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atalog" sheetId="1" state="visible" r:id="rId1"/>
  </sheets>
  <definedNames>
    <definedName name="_xlnm._FilterDatabase" localSheetId="0" hidden="1">'Catalog'!$A$4:$H$26330</definedName>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Calibri"/>
      <b val="1"/>
      <color rgb="00ffffff"/>
      <sz val="12"/>
    </font>
    <font>
      <name val="Calibri"/>
      <b val="1"/>
      <color rgb="00ffffff"/>
      <sz val="11"/>
    </font>
    <font>
      <name val="Calibri"/>
      <b val="1"/>
      <color rgb="00ffffff"/>
      <sz val="10"/>
    </font>
    <font>
      <name val="Calibri"/>
      <color rgb="001F2937"/>
      <sz val="11"/>
    </font>
  </fonts>
  <fills count="3">
    <fill>
      <patternFill/>
    </fill>
    <fill>
      <patternFill patternType="gray125"/>
    </fill>
    <fill>
      <patternFill patternType="solid">
        <fgColor rgb="001F2937"/>
        <bgColor rgb="001F2937"/>
      </patternFill>
    </fill>
  </fills>
  <borders count="2">
    <border>
      <left/>
      <right/>
      <top/>
      <bottom/>
      <diagonal/>
    </border>
    <border>
      <top/>
      <bottom style="thin">
        <color rgb="00000000"/>
      </bottom>
    </border>
  </borders>
  <cellStyleXfs count="1">
    <xf numFmtId="0" fontId="0" fillId="0" borderId="0"/>
  </cellStyleXfs>
  <cellXfs count="6">
    <xf numFmtId="0" fontId="0" fillId="0" borderId="0" pivotButton="0" quotePrefix="0" xfId="0"/>
    <xf numFmtId="0" fontId="1" fillId="2" borderId="0" applyAlignment="1" pivotButton="0" quotePrefix="0" xfId="0">
      <alignment horizontal="center"/>
    </xf>
    <xf numFmtId="0" fontId="2" fillId="2" borderId="0" applyAlignment="1" pivotButton="0" quotePrefix="0" xfId="0">
      <alignment horizontal="center"/>
    </xf>
    <xf numFmtId="0" fontId="3" fillId="2" borderId="0" applyAlignment="1" pivotButton="0" quotePrefix="0" xfId="0">
      <alignment horizontal="center"/>
    </xf>
    <xf numFmtId="0" fontId="0" fillId="0" borderId="1"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cols>
    <col width="17" customWidth="1" min="1" max="1"/>
    <col width="17" customWidth="1" min="2" max="2"/>
    <col width="17" customWidth="1" min="3" max="3"/>
    <col width="17" customWidth="1" min="4" max="4"/>
    <col width="17" customWidth="1" min="5" max="5"/>
    <col width="17" customWidth="1" min="6" max="6"/>
    <col width="17" customWidth="1" min="7" max="7"/>
    <col width="17" customWidth="1" min="8" max="8"/>
  </cols>
  <sheetData>
    <row r="1">
      <c r="A1" s="1" t="inlineStr">
        <is>
          <t>Qogita Catalog</t>
        </is>
      </c>
    </row>
    <row r="2">
      <c r="A2" s="2" t="inlineStr">
        <is>
          <t>Catalog As Of 2025-10-02T04-09-03</t>
        </is>
      </c>
    </row>
    <row r="3">
      <c r="A3" s="3" t="inlineStr">
        <is>
          <t>For Illustrative Purposes Only. Prices May Differ Per Cart Subject To Optimization. Final Prices Available At Checkout. Inventory May Change Intra-Day.</t>
        </is>
      </c>
    </row>
    <row r="4">
      <c r="A4" s="4" t="inlineStr">
        <is>
          <t>GTIN</t>
        </is>
      </c>
      <c r="B4" s="4" t="inlineStr">
        <is>
          <t>Name</t>
        </is>
      </c>
      <c r="C4" s="4" t="inlineStr">
        <is>
          <t>Category</t>
        </is>
      </c>
      <c r="D4" s="4" t="inlineStr">
        <is>
          <t>Brand</t>
        </is>
      </c>
      <c r="E4" s="4" t="inlineStr">
        <is>
          <t>€ Price inc. shipping</t>
        </is>
      </c>
      <c r="F4" s="4" t="inlineStr">
        <is>
          <t>Unit</t>
        </is>
      </c>
      <c r="G4" s="4" t="inlineStr">
        <is>
          <t>Inventory</t>
        </is>
      </c>
      <c r="H4" s="4" t="inlineStr">
        <is>
          <t>Product Link</t>
        </is>
      </c>
    </row>
    <row r="5">
      <c r="A5" t="inlineStr">
        <is>
          <t>0000085960183</t>
        </is>
      </c>
      <c r="B5" t="inlineStr">
        <is>
          <t>Dermacol Invisible Hyaluronic Lipstick</t>
        </is>
      </c>
      <c r="C5" t="inlineStr">
        <is>
          <t>Lip Liner</t>
        </is>
      </c>
      <c r="D5" t="inlineStr">
        <is>
          <t>Dermacol</t>
        </is>
      </c>
      <c r="E5" t="n">
        <v>3.69</v>
      </c>
      <c r="F5" t="n">
        <v>1</v>
      </c>
      <c r="G5" t="n">
        <v>6</v>
      </c>
      <c r="H5" s="5">
        <f>HYPERLINK("https://api.qogita.com/variants/link/0000085960183/", "View Product")</f>
        <v/>
      </c>
    </row>
    <row r="6">
      <c r="A6" t="inlineStr">
        <is>
          <t>0000085962682</t>
        </is>
      </c>
      <c r="B6" t="inlineStr">
        <is>
          <t>Pretty Matte Lipstick No. 02</t>
        </is>
      </c>
      <c r="C6" t="inlineStr">
        <is>
          <t>Lipstick</t>
        </is>
      </c>
      <c r="D6" t="inlineStr">
        <is>
          <t>Dermacol</t>
        </is>
      </c>
      <c r="E6" t="n">
        <v>5.05</v>
      </c>
      <c r="F6" t="n">
        <v>1</v>
      </c>
      <c r="G6" t="n">
        <v>5</v>
      </c>
      <c r="H6" s="5">
        <f>HYPERLINK("https://api.qogita.com/variants/link/0000085962682/", "View Product")</f>
        <v/>
      </c>
    </row>
    <row r="7">
      <c r="A7" t="inlineStr">
        <is>
          <t>0000085966703</t>
        </is>
      </c>
      <c r="B7" t="inlineStr">
        <is>
          <t>Dermacol 24H Control Liquid Foundation with Coenzyme Q10 for Dry and Oily Skin 30ml No. 50</t>
        </is>
      </c>
      <c r="C7" t="inlineStr">
        <is>
          <t>Foundation</t>
        </is>
      </c>
      <c r="D7" t="inlineStr">
        <is>
          <t>Dermacol</t>
        </is>
      </c>
      <c r="E7" t="n">
        <v>8.130000000000001</v>
      </c>
      <c r="F7" t="n">
        <v>1</v>
      </c>
      <c r="G7" t="n">
        <v>12</v>
      </c>
      <c r="H7" s="5">
        <f>HYPERLINK("https://api.qogita.com/variants/link/0000085966703/", "View Product")</f>
        <v/>
      </c>
    </row>
    <row r="8">
      <c r="A8" t="inlineStr">
        <is>
          <t>0000085966710</t>
        </is>
      </c>
      <c r="B8" t="inlineStr">
        <is>
          <t>24H Control Make-up No. 100</t>
        </is>
      </c>
      <c r="C8" t="inlineStr">
        <is>
          <t>Foundation</t>
        </is>
      </c>
      <c r="D8" t="inlineStr">
        <is>
          <t>Dermacol</t>
        </is>
      </c>
      <c r="E8" t="n">
        <v>12.1</v>
      </c>
      <c r="F8" t="n">
        <v>1</v>
      </c>
      <c r="G8" t="n">
        <v>5</v>
      </c>
      <c r="H8" s="5">
        <f>HYPERLINK("https://api.qogita.com/variants/link/0000085966710/", "View Product")</f>
        <v/>
      </c>
    </row>
    <row r="9">
      <c r="A9" t="inlineStr">
        <is>
          <t>0000085966727</t>
        </is>
      </c>
      <c r="B9" t="inlineStr">
        <is>
          <t>Dermacol 24H Control Liquid Foundation with Coenzyme Q10 for Dry and Oily Skin 30ml Beige</t>
        </is>
      </c>
      <c r="C9" t="inlineStr">
        <is>
          <t>Foundation</t>
        </is>
      </c>
      <c r="D9" t="inlineStr">
        <is>
          <t>Dermacol</t>
        </is>
      </c>
      <c r="E9" t="n">
        <v>8.130000000000001</v>
      </c>
      <c r="F9" t="n">
        <v>1</v>
      </c>
      <c r="G9" t="n">
        <v>14</v>
      </c>
      <c r="H9" s="5">
        <f>HYPERLINK("https://api.qogita.com/variants/link/0000085966727/", "View Product")</f>
        <v/>
      </c>
    </row>
    <row r="10">
      <c r="A10" t="inlineStr">
        <is>
          <t>0000085971585</t>
        </is>
      </c>
      <c r="B10" t="inlineStr">
        <is>
          <t>Dermacol Coco Splash Hydrating Makeup Base Primer, 20 Ml</t>
        </is>
      </c>
      <c r="C10" t="inlineStr">
        <is>
          <t>Primer</t>
        </is>
      </c>
      <c r="D10" t="inlineStr">
        <is>
          <t>Dermacol</t>
        </is>
      </c>
      <c r="E10" t="n">
        <v>7.89</v>
      </c>
      <c r="F10" t="n">
        <v>1</v>
      </c>
      <c r="G10" t="n">
        <v>16</v>
      </c>
      <c r="H10" s="5">
        <f>HYPERLINK("https://api.qogita.com/variants/link/0000085971585/", "View Product")</f>
        <v/>
      </c>
    </row>
    <row r="11">
      <c r="A11" t="inlineStr">
        <is>
          <t>0000085971875</t>
        </is>
      </c>
      <c r="B11" t="inlineStr">
        <is>
          <t>Dermacol Megalash Volume Care Mascara</t>
        </is>
      </c>
      <c r="C11" t="inlineStr">
        <is>
          <t>Mascara</t>
        </is>
      </c>
      <c r="D11" t="inlineStr">
        <is>
          <t>Dermacol</t>
        </is>
      </c>
      <c r="E11" t="n">
        <v>6.66</v>
      </c>
      <c r="F11" t="n">
        <v>1</v>
      </c>
      <c r="G11" t="n">
        <v>15</v>
      </c>
      <c r="H11" s="5">
        <f>HYPERLINK("https://api.qogita.com/variants/link/0000085971875/", "View Product")</f>
        <v/>
      </c>
    </row>
    <row r="12">
      <c r="A12" t="inlineStr">
        <is>
          <t>0000085971899</t>
        </is>
      </c>
      <c r="B12" t="inlineStr">
        <is>
          <t>Dermacol Eyebrow Pencil Perfector 2</t>
        </is>
      </c>
      <c r="C12" t="inlineStr">
        <is>
          <t>Eyebrow Pencil</t>
        </is>
      </c>
      <c r="D12" t="inlineStr">
        <is>
          <t>Dermacol</t>
        </is>
      </c>
      <c r="E12" t="n">
        <v>7.21</v>
      </c>
      <c r="F12" t="n">
        <v>1</v>
      </c>
      <c r="G12" t="n">
        <v>6</v>
      </c>
      <c r="H12" s="5">
        <f>HYPERLINK("https://api.qogita.com/variants/link/0000085971899/", "View Product")</f>
        <v/>
      </c>
    </row>
    <row r="13">
      <c r="A13" t="inlineStr">
        <is>
          <t>0000085972476</t>
        </is>
      </c>
      <c r="B13" t="inlineStr">
        <is>
          <t>First Class Lashes Mascara Primer 7.5 ml</t>
        </is>
      </c>
      <c r="C13" t="inlineStr">
        <is>
          <t>Mascara</t>
        </is>
      </c>
      <c r="D13" t="inlineStr">
        <is>
          <t>Dermacol</t>
        </is>
      </c>
      <c r="E13" t="n">
        <v>6.16</v>
      </c>
      <c r="F13" t="n">
        <v>1</v>
      </c>
      <c r="G13" t="n">
        <v>7</v>
      </c>
      <c r="H13" s="5">
        <f>HYPERLINK("https://api.qogita.com/variants/link/0000085972476/", "View Product")</f>
        <v/>
      </c>
    </row>
    <row r="14">
      <c r="A14" t="inlineStr">
        <is>
          <t>0000085972544</t>
        </is>
      </c>
      <c r="B14" t="inlineStr">
        <is>
          <t>Eyebrow Fix (16H Microblade Tattoo) 1 ml Shade 02</t>
        </is>
      </c>
      <c r="C14" t="inlineStr">
        <is>
          <t>Eyebrow Gel</t>
        </is>
      </c>
      <c r="D14" t="inlineStr">
        <is>
          <t>Dermacol</t>
        </is>
      </c>
      <c r="E14" t="n">
        <v>4.93</v>
      </c>
      <c r="F14" t="n">
        <v>1</v>
      </c>
      <c r="G14" t="n">
        <v>5</v>
      </c>
      <c r="H14" s="5">
        <f>HYPERLINK("https://api.qogita.com/variants/link/0000085972544/", "View Product")</f>
        <v/>
      </c>
    </row>
    <row r="15">
      <c r="A15" t="inlineStr">
        <is>
          <t>0000085972742</t>
        </is>
      </c>
      <c r="B15" t="inlineStr">
        <is>
          <t>3D Mono Eyeshadows 2g Shade 03 Matt Rosé</t>
        </is>
      </c>
      <c r="C15" t="inlineStr">
        <is>
          <t>Eyeshadow</t>
        </is>
      </c>
      <c r="D15" t="inlineStr">
        <is>
          <t>Dermacol</t>
        </is>
      </c>
      <c r="E15" t="n">
        <v>5.57</v>
      </c>
      <c r="F15" t="n">
        <v>1</v>
      </c>
      <c r="G15" t="n">
        <v>2</v>
      </c>
      <c r="H15" s="5">
        <f>HYPERLINK("https://api.qogita.com/variants/link/0000085972742/", "View Product")</f>
        <v/>
      </c>
    </row>
    <row r="16">
      <c r="A16" t="inlineStr">
        <is>
          <t>0000085972926</t>
        </is>
      </c>
      <c r="B16" t="inlineStr">
        <is>
          <t>Dermacol Collagen Makeup Pale 1.0 20ml</t>
        </is>
      </c>
      <c r="C16" t="inlineStr">
        <is>
          <t>Foundation</t>
        </is>
      </c>
      <c r="D16" t="inlineStr">
        <is>
          <t>Dermacol</t>
        </is>
      </c>
      <c r="E16" t="n">
        <v>7.07</v>
      </c>
      <c r="F16" t="n">
        <v>1</v>
      </c>
      <c r="G16" t="n">
        <v>5</v>
      </c>
      <c r="H16" s="5">
        <f>HYPERLINK("https://api.qogita.com/variants/link/0000085972926/", "View Product")</f>
        <v/>
      </c>
    </row>
    <row r="17">
      <c r="A17" t="inlineStr">
        <is>
          <t>0000085973121</t>
        </is>
      </c>
      <c r="B17" t="inlineStr">
        <is>
          <t>Dermacol Cover Xtreme Corrector Contour Stick with SPF30 High Coverage Light Formula Dark Circle Colour Corrector for Acne-Prone Skin 8.00ml</t>
        </is>
      </c>
      <c r="C17" t="inlineStr">
        <is>
          <t>Color Corrector</t>
        </is>
      </c>
      <c r="D17" t="inlineStr">
        <is>
          <t>Dermacol</t>
        </is>
      </c>
      <c r="E17" t="n">
        <v>10.87</v>
      </c>
      <c r="F17" t="n">
        <v>1</v>
      </c>
      <c r="G17" t="n">
        <v>2</v>
      </c>
      <c r="H17" s="5">
        <f>HYPERLINK("https://api.qogita.com/variants/link/0000085973121/", "View Product")</f>
        <v/>
      </c>
    </row>
    <row r="18">
      <c r="A18" t="inlineStr">
        <is>
          <t>0000085974227</t>
        </is>
      </c>
      <c r="B18" t="inlineStr">
        <is>
          <t>Tea Tree Oil AcneCover Bleaching Concealer - Shade 3</t>
        </is>
      </c>
      <c r="C18" t="inlineStr">
        <is>
          <t>Concealer</t>
        </is>
      </c>
      <c r="D18" t="inlineStr">
        <is>
          <t>Dermacol</t>
        </is>
      </c>
      <c r="E18" t="n">
        <v>6.33</v>
      </c>
      <c r="F18" t="n">
        <v>1</v>
      </c>
      <c r="G18" t="n">
        <v>2</v>
      </c>
      <c r="H18" s="5">
        <f>HYPERLINK("https://api.qogita.com/variants/link/0000085974227/", "View Product")</f>
        <v/>
      </c>
    </row>
    <row r="19">
      <c r="A19" t="inlineStr">
        <is>
          <t>0000085974326</t>
        </is>
      </c>
      <c r="B19" t="inlineStr">
        <is>
          <t>Dermacol BB Beauty Balance Cream 8in1 Sand 30 ml</t>
        </is>
      </c>
      <c r="C19" t="inlineStr">
        <is>
          <t>Tinted Day Cream</t>
        </is>
      </c>
      <c r="D19" t="inlineStr">
        <is>
          <t>Dermacol</t>
        </is>
      </c>
      <c r="E19" t="n">
        <v>7.8</v>
      </c>
      <c r="F19" t="n">
        <v>1</v>
      </c>
      <c r="G19" t="n">
        <v>3</v>
      </c>
      <c r="H19" s="5">
        <f>HYPERLINK("https://api.qogita.com/variants/link/0000085974326/", "View Product")</f>
        <v/>
      </c>
    </row>
    <row r="20">
      <c r="A20" t="inlineStr">
        <is>
          <t>0000085974333</t>
        </is>
      </c>
      <c r="B20" t="inlineStr">
        <is>
          <t>F Lip Gloss High Shine 4 ml - Shade 01</t>
        </is>
      </c>
      <c r="C20" t="inlineStr">
        <is>
          <t>Lip Gloss</t>
        </is>
      </c>
      <c r="D20" t="inlineStr">
        <is>
          <t>Fenty Beauty by Rihanna</t>
        </is>
      </c>
      <c r="E20" t="n">
        <v>4.54</v>
      </c>
      <c r="F20" t="n">
        <v>1</v>
      </c>
      <c r="G20" t="n">
        <v>3</v>
      </c>
      <c r="H20" s="5">
        <f>HYPERLINK("https://api.qogita.com/variants/link/0000085974333/", "View Product")</f>
        <v/>
      </c>
    </row>
    <row r="21">
      <c r="A21" t="inlineStr">
        <is>
          <t>0000085974340</t>
        </is>
      </c>
      <c r="B21" t="inlineStr">
        <is>
          <t>Lip Gloss F ****** High Shine 4 ml Shade 02</t>
        </is>
      </c>
      <c r="C21" t="inlineStr">
        <is>
          <t>Lip Gloss</t>
        </is>
      </c>
      <c r="D21" t="inlineStr">
        <is>
          <t>Dermacol</t>
        </is>
      </c>
      <c r="E21" t="n">
        <v>4.54</v>
      </c>
      <c r="F21" t="n">
        <v>1</v>
      </c>
      <c r="G21" t="n">
        <v>7</v>
      </c>
      <c r="H21" s="5">
        <f>HYPERLINK("https://api.qogita.com/variants/link/0000085974340/", "View Product")</f>
        <v/>
      </c>
    </row>
    <row r="22">
      <c r="A22" t="inlineStr">
        <is>
          <t>0000085974418</t>
        </is>
      </c>
      <c r="B22" t="inlineStr">
        <is>
          <t>Dermacol Natural Powder Blush 03 5g</t>
        </is>
      </c>
      <c r="C22" t="inlineStr">
        <is>
          <t>Blush</t>
        </is>
      </c>
      <c r="D22" t="inlineStr">
        <is>
          <t>Dermacol</t>
        </is>
      </c>
      <c r="E22" t="n">
        <v>5.18</v>
      </c>
      <c r="F22" t="n">
        <v>1</v>
      </c>
      <c r="G22" t="n">
        <v>5</v>
      </c>
      <c r="H22" s="5">
        <f>HYPERLINK("https://api.qogita.com/variants/link/0000085974418/", "View Product")</f>
        <v/>
      </c>
    </row>
    <row r="23">
      <c r="A23" t="inlineStr">
        <is>
          <t>0000085974678</t>
        </is>
      </c>
      <c r="B23" t="inlineStr">
        <is>
          <t>Dermacol Eye Pencil for Women Stylish 1.0</t>
        </is>
      </c>
      <c r="C23" t="inlineStr">
        <is>
          <t>Eye Pencil</t>
        </is>
      </c>
      <c r="D23" t="inlineStr">
        <is>
          <t>Dermacol</t>
        </is>
      </c>
      <c r="E23" t="n">
        <v>4.62</v>
      </c>
      <c r="F23" t="n">
        <v>1</v>
      </c>
      <c r="G23" t="n">
        <v>5</v>
      </c>
      <c r="H23" s="5">
        <f>HYPERLINK("https://api.qogita.com/variants/link/0000085974678/", "View Product")</f>
        <v/>
      </c>
    </row>
    <row r="24">
      <c r="A24" t="inlineStr">
        <is>
          <t>0000085974685</t>
        </is>
      </c>
      <c r="B24" t="inlineStr">
        <is>
          <t>Dermacol Automatic Eyebrow Pencil Micro Styler Color No. 02 Ultra</t>
        </is>
      </c>
      <c r="C24" t="inlineStr">
        <is>
          <t>Eyebrow Pencil</t>
        </is>
      </c>
      <c r="D24" t="inlineStr">
        <is>
          <t>Dermacol</t>
        </is>
      </c>
      <c r="E24" t="n">
        <v>7.8</v>
      </c>
      <c r="F24" t="n">
        <v>1</v>
      </c>
      <c r="G24" t="n">
        <v>2</v>
      </c>
      <c r="H24" s="5">
        <f>HYPERLINK("https://api.qogita.com/variants/link/0000085974685/", "View Product")</f>
        <v/>
      </c>
    </row>
    <row r="25">
      <c r="A25" t="inlineStr">
        <is>
          <t>0000085974852</t>
        </is>
      </c>
      <c r="B25" t="inlineStr">
        <is>
          <t>Long-lasting Intense Colour Eyeliner and Shadow (Eye Liner &amp; Shadow) 1.6 g Shade 13</t>
        </is>
      </c>
      <c r="C25" t="inlineStr">
        <is>
          <t>Eyeliner</t>
        </is>
      </c>
      <c r="D25" t="inlineStr">
        <is>
          <t>Dermacol</t>
        </is>
      </c>
      <c r="E25" t="n">
        <v>4.37</v>
      </c>
      <c r="F25" t="n">
        <v>1</v>
      </c>
      <c r="G25" t="n">
        <v>4</v>
      </c>
      <c r="H25" s="5">
        <f>HYPERLINK("https://api.qogita.com/variants/link/0000085974852/", "View Product")</f>
        <v/>
      </c>
    </row>
    <row r="26">
      <c r="A26" t="inlineStr">
        <is>
          <t>0000085975279</t>
        </is>
      </c>
      <c r="B26" t="inlineStr">
        <is>
          <t>Matte Liquid Lipstick Hyaluron Hysteria Shade 06</t>
        </is>
      </c>
      <c r="C26" t="inlineStr">
        <is>
          <t>Lipstick</t>
        </is>
      </c>
      <c r="D26" t="inlineStr">
        <is>
          <t>Dermacol</t>
        </is>
      </c>
      <c r="E26" t="n">
        <v>5.23</v>
      </c>
      <c r="F26" t="n">
        <v>1</v>
      </c>
      <c r="G26" t="n">
        <v>9</v>
      </c>
      <c r="H26" s="5">
        <f>HYPERLINK("https://api.qogita.com/variants/link/0000085975279/", "View Product")</f>
        <v/>
      </c>
    </row>
    <row r="27">
      <c r="A27" t="inlineStr">
        <is>
          <t>0000085975460</t>
        </is>
      </c>
      <c r="B27" t="inlineStr">
        <is>
          <t>Active Foundation White Magic (Blurring Active Primer) 20 ml</t>
        </is>
      </c>
      <c r="C27" t="inlineStr">
        <is>
          <t>Primer</t>
        </is>
      </c>
      <c r="D27" t="inlineStr">
        <is>
          <t>Dermacol</t>
        </is>
      </c>
      <c r="E27" t="n">
        <v>10.87</v>
      </c>
      <c r="F27" t="n">
        <v>1</v>
      </c>
      <c r="G27" t="n">
        <v>4</v>
      </c>
      <c r="H27" s="5">
        <f>HYPERLINK("https://api.qogita.com/variants/link/0000085975460/", "View Product")</f>
        <v/>
      </c>
    </row>
    <row r="28">
      <c r="A28" t="inlineStr">
        <is>
          <t>0000085975514</t>
        </is>
      </c>
      <c r="B28" t="inlineStr">
        <is>
          <t>Pure 3D Nail Polish 11 ml - Shade 04 Poppy Red by Natural</t>
        </is>
      </c>
      <c r="C28" t="inlineStr">
        <is>
          <t>Nail Polish</t>
        </is>
      </c>
      <c r="D28" t="inlineStr">
        <is>
          <t>Pure</t>
        </is>
      </c>
      <c r="E28" t="n">
        <v>5.74</v>
      </c>
      <c r="F28" t="n">
        <v>1</v>
      </c>
      <c r="G28" t="n">
        <v>2</v>
      </c>
      <c r="H28" s="5">
        <f>HYPERLINK("https://api.qogita.com/variants/link/0000085975514/", "View Product")</f>
        <v/>
      </c>
    </row>
    <row r="29">
      <c r="A29" t="inlineStr">
        <is>
          <t>0000085975521</t>
        </is>
      </c>
      <c r="B29" t="inlineStr">
        <is>
          <t>Pure 3D Nail Polish 11 ml - Shade 05 Rose Veil by Natural</t>
        </is>
      </c>
      <c r="C29" t="inlineStr">
        <is>
          <t>Nail Polish</t>
        </is>
      </c>
      <c r="D29" t="inlineStr">
        <is>
          <t>Pure</t>
        </is>
      </c>
      <c r="E29" t="n">
        <v>5.74</v>
      </c>
      <c r="F29" t="n">
        <v>1</v>
      </c>
      <c r="G29" t="n">
        <v>8</v>
      </c>
      <c r="H29" s="5">
        <f>HYPERLINK("https://api.qogita.com/variants/link/0000085975521/", "View Product")</f>
        <v/>
      </c>
    </row>
    <row r="30">
      <c r="A30" t="inlineStr">
        <is>
          <t>0000085975576</t>
        </is>
      </c>
      <c r="B30" t="inlineStr">
        <is>
          <t>Long-lasting Two-Phase Lip Color and Gloss 16H Lip Color (Extreme Long-Lasting Lipstick) 4 + 4 ml</t>
        </is>
      </c>
      <c r="C30" t="inlineStr">
        <is>
          <t>Lipstick</t>
        </is>
      </c>
      <c r="D30" t="inlineStr">
        <is>
          <t>Dermacol</t>
        </is>
      </c>
      <c r="E30" t="n">
        <v>6.16</v>
      </c>
      <c r="F30" t="n">
        <v>1</v>
      </c>
      <c r="G30" t="n">
        <v>8</v>
      </c>
      <c r="H30" s="5">
        <f>HYPERLINK("https://api.qogita.com/variants/link/0000085975576/", "View Product")</f>
        <v/>
      </c>
    </row>
    <row r="31">
      <c r="A31" t="inlineStr">
        <is>
          <t>0000085975606</t>
        </is>
      </c>
      <c r="B31" t="inlineStr">
        <is>
          <t>Long-lasting Two-Phase Lip Color and Gloss 16H Lip Color (Extreme Long-Lasting Lipstick) 4 + 4 ml Shade 8</t>
        </is>
      </c>
      <c r="C31" t="inlineStr">
        <is>
          <t>Lipstick</t>
        </is>
      </c>
      <c r="D31" t="inlineStr">
        <is>
          <t>Dermacol</t>
        </is>
      </c>
      <c r="E31" t="n">
        <v>9.31</v>
      </c>
      <c r="F31" t="n">
        <v>1</v>
      </c>
      <c r="G31" t="n">
        <v>2</v>
      </c>
      <c r="H31" s="5">
        <f>HYPERLINK("https://api.qogita.com/variants/link/0000085975606/", "View Product")</f>
        <v/>
      </c>
    </row>
    <row r="32">
      <c r="A32" t="inlineStr">
        <is>
          <t>0000085975613</t>
        </is>
      </c>
      <c r="B32" t="inlineStr">
        <is>
          <t>Long-lasting Two-Phase Lip Color and Gloss 16H Lip Color (Extreme Long-Lasting Lipstick) 4 + 4 ml Shade 11</t>
        </is>
      </c>
      <c r="C32" t="inlineStr">
        <is>
          <t>Lipstick</t>
        </is>
      </c>
      <c r="D32" t="inlineStr">
        <is>
          <t>Dermacol</t>
        </is>
      </c>
      <c r="E32" t="n">
        <v>6.16</v>
      </c>
      <c r="F32" t="n">
        <v>1</v>
      </c>
      <c r="G32" t="n">
        <v>3</v>
      </c>
      <c r="H32" s="5">
        <f>HYPERLINK("https://api.qogita.com/variants/link/0000085975613/", "View Product")</f>
        <v/>
      </c>
    </row>
    <row r="33">
      <c r="A33" t="inlineStr">
        <is>
          <t>0000085975637</t>
        </is>
      </c>
      <c r="B33" t="inlineStr">
        <is>
          <t>Long-lasting Two-Phase Lip Color and Gloss 16H Lip Color (Extreme Long-Lasting Lipstick) 4 + 4 ml Shade 15</t>
        </is>
      </c>
      <c r="C33" t="inlineStr">
        <is>
          <t>Lipstick</t>
        </is>
      </c>
      <c r="D33" t="inlineStr">
        <is>
          <t>Dermacol</t>
        </is>
      </c>
      <c r="E33" t="n">
        <v>6.16</v>
      </c>
      <c r="F33" t="n">
        <v>1</v>
      </c>
      <c r="G33" t="n">
        <v>3</v>
      </c>
      <c r="H33" s="5">
        <f>HYPERLINK("https://api.qogita.com/variants/link/0000085975637/", "View Product")</f>
        <v/>
      </c>
    </row>
    <row r="34">
      <c r="A34" t="inlineStr">
        <is>
          <t>0000085977969</t>
        </is>
      </c>
      <c r="B34" t="inlineStr">
        <is>
          <t>New Generation Lip Liner (Lip Liner) 1 gram Shade 03</t>
        </is>
      </c>
      <c r="C34" t="inlineStr">
        <is>
          <t>Lip Liner</t>
        </is>
      </c>
      <c r="D34" t="inlineStr">
        <is>
          <t>Dermacol</t>
        </is>
      </c>
      <c r="E34" t="n">
        <v>3.41</v>
      </c>
      <c r="F34" t="n">
        <v>1</v>
      </c>
      <c r="G34" t="n">
        <v>5</v>
      </c>
      <c r="H34" s="5">
        <f>HYPERLINK("https://api.qogita.com/variants/link/0000085977969/", "View Product")</f>
        <v/>
      </c>
    </row>
    <row r="35">
      <c r="A35" t="inlineStr">
        <is>
          <t>0000085978263</t>
        </is>
      </c>
      <c r="B35" t="inlineStr">
        <is>
          <t>Dermacol Neon Mania Shiny Lipgloss - Lesk Na Rty 10 Ml Berries</t>
        </is>
      </c>
      <c r="C35" t="inlineStr">
        <is>
          <t>Lip Gloss</t>
        </is>
      </c>
      <c r="D35" t="inlineStr">
        <is>
          <t>Dermacol</t>
        </is>
      </c>
      <c r="E35" t="n">
        <v>3.58</v>
      </c>
      <c r="F35" t="n">
        <v>1</v>
      </c>
      <c r="G35" t="n">
        <v>5</v>
      </c>
      <c r="H35" s="5">
        <f>HYPERLINK("https://api.qogita.com/variants/link/0000085978263/", "View Product")</f>
        <v/>
      </c>
    </row>
    <row r="36">
      <c r="A36" t="inlineStr">
        <is>
          <t>0000085978768</t>
        </is>
      </c>
      <c r="B36" t="inlineStr">
        <is>
          <t>Dermacol Think Pink Lip Oil - Nourishing Lip Oil With Ultra Sparkle 4 Ml</t>
        </is>
      </c>
      <c r="C36" t="inlineStr">
        <is>
          <t>Lip Gloss</t>
        </is>
      </c>
      <c r="D36" t="inlineStr">
        <is>
          <t>Dermacol</t>
        </is>
      </c>
      <c r="E36" t="n">
        <v>4.19</v>
      </c>
      <c r="F36" t="n">
        <v>1</v>
      </c>
      <c r="G36" t="n">
        <v>13</v>
      </c>
      <c r="H36" s="5">
        <f>HYPERLINK("https://api.qogita.com/variants/link/0000085978768/", "View Product")</f>
        <v/>
      </c>
    </row>
    <row r="37">
      <c r="A37" t="inlineStr">
        <is>
          <t>0000085978799</t>
        </is>
      </c>
      <c r="B37" t="inlineStr">
        <is>
          <t>Dermacol Think Pink Extreme Length Mascara - 12 Grams</t>
        </is>
      </c>
      <c r="C37" t="inlineStr">
        <is>
          <t>Mascara</t>
        </is>
      </c>
      <c r="D37" t="inlineStr">
        <is>
          <t>Dermacol</t>
        </is>
      </c>
      <c r="E37" t="n">
        <v>6.61</v>
      </c>
      <c r="F37" t="n">
        <v>1</v>
      </c>
      <c r="G37" t="n">
        <v>11</v>
      </c>
      <c r="H37" s="5">
        <f>HYPERLINK("https://api.qogita.com/variants/link/0000085978799/", "View Product")</f>
        <v/>
      </c>
    </row>
    <row r="38">
      <c r="A38" t="inlineStr">
        <is>
          <t>0000085978805</t>
        </is>
      </c>
      <c r="B38" t="inlineStr">
        <is>
          <t>Dermacol Think Pink Refreshing Fixing Powder 10 G</t>
        </is>
      </c>
      <c r="C38" t="inlineStr">
        <is>
          <t>Powder</t>
        </is>
      </c>
      <c r="D38" t="inlineStr">
        <is>
          <t>Dermacol</t>
        </is>
      </c>
      <c r="E38" t="n">
        <v>5.92</v>
      </c>
      <c r="F38" t="n">
        <v>1</v>
      </c>
      <c r="G38" t="n">
        <v>3</v>
      </c>
      <c r="H38" s="5">
        <f>HYPERLINK("https://api.qogita.com/variants/link/0000085978805/", "View Product")</f>
        <v/>
      </c>
    </row>
    <row r="39">
      <c r="A39" t="inlineStr">
        <is>
          <t>0000085979420</t>
        </is>
      </c>
      <c r="B39" t="inlineStr">
        <is>
          <t>Dermacol Magic Lip Oil - 58 Ml</t>
        </is>
      </c>
      <c r="C39" t="inlineStr">
        <is>
          <t>Lip Oil</t>
        </is>
      </c>
      <c r="D39" t="inlineStr">
        <is>
          <t>Dermacol</t>
        </is>
      </c>
      <c r="E39" t="n">
        <v>5.57</v>
      </c>
      <c r="F39" t="n">
        <v>1</v>
      </c>
      <c r="G39" t="n">
        <v>4</v>
      </c>
      <c r="H39" s="5">
        <f>HYPERLINK("https://api.qogita.com/variants/link/0000085979420/", "View Product")</f>
        <v/>
      </c>
    </row>
    <row r="40">
      <c r="A40" t="inlineStr">
        <is>
          <t>0000085979826</t>
        </is>
      </c>
      <c r="B40" t="inlineStr">
        <is>
          <t>Dermacol Lipstick D Lady 4.4 G</t>
        </is>
      </c>
      <c r="C40" t="inlineStr">
        <is>
          <t>Lipstick</t>
        </is>
      </c>
      <c r="D40" t="inlineStr">
        <is>
          <t>Dermacol</t>
        </is>
      </c>
      <c r="E40" t="n">
        <v>9.31</v>
      </c>
      <c r="F40" t="n">
        <v>1</v>
      </c>
      <c r="G40" t="n">
        <v>11</v>
      </c>
      <c r="H40" s="5">
        <f>HYPERLINK("https://api.qogita.com/variants/link/0000085979826/", "View Product")</f>
        <v/>
      </c>
    </row>
    <row r="41">
      <c r="A41" t="inlineStr">
        <is>
          <t>0000085979901</t>
        </is>
      </c>
      <c r="B41" t="inlineStr">
        <is>
          <t>Dermacol Lipstick D Lady 4.4 G</t>
        </is>
      </c>
      <c r="C41" t="inlineStr">
        <is>
          <t>Lipstick</t>
        </is>
      </c>
      <c r="D41" t="inlineStr">
        <is>
          <t>Dermacol</t>
        </is>
      </c>
      <c r="E41" t="n">
        <v>5.92</v>
      </c>
      <c r="F41" t="n">
        <v>1</v>
      </c>
      <c r="G41" t="n">
        <v>14</v>
      </c>
      <c r="H41" s="5">
        <f>HYPERLINK("https://api.qogita.com/variants/link/0000085979901/", "View Product")</f>
        <v/>
      </c>
    </row>
    <row r="42">
      <c r="A42" t="inlineStr">
        <is>
          <t>0000085979932</t>
        </is>
      </c>
      <c r="B42" t="inlineStr">
        <is>
          <t>Dermacol Lipstick D Lady 4.4 G</t>
        </is>
      </c>
      <c r="C42" t="inlineStr">
        <is>
          <t>Lipstick</t>
        </is>
      </c>
      <c r="D42" t="inlineStr">
        <is>
          <t>Dermacol</t>
        </is>
      </c>
      <c r="E42" t="n">
        <v>5.92</v>
      </c>
      <c r="F42" t="n">
        <v>1</v>
      </c>
      <c r="G42" t="n">
        <v>14</v>
      </c>
      <c r="H42" s="5">
        <f>HYPERLINK("https://api.qogita.com/variants/link/0000085979932/", "View Product")</f>
        <v/>
      </c>
    </row>
    <row r="43">
      <c r="A43" t="inlineStr">
        <is>
          <t>0000096145746</t>
        </is>
      </c>
      <c r="B43" t="inlineStr">
        <is>
          <t>Max Factor Brow Shaper Pencil 30 Deep Brown 1g</t>
        </is>
      </c>
      <c r="C43" t="inlineStr">
        <is>
          <t>Eyebrow Pencil</t>
        </is>
      </c>
      <c r="D43" t="inlineStr">
        <is>
          <t>Max Factor</t>
        </is>
      </c>
      <c r="E43" t="n">
        <v>5.57</v>
      </c>
      <c r="F43" t="n">
        <v>1</v>
      </c>
      <c r="G43" t="n">
        <v>5</v>
      </c>
      <c r="H43" s="5">
        <f>HYPERLINK("https://api.qogita.com/variants/link/0000096145746/", "View Product")</f>
        <v/>
      </c>
    </row>
    <row r="44">
      <c r="A44" t="inlineStr">
        <is>
          <t>0008080087508</t>
        </is>
      </c>
      <c r="B44" t="inlineStr">
        <is>
          <t>Molton Brown Lime &amp; Patchouli Hand Lotion 300ml</t>
        </is>
      </c>
      <c r="C44" t="inlineStr">
        <is>
          <t>Body Lotion</t>
        </is>
      </c>
      <c r="D44" t="inlineStr">
        <is>
          <t>Molton Brown</t>
        </is>
      </c>
      <c r="E44" t="n">
        <v>19.09</v>
      </c>
      <c r="F44" t="n">
        <v>1</v>
      </c>
      <c r="G44" t="n">
        <v>36</v>
      </c>
      <c r="H44" s="5">
        <f>HYPERLINK("https://api.qogita.com/variants/link/0008080087508/", "View Product")</f>
        <v/>
      </c>
    </row>
    <row r="45">
      <c r="A45" t="inlineStr">
        <is>
          <t>0008080157768</t>
        </is>
      </c>
      <c r="B45" t="inlineStr">
        <is>
          <t>Molton Brown Flora Luminare Hand Lotion 300ml</t>
        </is>
      </c>
      <c r="C45" t="inlineStr">
        <is>
          <t>Hand Cream</t>
        </is>
      </c>
      <c r="D45" t="inlineStr">
        <is>
          <t>Molton Brown</t>
        </is>
      </c>
      <c r="E45" t="n">
        <v>19.12</v>
      </c>
      <c r="F45" t="n">
        <v>1</v>
      </c>
      <c r="G45" t="n">
        <v>37</v>
      </c>
      <c r="H45" s="5">
        <f>HYPERLINK("https://api.qogita.com/variants/link/0008080157768/", "View Product")</f>
        <v/>
      </c>
    </row>
    <row r="46">
      <c r="A46" t="inlineStr">
        <is>
          <t>0008952163101</t>
        </is>
      </c>
      <c r="B46" t="inlineStr">
        <is>
          <t>Amouroud Midnight Rose Eau De Parfum Spray Unisex 100ml</t>
        </is>
      </c>
      <c r="C46" t="inlineStr">
        <is>
          <t>Eau De Parfum</t>
        </is>
      </c>
      <c r="D46" t="inlineStr">
        <is>
          <t>Amouroud</t>
        </is>
      </c>
      <c r="E46" t="n">
        <v>82.97</v>
      </c>
      <c r="F46" t="n">
        <v>1</v>
      </c>
      <c r="G46" t="n">
        <v>9</v>
      </c>
      <c r="H46" s="5">
        <f>HYPERLINK("https://api.qogita.com/variants/link/0008952163101/", "View Product")</f>
        <v/>
      </c>
    </row>
    <row r="47">
      <c r="A47" t="inlineStr">
        <is>
          <t>0008952165105</t>
        </is>
      </c>
      <c r="B47" t="inlineStr">
        <is>
          <t>Amouroud Miel Sauvage Eau De Parfum Spray Unisex 100ml</t>
        </is>
      </c>
      <c r="C47" t="inlineStr">
        <is>
          <t>Eau De Parfum</t>
        </is>
      </c>
      <c r="D47" t="inlineStr">
        <is>
          <t>Amouroud</t>
        </is>
      </c>
      <c r="E47" t="n">
        <v>74.59999999999999</v>
      </c>
      <c r="F47" t="n">
        <v>1</v>
      </c>
      <c r="G47" t="n">
        <v>14</v>
      </c>
      <c r="H47" s="5">
        <f>HYPERLINK("https://api.qogita.com/variants/link/0008952165105/", "View Product")</f>
        <v/>
      </c>
    </row>
    <row r="48">
      <c r="A48" t="inlineStr">
        <is>
          <t>0017854113855</t>
        </is>
      </c>
      <c r="B48" t="inlineStr">
        <is>
          <t>Baylis &amp; Harding Jojoba Vanilla Almond Oil Luxury Candlelit Bathing Gift Set</t>
        </is>
      </c>
      <c r="C48" t="inlineStr">
        <is>
          <t>Candles</t>
        </is>
      </c>
      <c r="D48" t="inlineStr">
        <is>
          <t>Baylis &amp; Harding</t>
        </is>
      </c>
      <c r="E48" t="n">
        <v>21.74</v>
      </c>
      <c r="F48" t="n">
        <v>1</v>
      </c>
      <c r="G48" t="n">
        <v>2</v>
      </c>
      <c r="H48" s="5">
        <f>HYPERLINK("https://api.qogita.com/variants/link/0017854113855/", "View Product")</f>
        <v/>
      </c>
    </row>
    <row r="49">
      <c r="A49" t="inlineStr">
        <is>
          <t>0017854113879</t>
        </is>
      </c>
      <c r="B49" t="inlineStr">
        <is>
          <t>Baylis &amp; Harding Jojoba Vanilla Body Care Gift Set 4 Pieces</t>
        </is>
      </c>
      <c r="C49" t="inlineStr">
        <is>
          <t>Body Care Sets</t>
        </is>
      </c>
      <c r="D49" t="inlineStr">
        <is>
          <t>Baylis &amp; Harding</t>
        </is>
      </c>
      <c r="E49" t="n">
        <v>31.23</v>
      </c>
      <c r="F49" t="n">
        <v>1</v>
      </c>
      <c r="G49" t="n">
        <v>8</v>
      </c>
      <c r="H49" s="5">
        <f>HYPERLINK("https://api.qogita.com/variants/link/0017854113879/", "View Product")</f>
        <v/>
      </c>
    </row>
    <row r="50">
      <c r="A50" t="inlineStr">
        <is>
          <t>0017854114005</t>
        </is>
      </c>
      <c r="B50" t="inlineStr">
        <is>
          <t>Jojoba &amp; Vanilla Gift Set 2 Pieces</t>
        </is>
      </c>
      <c r="C50" t="inlineStr">
        <is>
          <t>Body Care Sets</t>
        </is>
      </c>
      <c r="D50" t="inlineStr">
        <is>
          <t>Baylis &amp; Harding</t>
        </is>
      </c>
      <c r="E50" t="n">
        <v>9.470000000000001</v>
      </c>
      <c r="F50" t="n">
        <v>1</v>
      </c>
      <c r="G50" t="n">
        <v>1</v>
      </c>
      <c r="H50" s="5">
        <f>HYPERLINK("https://api.qogita.com/variants/link/0017854114005/", "View Product")</f>
        <v/>
      </c>
    </row>
    <row r="51">
      <c r="A51" t="inlineStr">
        <is>
          <t>0017854114807</t>
        </is>
      </c>
      <c r="B51" t="inlineStr">
        <is>
          <t>Baylis &amp; Harding Wellness Luxury Bathing Gift Set</t>
        </is>
      </c>
      <c r="C51" t="inlineStr">
        <is>
          <t>Body Care Sets</t>
        </is>
      </c>
      <c r="D51" t="inlineStr">
        <is>
          <t>Baylis &amp; Harding</t>
        </is>
      </c>
      <c r="E51" t="n">
        <v>23.59</v>
      </c>
      <c r="F51" t="n">
        <v>1</v>
      </c>
      <c r="G51" t="n">
        <v>2</v>
      </c>
      <c r="H51" s="5">
        <f>HYPERLINK("https://api.qogita.com/variants/link/0017854114807/", "View Product")</f>
        <v/>
      </c>
    </row>
    <row r="52">
      <c r="A52" t="inlineStr">
        <is>
          <t>0017854114852</t>
        </is>
      </c>
      <c r="B52" t="inlineStr">
        <is>
          <t>Body Care Gift Set Ginger, Lemon &amp; Basil 2 Pieces</t>
        </is>
      </c>
      <c r="C52" t="inlineStr">
        <is>
          <t>Body Care Sets</t>
        </is>
      </c>
      <c r="D52" t="inlineStr">
        <is>
          <t>Baylis &amp; Harding</t>
        </is>
      </c>
      <c r="E52" t="n">
        <v>15.65</v>
      </c>
      <c r="F52" t="n">
        <v>1</v>
      </c>
      <c r="G52" t="n">
        <v>27</v>
      </c>
      <c r="H52" s="5">
        <f>HYPERLINK("https://api.qogita.com/variants/link/0017854114852/", "View Product")</f>
        <v/>
      </c>
    </row>
    <row r="53">
      <c r="A53" t="inlineStr">
        <is>
          <t>0017854116740</t>
        </is>
      </c>
      <c r="B53" t="inlineStr">
        <is>
          <t>Baylis &amp; Harding Lemon Basil Luxury Body Wash 500 Ml</t>
        </is>
      </c>
      <c r="C53" t="inlineStr">
        <is>
          <t>Shower Gel</t>
        </is>
      </c>
      <c r="D53" t="inlineStr">
        <is>
          <t>Baylis &amp; Harding</t>
        </is>
      </c>
      <c r="E53" t="n">
        <v>4.88</v>
      </c>
      <c r="F53" t="n">
        <v>1</v>
      </c>
      <c r="G53" t="n">
        <v>3</v>
      </c>
      <c r="H53" s="5">
        <f>HYPERLINK("https://api.qogita.com/variants/link/0017854116740/", "View Product")</f>
        <v/>
      </c>
    </row>
    <row r="54">
      <c r="A54" t="inlineStr">
        <is>
          <t>0017854116955</t>
        </is>
      </c>
      <c r="B54" t="inlineStr">
        <is>
          <t>Edit Twilight Amber 400ml Hand Wash</t>
        </is>
      </c>
      <c r="C54" t="inlineStr">
        <is>
          <t>Hand Soap</t>
        </is>
      </c>
      <c r="D54" t="inlineStr">
        <is>
          <t>Baylis &amp; Harding</t>
        </is>
      </c>
      <c r="E54" t="n">
        <v>6.28</v>
      </c>
      <c r="F54" t="n">
        <v>1</v>
      </c>
      <c r="G54" t="n">
        <v>12</v>
      </c>
      <c r="H54" s="5">
        <f>HYPERLINK("https://api.qogita.com/variants/link/0017854116955/", "View Product")</f>
        <v/>
      </c>
    </row>
    <row r="55">
      <c r="A55" t="inlineStr">
        <is>
          <t>0017854117211</t>
        </is>
      </c>
      <c r="B55" t="inlineStr">
        <is>
          <t>Baylis &amp; Harding The Edit Cherry Temptation Body And Hair Mist - 250 Ml</t>
        </is>
      </c>
      <c r="C55" t="inlineStr">
        <is>
          <t>Body Mist</t>
        </is>
      </c>
      <c r="D55" t="inlineStr">
        <is>
          <t>Baylis &amp; Harding</t>
        </is>
      </c>
      <c r="E55" t="n">
        <v>11.44</v>
      </c>
      <c r="F55" t="n">
        <v>1</v>
      </c>
      <c r="G55" t="n">
        <v>22</v>
      </c>
      <c r="H55" s="5">
        <f>HYPERLINK("https://api.qogita.com/variants/link/0017854117211/", "View Product")</f>
        <v/>
      </c>
    </row>
    <row r="56">
      <c r="A56" t="inlineStr">
        <is>
          <t>0017854117525</t>
        </is>
      </c>
      <c r="B56" t="inlineStr">
        <is>
          <t>Baylis &amp; Harding Bath Care Gift Set Jojoba Vanilla Almond Oil - 4 Pieces</t>
        </is>
      </c>
      <c r="C56" t="inlineStr">
        <is>
          <t>Body Care Sets</t>
        </is>
      </c>
      <c r="D56" t="inlineStr">
        <is>
          <t>Baylis &amp; Harding</t>
        </is>
      </c>
      <c r="E56" t="n">
        <v>13.06</v>
      </c>
      <c r="F56" t="n">
        <v>1</v>
      </c>
      <c r="G56" t="n">
        <v>10</v>
      </c>
      <c r="H56" s="5">
        <f>HYPERLINK("https://api.qogita.com/variants/link/0017854117525/", "View Product")</f>
        <v/>
      </c>
    </row>
    <row r="57">
      <c r="A57" t="inlineStr">
        <is>
          <t>0017854118751</t>
        </is>
      </c>
      <c r="B57" t="inlineStr">
        <is>
          <t>Baylis &amp; Harding Beauticology Bathtime Beauty Store Set</t>
        </is>
      </c>
      <c r="C57" t="inlineStr">
        <is>
          <t>Body Care Sets</t>
        </is>
      </c>
      <c r="D57" t="inlineStr">
        <is>
          <t>Baylis &amp; Harding</t>
        </is>
      </c>
      <c r="E57" t="n">
        <v>17.21</v>
      </c>
      <c r="F57" t="n">
        <v>1</v>
      </c>
      <c r="G57" t="n">
        <v>6</v>
      </c>
      <c r="H57" s="5">
        <f>HYPERLINK("https://api.qogita.com/variants/link/0017854118751/", "View Product")</f>
        <v/>
      </c>
    </row>
    <row r="58">
      <c r="A58" t="inlineStr">
        <is>
          <t>0017854123038</t>
        </is>
      </c>
      <c r="B58" t="inlineStr">
        <is>
          <t>Baylis &amp; Harding Kindness+ Range Discovery Gift Set - Vegan Friendly</t>
        </is>
      </c>
      <c r="C58" t="inlineStr">
        <is>
          <t>Body Care Sets</t>
        </is>
      </c>
      <c r="D58" t="inlineStr">
        <is>
          <t>Baylis &amp; Harding</t>
        </is>
      </c>
      <c r="E58" t="n">
        <v>17.35</v>
      </c>
      <c r="F58" t="n">
        <v>1</v>
      </c>
      <c r="G58" t="n">
        <v>4</v>
      </c>
      <c r="H58" s="5">
        <f>HYPERLINK("https://api.qogita.com/variants/link/0017854123038/", "View Product")</f>
        <v/>
      </c>
    </row>
    <row r="59">
      <c r="A59" t="inlineStr">
        <is>
          <t>0018084036716</t>
        </is>
      </c>
      <c r="B59" t="inlineStr">
        <is>
          <t>AVEDA Blonde Revival Shampoo Purple Toning 1000ml</t>
        </is>
      </c>
      <c r="C59" t="inlineStr">
        <is>
          <t>Shampoo</t>
        </is>
      </c>
      <c r="D59" t="inlineStr">
        <is>
          <t>Aveda</t>
        </is>
      </c>
      <c r="E59" t="n">
        <v>86.11</v>
      </c>
      <c r="F59" t="n">
        <v>1</v>
      </c>
      <c r="G59" t="n">
        <v>2</v>
      </c>
      <c r="H59" s="5">
        <f>HYPERLINK("https://api.qogita.com/variants/link/0018084036716/", "View Product")</f>
        <v/>
      </c>
    </row>
    <row r="60">
      <c r="A60" t="inlineStr">
        <is>
          <t>0018084042212</t>
        </is>
      </c>
      <c r="B60" t="inlineStr">
        <is>
          <t>Aveda Botanical Repair Bond-Building Styling Cream 150ml</t>
        </is>
      </c>
      <c r="C60" t="inlineStr">
        <is>
          <t>Styling Creams</t>
        </is>
      </c>
      <c r="D60" t="inlineStr">
        <is>
          <t>Aveda</t>
        </is>
      </c>
      <c r="E60" t="n">
        <v>28.8</v>
      </c>
      <c r="F60" t="n">
        <v>1</v>
      </c>
      <c r="G60" t="n">
        <v>5</v>
      </c>
      <c r="H60" s="5">
        <f>HYPERLINK("https://api.qogita.com/variants/link/0018084042212/", "View Product")</f>
        <v/>
      </c>
    </row>
    <row r="61">
      <c r="A61" t="inlineStr">
        <is>
          <t>0615908431490</t>
        </is>
      </c>
      <c r="B61" t="inlineStr">
        <is>
          <t>Bed Head by Tigi Straighten Out Anti-Frizz Hair Serum for Smooth Shiny Hair</t>
        </is>
      </c>
      <c r="C61" t="inlineStr">
        <is>
          <t>Hair Oil &amp; Hair Serum</t>
        </is>
      </c>
      <c r="D61" t="inlineStr">
        <is>
          <t>Tigi</t>
        </is>
      </c>
      <c r="E61" t="n">
        <v>8.289999999999999</v>
      </c>
      <c r="F61" t="n">
        <v>1</v>
      </c>
      <c r="G61" t="n">
        <v>17</v>
      </c>
      <c r="H61" s="5">
        <f>HYPERLINK("https://api.qogita.com/variants/link/0615908431490/", "View Product")</f>
        <v/>
      </c>
    </row>
    <row r="62">
      <c r="A62" t="inlineStr">
        <is>
          <t>0615908431568</t>
        </is>
      </c>
      <c r="B62" t="inlineStr">
        <is>
          <t>Bed Head by Tigi Gimme Grip Texturizing Conditioner for Hair Texture 600ml</t>
        </is>
      </c>
      <c r="C62" t="inlineStr">
        <is>
          <t>Conditioner</t>
        </is>
      </c>
      <c r="D62" t="inlineStr">
        <is>
          <t>Tigi</t>
        </is>
      </c>
      <c r="E62" t="n">
        <v>8.359999999999999</v>
      </c>
      <c r="F62" t="n">
        <v>1</v>
      </c>
      <c r="G62" t="n">
        <v>4</v>
      </c>
      <c r="H62" s="5">
        <f>HYPERLINK("https://api.qogita.com/variants/link/0615908431568/", "View Product")</f>
        <v/>
      </c>
    </row>
    <row r="63">
      <c r="A63" t="inlineStr">
        <is>
          <t>0615908432022</t>
        </is>
      </c>
      <c r="B63" t="inlineStr">
        <is>
          <t>Tigi Resurrection Bed Head Repairing Shampoo 400ml</t>
        </is>
      </c>
      <c r="C63" t="inlineStr">
        <is>
          <t>Shampoo</t>
        </is>
      </c>
      <c r="D63" t="inlineStr">
        <is>
          <t>Tigi</t>
        </is>
      </c>
      <c r="E63" t="n">
        <v>5.43</v>
      </c>
      <c r="F63" t="n">
        <v>1</v>
      </c>
      <c r="G63" t="n">
        <v>5</v>
      </c>
      <c r="H63" s="5">
        <f>HYPERLINK("https://api.qogita.com/variants/link/0615908432022/", "View Product")</f>
        <v/>
      </c>
    </row>
    <row r="64">
      <c r="A64" t="inlineStr">
        <is>
          <t>0615908432084</t>
        </is>
      </c>
      <c r="B64" t="inlineStr">
        <is>
          <t>Bed Head by TIGI Resurrection Repair Conditioner for Damaged Hair 600ml</t>
        </is>
      </c>
      <c r="C64" t="inlineStr">
        <is>
          <t>Conditioner</t>
        </is>
      </c>
      <c r="D64" t="inlineStr">
        <is>
          <t>Tigi</t>
        </is>
      </c>
      <c r="E64" t="n">
        <v>8.19</v>
      </c>
      <c r="F64" t="n">
        <v>1</v>
      </c>
      <c r="G64" t="n">
        <v>80</v>
      </c>
      <c r="H64" s="5">
        <f>HYPERLINK("https://api.qogita.com/variants/link/0615908432084/", "View Product")</f>
        <v/>
      </c>
    </row>
    <row r="65">
      <c r="A65" t="inlineStr">
        <is>
          <t>0615908432138</t>
        </is>
      </c>
      <c r="B65" t="inlineStr">
        <is>
          <t>Bed Head by TIGI Some Like It Hot Heat Protection Spray For Hair 100ml</t>
        </is>
      </c>
      <c r="C65" t="inlineStr">
        <is>
          <t>Heat Protection</t>
        </is>
      </c>
      <c r="D65" t="inlineStr">
        <is>
          <t>Tigi</t>
        </is>
      </c>
      <c r="E65" t="n">
        <v>7.16</v>
      </c>
      <c r="F65" t="n">
        <v>1</v>
      </c>
      <c r="G65" t="n">
        <v>11</v>
      </c>
      <c r="H65" s="5">
        <f>HYPERLINK("https://api.qogita.com/variants/link/0615908432138/", "View Product")</f>
        <v/>
      </c>
    </row>
    <row r="66">
      <c r="A66" t="inlineStr">
        <is>
          <t>0615908432299</t>
        </is>
      </c>
      <c r="B66" t="inlineStr">
        <is>
          <t>Bed Head Tigi Serial Blonde Conditioner 400ml</t>
        </is>
      </c>
      <c r="C66" t="inlineStr">
        <is>
          <t>Conditioner</t>
        </is>
      </c>
      <c r="D66" t="inlineStr">
        <is>
          <t>Tigi</t>
        </is>
      </c>
      <c r="E66" t="n">
        <v>7.3</v>
      </c>
      <c r="F66" t="n">
        <v>1</v>
      </c>
      <c r="G66" t="n">
        <v>7</v>
      </c>
      <c r="H66" s="5">
        <f>HYPERLINK("https://api.qogita.com/variants/link/0615908432299/", "View Product")</f>
        <v/>
      </c>
    </row>
    <row r="67">
      <c r="A67" t="inlineStr">
        <is>
          <t>0615908432343</t>
        </is>
      </c>
      <c r="B67" t="inlineStr">
        <is>
          <t>Bed Head Serial Blonde Purple Toning Shampoo 400ml</t>
        </is>
      </c>
      <c r="C67" t="inlineStr">
        <is>
          <t>Shampoo</t>
        </is>
      </c>
      <c r="D67" t="inlineStr">
        <is>
          <t>Tigi</t>
        </is>
      </c>
      <c r="E67" t="n">
        <v>8.119999999999999</v>
      </c>
      <c r="F67" t="n">
        <v>1</v>
      </c>
      <c r="G67" t="n">
        <v>11</v>
      </c>
      <c r="H67" s="5">
        <f>HYPERLINK("https://api.qogita.com/variants/link/0615908432343/", "View Product")</f>
        <v/>
      </c>
    </row>
    <row r="68">
      <c r="A68" t="inlineStr">
        <is>
          <t>0615908432428</t>
        </is>
      </c>
      <c r="B68" t="inlineStr">
        <is>
          <t>Bed Head by TIGI Colour Goddess Conditioner Ideal for Colored Hair Travel Size 100ml</t>
        </is>
      </c>
      <c r="C68" t="inlineStr">
        <is>
          <t>Conditioner</t>
        </is>
      </c>
      <c r="D68" t="inlineStr">
        <is>
          <t>Tigi</t>
        </is>
      </c>
      <c r="E68" t="n">
        <v>5.39</v>
      </c>
      <c r="F68" t="n">
        <v>1</v>
      </c>
      <c r="G68" t="n">
        <v>15</v>
      </c>
      <c r="H68" s="5">
        <f>HYPERLINK("https://api.qogita.com/variants/link/0615908432428/", "View Product")</f>
        <v/>
      </c>
    </row>
    <row r="69">
      <c r="A69" t="inlineStr">
        <is>
          <t>0615908432619</t>
        </is>
      </c>
      <c r="B69" t="inlineStr">
        <is>
          <t>TIGI Bed Head Down N' Dirty Lightweight Conditioner for Detox and Repair 13.53 fl oz Citrus</t>
        </is>
      </c>
      <c r="C69" t="inlineStr">
        <is>
          <t>Conditioner</t>
        </is>
      </c>
      <c r="D69" t="inlineStr">
        <is>
          <t>Tigi</t>
        </is>
      </c>
      <c r="E69" t="n">
        <v>8.01</v>
      </c>
      <c r="F69" t="n">
        <v>1</v>
      </c>
      <c r="G69" t="n">
        <v>3</v>
      </c>
      <c r="H69" s="5">
        <f>HYPERLINK("https://api.qogita.com/variants/link/0615908432619/", "View Product")</f>
        <v/>
      </c>
    </row>
    <row r="70">
      <c r="A70" t="inlineStr">
        <is>
          <t>0615908432886</t>
        </is>
      </c>
      <c r="B70" t="inlineStr">
        <is>
          <t>TIGI Bed Head Artistic Edit Shine Heist Lightweight Conditioning Cream 3.38 Fl Oz</t>
        </is>
      </c>
      <c r="C70" t="inlineStr">
        <is>
          <t>Leave-In Conditioner</t>
        </is>
      </c>
      <c r="D70" t="inlineStr">
        <is>
          <t>Tigi</t>
        </is>
      </c>
      <c r="E70" t="n">
        <v>9.4</v>
      </c>
      <c r="F70" t="n">
        <v>1</v>
      </c>
      <c r="G70" t="n">
        <v>8</v>
      </c>
      <c r="H70" s="5">
        <f>HYPERLINK("https://api.qogita.com/variants/link/0615908432886/", "View Product")</f>
        <v/>
      </c>
    </row>
    <row r="71">
      <c r="A71" t="inlineStr">
        <is>
          <t>0615908432909</t>
        </is>
      </c>
      <c r="B71" t="inlineStr">
        <is>
          <t>Tigi Bed Head Artistic Edit Juxta-Pose Dry Illuminating Serum 50ml</t>
        </is>
      </c>
      <c r="C71" t="inlineStr">
        <is>
          <t>Hair Oil &amp; Hair Serum</t>
        </is>
      </c>
      <c r="D71" t="inlineStr">
        <is>
          <t>Tigi</t>
        </is>
      </c>
      <c r="E71" t="n">
        <v>9.4</v>
      </c>
      <c r="F71" t="n">
        <v>1</v>
      </c>
      <c r="G71" t="n">
        <v>3</v>
      </c>
      <c r="H71" s="5">
        <f>HYPERLINK("https://api.qogita.com/variants/link/0615908432909/", "View Product")</f>
        <v/>
      </c>
    </row>
    <row r="72">
      <c r="A72" t="inlineStr">
        <is>
          <t>0615908433784</t>
        </is>
      </c>
      <c r="B72" t="inlineStr">
        <is>
          <t>Tigi Bed Head Foxy Curls Extreme Mousse - 250 Ml</t>
        </is>
      </c>
      <c r="C72" t="inlineStr">
        <is>
          <t>Mousse</t>
        </is>
      </c>
      <c r="D72" t="inlineStr">
        <is>
          <t>Tigi</t>
        </is>
      </c>
      <c r="E72" t="n">
        <v>8.039999999999999</v>
      </c>
      <c r="F72" t="n">
        <v>1</v>
      </c>
      <c r="G72" t="n">
        <v>37</v>
      </c>
      <c r="H72" s="5">
        <f>HYPERLINK("https://api.qogita.com/variants/link/0615908433784/", "View Product")</f>
        <v/>
      </c>
    </row>
    <row r="73">
      <c r="A73" t="inlineStr">
        <is>
          <t>0619843801844</t>
        </is>
      </c>
      <c r="B73" t="inlineStr">
        <is>
          <t>D.S. &amp; Durga Jazmin Yucatan Eau De Parfume Spray 1.7oz</t>
        </is>
      </c>
      <c r="C73" t="inlineStr">
        <is>
          <t>Eau De Parfum</t>
        </is>
      </c>
      <c r="D73" t="inlineStr">
        <is>
          <t>D.S. &amp; Durga</t>
        </is>
      </c>
      <c r="E73" t="n">
        <v>112.54</v>
      </c>
      <c r="F73" t="n">
        <v>1</v>
      </c>
      <c r="G73" t="n">
        <v>7</v>
      </c>
      <c r="H73" s="5">
        <f>HYPERLINK("https://api.qogita.com/variants/link/0619843801844/", "View Product")</f>
        <v/>
      </c>
    </row>
    <row r="74">
      <c r="A74" t="inlineStr">
        <is>
          <t>0633911616338</t>
        </is>
      </c>
      <c r="B74" t="inlineStr">
        <is>
          <t>CHI Silk Infusion Leave-in Serum for Repair Strengthening Moisturizing Hair 59ml</t>
        </is>
      </c>
      <c r="C74" t="inlineStr">
        <is>
          <t>Hair Oil &amp; Hair Serum</t>
        </is>
      </c>
      <c r="D74" t="inlineStr">
        <is>
          <t>Chi</t>
        </is>
      </c>
      <c r="E74" t="n">
        <v>9.380000000000001</v>
      </c>
      <c r="F74" t="n">
        <v>1</v>
      </c>
      <c r="G74" t="n">
        <v>4</v>
      </c>
      <c r="H74" s="5">
        <f>HYPERLINK("https://api.qogita.com/variants/link/0633911616338/", "View Product")</f>
        <v/>
      </c>
    </row>
    <row r="75">
      <c r="A75" t="inlineStr">
        <is>
          <t>0633911616345</t>
        </is>
      </c>
      <c r="B75" t="inlineStr">
        <is>
          <t>Chi Silk Infusion Silk Reconstructing Complex 355ml</t>
        </is>
      </c>
      <c r="C75" t="inlineStr">
        <is>
          <t>Hair Oil &amp; Hair Serum</t>
        </is>
      </c>
      <c r="D75" t="inlineStr">
        <is>
          <t>Chi</t>
        </is>
      </c>
      <c r="E75" t="n">
        <v>25.19</v>
      </c>
      <c r="F75" t="n">
        <v>1</v>
      </c>
      <c r="G75" t="n">
        <v>6</v>
      </c>
      <c r="H75" s="5">
        <f>HYPERLINK("https://api.qogita.com/variants/link/0633911616345/", "View Product")</f>
        <v/>
      </c>
    </row>
    <row r="76">
      <c r="A76" t="inlineStr">
        <is>
          <t>0633911630631</t>
        </is>
      </c>
      <c r="B76" t="inlineStr">
        <is>
          <t>Chi Straight Guard Smoothing Styling Cream for Unisex 8.5oz</t>
        </is>
      </c>
      <c r="C76" t="inlineStr">
        <is>
          <t>Styling Creams</t>
        </is>
      </c>
      <c r="D76" t="inlineStr">
        <is>
          <t>Chi</t>
        </is>
      </c>
      <c r="E76" t="n">
        <v>9.619999999999999</v>
      </c>
      <c r="F76" t="n">
        <v>1</v>
      </c>
      <c r="G76" t="n">
        <v>5</v>
      </c>
      <c r="H76" s="5">
        <f>HYPERLINK("https://api.qogita.com/variants/link/0633911630631/", "View Product")</f>
        <v/>
      </c>
    </row>
    <row r="77">
      <c r="A77" t="inlineStr">
        <is>
          <t>0633911630655</t>
        </is>
      </c>
      <c r="B77" t="inlineStr">
        <is>
          <t>Chi Pliable Polish Weightless Styling Paste 85g</t>
        </is>
      </c>
      <c r="C77" t="inlineStr">
        <is>
          <t>Styling Creams</t>
        </is>
      </c>
      <c r="D77" t="inlineStr">
        <is>
          <t>Chi</t>
        </is>
      </c>
      <c r="E77" t="n">
        <v>9.609999999999999</v>
      </c>
      <c r="F77" t="n">
        <v>1</v>
      </c>
      <c r="G77" t="n">
        <v>8</v>
      </c>
      <c r="H77" s="5">
        <f>HYPERLINK("https://api.qogita.com/variants/link/0633911630655/", "View Product")</f>
        <v/>
      </c>
    </row>
    <row r="78">
      <c r="A78" t="inlineStr">
        <is>
          <t>0633911631263</t>
        </is>
      </c>
      <c r="B78" t="inlineStr">
        <is>
          <t>Farouk Chi Shine Infusion Plant-Based Soap</t>
        </is>
      </c>
      <c r="C78" t="inlineStr">
        <is>
          <t>Soap</t>
        </is>
      </c>
      <c r="D78" t="inlineStr">
        <is>
          <t>Farouk</t>
        </is>
      </c>
      <c r="E78" t="n">
        <v>10.47</v>
      </c>
      <c r="F78" t="n">
        <v>1</v>
      </c>
      <c r="G78" t="n">
        <v>6</v>
      </c>
      <c r="H78" s="5">
        <f>HYPERLINK("https://api.qogita.com/variants/link/0633911631263/", "View Product")</f>
        <v/>
      </c>
    </row>
    <row r="79">
      <c r="A79" t="inlineStr">
        <is>
          <t>0633911650097</t>
        </is>
      </c>
      <c r="B79" t="inlineStr">
        <is>
          <t>CHI Infra Treatment for Unisex 59ml</t>
        </is>
      </c>
      <c r="C79" t="inlineStr">
        <is>
          <t>Hair Masks</t>
        </is>
      </c>
      <c r="D79" t="inlineStr">
        <is>
          <t>Chi</t>
        </is>
      </c>
      <c r="E79" t="n">
        <v>4.33</v>
      </c>
      <c r="F79" t="n">
        <v>1</v>
      </c>
      <c r="G79" t="n">
        <v>14</v>
      </c>
      <c r="H79" s="5">
        <f>HYPERLINK("https://api.qogita.com/variants/link/0633911650097/", "View Product")</f>
        <v/>
      </c>
    </row>
    <row r="80">
      <c r="A80" t="inlineStr">
        <is>
          <t>0633911689325</t>
        </is>
      </c>
      <c r="B80" t="inlineStr">
        <is>
          <t>CHI Magnified Volume Luxury Shampoo Gentle Shampoo for Volumizing Hydrating Fine Thin and Limp Hair 355ml</t>
        </is>
      </c>
      <c r="C80" t="inlineStr">
        <is>
          <t>Shampoo</t>
        </is>
      </c>
      <c r="D80" t="inlineStr">
        <is>
          <t>Chi</t>
        </is>
      </c>
      <c r="E80" t="n">
        <v>9.58</v>
      </c>
      <c r="F80" t="n">
        <v>1</v>
      </c>
      <c r="G80" t="n">
        <v>5</v>
      </c>
      <c r="H80" s="5">
        <f>HYPERLINK("https://api.qogita.com/variants/link/0633911689325/", "View Product")</f>
        <v/>
      </c>
    </row>
    <row r="81">
      <c r="A81" t="inlineStr">
        <is>
          <t>0633911699898</t>
        </is>
      </c>
      <c r="B81" t="inlineStr">
        <is>
          <t>CHI Magnified Volume XF Finishing Hair Spray</t>
        </is>
      </c>
      <c r="C81" t="inlineStr">
        <is>
          <t>Hairspray</t>
        </is>
      </c>
      <c r="D81" t="inlineStr">
        <is>
          <t>Chi</t>
        </is>
      </c>
      <c r="E81" t="n">
        <v>9.74</v>
      </c>
      <c r="F81" t="n">
        <v>1</v>
      </c>
      <c r="G81" t="n">
        <v>10</v>
      </c>
      <c r="H81" s="5">
        <f>HYPERLINK("https://api.qogita.com/variants/link/0633911699898/", "View Product")</f>
        <v/>
      </c>
    </row>
    <row r="82">
      <c r="A82" t="inlineStr">
        <is>
          <t>0633911728918</t>
        </is>
      </c>
      <c r="B82" t="inlineStr">
        <is>
          <t>Chi Keratin Regenerating Serum with Keratin 59ml</t>
        </is>
      </c>
      <c r="C82" t="inlineStr">
        <is>
          <t>Hair Oil &amp; Hair Serum</t>
        </is>
      </c>
      <c r="D82" t="inlineStr">
        <is>
          <t>Chi</t>
        </is>
      </c>
      <c r="E82" t="n">
        <v>10.28</v>
      </c>
      <c r="F82" t="n">
        <v>1</v>
      </c>
      <c r="G82" t="n">
        <v>4</v>
      </c>
      <c r="H82" s="5">
        <f>HYPERLINK("https://api.qogita.com/variants/link/0633911728918/", "View Product")</f>
        <v/>
      </c>
    </row>
    <row r="83">
      <c r="A83" t="inlineStr">
        <is>
          <t>0633911729007</t>
        </is>
      </c>
      <c r="B83" t="inlineStr">
        <is>
          <t>Biosilk Volumizing Therapy Conditioner 355ml</t>
        </is>
      </c>
      <c r="C83" t="inlineStr">
        <is>
          <t>Conditioner</t>
        </is>
      </c>
      <c r="D83" t="inlineStr">
        <is>
          <t>Biosilk</t>
        </is>
      </c>
      <c r="E83" t="n">
        <v>9.1</v>
      </c>
      <c r="F83" t="n">
        <v>1</v>
      </c>
      <c r="G83" t="n">
        <v>16</v>
      </c>
      <c r="H83" s="5">
        <f>HYPERLINK("https://api.qogita.com/variants/link/0633911729007/", "View Product")</f>
        <v/>
      </c>
    </row>
    <row r="84">
      <c r="A84" t="inlineStr">
        <is>
          <t>0633911730577</t>
        </is>
      </c>
      <c r="B84" t="inlineStr">
        <is>
          <t>Biosilk Color Therapy Cool Blonde Shampoo for Unisex 12oz 355ml</t>
        </is>
      </c>
      <c r="C84" t="inlineStr">
        <is>
          <t>Shampoo</t>
        </is>
      </c>
      <c r="D84" t="inlineStr">
        <is>
          <t>Farouk Systems</t>
        </is>
      </c>
      <c r="E84" t="n">
        <v>9.66</v>
      </c>
      <c r="F84" t="n">
        <v>1</v>
      </c>
      <c r="G84" t="n">
        <v>5</v>
      </c>
      <c r="H84" s="5">
        <f>HYPERLINK("https://api.qogita.com/variants/link/0633911730577/", "View Product")</f>
        <v/>
      </c>
    </row>
    <row r="85">
      <c r="A85" t="inlineStr">
        <is>
          <t>0633911744147</t>
        </is>
      </c>
      <c r="B85" t="inlineStr">
        <is>
          <t>BioSilk Silk Therapy Serum for Unisex 167ml</t>
        </is>
      </c>
      <c r="C85" t="inlineStr">
        <is>
          <t>Hair Oil &amp; Hair Serum</t>
        </is>
      </c>
      <c r="D85" t="inlineStr">
        <is>
          <t>Biosilk</t>
        </is>
      </c>
      <c r="E85" t="n">
        <v>13.6</v>
      </c>
      <c r="F85" t="n">
        <v>1</v>
      </c>
      <c r="G85" t="n">
        <v>48</v>
      </c>
      <c r="H85" s="5">
        <f>HYPERLINK("https://api.qogita.com/variants/link/0633911744147/", "View Product")</f>
        <v/>
      </c>
    </row>
    <row r="86">
      <c r="A86" t="inlineStr">
        <is>
          <t>0633911744956</t>
        </is>
      </c>
      <c r="B86" t="inlineStr">
        <is>
          <t>BioSilk Silk Therapy Original 355ml</t>
        </is>
      </c>
      <c r="C86" t="inlineStr">
        <is>
          <t>Hair Oil &amp; Hair Serum</t>
        </is>
      </c>
      <c r="D86" t="inlineStr">
        <is>
          <t>Biosilk</t>
        </is>
      </c>
      <c r="E86" t="n">
        <v>24.72</v>
      </c>
      <c r="F86" t="n">
        <v>1</v>
      </c>
      <c r="G86" t="n">
        <v>7</v>
      </c>
      <c r="H86" s="5">
        <f>HYPERLINK("https://api.qogita.com/variants/link/0633911744956/", "View Product")</f>
        <v/>
      </c>
    </row>
    <row r="87">
      <c r="A87" t="inlineStr">
        <is>
          <t>0633911745281</t>
        </is>
      </c>
      <c r="B87" t="inlineStr">
        <is>
          <t>Biosilk Silk Therapy Lite 0.5 Ounce</t>
        </is>
      </c>
      <c r="C87" t="inlineStr">
        <is>
          <t>Hair Oil &amp; Hair Serum</t>
        </is>
      </c>
      <c r="D87" t="inlineStr">
        <is>
          <t>Biosilk</t>
        </is>
      </c>
      <c r="E87" t="n">
        <v>1.89</v>
      </c>
      <c r="F87" t="n">
        <v>1</v>
      </c>
      <c r="G87" t="n">
        <v>42</v>
      </c>
      <c r="H87" s="5">
        <f>HYPERLINK("https://api.qogita.com/variants/link/0633911745281/", "View Product")</f>
        <v/>
      </c>
    </row>
    <row r="88">
      <c r="A88" t="inlineStr">
        <is>
          <t>0633911749241</t>
        </is>
      </c>
      <c r="B88" t="inlineStr">
        <is>
          <t>Chi Argan Oil with Moringa Oil Blend Shampoo 739ml</t>
        </is>
      </c>
      <c r="C88" t="inlineStr">
        <is>
          <t>Shampoo</t>
        </is>
      </c>
      <c r="D88" t="inlineStr">
        <is>
          <t>Chi</t>
        </is>
      </c>
      <c r="E88" t="n">
        <v>18.44</v>
      </c>
      <c r="F88" t="n">
        <v>1</v>
      </c>
      <c r="G88" t="n">
        <v>4</v>
      </c>
      <c r="H88" s="5">
        <f>HYPERLINK("https://api.qogita.com/variants/link/0633911749241/", "View Product")</f>
        <v/>
      </c>
    </row>
    <row r="89">
      <c r="A89" t="inlineStr">
        <is>
          <t>0633911749289</t>
        </is>
      </c>
      <c r="B89" t="inlineStr">
        <is>
          <t>Chi Conditioner with Argan Oil 739ml</t>
        </is>
      </c>
      <c r="C89" t="inlineStr">
        <is>
          <t>Conditioner</t>
        </is>
      </c>
      <c r="D89" t="inlineStr">
        <is>
          <t>Chi</t>
        </is>
      </c>
      <c r="E89" t="n">
        <v>18</v>
      </c>
      <c r="F89" t="n">
        <v>1</v>
      </c>
      <c r="G89" t="n">
        <v>3</v>
      </c>
      <c r="H89" s="5">
        <f>HYPERLINK("https://api.qogita.com/variants/link/0633911749289/", "View Product")</f>
        <v/>
      </c>
    </row>
    <row r="90">
      <c r="A90" t="inlineStr">
        <is>
          <t>0633911749388</t>
        </is>
      </c>
      <c r="B90" t="inlineStr">
        <is>
          <t>Chi Argan Oil and Morinaga Rejuvenating Mask 237ml</t>
        </is>
      </c>
      <c r="C90" t="inlineStr">
        <is>
          <t>Hair Masks</t>
        </is>
      </c>
      <c r="D90" t="inlineStr">
        <is>
          <t>Chi</t>
        </is>
      </c>
      <c r="E90" t="n">
        <v>10.78</v>
      </c>
      <c r="F90" t="n">
        <v>1</v>
      </c>
      <c r="G90" t="n">
        <v>8</v>
      </c>
      <c r="H90" s="5">
        <f>HYPERLINK("https://api.qogita.com/variants/link/0633911749388/", "View Product")</f>
        <v/>
      </c>
    </row>
    <row r="91">
      <c r="A91" t="inlineStr">
        <is>
          <t>0633911762752</t>
        </is>
      </c>
      <c r="B91" t="inlineStr">
        <is>
          <t>CHI Tea Tree Oil Conditioner 739ml</t>
        </is>
      </c>
      <c r="C91" t="inlineStr">
        <is>
          <t>Conditioner</t>
        </is>
      </c>
      <c r="D91" t="inlineStr">
        <is>
          <t>Chi</t>
        </is>
      </c>
      <c r="E91" t="n">
        <v>18.08</v>
      </c>
      <c r="F91" t="n">
        <v>1</v>
      </c>
      <c r="G91" t="n">
        <v>9</v>
      </c>
      <c r="H91" s="5">
        <f>HYPERLINK("https://api.qogita.com/variants/link/0633911762752/", "View Product")</f>
        <v/>
      </c>
    </row>
    <row r="92">
      <c r="A92" t="inlineStr">
        <is>
          <t>0633911772706</t>
        </is>
      </c>
      <c r="B92" t="inlineStr">
        <is>
          <t>Rose Hip Oil Color Nurture Protecting Conditioner  739ml</t>
        </is>
      </c>
      <c r="C92" t="inlineStr">
        <is>
          <t>Conditioner</t>
        </is>
      </c>
      <c r="D92" t="inlineStr">
        <is>
          <t>Chi</t>
        </is>
      </c>
      <c r="E92" t="n">
        <v>18.94</v>
      </c>
      <c r="F92" t="n">
        <v>1</v>
      </c>
      <c r="G92" t="n">
        <v>3</v>
      </c>
      <c r="H92" s="5">
        <f>HYPERLINK("https://api.qogita.com/variants/link/0633911772706/", "View Product")</f>
        <v/>
      </c>
    </row>
    <row r="93">
      <c r="A93" t="inlineStr">
        <is>
          <t>0633911772768</t>
        </is>
      </c>
      <c r="B93" t="inlineStr">
        <is>
          <t>CHI Rosehip Recovery Treatment 8 fl oz</t>
        </is>
      </c>
      <c r="C93" t="inlineStr">
        <is>
          <t>Hair Oil &amp; Hair Serum</t>
        </is>
      </c>
      <c r="D93" t="inlineStr">
        <is>
          <t>Chi</t>
        </is>
      </c>
      <c r="E93" t="n">
        <v>12.39</v>
      </c>
      <c r="F93" t="n">
        <v>1</v>
      </c>
      <c r="G93" t="n">
        <v>8</v>
      </c>
      <c r="H93" s="5">
        <f>HYPERLINK("https://api.qogita.com/variants/link/0633911772768/", "View Product")</f>
        <v/>
      </c>
    </row>
    <row r="94">
      <c r="A94" t="inlineStr">
        <is>
          <t>0633911778821</t>
        </is>
      </c>
      <c r="B94" t="inlineStr">
        <is>
          <t>Chi Deep Brilliance Shine Serum Lightweight Leave-In Treatment 177ml</t>
        </is>
      </c>
      <c r="C94" t="inlineStr">
        <is>
          <t>Hair Oil &amp; Hair Serum</t>
        </is>
      </c>
      <c r="D94" t="inlineStr">
        <is>
          <t>Chi</t>
        </is>
      </c>
      <c r="E94" t="n">
        <v>18.22</v>
      </c>
      <c r="F94" t="n">
        <v>1</v>
      </c>
      <c r="G94" t="n">
        <v>3</v>
      </c>
      <c r="H94" s="5">
        <f>HYPERLINK("https://api.qogita.com/variants/link/0633911778821/", "View Product")</f>
        <v/>
      </c>
    </row>
    <row r="95">
      <c r="A95" t="inlineStr">
        <is>
          <t>0633911788202</t>
        </is>
      </c>
      <c r="B95" t="inlineStr">
        <is>
          <t>CHI Luxury Black Seed Oil Blend Blow Dry Cream 177ml</t>
        </is>
      </c>
      <c r="C95" t="inlineStr">
        <is>
          <t>Styling Creams</t>
        </is>
      </c>
      <c r="D95" t="inlineStr">
        <is>
          <t>Chi</t>
        </is>
      </c>
      <c r="E95" t="n">
        <v>9.460000000000001</v>
      </c>
      <c r="F95" t="n">
        <v>1</v>
      </c>
      <c r="G95" t="n">
        <v>4</v>
      </c>
      <c r="H95" s="5">
        <f>HYPERLINK("https://api.qogita.com/variants/link/0633911788202/", "View Product")</f>
        <v/>
      </c>
    </row>
    <row r="96">
      <c r="A96" t="inlineStr">
        <is>
          <t>0633911788363</t>
        </is>
      </c>
      <c r="B96" t="inlineStr">
        <is>
          <t>Chi Luxury Black Seed Oil Gentle Cleansing Shampoo 355ml</t>
        </is>
      </c>
      <c r="C96" t="inlineStr">
        <is>
          <t>Shampoo</t>
        </is>
      </c>
      <c r="D96" t="inlineStr">
        <is>
          <t>Chi</t>
        </is>
      </c>
      <c r="E96" t="n">
        <v>9.699999999999999</v>
      </c>
      <c r="F96" t="n">
        <v>1</v>
      </c>
      <c r="G96" t="n">
        <v>12</v>
      </c>
      <c r="H96" s="5">
        <f>HYPERLINK("https://api.qogita.com/variants/link/0633911788363/", "View Product")</f>
        <v/>
      </c>
    </row>
    <row r="97">
      <c r="A97" t="inlineStr">
        <is>
          <t>0633911811498</t>
        </is>
      </c>
      <c r="B97" t="inlineStr">
        <is>
          <t>Chi Aloe Vera Detangling Conditioner 740ml</t>
        </is>
      </c>
      <c r="C97" t="inlineStr">
        <is>
          <t>Conditioner</t>
        </is>
      </c>
      <c r="D97" t="inlineStr">
        <is>
          <t>Chi</t>
        </is>
      </c>
      <c r="E97" t="n">
        <v>21.2</v>
      </c>
      <c r="F97" t="n">
        <v>1</v>
      </c>
      <c r="G97" t="n">
        <v>7</v>
      </c>
      <c r="H97" s="5">
        <f>HYPERLINK("https://api.qogita.com/variants/link/0633911811498/", "View Product")</f>
        <v/>
      </c>
    </row>
    <row r="98">
      <c r="A98" t="inlineStr">
        <is>
          <t>0633911811559</t>
        </is>
      </c>
      <c r="B98" t="inlineStr">
        <is>
          <t>CHI Aloe Vera Humidity Resistant Leave-In Conditioner 177ml</t>
        </is>
      </c>
      <c r="C98" t="inlineStr">
        <is>
          <t>Leave-In Conditioner</t>
        </is>
      </c>
      <c r="D98" t="inlineStr">
        <is>
          <t>Chi</t>
        </is>
      </c>
      <c r="E98" t="n">
        <v>11.51</v>
      </c>
      <c r="F98" t="n">
        <v>1</v>
      </c>
      <c r="G98" t="n">
        <v>10</v>
      </c>
      <c r="H98" s="5">
        <f>HYPERLINK("https://api.qogita.com/variants/link/0633911811559/", "View Product")</f>
        <v/>
      </c>
    </row>
    <row r="99">
      <c r="A99" t="inlineStr">
        <is>
          <t>0633911837320</t>
        </is>
      </c>
      <c r="B99" t="inlineStr">
        <is>
          <t>CHI Color Illuminate Shampoo Red Auburn 25oz</t>
        </is>
      </c>
      <c r="C99" t="inlineStr">
        <is>
          <t>Shampoo</t>
        </is>
      </c>
      <c r="D99" t="inlineStr">
        <is>
          <t>Chi</t>
        </is>
      </c>
      <c r="E99" t="n">
        <v>19.75</v>
      </c>
      <c r="F99" t="n">
        <v>1</v>
      </c>
      <c r="G99" t="n">
        <v>4</v>
      </c>
      <c r="H99" s="5">
        <f>HYPERLINK("https://api.qogita.com/variants/link/0633911837320/", "View Product")</f>
        <v/>
      </c>
    </row>
    <row r="100">
      <c r="A100" t="inlineStr">
        <is>
          <t>0633911853269</t>
        </is>
      </c>
      <c r="B100" t="inlineStr">
        <is>
          <t>CHI VolumeCare Volumizing Shampoo 12 fl oz</t>
        </is>
      </c>
      <c r="C100" t="inlineStr">
        <is>
          <t>Shampoo</t>
        </is>
      </c>
      <c r="D100" t="inlineStr">
        <is>
          <t>Chi</t>
        </is>
      </c>
      <c r="E100" t="n">
        <v>9.85</v>
      </c>
      <c r="F100" t="n">
        <v>1</v>
      </c>
      <c r="G100" t="n">
        <v>4</v>
      </c>
      <c r="H100" s="5">
        <f>HYPERLINK("https://api.qogita.com/variants/link/0633911853269/", "View Product")</f>
        <v/>
      </c>
    </row>
    <row r="101">
      <c r="A101" t="inlineStr">
        <is>
          <t>0634114071955</t>
        </is>
      </c>
      <c r="B101" t="inlineStr">
        <is>
          <t>Hydrating Protective Face Cream Day-Lite SPF 50+ 50 ml</t>
        </is>
      </c>
      <c r="C101" t="inlineStr">
        <is>
          <t>Day Cream</t>
        </is>
      </c>
      <c r="D101" t="inlineStr">
        <is>
          <t>Carbon Theory</t>
        </is>
      </c>
      <c r="E101" t="n">
        <v>16.05</v>
      </c>
      <c r="F101" t="n">
        <v>1</v>
      </c>
      <c r="G101" t="n">
        <v>6</v>
      </c>
      <c r="H101" s="5">
        <f>HYPERLINK("https://api.qogita.com/variants/link/0634114071955/", "View Product")</f>
        <v/>
      </c>
    </row>
    <row r="102">
      <c r="A102" t="inlineStr">
        <is>
          <t>0634158735387</t>
        </is>
      </c>
      <c r="B102" t="inlineStr">
        <is>
          <t>Dapper Dan Heavy Hold Pomade Mens Hair Styling Product 100ml</t>
        </is>
      </c>
      <c r="C102" t="inlineStr">
        <is>
          <t>Gel</t>
        </is>
      </c>
      <c r="D102" t="inlineStr">
        <is>
          <t>Dapper Dan</t>
        </is>
      </c>
      <c r="E102" t="n">
        <v>9.49</v>
      </c>
      <c r="F102" t="n">
        <v>1</v>
      </c>
      <c r="G102" t="n">
        <v>14</v>
      </c>
      <c r="H102" s="5">
        <f>HYPERLINK("https://api.qogita.com/variants/link/0634158735387/", "View Product")</f>
        <v/>
      </c>
    </row>
    <row r="103">
      <c r="A103" t="inlineStr">
        <is>
          <t>0641628502349</t>
        </is>
      </c>
      <c r="B103" t="inlineStr">
        <is>
          <t>Elemis Warm-Up Massage Balm 150ml</t>
        </is>
      </c>
      <c r="C103" t="inlineStr">
        <is>
          <t>Body Oil</t>
        </is>
      </c>
      <c r="D103" t="inlineStr">
        <is>
          <t>Elemis</t>
        </is>
      </c>
      <c r="E103" t="n">
        <v>26.66</v>
      </c>
      <c r="F103" t="n">
        <v>1</v>
      </c>
      <c r="G103" t="n">
        <v>3</v>
      </c>
      <c r="H103" s="5">
        <f>HYPERLINK("https://api.qogita.com/variants/link/0641628502349/", "View Product")</f>
        <v/>
      </c>
    </row>
    <row r="104">
      <c r="A104" t="inlineStr">
        <is>
          <t>0641628892105</t>
        </is>
      </c>
      <c r="B104" t="inlineStr">
        <is>
          <t>Elemis The Essential Travel Collection</t>
        </is>
      </c>
      <c r="C104" t="inlineStr">
        <is>
          <t>Travel Sets</t>
        </is>
      </c>
      <c r="D104" t="inlineStr">
        <is>
          <t>Elemis</t>
        </is>
      </c>
      <c r="E104" t="n">
        <v>76.39</v>
      </c>
      <c r="F104" t="n">
        <v>1</v>
      </c>
      <c r="G104" t="n">
        <v>5</v>
      </c>
      <c r="H104" s="5">
        <f>HYPERLINK("https://api.qogita.com/variants/link/0641628892105/", "View Product")</f>
        <v/>
      </c>
    </row>
    <row r="105">
      <c r="A105" t="inlineStr">
        <is>
          <t>0641628892136</t>
        </is>
      </c>
      <c r="B105" t="inlineStr">
        <is>
          <t>Elemis The Relaxing Body Collection</t>
        </is>
      </c>
      <c r="C105" t="inlineStr">
        <is>
          <t>Body Care Sets</t>
        </is>
      </c>
      <c r="D105" t="inlineStr">
        <is>
          <t>Elemis</t>
        </is>
      </c>
      <c r="E105" t="n">
        <v>134.46</v>
      </c>
      <c r="F105" t="n">
        <v>1</v>
      </c>
      <c r="G105" t="n">
        <v>3</v>
      </c>
      <c r="H105" s="5">
        <f>HYPERLINK("https://api.qogita.com/variants/link/0641628892136/", "View Product")</f>
        <v/>
      </c>
    </row>
    <row r="106">
      <c r="A106" t="inlineStr">
        <is>
          <t>0641628892150</t>
        </is>
      </c>
      <c r="B106" t="inlineStr">
        <is>
          <t>Elemis The Mayfair Signature Duo Body Care Gift Set</t>
        </is>
      </c>
      <c r="C106" t="inlineStr">
        <is>
          <t>Body Care Sets</t>
        </is>
      </c>
      <c r="D106" t="inlineStr">
        <is>
          <t>Elemis</t>
        </is>
      </c>
      <c r="E106" t="n">
        <v>34.62</v>
      </c>
      <c r="F106" t="n">
        <v>1</v>
      </c>
      <c r="G106" t="n">
        <v>8</v>
      </c>
      <c r="H106" s="5">
        <f>HYPERLINK("https://api.qogita.com/variants/link/0641628892150/", "View Product")</f>
        <v/>
      </c>
    </row>
    <row r="107">
      <c r="A107" t="inlineStr">
        <is>
          <t>0654050431064</t>
        </is>
      </c>
      <c r="B107" t="inlineStr">
        <is>
          <t>Lanza Healing Blonde Pre-Treatment</t>
        </is>
      </c>
      <c r="C107" t="inlineStr">
        <is>
          <t>Hair Masks</t>
        </is>
      </c>
      <c r="D107" t="inlineStr">
        <is>
          <t>L'Anza</t>
        </is>
      </c>
      <c r="E107" t="n">
        <v>16.64</v>
      </c>
      <c r="F107" t="n">
        <v>1</v>
      </c>
      <c r="G107" t="n">
        <v>5</v>
      </c>
      <c r="H107" s="5">
        <f>HYPERLINK("https://api.qogita.com/variants/link/0654050431064/", "View Product")</f>
        <v/>
      </c>
    </row>
    <row r="108">
      <c r="A108" t="inlineStr">
        <is>
          <t>0663350055788</t>
        </is>
      </c>
      <c r="B108" t="inlineStr">
        <is>
          <t>BARBIE Children's Perfume Eau de Toilette 30ml - Floral Scent in Beautiful Perfume Bottle</t>
        </is>
      </c>
      <c r="C108" t="inlineStr">
        <is>
          <t>Eau De Toilette</t>
        </is>
      </c>
      <c r="D108" t="inlineStr">
        <is>
          <t>Air-Val</t>
        </is>
      </c>
      <c r="E108" t="n">
        <v>6.6</v>
      </c>
      <c r="F108" t="n">
        <v>1</v>
      </c>
      <c r="G108" t="n">
        <v>23</v>
      </c>
      <c r="H108" s="5">
        <f>HYPERLINK("https://api.qogita.com/variants/link/0663350055788/", "View Product")</f>
        <v/>
      </c>
    </row>
    <row r="109">
      <c r="A109" t="inlineStr">
        <is>
          <t>0666151062184</t>
        </is>
      </c>
      <c r="B109" t="inlineStr">
        <is>
          <t>Dermalogica Biolumin C Serum 59ml</t>
        </is>
      </c>
      <c r="C109" t="inlineStr">
        <is>
          <t>Vitamin Serum</t>
        </is>
      </c>
      <c r="D109" t="inlineStr">
        <is>
          <t>Dermalogica</t>
        </is>
      </c>
      <c r="E109" t="n">
        <v>119.94</v>
      </c>
      <c r="F109" t="n">
        <v>1</v>
      </c>
      <c r="G109" t="n">
        <v>5</v>
      </c>
      <c r="H109" s="5">
        <f>HYPERLINK("https://api.qogita.com/variants/link/0666151062184/", "View Product")</f>
        <v/>
      </c>
    </row>
    <row r="110">
      <c r="A110" t="inlineStr">
        <is>
          <t>0666151111189</t>
        </is>
      </c>
      <c r="B110" t="inlineStr">
        <is>
          <t>Dermalogica Sound Sleep Cocoon Night Cream 10ml</t>
        </is>
      </c>
      <c r="C110" t="inlineStr">
        <is>
          <t>Night Cream</t>
        </is>
      </c>
      <c r="D110" t="inlineStr">
        <is>
          <t>Dermalogica</t>
        </is>
      </c>
      <c r="E110" t="n">
        <v>19.11</v>
      </c>
      <c r="F110" t="n">
        <v>1</v>
      </c>
      <c r="G110" t="n">
        <v>27</v>
      </c>
      <c r="H110" s="5">
        <f>HYPERLINK("https://api.qogita.com/variants/link/0666151111189/", "View Product")</f>
        <v/>
      </c>
    </row>
    <row r="111">
      <c r="A111" t="inlineStr">
        <is>
          <t>0666151112681</t>
        </is>
      </c>
      <c r="B111" t="inlineStr">
        <is>
          <t>Dermalogica Clear Start Breakout Clearing Kit</t>
        </is>
      </c>
      <c r="C111" t="inlineStr">
        <is>
          <t>Facial Care Sets</t>
        </is>
      </c>
      <c r="D111" t="inlineStr">
        <is>
          <t>Dermalogica</t>
        </is>
      </c>
      <c r="E111" t="n">
        <v>36.17</v>
      </c>
      <c r="F111" t="n">
        <v>1</v>
      </c>
      <c r="G111" t="n">
        <v>9</v>
      </c>
      <c r="H111" s="5">
        <f>HYPERLINK("https://api.qogita.com/variants/link/0666151112681/", "View Product")</f>
        <v/>
      </c>
    </row>
    <row r="112">
      <c r="A112" t="inlineStr">
        <is>
          <t>0666151112766</t>
        </is>
      </c>
      <c r="B112" t="inlineStr">
        <is>
          <t>Dermalogica Hyaluronic Ceramide Mist Hydrating Toner with Hyaluronic Acid</t>
        </is>
      </c>
      <c r="C112" t="inlineStr">
        <is>
          <t>Facial Spray</t>
        </is>
      </c>
      <c r="D112" t="inlineStr">
        <is>
          <t>Dermalogica</t>
        </is>
      </c>
      <c r="E112" t="n">
        <v>38.95</v>
      </c>
      <c r="F112" t="n">
        <v>1</v>
      </c>
      <c r="G112" t="n">
        <v>5</v>
      </c>
      <c r="H112" s="5">
        <f>HYPERLINK("https://api.qogita.com/variants/link/0666151112766/", "View Product")</f>
        <v/>
      </c>
    </row>
    <row r="113">
      <c r="A113" t="inlineStr">
        <is>
          <t>0666151113312</t>
        </is>
      </c>
      <c r="B113" t="inlineStr">
        <is>
          <t>Dermalogica Dynamic Skin Retinol Serum with Multi-Retinoid Complex</t>
        </is>
      </c>
      <c r="C113" t="inlineStr">
        <is>
          <t>Anti-Aging Serum</t>
        </is>
      </c>
      <c r="D113" t="inlineStr">
        <is>
          <t>Dermalogica</t>
        </is>
      </c>
      <c r="E113" t="n">
        <v>83.61</v>
      </c>
      <c r="F113" t="n">
        <v>1</v>
      </c>
      <c r="G113" t="n">
        <v>8</v>
      </c>
      <c r="H113" s="5">
        <f>HYPERLINK("https://api.qogita.com/variants/link/0666151113312/", "View Product")</f>
        <v/>
      </c>
    </row>
    <row r="114">
      <c r="A114" t="inlineStr">
        <is>
          <t>0666151113824</t>
        </is>
      </c>
      <c r="B114" t="inlineStr">
        <is>
          <t>Dermalogica Powerbright Dark Spot System Hyperpigmentation Care Gift Set</t>
        </is>
      </c>
      <c r="C114" t="inlineStr">
        <is>
          <t>Anti-Pigmentation Spot Cream</t>
        </is>
      </c>
      <c r="D114" t="inlineStr">
        <is>
          <t>Dermalogica</t>
        </is>
      </c>
      <c r="E114" t="n">
        <v>115.91</v>
      </c>
      <c r="F114" t="n">
        <v>1</v>
      </c>
      <c r="G114" t="n">
        <v>4</v>
      </c>
      <c r="H114" s="5">
        <f>HYPERLINK("https://api.qogita.com/variants/link/0666151113824/", "View Product")</f>
        <v/>
      </c>
    </row>
    <row r="115">
      <c r="A115" t="inlineStr">
        <is>
          <t>0667538914102</t>
        </is>
      </c>
      <c r="B115" t="inlineStr">
        <is>
          <t>Victoria's Secret Tease Original Fine Fragrance Mist Spray 8.4oz 200ml</t>
        </is>
      </c>
      <c r="C115" t="inlineStr">
        <is>
          <t>Eau De Toilette</t>
        </is>
      </c>
      <c r="D115" t="inlineStr">
        <is>
          <t>Victoria's Secret</t>
        </is>
      </c>
      <c r="E115" t="n">
        <v>15.64</v>
      </c>
      <c r="F115" t="n">
        <v>1</v>
      </c>
      <c r="G115" t="n">
        <v>2</v>
      </c>
      <c r="H115" s="5">
        <f>HYPERLINK("https://api.qogita.com/variants/link/0667538914102/", "View Product")</f>
        <v/>
      </c>
    </row>
    <row r="116">
      <c r="A116" t="inlineStr">
        <is>
          <t>0667545643798</t>
        </is>
      </c>
      <c r="B116" t="inlineStr">
        <is>
          <t>Victoria's Secret PINK Urban Bouquet Body Mist 250ml</t>
        </is>
      </c>
      <c r="C116" t="inlineStr">
        <is>
          <t>Eau De Toilette</t>
        </is>
      </c>
      <c r="D116" t="inlineStr">
        <is>
          <t>Victoria's Secret</t>
        </is>
      </c>
      <c r="E116" t="n">
        <v>16.44</v>
      </c>
      <c r="F116" t="n">
        <v>1</v>
      </c>
      <c r="G116" t="n">
        <v>27</v>
      </c>
      <c r="H116" s="5">
        <f>HYPERLINK("https://api.qogita.com/variants/link/0667545643798/", "View Product")</f>
        <v/>
      </c>
    </row>
    <row r="117">
      <c r="A117" t="inlineStr">
        <is>
          <t>0667548800501</t>
        </is>
      </c>
      <c r="B117" t="inlineStr">
        <is>
          <t>Victoria's Secret Romantic Body Mist for Women Perfume 250ml</t>
        </is>
      </c>
      <c r="C117" t="inlineStr">
        <is>
          <t>Eau De Toilette</t>
        </is>
      </c>
      <c r="D117" t="inlineStr">
        <is>
          <t>Victoria's Secret</t>
        </is>
      </c>
      <c r="E117" t="n">
        <v>16.53</v>
      </c>
      <c r="F117" t="n">
        <v>1</v>
      </c>
      <c r="G117" t="n">
        <v>6</v>
      </c>
      <c r="H117" s="5">
        <f>HYPERLINK("https://api.qogita.com/variants/link/0667548800501/", "View Product")</f>
        <v/>
      </c>
    </row>
    <row r="118">
      <c r="A118" t="inlineStr">
        <is>
          <t>0667548823371</t>
        </is>
      </c>
      <c r="B118" t="inlineStr">
        <is>
          <t>Victoria's Secret Tease Dreamer Eau de Parfum 50ml</t>
        </is>
      </c>
      <c r="C118" t="inlineStr">
        <is>
          <t>Eau De Parfum</t>
        </is>
      </c>
      <c r="D118" t="inlineStr">
        <is>
          <t>Victoria's Secret</t>
        </is>
      </c>
      <c r="E118" t="n">
        <v>28.61</v>
      </c>
      <c r="F118" t="n">
        <v>1</v>
      </c>
      <c r="G118" t="n">
        <v>12</v>
      </c>
      <c r="H118" s="5">
        <f>HYPERLINK("https://api.qogita.com/variants/link/0667548823371/", "View Product")</f>
        <v/>
      </c>
    </row>
    <row r="119">
      <c r="A119" t="inlineStr">
        <is>
          <t>0667553699497</t>
        </is>
      </c>
      <c r="B119" t="inlineStr">
        <is>
          <t>Victoria's Secret Bombshell Oud Eau De Parfum 100ml</t>
        </is>
      </c>
      <c r="C119" t="inlineStr">
        <is>
          <t>Eau De Parfum</t>
        </is>
      </c>
      <c r="D119" t="inlineStr">
        <is>
          <t>Victoria's Secret</t>
        </is>
      </c>
      <c r="E119" t="n">
        <v>54.07</v>
      </c>
      <c r="F119" t="n">
        <v>1</v>
      </c>
      <c r="G119" t="n">
        <v>14</v>
      </c>
      <c r="H119" s="5">
        <f>HYPERLINK("https://api.qogita.com/variants/link/0667553699497/", "View Product")</f>
        <v/>
      </c>
    </row>
    <row r="120">
      <c r="A120" t="inlineStr">
        <is>
          <t>0667554123724</t>
        </is>
      </c>
      <c r="B120" t="inlineStr">
        <is>
          <t>Bombshell Intense Perfume Victoria's Secret 3.4oz 100ml EDP Eau De Parfum Spray</t>
        </is>
      </c>
      <c r="C120" t="inlineStr">
        <is>
          <t>Eau De Parfum</t>
        </is>
      </c>
      <c r="D120" t="inlineStr">
        <is>
          <t>Victoria's Secret</t>
        </is>
      </c>
      <c r="E120" t="n">
        <v>80.23999999999999</v>
      </c>
      <c r="F120" t="n">
        <v>1</v>
      </c>
      <c r="G120" t="n">
        <v>5</v>
      </c>
      <c r="H120" s="5">
        <f>HYPERLINK("https://api.qogita.com/variants/link/0667554123724/", "View Product")</f>
        <v/>
      </c>
    </row>
    <row r="121">
      <c r="A121" t="inlineStr">
        <is>
          <t>0667554672017</t>
        </is>
      </c>
      <c r="B121" t="inlineStr">
        <is>
          <t>Victoria's Secret Eau de Parfum Bombshell 50ml</t>
        </is>
      </c>
      <c r="C121" t="inlineStr">
        <is>
          <t>Eau De Parfum</t>
        </is>
      </c>
      <c r="D121" t="inlineStr">
        <is>
          <t>Victoria's Secret</t>
        </is>
      </c>
      <c r="E121" t="n">
        <v>53.7</v>
      </c>
      <c r="F121" t="n">
        <v>1</v>
      </c>
      <c r="G121" t="n">
        <v>135</v>
      </c>
      <c r="H121" s="5">
        <f>HYPERLINK("https://api.qogita.com/variants/link/0667554672017/", "View Product")</f>
        <v/>
      </c>
    </row>
    <row r="122">
      <c r="A122" t="inlineStr">
        <is>
          <t>0667555248402</t>
        </is>
      </c>
      <c r="B122" t="inlineStr">
        <is>
          <t>Victoria's Secret Canyon Flora Eau De Parfum body spray for women 250ml</t>
        </is>
      </c>
      <c r="C122" t="inlineStr">
        <is>
          <t>Eau De Parfum</t>
        </is>
      </c>
      <c r="D122" t="inlineStr">
        <is>
          <t>Victoria's Secret</t>
        </is>
      </c>
      <c r="E122" t="n">
        <v>12.36</v>
      </c>
      <c r="F122" t="n">
        <v>1</v>
      </c>
      <c r="G122" t="n">
        <v>58</v>
      </c>
      <c r="H122" s="5">
        <f>HYPERLINK("https://api.qogita.com/variants/link/0667555248402/", "View Product")</f>
        <v/>
      </c>
    </row>
    <row r="123">
      <c r="A123" t="inlineStr">
        <is>
          <t>0667556407006</t>
        </is>
      </c>
      <c r="B123" t="inlineStr">
        <is>
          <t>Victoria's Secret FABULOUS Eau De Parfum Spray for Women 1.7oz 50ml</t>
        </is>
      </c>
      <c r="C123" t="inlineStr">
        <is>
          <t>Eau De Parfum</t>
        </is>
      </c>
      <c r="D123" t="inlineStr">
        <is>
          <t>Victoria's Secret</t>
        </is>
      </c>
      <c r="E123" t="n">
        <v>29.9</v>
      </c>
      <c r="F123" t="n">
        <v>1</v>
      </c>
      <c r="G123" t="n">
        <v>12</v>
      </c>
      <c r="H123" s="5">
        <f>HYPERLINK("https://api.qogita.com/variants/link/0667556407006/", "View Product")</f>
        <v/>
      </c>
    </row>
    <row r="124">
      <c r="A124" t="inlineStr">
        <is>
          <t>0667556407037</t>
        </is>
      </c>
      <c r="B124" t="inlineStr">
        <is>
          <t>Victoria's Secret Wicked Eau De Parfum 3.4fl oz 100ml</t>
        </is>
      </c>
      <c r="C124" t="inlineStr">
        <is>
          <t>Eau De Parfum</t>
        </is>
      </c>
      <c r="D124" t="inlineStr">
        <is>
          <t>Victoria's Secret</t>
        </is>
      </c>
      <c r="E124" t="n">
        <v>63.03</v>
      </c>
      <c r="F124" t="n">
        <v>1</v>
      </c>
      <c r="G124" t="n">
        <v>2</v>
      </c>
      <c r="H124" s="5">
        <f>HYPERLINK("https://api.qogita.com/variants/link/0667556407037/", "View Product")</f>
        <v/>
      </c>
    </row>
    <row r="125">
      <c r="A125" t="inlineStr">
        <is>
          <t>0667556407105</t>
        </is>
      </c>
      <c r="B125" t="inlineStr">
        <is>
          <t>Victoria's Secret Eau De Parfum for Women Tease Glam 100ml</t>
        </is>
      </c>
      <c r="C125" t="inlineStr">
        <is>
          <t>Eau De Parfum</t>
        </is>
      </c>
      <c r="D125" t="inlineStr">
        <is>
          <t>Victoria's Secret</t>
        </is>
      </c>
      <c r="E125" t="n">
        <v>47.65</v>
      </c>
      <c r="F125" t="n">
        <v>1</v>
      </c>
      <c r="G125" t="n">
        <v>6</v>
      </c>
      <c r="H125" s="5">
        <f>HYPERLINK("https://api.qogita.com/variants/link/0667556407105/", "View Product")</f>
        <v/>
      </c>
    </row>
    <row r="126">
      <c r="A126" t="inlineStr">
        <is>
          <t>0667556407129</t>
        </is>
      </c>
      <c r="B126" t="inlineStr">
        <is>
          <t>Victoria's Secret Crush Eau De Parfum Spray 100ml</t>
        </is>
      </c>
      <c r="C126" t="inlineStr">
        <is>
          <t>Eau De Parfum</t>
        </is>
      </c>
      <c r="D126" t="inlineStr">
        <is>
          <t>Victoria's Secret</t>
        </is>
      </c>
      <c r="E126" t="n">
        <v>45.61</v>
      </c>
      <c r="F126" t="n">
        <v>1</v>
      </c>
      <c r="G126" t="n">
        <v>5</v>
      </c>
      <c r="H126" s="5">
        <f>HYPERLINK("https://api.qogita.com/variants/link/0667556407129/", "View Product")</f>
        <v/>
      </c>
    </row>
    <row r="127">
      <c r="A127" t="inlineStr">
        <is>
          <t>0667556605006</t>
        </is>
      </c>
      <c r="B127" t="inlineStr">
        <is>
          <t>Victoria's Secret Aqua Kiss Fragrance Body Mist 250ml</t>
        </is>
      </c>
      <c r="C127" t="inlineStr">
        <is>
          <t>Fragrance Sets</t>
        </is>
      </c>
      <c r="D127" t="inlineStr">
        <is>
          <t>Victoria's Secret</t>
        </is>
      </c>
      <c r="E127" t="n">
        <v>14.82</v>
      </c>
      <c r="F127" t="n">
        <v>1</v>
      </c>
      <c r="G127" t="n">
        <v>58</v>
      </c>
      <c r="H127" s="5">
        <f>HYPERLINK("https://api.qogita.com/variants/link/0667556605006/", "View Product")</f>
        <v/>
      </c>
    </row>
    <row r="128">
      <c r="A128" t="inlineStr">
        <is>
          <t>0667556605013</t>
        </is>
      </c>
      <c r="B128" t="inlineStr">
        <is>
          <t>Victoria's Secret Coconut Passion Fragrance Mist Body Spray 8.4oz</t>
        </is>
      </c>
      <c r="C128" t="inlineStr">
        <is>
          <t>Fragrance Sets</t>
        </is>
      </c>
      <c r="D128" t="inlineStr">
        <is>
          <t>Victoria's Secret</t>
        </is>
      </c>
      <c r="E128" t="n">
        <v>14.88</v>
      </c>
      <c r="F128" t="n">
        <v>1</v>
      </c>
      <c r="G128" t="n">
        <v>119</v>
      </c>
      <c r="H128" s="5">
        <f>HYPERLINK("https://api.qogita.com/variants/link/0667556605013/", "View Product")</f>
        <v/>
      </c>
    </row>
    <row r="129">
      <c r="A129" t="inlineStr">
        <is>
          <t>0667556605068</t>
        </is>
      </c>
      <c r="B129" t="inlineStr">
        <is>
          <t>Victoria's Secret Rush Fragrance Mist For Women 250ML</t>
        </is>
      </c>
      <c r="C129" t="inlineStr">
        <is>
          <t>Fragrance Sets</t>
        </is>
      </c>
      <c r="D129" t="inlineStr">
        <is>
          <t>Victoria's Secret</t>
        </is>
      </c>
      <c r="E129" t="n">
        <v>14.22</v>
      </c>
      <c r="F129" t="n">
        <v>1</v>
      </c>
      <c r="G129" t="n">
        <v>12</v>
      </c>
      <c r="H129" s="5">
        <f>HYPERLINK("https://api.qogita.com/variants/link/0667556605068/", "View Product")</f>
        <v/>
      </c>
    </row>
    <row r="130">
      <c r="A130" t="inlineStr">
        <is>
          <t>0667556709797</t>
        </is>
      </c>
      <c r="B130" t="inlineStr">
        <is>
          <t>Bath &amp; Body Works Fragrance Mist Travel Size Brand New 3oz or 2.5oz - Choose</t>
        </is>
      </c>
      <c r="C130" t="inlineStr">
        <is>
          <t>Fragrance Sets</t>
        </is>
      </c>
      <c r="D130" t="inlineStr">
        <is>
          <t>Bath &amp; Body Works</t>
        </is>
      </c>
      <c r="E130" t="n">
        <v>16.44</v>
      </c>
      <c r="F130" t="n">
        <v>1</v>
      </c>
      <c r="G130" t="n">
        <v>21</v>
      </c>
      <c r="H130" s="5">
        <f>HYPERLINK("https://api.qogita.com/variants/link/0667556709797/", "View Product")</f>
        <v/>
      </c>
    </row>
    <row r="131">
      <c r="A131" t="inlineStr">
        <is>
          <t>0667557109558</t>
        </is>
      </c>
      <c r="B131" t="inlineStr">
        <is>
          <t>Victoria's Secret Lavender Vanilla Fragrance Mist 250ml</t>
        </is>
      </c>
      <c r="C131" t="inlineStr">
        <is>
          <t>Fragrance Sets</t>
        </is>
      </c>
      <c r="D131" t="inlineStr">
        <is>
          <t>Victoria's Secret</t>
        </is>
      </c>
      <c r="E131" t="n">
        <v>15.91</v>
      </c>
      <c r="F131" t="n">
        <v>1</v>
      </c>
      <c r="G131" t="n">
        <v>4</v>
      </c>
      <c r="H131" s="5">
        <f>HYPERLINK("https://api.qogita.com/variants/link/0667557109558/", "View Product")</f>
        <v/>
      </c>
    </row>
    <row r="132">
      <c r="A132" t="inlineStr">
        <is>
          <t>0667557597041</t>
        </is>
      </c>
      <c r="B132" t="inlineStr">
        <is>
          <t>Victoria's Secret Aloe Water &amp; Hibiscus Fragrance Mist 8.4oz</t>
        </is>
      </c>
      <c r="C132" t="inlineStr">
        <is>
          <t>Fragrance Sets</t>
        </is>
      </c>
      <c r="D132" t="inlineStr">
        <is>
          <t>Victoria's Secret</t>
        </is>
      </c>
      <c r="E132" t="n">
        <v>18.76</v>
      </c>
      <c r="F132" t="n">
        <v>1</v>
      </c>
      <c r="G132" t="n">
        <v>3</v>
      </c>
      <c r="H132" s="5">
        <f>HYPERLINK("https://api.qogita.com/variants/link/0667557597041/", "View Product")</f>
        <v/>
      </c>
    </row>
    <row r="133">
      <c r="A133" t="inlineStr">
        <is>
          <t>0667557640440</t>
        </is>
      </c>
      <c r="B133" t="inlineStr">
        <is>
          <t>Victoria's Secret Fragrance Body Mist Perfume Spray 250ml</t>
        </is>
      </c>
      <c r="C133" t="inlineStr">
        <is>
          <t>Fragrance Sets</t>
        </is>
      </c>
      <c r="D133" t="inlineStr">
        <is>
          <t>Victoria's Secret</t>
        </is>
      </c>
      <c r="E133" t="n">
        <v>15.58</v>
      </c>
      <c r="F133" t="n">
        <v>1</v>
      </c>
      <c r="G133" t="n">
        <v>23</v>
      </c>
      <c r="H133" s="5">
        <f>HYPERLINK("https://api.qogita.com/variants/link/0667557640440/", "View Product")</f>
        <v/>
      </c>
    </row>
    <row r="134">
      <c r="A134" t="inlineStr">
        <is>
          <t>0667557640952</t>
        </is>
      </c>
      <c r="B134" t="inlineStr">
        <is>
          <t>Victoria's Secret Pineapple High Body Lotion 80oz</t>
        </is>
      </c>
      <c r="C134" t="inlineStr">
        <is>
          <t>Body Lotion</t>
        </is>
      </c>
      <c r="D134" t="inlineStr">
        <is>
          <t>Victoria's Secret</t>
        </is>
      </c>
      <c r="E134" t="n">
        <v>15.55</v>
      </c>
      <c r="F134" t="n">
        <v>1</v>
      </c>
      <c r="G134" t="n">
        <v>14</v>
      </c>
      <c r="H134" s="5">
        <f>HYPERLINK("https://api.qogita.com/variants/link/0667557640952/", "View Product")</f>
        <v/>
      </c>
    </row>
    <row r="135">
      <c r="A135" t="inlineStr">
        <is>
          <t>0667557641003</t>
        </is>
      </c>
      <c r="B135" t="inlineStr">
        <is>
          <t>Victoria's Secret Pure Seduction Splash Fragrance Mist Body Spray Watermelon</t>
        </is>
      </c>
      <c r="C135" t="inlineStr">
        <is>
          <t>Fragrance Sets</t>
        </is>
      </c>
      <c r="D135" t="inlineStr">
        <is>
          <t>Victoria's Secret</t>
        </is>
      </c>
      <c r="E135" t="n">
        <v>16.37</v>
      </c>
      <c r="F135" t="n">
        <v>1</v>
      </c>
      <c r="G135" t="n">
        <v>61</v>
      </c>
      <c r="H135" s="5">
        <f>HYPERLINK("https://api.qogita.com/variants/link/0667557641003/", "View Product")</f>
        <v/>
      </c>
    </row>
    <row r="136">
      <c r="A136" t="inlineStr">
        <is>
          <t>0667557641027</t>
        </is>
      </c>
      <c r="B136" t="inlineStr">
        <is>
          <t>Victoria's Secret Velvet Petals Fragrance Mist 250ml</t>
        </is>
      </c>
      <c r="C136" t="inlineStr">
        <is>
          <t>Fragrance Sets</t>
        </is>
      </c>
      <c r="D136" t="inlineStr">
        <is>
          <t>Victoria's Secret</t>
        </is>
      </c>
      <c r="E136" t="n">
        <v>15.18</v>
      </c>
      <c r="F136" t="n">
        <v>1</v>
      </c>
      <c r="G136" t="n">
        <v>16</v>
      </c>
      <c r="H136" s="5">
        <f>HYPERLINK("https://api.qogita.com/variants/link/0667557641027/", "View Product")</f>
        <v/>
      </c>
    </row>
    <row r="137">
      <c r="A137" t="inlineStr">
        <is>
          <t>0667557894676</t>
        </is>
      </c>
      <c r="B137" t="inlineStr">
        <is>
          <t>Victoria's Secret Aqua Kiss Body Lotion 236ml</t>
        </is>
      </c>
      <c r="C137" t="inlineStr">
        <is>
          <t>Body Lotion</t>
        </is>
      </c>
      <c r="D137" t="inlineStr">
        <is>
          <t>Victoria's Secret</t>
        </is>
      </c>
      <c r="E137" t="n">
        <v>14.87</v>
      </c>
      <c r="F137" t="n">
        <v>1</v>
      </c>
      <c r="G137" t="n">
        <v>59</v>
      </c>
      <c r="H137" s="5">
        <f>HYPERLINK("https://api.qogita.com/variants/link/0667557894676/", "View Product")</f>
        <v/>
      </c>
    </row>
    <row r="138">
      <c r="A138" t="inlineStr">
        <is>
          <t>0667557894683</t>
        </is>
      </c>
      <c r="B138" t="inlineStr">
        <is>
          <t>Victoria's Secret Coconut Passion Body Lotion 236ml</t>
        </is>
      </c>
      <c r="C138" t="inlineStr">
        <is>
          <t>Body Lotion</t>
        </is>
      </c>
      <c r="D138" t="inlineStr">
        <is>
          <t>Victoria's Secret</t>
        </is>
      </c>
      <c r="E138" t="n">
        <v>16.79</v>
      </c>
      <c r="F138" t="n">
        <v>1</v>
      </c>
      <c r="G138" t="n">
        <v>9</v>
      </c>
      <c r="H138" s="5">
        <f>HYPERLINK("https://api.qogita.com/variants/link/0667557894683/", "View Product")</f>
        <v/>
      </c>
    </row>
    <row r="139">
      <c r="A139" t="inlineStr">
        <is>
          <t>0667558203866</t>
        </is>
      </c>
      <c r="B139" t="inlineStr">
        <is>
          <t>Victoria's Secret Garden View Fragrance Mist 8.4 fl oz</t>
        </is>
      </c>
      <c r="C139" t="inlineStr">
        <is>
          <t>Fragrance Sets</t>
        </is>
      </c>
      <c r="D139" t="inlineStr">
        <is>
          <t>Victoria's Secret</t>
        </is>
      </c>
      <c r="E139" t="n">
        <v>12.36</v>
      </c>
      <c r="F139" t="n">
        <v>1</v>
      </c>
      <c r="G139" t="n">
        <v>141</v>
      </c>
      <c r="H139" s="5">
        <f>HYPERLINK("https://api.qogita.com/variants/link/0667558203866/", "View Product")</f>
        <v/>
      </c>
    </row>
    <row r="140">
      <c r="A140" t="inlineStr">
        <is>
          <t>0667558209325</t>
        </is>
      </c>
      <c r="B140" t="inlineStr">
        <is>
          <t>Bath &amp; Body Works Poolside Cabana Body Spray</t>
        </is>
      </c>
      <c r="C140" t="inlineStr">
        <is>
          <t>Eau De Toilette</t>
        </is>
      </c>
      <c r="D140" t="inlineStr">
        <is>
          <t>Bath &amp; Body Works</t>
        </is>
      </c>
      <c r="E140" t="n">
        <v>11.1</v>
      </c>
      <c r="F140" t="n">
        <v>1</v>
      </c>
      <c r="G140" t="n">
        <v>3</v>
      </c>
      <c r="H140" s="5">
        <f>HYPERLINK("https://api.qogita.com/variants/link/0667558209325/", "View Product")</f>
        <v/>
      </c>
    </row>
    <row r="141">
      <c r="A141" t="inlineStr">
        <is>
          <t>0667558215432</t>
        </is>
      </c>
      <c r="B141" t="inlineStr">
        <is>
          <t>Victoria's Secret So In Love Eau De Parfum</t>
        </is>
      </c>
      <c r="C141" t="inlineStr">
        <is>
          <t>Eau De Parfum</t>
        </is>
      </c>
      <c r="D141" t="inlineStr">
        <is>
          <t>Victoria's Secret</t>
        </is>
      </c>
      <c r="E141" t="n">
        <v>46.65</v>
      </c>
      <c r="F141" t="n">
        <v>1</v>
      </c>
      <c r="G141" t="n">
        <v>5</v>
      </c>
      <c r="H141" s="5">
        <f>HYPERLINK("https://api.qogita.com/variants/link/0667558215432/", "View Product")</f>
        <v/>
      </c>
    </row>
    <row r="142">
      <c r="A142" t="inlineStr">
        <is>
          <t>0667558215487</t>
        </is>
      </c>
      <c r="B142" t="inlineStr">
        <is>
          <t>First Love by Victoria's Secret 1.7 Oz Eau De Parfum Spray For Women</t>
        </is>
      </c>
      <c r="C142" t="inlineStr">
        <is>
          <t>Eau De Parfum</t>
        </is>
      </c>
      <c r="D142" t="inlineStr">
        <is>
          <t>Victoria's Secret</t>
        </is>
      </c>
      <c r="E142" t="n">
        <v>29.05</v>
      </c>
      <c r="F142" t="n">
        <v>1</v>
      </c>
      <c r="G142" t="n">
        <v>11</v>
      </c>
      <c r="H142" s="5">
        <f>HYPERLINK("https://api.qogita.com/variants/link/0667558215487/", "View Product")</f>
        <v/>
      </c>
    </row>
    <row r="143">
      <c r="A143" t="inlineStr">
        <is>
          <t>0667558227138</t>
        </is>
      </c>
      <c r="B143" t="inlineStr">
        <is>
          <t>Victoria's Secret Fuchsia Fantasy Fine Fragrance Mist 8oz</t>
        </is>
      </c>
      <c r="C143" t="inlineStr">
        <is>
          <t>Fragrance Sets</t>
        </is>
      </c>
      <c r="D143" t="inlineStr">
        <is>
          <t>Victoria's Secret</t>
        </is>
      </c>
      <c r="E143" t="n">
        <v>14.2</v>
      </c>
      <c r="F143" t="n">
        <v>1</v>
      </c>
      <c r="G143" t="n">
        <v>14</v>
      </c>
      <c r="H143" s="5">
        <f>HYPERLINK("https://api.qogita.com/variants/link/0667558227138/", "View Product")</f>
        <v/>
      </c>
    </row>
    <row r="144">
      <c r="A144" t="inlineStr">
        <is>
          <t>0667558334300</t>
        </is>
      </c>
      <c r="B144" t="inlineStr">
        <is>
          <t>Basic Instinct by Victoria's Secret Eau De Parfum 1.7oz 50ml Spray New With Box</t>
        </is>
      </c>
      <c r="C144" t="inlineStr">
        <is>
          <t>Eau De Parfum</t>
        </is>
      </c>
      <c r="D144" t="inlineStr">
        <is>
          <t>Victoria's Secret</t>
        </is>
      </c>
      <c r="E144" t="n">
        <v>29.39</v>
      </c>
      <c r="F144" t="n">
        <v>1</v>
      </c>
      <c r="G144" t="n">
        <v>14</v>
      </c>
      <c r="H144" s="5">
        <f>HYPERLINK("https://api.qogita.com/variants/link/0667558334300/", "View Product")</f>
        <v/>
      </c>
    </row>
    <row r="145">
      <c r="A145" t="inlineStr">
        <is>
          <t>0667558334317</t>
        </is>
      </c>
      <c r="B145" t="inlineStr">
        <is>
          <t>Victoria's Secret Basic Instinct Eau De Parfum 100 Ml</t>
        </is>
      </c>
      <c r="C145" t="inlineStr">
        <is>
          <t>Eau De Parfum</t>
        </is>
      </c>
      <c r="D145" t="inlineStr">
        <is>
          <t>Victoria's Secret</t>
        </is>
      </c>
      <c r="E145" t="n">
        <v>45</v>
      </c>
      <c r="F145" t="n">
        <v>1</v>
      </c>
      <c r="G145" t="n">
        <v>42</v>
      </c>
      <c r="H145" s="5">
        <f>HYPERLINK("https://api.qogita.com/variants/link/0667558334317/", "View Product")</f>
        <v/>
      </c>
    </row>
    <row r="146">
      <c r="A146" t="inlineStr">
        <is>
          <t>0667558348512</t>
        </is>
      </c>
      <c r="B146" t="inlineStr">
        <is>
          <t>Tease Cocoa Soiree by Victoria's Secret Eau De Parfum 3.4oz Spray New with Box</t>
        </is>
      </c>
      <c r="C146" t="inlineStr">
        <is>
          <t>Eau De Parfum</t>
        </is>
      </c>
      <c r="D146" t="inlineStr">
        <is>
          <t>Victoria's Secret</t>
        </is>
      </c>
      <c r="E146" t="n">
        <v>51.39</v>
      </c>
      <c r="F146" t="n">
        <v>1</v>
      </c>
      <c r="G146" t="n">
        <v>9</v>
      </c>
      <c r="H146" s="5">
        <f>HYPERLINK("https://api.qogita.com/variants/link/0667558348512/", "View Product")</f>
        <v/>
      </c>
    </row>
    <row r="147">
      <c r="A147" t="inlineStr">
        <is>
          <t>0667558426920</t>
        </is>
      </c>
      <c r="B147" t="inlineStr">
        <is>
          <t>Victoria's Secret Frost Melt Body Spray 250ml</t>
        </is>
      </c>
      <c r="C147" t="inlineStr">
        <is>
          <t>Eau De Toilette</t>
        </is>
      </c>
      <c r="D147" t="inlineStr">
        <is>
          <t>Victoria's Secret</t>
        </is>
      </c>
      <c r="E147" t="n">
        <v>14.45</v>
      </c>
      <c r="F147" t="n">
        <v>1</v>
      </c>
      <c r="G147" t="n">
        <v>9</v>
      </c>
      <c r="H147" s="5">
        <f>HYPERLINK("https://api.qogita.com/variants/link/0667558426920/", "View Product")</f>
        <v/>
      </c>
    </row>
    <row r="148">
      <c r="A148" t="inlineStr">
        <is>
          <t>0667558437674</t>
        </is>
      </c>
      <c r="B148" t="inlineStr">
        <is>
          <t>Victoria's Secret Bare Vanilla Fragrance Body Lotion Cream 8 oz</t>
        </is>
      </c>
      <c r="C148" t="inlineStr">
        <is>
          <t>Body Lotion</t>
        </is>
      </c>
      <c r="D148" t="inlineStr">
        <is>
          <t>Victoria's Secret</t>
        </is>
      </c>
      <c r="E148" t="n">
        <v>14.52</v>
      </c>
      <c r="F148" t="n">
        <v>1</v>
      </c>
      <c r="G148" t="n">
        <v>75</v>
      </c>
      <c r="H148" s="5">
        <f>HYPERLINK("https://api.qogita.com/variants/link/0667558437674/", "View Product")</f>
        <v/>
      </c>
    </row>
    <row r="149">
      <c r="A149" t="inlineStr">
        <is>
          <t>0667558437698</t>
        </is>
      </c>
      <c r="B149" t="inlineStr">
        <is>
          <t>Victorias Secret Aqua Kiss Shimmer Glitter Perfumed Water 250ml</t>
        </is>
      </c>
      <c r="C149" t="inlineStr">
        <is>
          <t>Eau De Toilette</t>
        </is>
      </c>
      <c r="D149" t="inlineStr">
        <is>
          <t>Corpo e Capelli</t>
        </is>
      </c>
      <c r="E149" t="n">
        <v>15.81</v>
      </c>
      <c r="F149" t="n">
        <v>1</v>
      </c>
      <c r="G149" t="n">
        <v>80</v>
      </c>
      <c r="H149" s="5">
        <f>HYPERLINK("https://api.qogita.com/variants/link/0667558437698/", "View Product")</f>
        <v/>
      </c>
    </row>
    <row r="150">
      <c r="A150" t="inlineStr">
        <is>
          <t>0667558717349</t>
        </is>
      </c>
      <c r="B150" t="inlineStr">
        <is>
          <t>Victoria's Secret XO Victoria Eau de Parfum 50ml 1.7 fl oz</t>
        </is>
      </c>
      <c r="C150" t="inlineStr">
        <is>
          <t>Eau De Parfum</t>
        </is>
      </c>
      <c r="D150" t="inlineStr">
        <is>
          <t>Victoria's Secret</t>
        </is>
      </c>
      <c r="E150" t="n">
        <v>38.69</v>
      </c>
      <c r="F150" t="n">
        <v>1</v>
      </c>
      <c r="G150" t="n">
        <v>5</v>
      </c>
      <c r="H150" s="5">
        <f>HYPERLINK("https://api.qogita.com/variants/link/0667558717349/", "View Product")</f>
        <v/>
      </c>
    </row>
    <row r="151">
      <c r="A151" t="inlineStr">
        <is>
          <t>0667559066323</t>
        </is>
      </c>
      <c r="B151" t="inlineStr">
        <is>
          <t>Victoria's Secret Seaside Surf Fragrance Mist 250ml</t>
        </is>
      </c>
      <c r="C151" t="inlineStr">
        <is>
          <t>Fragrance Sets</t>
        </is>
      </c>
      <c r="D151" t="inlineStr">
        <is>
          <t>Victoria's Secret</t>
        </is>
      </c>
      <c r="E151" t="n">
        <v>14.45</v>
      </c>
      <c r="F151" t="n">
        <v>1</v>
      </c>
      <c r="G151" t="n">
        <v>9</v>
      </c>
      <c r="H151" s="5">
        <f>HYPERLINK("https://api.qogita.com/variants/link/0667559066323/", "View Product")</f>
        <v/>
      </c>
    </row>
    <row r="152">
      <c r="A152" t="inlineStr">
        <is>
          <t>0667559066330</t>
        </is>
      </c>
      <c r="B152" t="inlineStr">
        <is>
          <t>Victoria's Secret Coastal Bliss Body Mist 250ml</t>
        </is>
      </c>
      <c r="C152" t="inlineStr">
        <is>
          <t>Eau De Toilette</t>
        </is>
      </c>
      <c r="D152" t="inlineStr">
        <is>
          <t>Victoria's Secret</t>
        </is>
      </c>
      <c r="E152" t="n">
        <v>14.82</v>
      </c>
      <c r="F152" t="n">
        <v>1</v>
      </c>
      <c r="G152" t="n">
        <v>11</v>
      </c>
      <c r="H152" s="5">
        <f>HYPERLINK("https://api.qogita.com/variants/link/0667559066330/", "View Product")</f>
        <v/>
      </c>
    </row>
    <row r="153">
      <c r="A153" t="inlineStr">
        <is>
          <t>0667559066347</t>
        </is>
      </c>
      <c r="B153" t="inlineStr">
        <is>
          <t>Victoria's Secret Island Rush Body Mist 250ml</t>
        </is>
      </c>
      <c r="C153" t="inlineStr">
        <is>
          <t>Eau De Toilette</t>
        </is>
      </c>
      <c r="D153" t="inlineStr">
        <is>
          <t>Victoria's Secret</t>
        </is>
      </c>
      <c r="E153" t="n">
        <v>13.97</v>
      </c>
      <c r="F153" t="n">
        <v>1</v>
      </c>
      <c r="G153" t="n">
        <v>11</v>
      </c>
      <c r="H153" s="5">
        <f>HYPERLINK("https://api.qogita.com/variants/link/0667559066347/", "View Product")</f>
        <v/>
      </c>
    </row>
    <row r="154">
      <c r="A154" t="inlineStr">
        <is>
          <t>0667559066866</t>
        </is>
      </c>
      <c r="B154" t="inlineStr">
        <is>
          <t>Victoria's Secret Shimmering Shores Fragrance Mist 250ml</t>
        </is>
      </c>
      <c r="C154" t="inlineStr">
        <is>
          <t>Fragrance Sets</t>
        </is>
      </c>
      <c r="D154" t="inlineStr">
        <is>
          <t>Victoria's Secret</t>
        </is>
      </c>
      <c r="E154" t="n">
        <v>13.97</v>
      </c>
      <c r="F154" t="n">
        <v>1</v>
      </c>
      <c r="G154" t="n">
        <v>11</v>
      </c>
      <c r="H154" s="5">
        <f>HYPERLINK("https://api.qogita.com/variants/link/0667559066866/", "View Product")</f>
        <v/>
      </c>
    </row>
    <row r="155">
      <c r="A155" t="inlineStr">
        <is>
          <t>0667559068228</t>
        </is>
      </c>
      <c r="B155" t="inlineStr">
        <is>
          <t>Victoria's Secret Vibrant Blooming Passionfruit Fragrance Mist 8.4oz</t>
        </is>
      </c>
      <c r="C155" t="inlineStr">
        <is>
          <t>Fragrance Sets</t>
        </is>
      </c>
      <c r="D155" t="inlineStr">
        <is>
          <t>Victoria's Secret</t>
        </is>
      </c>
      <c r="E155" t="n">
        <v>14.41</v>
      </c>
      <c r="F155" t="n">
        <v>1</v>
      </c>
      <c r="G155" t="n">
        <v>4</v>
      </c>
      <c r="H155" s="5">
        <f>HYPERLINK("https://api.qogita.com/variants/link/0667559068228/", "View Product")</f>
        <v/>
      </c>
    </row>
    <row r="156">
      <c r="A156" t="inlineStr">
        <is>
          <t>0667559068358</t>
        </is>
      </c>
      <c r="B156" t="inlineStr">
        <is>
          <t>Victoria's Secret Sol Love Spell Fragrance Mist 250ml</t>
        </is>
      </c>
      <c r="C156" t="inlineStr">
        <is>
          <t>Fragrance Sets</t>
        </is>
      </c>
      <c r="D156" t="inlineStr">
        <is>
          <t>Victoria's Secret</t>
        </is>
      </c>
      <c r="E156" t="n">
        <v>14.81</v>
      </c>
      <c r="F156" t="n">
        <v>1</v>
      </c>
      <c r="G156" t="n">
        <v>2</v>
      </c>
      <c r="H156" s="5">
        <f>HYPERLINK("https://api.qogita.com/variants/link/0667559068358/", "View Product")</f>
        <v/>
      </c>
    </row>
    <row r="157">
      <c r="A157" t="inlineStr">
        <is>
          <t>0667559068365</t>
        </is>
      </c>
      <c r="B157" t="inlineStr">
        <is>
          <t>Victoria's Secret Velvet Petals Sol Fragrance Mist 250ml</t>
        </is>
      </c>
      <c r="C157" t="inlineStr">
        <is>
          <t>Body Mist</t>
        </is>
      </c>
      <c r="D157" t="inlineStr">
        <is>
          <t>Victoria's Secret</t>
        </is>
      </c>
      <c r="E157" t="n">
        <v>14.16</v>
      </c>
      <c r="F157" t="n">
        <v>1</v>
      </c>
      <c r="G157" t="n">
        <v>6</v>
      </c>
      <c r="H157" s="5">
        <f>HYPERLINK("https://api.qogita.com/variants/link/0667559068365/", "View Product")</f>
        <v/>
      </c>
    </row>
    <row r="158">
      <c r="A158" t="inlineStr">
        <is>
          <t>0667559301745</t>
        </is>
      </c>
      <c r="B158" t="inlineStr">
        <is>
          <t>Victoria's Secret Electric Mango Body Mist 250ml</t>
        </is>
      </c>
      <c r="C158" t="inlineStr">
        <is>
          <t>Eau De Toilette</t>
        </is>
      </c>
      <c r="D158" t="inlineStr">
        <is>
          <t>Victoria's Secret</t>
        </is>
      </c>
      <c r="E158" t="n">
        <v>14.81</v>
      </c>
      <c r="F158" t="n">
        <v>1</v>
      </c>
      <c r="G158" t="n">
        <v>9</v>
      </c>
      <c r="H158" s="5">
        <f>HYPERLINK("https://api.qogita.com/variants/link/0667559301745/", "View Product")</f>
        <v/>
      </c>
    </row>
    <row r="159">
      <c r="A159" t="inlineStr">
        <is>
          <t>0667559301752</t>
        </is>
      </c>
      <c r="B159" t="inlineStr">
        <is>
          <t>Victoria's Secret Wild Neroli Fragrance Mist 250ml</t>
        </is>
      </c>
      <c r="C159" t="inlineStr">
        <is>
          <t>Fragrance Sets</t>
        </is>
      </c>
      <c r="D159" t="inlineStr">
        <is>
          <t>Victoria's Secret</t>
        </is>
      </c>
      <c r="E159" t="n">
        <v>16.44</v>
      </c>
      <c r="F159" t="n">
        <v>1</v>
      </c>
      <c r="G159" t="n">
        <v>24</v>
      </c>
      <c r="H159" s="5">
        <f>HYPERLINK("https://api.qogita.com/variants/link/0667559301752/", "View Product")</f>
        <v/>
      </c>
    </row>
    <row r="160">
      <c r="A160" t="inlineStr">
        <is>
          <t>0667559301769</t>
        </is>
      </c>
      <c r="B160" t="inlineStr">
        <is>
          <t>Victoria's Secret Neon Tropical Body Mist 8.4 oz</t>
        </is>
      </c>
      <c r="C160" t="inlineStr">
        <is>
          <t>Eau De Toilette</t>
        </is>
      </c>
      <c r="D160" t="inlineStr">
        <is>
          <t>Victoria's Secret</t>
        </is>
      </c>
      <c r="E160" t="n">
        <v>14.42</v>
      </c>
      <c r="F160" t="n">
        <v>1</v>
      </c>
      <c r="G160" t="n">
        <v>5</v>
      </c>
      <c r="H160" s="5">
        <f>HYPERLINK("https://api.qogita.com/variants/link/0667559301769/", "View Product")</f>
        <v/>
      </c>
    </row>
    <row r="161">
      <c r="A161" t="inlineStr">
        <is>
          <t>0667559666820</t>
        </is>
      </c>
      <c r="B161" t="inlineStr">
        <is>
          <t>Victoria's Secret Love Spell Daydream Body Mist 250ml</t>
        </is>
      </c>
      <c r="C161" t="inlineStr">
        <is>
          <t>Body Mist</t>
        </is>
      </c>
      <c r="D161" t="inlineStr">
        <is>
          <t>Victoria's Secret</t>
        </is>
      </c>
      <c r="E161" t="n">
        <v>14.01</v>
      </c>
      <c r="F161" t="n">
        <v>1</v>
      </c>
      <c r="G161" t="n">
        <v>48</v>
      </c>
      <c r="H161" s="5">
        <f>HYPERLINK("https://api.qogita.com/variants/link/0667559666820/", "View Product")</f>
        <v/>
      </c>
    </row>
    <row r="162">
      <c r="A162" t="inlineStr">
        <is>
          <t>0667560152947</t>
        </is>
      </c>
      <c r="B162" t="inlineStr">
        <is>
          <t>Victoria's Secret Amber Romance Daydream Body Mist Spray 250ml</t>
        </is>
      </c>
      <c r="C162" t="inlineStr">
        <is>
          <t>Body Mist</t>
        </is>
      </c>
      <c r="D162" t="inlineStr">
        <is>
          <t>Victoria's Secret</t>
        </is>
      </c>
      <c r="E162" t="n">
        <v>12.05</v>
      </c>
      <c r="F162" t="n">
        <v>1</v>
      </c>
      <c r="G162" t="n">
        <v>12</v>
      </c>
      <c r="H162" s="5">
        <f>HYPERLINK("https://api.qogita.com/variants/link/0667560152947/", "View Product")</f>
        <v/>
      </c>
    </row>
    <row r="163">
      <c r="A163" t="inlineStr">
        <is>
          <t>0667560239419</t>
        </is>
      </c>
      <c r="B163" t="inlineStr">
        <is>
          <t>Victoria's Secret Bubbles &amp; Berries Fragrance Mist Dream Date</t>
        </is>
      </c>
      <c r="C163" t="inlineStr">
        <is>
          <t>Eau De Toilette</t>
        </is>
      </c>
      <c r="D163" t="inlineStr">
        <is>
          <t>Victoria's Secret</t>
        </is>
      </c>
      <c r="E163" t="n">
        <v>12.52</v>
      </c>
      <c r="F163" t="n">
        <v>1</v>
      </c>
      <c r="G163" t="n">
        <v>5</v>
      </c>
      <c r="H163" s="5">
        <f>HYPERLINK("https://api.qogita.com/variants/link/0667560239419/", "View Product")</f>
        <v/>
      </c>
    </row>
    <row r="164">
      <c r="A164" t="inlineStr">
        <is>
          <t>0669259001154</t>
        </is>
      </c>
      <c r="B164" t="inlineStr">
        <is>
          <t>Little Green Baby Nourishing Body Lotion, 1 X 60 Ml</t>
        </is>
      </c>
      <c r="C164" t="inlineStr">
        <is>
          <t>Baby &amp; Child</t>
        </is>
      </c>
      <c r="D164" t="inlineStr">
        <is>
          <t>Little Green</t>
        </is>
      </c>
      <c r="E164" t="n">
        <v>2.79</v>
      </c>
      <c r="F164" t="n">
        <v>1</v>
      </c>
      <c r="G164" t="n">
        <v>12</v>
      </c>
      <c r="H164" s="5">
        <f>HYPERLINK("https://api.qogita.com/variants/link/0669259001154/", "View Product")</f>
        <v/>
      </c>
    </row>
    <row r="165">
      <c r="A165" t="inlineStr">
        <is>
          <t>0669259003325</t>
        </is>
      </c>
      <c r="B165" t="inlineStr">
        <is>
          <t>Ecru New York Rejuvenating Shampoo 8 Fl Oz</t>
        </is>
      </c>
      <c r="C165" t="inlineStr">
        <is>
          <t>Shampoo</t>
        </is>
      </c>
      <c r="D165" t="inlineStr">
        <is>
          <t>Ecru New York</t>
        </is>
      </c>
      <c r="E165" t="n">
        <v>14.29</v>
      </c>
      <c r="F165" t="n">
        <v>1</v>
      </c>
      <c r="G165" t="n">
        <v>5</v>
      </c>
      <c r="H165" s="5">
        <f>HYPERLINK("https://api.qogita.com/variants/link/0669259003325/", "View Product")</f>
        <v/>
      </c>
    </row>
    <row r="166">
      <c r="A166" t="inlineStr">
        <is>
          <t>0669259003387</t>
        </is>
      </c>
      <c r="B166" t="inlineStr">
        <is>
          <t>Ecru New York Sea Clean Shampoo</t>
        </is>
      </c>
      <c r="C166" t="inlineStr">
        <is>
          <t>Shampoo</t>
        </is>
      </c>
      <c r="D166" t="inlineStr">
        <is>
          <t>Ecru New York</t>
        </is>
      </c>
      <c r="E166" t="n">
        <v>13.76</v>
      </c>
      <c r="F166" t="n">
        <v>1</v>
      </c>
      <c r="G166" t="n">
        <v>2</v>
      </c>
      <c r="H166" s="5">
        <f>HYPERLINK("https://api.qogita.com/variants/link/0669259003387/", "View Product")</f>
        <v/>
      </c>
    </row>
    <row r="167">
      <c r="A167" t="inlineStr">
        <is>
          <t>0669259003660</t>
        </is>
      </c>
      <c r="B167" t="inlineStr">
        <is>
          <t>ECRU NEW YORK Defining Paste 1.69oz Medium Hold Men's Styling Balm and Pomade for Short to Mid Length Hair</t>
        </is>
      </c>
      <c r="C167" t="inlineStr">
        <is>
          <t>Wax</t>
        </is>
      </c>
      <c r="D167" t="inlineStr">
        <is>
          <t>Ecru New York</t>
        </is>
      </c>
      <c r="E167" t="n">
        <v>13.63</v>
      </c>
      <c r="F167" t="n">
        <v>1</v>
      </c>
      <c r="G167" t="n">
        <v>2</v>
      </c>
      <c r="H167" s="5">
        <f>HYPERLINK("https://api.qogita.com/variants/link/0669259003660/", "View Product")</f>
        <v/>
      </c>
    </row>
    <row r="168">
      <c r="A168" t="inlineStr">
        <is>
          <t>0669259003912</t>
        </is>
      </c>
      <c r="B168" t="inlineStr">
        <is>
          <t>Ecru New York Curl Perfect Air-Dry Foam 4oz</t>
        </is>
      </c>
      <c r="C168" t="inlineStr">
        <is>
          <t>Mousse</t>
        </is>
      </c>
      <c r="D168" t="inlineStr">
        <is>
          <t>Ecru New York</t>
        </is>
      </c>
      <c r="E168" t="n">
        <v>14.1</v>
      </c>
      <c r="F168" t="n">
        <v>1</v>
      </c>
      <c r="G168" t="n">
        <v>3</v>
      </c>
      <c r="H168" s="5">
        <f>HYPERLINK("https://api.qogita.com/variants/link/0669259003912/", "View Product")</f>
        <v/>
      </c>
    </row>
    <row r="169">
      <c r="A169" t="inlineStr">
        <is>
          <t>0669316058220</t>
        </is>
      </c>
      <c r="B169" t="inlineStr">
        <is>
          <t>American Crew Classic 3-in-1 Shampoo, Conditioner &amp; Body Wash 250ml</t>
        </is>
      </c>
      <c r="C169" t="inlineStr">
        <is>
          <t>Shampoo</t>
        </is>
      </c>
      <c r="D169" t="inlineStr">
        <is>
          <t>American Crew</t>
        </is>
      </c>
      <c r="E169" t="n">
        <v>6.23</v>
      </c>
      <c r="F169" t="n">
        <v>1</v>
      </c>
      <c r="G169" t="n">
        <v>26</v>
      </c>
      <c r="H169" s="5">
        <f>HYPERLINK("https://api.qogita.com/variants/link/0669316058220/", "View Product")</f>
        <v/>
      </c>
    </row>
    <row r="170">
      <c r="A170" t="inlineStr">
        <is>
          <t>0669316069141</t>
        </is>
      </c>
      <c r="B170" t="inlineStr">
        <is>
          <t>D:FI Deep Conditioners &amp; Treatments</t>
        </is>
      </c>
      <c r="C170" t="inlineStr">
        <is>
          <t>Hair Masks</t>
        </is>
      </c>
      <c r="D170" t="inlineStr">
        <is>
          <t>D:Fi</t>
        </is>
      </c>
      <c r="E170" t="n">
        <v>4.43</v>
      </c>
      <c r="F170" t="n">
        <v>1</v>
      </c>
      <c r="G170" t="n">
        <v>30</v>
      </c>
      <c r="H170" s="5">
        <f>HYPERLINK("https://api.qogita.com/variants/link/0669316069141/", "View Product")</f>
        <v/>
      </c>
    </row>
    <row r="171">
      <c r="A171" t="inlineStr">
        <is>
          <t>0669316073728</t>
        </is>
      </c>
      <c r="B171" t="inlineStr">
        <is>
          <t>d:fi Extreme Hold Styling Cream 150ml</t>
        </is>
      </c>
      <c r="C171" t="inlineStr">
        <is>
          <t>Styling Creams</t>
        </is>
      </c>
      <c r="D171" t="inlineStr">
        <is>
          <t>D:Fi</t>
        </is>
      </c>
      <c r="E171" t="n">
        <v>7.35</v>
      </c>
      <c r="F171" t="n">
        <v>1</v>
      </c>
      <c r="G171" t="n">
        <v>10</v>
      </c>
      <c r="H171" s="5">
        <f>HYPERLINK("https://api.qogita.com/variants/link/0669316073728/", "View Product")</f>
        <v/>
      </c>
    </row>
    <row r="172">
      <c r="A172" t="inlineStr">
        <is>
          <t>0669316076026</t>
        </is>
      </c>
      <c r="B172" t="inlineStr">
        <is>
          <t>American Crew Firm Hold Styling Gel 390ml</t>
        </is>
      </c>
      <c r="C172" t="inlineStr">
        <is>
          <t>Gel</t>
        </is>
      </c>
      <c r="D172" t="inlineStr">
        <is>
          <t>American Crew</t>
        </is>
      </c>
      <c r="E172" t="n">
        <v>7.18</v>
      </c>
      <c r="F172" t="n">
        <v>1</v>
      </c>
      <c r="G172" t="n">
        <v>22</v>
      </c>
      <c r="H172" s="5">
        <f>HYPERLINK("https://api.qogita.com/variants/link/0669316076026/", "View Product")</f>
        <v/>
      </c>
    </row>
    <row r="173">
      <c r="A173" t="inlineStr">
        <is>
          <t>0669316080733</t>
        </is>
      </c>
      <c r="B173" t="inlineStr">
        <is>
          <t>American Crew Grooming Spray 250ml / 8.45oz</t>
        </is>
      </c>
      <c r="C173" t="inlineStr">
        <is>
          <t>Styling Sprays</t>
        </is>
      </c>
      <c r="D173" t="inlineStr">
        <is>
          <t>American Crew</t>
        </is>
      </c>
      <c r="E173" t="n">
        <v>5.98</v>
      </c>
      <c r="F173" t="n">
        <v>1</v>
      </c>
      <c r="G173" t="n">
        <v>5</v>
      </c>
      <c r="H173" s="5">
        <f>HYPERLINK("https://api.qogita.com/variants/link/0669316080733/", "View Product")</f>
        <v/>
      </c>
    </row>
    <row r="174">
      <c r="A174" t="inlineStr">
        <is>
          <t>0669316214848</t>
        </is>
      </c>
      <c r="B174" t="inlineStr">
        <is>
          <t>American Crew 3-in-1 Shampoo/Conditioner and Body Wash Tea Tree 450ml</t>
        </is>
      </c>
      <c r="C174" t="inlineStr">
        <is>
          <t>Shampoo</t>
        </is>
      </c>
      <c r="D174" t="inlineStr">
        <is>
          <t>American Crew</t>
        </is>
      </c>
      <c r="E174" t="n">
        <v>9.140000000000001</v>
      </c>
      <c r="F174" t="n">
        <v>1</v>
      </c>
      <c r="G174" t="n">
        <v>14</v>
      </c>
      <c r="H174" s="5">
        <f>HYPERLINK("https://api.qogita.com/variants/link/0669316214848/", "View Product")</f>
        <v/>
      </c>
    </row>
    <row r="175">
      <c r="A175" t="inlineStr">
        <is>
          <t>0669316401699</t>
        </is>
      </c>
      <c r="B175" t="inlineStr">
        <is>
          <t>American Crew Beard Serum Multicolor 50ml</t>
        </is>
      </c>
      <c r="C175" t="inlineStr">
        <is>
          <t>Beard Care Sets</t>
        </is>
      </c>
      <c r="D175" t="inlineStr">
        <is>
          <t>American Crew</t>
        </is>
      </c>
      <c r="E175" t="n">
        <v>6.83</v>
      </c>
      <c r="F175" t="n">
        <v>1</v>
      </c>
      <c r="G175" t="n">
        <v>41</v>
      </c>
      <c r="H175" s="5">
        <f>HYPERLINK("https://api.qogita.com/variants/link/0669316401699/", "View Product")</f>
        <v/>
      </c>
    </row>
    <row r="176">
      <c r="A176" t="inlineStr">
        <is>
          <t>0669316404652</t>
        </is>
      </c>
      <c r="B176" t="inlineStr">
        <is>
          <t>American Crew Precision Shave Gel for Normal to Fine Beard Types 450ml</t>
        </is>
      </c>
      <c r="C176" t="inlineStr">
        <is>
          <t>Shaving</t>
        </is>
      </c>
      <c r="D176" t="inlineStr">
        <is>
          <t>American Crew</t>
        </is>
      </c>
      <c r="E176" t="n">
        <v>12.78</v>
      </c>
      <c r="F176" t="n">
        <v>1</v>
      </c>
      <c r="G176" t="n">
        <v>13</v>
      </c>
      <c r="H176" s="5">
        <f>HYPERLINK("https://api.qogita.com/variants/link/0669316404652/", "View Product")</f>
        <v/>
      </c>
    </row>
    <row r="177">
      <c r="A177" t="inlineStr">
        <is>
          <t>0669316457108</t>
        </is>
      </c>
      <c r="B177" t="inlineStr">
        <is>
          <t>American Crew 2-in-1 Skin Moisturizer and Beard Conditioner 100ml</t>
        </is>
      </c>
      <c r="C177" t="inlineStr">
        <is>
          <t>Beard Care Accessories</t>
        </is>
      </c>
      <c r="D177" t="inlineStr">
        <is>
          <t>American Crew</t>
        </is>
      </c>
      <c r="E177" t="n">
        <v>6.86</v>
      </c>
      <c r="F177" t="n">
        <v>1</v>
      </c>
      <c r="G177" t="n">
        <v>10</v>
      </c>
      <c r="H177" s="5">
        <f>HYPERLINK("https://api.qogita.com/variants/link/0669316457108/", "View Product")</f>
        <v/>
      </c>
    </row>
    <row r="178">
      <c r="A178" t="inlineStr">
        <is>
          <t>0679602111225</t>
        </is>
      </c>
      <c r="B178" t="inlineStr">
        <is>
          <t>Pino Silvestre Amber Woods 125ml Eau de Toilette for Men - Brand New in Original Packaging</t>
        </is>
      </c>
      <c r="C178" t="inlineStr">
        <is>
          <t>Eau De Toilette</t>
        </is>
      </c>
      <c r="D178" t="inlineStr">
        <is>
          <t>Pino Silvestre</t>
        </is>
      </c>
      <c r="E178" t="n">
        <v>10.04</v>
      </c>
      <c r="F178" t="n">
        <v>1</v>
      </c>
      <c r="G178" t="n">
        <v>26</v>
      </c>
      <c r="H178" s="5">
        <f>HYPERLINK("https://api.qogita.com/variants/link/0679602111225/", "View Product")</f>
        <v/>
      </c>
    </row>
    <row r="179">
      <c r="A179" t="inlineStr">
        <is>
          <t>0679602141000</t>
        </is>
      </c>
      <c r="B179" t="inlineStr">
        <is>
          <t>Police Potion Love Eau De Parfum 100ml</t>
        </is>
      </c>
      <c r="C179" t="inlineStr">
        <is>
          <t>Eau De Parfum</t>
        </is>
      </c>
      <c r="D179" t="inlineStr">
        <is>
          <t>Police</t>
        </is>
      </c>
      <c r="E179" t="n">
        <v>18.19</v>
      </c>
      <c r="F179" t="n">
        <v>1</v>
      </c>
      <c r="G179" t="n">
        <v>14</v>
      </c>
      <c r="H179" s="5">
        <f>HYPERLINK("https://api.qogita.com/variants/link/0679602141000/", "View Product")</f>
        <v/>
      </c>
    </row>
    <row r="180">
      <c r="A180" t="inlineStr">
        <is>
          <t>0679602148108</t>
        </is>
      </c>
      <c r="B180" t="inlineStr">
        <is>
          <t>Police Potion Power Eau De Parfum 50ml White</t>
        </is>
      </c>
      <c r="C180" t="inlineStr">
        <is>
          <t>Eau De Parfum</t>
        </is>
      </c>
      <c r="D180" t="inlineStr">
        <is>
          <t>Police</t>
        </is>
      </c>
      <c r="E180" t="n">
        <v>15.49</v>
      </c>
      <c r="F180" t="n">
        <v>1</v>
      </c>
      <c r="G180" t="n">
        <v>2</v>
      </c>
      <c r="H180" s="5">
        <f>HYPERLINK("https://api.qogita.com/variants/link/0679602148108/", "View Product")</f>
        <v/>
      </c>
    </row>
    <row r="181">
      <c r="A181" t="inlineStr">
        <is>
          <t>0679602149129</t>
        </is>
      </c>
      <c r="B181" t="inlineStr">
        <is>
          <t>Police Potion Love Eau De Parfum 30ml</t>
        </is>
      </c>
      <c r="C181" t="inlineStr">
        <is>
          <t>Eau De Parfum</t>
        </is>
      </c>
      <c r="D181" t="inlineStr">
        <is>
          <t>Police</t>
        </is>
      </c>
      <c r="E181" t="n">
        <v>10.13</v>
      </c>
      <c r="F181" t="n">
        <v>1</v>
      </c>
      <c r="G181" t="n">
        <v>3</v>
      </c>
      <c r="H181" s="5">
        <f>HYPERLINK("https://api.qogita.com/variants/link/0679602149129/", "View Product")</f>
        <v/>
      </c>
    </row>
    <row r="182">
      <c r="A182" t="inlineStr">
        <is>
          <t>0679602160100</t>
        </is>
      </c>
      <c r="B182" t="inlineStr">
        <is>
          <t>Police To Be Tattooart For Men 2.5 Oz EDT Spray 75ml</t>
        </is>
      </c>
      <c r="C182" t="inlineStr">
        <is>
          <t>Eau De Toilette</t>
        </is>
      </c>
      <c r="D182" t="inlineStr">
        <is>
          <t>Police</t>
        </is>
      </c>
      <c r="E182" t="n">
        <v>11.73</v>
      </c>
      <c r="F182" t="n">
        <v>1</v>
      </c>
      <c r="G182" t="n">
        <v>13</v>
      </c>
      <c r="H182" s="5">
        <f>HYPERLINK("https://api.qogita.com/variants/link/0679602160100/", "View Product")</f>
        <v/>
      </c>
    </row>
    <row r="183">
      <c r="A183" t="inlineStr">
        <is>
          <t>0679602160124</t>
        </is>
      </c>
      <c r="B183" t="inlineStr">
        <is>
          <t>Police To Be Tattooart Eau De Toilette 40ml</t>
        </is>
      </c>
      <c r="C183" t="inlineStr">
        <is>
          <t>Eau De Toilette</t>
        </is>
      </c>
      <c r="D183" t="inlineStr">
        <is>
          <t>Police</t>
        </is>
      </c>
      <c r="E183" t="n">
        <v>9.99</v>
      </c>
      <c r="F183" t="n">
        <v>1</v>
      </c>
      <c r="G183" t="n">
        <v>11</v>
      </c>
      <c r="H183" s="5">
        <f>HYPERLINK("https://api.qogita.com/variants/link/0679602160124/", "View Product")</f>
        <v/>
      </c>
    </row>
    <row r="184">
      <c r="A184" t="inlineStr">
        <is>
          <t>0679602173124</t>
        </is>
      </c>
      <c r="B184" t="inlineStr">
        <is>
          <t>Police To Be Exotic Jungle Eau De Toilette 40ml</t>
        </is>
      </c>
      <c r="C184" t="inlineStr">
        <is>
          <t>Eau De Toilette</t>
        </is>
      </c>
      <c r="D184" t="inlineStr">
        <is>
          <t>Police</t>
        </is>
      </c>
      <c r="E184" t="n">
        <v>9.69</v>
      </c>
      <c r="F184" t="n">
        <v>1</v>
      </c>
      <c r="G184" t="n">
        <v>10</v>
      </c>
      <c r="H184" s="5">
        <f>HYPERLINK("https://api.qogita.com/variants/link/0679602173124/", "View Product")</f>
        <v/>
      </c>
    </row>
    <row r="185">
      <c r="A185" t="inlineStr">
        <is>
          <t>0679602181112</t>
        </is>
      </c>
      <c r="B185" t="inlineStr">
        <is>
          <t>Police To Be Sweet Girl 125ml EDT Spray</t>
        </is>
      </c>
      <c r="C185" t="inlineStr">
        <is>
          <t>Eau De Toilette</t>
        </is>
      </c>
      <c r="D185" t="inlineStr">
        <is>
          <t>Police</t>
        </is>
      </c>
      <c r="E185" t="n">
        <v>14.77</v>
      </c>
      <c r="F185" t="n">
        <v>1</v>
      </c>
      <c r="G185" t="n">
        <v>7</v>
      </c>
      <c r="H185" s="5">
        <f>HYPERLINK("https://api.qogita.com/variants/link/0679602181112/", "View Product")</f>
        <v/>
      </c>
    </row>
    <row r="186">
      <c r="A186" t="inlineStr">
        <is>
          <t>0679602231015</t>
        </is>
      </c>
      <c r="B186" t="inlineStr">
        <is>
          <t>Police Frozen EDT Spray Sweet 100ml</t>
        </is>
      </c>
      <c r="C186" t="inlineStr">
        <is>
          <t>Eau De Toilette</t>
        </is>
      </c>
      <c r="D186" t="inlineStr">
        <is>
          <t>Police</t>
        </is>
      </c>
      <c r="E186" t="n">
        <v>8.92</v>
      </c>
      <c r="F186" t="n">
        <v>1</v>
      </c>
      <c r="G186" t="n">
        <v>30</v>
      </c>
      <c r="H186" s="5">
        <f>HYPERLINK("https://api.qogita.com/variants/link/0679602231015/", "View Product")</f>
        <v/>
      </c>
    </row>
    <row r="187">
      <c r="A187" t="inlineStr">
        <is>
          <t>0679602251105</t>
        </is>
      </c>
      <c r="B187" t="inlineStr">
        <is>
          <t>Police Eau De Toilette for Men 100ml</t>
        </is>
      </c>
      <c r="C187" t="inlineStr">
        <is>
          <t>Eau De Toilette</t>
        </is>
      </c>
      <c r="D187" t="inlineStr">
        <is>
          <t>Police</t>
        </is>
      </c>
      <c r="E187" t="n">
        <v>8.1</v>
      </c>
      <c r="F187" t="n">
        <v>1</v>
      </c>
      <c r="G187" t="n">
        <v>8</v>
      </c>
      <c r="H187" s="5">
        <f>HYPERLINK("https://api.qogita.com/variants/link/0679602251105/", "View Product")</f>
        <v/>
      </c>
    </row>
    <row r="188">
      <c r="A188" t="inlineStr">
        <is>
          <t>0679602407113</t>
        </is>
      </c>
      <c r="B188" t="inlineStr">
        <is>
          <t>The Merchant Of Venice Accordi Di Profumo Zafferano Iran Eau De Parfum 30 Ml</t>
        </is>
      </c>
      <c r="C188" t="inlineStr">
        <is>
          <t>Eau De Parfum</t>
        </is>
      </c>
      <c r="D188" t="inlineStr">
        <is>
          <t>The Merchant Of Venice</t>
        </is>
      </c>
      <c r="E188" t="n">
        <v>29.66</v>
      </c>
      <c r="F188" t="n">
        <v>1</v>
      </c>
      <c r="G188" t="n">
        <v>2</v>
      </c>
      <c r="H188" s="5">
        <f>HYPERLINK("https://api.qogita.com/variants/link/0679602407113/", "View Product")</f>
        <v/>
      </c>
    </row>
    <row r="189">
      <c r="A189" t="inlineStr">
        <is>
          <t>0679602411127</t>
        </is>
      </c>
      <c r="B189" t="inlineStr">
        <is>
          <t>The Merchant Of Venice Gold Regatta Eau De Parfum 100ml</t>
        </is>
      </c>
      <c r="C189" t="inlineStr">
        <is>
          <t>Eau De Parfum</t>
        </is>
      </c>
      <c r="D189" t="inlineStr">
        <is>
          <t>The Merchant Of Venice</t>
        </is>
      </c>
      <c r="E189" t="n">
        <v>104.55</v>
      </c>
      <c r="F189" t="n">
        <v>1</v>
      </c>
      <c r="G189" t="n">
        <v>14</v>
      </c>
      <c r="H189" s="5">
        <f>HYPERLINK("https://api.qogita.com/variants/link/0679602411127/", "View Product")</f>
        <v/>
      </c>
    </row>
    <row r="190">
      <c r="A190" t="inlineStr">
        <is>
          <t>0679602451062</t>
        </is>
      </c>
      <c r="B190" t="inlineStr">
        <is>
          <t>Monotheme Black Label Saffron Eau de Parfum Spray 100ml</t>
        </is>
      </c>
      <c r="C190" t="inlineStr">
        <is>
          <t>Eau De Parfum</t>
        </is>
      </c>
      <c r="D190" t="inlineStr">
        <is>
          <t>Monotheme</t>
        </is>
      </c>
      <c r="E190" t="n">
        <v>10.67</v>
      </c>
      <c r="F190" t="n">
        <v>1</v>
      </c>
      <c r="G190" t="n">
        <v>9</v>
      </c>
      <c r="H190" s="5">
        <f>HYPERLINK("https://api.qogita.com/variants/link/0679602451062/", "View Product")</f>
        <v/>
      </c>
    </row>
    <row r="191">
      <c r="A191" t="inlineStr">
        <is>
          <t>0679602480710</t>
        </is>
      </c>
      <c r="B191" t="inlineStr">
        <is>
          <t>The Merchant Of Venice Accordi Di Profumo Bergamotto Italia Eau De Parfum 30 Ml</t>
        </is>
      </c>
      <c r="C191" t="inlineStr">
        <is>
          <t>Eau De Parfum</t>
        </is>
      </c>
      <c r="D191" t="inlineStr">
        <is>
          <t>The Merchant Of Venice</t>
        </is>
      </c>
      <c r="E191" t="n">
        <v>90.19</v>
      </c>
      <c r="F191" t="n">
        <v>1</v>
      </c>
      <c r="G191" t="n">
        <v>10</v>
      </c>
      <c r="H191" s="5">
        <f>HYPERLINK("https://api.qogita.com/variants/link/0679602480710/", "View Product")</f>
        <v/>
      </c>
    </row>
    <row r="192">
      <c r="A192" t="inlineStr">
        <is>
          <t>0679602508827</t>
        </is>
      </c>
      <c r="B192" t="inlineStr">
        <is>
          <t>Police Miss Bouquet Shower Gel 400 Ml</t>
        </is>
      </c>
      <c r="C192" t="inlineStr">
        <is>
          <t>Shower Gel</t>
        </is>
      </c>
      <c r="D192" t="inlineStr">
        <is>
          <t>Police</t>
        </is>
      </c>
      <c r="E192" t="n">
        <v>2.38</v>
      </c>
      <c r="F192" t="n">
        <v>1</v>
      </c>
      <c r="G192" t="n">
        <v>227</v>
      </c>
      <c r="H192" s="5">
        <f>HYPERLINK("https://api.qogita.com/variants/link/0679602508827/", "View Product")</f>
        <v/>
      </c>
    </row>
    <row r="193">
      <c r="A193" t="inlineStr">
        <is>
          <t>0679602531108</t>
        </is>
      </c>
      <c r="B193" t="inlineStr">
        <is>
          <t>Police Contemporary Amber Gold For Men Eau de Toilette 100ml</t>
        </is>
      </c>
      <c r="C193" t="inlineStr">
        <is>
          <t>Eau De Toilette</t>
        </is>
      </c>
      <c r="D193" t="inlineStr">
        <is>
          <t>Police</t>
        </is>
      </c>
      <c r="E193" t="n">
        <v>10.79</v>
      </c>
      <c r="F193" t="n">
        <v>1</v>
      </c>
      <c r="G193" t="n">
        <v>2</v>
      </c>
      <c r="H193" s="5">
        <f>HYPERLINK("https://api.qogita.com/variants/link/0679602531108/", "View Product")</f>
        <v/>
      </c>
    </row>
    <row r="194">
      <c r="A194" t="inlineStr">
        <is>
          <t>0679602581103</t>
        </is>
      </c>
      <c r="B194" t="inlineStr">
        <is>
          <t>Police Hot Pink Eau De Toilette 100ml</t>
        </is>
      </c>
      <c r="C194" t="inlineStr">
        <is>
          <t>Eau De Toilette</t>
        </is>
      </c>
      <c r="D194" t="inlineStr">
        <is>
          <t>Police</t>
        </is>
      </c>
      <c r="E194" t="n">
        <v>8.94</v>
      </c>
      <c r="F194" t="n">
        <v>1</v>
      </c>
      <c r="G194" t="n">
        <v>2</v>
      </c>
      <c r="H194" s="5">
        <f>HYPERLINK("https://api.qogita.com/variants/link/0679602581103/", "View Product")</f>
        <v/>
      </c>
    </row>
    <row r="195">
      <c r="A195" t="inlineStr">
        <is>
          <t>0679602601085</t>
        </is>
      </c>
      <c r="B195" t="inlineStr">
        <is>
          <t>Police To Be Or Not To Be Eau De Toilette Spray for Him 75ml</t>
        </is>
      </c>
      <c r="C195" t="inlineStr">
        <is>
          <t>Eau De Toilette</t>
        </is>
      </c>
      <c r="D195" t="inlineStr">
        <is>
          <t>Police</t>
        </is>
      </c>
      <c r="E195" t="n">
        <v>12.6</v>
      </c>
      <c r="F195" t="n">
        <v>1</v>
      </c>
      <c r="G195" t="n">
        <v>5</v>
      </c>
      <c r="H195" s="5">
        <f>HYPERLINK("https://api.qogita.com/variants/link/0679602601085/", "View Product")</f>
        <v/>
      </c>
    </row>
    <row r="196">
      <c r="A196" t="inlineStr">
        <is>
          <t>0679602681117</t>
        </is>
      </c>
      <c r="B196" t="inlineStr">
        <is>
          <t>Monotheme Zagara Eau de Toilette 100ml</t>
        </is>
      </c>
      <c r="C196" t="inlineStr">
        <is>
          <t>Eau De Toilette</t>
        </is>
      </c>
      <c r="D196" t="inlineStr">
        <is>
          <t>Monotheme</t>
        </is>
      </c>
      <c r="E196" t="n">
        <v>12.72</v>
      </c>
      <c r="F196" t="n">
        <v>1</v>
      </c>
      <c r="G196" t="n">
        <v>5</v>
      </c>
      <c r="H196" s="5">
        <f>HYPERLINK("https://api.qogita.com/variants/link/0679602681117/", "View Product")</f>
        <v/>
      </c>
    </row>
    <row r="197">
      <c r="A197" t="inlineStr">
        <is>
          <t>0679602772426</t>
        </is>
      </c>
      <c r="B197" t="inlineStr">
        <is>
          <t>Police To Be Camouflage Eau De Toilette for Men 40ml</t>
        </is>
      </c>
      <c r="C197" t="inlineStr">
        <is>
          <t>Eau De Toilette</t>
        </is>
      </c>
      <c r="D197" t="inlineStr">
        <is>
          <t>Police</t>
        </is>
      </c>
      <c r="E197" t="n">
        <v>8.380000000000001</v>
      </c>
      <c r="F197" t="n">
        <v>1</v>
      </c>
      <c r="G197" t="n">
        <v>2</v>
      </c>
      <c r="H197" s="5">
        <f>HYPERLINK("https://api.qogita.com/variants/link/0679602772426/", "View Product")</f>
        <v/>
      </c>
    </row>
    <row r="198">
      <c r="A198" t="inlineStr">
        <is>
          <t>0679602852425</t>
        </is>
      </c>
      <c r="B198" t="inlineStr">
        <is>
          <t>Police To Be Goodvibes Eau De Toilette 40ml</t>
        </is>
      </c>
      <c r="C198" t="inlineStr">
        <is>
          <t>Eau De Toilette</t>
        </is>
      </c>
      <c r="D198" t="inlineStr">
        <is>
          <t>Police</t>
        </is>
      </c>
      <c r="E198" t="n">
        <v>9.41</v>
      </c>
      <c r="F198" t="n">
        <v>1</v>
      </c>
      <c r="G198" t="n">
        <v>5</v>
      </c>
      <c r="H198" s="5">
        <f>HYPERLINK("https://api.qogita.com/variants/link/0679602852425/", "View Product")</f>
        <v/>
      </c>
    </row>
    <row r="199">
      <c r="A199" t="inlineStr">
        <is>
          <t>0679614304080</t>
        </is>
      </c>
      <c r="B199" t="inlineStr">
        <is>
          <t>ZIRH Classic Eau de Toilette Spray 125ml</t>
        </is>
      </c>
      <c r="C199" t="inlineStr">
        <is>
          <t>Eau De Toilette</t>
        </is>
      </c>
      <c r="D199" t="inlineStr">
        <is>
          <t>ZIRH</t>
        </is>
      </c>
      <c r="E199" t="n">
        <v>9.710000000000001</v>
      </c>
      <c r="F199" t="n">
        <v>1</v>
      </c>
      <c r="G199" t="n">
        <v>6</v>
      </c>
      <c r="H199" s="5">
        <f>HYPERLINK("https://api.qogita.com/variants/link/0679614304080/", "View Product")</f>
        <v/>
      </c>
    </row>
    <row r="200">
      <c r="A200" t="inlineStr">
        <is>
          <t>0681619813320</t>
        </is>
      </c>
      <c r="B200" t="inlineStr">
        <is>
          <t>Thebalm Plump Your Pucker Elaborate</t>
        </is>
      </c>
      <c r="C200" t="inlineStr">
        <is>
          <t>Lip Plumper</t>
        </is>
      </c>
      <c r="D200" t="inlineStr">
        <is>
          <t>Thebalm</t>
        </is>
      </c>
      <c r="E200" t="n">
        <v>4.81</v>
      </c>
      <c r="F200" t="n">
        <v>1</v>
      </c>
      <c r="G200" t="n">
        <v>12</v>
      </c>
      <c r="H200" s="5">
        <f>HYPERLINK("https://api.qogita.com/variants/link/0681619813320/", "View Product")</f>
        <v/>
      </c>
    </row>
    <row r="201">
      <c r="A201" t="inlineStr">
        <is>
          <t>0681619813528</t>
        </is>
      </c>
      <c r="B201" t="inlineStr">
        <is>
          <t>Thebalm Jour Ciao</t>
        </is>
      </c>
      <c r="C201" t="inlineStr">
        <is>
          <t>Lip Balm</t>
        </is>
      </c>
      <c r="D201" t="inlineStr">
        <is>
          <t>Thebalm</t>
        </is>
      </c>
      <c r="E201" t="n">
        <v>4.81</v>
      </c>
      <c r="F201" t="n">
        <v>1</v>
      </c>
      <c r="G201" t="n">
        <v>3</v>
      </c>
      <c r="H201" s="5">
        <f>HYPERLINK("https://api.qogita.com/variants/link/0681619813528/", "View Product")</f>
        <v/>
      </c>
    </row>
    <row r="202">
      <c r="A202" t="inlineStr">
        <is>
          <t>0685428000803</t>
        </is>
      </c>
      <c r="B202" t="inlineStr">
        <is>
          <t>Bumble and Bumble Sunday Purifying Clay Wash 150ml</t>
        </is>
      </c>
      <c r="C202" t="inlineStr">
        <is>
          <t>Shampoo</t>
        </is>
      </c>
      <c r="D202" t="inlineStr">
        <is>
          <t>Bumble And Bumble</t>
        </is>
      </c>
      <c r="E202" t="n">
        <v>28.48</v>
      </c>
      <c r="F202" t="n">
        <v>1</v>
      </c>
      <c r="G202" t="n">
        <v>20</v>
      </c>
      <c r="H202" s="5">
        <f>HYPERLINK("https://api.qogita.com/variants/link/0685428000803/", "View Product")</f>
        <v/>
      </c>
    </row>
    <row r="203">
      <c r="A203" t="inlineStr">
        <is>
          <t>0685428001527</t>
        </is>
      </c>
      <c r="B203" t="inlineStr">
        <is>
          <t>Sunday Shampoo Bumble and Bumble 8oz Shampoo for Unisex</t>
        </is>
      </c>
      <c r="C203" t="inlineStr">
        <is>
          <t>Shampoo</t>
        </is>
      </c>
      <c r="D203" t="inlineStr">
        <is>
          <t>Bumble And Bumble</t>
        </is>
      </c>
      <c r="E203" t="n">
        <v>20.21</v>
      </c>
      <c r="F203" t="n">
        <v>1</v>
      </c>
      <c r="G203" t="n">
        <v>7</v>
      </c>
      <c r="H203" s="5">
        <f>HYPERLINK("https://api.qogita.com/variants/link/0685428001527/", "View Product")</f>
        <v/>
      </c>
    </row>
    <row r="204">
      <c r="A204" t="inlineStr">
        <is>
          <t>0685428010697</t>
        </is>
      </c>
      <c r="B204" t="inlineStr">
        <is>
          <t>Bumble &amp; Bumble Gel Mens Hair Care 150ml</t>
        </is>
      </c>
      <c r="C204" t="inlineStr">
        <is>
          <t>Gel</t>
        </is>
      </c>
      <c r="D204" t="inlineStr">
        <is>
          <t>Bumble And Bumble</t>
        </is>
      </c>
      <c r="E204" t="n">
        <v>22.16</v>
      </c>
      <c r="F204" t="n">
        <v>1</v>
      </c>
      <c r="G204" t="n">
        <v>5</v>
      </c>
      <c r="H204" s="5">
        <f>HYPERLINK("https://api.qogita.com/variants/link/0685428010697/", "View Product")</f>
        <v/>
      </c>
    </row>
    <row r="205">
      <c r="A205" t="inlineStr">
        <is>
          <t>0685428018228</t>
        </is>
      </c>
      <c r="B205" t="inlineStr">
        <is>
          <t>Bumble and Bumble Full Potential Hair Preserving Shampoo for Unisex 33.79 Ounce</t>
        </is>
      </c>
      <c r="C205" t="inlineStr">
        <is>
          <t>Shampoo</t>
        </is>
      </c>
      <c r="D205" t="inlineStr">
        <is>
          <t>Bumble And Bumble</t>
        </is>
      </c>
      <c r="E205" t="n">
        <v>65.33</v>
      </c>
      <c r="F205" t="n">
        <v>1</v>
      </c>
      <c r="G205" t="n">
        <v>2</v>
      </c>
      <c r="H205" s="5">
        <f>HYPERLINK("https://api.qogita.com/variants/link/0685428018228/", "View Product")</f>
        <v/>
      </c>
    </row>
    <row r="206">
      <c r="A206" t="inlineStr">
        <is>
          <t>0685428018235</t>
        </is>
      </c>
      <c r="B206" t="inlineStr">
        <is>
          <t>Bumble and Bumble Full Potential Conditioner 200ml</t>
        </is>
      </c>
      <c r="C206" t="inlineStr">
        <is>
          <t>Conditioner</t>
        </is>
      </c>
      <c r="D206" t="inlineStr">
        <is>
          <t>Bumble And Bumble</t>
        </is>
      </c>
      <c r="E206" t="n">
        <v>22.71</v>
      </c>
      <c r="F206" t="n">
        <v>1</v>
      </c>
      <c r="G206" t="n">
        <v>5</v>
      </c>
      <c r="H206" s="5">
        <f>HYPERLINK("https://api.qogita.com/variants/link/0685428018235/", "View Product")</f>
        <v/>
      </c>
    </row>
    <row r="207">
      <c r="A207" t="inlineStr">
        <is>
          <t>0685428021129</t>
        </is>
      </c>
      <c r="B207" t="inlineStr">
        <is>
          <t>Bumble &amp; Bumble Sumoclay</t>
        </is>
      </c>
      <c r="C207" t="inlineStr">
        <is>
          <t>Wax</t>
        </is>
      </c>
      <c r="D207" t="inlineStr">
        <is>
          <t>Bumble And Bumble</t>
        </is>
      </c>
      <c r="E207" t="n">
        <v>22.7</v>
      </c>
      <c r="F207" t="n">
        <v>1</v>
      </c>
      <c r="G207" t="n">
        <v>5</v>
      </c>
      <c r="H207" s="5">
        <f>HYPERLINK("https://api.qogita.com/variants/link/0685428021129/", "View Product")</f>
        <v/>
      </c>
    </row>
    <row r="208">
      <c r="A208" t="inlineStr">
        <is>
          <t>0685428021235</t>
        </is>
      </c>
      <c r="B208" t="inlineStr">
        <is>
          <t>Bumble &amp; Bumble Strong Finish Hairspray 300ml</t>
        </is>
      </c>
      <c r="C208" t="inlineStr">
        <is>
          <t>Hairspray</t>
        </is>
      </c>
      <c r="D208" t="inlineStr">
        <is>
          <t>Bumble And Bumble</t>
        </is>
      </c>
      <c r="E208" t="n">
        <v>28.96</v>
      </c>
      <c r="F208" t="n">
        <v>1</v>
      </c>
      <c r="G208" t="n">
        <v>7</v>
      </c>
      <c r="H208" s="5">
        <f>HYPERLINK("https://api.qogita.com/variants/link/0685428021235/", "View Product")</f>
        <v/>
      </c>
    </row>
    <row r="209">
      <c r="A209" t="inlineStr">
        <is>
          <t>0685428021303</t>
        </is>
      </c>
      <c r="B209" t="inlineStr">
        <is>
          <t>Bumble and Bumble Hairdresser's Invisible Oil Dry Finish Spray 150ml</t>
        </is>
      </c>
      <c r="C209" t="inlineStr">
        <is>
          <t>Styling Sprays</t>
        </is>
      </c>
      <c r="D209" t="inlineStr">
        <is>
          <t>Bumble And Bumble</t>
        </is>
      </c>
      <c r="E209" t="n">
        <v>26.13</v>
      </c>
      <c r="F209" t="n">
        <v>1</v>
      </c>
      <c r="G209" t="n">
        <v>5</v>
      </c>
      <c r="H209" s="5">
        <f>HYPERLINK("https://api.qogita.com/variants/link/0685428021303/", "View Product")</f>
        <v/>
      </c>
    </row>
    <row r="210">
      <c r="A210" t="inlineStr">
        <is>
          <t>0685428021938</t>
        </is>
      </c>
      <c r="B210" t="inlineStr">
        <is>
          <t>Bumble &amp; Bumble Color Stick</t>
        </is>
      </c>
      <c r="C210" t="inlineStr">
        <is>
          <t>Concealer</t>
        </is>
      </c>
      <c r="D210" t="inlineStr">
        <is>
          <t>Bumble And Bumble</t>
        </is>
      </c>
      <c r="E210" t="n">
        <v>19.69</v>
      </c>
      <c r="F210" t="n">
        <v>1</v>
      </c>
      <c r="G210" t="n">
        <v>12</v>
      </c>
      <c r="H210" s="5">
        <f>HYPERLINK("https://api.qogita.com/variants/link/0685428021938/", "View Product")</f>
        <v/>
      </c>
    </row>
    <row r="211">
      <c r="A211" t="inlineStr">
        <is>
          <t>0685428027428</t>
        </is>
      </c>
      <c r="B211" t="inlineStr">
        <is>
          <t>Bumble and Bumble Hairdresser's Invisible Oil Soft Texture Spray 150ml</t>
        </is>
      </c>
      <c r="C211" t="inlineStr">
        <is>
          <t>Styling Sprays</t>
        </is>
      </c>
      <c r="D211" t="inlineStr">
        <is>
          <t>Bumble And Bumble</t>
        </is>
      </c>
      <c r="E211" t="n">
        <v>26.55</v>
      </c>
      <c r="F211" t="n">
        <v>1</v>
      </c>
      <c r="G211" t="n">
        <v>8</v>
      </c>
      <c r="H211" s="5">
        <f>HYPERLINK("https://api.qogita.com/variants/link/0685428027428/", "View Product")</f>
        <v/>
      </c>
    </row>
    <row r="212">
      <c r="A212" t="inlineStr">
        <is>
          <t>0685428027848</t>
        </is>
      </c>
      <c r="B212" t="inlineStr">
        <is>
          <t>Bumble and Bumble Curl Mousse for hair 146 ml</t>
        </is>
      </c>
      <c r="C212" t="inlineStr">
        <is>
          <t>Mousse</t>
        </is>
      </c>
      <c r="D212" t="inlineStr">
        <is>
          <t>Bumble And Bumble</t>
        </is>
      </c>
      <c r="E212" t="n">
        <v>27.77</v>
      </c>
      <c r="F212" t="n">
        <v>1</v>
      </c>
      <c r="G212" t="n">
        <v>5</v>
      </c>
      <c r="H212" s="5">
        <f>HYPERLINK("https://api.qogita.com/variants/link/0685428027848/", "View Product")</f>
        <v/>
      </c>
    </row>
    <row r="213">
      <c r="A213" t="inlineStr">
        <is>
          <t>0685428028838</t>
        </is>
      </c>
      <c r="B213" t="inlineStr">
        <is>
          <t>Bumble and Bumble Curl Gel Pomade 89ml Fixative Gel</t>
        </is>
      </c>
      <c r="C213" t="inlineStr">
        <is>
          <t>Gel</t>
        </is>
      </c>
      <c r="D213" t="inlineStr">
        <is>
          <t>Bumble And Bumble</t>
        </is>
      </c>
      <c r="E213" t="n">
        <v>27.07</v>
      </c>
      <c r="F213" t="n">
        <v>1</v>
      </c>
      <c r="G213" t="n">
        <v>20</v>
      </c>
      <c r="H213" s="5">
        <f>HYPERLINK("https://api.qogita.com/variants/link/0685428028838/", "View Product")</f>
        <v/>
      </c>
    </row>
    <row r="214">
      <c r="A214" t="inlineStr">
        <is>
          <t>0685428028913</t>
        </is>
      </c>
      <c r="B214" t="inlineStr">
        <is>
          <t>Bumble and Bumble Illuminated Blonde Shampoo 250ml</t>
        </is>
      </c>
      <c r="C214" t="inlineStr">
        <is>
          <t>Shampoo</t>
        </is>
      </c>
      <c r="D214" t="inlineStr">
        <is>
          <t>Bumble And Bumble</t>
        </is>
      </c>
      <c r="E214" t="n">
        <v>25.21</v>
      </c>
      <c r="F214" t="n">
        <v>1</v>
      </c>
      <c r="G214" t="n">
        <v>10</v>
      </c>
      <c r="H214" s="5">
        <f>HYPERLINK("https://api.qogita.com/variants/link/0685428028913/", "View Product")</f>
        <v/>
      </c>
    </row>
    <row r="215">
      <c r="A215" t="inlineStr">
        <is>
          <t>0685428029521</t>
        </is>
      </c>
      <c r="B215" t="inlineStr">
        <is>
          <t>Bumble &amp; Bumble Heat Shield Blow Dry Accelerator</t>
        </is>
      </c>
      <c r="C215" t="inlineStr">
        <is>
          <t>Heat Protection</t>
        </is>
      </c>
      <c r="D215" t="inlineStr">
        <is>
          <t>Bumble And Bumble</t>
        </is>
      </c>
      <c r="E215" t="n">
        <v>26.27</v>
      </c>
      <c r="F215" t="n">
        <v>1</v>
      </c>
      <c r="G215" t="n">
        <v>2</v>
      </c>
      <c r="H215" s="5">
        <f>HYPERLINK("https://api.qogita.com/variants/link/0685428029521/", "View Product")</f>
        <v/>
      </c>
    </row>
    <row r="216">
      <c r="A216" t="inlineStr">
        <is>
          <t>0689304040402</t>
        </is>
      </c>
      <c r="B216" t="inlineStr">
        <is>
          <t>Anastasia Beverly Hills Perfect Brow Pencil Auburn 1 Count</t>
        </is>
      </c>
      <c r="C216" t="inlineStr">
        <is>
          <t>Eyebrow Pencil</t>
        </is>
      </c>
      <c r="D216" t="inlineStr">
        <is>
          <t>Anastasia Beverly Hills</t>
        </is>
      </c>
      <c r="E216" t="n">
        <v>19.33</v>
      </c>
      <c r="F216" t="n">
        <v>1</v>
      </c>
      <c r="G216" t="n">
        <v>2</v>
      </c>
      <c r="H216" s="5">
        <f>HYPERLINK("https://api.qogita.com/variants/link/0689304040402/", "View Product")</f>
        <v/>
      </c>
    </row>
    <row r="217">
      <c r="A217" t="inlineStr">
        <is>
          <t>0689304044028</t>
        </is>
      </c>
      <c r="B217" t="inlineStr">
        <is>
          <t>Anastasia Beverly Hills Brow Definer Auburn 1 Count</t>
        </is>
      </c>
      <c r="C217" t="inlineStr">
        <is>
          <t>Eyebrow Pencil</t>
        </is>
      </c>
      <c r="D217" t="inlineStr">
        <is>
          <t>Anastasia Beverly Hills</t>
        </is>
      </c>
      <c r="E217" t="n">
        <v>22.75</v>
      </c>
      <c r="F217" t="n">
        <v>1</v>
      </c>
      <c r="G217" t="n">
        <v>5</v>
      </c>
      <c r="H217" s="5">
        <f>HYPERLINK("https://api.qogita.com/variants/link/0689304044028/", "View Product")</f>
        <v/>
      </c>
    </row>
    <row r="218">
      <c r="A218" t="inlineStr">
        <is>
          <t>0689304044042</t>
        </is>
      </c>
      <c r="B218" t="inlineStr">
        <is>
          <t>Anastasia Beverly Hills Brow Definer Ebony 0.2g</t>
        </is>
      </c>
      <c r="C218" t="inlineStr">
        <is>
          <t>Eyebrow Pencil</t>
        </is>
      </c>
      <c r="D218" t="inlineStr">
        <is>
          <t>Anastasia Beverly Hills</t>
        </is>
      </c>
      <c r="E218" t="n">
        <v>26.17</v>
      </c>
      <c r="F218" t="n">
        <v>1</v>
      </c>
      <c r="G218" t="n">
        <v>3</v>
      </c>
      <c r="H218" s="5">
        <f>HYPERLINK("https://api.qogita.com/variants/link/0689304044042/", "View Product")</f>
        <v/>
      </c>
    </row>
    <row r="219">
      <c r="A219" t="inlineStr">
        <is>
          <t>0689304055079</t>
        </is>
      </c>
      <c r="B219" t="inlineStr">
        <is>
          <t>Anastasia Beverly Hills Perfect Brow Pencil Medium Brown 0.95g</t>
        </is>
      </c>
      <c r="C219" t="inlineStr">
        <is>
          <t>Eyebrow Pencil</t>
        </is>
      </c>
      <c r="D219" t="inlineStr">
        <is>
          <t>Anastasia Beverly Hills</t>
        </is>
      </c>
      <c r="E219" t="n">
        <v>24.59</v>
      </c>
      <c r="F219" t="n">
        <v>1</v>
      </c>
      <c r="G219" t="n">
        <v>3</v>
      </c>
      <c r="H219" s="5">
        <f>HYPERLINK("https://api.qogita.com/variants/link/0689304055079/", "View Product")</f>
        <v/>
      </c>
    </row>
    <row r="220">
      <c r="A220" t="inlineStr">
        <is>
          <t>0689304055130</t>
        </is>
      </c>
      <c r="B220" t="inlineStr">
        <is>
          <t>Anastasia Beverly Hills Brow Powder Duo Blonde 1 Count</t>
        </is>
      </c>
      <c r="C220" t="inlineStr">
        <is>
          <t>Eyebrow Powder</t>
        </is>
      </c>
      <c r="D220" t="inlineStr">
        <is>
          <t>Anastasia Beverly Hills</t>
        </is>
      </c>
      <c r="E220" t="n">
        <v>26.22</v>
      </c>
      <c r="F220" t="n">
        <v>1</v>
      </c>
      <c r="G220" t="n">
        <v>2</v>
      </c>
      <c r="H220" s="5">
        <f>HYPERLINK("https://api.qogita.com/variants/link/0689304055130/", "View Product")</f>
        <v/>
      </c>
    </row>
    <row r="221">
      <c r="A221" t="inlineStr">
        <is>
          <t>0689304188500</t>
        </is>
      </c>
      <c r="B221" t="inlineStr">
        <is>
          <t>Anastasia Beverly Hills Brow Genius Conditioning Brow Serum</t>
        </is>
      </c>
      <c r="C221" t="inlineStr">
        <is>
          <t>Other</t>
        </is>
      </c>
      <c r="D221" t="inlineStr">
        <is>
          <t>Anastasia Beverly Hills</t>
        </is>
      </c>
      <c r="E221" t="n">
        <v>44.52</v>
      </c>
      <c r="F221" t="n">
        <v>1</v>
      </c>
      <c r="G221" t="n">
        <v>5</v>
      </c>
      <c r="H221" s="5">
        <f>HYPERLINK("https://api.qogita.com/variants/link/0689304188500/", "View Product")</f>
        <v/>
      </c>
    </row>
    <row r="222">
      <c r="A222" t="inlineStr">
        <is>
          <t>0689304360142</t>
        </is>
      </c>
      <c r="B222" t="inlineStr">
        <is>
          <t>Anastasia Beverly Hills Luminous Foundation 30ml – 340C</t>
        </is>
      </c>
      <c r="C222" t="inlineStr">
        <is>
          <t>Foundation</t>
        </is>
      </c>
      <c r="D222" t="inlineStr">
        <is>
          <t>Anastasia Beverly Hills</t>
        </is>
      </c>
      <c r="E222" t="n">
        <v>23.22</v>
      </c>
      <c r="F222" t="n">
        <v>1</v>
      </c>
      <c r="G222" t="n">
        <v>3</v>
      </c>
      <c r="H222" s="5">
        <f>HYPERLINK("https://api.qogita.com/variants/link/0689304360142/", "View Product")</f>
        <v/>
      </c>
    </row>
    <row r="223">
      <c r="A223" t="inlineStr">
        <is>
          <t>0689304560009</t>
        </is>
      </c>
      <c r="B223" t="inlineStr">
        <is>
          <t>Anastasia Beverly Hills Duo Eyebrow Powder 1.6g Chocolate</t>
        </is>
      </c>
      <c r="C223" t="inlineStr">
        <is>
          <t>Eyebrow Powder</t>
        </is>
      </c>
      <c r="D223" t="inlineStr">
        <is>
          <t>Anastasia Beverly Hills</t>
        </is>
      </c>
      <c r="E223" t="n">
        <v>26.22</v>
      </c>
      <c r="F223" t="n">
        <v>1</v>
      </c>
      <c r="G223" t="n">
        <v>2</v>
      </c>
      <c r="H223" s="5">
        <f>HYPERLINK("https://api.qogita.com/variants/link/0689304560009/", "View Product")</f>
        <v/>
      </c>
    </row>
    <row r="224">
      <c r="A224" t="inlineStr">
        <is>
          <t>0689304860161</t>
        </is>
      </c>
      <c r="B224" t="inlineStr">
        <is>
          <t>Anastasia Beverly Hills Brow Wiz Strawburn 0.003oz</t>
        </is>
      </c>
      <c r="C224" t="inlineStr">
        <is>
          <t>Eyebrow Pencil</t>
        </is>
      </c>
      <c r="D224" t="inlineStr">
        <is>
          <t>Anastasia Beverly Hills</t>
        </is>
      </c>
      <c r="E224" t="n">
        <v>21.23</v>
      </c>
      <c r="F224" t="n">
        <v>1</v>
      </c>
      <c r="G224" t="n">
        <v>5</v>
      </c>
      <c r="H224" s="5">
        <f>HYPERLINK("https://api.qogita.com/variants/link/0689304860161/", "View Product")</f>
        <v/>
      </c>
    </row>
    <row r="225">
      <c r="A225" t="inlineStr">
        <is>
          <t>0690251000036</t>
        </is>
      </c>
      <c r="B225" t="inlineStr">
        <is>
          <t>Jo Malone Lime Basil &amp; Mandarin Cologne Spray 30ml</t>
        </is>
      </c>
      <c r="C225" t="inlineStr">
        <is>
          <t>Eau De Cologne</t>
        </is>
      </c>
      <c r="D225" t="inlineStr">
        <is>
          <t>Jo Malone London</t>
        </is>
      </c>
      <c r="E225" t="n">
        <v>43.07</v>
      </c>
      <c r="F225" t="n">
        <v>1</v>
      </c>
      <c r="G225" t="n">
        <v>3</v>
      </c>
      <c r="H225" s="5">
        <f>HYPERLINK("https://api.qogita.com/variants/link/0690251000036/", "View Product")</f>
        <v/>
      </c>
    </row>
    <row r="226">
      <c r="A226" t="inlineStr">
        <is>
          <t>0690251009435</t>
        </is>
      </c>
      <c r="B226" t="inlineStr">
        <is>
          <t>Jo Malone Pomegranate Noir For Women 1 Oz Cologne Spray</t>
        </is>
      </c>
      <c r="C226" t="inlineStr">
        <is>
          <t>Eau De Cologne</t>
        </is>
      </c>
      <c r="D226" t="inlineStr">
        <is>
          <t>Jo Malone London</t>
        </is>
      </c>
      <c r="E226" t="n">
        <v>55.73</v>
      </c>
      <c r="F226" t="n">
        <v>1</v>
      </c>
      <c r="G226" t="n">
        <v>2</v>
      </c>
      <c r="H226" s="5">
        <f>HYPERLINK("https://api.qogita.com/variants/link/0690251009435/", "View Product")</f>
        <v/>
      </c>
    </row>
    <row r="227">
      <c r="A227" t="inlineStr">
        <is>
          <t>0690251019113</t>
        </is>
      </c>
      <c r="B227" t="inlineStr">
        <is>
          <t>Jo Malone English Pear &amp; Freesia Cologne Spray 3.4 Oz</t>
        </is>
      </c>
      <c r="C227" t="inlineStr">
        <is>
          <t>Eau De Cologne</t>
        </is>
      </c>
      <c r="D227" t="inlineStr">
        <is>
          <t>Jo Malone London</t>
        </is>
      </c>
      <c r="E227" t="n">
        <v>94.86</v>
      </c>
      <c r="F227" t="n">
        <v>1</v>
      </c>
      <c r="G227" t="n">
        <v>48</v>
      </c>
      <c r="H227" s="5">
        <f>HYPERLINK("https://api.qogita.com/variants/link/0690251019113/", "View Product")</f>
        <v/>
      </c>
    </row>
    <row r="228">
      <c r="A228" t="inlineStr">
        <is>
          <t>0690251021734</t>
        </is>
      </c>
      <c r="B228" t="inlineStr">
        <is>
          <t>Jo Malone Wild Bluebell Women's Eau de Cologne 100ml</t>
        </is>
      </c>
      <c r="C228" t="inlineStr">
        <is>
          <t>Eau De Cologne</t>
        </is>
      </c>
      <c r="D228" t="inlineStr">
        <is>
          <t>Jo Malone London</t>
        </is>
      </c>
      <c r="E228" t="n">
        <v>86.43000000000001</v>
      </c>
      <c r="F228" t="n">
        <v>1</v>
      </c>
      <c r="G228" t="n">
        <v>7</v>
      </c>
      <c r="H228" s="5">
        <f>HYPERLINK("https://api.qogita.com/variants/link/0690251021734/", "View Product")</f>
        <v/>
      </c>
    </row>
    <row r="229">
      <c r="A229" t="inlineStr">
        <is>
          <t>0690251023486</t>
        </is>
      </c>
      <c r="B229" t="inlineStr">
        <is>
          <t>Jo Malone Eau de Toilette 100 ml for women</t>
        </is>
      </c>
      <c r="C229" t="inlineStr">
        <is>
          <t>Eau De Toilette</t>
        </is>
      </c>
      <c r="D229" t="inlineStr">
        <is>
          <t>Jo Malone London</t>
        </is>
      </c>
      <c r="E229" t="n">
        <v>47.08</v>
      </c>
      <c r="F229" t="n">
        <v>1</v>
      </c>
      <c r="G229" t="n">
        <v>23</v>
      </c>
      <c r="H229" s="5">
        <f>HYPERLINK("https://api.qogita.com/variants/link/0690251023486/", "View Product")</f>
        <v/>
      </c>
    </row>
    <row r="230">
      <c r="A230" t="inlineStr">
        <is>
          <t>0690251028405</t>
        </is>
      </c>
      <c r="B230" t="inlineStr">
        <is>
          <t>Jo Malone Peony and Blush Suede for Women 1oz Cologne Spray</t>
        </is>
      </c>
      <c r="C230" t="inlineStr">
        <is>
          <t>Eau De Cologne</t>
        </is>
      </c>
      <c r="D230" t="inlineStr">
        <is>
          <t>Jo Malone London</t>
        </is>
      </c>
      <c r="E230" t="n">
        <v>45.11</v>
      </c>
      <c r="F230" t="n">
        <v>1</v>
      </c>
      <c r="G230" t="n">
        <v>6</v>
      </c>
      <c r="H230" s="5">
        <f>HYPERLINK("https://api.qogita.com/variants/link/0690251028405/", "View Product")</f>
        <v/>
      </c>
    </row>
    <row r="231">
      <c r="A231" t="inlineStr">
        <is>
          <t>0690251033720</t>
        </is>
      </c>
      <c r="B231" t="inlineStr">
        <is>
          <t>Jo Malone Wood Sage and Sea Salt Cologne Spray 1oz</t>
        </is>
      </c>
      <c r="C231" t="inlineStr">
        <is>
          <t>Eau De Cologne</t>
        </is>
      </c>
      <c r="D231" t="inlineStr">
        <is>
          <t>Jo Malone London</t>
        </is>
      </c>
      <c r="E231" t="n">
        <v>44.77</v>
      </c>
      <c r="F231" t="n">
        <v>1</v>
      </c>
      <c r="G231" t="n">
        <v>59</v>
      </c>
      <c r="H231" s="5">
        <f>HYPERLINK("https://api.qogita.com/variants/link/0690251033720/", "View Product")</f>
        <v/>
      </c>
    </row>
    <row r="232">
      <c r="A232" t="inlineStr">
        <is>
          <t>0690251052868</t>
        </is>
      </c>
      <c r="B232" t="inlineStr">
        <is>
          <t>Jo Malone Lime Basil and Mandarin Body and Hand Wash with Pump 250ml</t>
        </is>
      </c>
      <c r="C232" t="inlineStr">
        <is>
          <t>Shower Gel</t>
        </is>
      </c>
      <c r="D232" t="inlineStr">
        <is>
          <t>Jo Malone London</t>
        </is>
      </c>
      <c r="E232" t="n">
        <v>36.64</v>
      </c>
      <c r="F232" t="n">
        <v>1</v>
      </c>
      <c r="G232" t="n">
        <v>3</v>
      </c>
      <c r="H232" s="5">
        <f>HYPERLINK("https://api.qogita.com/variants/link/0690251052868/", "View Product")</f>
        <v/>
      </c>
    </row>
    <row r="233">
      <c r="A233" t="inlineStr">
        <is>
          <t>0690251052912</t>
        </is>
      </c>
      <c r="B233" t="inlineStr">
        <is>
          <t>Jo Malone London Pomegranate Noir Body &amp; Hand Wash 250ml</t>
        </is>
      </c>
      <c r="C233" t="inlineStr">
        <is>
          <t>Shower Gel</t>
        </is>
      </c>
      <c r="D233" t="inlineStr">
        <is>
          <t>Jo Malone London</t>
        </is>
      </c>
      <c r="E233" t="n">
        <v>40.18</v>
      </c>
      <c r="F233" t="n">
        <v>1</v>
      </c>
      <c r="G233" t="n">
        <v>6</v>
      </c>
      <c r="H233" s="5">
        <f>HYPERLINK("https://api.qogita.com/variants/link/0690251052912/", "View Product")</f>
        <v/>
      </c>
    </row>
    <row r="234">
      <c r="A234" t="inlineStr">
        <is>
          <t>0690251053797</t>
        </is>
      </c>
      <c r="B234" t="inlineStr">
        <is>
          <t>Jo Malone Peony and Blush Suede Body and Hand Lotion 8.5 Oz</t>
        </is>
      </c>
      <c r="C234" t="inlineStr">
        <is>
          <t>Body Lotion</t>
        </is>
      </c>
      <c r="D234" t="inlineStr">
        <is>
          <t>Jo Malone London</t>
        </is>
      </c>
      <c r="E234" t="n">
        <v>53.75</v>
      </c>
      <c r="F234" t="n">
        <v>1</v>
      </c>
      <c r="G234" t="n">
        <v>4</v>
      </c>
      <c r="H234" s="5">
        <f>HYPERLINK("https://api.qogita.com/variants/link/0690251053797/", "View Product")</f>
        <v/>
      </c>
    </row>
    <row r="235">
      <c r="A235" t="inlineStr">
        <is>
          <t>0690251063284</t>
        </is>
      </c>
      <c r="B235" t="inlineStr">
        <is>
          <t>Honeysuckle &amp; Davana by Jo Malone Eau De Cologne Spray 100ml</t>
        </is>
      </c>
      <c r="C235" t="inlineStr">
        <is>
          <t>Eau De Cologne</t>
        </is>
      </c>
      <c r="D235" t="inlineStr">
        <is>
          <t>Jo Malone London</t>
        </is>
      </c>
      <c r="E235" t="n">
        <v>101.48</v>
      </c>
      <c r="F235" t="n">
        <v>1</v>
      </c>
      <c r="G235" t="n">
        <v>8</v>
      </c>
      <c r="H235" s="5">
        <f>HYPERLINK("https://api.qogita.com/variants/link/0690251063284/", "View Product")</f>
        <v/>
      </c>
    </row>
    <row r="236">
      <c r="A236" t="inlineStr">
        <is>
          <t>0690251122257</t>
        </is>
      </c>
      <c r="B236" t="inlineStr">
        <is>
          <t>Jo Malone London Myrrh &amp; Tonka Cologne Intense Unisex Fragrance 100ml</t>
        </is>
      </c>
      <c r="C236" t="inlineStr">
        <is>
          <t>Eau De Parfum</t>
        </is>
      </c>
      <c r="D236" t="inlineStr">
        <is>
          <t>Jo Malone London</t>
        </is>
      </c>
      <c r="E236" t="n">
        <v>128.77</v>
      </c>
      <c r="F236" t="n">
        <v>1</v>
      </c>
      <c r="G236" t="n">
        <v>6</v>
      </c>
      <c r="H236" s="5">
        <f>HYPERLINK("https://api.qogita.com/variants/link/0690251122257/", "View Product")</f>
        <v/>
      </c>
    </row>
    <row r="237">
      <c r="A237" t="inlineStr">
        <is>
          <t>0690251146413</t>
        </is>
      </c>
      <c r="B237" t="inlineStr">
        <is>
          <t>Jo Malone London Hinoki Cedarwood - 50 Ml</t>
        </is>
      </c>
      <c r="C237" t="inlineStr">
        <is>
          <t>Eau De Parfum</t>
        </is>
      </c>
      <c r="D237" t="inlineStr">
        <is>
          <t>Jo Malone London</t>
        </is>
      </c>
      <c r="E237" t="n">
        <v>99.65000000000001</v>
      </c>
      <c r="F237" t="n">
        <v>1</v>
      </c>
      <c r="G237" t="n">
        <v>8</v>
      </c>
      <c r="H237" s="5">
        <f>HYPERLINK("https://api.qogita.com/variants/link/0690251146413/", "View Product")</f>
        <v/>
      </c>
    </row>
    <row r="238">
      <c r="A238" t="inlineStr">
        <is>
          <t>0697045150342</t>
        </is>
      </c>
      <c r="B238" t="inlineStr">
        <is>
          <t>AHAVA Liquid Dead Sea Salt 6.8 fl oz</t>
        </is>
      </c>
      <c r="C238" t="inlineStr">
        <is>
          <t>Bath Salts &amp; Bath Bombs</t>
        </is>
      </c>
      <c r="D238" t="inlineStr">
        <is>
          <t>Ahava</t>
        </is>
      </c>
      <c r="E238" t="n">
        <v>14.77</v>
      </c>
      <c r="F238" t="n">
        <v>1</v>
      </c>
      <c r="G238" t="n">
        <v>4</v>
      </c>
      <c r="H238" s="5">
        <f>HYPERLINK("https://api.qogita.com/variants/link/0697045150342/", "View Product")</f>
        <v/>
      </c>
    </row>
    <row r="239">
      <c r="A239" t="inlineStr">
        <is>
          <t>0697045150601</t>
        </is>
      </c>
      <c r="B239" t="inlineStr">
        <is>
          <t>AHAVA Extreme Day Cream 50ml Wrinkle Reducer and Skin Firmer from the Dead Sea for Women and Men</t>
        </is>
      </c>
      <c r="C239" t="inlineStr">
        <is>
          <t>Day Cream</t>
        </is>
      </c>
      <c r="D239" t="inlineStr">
        <is>
          <t>Ahava</t>
        </is>
      </c>
      <c r="E239" t="n">
        <v>48.86</v>
      </c>
      <c r="F239" t="n">
        <v>1</v>
      </c>
      <c r="G239" t="n">
        <v>2</v>
      </c>
      <c r="H239" s="5">
        <f>HYPERLINK("https://api.qogita.com/variants/link/0697045150601/", "View Product")</f>
        <v/>
      </c>
    </row>
    <row r="240">
      <c r="A240" t="inlineStr">
        <is>
          <t>0697045151738</t>
        </is>
      </c>
      <c r="B240" t="inlineStr">
        <is>
          <t>AHAVA Softening Butter Salt Scrub 235ml</t>
        </is>
      </c>
      <c r="C240" t="inlineStr">
        <is>
          <t>Body Scrub &amp; Peeling</t>
        </is>
      </c>
      <c r="D240" t="inlineStr">
        <is>
          <t>Ahava</t>
        </is>
      </c>
      <c r="E240" t="n">
        <v>24.27</v>
      </c>
      <c r="F240" t="n">
        <v>1</v>
      </c>
      <c r="G240" t="n">
        <v>2</v>
      </c>
      <c r="H240" s="5">
        <f>HYPERLINK("https://api.qogita.com/variants/link/0697045151738/", "View Product")</f>
        <v/>
      </c>
    </row>
    <row r="241">
      <c r="A241" t="inlineStr">
        <is>
          <t>0697045153701</t>
        </is>
      </c>
      <c r="B241" t="inlineStr">
        <is>
          <t>AHAVA Sea-Kissed Mineral Hand Cream 100ml</t>
        </is>
      </c>
      <c r="C241" t="inlineStr">
        <is>
          <t>Hand Cream</t>
        </is>
      </c>
      <c r="D241" t="inlineStr">
        <is>
          <t>Ahava</t>
        </is>
      </c>
      <c r="E241" t="n">
        <v>12.14</v>
      </c>
      <c r="F241" t="n">
        <v>1</v>
      </c>
      <c r="G241" t="n">
        <v>5</v>
      </c>
      <c r="H241" s="5">
        <f>HYPERLINK("https://api.qogita.com/variants/link/0697045153701/", "View Product")</f>
        <v/>
      </c>
    </row>
    <row r="242">
      <c r="A242" t="inlineStr">
        <is>
          <t>0697045155668</t>
        </is>
      </c>
      <c r="B242" t="inlineStr">
        <is>
          <t>AHAVA Deep Nourishing Hair Mask Intense Hydration for Silky Smooth Hair 250ml</t>
        </is>
      </c>
      <c r="C242" t="inlineStr">
        <is>
          <t>Hair Masks</t>
        </is>
      </c>
      <c r="D242" t="inlineStr">
        <is>
          <t>Ahava</t>
        </is>
      </c>
      <c r="E242" t="n">
        <v>20.01</v>
      </c>
      <c r="F242" t="n">
        <v>1</v>
      </c>
      <c r="G242" t="n">
        <v>2</v>
      </c>
      <c r="H242" s="5">
        <f>HYPERLINK("https://api.qogita.com/variants/link/0697045155668/", "View Product")</f>
        <v/>
      </c>
    </row>
    <row r="243">
      <c r="A243" t="inlineStr">
        <is>
          <t>0697045158720</t>
        </is>
      </c>
      <c r="B243" t="inlineStr">
        <is>
          <t>AHAVA Dead Sea Mineral Hand Cream Moisturizer for Dry Cracked Hands 3.4 Fl Oz</t>
        </is>
      </c>
      <c r="C243" t="inlineStr">
        <is>
          <t>Hand Cream</t>
        </is>
      </c>
      <c r="D243" t="inlineStr">
        <is>
          <t>Ahava</t>
        </is>
      </c>
      <c r="E243" t="n">
        <v>12.14</v>
      </c>
      <c r="F243" t="n">
        <v>1</v>
      </c>
      <c r="G243" t="n">
        <v>5</v>
      </c>
      <c r="H243" s="5">
        <f>HYPERLINK("https://api.qogita.com/variants/link/0697045158720/", "View Product")</f>
        <v/>
      </c>
    </row>
    <row r="244">
      <c r="A244" t="inlineStr">
        <is>
          <t>0697045159994</t>
        </is>
      </c>
      <c r="B244" t="inlineStr">
        <is>
          <t>AHAVA Lip Line Wrinkle Treatment 15ml</t>
        </is>
      </c>
      <c r="C244" t="inlineStr">
        <is>
          <t>Medicated Treatments</t>
        </is>
      </c>
      <c r="D244" t="inlineStr">
        <is>
          <t>Ahava</t>
        </is>
      </c>
      <c r="E244" t="n">
        <v>25.92</v>
      </c>
      <c r="F244" t="n">
        <v>1</v>
      </c>
      <c r="G244" t="n">
        <v>2</v>
      </c>
      <c r="H244" s="5">
        <f>HYPERLINK("https://api.qogita.com/variants/link/0697045159994/", "View Product")</f>
        <v/>
      </c>
    </row>
    <row r="245">
      <c r="A245" t="inlineStr">
        <is>
          <t>0697045161980</t>
        </is>
      </c>
      <c r="B245" t="inlineStr">
        <is>
          <t>AHAVA Hyaluronic Acid Serum Increases Moisture and Smooths Wrinkles 30ml</t>
        </is>
      </c>
      <c r="C245" t="inlineStr">
        <is>
          <t>Hyaluronic Acid Serum</t>
        </is>
      </c>
      <c r="D245" t="inlineStr">
        <is>
          <t>Ahava</t>
        </is>
      </c>
      <c r="E245" t="n">
        <v>28.62</v>
      </c>
      <c r="F245" t="n">
        <v>1</v>
      </c>
      <c r="G245" t="n">
        <v>4</v>
      </c>
      <c r="H245" s="5">
        <f>HYPERLINK("https://api.qogita.com/variants/link/0697045161980/", "View Product")</f>
        <v/>
      </c>
    </row>
    <row r="246">
      <c r="A246" t="inlineStr">
        <is>
          <t>0697045162802</t>
        </is>
      </c>
      <c r="B246" t="inlineStr">
        <is>
          <t>AHAVA MultiVitamin C+ Serum 30ml</t>
        </is>
      </c>
      <c r="C246" t="inlineStr">
        <is>
          <t>Vitamin Serum</t>
        </is>
      </c>
      <c r="D246" t="inlineStr">
        <is>
          <t>Ahava</t>
        </is>
      </c>
      <c r="E246" t="n">
        <v>41.03</v>
      </c>
      <c r="F246" t="n">
        <v>1</v>
      </c>
      <c r="G246" t="n">
        <v>2</v>
      </c>
      <c r="H246" s="5">
        <f>HYPERLINK("https://api.qogita.com/variants/link/0697045162802/", "View Product")</f>
        <v/>
      </c>
    </row>
    <row r="247">
      <c r="A247" t="inlineStr">
        <is>
          <t>0697045163656</t>
        </is>
      </c>
      <c r="B247" t="inlineStr">
        <is>
          <t>AHAVA Body Intensive Nourishment Dermud Replenishing Body Wash 400ml</t>
        </is>
      </c>
      <c r="C247" t="inlineStr">
        <is>
          <t>Shower Gel</t>
        </is>
      </c>
      <c r="D247" t="inlineStr">
        <is>
          <t>Ahava</t>
        </is>
      </c>
      <c r="E247" t="n">
        <v>20.51</v>
      </c>
      <c r="F247" t="n">
        <v>1</v>
      </c>
      <c r="G247" t="n">
        <v>2</v>
      </c>
      <c r="H247" s="5">
        <f>HYPERLINK("https://api.qogita.com/variants/link/0697045163656/", "View Product")</f>
        <v/>
      </c>
    </row>
    <row r="248">
      <c r="A248" t="inlineStr">
        <is>
          <t>0697045163861</t>
        </is>
      </c>
      <c r="B248" t="inlineStr">
        <is>
          <t>AHAVA Osmoter Skin-Responsive Night Cream 50ml</t>
        </is>
      </c>
      <c r="C248" t="inlineStr">
        <is>
          <t>Night Cream</t>
        </is>
      </c>
      <c r="D248" t="inlineStr">
        <is>
          <t>Ahava</t>
        </is>
      </c>
      <c r="E248" t="n">
        <v>61.51</v>
      </c>
      <c r="F248" t="n">
        <v>1</v>
      </c>
      <c r="G248" t="n">
        <v>2</v>
      </c>
      <c r="H248" s="5">
        <f>HYPERLINK("https://api.qogita.com/variants/link/0697045163861/", "View Product")</f>
        <v/>
      </c>
    </row>
    <row r="249">
      <c r="A249" t="inlineStr">
        <is>
          <t>0701666400035</t>
        </is>
      </c>
      <c r="B249" t="inlineStr">
        <is>
          <t>Amouage Ashore Eau De Parfum 100ml</t>
        </is>
      </c>
      <c r="C249" t="inlineStr">
        <is>
          <t>Eau De Parfum</t>
        </is>
      </c>
      <c r="D249" t="inlineStr">
        <is>
          <t>Amouage</t>
        </is>
      </c>
      <c r="E249" t="n">
        <v>193.43</v>
      </c>
      <c r="F249" t="n">
        <v>1</v>
      </c>
      <c r="G249" t="n">
        <v>4</v>
      </c>
      <c r="H249" s="5">
        <f>HYPERLINK("https://api.qogita.com/variants/link/0701666400035/", "View Product")</f>
        <v/>
      </c>
    </row>
    <row r="250">
      <c r="A250" t="inlineStr">
        <is>
          <t>0701666410522</t>
        </is>
      </c>
      <c r="B250" t="inlineStr">
        <is>
          <t>AMOUAGE OPUS VII Reckless Leather Unisex 3.4oz (100ml) EDP Spray - New and Sealed</t>
        </is>
      </c>
      <c r="C250" t="inlineStr">
        <is>
          <t>Eau De Parfum</t>
        </is>
      </c>
      <c r="D250" t="inlineStr">
        <is>
          <t>Amouage</t>
        </is>
      </c>
      <c r="E250" t="n">
        <v>187.78</v>
      </c>
      <c r="F250" t="n">
        <v>1</v>
      </c>
      <c r="G250" t="n">
        <v>3</v>
      </c>
      <c r="H250" s="5">
        <f>HYPERLINK("https://api.qogita.com/variants/link/0701666410522/", "View Product")</f>
        <v/>
      </c>
    </row>
    <row r="251">
      <c r="A251" t="inlineStr">
        <is>
          <t>0711367106464</t>
        </is>
      </c>
      <c r="B251" t="inlineStr">
        <is>
          <t>GOUTAL PARIS Rose Pompon Eau de Toilette Spray 50ml</t>
        </is>
      </c>
      <c r="C251" t="inlineStr">
        <is>
          <t>Eau De Toilette</t>
        </is>
      </c>
      <c r="D251" t="inlineStr">
        <is>
          <t>Goutal Paris</t>
        </is>
      </c>
      <c r="E251" t="n">
        <v>47.34</v>
      </c>
      <c r="F251" t="n">
        <v>1</v>
      </c>
      <c r="G251" t="n">
        <v>4</v>
      </c>
      <c r="H251" s="5">
        <f>HYPERLINK("https://api.qogita.com/variants/link/0711367106464/", "View Product")</f>
        <v/>
      </c>
    </row>
    <row r="252">
      <c r="A252" t="inlineStr">
        <is>
          <t>0711367106877</t>
        </is>
      </c>
      <c r="B252" t="inlineStr">
        <is>
          <t>GOUTAL PARIS Ambre Fetiche Eau de Toilette 100ml</t>
        </is>
      </c>
      <c r="C252" t="inlineStr">
        <is>
          <t>Eau De Toilette</t>
        </is>
      </c>
      <c r="D252" t="inlineStr">
        <is>
          <t>Annick Goutal</t>
        </is>
      </c>
      <c r="E252" t="n">
        <v>64.89</v>
      </c>
      <c r="F252" t="n">
        <v>1</v>
      </c>
      <c r="G252" t="n">
        <v>46</v>
      </c>
      <c r="H252" s="5">
        <f>HYPERLINK("https://api.qogita.com/variants/link/0711367106877/", "View Product")</f>
        <v/>
      </c>
    </row>
    <row r="253">
      <c r="A253" t="inlineStr">
        <is>
          <t>0711367108888</t>
        </is>
      </c>
      <c r="B253" t="inlineStr">
        <is>
          <t>Annick Goutal Folie D'un Soir Eau de Parfum 100ml</t>
        </is>
      </c>
      <c r="C253" t="inlineStr">
        <is>
          <t>Eau De Parfum</t>
        </is>
      </c>
      <c r="D253" t="inlineStr">
        <is>
          <t>Annick Goutal</t>
        </is>
      </c>
      <c r="E253" t="n">
        <v>72.06</v>
      </c>
      <c r="F253" t="n">
        <v>1</v>
      </c>
      <c r="G253" t="n">
        <v>4</v>
      </c>
      <c r="H253" s="5">
        <f>HYPERLINK("https://api.qogita.com/variants/link/0711367108888/", "View Product")</f>
        <v/>
      </c>
    </row>
    <row r="254">
      <c r="A254" t="inlineStr">
        <is>
          <t>0711658901501</t>
        </is>
      </c>
      <c r="B254" t="inlineStr">
        <is>
          <t>Houbigant Essence Rare Eau de Parfum for Women 100ml</t>
        </is>
      </c>
      <c r="C254" t="inlineStr">
        <is>
          <t>Eau De Parfum</t>
        </is>
      </c>
      <c r="D254" t="inlineStr">
        <is>
          <t>Houbigant</t>
        </is>
      </c>
      <c r="E254" t="n">
        <v>91.52</v>
      </c>
      <c r="F254" t="n">
        <v>1</v>
      </c>
      <c r="G254" t="n">
        <v>6</v>
      </c>
      <c r="H254" s="5">
        <f>HYPERLINK("https://api.qogita.com/variants/link/0711658901501/", "View Product")</f>
        <v/>
      </c>
    </row>
    <row r="255">
      <c r="A255" t="inlineStr">
        <is>
          <t>0715387003017</t>
        </is>
      </c>
      <c r="B255" t="inlineStr">
        <is>
          <t>COLD by Benetton Unisex Eau De Toilette Spray 3.4 oz</t>
        </is>
      </c>
      <c r="C255" t="inlineStr">
        <is>
          <t>Eau De Toilette</t>
        </is>
      </c>
      <c r="D255" t="inlineStr">
        <is>
          <t>Benetton</t>
        </is>
      </c>
      <c r="E255" t="n">
        <v>6</v>
      </c>
      <c r="F255" t="n">
        <v>1</v>
      </c>
      <c r="G255" t="n">
        <v>36</v>
      </c>
      <c r="H255" s="5">
        <f>HYPERLINK("https://api.qogita.com/variants/link/0715387003017/", "View Product")</f>
        <v/>
      </c>
    </row>
    <row r="256">
      <c r="A256" t="inlineStr">
        <is>
          <t>0715706021487</t>
        </is>
      </c>
      <c r="B256" t="inlineStr">
        <is>
          <t>Dapper Dan Aftershave Balm Soothes and Moisturizes Skin Post-Shave 100ml</t>
        </is>
      </c>
      <c r="C256" t="inlineStr">
        <is>
          <t>Aftershave</t>
        </is>
      </c>
      <c r="D256" t="inlineStr">
        <is>
          <t>Dapper Dan</t>
        </is>
      </c>
      <c r="E256" t="n">
        <v>7.47</v>
      </c>
      <c r="F256" t="n">
        <v>1</v>
      </c>
      <c r="G256" t="n">
        <v>9</v>
      </c>
      <c r="H256" s="5">
        <f>HYPERLINK("https://api.qogita.com/variants/link/0715706021487/", "View Product")</f>
        <v/>
      </c>
    </row>
    <row r="257">
      <c r="A257" t="inlineStr">
        <is>
          <t>0715706021494</t>
        </is>
      </c>
      <c r="B257" t="inlineStr">
        <is>
          <t>Dapper Dan Shave Cream Men's Shaving Cream with Sandalwood Fragrance 100ml</t>
        </is>
      </c>
      <c r="C257" t="inlineStr">
        <is>
          <t>Aftershave</t>
        </is>
      </c>
      <c r="D257" t="inlineStr">
        <is>
          <t>Dapper Dan</t>
        </is>
      </c>
      <c r="E257" t="n">
        <v>7.47</v>
      </c>
      <c r="F257" t="n">
        <v>1</v>
      </c>
      <c r="G257" t="n">
        <v>9</v>
      </c>
      <c r="H257" s="5">
        <f>HYPERLINK("https://api.qogita.com/variants/link/0715706021494/", "View Product")</f>
        <v/>
      </c>
    </row>
    <row r="258">
      <c r="A258" t="inlineStr">
        <is>
          <t>0716170042664</t>
        </is>
      </c>
      <c r="B258" t="inlineStr">
        <is>
          <t>Bobbi Brown Foundation Makeup Brush</t>
        </is>
      </c>
      <c r="C258" t="inlineStr">
        <is>
          <t>Foundation Brushes</t>
        </is>
      </c>
      <c r="D258" t="inlineStr">
        <is>
          <t>Bobbi Brown</t>
        </is>
      </c>
      <c r="E258" t="n">
        <v>38.25</v>
      </c>
      <c r="F258" t="n">
        <v>1</v>
      </c>
      <c r="G258" t="n">
        <v>4</v>
      </c>
      <c r="H258" s="5">
        <f>HYPERLINK("https://api.qogita.com/variants/link/0716170042664/", "View Product")</f>
        <v/>
      </c>
    </row>
    <row r="259">
      <c r="A259" t="inlineStr">
        <is>
          <t>0716170109510</t>
        </is>
      </c>
      <c r="B259" t="inlineStr">
        <is>
          <t>Bobbi Brown Long-Wear Cream Shadow Stick 04 Golden Pink</t>
        </is>
      </c>
      <c r="C259" t="inlineStr">
        <is>
          <t>Eyeshadow</t>
        </is>
      </c>
      <c r="D259" t="inlineStr">
        <is>
          <t>Bobbi Brown</t>
        </is>
      </c>
      <c r="E259" t="n">
        <v>30.01</v>
      </c>
      <c r="F259" t="n">
        <v>1</v>
      </c>
      <c r="G259" t="n">
        <v>9</v>
      </c>
      <c r="H259" s="5">
        <f>HYPERLINK("https://api.qogita.com/variants/link/0716170109510/", "View Product")</f>
        <v/>
      </c>
    </row>
    <row r="260">
      <c r="A260" t="inlineStr">
        <is>
          <t>0716170118574</t>
        </is>
      </c>
      <c r="B260" t="inlineStr">
        <is>
          <t>BBr Ink Liner 01 Blackest Black</t>
        </is>
      </c>
      <c r="C260" t="inlineStr">
        <is>
          <t>Eyeliner</t>
        </is>
      </c>
      <c r="D260" t="inlineStr">
        <is>
          <t>Bobbi Brown</t>
        </is>
      </c>
      <c r="E260" t="n">
        <v>31.58</v>
      </c>
      <c r="F260" t="n">
        <v>1</v>
      </c>
      <c r="G260" t="n">
        <v>2</v>
      </c>
      <c r="H260" s="5">
        <f>HYPERLINK("https://api.qogita.com/variants/link/0716170118574/", "View Product")</f>
        <v/>
      </c>
    </row>
    <row r="261">
      <c r="A261" t="inlineStr">
        <is>
          <t>0716170124315</t>
        </is>
      </c>
      <c r="B261" t="inlineStr">
        <is>
          <t>Bobbi Brown Skin Foundation Stick Foundation 3.0 Beige 9g</t>
        </is>
      </c>
      <c r="C261" t="inlineStr">
        <is>
          <t>Foundation</t>
        </is>
      </c>
      <c r="D261" t="inlineStr">
        <is>
          <t>Bobbi Brown</t>
        </is>
      </c>
      <c r="E261" t="n">
        <v>36.34</v>
      </c>
      <c r="F261" t="n">
        <v>1</v>
      </c>
      <c r="G261" t="n">
        <v>4</v>
      </c>
      <c r="H261" s="5">
        <f>HYPERLINK("https://api.qogita.com/variants/link/0716170124315/", "View Product")</f>
        <v/>
      </c>
    </row>
    <row r="262">
      <c r="A262" t="inlineStr">
        <is>
          <t>0716170124391</t>
        </is>
      </c>
      <c r="B262" t="inlineStr">
        <is>
          <t>Bobbi Brown Skin Foundation Stick 9g 0 Porcelain</t>
        </is>
      </c>
      <c r="C262" t="inlineStr">
        <is>
          <t>Foundation</t>
        </is>
      </c>
      <c r="D262" t="inlineStr">
        <is>
          <t>Bobbi Brown</t>
        </is>
      </c>
      <c r="E262" t="n">
        <v>36.3</v>
      </c>
      <c r="F262" t="n">
        <v>1</v>
      </c>
      <c r="G262" t="n">
        <v>2</v>
      </c>
      <c r="H262" s="5">
        <f>HYPERLINK("https://api.qogita.com/variants/link/0716170124391/", "View Product")</f>
        <v/>
      </c>
    </row>
    <row r="263">
      <c r="A263" t="inlineStr">
        <is>
          <t>0716170141367</t>
        </is>
      </c>
      <c r="B263" t="inlineStr">
        <is>
          <t>BBr Lip Pencil 10 Nude</t>
        </is>
      </c>
      <c r="C263" t="inlineStr">
        <is>
          <t>Lip Liner</t>
        </is>
      </c>
      <c r="D263" t="inlineStr">
        <is>
          <t>Bobbi Brown</t>
        </is>
      </c>
      <c r="E263" t="n">
        <v>24.41</v>
      </c>
      <c r="F263" t="n">
        <v>1</v>
      </c>
      <c r="G263" t="n">
        <v>5</v>
      </c>
      <c r="H263" s="5">
        <f>HYPERLINK("https://api.qogita.com/variants/link/0716170141367/", "View Product")</f>
        <v/>
      </c>
    </row>
    <row r="264">
      <c r="A264" t="inlineStr">
        <is>
          <t>0716170159904</t>
        </is>
      </c>
      <c r="B264" t="inlineStr">
        <is>
          <t>Eye Opening Mascara Black 10ml</t>
        </is>
      </c>
      <c r="C264" t="inlineStr">
        <is>
          <t>Mascara</t>
        </is>
      </c>
      <c r="D264" t="inlineStr">
        <is>
          <t>Bobbi Brown</t>
        </is>
      </c>
      <c r="E264" t="n">
        <v>29.47</v>
      </c>
      <c r="F264" t="n">
        <v>1</v>
      </c>
      <c r="G264" t="n">
        <v>17</v>
      </c>
      <c r="H264" s="5">
        <f>HYPERLINK("https://api.qogita.com/variants/link/0716170159904/", "View Product")</f>
        <v/>
      </c>
    </row>
    <row r="265">
      <c r="A265" t="inlineStr">
        <is>
          <t>0716170191034</t>
        </is>
      </c>
      <c r="B265" t="inlineStr">
        <is>
          <t>Bobbi Brown Crushed Lip Colour Lilac 3.4g</t>
        </is>
      </c>
      <c r="C265" t="inlineStr">
        <is>
          <t>Lipstick</t>
        </is>
      </c>
      <c r="D265" t="inlineStr">
        <is>
          <t>Bobbi Brown</t>
        </is>
      </c>
      <c r="E265" t="n">
        <v>29.28</v>
      </c>
      <c r="F265" t="n">
        <v>1</v>
      </c>
      <c r="G265" t="n">
        <v>5</v>
      </c>
      <c r="H265" s="5">
        <f>HYPERLINK("https://api.qogita.com/variants/link/0716170191034/", "View Product")</f>
        <v/>
      </c>
    </row>
    <row r="266">
      <c r="A266" t="inlineStr">
        <is>
          <t>0716170225494</t>
        </is>
      </c>
      <c r="B266" t="inlineStr">
        <is>
          <t>Bobbi Brown Luxe Shine Intense Lipstick</t>
        </is>
      </c>
      <c r="C266" t="inlineStr">
        <is>
          <t>Lipstick</t>
        </is>
      </c>
      <c r="D266" t="inlineStr">
        <is>
          <t>Bobbi Brown</t>
        </is>
      </c>
      <c r="E266" t="n">
        <v>31.44</v>
      </c>
      <c r="F266" t="n">
        <v>1</v>
      </c>
      <c r="G266" t="n">
        <v>5</v>
      </c>
      <c r="H266" s="5">
        <f>HYPERLINK("https://api.qogita.com/variants/link/0716170225494/", "View Product")</f>
        <v/>
      </c>
    </row>
    <row r="267">
      <c r="A267" t="inlineStr">
        <is>
          <t>0716170225500</t>
        </is>
      </c>
      <c r="B267" t="inlineStr">
        <is>
          <t>Bobbi Brown Luxe Shine Intense Lipstick Passion Flower</t>
        </is>
      </c>
      <c r="C267" t="inlineStr">
        <is>
          <t>Lipstick</t>
        </is>
      </c>
      <c r="D267" t="inlineStr">
        <is>
          <t>Bobbi Brown</t>
        </is>
      </c>
      <c r="E267" t="n">
        <v>27.99</v>
      </c>
      <c r="F267" t="n">
        <v>1</v>
      </c>
      <c r="G267" t="n">
        <v>8</v>
      </c>
      <c r="H267" s="5">
        <f>HYPERLINK("https://api.qogita.com/variants/link/0716170225500/", "View Product")</f>
        <v/>
      </c>
    </row>
    <row r="268">
      <c r="A268" t="inlineStr">
        <is>
          <t>0716170228969</t>
        </is>
      </c>
      <c r="B268" t="inlineStr">
        <is>
          <t>Bobbi Brown Crushed Oil-infused Gloss Freestyle Soft Coral Pink</t>
        </is>
      </c>
      <c r="C268" t="inlineStr">
        <is>
          <t>Lip Gloss</t>
        </is>
      </c>
      <c r="D268" t="inlineStr">
        <is>
          <t>Bobbi Brown</t>
        </is>
      </c>
      <c r="E268" t="n">
        <v>24.8</v>
      </c>
      <c r="F268" t="n">
        <v>1</v>
      </c>
      <c r="G268" t="n">
        <v>7</v>
      </c>
      <c r="H268" s="5">
        <f>HYPERLINK("https://api.qogita.com/variants/link/0716170228969/", "View Product")</f>
        <v/>
      </c>
    </row>
    <row r="269">
      <c r="A269" t="inlineStr">
        <is>
          <t>0716170229164</t>
        </is>
      </c>
      <c r="B269" t="inlineStr">
        <is>
          <t>Bobbi Brown Intensive Serum Foundation SPF 40 (PA+++++) Natural 1.0 fl oz (30 ml)</t>
        </is>
      </c>
      <c r="C269" t="inlineStr">
        <is>
          <t>Foundation</t>
        </is>
      </c>
      <c r="D269" t="inlineStr">
        <is>
          <t>Bobbi Brown</t>
        </is>
      </c>
      <c r="E269" t="n">
        <v>50.85</v>
      </c>
      <c r="F269" t="n">
        <v>1</v>
      </c>
      <c r="G269" t="n">
        <v>6</v>
      </c>
      <c r="H269" s="5">
        <f>HYPERLINK("https://api.qogita.com/variants/link/0716170229164/", "View Product")</f>
        <v/>
      </c>
    </row>
    <row r="270">
      <c r="A270" t="inlineStr">
        <is>
          <t>0716170229188</t>
        </is>
      </c>
      <c r="B270" t="inlineStr">
        <is>
          <t>Intense Makeup and Serum SPF 40 (Intensive Skin Serum Foundation SPF 40) 30 ml Shade Golden</t>
        </is>
      </c>
      <c r="C270" t="inlineStr">
        <is>
          <t>Foundation</t>
        </is>
      </c>
      <c r="D270" t="inlineStr">
        <is>
          <t>Bobbi Brown</t>
        </is>
      </c>
      <c r="E270" t="n">
        <v>52.91</v>
      </c>
      <c r="F270" t="n">
        <v>1</v>
      </c>
      <c r="G270" t="n">
        <v>5</v>
      </c>
      <c r="H270" s="5">
        <f>HYPERLINK("https://api.qogita.com/variants/link/0716170229188/", "View Product")</f>
        <v/>
      </c>
    </row>
    <row r="271">
      <c r="A271" t="inlineStr">
        <is>
          <t>0716170229195</t>
        </is>
      </c>
      <c r="B271" t="inlineStr">
        <is>
          <t>Bobbi Brown Intensive Serum Foundation N-012 Porcelain 30ml</t>
        </is>
      </c>
      <c r="C271" t="inlineStr">
        <is>
          <t>Foundation</t>
        </is>
      </c>
      <c r="D271" t="inlineStr">
        <is>
          <t>Bobbi Brown</t>
        </is>
      </c>
      <c r="E271" t="n">
        <v>51.86</v>
      </c>
      <c r="F271" t="n">
        <v>1</v>
      </c>
      <c r="G271" t="n">
        <v>4</v>
      </c>
      <c r="H271" s="5">
        <f>HYPERLINK("https://api.qogita.com/variants/link/0716170229195/", "View Product")</f>
        <v/>
      </c>
    </row>
    <row r="272">
      <c r="A272" t="inlineStr">
        <is>
          <t>0716170229287</t>
        </is>
      </c>
      <c r="B272" t="inlineStr">
        <is>
          <t>Bobbi Brown Intensive Skin Serum Foundation SPF 40 Cool Sand for Women 1 oz</t>
        </is>
      </c>
      <c r="C272" t="inlineStr">
        <is>
          <t>Foundation</t>
        </is>
      </c>
      <c r="D272" t="inlineStr">
        <is>
          <t>Bobbi Brown</t>
        </is>
      </c>
      <c r="E272" t="n">
        <v>52.91</v>
      </c>
      <c r="F272" t="n">
        <v>1</v>
      </c>
      <c r="G272" t="n">
        <v>2</v>
      </c>
      <c r="H272" s="5">
        <f>HYPERLINK("https://api.qogita.com/variants/link/0716170229287/", "View Product")</f>
        <v/>
      </c>
    </row>
    <row r="273">
      <c r="A273" t="inlineStr">
        <is>
          <t>0716170235479</t>
        </is>
      </c>
      <c r="B273" t="inlineStr">
        <is>
          <t>Bobbi Brown Crushed Oil-infused Gloss Slow Jam Neutral Creamy Plum</t>
        </is>
      </c>
      <c r="C273" t="inlineStr">
        <is>
          <t>Lip Gloss</t>
        </is>
      </c>
      <c r="D273" t="inlineStr">
        <is>
          <t>Bobbi Brown</t>
        </is>
      </c>
      <c r="E273" t="n">
        <v>28.71</v>
      </c>
      <c r="F273" t="n">
        <v>1</v>
      </c>
      <c r="G273" t="n">
        <v>4</v>
      </c>
      <c r="H273" s="5">
        <f>HYPERLINK("https://api.qogita.com/variants/link/0716170235479/", "View Product")</f>
        <v/>
      </c>
    </row>
    <row r="274">
      <c r="A274" t="inlineStr">
        <is>
          <t>0716170258997</t>
        </is>
      </c>
      <c r="B274" t="inlineStr">
        <is>
          <t>Bobbi Brown Skin Corrector Stick Dark Peach</t>
        </is>
      </c>
      <c r="C274" t="inlineStr">
        <is>
          <t>Color Corrector</t>
        </is>
      </c>
      <c r="D274" t="inlineStr">
        <is>
          <t>Bobbi Brown</t>
        </is>
      </c>
      <c r="E274" t="n">
        <v>27.42</v>
      </c>
      <c r="F274" t="n">
        <v>1</v>
      </c>
      <c r="G274" t="n">
        <v>5</v>
      </c>
      <c r="H274" s="5">
        <f>HYPERLINK("https://api.qogita.com/variants/link/0716170258997/", "View Product")</f>
        <v/>
      </c>
    </row>
    <row r="275">
      <c r="A275" t="inlineStr">
        <is>
          <t>0716170260334</t>
        </is>
      </c>
      <c r="B275" t="inlineStr">
        <is>
          <t>Luxe Lipstick 3.5 g Shade Neutral Rose</t>
        </is>
      </c>
      <c r="C275" t="inlineStr">
        <is>
          <t>Lipstick</t>
        </is>
      </c>
      <c r="D275" t="inlineStr">
        <is>
          <t>Bobbi Brown</t>
        </is>
      </c>
      <c r="E275" t="n">
        <v>33.59</v>
      </c>
      <c r="F275" t="n">
        <v>1</v>
      </c>
      <c r="G275" t="n">
        <v>12</v>
      </c>
      <c r="H275" s="5">
        <f>HYPERLINK("https://api.qogita.com/variants/link/0716170260334/", "View Product")</f>
        <v/>
      </c>
    </row>
    <row r="276">
      <c r="A276" t="inlineStr">
        <is>
          <t>0716170260563</t>
        </is>
      </c>
      <c r="B276" t="inlineStr">
        <is>
          <t>Luxe Lipstick 3.5g Shade Tango</t>
        </is>
      </c>
      <c r="C276" t="inlineStr">
        <is>
          <t>Lipstick</t>
        </is>
      </c>
      <c r="D276" t="inlineStr">
        <is>
          <t>Bobbi Brown</t>
        </is>
      </c>
      <c r="E276" t="n">
        <v>29.32</v>
      </c>
      <c r="F276" t="n">
        <v>1</v>
      </c>
      <c r="G276" t="n">
        <v>2</v>
      </c>
      <c r="H276" s="5">
        <f>HYPERLINK("https://api.qogita.com/variants/link/0716170260563/", "View Product")</f>
        <v/>
      </c>
    </row>
    <row r="277">
      <c r="A277" t="inlineStr">
        <is>
          <t>0716170260594</t>
        </is>
      </c>
      <c r="B277" t="inlineStr">
        <is>
          <t>Bobbi Brown Luxe Lipstick 866 Rare Ruby 0.12 oz 3.5g</t>
        </is>
      </c>
      <c r="C277" t="inlineStr">
        <is>
          <t>Lipstick</t>
        </is>
      </c>
      <c r="D277" t="inlineStr">
        <is>
          <t>Bobbi Brown</t>
        </is>
      </c>
      <c r="E277" t="n">
        <v>29.32</v>
      </c>
      <c r="F277" t="n">
        <v>1</v>
      </c>
      <c r="G277" t="n">
        <v>4</v>
      </c>
      <c r="H277" s="5">
        <f>HYPERLINK("https://api.qogita.com/variants/link/0716170260594/", "View Product")</f>
        <v/>
      </c>
    </row>
    <row r="278">
      <c r="A278" t="inlineStr">
        <is>
          <t>0716170260600</t>
        </is>
      </c>
      <c r="B278" t="inlineStr">
        <is>
          <t>Bobbi Brown Luxe Lipstick Downtown Plum</t>
        </is>
      </c>
      <c r="C278" t="inlineStr">
        <is>
          <t>Lipstick</t>
        </is>
      </c>
      <c r="D278" t="inlineStr">
        <is>
          <t>Bobbi Brown</t>
        </is>
      </c>
      <c r="E278" t="n">
        <v>32.73</v>
      </c>
      <c r="F278" t="n">
        <v>1</v>
      </c>
      <c r="G278" t="n">
        <v>5</v>
      </c>
      <c r="H278" s="5">
        <f>HYPERLINK("https://api.qogita.com/variants/link/0716170260600/", "View Product")</f>
        <v/>
      </c>
    </row>
    <row r="279">
      <c r="A279" t="inlineStr">
        <is>
          <t>0716170273808</t>
        </is>
      </c>
      <c r="B279" t="inlineStr">
        <is>
          <t>Bobbi Brown Skin Full Cover Concealer Warm Ivory 8ml</t>
        </is>
      </c>
      <c r="C279" t="inlineStr">
        <is>
          <t>Concealer</t>
        </is>
      </c>
      <c r="D279" t="inlineStr">
        <is>
          <t>Bobbi Brown</t>
        </is>
      </c>
      <c r="E279" t="n">
        <v>29.9</v>
      </c>
      <c r="F279" t="n">
        <v>1</v>
      </c>
      <c r="G279" t="n">
        <v>10</v>
      </c>
      <c r="H279" s="5">
        <f>HYPERLINK("https://api.qogita.com/variants/link/0716170273808/", "View Product")</f>
        <v/>
      </c>
    </row>
    <row r="280">
      <c r="A280" t="inlineStr">
        <is>
          <t>0716170273815</t>
        </is>
      </c>
      <c r="B280" t="inlineStr">
        <is>
          <t>Bobbi Brown Skin Full Cover Concealer Cool Sand 8ml</t>
        </is>
      </c>
      <c r="C280" t="inlineStr">
        <is>
          <t>Concealer</t>
        </is>
      </c>
      <c r="D280" t="inlineStr">
        <is>
          <t>Bobbi Brown</t>
        </is>
      </c>
      <c r="E280" t="n">
        <v>27.42</v>
      </c>
      <c r="F280" t="n">
        <v>1</v>
      </c>
      <c r="G280" t="n">
        <v>4</v>
      </c>
      <c r="H280" s="5">
        <f>HYPERLINK("https://api.qogita.com/variants/link/0716170273815/", "View Product")</f>
        <v/>
      </c>
    </row>
    <row r="281">
      <c r="A281" t="inlineStr">
        <is>
          <t>0716170275994</t>
        </is>
      </c>
      <c r="B281" t="inlineStr">
        <is>
          <t>Bobbi Brown Natural Brow Shaper Mahogany 4.4ml</t>
        </is>
      </c>
      <c r="C281" t="inlineStr">
        <is>
          <t>Eyebrow Gel</t>
        </is>
      </c>
      <c r="D281" t="inlineStr">
        <is>
          <t>Bobbi Brown</t>
        </is>
      </c>
      <c r="E281" t="n">
        <v>24.57</v>
      </c>
      <c r="F281" t="n">
        <v>1</v>
      </c>
      <c r="G281" t="n">
        <v>5</v>
      </c>
      <c r="H281" s="5">
        <f>HYPERLINK("https://api.qogita.com/variants/link/0716170275994/", "View Product")</f>
        <v/>
      </c>
    </row>
    <row r="282">
      <c r="A282" t="inlineStr">
        <is>
          <t>0716170276052</t>
        </is>
      </c>
      <c r="B282" t="inlineStr">
        <is>
          <t>Bobbi Brown Natural Brow Shaper Rich Brown 4.4ml</t>
        </is>
      </c>
      <c r="C282" t="inlineStr">
        <is>
          <t>Eyebrow Gel</t>
        </is>
      </c>
      <c r="D282" t="inlineStr">
        <is>
          <t>Bobbi Brown</t>
        </is>
      </c>
      <c r="E282" t="n">
        <v>24.89</v>
      </c>
      <c r="F282" t="n">
        <v>1</v>
      </c>
      <c r="G282" t="n">
        <v>3</v>
      </c>
      <c r="H282" s="5">
        <f>HYPERLINK("https://api.qogita.com/variants/link/0716170276052/", "View Product")</f>
        <v/>
      </c>
    </row>
    <row r="283">
      <c r="A283" t="inlineStr">
        <is>
          <t>0716170286648</t>
        </is>
      </c>
      <c r="B283" t="inlineStr">
        <is>
          <t>Bobbi Brown Natural Brow Shaper Slate 4.4ml</t>
        </is>
      </c>
      <c r="C283" t="inlineStr">
        <is>
          <t>Eyebrow Gel</t>
        </is>
      </c>
      <c r="D283" t="inlineStr">
        <is>
          <t>Bobbi Brown</t>
        </is>
      </c>
      <c r="E283" t="n">
        <v>21.83</v>
      </c>
      <c r="F283" t="n">
        <v>1</v>
      </c>
      <c r="G283" t="n">
        <v>4</v>
      </c>
      <c r="H283" s="5">
        <f>HYPERLINK("https://api.qogita.com/variants/link/0716170286648/", "View Product")</f>
        <v/>
      </c>
    </row>
    <row r="284">
      <c r="A284" t="inlineStr">
        <is>
          <t>0716170291796</t>
        </is>
      </c>
      <c r="B284" t="inlineStr">
        <is>
          <t>Bobbi Brown Chestnut Glow Highlighting Powder Illuminator Full Size NEW</t>
        </is>
      </c>
      <c r="C284" t="inlineStr">
        <is>
          <t>Highlighter</t>
        </is>
      </c>
      <c r="D284" t="inlineStr">
        <is>
          <t>Bobbi Brown</t>
        </is>
      </c>
      <c r="E284" t="n">
        <v>39.5</v>
      </c>
      <c r="F284" t="n">
        <v>1</v>
      </c>
      <c r="G284" t="n">
        <v>5</v>
      </c>
      <c r="H284" s="5">
        <f>HYPERLINK("https://api.qogita.com/variants/link/0716170291796/", "View Product")</f>
        <v/>
      </c>
    </row>
    <row r="285">
      <c r="A285" t="inlineStr">
        <is>
          <t>0716170292526</t>
        </is>
      </c>
      <c r="B285" t="inlineStr">
        <is>
          <t>Bobbi Brown Soothing Cleansing Oil</t>
        </is>
      </c>
      <c r="C285" t="inlineStr">
        <is>
          <t>Cleansing Oil</t>
        </is>
      </c>
      <c r="D285" t="inlineStr">
        <is>
          <t>Bobbi Brown</t>
        </is>
      </c>
      <c r="E285" t="n">
        <v>15.4</v>
      </c>
      <c r="F285" t="n">
        <v>1</v>
      </c>
      <c r="G285" t="n">
        <v>3</v>
      </c>
      <c r="H285" s="5">
        <f>HYPERLINK("https://api.qogita.com/variants/link/0716170292526/", "View Product")</f>
        <v/>
      </c>
    </row>
    <row r="286">
      <c r="A286" t="inlineStr">
        <is>
          <t>0716170298535</t>
        </is>
      </c>
      <c r="B286" t="inlineStr">
        <is>
          <t>Bobbi Brown Extra Lip Tint 339 Bare Punch for Women 0.08oz Lipstick</t>
        </is>
      </c>
      <c r="C286" t="inlineStr">
        <is>
          <t>Lipstick</t>
        </is>
      </c>
      <c r="D286" t="inlineStr">
        <is>
          <t>Bobbi Brown</t>
        </is>
      </c>
      <c r="E286" t="n">
        <v>30.11</v>
      </c>
      <c r="F286" t="n">
        <v>1</v>
      </c>
      <c r="G286" t="n">
        <v>6</v>
      </c>
      <c r="H286" s="5">
        <f>HYPERLINK("https://api.qogita.com/variants/link/0716170298535/", "View Product")</f>
        <v/>
      </c>
    </row>
    <row r="287">
      <c r="A287" t="inlineStr">
        <is>
          <t>0716170298542</t>
        </is>
      </c>
      <c r="B287" t="inlineStr">
        <is>
          <t>Bobbi Brown Extra Lip Tint Bare Nude 2.3g</t>
        </is>
      </c>
      <c r="C287" t="inlineStr">
        <is>
          <t>Lip Balm</t>
        </is>
      </c>
      <c r="D287" t="inlineStr">
        <is>
          <t>Bobbi Brown</t>
        </is>
      </c>
      <c r="E287" t="n">
        <v>29.94</v>
      </c>
      <c r="F287" t="n">
        <v>1</v>
      </c>
      <c r="G287" t="n">
        <v>2</v>
      </c>
      <c r="H287" s="5">
        <f>HYPERLINK("https://api.qogita.com/variants/link/0716170298542/", "View Product")</f>
        <v/>
      </c>
    </row>
    <row r="288">
      <c r="A288" t="inlineStr">
        <is>
          <t>0716170302539</t>
        </is>
      </c>
      <c r="B288" t="inlineStr">
        <is>
          <t>Bobbi Brown Long Wear Cream Shadow Stick Pink Copper Cashew for Women 0.05 oz Eye Shadow</t>
        </is>
      </c>
      <c r="C288" t="inlineStr">
        <is>
          <t>Eyeshadow</t>
        </is>
      </c>
      <c r="D288" t="inlineStr">
        <is>
          <t>Bobbi Brown</t>
        </is>
      </c>
      <c r="E288" t="n">
        <v>37.18</v>
      </c>
      <c r="F288" t="n">
        <v>1</v>
      </c>
      <c r="G288" t="n">
        <v>3</v>
      </c>
      <c r="H288" s="5">
        <f>HYPERLINK("https://api.qogita.com/variants/link/0716170302539/", "View Product")</f>
        <v/>
      </c>
    </row>
    <row r="289">
      <c r="A289" t="inlineStr">
        <is>
          <t>0716170306186</t>
        </is>
      </c>
      <c r="B289" t="inlineStr">
        <is>
          <t>Bobbi Brown Long-Wear Cream Eyeliner Stick Panther Matte Rich Black 1.1g 0.03oz</t>
        </is>
      </c>
      <c r="C289" t="inlineStr">
        <is>
          <t>Eyeliner</t>
        </is>
      </c>
      <c r="D289" t="inlineStr">
        <is>
          <t>Bobbi Brown</t>
        </is>
      </c>
      <c r="E289" t="n">
        <v>30.06</v>
      </c>
      <c r="F289" t="n">
        <v>1</v>
      </c>
      <c r="G289" t="n">
        <v>6</v>
      </c>
      <c r="H289" s="5">
        <f>HYPERLINK("https://api.qogita.com/variants/link/0716170306186/", "View Product")</f>
        <v/>
      </c>
    </row>
    <row r="290">
      <c r="A290" t="inlineStr">
        <is>
          <t>0716170312064</t>
        </is>
      </c>
      <c r="B290" t="inlineStr">
        <is>
          <t>Bobbi Brown Perfectly Defined Long-Wear Brow Pencil Shade 12 Sandy Blonde</t>
        </is>
      </c>
      <c r="C290" t="inlineStr">
        <is>
          <t>Eyebrow Pencil</t>
        </is>
      </c>
      <c r="D290" t="inlineStr">
        <is>
          <t>Bobbi Brown</t>
        </is>
      </c>
      <c r="E290" t="n">
        <v>33.25</v>
      </c>
      <c r="F290" t="n">
        <v>1</v>
      </c>
      <c r="G290" t="n">
        <v>2</v>
      </c>
      <c r="H290" s="5">
        <f>HYPERLINK("https://api.qogita.com/variants/link/0716170312064/", "View Product")</f>
        <v/>
      </c>
    </row>
    <row r="291">
      <c r="A291" t="inlineStr">
        <is>
          <t>0716170318653</t>
        </is>
      </c>
      <c r="B291" t="inlineStr">
        <is>
          <t>Bobbi Brown Skin Concealer Stick 3 G Warm Natural</t>
        </is>
      </c>
      <c r="C291" t="inlineStr">
        <is>
          <t>Concealer</t>
        </is>
      </c>
      <c r="D291" t="inlineStr">
        <is>
          <t>Bobbi Brown</t>
        </is>
      </c>
      <c r="E291" t="n">
        <v>27.42</v>
      </c>
      <c r="F291" t="n">
        <v>1</v>
      </c>
      <c r="G291" t="n">
        <v>4</v>
      </c>
      <c r="H291" s="5">
        <f>HYPERLINK("https://api.qogita.com/variants/link/0716170318653/", "View Product")</f>
        <v/>
      </c>
    </row>
    <row r="292">
      <c r="A292" t="inlineStr">
        <is>
          <t>0716170318660</t>
        </is>
      </c>
      <c r="B292" t="inlineStr">
        <is>
          <t>Bobbi Brown Skin Concealer Stick Honey 3g</t>
        </is>
      </c>
      <c r="C292" t="inlineStr">
        <is>
          <t>Concealer</t>
        </is>
      </c>
      <c r="D292" t="inlineStr">
        <is>
          <t>Bobbi Brown</t>
        </is>
      </c>
      <c r="E292" t="n">
        <v>26.94</v>
      </c>
      <c r="F292" t="n">
        <v>1</v>
      </c>
      <c r="G292" t="n">
        <v>5</v>
      </c>
      <c r="H292" s="5">
        <f>HYPERLINK("https://api.qogita.com/variants/link/0716170318660/", "View Product")</f>
        <v/>
      </c>
    </row>
    <row r="293">
      <c r="A293" t="inlineStr">
        <is>
          <t>0716170318691</t>
        </is>
      </c>
      <c r="B293" t="inlineStr">
        <is>
          <t>Bobbi Brown Skin Concealer Stick - 3 Grams</t>
        </is>
      </c>
      <c r="C293" t="inlineStr">
        <is>
          <t>Concealer</t>
        </is>
      </c>
      <c r="D293" t="inlineStr">
        <is>
          <t>Bobbi Brown</t>
        </is>
      </c>
      <c r="E293" t="n">
        <v>29.38</v>
      </c>
      <c r="F293" t="n">
        <v>1</v>
      </c>
      <c r="G293" t="n">
        <v>2</v>
      </c>
      <c r="H293" s="5">
        <f>HYPERLINK("https://api.qogita.com/variants/link/0716170318691/", "View Product")</f>
        <v/>
      </c>
    </row>
    <row r="294">
      <c r="A294" t="inlineStr">
        <is>
          <t>0716170319971</t>
        </is>
      </c>
      <c r="B294" t="inlineStr">
        <is>
          <t>Bobbi Brown Bronzing Powder 9 G Deep</t>
        </is>
      </c>
      <c r="C294" t="inlineStr">
        <is>
          <t>Bronzer</t>
        </is>
      </c>
      <c r="D294" t="inlineStr">
        <is>
          <t>Bobbi Brown</t>
        </is>
      </c>
      <c r="E294" t="n">
        <v>34.44</v>
      </c>
      <c r="F294" t="n">
        <v>1</v>
      </c>
      <c r="G294" t="n">
        <v>4</v>
      </c>
      <c r="H294" s="5">
        <f>HYPERLINK("https://api.qogita.com/variants/link/0716170319971/", "View Product")</f>
        <v/>
      </c>
    </row>
    <row r="295">
      <c r="A295" t="inlineStr">
        <is>
          <t>0716170330587</t>
        </is>
      </c>
      <c r="B295" t="inlineStr">
        <is>
          <t>Bobbi Brown Powder Blush Flame Matte Buildable Lightweight Makeup with Coconut Oil</t>
        </is>
      </c>
      <c r="C295" t="inlineStr">
        <is>
          <t>Blush</t>
        </is>
      </c>
      <c r="D295" t="inlineStr">
        <is>
          <t>Bobbi Brown</t>
        </is>
      </c>
      <c r="E295" t="n">
        <v>27.42</v>
      </c>
      <c r="F295" t="n">
        <v>1</v>
      </c>
      <c r="G295" t="n">
        <v>2</v>
      </c>
      <c r="H295" s="5">
        <f>HYPERLINK("https://api.qogita.com/variants/link/0716170330587/", "View Product")</f>
        <v/>
      </c>
    </row>
    <row r="296">
      <c r="A296" t="inlineStr">
        <is>
          <t>0716170336336</t>
        </is>
      </c>
      <c r="B296" t="inlineStr">
        <is>
          <t>Bobbi Brown Extra Plump Hydrating Lip Gloss Serum 0.2 oz 6 ml Bare Raspberry 757 Deep Berry Red</t>
        </is>
      </c>
      <c r="C296" t="inlineStr">
        <is>
          <t>Lip Gloss</t>
        </is>
      </c>
      <c r="D296" t="inlineStr">
        <is>
          <t>Bobbi Brown</t>
        </is>
      </c>
      <c r="E296" t="n">
        <v>29.09</v>
      </c>
      <c r="F296" t="n">
        <v>1</v>
      </c>
      <c r="G296" t="n">
        <v>5</v>
      </c>
      <c r="H296" s="5">
        <f>HYPERLINK("https://api.qogita.com/variants/link/0716170336336/", "View Product")</f>
        <v/>
      </c>
    </row>
    <row r="297">
      <c r="A297" t="inlineStr">
        <is>
          <t>0716393017883</t>
        </is>
      </c>
      <c r="B297" t="inlineStr">
        <is>
          <t>HALSTON 1-12 For Men 4.2 Oz Cologne Spray</t>
        </is>
      </c>
      <c r="C297" t="inlineStr">
        <is>
          <t>Eau De Cologne</t>
        </is>
      </c>
      <c r="D297" t="inlineStr">
        <is>
          <t>Halston</t>
        </is>
      </c>
      <c r="E297" t="n">
        <v>9.300000000000001</v>
      </c>
      <c r="F297" t="n">
        <v>1</v>
      </c>
      <c r="G297" t="n">
        <v>10</v>
      </c>
      <c r="H297" s="5">
        <f>HYPERLINK("https://api.qogita.com/variants/link/0716393017883/", "View Product")</f>
        <v/>
      </c>
    </row>
    <row r="298">
      <c r="A298" t="inlineStr">
        <is>
          <t>0717334254701</t>
        </is>
      </c>
      <c r="B298" t="inlineStr">
        <is>
          <t>Origins Ginger Hand and Body Lotion</t>
        </is>
      </c>
      <c r="C298" t="inlineStr">
        <is>
          <t>Body Lotion</t>
        </is>
      </c>
      <c r="D298" t="inlineStr">
        <is>
          <t>Origins</t>
        </is>
      </c>
      <c r="E298" t="n">
        <v>9.210000000000001</v>
      </c>
      <c r="F298" t="n">
        <v>1</v>
      </c>
      <c r="G298" t="n">
        <v>3</v>
      </c>
      <c r="H298" s="5">
        <f>HYPERLINK("https://api.qogita.com/variants/link/0717334254701/", "View Product")</f>
        <v/>
      </c>
    </row>
    <row r="299">
      <c r="A299" t="inlineStr">
        <is>
          <t>0717334257801</t>
        </is>
      </c>
      <c r="B299" t="inlineStr">
        <is>
          <t>Origins Mega-Mushroom Relief and Resilience Soothing Treatment Lotion Serum 200ml</t>
        </is>
      </c>
      <c r="C299" t="inlineStr">
        <is>
          <t>Hydrating Serum</t>
        </is>
      </c>
      <c r="D299" t="inlineStr">
        <is>
          <t>Origins</t>
        </is>
      </c>
      <c r="E299" t="n">
        <v>27.62</v>
      </c>
      <c r="F299" t="n">
        <v>1</v>
      </c>
      <c r="G299" t="n">
        <v>9</v>
      </c>
      <c r="H299" s="5">
        <f>HYPERLINK("https://api.qogita.com/variants/link/0717334257801/", "View Product")</f>
        <v/>
      </c>
    </row>
    <row r="300">
      <c r="A300" t="inlineStr">
        <is>
          <t>0717334262126</t>
        </is>
      </c>
      <c r="B300" t="inlineStr">
        <is>
          <t>Origins Plantscription Wrinkle Correction Eye Cream 15ml</t>
        </is>
      </c>
      <c r="C300" t="inlineStr">
        <is>
          <t>Eye Cream</t>
        </is>
      </c>
      <c r="D300" t="inlineStr">
        <is>
          <t>Origins</t>
        </is>
      </c>
      <c r="E300" t="n">
        <v>40.52</v>
      </c>
      <c r="F300" t="n">
        <v>1</v>
      </c>
      <c r="G300" t="n">
        <v>5</v>
      </c>
      <c r="H300" s="5">
        <f>HYPERLINK("https://api.qogita.com/variants/link/0717334262126/", "View Product")</f>
        <v/>
      </c>
    </row>
    <row r="301">
      <c r="A301" t="inlineStr">
        <is>
          <t>0717334265936</t>
        </is>
      </c>
      <c r="B301" t="inlineStr">
        <is>
          <t>Origins Dr. Weil Mega Mushroom Intensive Rescue Concentrate 30ml</t>
        </is>
      </c>
      <c r="C301" t="inlineStr">
        <is>
          <t>Hydrating Serum</t>
        </is>
      </c>
      <c r="D301" t="inlineStr">
        <is>
          <t>Origins</t>
        </is>
      </c>
      <c r="E301" t="n">
        <v>42.06</v>
      </c>
      <c r="F301" t="n">
        <v>1</v>
      </c>
      <c r="G301" t="n">
        <v>5</v>
      </c>
      <c r="H301" s="5">
        <f>HYPERLINK("https://api.qogita.com/variants/link/0717334265936/", "View Product")</f>
        <v/>
      </c>
    </row>
    <row r="302">
      <c r="A302" t="inlineStr">
        <is>
          <t>0719346010115</t>
        </is>
      </c>
      <c r="B302" t="inlineStr">
        <is>
          <t>Elizabeth Taylor Passion EDT Spray for Women 74ml</t>
        </is>
      </c>
      <c r="C302" t="inlineStr">
        <is>
          <t>Eau De Toilette</t>
        </is>
      </c>
      <c r="D302" t="inlineStr">
        <is>
          <t>Elizabeth Taylor</t>
        </is>
      </c>
      <c r="E302" t="n">
        <v>15.22</v>
      </c>
      <c r="F302" t="n">
        <v>1</v>
      </c>
      <c r="G302" t="n">
        <v>47</v>
      </c>
      <c r="H302" s="5">
        <f>HYPERLINK("https://api.qogita.com/variants/link/0719346010115/", "View Product")</f>
        <v/>
      </c>
    </row>
    <row r="303">
      <c r="A303" t="inlineStr">
        <is>
          <t>0719346018081</t>
        </is>
      </c>
      <c r="B303" t="inlineStr">
        <is>
          <t>Gardenia Elizabeth Taylor EDP Spray For Women 3.3 oz 100ml</t>
        </is>
      </c>
      <c r="C303" t="inlineStr">
        <is>
          <t>Eau De Parfum</t>
        </is>
      </c>
      <c r="D303" t="inlineStr">
        <is>
          <t>Elizabeth Taylor</t>
        </is>
      </c>
      <c r="E303" t="n">
        <v>15.11</v>
      </c>
      <c r="F303" t="n">
        <v>1</v>
      </c>
      <c r="G303" t="n">
        <v>11</v>
      </c>
      <c r="H303" s="5">
        <f>HYPERLINK("https://api.qogita.com/variants/link/0719346018081/", "View Product")</f>
        <v/>
      </c>
    </row>
    <row r="304">
      <c r="A304" t="inlineStr">
        <is>
          <t>0719346021920</t>
        </is>
      </c>
      <c r="B304" t="inlineStr">
        <is>
          <t>Halston Z-14 Cologne for Men 2.5-Ounce Bottle Cedar Citrus</t>
        </is>
      </c>
      <c r="C304" t="inlineStr">
        <is>
          <t>Eau De Cologne</t>
        </is>
      </c>
      <c r="D304" t="inlineStr">
        <is>
          <t>Halston</t>
        </is>
      </c>
      <c r="E304" t="n">
        <v>11.38</v>
      </c>
      <c r="F304" t="n">
        <v>1</v>
      </c>
      <c r="G304" t="n">
        <v>24</v>
      </c>
      <c r="H304" s="5">
        <f>HYPERLINK("https://api.qogita.com/variants/link/0719346021920/", "View Product")</f>
        <v/>
      </c>
    </row>
    <row r="305">
      <c r="A305" t="inlineStr">
        <is>
          <t>0719346022705</t>
        </is>
      </c>
      <c r="B305" t="inlineStr">
        <is>
          <t>Elizabeth Taylor White Diamonds Eau De Toilette Spray 100ml Floral Chypre</t>
        </is>
      </c>
      <c r="C305" t="inlineStr">
        <is>
          <t>Eau De Toilette</t>
        </is>
      </c>
      <c r="D305" t="inlineStr">
        <is>
          <t>White Diamonds</t>
        </is>
      </c>
      <c r="E305" t="n">
        <v>20.93</v>
      </c>
      <c r="F305" t="n">
        <v>1</v>
      </c>
      <c r="G305" t="n">
        <v>46</v>
      </c>
      <c r="H305" s="5">
        <f>HYPERLINK("https://api.qogita.com/variants/link/0719346022705/", "View Product")</f>
        <v/>
      </c>
    </row>
    <row r="306">
      <c r="A306" t="inlineStr">
        <is>
          <t>0719346065399</t>
        </is>
      </c>
      <c r="B306" t="inlineStr">
        <is>
          <t>Britney Spears Fantasy Eau De Parfum Spray for Women 1.7 Fl Oz</t>
        </is>
      </c>
      <c r="C306" t="inlineStr">
        <is>
          <t>Eau De Parfum</t>
        </is>
      </c>
      <c r="D306" t="inlineStr">
        <is>
          <t>Britney Spears</t>
        </is>
      </c>
      <c r="E306" t="n">
        <v>14.64</v>
      </c>
      <c r="F306" t="n">
        <v>1</v>
      </c>
      <c r="G306" t="n">
        <v>4</v>
      </c>
      <c r="H306" s="5">
        <f>HYPERLINK("https://api.qogita.com/variants/link/0719346065399/", "View Product")</f>
        <v/>
      </c>
    </row>
    <row r="307">
      <c r="A307" t="inlineStr">
        <is>
          <t>0719346151344</t>
        </is>
      </c>
      <c r="B307" t="inlineStr">
        <is>
          <t>Britney Spears Midnight Fantasy EDT Spray for Women 30ml</t>
        </is>
      </c>
      <c r="C307" t="inlineStr">
        <is>
          <t>Eau De Toilette</t>
        </is>
      </c>
      <c r="D307" t="inlineStr">
        <is>
          <t>Britney Spears</t>
        </is>
      </c>
      <c r="E307" t="n">
        <v>9.619999999999999</v>
      </c>
      <c r="F307" t="n">
        <v>1</v>
      </c>
      <c r="G307" t="n">
        <v>23</v>
      </c>
      <c r="H307" s="5">
        <f>HYPERLINK("https://api.qogita.com/variants/link/0719346151344/", "View Product")</f>
        <v/>
      </c>
    </row>
    <row r="308">
      <c r="A308" t="inlineStr">
        <is>
          <t>0719346154420</t>
        </is>
      </c>
      <c r="B308" t="inlineStr">
        <is>
          <t>Britney Spears Fantasy Eau De Toilette Spray 30ml</t>
        </is>
      </c>
      <c r="C308" t="inlineStr">
        <is>
          <t>Eau De Toilette</t>
        </is>
      </c>
      <c r="D308" t="inlineStr">
        <is>
          <t>Britney Spears</t>
        </is>
      </c>
      <c r="E308" t="n">
        <v>12.02</v>
      </c>
      <c r="F308" t="n">
        <v>1</v>
      </c>
      <c r="G308" t="n">
        <v>4</v>
      </c>
      <c r="H308" s="5">
        <f>HYPERLINK("https://api.qogita.com/variants/link/0719346154420/", "View Product")</f>
        <v/>
      </c>
    </row>
    <row r="309">
      <c r="A309" t="inlineStr">
        <is>
          <t>0719346158053</t>
        </is>
      </c>
      <c r="B309" t="inlineStr">
        <is>
          <t>Elizabeth Taylor Brilliant White Diamonds for Women 100ml EDT</t>
        </is>
      </c>
      <c r="C309" t="inlineStr">
        <is>
          <t>Eau De Toilette</t>
        </is>
      </c>
      <c r="D309" t="inlineStr">
        <is>
          <t>Elizabeth Taylor</t>
        </is>
      </c>
      <c r="E309" t="n">
        <v>13.42</v>
      </c>
      <c r="F309" t="n">
        <v>1</v>
      </c>
      <c r="G309" t="n">
        <v>31</v>
      </c>
      <c r="H309" s="5">
        <f>HYPERLINK("https://api.qogita.com/variants/link/0719346158053/", "View Product")</f>
        <v/>
      </c>
    </row>
    <row r="310">
      <c r="A310" t="inlineStr">
        <is>
          <t>0719346181051</t>
        </is>
      </c>
      <c r="B310" t="inlineStr">
        <is>
          <t>Halston Z-14 Cologne Spray 236ml 8 Ounce</t>
        </is>
      </c>
      <c r="C310" t="inlineStr">
        <is>
          <t>Eau De Cologne</t>
        </is>
      </c>
      <c r="D310" t="inlineStr">
        <is>
          <t>Halston</t>
        </is>
      </c>
      <c r="E310" t="n">
        <v>19.46</v>
      </c>
      <c r="F310" t="n">
        <v>1</v>
      </c>
      <c r="G310" t="n">
        <v>58</v>
      </c>
      <c r="H310" s="5">
        <f>HYPERLINK("https://api.qogita.com/variants/link/0719346181051/", "View Product")</f>
        <v/>
      </c>
    </row>
    <row r="311">
      <c r="A311" t="inlineStr">
        <is>
          <t>0719346191814</t>
        </is>
      </c>
      <c r="B311" t="inlineStr">
        <is>
          <t>Britney Spears Fantasy Intimate Edition EDP Spray 100ml</t>
        </is>
      </c>
      <c r="C311" t="inlineStr">
        <is>
          <t>Eau De Parfum</t>
        </is>
      </c>
      <c r="D311" t="inlineStr">
        <is>
          <t>Britney Spears</t>
        </is>
      </c>
      <c r="E311" t="n">
        <v>10.96</v>
      </c>
      <c r="F311" t="n">
        <v>1</v>
      </c>
      <c r="G311" t="n">
        <v>123</v>
      </c>
      <c r="H311" s="5">
        <f>HYPERLINK("https://api.qogita.com/variants/link/0719346191814/", "View Product")</f>
        <v/>
      </c>
    </row>
    <row r="312">
      <c r="A312" t="inlineStr">
        <is>
          <t>0719346218412</t>
        </is>
      </c>
      <c r="B312" t="inlineStr">
        <is>
          <t>Christina Aguilera Signature Eau De Parfum 30ml</t>
        </is>
      </c>
      <c r="C312" t="inlineStr">
        <is>
          <t>Eau De Parfum</t>
        </is>
      </c>
      <c r="D312" t="inlineStr">
        <is>
          <t>Christina Aguilera</t>
        </is>
      </c>
      <c r="E312" t="n">
        <v>10.95</v>
      </c>
      <c r="F312" t="n">
        <v>1</v>
      </c>
      <c r="G312" t="n">
        <v>39</v>
      </c>
      <c r="H312" s="5">
        <f>HYPERLINK("https://api.qogita.com/variants/link/0719346218412/", "View Product")</f>
        <v/>
      </c>
    </row>
    <row r="313">
      <c r="A313" t="inlineStr">
        <is>
          <t>0719346228992</t>
        </is>
      </c>
      <c r="B313" t="inlineStr">
        <is>
          <t>Naked Fantasy by Britney Spears for Women 3.3 Oz EDT Spray</t>
        </is>
      </c>
      <c r="C313" t="inlineStr">
        <is>
          <t>Eau De Toilette</t>
        </is>
      </c>
      <c r="D313" t="inlineStr">
        <is>
          <t>Britney Spears</t>
        </is>
      </c>
      <c r="E313" t="n">
        <v>15.62</v>
      </c>
      <c r="F313" t="n">
        <v>1</v>
      </c>
      <c r="G313" t="n">
        <v>3</v>
      </c>
      <c r="H313" s="5">
        <f>HYPERLINK("https://api.qogita.com/variants/link/0719346228992/", "View Product")</f>
        <v/>
      </c>
    </row>
    <row r="314">
      <c r="A314" t="inlineStr">
        <is>
          <t>0719346232906</t>
        </is>
      </c>
      <c r="B314" t="inlineStr">
        <is>
          <t>Juicy Couture Oui Eau de Parfum 50ml Spray for Women - NEW</t>
        </is>
      </c>
      <c r="C314" t="inlineStr">
        <is>
          <t>Eau De Parfum</t>
        </is>
      </c>
      <c r="D314" t="inlineStr">
        <is>
          <t>Juicy Couture</t>
        </is>
      </c>
      <c r="E314" t="n">
        <v>22.87</v>
      </c>
      <c r="F314" t="n">
        <v>1</v>
      </c>
      <c r="G314" t="n">
        <v>7</v>
      </c>
      <c r="H314" s="5">
        <f>HYPERLINK("https://api.qogita.com/variants/link/0719346232906/", "View Product")</f>
        <v/>
      </c>
    </row>
    <row r="315">
      <c r="A315" t="inlineStr">
        <is>
          <t>0719346243636</t>
        </is>
      </c>
      <c r="B315" t="inlineStr">
        <is>
          <t>Elizabeth Taylor White Diamonds En Rouge Eau De Toilette 100ml</t>
        </is>
      </c>
      <c r="C315" t="inlineStr">
        <is>
          <t>Eau De Toilette</t>
        </is>
      </c>
      <c r="D315" t="inlineStr">
        <is>
          <t>Elizabeth Taylor</t>
        </is>
      </c>
      <c r="E315" t="n">
        <v>20.54</v>
      </c>
      <c r="F315" t="n">
        <v>1</v>
      </c>
      <c r="G315" t="n">
        <v>8</v>
      </c>
      <c r="H315" s="5">
        <f>HYPERLINK("https://api.qogita.com/variants/link/0719346243636/", "View Product")</f>
        <v/>
      </c>
    </row>
    <row r="316">
      <c r="A316" t="inlineStr">
        <is>
          <t>0719346253277</t>
        </is>
      </c>
      <c r="B316" t="inlineStr">
        <is>
          <t>John Varvatos Artisan Teal Men's Cologne Eau de Toilette EDT Spray</t>
        </is>
      </c>
      <c r="C316" t="inlineStr">
        <is>
          <t>Eau De Toilette</t>
        </is>
      </c>
      <c r="D316" t="inlineStr">
        <is>
          <t>John Varvatos</t>
        </is>
      </c>
      <c r="E316" t="n">
        <v>24.17</v>
      </c>
      <c r="F316" t="n">
        <v>1</v>
      </c>
      <c r="G316" t="n">
        <v>5</v>
      </c>
      <c r="H316" s="5">
        <f>HYPERLINK("https://api.qogita.com/variants/link/0719346253277/", "View Product")</f>
        <v/>
      </c>
    </row>
    <row r="317">
      <c r="A317" t="inlineStr">
        <is>
          <t>0719346256360</t>
        </is>
      </c>
      <c r="B317" t="inlineStr">
        <is>
          <t>Electric Fantasy Britney Spears Perfume women 100ml</t>
        </is>
      </c>
      <c r="C317" t="inlineStr">
        <is>
          <t>Eau De Parfum</t>
        </is>
      </c>
      <c r="D317" t="inlineStr">
        <is>
          <t>Britney Spears</t>
        </is>
      </c>
      <c r="E317" t="n">
        <v>13.77</v>
      </c>
      <c r="F317" t="n">
        <v>1</v>
      </c>
      <c r="G317" t="n">
        <v>30</v>
      </c>
      <c r="H317" s="5">
        <f>HYPERLINK("https://api.qogita.com/variants/link/0719346256360/", "View Product")</f>
        <v/>
      </c>
    </row>
    <row r="318">
      <c r="A318" t="inlineStr">
        <is>
          <t>0719346257091</t>
        </is>
      </c>
      <c r="B318" t="inlineStr">
        <is>
          <t>Juicy Couture Viva La Juicy Neon Eau de Parfum 100ml</t>
        </is>
      </c>
      <c r="C318" t="inlineStr">
        <is>
          <t>Eau De Parfum</t>
        </is>
      </c>
      <c r="D318" t="inlineStr">
        <is>
          <t>Juicy Couture</t>
        </is>
      </c>
      <c r="E318" t="n">
        <v>33.81</v>
      </c>
      <c r="F318" t="n">
        <v>1</v>
      </c>
      <c r="G318" t="n">
        <v>12</v>
      </c>
      <c r="H318" s="5">
        <f>HYPERLINK("https://api.qogita.com/variants/link/0719346257091/", "View Product")</f>
        <v/>
      </c>
    </row>
    <row r="319">
      <c r="A319" t="inlineStr">
        <is>
          <t>0719346257107</t>
        </is>
      </c>
      <c r="B319" t="inlineStr">
        <is>
          <t>Juicy Couture Viva La Juicy Neon Eau de Parfum 50ml</t>
        </is>
      </c>
      <c r="C319" t="inlineStr">
        <is>
          <t>Eau De Parfum</t>
        </is>
      </c>
      <c r="D319" t="inlineStr">
        <is>
          <t>Juicy Couture</t>
        </is>
      </c>
      <c r="E319" t="n">
        <v>21.06</v>
      </c>
      <c r="F319" t="n">
        <v>1</v>
      </c>
      <c r="G319" t="n">
        <v>6</v>
      </c>
      <c r="H319" s="5">
        <f>HYPERLINK("https://api.qogita.com/variants/link/0719346257107/", "View Product")</f>
        <v/>
      </c>
    </row>
    <row r="320">
      <c r="A320" t="inlineStr">
        <is>
          <t>0719346265959</t>
        </is>
      </c>
      <c r="B320" t="inlineStr">
        <is>
          <t>Elizabeth Taylor Diamonds and Sapphires EDT Spray 50ml</t>
        </is>
      </c>
      <c r="C320" t="inlineStr">
        <is>
          <t>Eau De Toilette</t>
        </is>
      </c>
      <c r="D320" t="inlineStr">
        <is>
          <t>Elizabeth Taylor</t>
        </is>
      </c>
      <c r="E320" t="n">
        <v>8.6</v>
      </c>
      <c r="F320" t="n">
        <v>1</v>
      </c>
      <c r="G320" t="n">
        <v>8</v>
      </c>
      <c r="H320" s="5">
        <f>HYPERLINK("https://api.qogita.com/variants/link/0719346265959/", "View Product")</f>
        <v/>
      </c>
    </row>
    <row r="321">
      <c r="A321" t="inlineStr">
        <is>
          <t>0719346266154</t>
        </is>
      </c>
      <c r="B321" t="inlineStr">
        <is>
          <t>Elizabeth Taylor Diamonds and Rubies EDT Spray for Ladies 50ml</t>
        </is>
      </c>
      <c r="C321" t="inlineStr">
        <is>
          <t>Eau De Toilette</t>
        </is>
      </c>
      <c r="D321" t="inlineStr">
        <is>
          <t>Elizabeth Taylor</t>
        </is>
      </c>
      <c r="E321" t="n">
        <v>9.9</v>
      </c>
      <c r="F321" t="n">
        <v>1</v>
      </c>
      <c r="G321" t="n">
        <v>3</v>
      </c>
      <c r="H321" s="5">
        <f>HYPERLINK("https://api.qogita.com/variants/link/0719346266154/", "View Product")</f>
        <v/>
      </c>
    </row>
    <row r="322">
      <c r="A322" t="inlineStr">
        <is>
          <t>0719346450409</t>
        </is>
      </c>
      <c r="B322" t="inlineStr">
        <is>
          <t>Diamonds &amp; Sapphires by Elizabeth Taylor 1.7oz EDT Spray for Women</t>
        </is>
      </c>
      <c r="C322" t="inlineStr">
        <is>
          <t>Eau De Toilette</t>
        </is>
      </c>
      <c r="D322" t="inlineStr">
        <is>
          <t>Elizabeth Taylor</t>
        </is>
      </c>
      <c r="E322" t="n">
        <v>10.08</v>
      </c>
      <c r="F322" t="n">
        <v>1</v>
      </c>
      <c r="G322" t="n">
        <v>24</v>
      </c>
      <c r="H322" s="5">
        <f>HYPERLINK("https://api.qogita.com/variants/link/0719346450409/", "View Product")</f>
        <v/>
      </c>
    </row>
    <row r="323">
      <c r="A323" t="inlineStr">
        <is>
          <t>0719346593953</t>
        </is>
      </c>
      <c r="B323" t="inlineStr">
        <is>
          <t>Juicy Couture Viva La Juicy La Fleur Eau De Toilette Spray 75m 73.94g</t>
        </is>
      </c>
      <c r="C323" t="inlineStr">
        <is>
          <t>Eau De Toilette</t>
        </is>
      </c>
      <c r="D323" t="inlineStr">
        <is>
          <t>Juicy Couture</t>
        </is>
      </c>
      <c r="E323" t="n">
        <v>22.31</v>
      </c>
      <c r="F323" t="n">
        <v>1</v>
      </c>
      <c r="G323" t="n">
        <v>5</v>
      </c>
      <c r="H323" s="5">
        <f>HYPERLINK("https://api.qogita.com/variants/link/0719346593953/", "View Product")</f>
        <v/>
      </c>
    </row>
    <row r="324">
      <c r="A324" t="inlineStr">
        <is>
          <t>0719346628372</t>
        </is>
      </c>
      <c r="B324" t="inlineStr">
        <is>
          <t>Juicy Couture Viva La Juicy Rose Eau de Parfum 50ml Spray</t>
        </is>
      </c>
      <c r="C324" t="inlineStr">
        <is>
          <t>Eau De Parfum</t>
        </is>
      </c>
      <c r="D324" t="inlineStr">
        <is>
          <t>Juicy Couture</t>
        </is>
      </c>
      <c r="E324" t="n">
        <v>23.88</v>
      </c>
      <c r="F324" t="n">
        <v>1</v>
      </c>
      <c r="G324" t="n">
        <v>9</v>
      </c>
      <c r="H324" s="5">
        <f>HYPERLINK("https://api.qogita.com/variants/link/0719346628372/", "View Product")</f>
        <v/>
      </c>
    </row>
    <row r="325">
      <c r="A325" t="inlineStr">
        <is>
          <t>0719346629393</t>
        </is>
      </c>
      <c r="B325" t="inlineStr">
        <is>
          <t>John Varvatos Artisan Blu Eau de Toilette Spray 75ml</t>
        </is>
      </c>
      <c r="C325" t="inlineStr">
        <is>
          <t>Eau De Toilette</t>
        </is>
      </c>
      <c r="D325" t="inlineStr">
        <is>
          <t>John Varvatos</t>
        </is>
      </c>
      <c r="E325" t="n">
        <v>24.01</v>
      </c>
      <c r="F325" t="n">
        <v>1</v>
      </c>
      <c r="G325" t="n">
        <v>17</v>
      </c>
      <c r="H325" s="5">
        <f>HYPERLINK("https://api.qogita.com/variants/link/0719346629393/", "View Product")</f>
        <v/>
      </c>
    </row>
    <row r="326">
      <c r="A326" t="inlineStr">
        <is>
          <t>0719346630948</t>
        </is>
      </c>
      <c r="B326" t="inlineStr">
        <is>
          <t>Giorgio Beverly Hills Giorgio Yellow Fragrance Mist 236ml</t>
        </is>
      </c>
      <c r="C326" t="inlineStr">
        <is>
          <t>Eau De Parfum</t>
        </is>
      </c>
      <c r="D326" t="inlineStr">
        <is>
          <t>Giorgio Beverly Hills</t>
        </is>
      </c>
      <c r="E326" t="n">
        <v>6.09</v>
      </c>
      <c r="F326" t="n">
        <v>1</v>
      </c>
      <c r="G326" t="n">
        <v>70</v>
      </c>
      <c r="H326" s="5">
        <f>HYPERLINK("https://api.qogita.com/variants/link/0719346630948/", "View Product")</f>
        <v/>
      </c>
    </row>
    <row r="327">
      <c r="A327" t="inlineStr">
        <is>
          <t>0719346646550</t>
        </is>
      </c>
      <c r="B327" t="inlineStr">
        <is>
          <t>John Varvatos Artisan Pure Eau de Toilette Spray 125ml</t>
        </is>
      </c>
      <c r="C327" t="inlineStr">
        <is>
          <t>Eau De Toilette</t>
        </is>
      </c>
      <c r="D327" t="inlineStr">
        <is>
          <t>John Varvatos</t>
        </is>
      </c>
      <c r="E327" t="n">
        <v>28.67</v>
      </c>
      <c r="F327" t="n">
        <v>1</v>
      </c>
      <c r="G327" t="n">
        <v>176</v>
      </c>
      <c r="H327" s="5">
        <f>HYPERLINK("https://api.qogita.com/variants/link/0719346646550/", "View Product")</f>
        <v/>
      </c>
    </row>
    <row r="328">
      <c r="A328" t="inlineStr">
        <is>
          <t>0719346646581</t>
        </is>
      </c>
      <c r="B328" t="inlineStr">
        <is>
          <t>John Varvatos Artisan Pure Eau de Toilette Spray 75ml</t>
        </is>
      </c>
      <c r="C328" t="inlineStr">
        <is>
          <t>Eau De Toilette</t>
        </is>
      </c>
      <c r="D328" t="inlineStr">
        <is>
          <t>John Varvatos</t>
        </is>
      </c>
      <c r="E328" t="n">
        <v>24.44</v>
      </c>
      <c r="F328" t="n">
        <v>1</v>
      </c>
      <c r="G328" t="n">
        <v>11</v>
      </c>
      <c r="H328" s="5">
        <f>HYPERLINK("https://api.qogita.com/variants/link/0719346646581/", "View Product")</f>
        <v/>
      </c>
    </row>
    <row r="329">
      <c r="A329" t="inlineStr">
        <is>
          <t>0719346654494</t>
        </is>
      </c>
      <c r="B329" t="inlineStr">
        <is>
          <t>John Varvatos XX EDT Vaporizer 125ml</t>
        </is>
      </c>
      <c r="C329" t="inlineStr">
        <is>
          <t>Eau De Toilette</t>
        </is>
      </c>
      <c r="D329" t="inlineStr">
        <is>
          <t>John Varvatos</t>
        </is>
      </c>
      <c r="E329" t="n">
        <v>34.95</v>
      </c>
      <c r="F329" t="n">
        <v>1</v>
      </c>
      <c r="G329" t="n">
        <v>3</v>
      </c>
      <c r="H329" s="5">
        <f>HYPERLINK("https://api.qogita.com/variants/link/0719346654494/", "View Product")</f>
        <v/>
      </c>
    </row>
    <row r="330">
      <c r="A330" t="inlineStr">
        <is>
          <t>0721800754695</t>
        </is>
      </c>
      <c r="B330" t="inlineStr">
        <is>
          <t>Unum Scusami Extrait De Parfum 100ml Unisex</t>
        </is>
      </c>
      <c r="C330" t="inlineStr">
        <is>
          <t>Extrait De Parfum</t>
        </is>
      </c>
      <c r="D330" t="inlineStr">
        <is>
          <t>Filippo Sorcinelli</t>
        </is>
      </c>
      <c r="E330" t="n">
        <v>112.85</v>
      </c>
      <c r="F330" t="n">
        <v>1</v>
      </c>
      <c r="G330" t="n">
        <v>2</v>
      </c>
      <c r="H330" s="5">
        <f>HYPERLINK("https://api.qogita.com/variants/link/0721800754695/", "View Product")</f>
        <v/>
      </c>
    </row>
    <row r="331">
      <c r="A331" t="inlineStr">
        <is>
          <t>0728899973976</t>
        </is>
      </c>
      <c r="B331" t="inlineStr">
        <is>
          <t>D.S. &amp; Durga Bowmakers Eau De Parfum Spray 100ml</t>
        </is>
      </c>
      <c r="C331" t="inlineStr">
        <is>
          <t>Eau De Parfum</t>
        </is>
      </c>
      <c r="D331" t="inlineStr">
        <is>
          <t>D.S. &amp; Durga</t>
        </is>
      </c>
      <c r="E331" t="n">
        <v>160.68</v>
      </c>
      <c r="F331" t="n">
        <v>1</v>
      </c>
      <c r="G331" t="n">
        <v>5</v>
      </c>
      <c r="H331" s="5">
        <f>HYPERLINK("https://api.qogita.com/variants/link/0728899973976/", "View Product")</f>
        <v/>
      </c>
    </row>
    <row r="332">
      <c r="A332" t="inlineStr">
        <is>
          <t>0728899974010</t>
        </is>
      </c>
      <c r="B332" t="inlineStr">
        <is>
          <t>D.S. &amp; Durga Debaser Eau De Parfume Spray for Women 3.4 oz</t>
        </is>
      </c>
      <c r="C332" t="inlineStr">
        <is>
          <t>Eau De Parfum</t>
        </is>
      </c>
      <c r="D332" t="inlineStr">
        <is>
          <t>D.S. &amp; Durga</t>
        </is>
      </c>
      <c r="E332" t="n">
        <v>160.68</v>
      </c>
      <c r="F332" t="n">
        <v>1</v>
      </c>
      <c r="G332" t="n">
        <v>5</v>
      </c>
      <c r="H332" s="5">
        <f>HYPERLINK("https://api.qogita.com/variants/link/0728899974010/", "View Product")</f>
        <v/>
      </c>
    </row>
    <row r="333">
      <c r="A333" t="inlineStr">
        <is>
          <t>0730852147669</t>
        </is>
      </c>
      <c r="B333" t="inlineStr">
        <is>
          <t>Controlled Chaos Mascaraink Mascara 01 Black Pulse 11.5ml</t>
        </is>
      </c>
      <c r="C333" t="inlineStr">
        <is>
          <t>Mascara</t>
        </is>
      </c>
      <c r="D333" t="inlineStr">
        <is>
          <t>Controlled Chaos</t>
        </is>
      </c>
      <c r="E333" t="n">
        <v>20.76</v>
      </c>
      <c r="F333" t="n">
        <v>1</v>
      </c>
      <c r="G333" t="n">
        <v>10</v>
      </c>
      <c r="H333" s="5">
        <f>HYPERLINK("https://api.qogita.com/variants/link/0730852147669/", "View Product")</f>
        <v/>
      </c>
    </row>
    <row r="334">
      <c r="A334" t="inlineStr">
        <is>
          <t>0731509005868</t>
        </is>
      </c>
      <c r="B334" t="inlineStr">
        <is>
          <t>Kiss Quick Cover White Hair Concealer 7g</t>
        </is>
      </c>
      <c r="C334" t="inlineStr">
        <is>
          <t>Hairline Paint</t>
        </is>
      </c>
      <c r="D334" t="inlineStr">
        <is>
          <t>Kiss</t>
        </is>
      </c>
      <c r="E334" t="n">
        <v>7.68</v>
      </c>
      <c r="F334" t="n">
        <v>1</v>
      </c>
      <c r="G334" t="n">
        <v>26</v>
      </c>
      <c r="H334" s="5">
        <f>HYPERLINK("https://api.qogita.com/variants/link/0731509005868/", "View Product")</f>
        <v/>
      </c>
    </row>
    <row r="335">
      <c r="A335" t="inlineStr">
        <is>
          <t>0731509213607</t>
        </is>
      </c>
      <c r="B335" t="inlineStr">
        <is>
          <t>Kiss Super Stick 5-Day Extended Wear Strip Lash Adhesive - 4.8g Clear</t>
        </is>
      </c>
      <c r="C335" t="inlineStr">
        <is>
          <t>False Eyelashes</t>
        </is>
      </c>
      <c r="D335" t="inlineStr">
        <is>
          <t>Kiss</t>
        </is>
      </c>
      <c r="E335" t="n">
        <v>7.42</v>
      </c>
      <c r="F335" t="n">
        <v>1</v>
      </c>
      <c r="G335" t="n">
        <v>17</v>
      </c>
      <c r="H335" s="5">
        <f>HYPERLINK("https://api.qogita.com/variants/link/0731509213607/", "View Product")</f>
        <v/>
      </c>
    </row>
    <row r="336">
      <c r="A336" t="inlineStr">
        <is>
          <t>0731509213621</t>
        </is>
      </c>
      <c r="B336" t="inlineStr">
        <is>
          <t>Kiss Falscara False Eyelashes Multipack 07 - 24 Pieces</t>
        </is>
      </c>
      <c r="C336" t="inlineStr">
        <is>
          <t>False Eyelashes</t>
        </is>
      </c>
      <c r="D336" t="inlineStr">
        <is>
          <t>Kiss</t>
        </is>
      </c>
      <c r="E336" t="n">
        <v>10.66</v>
      </c>
      <c r="F336" t="n">
        <v>1</v>
      </c>
      <c r="G336" t="n">
        <v>5</v>
      </c>
      <c r="H336" s="5">
        <f>HYPERLINK("https://api.qogita.com/variants/link/0731509213621/", "View Product")</f>
        <v/>
      </c>
    </row>
    <row r="337">
      <c r="A337" t="inlineStr">
        <is>
          <t>0731509502626</t>
        </is>
      </c>
      <c r="B337" t="inlineStr">
        <is>
          <t>Kiss Trucolor Instant Gray Hair Touch up Stick - Black</t>
        </is>
      </c>
      <c r="C337" t="inlineStr">
        <is>
          <t>Hairline Paint</t>
        </is>
      </c>
      <c r="D337" t="inlineStr">
        <is>
          <t>Kiss</t>
        </is>
      </c>
      <c r="E337" t="n">
        <v>7.68</v>
      </c>
      <c r="F337" t="n">
        <v>1</v>
      </c>
      <c r="G337" t="n">
        <v>82</v>
      </c>
      <c r="H337" s="5">
        <f>HYPERLINK("https://api.qogita.com/variants/link/0731509502626/", "View Product")</f>
        <v/>
      </c>
    </row>
    <row r="338">
      <c r="A338" t="inlineStr">
        <is>
          <t>0731509523621</t>
        </is>
      </c>
      <c r="B338" t="inlineStr">
        <is>
          <t>KISS Quick Cover Gray Hair Root Touch Up Stick Black</t>
        </is>
      </c>
      <c r="C338" t="inlineStr">
        <is>
          <t>Hairline Paint</t>
        </is>
      </c>
      <c r="D338" t="inlineStr">
        <is>
          <t>Kiss</t>
        </is>
      </c>
      <c r="E338" t="n">
        <v>7.68</v>
      </c>
      <c r="F338" t="n">
        <v>1</v>
      </c>
      <c r="G338" t="n">
        <v>14</v>
      </c>
      <c r="H338" s="5">
        <f>HYPERLINK("https://api.qogita.com/variants/link/0731509523621/", "View Product")</f>
        <v/>
      </c>
    </row>
    <row r="339">
      <c r="A339" t="inlineStr">
        <is>
          <t>0731509579529</t>
        </is>
      </c>
      <c r="B339" t="inlineStr">
        <is>
          <t>KISS Haute Couture Individual Lash Clusters Natural Premium Lashes Style Luxe Short &amp; Medium Length Mini Knot Technology Includes Lash Glue 70 Fake Lashes Black</t>
        </is>
      </c>
      <c r="C339" t="inlineStr">
        <is>
          <t>False Eyelashes</t>
        </is>
      </c>
      <c r="D339" t="inlineStr">
        <is>
          <t>Kiss</t>
        </is>
      </c>
      <c r="E339" t="n">
        <v>6.14</v>
      </c>
      <c r="F339" t="n">
        <v>1</v>
      </c>
      <c r="G339" t="n">
        <v>5</v>
      </c>
      <c r="H339" s="5">
        <f>HYPERLINK("https://api.qogita.com/variants/link/0731509579529/", "View Product")</f>
        <v/>
      </c>
    </row>
    <row r="340">
      <c r="A340" t="inlineStr">
        <is>
          <t>0731509583250</t>
        </is>
      </c>
      <c r="B340" t="inlineStr">
        <is>
          <t>Kiss Strip Lash Adhesive Black</t>
        </is>
      </c>
      <c r="C340" t="inlineStr">
        <is>
          <t>False Eyelashes</t>
        </is>
      </c>
      <c r="D340" t="inlineStr">
        <is>
          <t>Kiss</t>
        </is>
      </c>
      <c r="E340" t="n">
        <v>5.35</v>
      </c>
      <c r="F340" t="n">
        <v>1</v>
      </c>
      <c r="G340" t="n">
        <v>112</v>
      </c>
      <c r="H340" s="5">
        <f>HYPERLINK("https://api.qogita.com/variants/link/0731509583250/", "View Product")</f>
        <v/>
      </c>
    </row>
    <row r="341">
      <c r="A341" t="inlineStr">
        <is>
          <t>0731509616576</t>
        </is>
      </c>
      <c r="B341" t="inlineStr">
        <is>
          <t>KISS Natural Lash Iconic 1 count - Pack of 2</t>
        </is>
      </c>
      <c r="C341" t="inlineStr">
        <is>
          <t>False Eyelashes</t>
        </is>
      </c>
      <c r="D341" t="inlineStr">
        <is>
          <t>Kiss</t>
        </is>
      </c>
      <c r="E341" t="n">
        <v>5.99</v>
      </c>
      <c r="F341" t="n">
        <v>1</v>
      </c>
      <c r="G341" t="n">
        <v>15</v>
      </c>
      <c r="H341" s="5">
        <f>HYPERLINK("https://api.qogita.com/variants/link/0731509616576/", "View Product")</f>
        <v/>
      </c>
    </row>
    <row r="342">
      <c r="A342" t="inlineStr">
        <is>
          <t>0731509659771</t>
        </is>
      </c>
      <c r="B342" t="inlineStr">
        <is>
          <t>KISS 4in1 Nail File</t>
        </is>
      </c>
      <c r="C342" t="inlineStr">
        <is>
          <t>Nail Clippers &amp; Tools</t>
        </is>
      </c>
      <c r="D342" t="inlineStr">
        <is>
          <t>Kiss</t>
        </is>
      </c>
      <c r="E342" t="n">
        <v>3.98</v>
      </c>
      <c r="F342" t="n">
        <v>1</v>
      </c>
      <c r="G342" t="n">
        <v>9</v>
      </c>
      <c r="H342" s="5">
        <f>HYPERLINK("https://api.qogita.com/variants/link/0731509659771/", "View Product")</f>
        <v/>
      </c>
    </row>
    <row r="343">
      <c r="A343" t="inlineStr">
        <is>
          <t>0731509691177</t>
        </is>
      </c>
      <c r="B343" t="inlineStr">
        <is>
          <t>Kiss Gel Fantasy Nails KGN17 No Pressure with Adhesive Tabs and Glue</t>
        </is>
      </c>
      <c r="C343" t="inlineStr">
        <is>
          <t>Artificial Nails &amp; Nail Decoration</t>
        </is>
      </c>
      <c r="D343" t="inlineStr">
        <is>
          <t>Kiss</t>
        </is>
      </c>
      <c r="E343" t="n">
        <v>8.75</v>
      </c>
      <c r="F343" t="n">
        <v>1</v>
      </c>
      <c r="G343" t="n">
        <v>3</v>
      </c>
      <c r="H343" s="5">
        <f>HYPERLINK("https://api.qogita.com/variants/link/0731509691177/", "View Product")</f>
        <v/>
      </c>
    </row>
    <row r="344">
      <c r="A344" t="inlineStr">
        <is>
          <t>0731509692587</t>
        </is>
      </c>
      <c r="B344" t="inlineStr">
        <is>
          <t>KISS Lash Couture Faux Mink Collection False Lashes Little Black Dress Ultrafine Tapered Synthetic Fake Lashes with Lash Glue Black 2 Count</t>
        </is>
      </c>
      <c r="C344" t="inlineStr">
        <is>
          <t>False Eyelashes</t>
        </is>
      </c>
      <c r="D344" t="inlineStr">
        <is>
          <t>Kiss</t>
        </is>
      </c>
      <c r="E344" t="n">
        <v>7.38</v>
      </c>
      <c r="F344" t="n">
        <v>1</v>
      </c>
      <c r="G344" t="n">
        <v>9</v>
      </c>
      <c r="H344" s="5">
        <f>HYPERLINK("https://api.qogita.com/variants/link/0731509692587/", "View Product")</f>
        <v/>
      </c>
    </row>
    <row r="345">
      <c r="A345" t="inlineStr">
        <is>
          <t>0731509766196</t>
        </is>
      </c>
      <c r="B345" t="inlineStr">
        <is>
          <t>KISS Masterpiece Nails - Kitty Gurl</t>
        </is>
      </c>
      <c r="C345" t="inlineStr">
        <is>
          <t>Artificial Nails &amp; Nail Decoration</t>
        </is>
      </c>
      <c r="D345" t="inlineStr">
        <is>
          <t>Kiss</t>
        </is>
      </c>
      <c r="E345" t="n">
        <v>12.51</v>
      </c>
      <c r="F345" t="n">
        <v>1</v>
      </c>
      <c r="G345" t="n">
        <v>7</v>
      </c>
      <c r="H345" s="5">
        <f>HYPERLINK("https://api.qogita.com/variants/link/0731509766196/", "View Product")</f>
        <v/>
      </c>
    </row>
    <row r="346">
      <c r="A346" t="inlineStr">
        <is>
          <t>0731509803655</t>
        </is>
      </c>
      <c r="B346" t="inlineStr">
        <is>
          <t>KISS Magnetic Lash Collection Charm False Eyelashes with 5 Double Strength Magnets</t>
        </is>
      </c>
      <c r="C346" t="inlineStr">
        <is>
          <t>False Eyelashes</t>
        </is>
      </c>
      <c r="D346" t="inlineStr">
        <is>
          <t>Kiss</t>
        </is>
      </c>
      <c r="E346" t="n">
        <v>7.93</v>
      </c>
      <c r="F346" t="n">
        <v>1</v>
      </c>
      <c r="G346" t="n">
        <v>12</v>
      </c>
      <c r="H346" s="5">
        <f>HYPERLINK("https://api.qogita.com/variants/link/0731509803655/", "View Product")</f>
        <v/>
      </c>
    </row>
    <row r="347">
      <c r="A347" t="inlineStr">
        <is>
          <t>0731509803662</t>
        </is>
      </c>
      <c r="B347" t="inlineStr">
        <is>
          <t>KISS Magnetic Lash Collection False Eyelashes Tempt</t>
        </is>
      </c>
      <c r="C347" t="inlineStr">
        <is>
          <t>False Eyelashes</t>
        </is>
      </c>
      <c r="D347" t="inlineStr">
        <is>
          <t>Kiss</t>
        </is>
      </c>
      <c r="E347" t="n">
        <v>7.93</v>
      </c>
      <c r="F347" t="n">
        <v>1</v>
      </c>
      <c r="G347" t="n">
        <v>5</v>
      </c>
      <c r="H347" s="5">
        <f>HYPERLINK("https://api.qogita.com/variants/link/0731509803662/", "View Product")</f>
        <v/>
      </c>
    </row>
    <row r="348">
      <c r="A348" t="inlineStr">
        <is>
          <t>0731509827507</t>
        </is>
      </c>
      <c r="B348" t="inlineStr">
        <is>
          <t>KISS Magnetic Lash Collection Eyeliner &amp; Lash Kit 1 Pair of False Eyelashes and Magnetic Eyeliner Tempt</t>
        </is>
      </c>
      <c r="C348" t="inlineStr">
        <is>
          <t>False Eyelashes</t>
        </is>
      </c>
      <c r="D348" t="inlineStr">
        <is>
          <t>Kiss</t>
        </is>
      </c>
      <c r="E348" t="n">
        <v>12.83</v>
      </c>
      <c r="F348" t="n">
        <v>1</v>
      </c>
      <c r="G348" t="n">
        <v>12</v>
      </c>
      <c r="H348" s="5">
        <f>HYPERLINK("https://api.qogita.com/variants/link/0731509827507/", "View Product")</f>
        <v/>
      </c>
    </row>
    <row r="349">
      <c r="A349" t="inlineStr">
        <is>
          <t>0731509835946</t>
        </is>
      </c>
      <c r="B349" t="inlineStr">
        <is>
          <t>KISS Voguish Fantasy Nails Chilllout</t>
        </is>
      </c>
      <c r="C349" t="inlineStr">
        <is>
          <t>Artificial Nails &amp; Nail Decoration</t>
        </is>
      </c>
      <c r="D349" t="inlineStr">
        <is>
          <t>Kiss</t>
        </is>
      </c>
      <c r="E349" t="n">
        <v>9.050000000000001</v>
      </c>
      <c r="F349" t="n">
        <v>1</v>
      </c>
      <c r="G349" t="n">
        <v>7</v>
      </c>
      <c r="H349" s="5">
        <f>HYPERLINK("https://api.qogita.com/variants/link/0731509835946/", "View Product")</f>
        <v/>
      </c>
    </row>
    <row r="350">
      <c r="A350" t="inlineStr">
        <is>
          <t>0731509837438</t>
        </is>
      </c>
      <c r="B350" t="inlineStr">
        <is>
          <t>KISS imPRESS Color Press-On Manicure Gel Nail Kit Short Length Champagne Pink</t>
        </is>
      </c>
      <c r="C350" t="inlineStr">
        <is>
          <t>Artificial Nails &amp; Nail Decoration</t>
        </is>
      </c>
      <c r="D350" t="inlineStr">
        <is>
          <t>Impress</t>
        </is>
      </c>
      <c r="E350" t="n">
        <v>8.460000000000001</v>
      </c>
      <c r="F350" t="n">
        <v>1</v>
      </c>
      <c r="G350" t="n">
        <v>5</v>
      </c>
      <c r="H350" s="5">
        <f>HYPERLINK("https://api.qogita.com/variants/link/0731509837438/", "View Product")</f>
        <v/>
      </c>
    </row>
    <row r="351">
      <c r="A351" t="inlineStr">
        <is>
          <t>0731509837445</t>
        </is>
      </c>
      <c r="B351" t="inlineStr">
        <is>
          <t>KISS imPRESS Color Press-On Nails Gel Nail Kit Short Length Petal Pink</t>
        </is>
      </c>
      <c r="C351" t="inlineStr">
        <is>
          <t>Artificial Nails &amp; Nail Decoration</t>
        </is>
      </c>
      <c r="D351" t="inlineStr">
        <is>
          <t>Impress</t>
        </is>
      </c>
      <c r="E351" t="n">
        <v>8.460000000000001</v>
      </c>
      <c r="F351" t="n">
        <v>1</v>
      </c>
      <c r="G351" t="n">
        <v>15</v>
      </c>
      <c r="H351" s="5">
        <f>HYPERLINK("https://api.qogita.com/variants/link/0731509837445/", "View Product")</f>
        <v/>
      </c>
    </row>
    <row r="352">
      <c r="A352" t="inlineStr">
        <is>
          <t>0731509837728</t>
        </is>
      </c>
      <c r="B352" t="inlineStr">
        <is>
          <t>KISS Impress Your Nails - Flawless</t>
        </is>
      </c>
      <c r="C352" t="inlineStr">
        <is>
          <t>Artificial Nails &amp; Nail Decoration</t>
        </is>
      </c>
      <c r="D352" t="inlineStr">
        <is>
          <t>Kiss</t>
        </is>
      </c>
      <c r="E352" t="n">
        <v>8.460000000000001</v>
      </c>
      <c r="F352" t="n">
        <v>1</v>
      </c>
      <c r="G352" t="n">
        <v>9</v>
      </c>
      <c r="H352" s="5">
        <f>HYPERLINK("https://api.qogita.com/variants/link/0731509837728/", "View Product")</f>
        <v/>
      </c>
    </row>
    <row r="353">
      <c r="A353" t="inlineStr">
        <is>
          <t>0731509837773</t>
        </is>
      </c>
      <c r="B353" t="inlineStr">
        <is>
          <t>KISS imPRESS Nails Dorothy</t>
        </is>
      </c>
      <c r="C353" t="inlineStr">
        <is>
          <t>Artificial Nails &amp; Nail Decoration</t>
        </is>
      </c>
      <c r="D353" t="inlineStr">
        <is>
          <t>Kiss</t>
        </is>
      </c>
      <c r="E353" t="n">
        <v>8.460000000000001</v>
      </c>
      <c r="F353" t="n">
        <v>1</v>
      </c>
      <c r="G353" t="n">
        <v>10</v>
      </c>
      <c r="H353" s="5">
        <f>HYPERLINK("https://api.qogita.com/variants/link/0731509837773/", "View Product")</f>
        <v/>
      </c>
    </row>
    <row r="354">
      <c r="A354" t="inlineStr">
        <is>
          <t>0731509837810</t>
        </is>
      </c>
      <c r="B354" t="inlineStr">
        <is>
          <t>KISS imPRESS Press-On Manicure Nail Kit with PureFit Technology Short Nails</t>
        </is>
      </c>
      <c r="C354" t="inlineStr">
        <is>
          <t>Artificial Nails &amp; Nail Decoration</t>
        </is>
      </c>
      <c r="D354" t="inlineStr">
        <is>
          <t>Kiss</t>
        </is>
      </c>
      <c r="E354" t="n">
        <v>8.460000000000001</v>
      </c>
      <c r="F354" t="n">
        <v>1</v>
      </c>
      <c r="G354" t="n">
        <v>7</v>
      </c>
      <c r="H354" s="5">
        <f>HYPERLINK("https://api.qogita.com/variants/link/0731509837810/", "View Product")</f>
        <v/>
      </c>
    </row>
    <row r="355">
      <c r="A355" t="inlineStr">
        <is>
          <t>0731509837827</t>
        </is>
      </c>
      <c r="B355" t="inlineStr">
        <is>
          <t>imPRESS Press-on Manicure Climb Up</t>
        </is>
      </c>
      <c r="C355" t="inlineStr">
        <is>
          <t>Artificial Nails &amp; Nail Decoration</t>
        </is>
      </c>
      <c r="D355" t="inlineStr">
        <is>
          <t>Kiss</t>
        </is>
      </c>
      <c r="E355" t="n">
        <v>8.460000000000001</v>
      </c>
      <c r="F355" t="n">
        <v>1</v>
      </c>
      <c r="G355" t="n">
        <v>11</v>
      </c>
      <c r="H355" s="5">
        <f>HYPERLINK("https://api.qogita.com/variants/link/0731509837827/", "View Product")</f>
        <v/>
      </c>
    </row>
    <row r="356">
      <c r="A356" t="inlineStr">
        <is>
          <t>0731509837933</t>
        </is>
      </c>
      <c r="B356" t="inlineStr">
        <is>
          <t>KISS imPRESS Medium Daydream Press-On Nails</t>
        </is>
      </c>
      <c r="C356" t="inlineStr">
        <is>
          <t>Artificial Nails &amp; Nail Decoration</t>
        </is>
      </c>
      <c r="D356" t="inlineStr">
        <is>
          <t>Kiss</t>
        </is>
      </c>
      <c r="E356" t="n">
        <v>8.460000000000001</v>
      </c>
      <c r="F356" t="n">
        <v>1</v>
      </c>
      <c r="G356" t="n">
        <v>7</v>
      </c>
      <c r="H356" s="5">
        <f>HYPERLINK("https://api.qogita.com/variants/link/0731509837933/", "View Product")</f>
        <v/>
      </c>
    </row>
    <row r="357">
      <c r="A357" t="inlineStr">
        <is>
          <t>0731509865868</t>
        </is>
      </c>
      <c r="B357" t="inlineStr">
        <is>
          <t>Kiss Classy Premium Nails Long Length 30 Count</t>
        </is>
      </c>
      <c r="C357" t="inlineStr">
        <is>
          <t>Artificial Nails &amp; Nail Decoration</t>
        </is>
      </c>
      <c r="D357" t="inlineStr">
        <is>
          <t>Kiss</t>
        </is>
      </c>
      <c r="E357" t="n">
        <v>11.85</v>
      </c>
      <c r="F357" t="n">
        <v>1</v>
      </c>
      <c r="G357" t="n">
        <v>5</v>
      </c>
      <c r="H357" s="5">
        <f>HYPERLINK("https://api.qogita.com/variants/link/0731509865868/", "View Product")</f>
        <v/>
      </c>
    </row>
    <row r="358">
      <c r="A358" t="inlineStr">
        <is>
          <t>0731509866148</t>
        </is>
      </c>
      <c r="B358" t="inlineStr">
        <is>
          <t>Kiss Impress Nail Artist Kit</t>
        </is>
      </c>
      <c r="C358" t="inlineStr">
        <is>
          <t>Artificial Nails &amp; Nail Decoration</t>
        </is>
      </c>
      <c r="D358" t="inlineStr">
        <is>
          <t>Kiss</t>
        </is>
      </c>
      <c r="E358" t="n">
        <v>9.56</v>
      </c>
      <c r="F358" t="n">
        <v>1</v>
      </c>
      <c r="G358" t="n">
        <v>13</v>
      </c>
      <c r="H358" s="5">
        <f>HYPERLINK("https://api.qogita.com/variants/link/0731509866148/", "View Product")</f>
        <v/>
      </c>
    </row>
    <row r="359">
      <c r="A359" t="inlineStr">
        <is>
          <t>0731509866179</t>
        </is>
      </c>
      <c r="B359" t="inlineStr">
        <is>
          <t>Air-Drying Gel Set</t>
        </is>
      </c>
      <c r="C359" t="inlineStr">
        <is>
          <t>Facial Care Sets</t>
        </is>
      </c>
      <c r="D359" t="inlineStr">
        <is>
          <t>Kiss</t>
        </is>
      </c>
      <c r="E359" t="n">
        <v>17.34</v>
      </c>
      <c r="F359" t="n">
        <v>1</v>
      </c>
      <c r="G359" t="n">
        <v>9</v>
      </c>
      <c r="H359" s="5">
        <f>HYPERLINK("https://api.qogita.com/variants/link/0731509866179/", "View Product")</f>
        <v/>
      </c>
    </row>
    <row r="360">
      <c r="A360" t="inlineStr">
        <is>
          <t>0731509867374</t>
        </is>
      </c>
      <c r="B360" t="inlineStr">
        <is>
          <t>Kiss Impress Color Press-On Manicure Fake Nails, Sumptuous, 30 Count</t>
        </is>
      </c>
      <c r="C360" t="inlineStr">
        <is>
          <t>Artificial Nails &amp; Nail Decoration</t>
        </is>
      </c>
      <c r="D360" t="inlineStr">
        <is>
          <t>Impress</t>
        </is>
      </c>
      <c r="E360" t="n">
        <v>8.460000000000001</v>
      </c>
      <c r="F360" t="n">
        <v>1</v>
      </c>
      <c r="G360" t="n">
        <v>5</v>
      </c>
      <c r="H360" s="5">
        <f>HYPERLINK("https://api.qogita.com/variants/link/0731509867374/", "View Product")</f>
        <v/>
      </c>
    </row>
    <row r="361">
      <c r="A361" t="inlineStr">
        <is>
          <t>0731509867459</t>
        </is>
      </c>
      <c r="B361" t="inlineStr">
        <is>
          <t>Kiss Impress Color Medium Coffin Press-On Nails, All Black, 30 Count</t>
        </is>
      </c>
      <c r="C361" t="inlineStr">
        <is>
          <t>Artificial Nails &amp; Nail Decoration</t>
        </is>
      </c>
      <c r="D361" t="inlineStr">
        <is>
          <t>Impress</t>
        </is>
      </c>
      <c r="E361" t="n">
        <v>8.460000000000001</v>
      </c>
      <c r="F361" t="n">
        <v>1</v>
      </c>
      <c r="G361" t="n">
        <v>9</v>
      </c>
      <c r="H361" s="5">
        <f>HYPERLINK("https://api.qogita.com/variants/link/0731509867459/", "View Product")</f>
        <v/>
      </c>
    </row>
    <row r="362">
      <c r="A362" t="inlineStr">
        <is>
          <t>0731509881820</t>
        </is>
      </c>
      <c r="B362" t="inlineStr">
        <is>
          <t>Kiss Sister Nature Vegan Mink Lash Storm 88162 Fluffy 3D Look</t>
        </is>
      </c>
      <c r="C362" t="inlineStr">
        <is>
          <t>False Eyelashes</t>
        </is>
      </c>
      <c r="D362" t="inlineStr">
        <is>
          <t>Kiss</t>
        </is>
      </c>
      <c r="E362" t="n">
        <v>8.550000000000001</v>
      </c>
      <c r="F362" t="n">
        <v>1</v>
      </c>
      <c r="G362" t="n">
        <v>3</v>
      </c>
      <c r="H362" s="5">
        <f>HYPERLINK("https://api.qogita.com/variants/link/0731509881820/", "View Product")</f>
        <v/>
      </c>
    </row>
    <row r="363">
      <c r="A363" t="inlineStr">
        <is>
          <t>0731509887624</t>
        </is>
      </c>
      <c r="B363" t="inlineStr">
        <is>
          <t>KISS imPRESS Press-On Manicure Premium Collection Fake Nails - Legacy Gray V-Cut Stone Medium Ballerina Coffin Shape 30 Count</t>
        </is>
      </c>
      <c r="C363" t="inlineStr">
        <is>
          <t>Artificial Nails &amp; Nail Decoration</t>
        </is>
      </c>
      <c r="D363" t="inlineStr">
        <is>
          <t>Impress</t>
        </is>
      </c>
      <c r="E363" t="n">
        <v>10.95</v>
      </c>
      <c r="F363" t="n">
        <v>1</v>
      </c>
      <c r="G363" t="n">
        <v>10</v>
      </c>
      <c r="H363" s="5">
        <f>HYPERLINK("https://api.qogita.com/variants/link/0731509887624/", "View Product")</f>
        <v/>
      </c>
    </row>
    <row r="364">
      <c r="A364" t="inlineStr">
        <is>
          <t>0731509906790</t>
        </is>
      </c>
      <c r="B364" t="inlineStr">
        <is>
          <t>KISS Gel Sculpted Press-On Nails Hold Me Closer Off White Long Coffin Shape Includes 28 Nails 2g Glue 1 Manicure Stick 1 Mini File</t>
        </is>
      </c>
      <c r="C364" t="inlineStr">
        <is>
          <t>Artificial Nails &amp; Nail Decoration</t>
        </is>
      </c>
      <c r="D364" t="inlineStr">
        <is>
          <t>Kiss</t>
        </is>
      </c>
      <c r="E364" t="n">
        <v>9.56</v>
      </c>
      <c r="F364" t="n">
        <v>1</v>
      </c>
      <c r="G364" t="n">
        <v>5</v>
      </c>
      <c r="H364" s="5">
        <f>HYPERLINK("https://api.qogita.com/variants/link/0731509906790/", "View Product")</f>
        <v/>
      </c>
    </row>
    <row r="365">
      <c r="A365" t="inlineStr">
        <is>
          <t>0731509908862</t>
        </is>
      </c>
      <c r="B365" t="inlineStr">
        <is>
          <t>KISS imPRESS Press-On Falsies Eyelash Clusters Kit Natural Black</t>
        </is>
      </c>
      <c r="C365" t="inlineStr">
        <is>
          <t>False Eyelashes</t>
        </is>
      </c>
      <c r="D365" t="inlineStr">
        <is>
          <t>Kiss</t>
        </is>
      </c>
      <c r="E365" t="n">
        <v>16.05</v>
      </c>
      <c r="F365" t="n">
        <v>1</v>
      </c>
      <c r="G365" t="n">
        <v>24</v>
      </c>
      <c r="H365" s="5">
        <f>HYPERLINK("https://api.qogita.com/variants/link/0731509908862/", "View Product")</f>
        <v/>
      </c>
    </row>
    <row r="366">
      <c r="A366" t="inlineStr">
        <is>
          <t>0731509910391</t>
        </is>
      </c>
      <c r="B366" t="inlineStr">
        <is>
          <t>KISS imPRESS False Eyelashes Lash Clusters Falsies Authentic Natural 12mm-14mm Includes 12 Pieces of Pre-Bonded Lashes Contact Lens Friendly Easy to Apply Reusable Strip Lashes</t>
        </is>
      </c>
      <c r="C366" t="inlineStr">
        <is>
          <t>False Eyelashes</t>
        </is>
      </c>
      <c r="D366" t="inlineStr">
        <is>
          <t>Impress</t>
        </is>
      </c>
      <c r="E366" t="n">
        <v>8.529999999999999</v>
      </c>
      <c r="F366" t="n">
        <v>1</v>
      </c>
      <c r="G366" t="n">
        <v>64</v>
      </c>
      <c r="H366" s="5">
        <f>HYPERLINK("https://api.qogita.com/variants/link/0731509910391/", "View Product")</f>
        <v/>
      </c>
    </row>
    <row r="367">
      <c r="A367" t="inlineStr">
        <is>
          <t>0731509912180</t>
        </is>
      </c>
      <c r="B367" t="inlineStr">
        <is>
          <t>Kiss Bare-But-Better Gel Nails - 28 Pieces</t>
        </is>
      </c>
      <c r="C367" t="inlineStr">
        <is>
          <t>Nail Sets</t>
        </is>
      </c>
      <c r="D367" t="inlineStr">
        <is>
          <t>Kiss</t>
        </is>
      </c>
      <c r="E367" t="n">
        <v>9.289999999999999</v>
      </c>
      <c r="F367" t="n">
        <v>1</v>
      </c>
      <c r="G367" t="n">
        <v>24</v>
      </c>
      <c r="H367" s="5">
        <f>HYPERLINK("https://api.qogita.com/variants/link/0731509912180/", "View Product")</f>
        <v/>
      </c>
    </row>
    <row r="368">
      <c r="A368" t="inlineStr">
        <is>
          <t>0731509913125</t>
        </is>
      </c>
      <c r="B368" t="inlineStr">
        <is>
          <t>KISS imPRESS False Eyelashes Lash Clusters Falsies Bold Natural 12mm-14mm Includes 12 pieces of pre-bonded lashes Contact Lens Friendly Easy to Apply Reusable Strip Lashes</t>
        </is>
      </c>
      <c r="C368" t="inlineStr">
        <is>
          <t>False Eyelashes</t>
        </is>
      </c>
      <c r="D368" t="inlineStr">
        <is>
          <t>Impress</t>
        </is>
      </c>
      <c r="E368" t="n">
        <v>8.529999999999999</v>
      </c>
      <c r="F368" t="n">
        <v>1</v>
      </c>
      <c r="G368" t="n">
        <v>22</v>
      </c>
      <c r="H368" s="5">
        <f>HYPERLINK("https://api.qogita.com/variants/link/0731509913125/", "View Product")</f>
        <v/>
      </c>
    </row>
    <row r="369">
      <c r="A369" t="inlineStr">
        <is>
          <t>0731509913736</t>
        </is>
      </c>
      <c r="B369" t="inlineStr">
        <is>
          <t>KISS Salon Acrylic French Press-On Nails Light Pink Medium Size Coffin Shape</t>
        </is>
      </c>
      <c r="C369" t="inlineStr">
        <is>
          <t>Artificial Nails &amp; Nail Decoration</t>
        </is>
      </c>
      <c r="D369" t="inlineStr">
        <is>
          <t>Kiss</t>
        </is>
      </c>
      <c r="E369" t="n">
        <v>9.289999999999999</v>
      </c>
      <c r="F369" t="n">
        <v>1</v>
      </c>
      <c r="G369" t="n">
        <v>4</v>
      </c>
      <c r="H369" s="5">
        <f>HYPERLINK("https://api.qogita.com/variants/link/0731509913736/", "View Product")</f>
        <v/>
      </c>
    </row>
    <row r="370">
      <c r="A370" t="inlineStr">
        <is>
          <t>0731509913903</t>
        </is>
      </c>
      <c r="B370" t="inlineStr">
        <is>
          <t>Kiss Self-Adhesive Nails Impress Nails Illusion - 30 Pieces</t>
        </is>
      </c>
      <c r="C370" t="inlineStr">
        <is>
          <t>Artificial Nails &amp; Nail Decoration</t>
        </is>
      </c>
      <c r="D370" t="inlineStr">
        <is>
          <t>Kiss</t>
        </is>
      </c>
      <c r="E370" t="n">
        <v>8.460000000000001</v>
      </c>
      <c r="F370" t="n">
        <v>1</v>
      </c>
      <c r="G370" t="n">
        <v>5</v>
      </c>
      <c r="H370" s="5">
        <f>HYPERLINK("https://api.qogita.com/variants/link/0731509913903/", "View Product")</f>
        <v/>
      </c>
    </row>
    <row r="371">
      <c r="A371" t="inlineStr">
        <is>
          <t>0731509915471</t>
        </is>
      </c>
      <c r="B371" t="inlineStr">
        <is>
          <t>KISS imPRESS No Glue Mani Press-On Nails Color FX Satellite Light Pink Short Size Squoval Shape Includes 30 Nails Prep Pad Instructions Sheet 1 Manicure Stick 1 Mini File</t>
        </is>
      </c>
      <c r="C371" t="inlineStr">
        <is>
          <t>Artificial Nails &amp; Nail Decoration</t>
        </is>
      </c>
      <c r="D371" t="inlineStr">
        <is>
          <t>Impress</t>
        </is>
      </c>
      <c r="E371" t="n">
        <v>11.85</v>
      </c>
      <c r="F371" t="n">
        <v>1</v>
      </c>
      <c r="G371" t="n">
        <v>10</v>
      </c>
      <c r="H371" s="5">
        <f>HYPERLINK("https://api.qogita.com/variants/link/0731509915471/", "View Product")</f>
        <v/>
      </c>
    </row>
    <row r="372">
      <c r="A372" t="inlineStr">
        <is>
          <t>0731509919035</t>
        </is>
      </c>
      <c r="B372" t="inlineStr">
        <is>
          <t>Kiss 28 Medium Voguish Fantasy Nails</t>
        </is>
      </c>
      <c r="C372" t="inlineStr">
        <is>
          <t>Artificial Nails &amp; Nail Decoration</t>
        </is>
      </c>
      <c r="D372" t="inlineStr">
        <is>
          <t>Kiss</t>
        </is>
      </c>
      <c r="E372" t="n">
        <v>9.289999999999999</v>
      </c>
      <c r="F372" t="n">
        <v>1</v>
      </c>
      <c r="G372" t="n">
        <v>10</v>
      </c>
      <c r="H372" s="5">
        <f>HYPERLINK("https://api.qogita.com/variants/link/0731509919035/", "View Product")</f>
        <v/>
      </c>
    </row>
    <row r="373">
      <c r="A373" t="inlineStr">
        <is>
          <t>0731509926866</t>
        </is>
      </c>
      <c r="B373" t="inlineStr">
        <is>
          <t>KISS The New Natural False Eyelashes Full Strip Lash 01 1 Pair</t>
        </is>
      </c>
      <c r="C373" t="inlineStr">
        <is>
          <t>False Eyelashes</t>
        </is>
      </c>
      <c r="D373" t="inlineStr">
        <is>
          <t>Kiss</t>
        </is>
      </c>
      <c r="E373" t="n">
        <v>7.33</v>
      </c>
      <c r="F373" t="n">
        <v>1</v>
      </c>
      <c r="G373" t="n">
        <v>6</v>
      </c>
      <c r="H373" s="5">
        <f>HYPERLINK("https://api.qogita.com/variants/link/0731509926866/", "View Product")</f>
        <v/>
      </c>
    </row>
    <row r="374">
      <c r="A374" t="inlineStr">
        <is>
          <t>0731509933864</t>
        </is>
      </c>
      <c r="B374" t="inlineStr">
        <is>
          <t>Kiss Self-Adhesive Nails Impress Color Fx Fly Up - 30 Pieces</t>
        </is>
      </c>
      <c r="C374" t="inlineStr">
        <is>
          <t>Artificial Nails &amp; Nail Decoration</t>
        </is>
      </c>
      <c r="D374" t="inlineStr">
        <is>
          <t>Kiss</t>
        </is>
      </c>
      <c r="E374" t="n">
        <v>11.85</v>
      </c>
      <c r="F374" t="n">
        <v>1</v>
      </c>
      <c r="G374" t="n">
        <v>6</v>
      </c>
      <c r="H374" s="5">
        <f>HYPERLINK("https://api.qogita.com/variants/link/0731509933864/", "View Product")</f>
        <v/>
      </c>
    </row>
    <row r="375">
      <c r="A375" t="inlineStr">
        <is>
          <t>0731509959734</t>
        </is>
      </c>
      <c r="B375" t="inlineStr">
        <is>
          <t>Kiss Impress Press On Longlasting False Eyelashes 01</t>
        </is>
      </c>
      <c r="C375" t="inlineStr">
        <is>
          <t>False Eyelashes</t>
        </is>
      </c>
      <c r="D375" t="inlineStr">
        <is>
          <t>Kiss</t>
        </is>
      </c>
      <c r="E375" t="n">
        <v>17.34</v>
      </c>
      <c r="F375" t="n">
        <v>1</v>
      </c>
      <c r="G375" t="n">
        <v>14</v>
      </c>
      <c r="H375" s="5">
        <f>HYPERLINK("https://api.qogita.com/variants/link/0731509959734/", "View Product")</f>
        <v/>
      </c>
    </row>
    <row r="376">
      <c r="A376" t="inlineStr">
        <is>
          <t>0731509959871</t>
        </is>
      </c>
      <c r="B376" t="inlineStr">
        <is>
          <t>Kiss Lash Atelier Design 01 False Eyelash Set</t>
        </is>
      </c>
      <c r="C376" t="inlineStr">
        <is>
          <t>False Eyelashes</t>
        </is>
      </c>
      <c r="D376" t="inlineStr">
        <is>
          <t>Kiss</t>
        </is>
      </c>
      <c r="E376" t="n">
        <v>15.09</v>
      </c>
      <c r="F376" t="n">
        <v>1</v>
      </c>
      <c r="G376" t="n">
        <v>3</v>
      </c>
      <c r="H376" s="5">
        <f>HYPERLINK("https://api.qogita.com/variants/link/0731509959871/", "View Product")</f>
        <v/>
      </c>
    </row>
    <row r="377">
      <c r="A377" t="inlineStr">
        <is>
          <t>0731509959888</t>
        </is>
      </c>
      <c r="B377" t="inlineStr">
        <is>
          <t>Kiss Lash Atelier Design 02 False Eyelash Set</t>
        </is>
      </c>
      <c r="C377" t="inlineStr">
        <is>
          <t>False Eyelashes</t>
        </is>
      </c>
      <c r="D377" t="inlineStr">
        <is>
          <t>Kiss</t>
        </is>
      </c>
      <c r="E377" t="n">
        <v>15.09</v>
      </c>
      <c r="F377" t="n">
        <v>1</v>
      </c>
      <c r="G377" t="n">
        <v>5</v>
      </c>
      <c r="H377" s="5">
        <f>HYPERLINK("https://api.qogita.com/variants/link/0731509959888/", "View Product")</f>
        <v/>
      </c>
    </row>
    <row r="378">
      <c r="A378" t="inlineStr">
        <is>
          <t>0731509959895</t>
        </is>
      </c>
      <c r="B378" t="inlineStr">
        <is>
          <t>Kiss Impress False Eyelashes 02 - Long Lasting Press On Eyelashes</t>
        </is>
      </c>
      <c r="C378" t="inlineStr">
        <is>
          <t>False Eyelashes</t>
        </is>
      </c>
      <c r="D378" t="inlineStr">
        <is>
          <t>Kiss</t>
        </is>
      </c>
      <c r="E378" t="n">
        <v>17.34</v>
      </c>
      <c r="F378" t="n">
        <v>1</v>
      </c>
      <c r="G378" t="n">
        <v>11</v>
      </c>
      <c r="H378" s="5">
        <f>HYPERLINK("https://api.qogita.com/variants/link/0731509959895/", "View Product")</f>
        <v/>
      </c>
    </row>
    <row r="379">
      <c r="A379" t="inlineStr">
        <is>
          <t>0731509959901</t>
        </is>
      </c>
      <c r="B379" t="inlineStr">
        <is>
          <t>Kiss Impress Easy Tab False Eyelashes</t>
        </is>
      </c>
      <c r="C379" t="inlineStr">
        <is>
          <t>False Eyelashes</t>
        </is>
      </c>
      <c r="D379" t="inlineStr">
        <is>
          <t>Kiss</t>
        </is>
      </c>
      <c r="E379" t="n">
        <v>7.93</v>
      </c>
      <c r="F379" t="n">
        <v>1</v>
      </c>
      <c r="G379" t="n">
        <v>5</v>
      </c>
      <c r="H379" s="5">
        <f>HYPERLINK("https://api.qogita.com/variants/link/0731509959901/", "View Product")</f>
        <v/>
      </c>
    </row>
    <row r="380">
      <c r="A380" t="inlineStr">
        <is>
          <t>0731509972870</t>
        </is>
      </c>
      <c r="B380" t="inlineStr">
        <is>
          <t>Kiss Brow Tint Kit Brown</t>
        </is>
      </c>
      <c r="C380" t="inlineStr">
        <is>
          <t>Eyebrow Dye</t>
        </is>
      </c>
      <c r="D380" t="inlineStr">
        <is>
          <t>Kiss</t>
        </is>
      </c>
      <c r="E380" t="n">
        <v>8.460000000000001</v>
      </c>
      <c r="F380" t="n">
        <v>1</v>
      </c>
      <c r="G380" t="n">
        <v>14</v>
      </c>
      <c r="H380" s="5">
        <f>HYPERLINK("https://api.qogita.com/variants/link/0731509972870/", "View Product")</f>
        <v/>
      </c>
    </row>
    <row r="381">
      <c r="A381" t="inlineStr">
        <is>
          <t>0731509972894</t>
        </is>
      </c>
      <c r="B381" t="inlineStr">
        <is>
          <t>Kiss Brow Tint DIY Kit Black 2 x 10ml</t>
        </is>
      </c>
      <c r="C381" t="inlineStr">
        <is>
          <t>Eyebrow Dye</t>
        </is>
      </c>
      <c r="D381" t="inlineStr">
        <is>
          <t>Kiss</t>
        </is>
      </c>
      <c r="E381" t="n">
        <v>8.460000000000001</v>
      </c>
      <c r="F381" t="n">
        <v>1</v>
      </c>
      <c r="G381" t="n">
        <v>4</v>
      </c>
      <c r="H381" s="5">
        <f>HYPERLINK("https://api.qogita.com/variants/link/0731509972894/", "View Product")</f>
        <v/>
      </c>
    </row>
    <row r="382">
      <c r="A382" t="inlineStr">
        <is>
          <t>0731509973815</t>
        </is>
      </c>
      <c r="B382" t="inlineStr">
        <is>
          <t>KISS Magnetic Lash Collection Eyeliner &amp; Lash Kit 1 Pair of False Eyelashes and Magnetic Eyeliner Charm Reusable Synthetic False Eyelashes With 5 Double Strength Magnets</t>
        </is>
      </c>
      <c r="C382" t="inlineStr">
        <is>
          <t>False Eyelashes</t>
        </is>
      </c>
      <c r="D382" t="inlineStr">
        <is>
          <t>Kiss</t>
        </is>
      </c>
      <c r="E382" t="n">
        <v>12.83</v>
      </c>
      <c r="F382" t="n">
        <v>1</v>
      </c>
      <c r="G382" t="n">
        <v>9</v>
      </c>
      <c r="H382" s="5">
        <f>HYPERLINK("https://api.qogita.com/variants/link/0731509973815/", "View Product")</f>
        <v/>
      </c>
    </row>
    <row r="383">
      <c r="A383" t="inlineStr">
        <is>
          <t>0731509974812</t>
        </is>
      </c>
      <c r="B383" t="inlineStr">
        <is>
          <t>KISS My Lash But Better Collection False Eyelashes with Flexible Band and Glue</t>
        </is>
      </c>
      <c r="C383" t="inlineStr">
        <is>
          <t>False Eyelashes</t>
        </is>
      </c>
      <c r="D383" t="inlineStr">
        <is>
          <t>Kiss</t>
        </is>
      </c>
      <c r="E383" t="n">
        <v>7.15</v>
      </c>
      <c r="F383" t="n">
        <v>1</v>
      </c>
      <c r="G383" t="n">
        <v>11</v>
      </c>
      <c r="H383" s="5">
        <f>HYPERLINK("https://api.qogita.com/variants/link/0731509974812/", "View Product")</f>
        <v/>
      </c>
    </row>
    <row r="384">
      <c r="A384" t="inlineStr">
        <is>
          <t>0731509974829</t>
        </is>
      </c>
      <c r="B384" t="inlineStr">
        <is>
          <t>Kiss My Lash But Better Black Lashes Tapered Length Style - 1 Pair</t>
        </is>
      </c>
      <c r="C384" t="inlineStr">
        <is>
          <t>False Eyelashes</t>
        </is>
      </c>
      <c r="D384" t="inlineStr">
        <is>
          <t>Kiss</t>
        </is>
      </c>
      <c r="E384" t="n">
        <v>7.06</v>
      </c>
      <c r="F384" t="n">
        <v>1</v>
      </c>
      <c r="G384" t="n">
        <v>4</v>
      </c>
      <c r="H384" s="5">
        <f>HYPERLINK("https://api.qogita.com/variants/link/0731509974829/", "View Product")</f>
        <v/>
      </c>
    </row>
    <row r="385">
      <c r="A385" t="inlineStr">
        <is>
          <t>0731509974843</t>
        </is>
      </c>
      <c r="B385" t="inlineStr">
        <is>
          <t>Kiss My Lash But Better Black False Lashes All Mine Natural Style 1 Pair</t>
        </is>
      </c>
      <c r="C385" t="inlineStr">
        <is>
          <t>False Eyelashes</t>
        </is>
      </c>
      <c r="D385" t="inlineStr">
        <is>
          <t>Kiss</t>
        </is>
      </c>
      <c r="E385" t="n">
        <v>7.15</v>
      </c>
      <c r="F385" t="n">
        <v>1</v>
      </c>
      <c r="G385" t="n">
        <v>23</v>
      </c>
      <c r="H385" s="5">
        <f>HYPERLINK("https://api.qogita.com/variants/link/0731509974843/", "View Product")</f>
        <v/>
      </c>
    </row>
    <row r="386">
      <c r="A386" t="inlineStr">
        <is>
          <t>0735899277560</t>
        </is>
      </c>
      <c r="B386" t="inlineStr">
        <is>
          <t>D.S. &amp; Durga Notorious Oud Eau De Parfum 50ml</t>
        </is>
      </c>
      <c r="C386" t="inlineStr">
        <is>
          <t>Eau De Parfum</t>
        </is>
      </c>
      <c r="D386" t="inlineStr">
        <is>
          <t>D.S. &amp; Durga</t>
        </is>
      </c>
      <c r="E386" t="n">
        <v>112.54</v>
      </c>
      <c r="F386" t="n">
        <v>1</v>
      </c>
      <c r="G386" t="n">
        <v>5</v>
      </c>
      <c r="H386" s="5">
        <f>HYPERLINK("https://api.qogita.com/variants/link/0735899277560/", "View Product")</f>
        <v/>
      </c>
    </row>
    <row r="387">
      <c r="A387" t="inlineStr">
        <is>
          <t>0736150000316</t>
        </is>
      </c>
      <c r="B387" t="inlineStr">
        <is>
          <t>Laura Mercier Loose Setting Powder Translucent 29g</t>
        </is>
      </c>
      <c r="C387" t="inlineStr">
        <is>
          <t>Powder</t>
        </is>
      </c>
      <c r="D387" t="inlineStr">
        <is>
          <t>Laura Mercier</t>
        </is>
      </c>
      <c r="E387" t="n">
        <v>36.4</v>
      </c>
      <c r="F387" t="n">
        <v>1</v>
      </c>
      <c r="G387" t="n">
        <v>77</v>
      </c>
      <c r="H387" s="5">
        <f>HYPERLINK("https://api.qogita.com/variants/link/0736150000316/", "View Product")</f>
        <v/>
      </c>
    </row>
    <row r="388">
      <c r="A388" t="inlineStr">
        <is>
          <t>0736150068286</t>
        </is>
      </c>
      <c r="B388" t="inlineStr">
        <is>
          <t>Laura Mercier Eye Basics Linen 7g/0.25oz</t>
        </is>
      </c>
      <c r="C388" t="inlineStr">
        <is>
          <t>Eyeshadow Primer</t>
        </is>
      </c>
      <c r="D388" t="inlineStr">
        <is>
          <t>Laura Mercier</t>
        </is>
      </c>
      <c r="E388" t="n">
        <v>20.01</v>
      </c>
      <c r="F388" t="n">
        <v>1</v>
      </c>
      <c r="G388" t="n">
        <v>7</v>
      </c>
      <c r="H388" s="5">
        <f>HYPERLINK("https://api.qogita.com/variants/link/0736150068286/", "View Product")</f>
        <v/>
      </c>
    </row>
    <row r="389">
      <c r="A389" t="inlineStr">
        <is>
          <t>0736150117861</t>
        </is>
      </c>
      <c r="B389" t="inlineStr">
        <is>
          <t>Laura Mercier Smooth Finish Foundation Powder Foundation SPF 20 30g</t>
        </is>
      </c>
      <c r="C389" t="inlineStr">
        <is>
          <t>Foundation</t>
        </is>
      </c>
      <c r="D389" t="inlineStr">
        <is>
          <t>Laura Mercier</t>
        </is>
      </c>
      <c r="E389" t="n">
        <v>30.39</v>
      </c>
      <c r="F389" t="n">
        <v>1</v>
      </c>
      <c r="G389" t="n">
        <v>2</v>
      </c>
      <c r="H389" s="5">
        <f>HYPERLINK("https://api.qogita.com/variants/link/0736150117861/", "View Product")</f>
        <v/>
      </c>
    </row>
    <row r="390">
      <c r="A390" t="inlineStr">
        <is>
          <t>0736150117946</t>
        </is>
      </c>
      <c r="B390" t="inlineStr">
        <is>
          <t>Laura Mercier Smooth Finish Foundation Powder Foundation SPF 20 30g 3C1 09</t>
        </is>
      </c>
      <c r="C390" t="inlineStr">
        <is>
          <t>Foundation</t>
        </is>
      </c>
      <c r="D390" t="inlineStr">
        <is>
          <t>Laura Mercier</t>
        </is>
      </c>
      <c r="E390" t="n">
        <v>34.31</v>
      </c>
      <c r="F390" t="n">
        <v>1</v>
      </c>
      <c r="G390" t="n">
        <v>12</v>
      </c>
      <c r="H390" s="5">
        <f>HYPERLINK("https://api.qogita.com/variants/link/0736150117946/", "View Product")</f>
        <v/>
      </c>
    </row>
    <row r="391">
      <c r="A391" t="inlineStr">
        <is>
          <t>0736150137289</t>
        </is>
      </c>
      <c r="B391" t="inlineStr">
        <is>
          <t>Laura Mercier Brow Pencil - Blonde 0.4oz (12g)</t>
        </is>
      </c>
      <c r="C391" t="inlineStr">
        <is>
          <t>Eyebrow Pencil</t>
        </is>
      </c>
      <c r="D391" t="inlineStr">
        <is>
          <t>Laura Mercier</t>
        </is>
      </c>
      <c r="E391" t="n">
        <v>20.52</v>
      </c>
      <c r="F391" t="n">
        <v>1</v>
      </c>
      <c r="G391" t="n">
        <v>5</v>
      </c>
      <c r="H391" s="5">
        <f>HYPERLINK("https://api.qogita.com/variants/link/0736150137289/", "View Product")</f>
        <v/>
      </c>
    </row>
    <row r="392">
      <c r="A392" t="inlineStr">
        <is>
          <t>0736150157249</t>
        </is>
      </c>
      <c r="B392" t="inlineStr">
        <is>
          <t>Laura Mercier Velour Extreme Matte Lipstick - 1.4 G</t>
        </is>
      </c>
      <c r="C392" t="inlineStr">
        <is>
          <t>Lipstick</t>
        </is>
      </c>
      <c r="D392" t="inlineStr">
        <is>
          <t>Laura Mercier</t>
        </is>
      </c>
      <c r="E392" t="n">
        <v>24.57</v>
      </c>
      <c r="F392" t="n">
        <v>1</v>
      </c>
      <c r="G392" t="n">
        <v>3</v>
      </c>
      <c r="H392" s="5">
        <f>HYPERLINK("https://api.qogita.com/variants/link/0736150157249/", "View Product")</f>
        <v/>
      </c>
    </row>
    <row r="393">
      <c r="A393" t="inlineStr">
        <is>
          <t>0736150160454</t>
        </is>
      </c>
      <c r="B393" t="inlineStr">
        <is>
          <t>Laura Mercier Flat Eyeliner Brush 100g</t>
        </is>
      </c>
      <c r="C393" t="inlineStr">
        <is>
          <t>Eyeliner Brushes</t>
        </is>
      </c>
      <c r="D393" t="inlineStr">
        <is>
          <t>Laura Mercier</t>
        </is>
      </c>
      <c r="E393" t="n">
        <v>18.31</v>
      </c>
      <c r="F393" t="n">
        <v>1</v>
      </c>
      <c r="G393" t="n">
        <v>2</v>
      </c>
      <c r="H393" s="5">
        <f>HYPERLINK("https://api.qogita.com/variants/link/0736150160454/", "View Product")</f>
        <v/>
      </c>
    </row>
    <row r="394">
      <c r="A394" t="inlineStr">
        <is>
          <t>0736150160492</t>
        </is>
      </c>
      <c r="B394" t="inlineStr">
        <is>
          <t>Laura Mercier Smoky Eye Liner Brush Eyeliner Brush</t>
        </is>
      </c>
      <c r="C394" t="inlineStr">
        <is>
          <t>Eyeliner Brushes</t>
        </is>
      </c>
      <c r="D394" t="inlineStr">
        <is>
          <t>Laura Mercier</t>
        </is>
      </c>
      <c r="E394" t="n">
        <v>18.31</v>
      </c>
      <c r="F394" t="n">
        <v>1</v>
      </c>
      <c r="G394" t="n">
        <v>5</v>
      </c>
      <c r="H394" s="5">
        <f>HYPERLINK("https://api.qogita.com/variants/link/0736150160492/", "View Product")</f>
        <v/>
      </c>
    </row>
    <row r="395">
      <c r="A395" t="inlineStr">
        <is>
          <t>0736150160515</t>
        </is>
      </c>
      <c r="B395" t="inlineStr">
        <is>
          <t>Laura Mercier Smudge Brush 100g</t>
        </is>
      </c>
      <c r="C395" t="inlineStr">
        <is>
          <t>Eyeshadow Brushes</t>
        </is>
      </c>
      <c r="D395" t="inlineStr">
        <is>
          <t>Laura Mercier</t>
        </is>
      </c>
      <c r="E395" t="n">
        <v>20.56</v>
      </c>
      <c r="F395" t="n">
        <v>1</v>
      </c>
      <c r="G395" t="n">
        <v>3</v>
      </c>
      <c r="H395" s="5">
        <f>HYPERLINK("https://api.qogita.com/variants/link/0736150160515/", "View Product")</f>
        <v/>
      </c>
    </row>
    <row r="396">
      <c r="A396" t="inlineStr">
        <is>
          <t>0736150160843</t>
        </is>
      </c>
      <c r="B396" t="inlineStr">
        <is>
          <t>Laura Mercier Bronzer Brush</t>
        </is>
      </c>
      <c r="C396" t="inlineStr">
        <is>
          <t>Powder Brushes</t>
        </is>
      </c>
      <c r="D396" t="inlineStr">
        <is>
          <t>Laura Mercier</t>
        </is>
      </c>
      <c r="E396" t="n">
        <v>31.27</v>
      </c>
      <c r="F396" t="n">
        <v>1</v>
      </c>
      <c r="G396" t="n">
        <v>4</v>
      </c>
      <c r="H396" s="5">
        <f>HYPERLINK("https://api.qogita.com/variants/link/0736150160843/", "View Product")</f>
        <v/>
      </c>
    </row>
    <row r="397">
      <c r="A397" t="inlineStr">
        <is>
          <t>0736150160928</t>
        </is>
      </c>
      <c r="B397" t="inlineStr">
        <is>
          <t>Laura Mercier Lip Colour Brush</t>
        </is>
      </c>
      <c r="C397" t="inlineStr">
        <is>
          <t>Lip Brushes</t>
        </is>
      </c>
      <c r="D397" t="inlineStr">
        <is>
          <t>Laura Mercier</t>
        </is>
      </c>
      <c r="E397" t="n">
        <v>16.95</v>
      </c>
      <c r="F397" t="n">
        <v>1</v>
      </c>
      <c r="G397" t="n">
        <v>3</v>
      </c>
      <c r="H397" s="5">
        <f>HYPERLINK("https://api.qogita.com/variants/link/0736150160928/", "View Product")</f>
        <v/>
      </c>
    </row>
    <row r="398">
      <c r="A398" t="inlineStr">
        <is>
          <t>0736150163233</t>
        </is>
      </c>
      <c r="B398" t="inlineStr">
        <is>
          <t>Laura Mercier Translucent Pressed Setting Powder Fixing Powder Medium 30g</t>
        </is>
      </c>
      <c r="C398" t="inlineStr">
        <is>
          <t>Powder</t>
        </is>
      </c>
      <c r="D398" t="inlineStr">
        <is>
          <t>Laura Mercier</t>
        </is>
      </c>
      <c r="E398" t="n">
        <v>33.9</v>
      </c>
      <c r="F398" t="n">
        <v>1</v>
      </c>
      <c r="G398" t="n">
        <v>5</v>
      </c>
      <c r="H398" s="5">
        <f>HYPERLINK("https://api.qogita.com/variants/link/0736150163233/", "View Product")</f>
        <v/>
      </c>
    </row>
    <row r="399">
      <c r="A399" t="inlineStr">
        <is>
          <t>0736150166586</t>
        </is>
      </c>
      <c r="B399" t="inlineStr">
        <is>
          <t>Laura Mercier Flawless Lumiere Radiance-Perfecting Foundation 1N1 Creme 30ml</t>
        </is>
      </c>
      <c r="C399" t="inlineStr">
        <is>
          <t>Foundation</t>
        </is>
      </c>
      <c r="D399" t="inlineStr">
        <is>
          <t>Laura Mercier</t>
        </is>
      </c>
      <c r="E399" t="n">
        <v>39.15</v>
      </c>
      <c r="F399" t="n">
        <v>1</v>
      </c>
      <c r="G399" t="n">
        <v>5</v>
      </c>
      <c r="H399" s="5">
        <f>HYPERLINK("https://api.qogita.com/variants/link/0736150166586/", "View Product")</f>
        <v/>
      </c>
    </row>
    <row r="400">
      <c r="A400" t="inlineStr">
        <is>
          <t>0736150166746</t>
        </is>
      </c>
      <c r="B400" t="inlineStr">
        <is>
          <t>Laura Mercier Flawless Lumiere Radiance-Perfecting Foundation 2W1.5 Bisque 30ml</t>
        </is>
      </c>
      <c r="C400" t="inlineStr">
        <is>
          <t>Foundation</t>
        </is>
      </c>
      <c r="D400" t="inlineStr">
        <is>
          <t>Laura Mercier</t>
        </is>
      </c>
      <c r="E400" t="n">
        <v>39.15</v>
      </c>
      <c r="F400" t="n">
        <v>1</v>
      </c>
      <c r="G400" t="n">
        <v>5</v>
      </c>
      <c r="H400" s="5">
        <f>HYPERLINK("https://api.qogita.com/variants/link/0736150166746/", "View Product")</f>
        <v/>
      </c>
    </row>
    <row r="401">
      <c r="A401" t="inlineStr">
        <is>
          <t>0736150166807</t>
        </is>
      </c>
      <c r="B401" t="inlineStr">
        <is>
          <t>Laura Mercier Flawless Lumiere Radiance-Perfecting Foundation 3N1 Buff 30ml</t>
        </is>
      </c>
      <c r="C401" t="inlineStr">
        <is>
          <t>Foundation</t>
        </is>
      </c>
      <c r="D401" t="inlineStr">
        <is>
          <t>Laura Mercier</t>
        </is>
      </c>
      <c r="E401" t="n">
        <v>43.05</v>
      </c>
      <c r="F401" t="n">
        <v>1</v>
      </c>
      <c r="G401" t="n">
        <v>15</v>
      </c>
      <c r="H401" s="5">
        <f>HYPERLINK("https://api.qogita.com/variants/link/0736150166807/", "View Product")</f>
        <v/>
      </c>
    </row>
    <row r="402">
      <c r="A402" t="inlineStr">
        <is>
          <t>0736150168085</t>
        </is>
      </c>
      <c r="B402" t="inlineStr">
        <is>
          <t>Laura Mercier Rouge Essentiel Silky Creme Lipstick Brun Pale 3.5g</t>
        </is>
      </c>
      <c r="C402" t="inlineStr">
        <is>
          <t>Lipstick</t>
        </is>
      </c>
      <c r="D402" t="inlineStr">
        <is>
          <t>Laura Mercier</t>
        </is>
      </c>
      <c r="E402" t="n">
        <v>25.36</v>
      </c>
      <c r="F402" t="n">
        <v>1</v>
      </c>
      <c r="G402" t="n">
        <v>4</v>
      </c>
      <c r="H402" s="5">
        <f>HYPERLINK("https://api.qogita.com/variants/link/0736150168085/", "View Product")</f>
        <v/>
      </c>
    </row>
    <row r="403">
      <c r="A403" t="inlineStr">
        <is>
          <t>0736150168566</t>
        </is>
      </c>
      <c r="B403" t="inlineStr">
        <is>
          <t>Laura Mercier Rouge Essentiel Lipstick Blush Ultime 30g Rouge Ultime 1 count</t>
        </is>
      </c>
      <c r="C403" t="inlineStr">
        <is>
          <t>Lipstick</t>
        </is>
      </c>
      <c r="D403" t="inlineStr">
        <is>
          <t>Laura Mercier</t>
        </is>
      </c>
      <c r="E403" t="n">
        <v>25.36</v>
      </c>
      <c r="F403" t="n">
        <v>1</v>
      </c>
      <c r="G403" t="n">
        <v>6</v>
      </c>
      <c r="H403" s="5">
        <f>HYPERLINK("https://api.qogita.com/variants/link/0736150168566/", "View Product")</f>
        <v/>
      </c>
    </row>
    <row r="404">
      <c r="A404" t="inlineStr">
        <is>
          <t>0736150183682</t>
        </is>
      </c>
      <c r="B404" t="inlineStr">
        <is>
          <t>Laura Mercier Petal Soft Lipstick Crayon Louise Bright Yellow Pink 0.06 oz</t>
        </is>
      </c>
      <c r="C404" t="inlineStr">
        <is>
          <t>Lipstick</t>
        </is>
      </c>
      <c r="D404" t="inlineStr">
        <is>
          <t>Laura Mercier</t>
        </is>
      </c>
      <c r="E404" t="n">
        <v>21.23</v>
      </c>
      <c r="F404" t="n">
        <v>1</v>
      </c>
      <c r="G404" t="n">
        <v>6</v>
      </c>
      <c r="H404" s="5">
        <f>HYPERLINK("https://api.qogita.com/variants/link/0736150183682/", "View Product")</f>
        <v/>
      </c>
    </row>
    <row r="405">
      <c r="A405" t="inlineStr">
        <is>
          <t>0736150183705</t>
        </is>
      </c>
      <c r="B405" t="inlineStr">
        <is>
          <t>Laura Mercier Agnes Lipstick Crayon 2g</t>
        </is>
      </c>
      <c r="C405" t="inlineStr">
        <is>
          <t>Lipstick</t>
        </is>
      </c>
      <c r="D405" t="inlineStr">
        <is>
          <t>Laura Mercier</t>
        </is>
      </c>
      <c r="E405" t="n">
        <v>21.28</v>
      </c>
      <c r="F405" t="n">
        <v>1</v>
      </c>
      <c r="G405" t="n">
        <v>5</v>
      </c>
      <c r="H405" s="5">
        <f>HYPERLINK("https://api.qogita.com/variants/link/0736150183705/", "View Product")</f>
        <v/>
      </c>
    </row>
    <row r="406">
      <c r="A406" t="inlineStr">
        <is>
          <t>0736658480580</t>
        </is>
      </c>
      <c r="B406" t="inlineStr">
        <is>
          <t>Wet Brush Original Detangler Hair Brush Purple Desert Afterglow Ultra-Soft IntelliFlex Bristles  Women Men</t>
        </is>
      </c>
      <c r="C406" t="inlineStr">
        <is>
          <t>Detanglers</t>
        </is>
      </c>
      <c r="D406" t="inlineStr">
        <is>
          <t>Wet Brush</t>
        </is>
      </c>
      <c r="E406" t="n">
        <v>8.23</v>
      </c>
      <c r="F406" t="n">
        <v>1</v>
      </c>
      <c r="G406" t="n">
        <v>39</v>
      </c>
      <c r="H406" s="5">
        <f>HYPERLINK("https://api.qogita.com/variants/link/0736658480580/", "View Product")</f>
        <v/>
      </c>
    </row>
    <row r="407">
      <c r="A407" t="inlineStr">
        <is>
          <t>0736658481426</t>
        </is>
      </c>
      <c r="B407" t="inlineStr">
        <is>
          <t>Wet Brush Easy Blow Out Hair Brush Black Edgeless HeatFlex Bristles Blow Dry Safe Ergonomic Handle Manages Tangles Maximum Volume Ceramic Coated Pad Smooths And Straightens</t>
        </is>
      </c>
      <c r="C407" t="inlineStr">
        <is>
          <t>Flat &amp; Paddle Brushes</t>
        </is>
      </c>
      <c r="D407" t="inlineStr">
        <is>
          <t>Wet Brush</t>
        </is>
      </c>
      <c r="E407" t="n">
        <v>10.44</v>
      </c>
      <c r="F407" t="n">
        <v>1</v>
      </c>
      <c r="G407" t="n">
        <v>10</v>
      </c>
      <c r="H407" s="5">
        <f>HYPERLINK("https://api.qogita.com/variants/link/0736658481426/", "View Product")</f>
        <v/>
      </c>
    </row>
    <row r="408">
      <c r="A408" t="inlineStr">
        <is>
          <t>0736658494785</t>
        </is>
      </c>
      <c r="B408" t="inlineStr">
        <is>
          <t>Wet Brush Go Green Speed Dry Green</t>
        </is>
      </c>
      <c r="C408" t="inlineStr">
        <is>
          <t>Detanglers</t>
        </is>
      </c>
      <c r="D408" t="inlineStr">
        <is>
          <t>Wet Brush</t>
        </is>
      </c>
      <c r="E408" t="n">
        <v>10.44</v>
      </c>
      <c r="F408" t="n">
        <v>1</v>
      </c>
      <c r="G408" t="n">
        <v>59</v>
      </c>
      <c r="H408" s="5">
        <f>HYPERLINK("https://api.qogita.com/variants/link/0736658494785/", "View Product")</f>
        <v/>
      </c>
    </row>
    <row r="409">
      <c r="A409" t="inlineStr">
        <is>
          <t>0736658543902</t>
        </is>
      </c>
      <c r="B409" t="inlineStr">
        <is>
          <t>WetBrush Original Detangler Hair Brush with Ultra Soft Intelliflex Bristles for All Hair Types Disney Ultimate Princess Collection Ariel</t>
        </is>
      </c>
      <c r="C409" t="inlineStr">
        <is>
          <t>Detanglers</t>
        </is>
      </c>
      <c r="D409" t="inlineStr">
        <is>
          <t>Wet Brush</t>
        </is>
      </c>
      <c r="E409" t="n">
        <v>8.23</v>
      </c>
      <c r="F409" t="n">
        <v>1</v>
      </c>
      <c r="G409" t="n">
        <v>56</v>
      </c>
      <c r="H409" s="5">
        <f>HYPERLINK("https://api.qogita.com/variants/link/0736658543902/", "View Product")</f>
        <v/>
      </c>
    </row>
    <row r="410">
      <c r="A410" t="inlineStr">
        <is>
          <t>0736658588255</t>
        </is>
      </c>
      <c r="B410" t="inlineStr">
        <is>
          <t>Wet Brush Go Green Treatment and Shine Brush with Coconut Oil for Unisex Coral</t>
        </is>
      </c>
      <c r="C410" t="inlineStr">
        <is>
          <t>Wooden Brushes</t>
        </is>
      </c>
      <c r="D410" t="inlineStr">
        <is>
          <t>Wet Brush</t>
        </is>
      </c>
      <c r="E410" t="n">
        <v>10.23</v>
      </c>
      <c r="F410" t="n">
        <v>1</v>
      </c>
      <c r="G410" t="n">
        <v>52</v>
      </c>
      <c r="H410" s="5">
        <f>HYPERLINK("https://api.qogita.com/variants/link/0736658588255/", "View Product")</f>
        <v/>
      </c>
    </row>
    <row r="411">
      <c r="A411" t="inlineStr">
        <is>
          <t>0736658588347</t>
        </is>
      </c>
      <c r="B411" t="inlineStr">
        <is>
          <t>Wet Brush Go Green Oil Infused Shine Brush with Watermelon Seed Oil for Unisex 1 Piece Hair Brush</t>
        </is>
      </c>
      <c r="C411" t="inlineStr">
        <is>
          <t>Flat &amp; Paddle Brushes</t>
        </is>
      </c>
      <c r="D411" t="inlineStr">
        <is>
          <t>Wet Brush</t>
        </is>
      </c>
      <c r="E411" t="n">
        <v>10.23</v>
      </c>
      <c r="F411" t="n">
        <v>1</v>
      </c>
      <c r="G411" t="n">
        <v>28</v>
      </c>
      <c r="H411" s="5">
        <f>HYPERLINK("https://api.qogita.com/variants/link/0736658588347/", "View Product")</f>
        <v/>
      </c>
    </row>
    <row r="412">
      <c r="A412" t="inlineStr">
        <is>
          <t>0736658598124</t>
        </is>
      </c>
      <c r="B412" t="inlineStr">
        <is>
          <t>Wet Brush Shower Detangler Brush Green Glitter for Unisex</t>
        </is>
      </c>
      <c r="C412" t="inlineStr">
        <is>
          <t>Detanglers</t>
        </is>
      </c>
      <c r="D412" t="inlineStr">
        <is>
          <t>Wet Brush</t>
        </is>
      </c>
      <c r="E412" t="n">
        <v>6.62</v>
      </c>
      <c r="F412" t="n">
        <v>1</v>
      </c>
      <c r="G412" t="n">
        <v>15</v>
      </c>
      <c r="H412" s="5">
        <f>HYPERLINK("https://api.qogita.com/variants/link/0736658598124/", "View Product")</f>
        <v/>
      </c>
    </row>
    <row r="413">
      <c r="A413" t="inlineStr">
        <is>
          <t>0736658598186</t>
        </is>
      </c>
      <c r="B413" t="inlineStr">
        <is>
          <t>Wet Brush Shower Detangler Brush Purple Glitter for Unisex</t>
        </is>
      </c>
      <c r="C413" t="inlineStr">
        <is>
          <t>Detanglers</t>
        </is>
      </c>
      <c r="D413" t="inlineStr">
        <is>
          <t>Wet Brush</t>
        </is>
      </c>
      <c r="E413" t="n">
        <v>6.62</v>
      </c>
      <c r="F413" t="n">
        <v>1</v>
      </c>
      <c r="G413" t="n">
        <v>67</v>
      </c>
      <c r="H413" s="5">
        <f>HYPERLINK("https://api.qogita.com/variants/link/0736658598186/", "View Product")</f>
        <v/>
      </c>
    </row>
    <row r="414">
      <c r="A414" t="inlineStr">
        <is>
          <t>0736658599985</t>
        </is>
      </c>
      <c r="B414" t="inlineStr">
        <is>
          <t>Wetbrush Kids Chevron Detangler 70g</t>
        </is>
      </c>
      <c r="C414" t="inlineStr">
        <is>
          <t>Detanglers</t>
        </is>
      </c>
      <c r="D414" t="inlineStr">
        <is>
          <t>Wetbrush</t>
        </is>
      </c>
      <c r="E414" t="n">
        <v>7.47</v>
      </c>
      <c r="F414" t="n">
        <v>1</v>
      </c>
      <c r="G414" t="n">
        <v>29</v>
      </c>
      <c r="H414" s="5">
        <f>HYPERLINK("https://api.qogita.com/variants/link/0736658599985/", "View Product")</f>
        <v/>
      </c>
    </row>
    <row r="415">
      <c r="A415" t="inlineStr">
        <is>
          <t>0736658946758</t>
        </is>
      </c>
      <c r="B415" t="inlineStr">
        <is>
          <t>Wetbrush Paddle Black</t>
        </is>
      </c>
      <c r="C415" t="inlineStr">
        <is>
          <t>Flat &amp; Paddle Brushes</t>
        </is>
      </c>
      <c r="D415" t="inlineStr">
        <is>
          <t>Wet Brush</t>
        </is>
      </c>
      <c r="E415" t="n">
        <v>8.23</v>
      </c>
      <c r="F415" t="n">
        <v>1</v>
      </c>
      <c r="G415" t="n">
        <v>49</v>
      </c>
      <c r="H415" s="5">
        <f>HYPERLINK("https://api.qogita.com/variants/link/0736658946758/", "View Product")</f>
        <v/>
      </c>
    </row>
    <row r="416">
      <c r="A416" t="inlineStr">
        <is>
          <t>0736658952315</t>
        </is>
      </c>
      <c r="B416" t="inlineStr">
        <is>
          <t>Wet Brush Pro Paddle Detangler Purple</t>
        </is>
      </c>
      <c r="C416" t="inlineStr">
        <is>
          <t>Flat &amp; Paddle Brushes</t>
        </is>
      </c>
      <c r="D416" t="inlineStr">
        <is>
          <t>Wet Brush-Pro</t>
        </is>
      </c>
      <c r="E416" t="n">
        <v>7.46</v>
      </c>
      <c r="F416" t="n">
        <v>1</v>
      </c>
      <c r="G416" t="n">
        <v>2</v>
      </c>
      <c r="H416" s="5">
        <f>HYPERLINK("https://api.qogita.com/variants/link/0736658952315/", "View Product")</f>
        <v/>
      </c>
    </row>
    <row r="417">
      <c r="A417" t="inlineStr">
        <is>
          <t>0736658953183</t>
        </is>
      </c>
      <c r="B417" t="inlineStr">
        <is>
          <t>Wet Brush Paddle Detangler Pink 1 Count</t>
        </is>
      </c>
      <c r="C417" t="inlineStr">
        <is>
          <t>Detanglers</t>
        </is>
      </c>
      <c r="D417" t="inlineStr">
        <is>
          <t>Wet Brush</t>
        </is>
      </c>
      <c r="E417" t="n">
        <v>8.23</v>
      </c>
      <c r="F417" t="n">
        <v>1</v>
      </c>
      <c r="G417" t="n">
        <v>65</v>
      </c>
      <c r="H417" s="5">
        <f>HYPERLINK("https://api.qogita.com/variants/link/0736658953183/", "View Product")</f>
        <v/>
      </c>
    </row>
    <row r="418">
      <c r="A418" t="inlineStr">
        <is>
          <t>0736658953275</t>
        </is>
      </c>
      <c r="B418" t="inlineStr">
        <is>
          <t>Wetbrush Shine Enhancer Hairbrush with Natural Boar Bristles Eco-Friendly Purple</t>
        </is>
      </c>
      <c r="C418" t="inlineStr">
        <is>
          <t>Detanglers</t>
        </is>
      </c>
      <c r="D418" t="inlineStr">
        <is>
          <t>Wet Brush</t>
        </is>
      </c>
      <c r="E418" t="n">
        <v>5.06</v>
      </c>
      <c r="F418" t="n">
        <v>1</v>
      </c>
      <c r="G418" t="n">
        <v>5</v>
      </c>
      <c r="H418" s="5">
        <f>HYPERLINK("https://api.qogita.com/variants/link/0736658953275/", "View Product")</f>
        <v/>
      </c>
    </row>
    <row r="419">
      <c r="A419" t="inlineStr">
        <is>
          <t>0736658954111</t>
        </is>
      </c>
      <c r="B419" t="inlineStr">
        <is>
          <t>Wetbrush Original Detangler Purple</t>
        </is>
      </c>
      <c r="C419" t="inlineStr">
        <is>
          <t>Detanglers</t>
        </is>
      </c>
      <c r="D419" t="inlineStr">
        <is>
          <t>Wet Brush</t>
        </is>
      </c>
      <c r="E419" t="n">
        <v>9.57</v>
      </c>
      <c r="F419" t="n">
        <v>1</v>
      </c>
      <c r="G419" t="n">
        <v>87</v>
      </c>
      <c r="H419" s="5">
        <f>HYPERLINK("https://api.qogita.com/variants/link/0736658954111/", "View Product")</f>
        <v/>
      </c>
    </row>
    <row r="420">
      <c r="A420" t="inlineStr">
        <is>
          <t>0736658969238</t>
        </is>
      </c>
      <c r="B420" t="inlineStr">
        <is>
          <t>WetBrush Detangling Easy Glide Comb Wave Tooth Design For All Hair Types Pink</t>
        </is>
      </c>
      <c r="C420" t="inlineStr">
        <is>
          <t>Combs</t>
        </is>
      </c>
      <c r="D420" t="inlineStr">
        <is>
          <t>Wet Brush</t>
        </is>
      </c>
      <c r="E420" t="n">
        <v>4.39</v>
      </c>
      <c r="F420" t="n">
        <v>1</v>
      </c>
      <c r="G420" t="n">
        <v>60</v>
      </c>
      <c r="H420" s="5">
        <f>HYPERLINK("https://api.qogita.com/variants/link/0736658969238/", "View Product")</f>
        <v/>
      </c>
    </row>
    <row r="421">
      <c r="A421" t="inlineStr">
        <is>
          <t>0736658969245</t>
        </is>
      </c>
      <c r="B421" t="inlineStr">
        <is>
          <t>Wet Brush Detangling Comb Black Unisex Comb 1 Count</t>
        </is>
      </c>
      <c r="C421" t="inlineStr">
        <is>
          <t>Combs</t>
        </is>
      </c>
      <c r="D421" t="inlineStr">
        <is>
          <t>Wet Brush</t>
        </is>
      </c>
      <c r="E421" t="n">
        <v>4.39</v>
      </c>
      <c r="F421" t="n">
        <v>1</v>
      </c>
      <c r="G421" t="n">
        <v>64</v>
      </c>
      <c r="H421" s="5">
        <f>HYPERLINK("https://api.qogita.com/variants/link/0736658969245/", "View Product")</f>
        <v/>
      </c>
    </row>
    <row r="422">
      <c r="A422" t="inlineStr">
        <is>
          <t>0737052189765</t>
        </is>
      </c>
      <c r="B422" t="inlineStr">
        <is>
          <t>BOSS BOTTLED Eau de Toilette Oriental Woody Fragrance with Cinnamon and Musk Notes for Versatile Men 200ml</t>
        </is>
      </c>
      <c r="C422" t="inlineStr">
        <is>
          <t>Eau De Toilette</t>
        </is>
      </c>
      <c r="D422" t="inlineStr">
        <is>
          <t>Hugo Boss</t>
        </is>
      </c>
      <c r="E422" t="n">
        <v>61.15</v>
      </c>
      <c r="F422" t="n">
        <v>1</v>
      </c>
      <c r="G422" t="n">
        <v>264</v>
      </c>
      <c r="H422" s="5">
        <f>HYPERLINK("https://api.qogita.com/variants/link/0737052189765/", "View Product")</f>
        <v/>
      </c>
    </row>
    <row r="423">
      <c r="A423" t="inlineStr">
        <is>
          <t>0737052339047</t>
        </is>
      </c>
      <c r="B423" t="inlineStr">
        <is>
          <t>Gucci Guilty Pour Homme 90 ml Eau de Toilette Spray</t>
        </is>
      </c>
      <c r="C423" t="inlineStr">
        <is>
          <t>Eau De Toilette</t>
        </is>
      </c>
      <c r="D423" t="inlineStr">
        <is>
          <t>Gucci</t>
        </is>
      </c>
      <c r="E423" t="n">
        <v>58.17</v>
      </c>
      <c r="F423" t="n">
        <v>1</v>
      </c>
      <c r="G423" t="n">
        <v>22</v>
      </c>
      <c r="H423" s="5">
        <f>HYPERLINK("https://api.qogita.com/variants/link/0737052339047/", "View Product")</f>
        <v/>
      </c>
    </row>
    <row r="424">
      <c r="A424" t="inlineStr">
        <is>
          <t>0737052339207</t>
        </is>
      </c>
      <c r="B424" t="inlineStr">
        <is>
          <t>Gucci Guilty Pour Homme 50ml Men's Eau de Toilette</t>
        </is>
      </c>
      <c r="C424" t="inlineStr">
        <is>
          <t>Eau De Toilette</t>
        </is>
      </c>
      <c r="D424" t="inlineStr">
        <is>
          <t>Gucci</t>
        </is>
      </c>
      <c r="E424" t="n">
        <v>38.04</v>
      </c>
      <c r="F424" t="n">
        <v>1</v>
      </c>
      <c r="G424" t="n">
        <v>5</v>
      </c>
      <c r="H424" s="5">
        <f>HYPERLINK("https://api.qogita.com/variants/link/0737052339207/", "View Product")</f>
        <v/>
      </c>
    </row>
    <row r="425">
      <c r="A425" t="inlineStr">
        <is>
          <t>0737052351100</t>
        </is>
      </c>
      <c r="B425" t="inlineStr">
        <is>
          <t>Hugo Boss Bottled Eau de Toilette for Men 100ml</t>
        </is>
      </c>
      <c r="C425" t="inlineStr">
        <is>
          <t>Eau De Toilette</t>
        </is>
      </c>
      <c r="D425" t="inlineStr">
        <is>
          <t>Hugo Boss</t>
        </is>
      </c>
      <c r="E425" t="n">
        <v>38.3</v>
      </c>
      <c r="F425" t="n">
        <v>1</v>
      </c>
      <c r="G425" t="n">
        <v>459</v>
      </c>
      <c r="H425" s="5">
        <f>HYPERLINK("https://api.qogita.com/variants/link/0737052351100/", "View Product")</f>
        <v/>
      </c>
    </row>
    <row r="426">
      <c r="A426" t="inlineStr">
        <is>
          <t>0737052351155</t>
        </is>
      </c>
      <c r="B426" t="inlineStr">
        <is>
          <t>Boss Bottled Aftershave 50ml</t>
        </is>
      </c>
      <c r="C426" t="inlineStr">
        <is>
          <t>Aftershave</t>
        </is>
      </c>
      <c r="D426" t="inlineStr">
        <is>
          <t>Hugo Boss</t>
        </is>
      </c>
      <c r="E426" t="n">
        <v>20.3</v>
      </c>
      <c r="F426" t="n">
        <v>1</v>
      </c>
      <c r="G426" t="n">
        <v>139</v>
      </c>
      <c r="H426" s="5">
        <f>HYPERLINK("https://api.qogita.com/variants/link/0737052351155/", "View Product")</f>
        <v/>
      </c>
    </row>
    <row r="427">
      <c r="A427" t="inlineStr">
        <is>
          <t>0737052430515</t>
        </is>
      </c>
      <c r="B427" t="inlineStr">
        <is>
          <t>Escada Especially Eau de Parfum 50ml</t>
        </is>
      </c>
      <c r="C427" t="inlineStr">
        <is>
          <t>Eau De Parfum</t>
        </is>
      </c>
      <c r="D427" t="inlineStr">
        <is>
          <t>Escada</t>
        </is>
      </c>
      <c r="E427" t="n">
        <v>30.58</v>
      </c>
      <c r="F427" t="n">
        <v>1</v>
      </c>
      <c r="G427" t="n">
        <v>81</v>
      </c>
      <c r="H427" s="5">
        <f>HYPERLINK("https://api.qogita.com/variants/link/0737052430515/", "View Product")</f>
        <v/>
      </c>
    </row>
    <row r="428">
      <c r="A428" t="inlineStr">
        <is>
          <t>0737052430546</t>
        </is>
      </c>
      <c r="B428" t="inlineStr">
        <is>
          <t>Escada Especially Eau de Parfum Spray 75ml</t>
        </is>
      </c>
      <c r="C428" t="inlineStr">
        <is>
          <t>Eau De Parfum</t>
        </is>
      </c>
      <c r="D428" t="inlineStr">
        <is>
          <t>Escada</t>
        </is>
      </c>
      <c r="E428" t="n">
        <v>26.97</v>
      </c>
      <c r="F428" t="n">
        <v>1</v>
      </c>
      <c r="G428" t="n">
        <v>578</v>
      </c>
      <c r="H428" s="5">
        <f>HYPERLINK("https://api.qogita.com/variants/link/0737052430546/", "View Product")</f>
        <v/>
      </c>
    </row>
    <row r="429">
      <c r="A429" t="inlineStr">
        <is>
          <t>0737052679372</t>
        </is>
      </c>
      <c r="B429" t="inlineStr">
        <is>
          <t>Mexx Energizing Man Deodorant Spray 150ml</t>
        </is>
      </c>
      <c r="C429" t="inlineStr">
        <is>
          <t>Deodorant &amp; Anti-Perspirant</t>
        </is>
      </c>
      <c r="D429" t="inlineStr">
        <is>
          <t>Mexx</t>
        </is>
      </c>
      <c r="E429" t="n">
        <v>4.34</v>
      </c>
      <c r="F429" t="n">
        <v>1</v>
      </c>
      <c r="G429" t="n">
        <v>8</v>
      </c>
      <c r="H429" s="5">
        <f>HYPERLINK("https://api.qogita.com/variants/link/0737052679372/", "View Product")</f>
        <v/>
      </c>
    </row>
    <row r="430">
      <c r="A430" t="inlineStr">
        <is>
          <t>0737052683553</t>
        </is>
      </c>
      <c r="B430" t="inlineStr">
        <is>
          <t>Hugo Deep Red Eau De Parfum for Her Ambery Fragrance</t>
        </is>
      </c>
      <c r="C430" t="inlineStr">
        <is>
          <t>Eau De Parfum</t>
        </is>
      </c>
      <c r="D430" t="inlineStr">
        <is>
          <t>Hugo Boss</t>
        </is>
      </c>
      <c r="E430" t="n">
        <v>23.57</v>
      </c>
      <c r="F430" t="n">
        <v>1</v>
      </c>
      <c r="G430" t="n">
        <v>145</v>
      </c>
      <c r="H430" s="5">
        <f>HYPERLINK("https://api.qogita.com/variants/link/0737052683553/", "View Product")</f>
        <v/>
      </c>
    </row>
    <row r="431">
      <c r="A431" t="inlineStr">
        <is>
          <t>0737052766775</t>
        </is>
      </c>
      <c r="B431" t="inlineStr">
        <is>
          <t>HuHugo Boss Bottled Unlimited 100 ml Eau de Toilette Men's Perfume</t>
        </is>
      </c>
      <c r="C431" t="inlineStr">
        <is>
          <t>Eau De Toilette</t>
        </is>
      </c>
      <c r="D431" t="inlineStr">
        <is>
          <t>Hugo Boss</t>
        </is>
      </c>
      <c r="E431" t="n">
        <v>38.15</v>
      </c>
      <c r="F431" t="n">
        <v>1</v>
      </c>
      <c r="G431" t="n">
        <v>86</v>
      </c>
      <c r="H431" s="5">
        <f>HYPERLINK("https://api.qogita.com/variants/link/0737052766775/", "View Product")</f>
        <v/>
      </c>
    </row>
    <row r="432">
      <c r="A432" t="inlineStr">
        <is>
          <t>0737052903606</t>
        </is>
      </c>
      <c r="B432" t="inlineStr">
        <is>
          <t>Bruno Banani Woman Eau De Toilette Natural Spray 20ml</t>
        </is>
      </c>
      <c r="C432" t="inlineStr">
        <is>
          <t>Eau De Toilette</t>
        </is>
      </c>
      <c r="D432" t="inlineStr">
        <is>
          <t>Bruno Banani</t>
        </is>
      </c>
      <c r="E432" t="n">
        <v>5.05</v>
      </c>
      <c r="F432" t="n">
        <v>1</v>
      </c>
      <c r="G432" t="n">
        <v>35</v>
      </c>
      <c r="H432" s="5">
        <f>HYPERLINK("https://api.qogita.com/variants/link/0737052903606/", "View Product")</f>
        <v/>
      </c>
    </row>
    <row r="433">
      <c r="A433" t="inlineStr">
        <is>
          <t>0737052972268</t>
        </is>
      </c>
      <c r="B433" t="inlineStr">
        <is>
          <t>The Scent Hugo Boss Men's Eau de Toilette 50ml</t>
        </is>
      </c>
      <c r="C433" t="inlineStr">
        <is>
          <t>Eau De Toilette</t>
        </is>
      </c>
      <c r="D433" t="inlineStr">
        <is>
          <t>Hugo Boss</t>
        </is>
      </c>
      <c r="E433" t="n">
        <v>34.08</v>
      </c>
      <c r="F433" t="n">
        <v>1</v>
      </c>
      <c r="G433" t="n">
        <v>54</v>
      </c>
      <c r="H433" s="5">
        <f>HYPERLINK("https://api.qogita.com/variants/link/0737052972268/", "View Product")</f>
        <v/>
      </c>
    </row>
    <row r="434">
      <c r="A434" t="inlineStr">
        <is>
          <t>0737052972305</t>
        </is>
      </c>
      <c r="B434" t="inlineStr">
        <is>
          <t>Hugo Boss The Scent Men Eau de Toilette 3.4oz</t>
        </is>
      </c>
      <c r="C434" t="inlineStr">
        <is>
          <t>Eau De Toilette</t>
        </is>
      </c>
      <c r="D434" t="inlineStr">
        <is>
          <t>Hugo Boss</t>
        </is>
      </c>
      <c r="E434" t="n">
        <v>41.29</v>
      </c>
      <c r="F434" t="n">
        <v>1</v>
      </c>
      <c r="G434" t="n">
        <v>3</v>
      </c>
      <c r="H434" s="5">
        <f>HYPERLINK("https://api.qogita.com/variants/link/0737052972305/", "View Product")</f>
        <v/>
      </c>
    </row>
    <row r="435">
      <c r="A435" t="inlineStr">
        <is>
          <t>0738678000991</t>
        </is>
      </c>
      <c r="B435" t="inlineStr">
        <is>
          <t>American Crew Daily Cleansing Shampoo Vegan and Silicone Free 450ml</t>
        </is>
      </c>
      <c r="C435" t="inlineStr">
        <is>
          <t>Shampoo</t>
        </is>
      </c>
      <c r="D435" t="inlineStr">
        <is>
          <t>American Crew</t>
        </is>
      </c>
      <c r="E435" t="n">
        <v>8.84</v>
      </c>
      <c r="F435" t="n">
        <v>1</v>
      </c>
      <c r="G435" t="n">
        <v>13</v>
      </c>
      <c r="H435" s="5">
        <f>HYPERLINK("https://api.qogita.com/variants/link/0738678000991/", "View Product")</f>
        <v/>
      </c>
    </row>
    <row r="436">
      <c r="A436" t="inlineStr">
        <is>
          <t>0738678001059</t>
        </is>
      </c>
      <c r="B436" t="inlineStr">
        <is>
          <t>American Crew Classic Daily Deep Moisturizing Shampoo Supersize 1000ml</t>
        </is>
      </c>
      <c r="C436" t="inlineStr">
        <is>
          <t>Shampoo</t>
        </is>
      </c>
      <c r="D436" t="inlineStr">
        <is>
          <t>American Crew</t>
        </is>
      </c>
      <c r="E436" t="n">
        <v>14.38</v>
      </c>
      <c r="F436" t="n">
        <v>1</v>
      </c>
      <c r="G436" t="n">
        <v>14</v>
      </c>
      <c r="H436" s="5">
        <f>HYPERLINK("https://api.qogita.com/variants/link/0738678001059/", "View Product")</f>
        <v/>
      </c>
    </row>
    <row r="437">
      <c r="A437" t="inlineStr">
        <is>
          <t>0738678001349</t>
        </is>
      </c>
      <c r="B437" t="inlineStr">
        <is>
          <t>American Crew Men's Daily Cleansing Shampoo 250ml</t>
        </is>
      </c>
      <c r="C437" t="inlineStr">
        <is>
          <t>Shampoo</t>
        </is>
      </c>
      <c r="D437" t="inlineStr">
        <is>
          <t>American Crew</t>
        </is>
      </c>
      <c r="E437" t="n">
        <v>6.77</v>
      </c>
      <c r="F437" t="n">
        <v>1</v>
      </c>
      <c r="G437" t="n">
        <v>13</v>
      </c>
      <c r="H437" s="5">
        <f>HYPERLINK("https://api.qogita.com/variants/link/0738678001349/", "View Product")</f>
        <v/>
      </c>
    </row>
    <row r="438">
      <c r="A438" t="inlineStr">
        <is>
          <t>0738678001356</t>
        </is>
      </c>
      <c r="B438" t="inlineStr">
        <is>
          <t>American Crew Detox Shampoo 250ml</t>
        </is>
      </c>
      <c r="C438" t="inlineStr">
        <is>
          <t>Shampoo</t>
        </is>
      </c>
      <c r="D438" t="inlineStr">
        <is>
          <t>American Crew</t>
        </is>
      </c>
      <c r="E438" t="n">
        <v>8.619999999999999</v>
      </c>
      <c r="F438" t="n">
        <v>1</v>
      </c>
      <c r="G438" t="n">
        <v>14</v>
      </c>
      <c r="H438" s="5">
        <f>HYPERLINK("https://api.qogita.com/variants/link/0738678001356/", "View Product")</f>
        <v/>
      </c>
    </row>
    <row r="439">
      <c r="A439" t="inlineStr">
        <is>
          <t>0738678001585</t>
        </is>
      </c>
      <c r="B439" t="inlineStr">
        <is>
          <t>American Crew Daily Silver Shampoo For Men 8.45oz</t>
        </is>
      </c>
      <c r="C439" t="inlineStr">
        <is>
          <t>Shampoo</t>
        </is>
      </c>
      <c r="D439" t="inlineStr">
        <is>
          <t>American Crew</t>
        </is>
      </c>
      <c r="E439" t="n">
        <v>7.62</v>
      </c>
      <c r="F439" t="n">
        <v>1</v>
      </c>
      <c r="G439" t="n">
        <v>5</v>
      </c>
      <c r="H439" s="5">
        <f>HYPERLINK("https://api.qogita.com/variants/link/0738678001585/", "View Product")</f>
        <v/>
      </c>
    </row>
    <row r="440">
      <c r="A440" t="inlineStr">
        <is>
          <t>0738678002438</t>
        </is>
      </c>
      <c r="B440" t="inlineStr">
        <is>
          <t>American Crew Anti-Hair Loss Shampoo 250ml</t>
        </is>
      </c>
      <c r="C440" t="inlineStr">
        <is>
          <t>Shampoo</t>
        </is>
      </c>
      <c r="D440" t="inlineStr">
        <is>
          <t>American Crew</t>
        </is>
      </c>
      <c r="E440" t="n">
        <v>8.35</v>
      </c>
      <c r="F440" t="n">
        <v>1</v>
      </c>
      <c r="G440" t="n">
        <v>36</v>
      </c>
      <c r="H440" s="5">
        <f>HYPERLINK("https://api.qogita.com/variants/link/0738678002438/", "View Product")</f>
        <v/>
      </c>
    </row>
    <row r="441">
      <c r="A441" t="inlineStr">
        <is>
          <t>0738678002445</t>
        </is>
      </c>
      <c r="B441" t="inlineStr">
        <is>
          <t>American Crew Anti-Hairloss Shampoo 1000ml</t>
        </is>
      </c>
      <c r="C441" t="inlineStr">
        <is>
          <t>Shampoo</t>
        </is>
      </c>
      <c r="D441" t="inlineStr">
        <is>
          <t>American Crew</t>
        </is>
      </c>
      <c r="E441" t="n">
        <v>19.93</v>
      </c>
      <c r="F441" t="n">
        <v>1</v>
      </c>
      <c r="G441" t="n">
        <v>7</v>
      </c>
      <c r="H441" s="5">
        <f>HYPERLINK("https://api.qogita.com/variants/link/0738678002445/", "View Product")</f>
        <v/>
      </c>
    </row>
    <row r="442">
      <c r="A442" t="inlineStr">
        <is>
          <t>0738678002735</t>
        </is>
      </c>
      <c r="B442" t="inlineStr">
        <is>
          <t>American Crew Pomade with Medium Hold and High Shine 85g</t>
        </is>
      </c>
      <c r="C442" t="inlineStr">
        <is>
          <t>Wax</t>
        </is>
      </c>
      <c r="D442" t="inlineStr">
        <is>
          <t>American Crew</t>
        </is>
      </c>
      <c r="E442" t="n">
        <v>9.83</v>
      </c>
      <c r="F442" t="n">
        <v>1</v>
      </c>
      <c r="G442" t="n">
        <v>37</v>
      </c>
      <c r="H442" s="5">
        <f>HYPERLINK("https://api.qogita.com/variants/link/0738678002735/", "View Product")</f>
        <v/>
      </c>
    </row>
    <row r="443">
      <c r="A443" t="inlineStr">
        <is>
          <t>0738678003329</t>
        </is>
      </c>
      <c r="B443" t="inlineStr">
        <is>
          <t>American Crew 3-IN-1 Chamomile Pine Shampoo Conditioner and Body Wash 15.2 Fl Oz</t>
        </is>
      </c>
      <c r="C443" t="inlineStr">
        <is>
          <t>Shampoo</t>
        </is>
      </c>
      <c r="D443" t="inlineStr">
        <is>
          <t>American Crew</t>
        </is>
      </c>
      <c r="E443" t="n">
        <v>9.58</v>
      </c>
      <c r="F443" t="n">
        <v>1</v>
      </c>
      <c r="G443" t="n">
        <v>8</v>
      </c>
      <c r="H443" s="5">
        <f>HYPERLINK("https://api.qogita.com/variants/link/0738678003329/", "View Product")</f>
        <v/>
      </c>
    </row>
    <row r="444">
      <c r="A444" t="inlineStr">
        <is>
          <t>0738678148907</t>
        </is>
      </c>
      <c r="B444" t="inlineStr">
        <is>
          <t>American Crew Classic Light Hold Texture Lotion 250ml</t>
        </is>
      </c>
      <c r="C444" t="inlineStr">
        <is>
          <t>Styling Creams</t>
        </is>
      </c>
      <c r="D444" t="inlineStr">
        <is>
          <t>American Crew</t>
        </is>
      </c>
      <c r="E444" t="n">
        <v>10.14</v>
      </c>
      <c r="F444" t="n">
        <v>1</v>
      </c>
      <c r="G444" t="n">
        <v>7</v>
      </c>
      <c r="H444" s="5">
        <f>HYPERLINK("https://api.qogita.com/variants/link/0738678148907/", "View Product")</f>
        <v/>
      </c>
    </row>
    <row r="445">
      <c r="A445" t="inlineStr">
        <is>
          <t>0738678248355</t>
        </is>
      </c>
      <c r="B445" t="inlineStr">
        <is>
          <t>American Crew Precision Blend Natural Grey Coverage Dark With Activator</t>
        </is>
      </c>
      <c r="C445" t="inlineStr">
        <is>
          <t>Hair Dye</t>
        </is>
      </c>
      <c r="D445" t="inlineStr">
        <is>
          <t>American Crew</t>
        </is>
      </c>
      <c r="E445" t="n">
        <v>10.53</v>
      </c>
      <c r="F445" t="n">
        <v>1</v>
      </c>
      <c r="G445" t="n">
        <v>44</v>
      </c>
      <c r="H445" s="5">
        <f>HYPERLINK("https://api.qogita.com/variants/link/0738678248355/", "View Product")</f>
        <v/>
      </c>
    </row>
    <row r="446">
      <c r="A446" t="inlineStr">
        <is>
          <t>0738678250013</t>
        </is>
      </c>
      <c r="B446" t="inlineStr">
        <is>
          <t>American Crew Classic Boost Powder 10g Styling Powder for Men</t>
        </is>
      </c>
      <c r="C446" t="inlineStr">
        <is>
          <t>Volume Powder</t>
        </is>
      </c>
      <c r="D446" t="inlineStr">
        <is>
          <t>American Crew</t>
        </is>
      </c>
      <c r="E446" t="n">
        <v>6.9</v>
      </c>
      <c r="F446" t="n">
        <v>1</v>
      </c>
      <c r="G446" t="n">
        <v>17</v>
      </c>
      <c r="H446" s="5">
        <f>HYPERLINK("https://api.qogita.com/variants/link/0738678250013/", "View Product")</f>
        <v/>
      </c>
    </row>
    <row r="447">
      <c r="A447" t="inlineStr">
        <is>
          <t>0741021003334</t>
        </is>
      </c>
      <c r="B447" t="inlineStr">
        <is>
          <t>AfterSpa Facial Micro Scrubber</t>
        </is>
      </c>
      <c r="C447" t="inlineStr">
        <is>
          <t>Facial Cleansing Tools</t>
        </is>
      </c>
      <c r="D447" t="inlineStr">
        <is>
          <t>Daily Concepts</t>
        </is>
      </c>
      <c r="E447" t="n">
        <v>2.95</v>
      </c>
      <c r="F447" t="n">
        <v>1</v>
      </c>
      <c r="G447" t="n">
        <v>9</v>
      </c>
      <c r="H447" s="5">
        <f>HYPERLINK("https://api.qogita.com/variants/link/0741021003334/", "View Product")</f>
        <v/>
      </c>
    </row>
    <row r="448">
      <c r="A448" t="inlineStr">
        <is>
          <t>0741021009831</t>
        </is>
      </c>
      <c r="B448" t="inlineStr">
        <is>
          <t>Afterspa Wellness Bath Ritual with 1 Mesh Sponge and 2 Body Bombs</t>
        </is>
      </c>
      <c r="C448" t="inlineStr">
        <is>
          <t>Bath Salts &amp; Bath Bombs</t>
        </is>
      </c>
      <c r="D448" t="inlineStr">
        <is>
          <t>Afterspa</t>
        </is>
      </c>
      <c r="E448" t="n">
        <v>11.03</v>
      </c>
      <c r="F448" t="n">
        <v>1</v>
      </c>
      <c r="G448" t="n">
        <v>14</v>
      </c>
      <c r="H448" s="5">
        <f>HYPERLINK("https://api.qogita.com/variants/link/0741021009831/", "View Product")</f>
        <v/>
      </c>
    </row>
    <row r="449">
      <c r="A449" t="inlineStr">
        <is>
          <t>0742271477197</t>
        </is>
      </c>
      <c r="B449" t="inlineStr">
        <is>
          <t>Q+A Zinc PCA Facial Serum - Minimizes Pores and Enhances Cell</t>
        </is>
      </c>
      <c r="C449" t="inlineStr">
        <is>
          <t>Hydrating Serum</t>
        </is>
      </c>
      <c r="D449" t="inlineStr">
        <is>
          <t>Q+A</t>
        </is>
      </c>
      <c r="E449" t="n">
        <v>7.37</v>
      </c>
      <c r="F449" t="n">
        <v>1</v>
      </c>
      <c r="G449" t="n">
        <v>3</v>
      </c>
      <c r="H449" s="5">
        <f>HYPERLINK("https://api.qogita.com/variants/link/0742271477197/", "View Product")</f>
        <v/>
      </c>
    </row>
    <row r="450">
      <c r="A450" t="inlineStr">
        <is>
          <t>0745114283597</t>
        </is>
      </c>
      <c r="B450" t="inlineStr">
        <is>
          <t>Reclar Ritual Mask Love Mode - A Single-Use Face Mask Suitable For All Skin Types</t>
        </is>
      </c>
      <c r="C450" t="inlineStr">
        <is>
          <t>Sheet Mask</t>
        </is>
      </c>
      <c r="D450" t="inlineStr">
        <is>
          <t>Reclar</t>
        </is>
      </c>
      <c r="E450" t="n">
        <v>19.51</v>
      </c>
      <c r="F450" t="n">
        <v>1</v>
      </c>
      <c r="G450" t="n">
        <v>5</v>
      </c>
      <c r="H450" s="5">
        <f>HYPERLINK("https://api.qogita.com/variants/link/0745114283597/", "View Product")</f>
        <v/>
      </c>
    </row>
    <row r="451">
      <c r="A451" t="inlineStr">
        <is>
          <t>0747930009788</t>
        </is>
      </c>
      <c r="B451" t="inlineStr">
        <is>
          <t>La Mer The Body Creme 300ml</t>
        </is>
      </c>
      <c r="C451" t="inlineStr">
        <is>
          <t>Body Butter</t>
        </is>
      </c>
      <c r="D451" t="inlineStr">
        <is>
          <t>La Mer</t>
        </is>
      </c>
      <c r="E451" t="n">
        <v>208.16</v>
      </c>
      <c r="F451" t="n">
        <v>1</v>
      </c>
      <c r="G451" t="n">
        <v>4</v>
      </c>
      <c r="H451" s="5">
        <f>HYPERLINK("https://api.qogita.com/variants/link/0747930009788/", "View Product")</f>
        <v/>
      </c>
    </row>
    <row r="452">
      <c r="A452" t="inlineStr">
        <is>
          <t>0747930098850</t>
        </is>
      </c>
      <c r="B452" t="inlineStr">
        <is>
          <t>La Mer Le Balm Night Concentrate 50ml</t>
        </is>
      </c>
      <c r="C452" t="inlineStr">
        <is>
          <t>Night Cream</t>
        </is>
      </c>
      <c r="D452" t="inlineStr">
        <is>
          <t>La Mer</t>
        </is>
      </c>
      <c r="E452" t="n">
        <v>498.96</v>
      </c>
      <c r="F452" t="n">
        <v>1</v>
      </c>
      <c r="G452" t="n">
        <v>5</v>
      </c>
      <c r="H452" s="5">
        <f>HYPERLINK("https://api.qogita.com/variants/link/0747930098850/", "View Product")</f>
        <v/>
      </c>
    </row>
    <row r="453">
      <c r="A453" t="inlineStr">
        <is>
          <t>0747930158981</t>
        </is>
      </c>
      <c r="B453" t="inlineStr">
        <is>
          <t>La Mer The Lip Volumizer Sheer Berry</t>
        </is>
      </c>
      <c r="C453" t="inlineStr">
        <is>
          <t>Lip Plumper</t>
        </is>
      </c>
      <c r="D453" t="inlineStr">
        <is>
          <t>La Mer</t>
        </is>
      </c>
      <c r="E453" t="n">
        <v>67.84</v>
      </c>
      <c r="F453" t="n">
        <v>1</v>
      </c>
      <c r="G453" t="n">
        <v>3</v>
      </c>
      <c r="H453" s="5">
        <f>HYPERLINK("https://api.qogita.com/variants/link/0747930158981/", "View Product")</f>
        <v/>
      </c>
    </row>
    <row r="454">
      <c r="A454" t="inlineStr">
        <is>
          <t>0750258322576</t>
        </is>
      </c>
      <c r="B454" t="inlineStr">
        <is>
          <t>THE BASE Foundation Golden 35ml</t>
        </is>
      </c>
      <c r="C454" t="inlineStr">
        <is>
          <t>Foundation</t>
        </is>
      </c>
      <c r="D454" t="inlineStr">
        <is>
          <t>Base Of Sweden</t>
        </is>
      </c>
      <c r="E454" t="n">
        <v>17.55</v>
      </c>
      <c r="F454" t="n">
        <v>1</v>
      </c>
      <c r="G454" t="n">
        <v>29</v>
      </c>
      <c r="H454" s="5">
        <f>HYPERLINK("https://api.qogita.com/variants/link/0750258322576/", "View Product")</f>
        <v/>
      </c>
    </row>
    <row r="455">
      <c r="A455" t="inlineStr">
        <is>
          <t>0752110702229</t>
        </is>
      </c>
      <c r="B455" t="inlineStr">
        <is>
          <t>Olivia Garden Ceramic Ion Round Thermal Hair Brush 1.38</t>
        </is>
      </c>
      <c r="C455" t="inlineStr">
        <is>
          <t>Round Brushes</t>
        </is>
      </c>
      <c r="D455" t="inlineStr">
        <is>
          <t>Olivia Garden</t>
        </is>
      </c>
      <c r="E455" t="n">
        <v>11.66</v>
      </c>
      <c r="F455" t="n">
        <v>1</v>
      </c>
      <c r="G455" t="n">
        <v>5</v>
      </c>
      <c r="H455" s="5">
        <f>HYPERLINK("https://api.qogita.com/variants/link/0752110702229/", "View Product")</f>
        <v/>
      </c>
    </row>
    <row r="456">
      <c r="A456" t="inlineStr">
        <is>
          <t>0752110702236</t>
        </is>
      </c>
      <c r="B456" t="inlineStr">
        <is>
          <t>Olivia Garden Ceramic Ion Round Thermal Hair Brush 1.75" Pink</t>
        </is>
      </c>
      <c r="C456" t="inlineStr">
        <is>
          <t>Round Brushes</t>
        </is>
      </c>
      <c r="D456" t="inlineStr">
        <is>
          <t>Olivia Garden</t>
        </is>
      </c>
      <c r="E456" t="n">
        <v>12.11</v>
      </c>
      <c r="F456" t="n">
        <v>1</v>
      </c>
      <c r="G456" t="n">
        <v>5</v>
      </c>
      <c r="H456" s="5">
        <f>HYPERLINK("https://api.qogita.com/variants/link/0752110702236/", "View Product")</f>
        <v/>
      </c>
    </row>
    <row r="457">
      <c r="A457" t="inlineStr">
        <is>
          <t>0752110715076</t>
        </is>
      </c>
      <c r="B457" t="inlineStr">
        <is>
          <t>Olivia Garden Ceramic Ion Round Thermal Hair Brush</t>
        </is>
      </c>
      <c r="C457" t="inlineStr">
        <is>
          <t>Round Brushes</t>
        </is>
      </c>
      <c r="D457" t="inlineStr">
        <is>
          <t>Olivia Garden</t>
        </is>
      </c>
      <c r="E457" t="n">
        <v>7.72</v>
      </c>
      <c r="F457" t="n">
        <v>1</v>
      </c>
      <c r="G457" t="n">
        <v>5</v>
      </c>
      <c r="H457" s="5">
        <f>HYPERLINK("https://api.qogita.com/variants/link/0752110715076/", "View Product")</f>
        <v/>
      </c>
    </row>
    <row r="458">
      <c r="A458" t="inlineStr">
        <is>
          <t>0752110716974</t>
        </is>
      </c>
      <c r="B458" t="inlineStr">
        <is>
          <t>Olivia Garden Nanothermic Ceramic Ion Flex Scalp-Hugging Vented Hair Brush</t>
        </is>
      </c>
      <c r="C458" t="inlineStr">
        <is>
          <t>Round Brushes</t>
        </is>
      </c>
      <c r="D458" t="inlineStr">
        <is>
          <t>Olivia Garden</t>
        </is>
      </c>
      <c r="E458" t="n">
        <v>12.02</v>
      </c>
      <c r="F458" t="n">
        <v>1</v>
      </c>
      <c r="G458" t="n">
        <v>2</v>
      </c>
      <c r="H458" s="5">
        <f>HYPERLINK("https://api.qogita.com/variants/link/0752110716974/", "View Product")</f>
        <v/>
      </c>
    </row>
    <row r="459">
      <c r="A459" t="inlineStr">
        <is>
          <t>0752110720209</t>
        </is>
      </c>
      <c r="B459" t="inlineStr">
        <is>
          <t>OLIVIA GARDEN Eco-Friendly HH-P5 Healthy Hair Bamboo Ionic Vent Paddle Brush</t>
        </is>
      </c>
      <c r="C459" t="inlineStr">
        <is>
          <t>Flat &amp; Paddle Brushes</t>
        </is>
      </c>
      <c r="D459" t="inlineStr">
        <is>
          <t>Olivia Garden</t>
        </is>
      </c>
      <c r="E459" t="n">
        <v>7.86</v>
      </c>
      <c r="F459" t="n">
        <v>1</v>
      </c>
      <c r="G459" t="n">
        <v>5</v>
      </c>
      <c r="H459" s="5">
        <f>HYPERLINK("https://api.qogita.com/variants/link/0752110720209/", "View Product")</f>
        <v/>
      </c>
    </row>
    <row r="460">
      <c r="A460" t="inlineStr">
        <is>
          <t>0752110725037</t>
        </is>
      </c>
      <c r="B460" t="inlineStr">
        <is>
          <t>Olivia Garden OG Barber Brushes with Comfortable Ball Point Tips Ergonomic</t>
        </is>
      </c>
      <c r="C460" t="inlineStr">
        <is>
          <t>Round Brushes</t>
        </is>
      </c>
      <c r="D460" t="inlineStr">
        <is>
          <t>Olivia Garden</t>
        </is>
      </c>
      <c r="E460" t="n">
        <v>4.2</v>
      </c>
      <c r="F460" t="n">
        <v>1</v>
      </c>
      <c r="G460" t="n">
        <v>5</v>
      </c>
      <c r="H460" s="5">
        <f>HYPERLINK("https://api.qogita.com/variants/link/0752110725037/", "View Product")</f>
        <v/>
      </c>
    </row>
    <row r="461">
      <c r="A461" t="inlineStr">
        <is>
          <t>0761828009940</t>
        </is>
      </c>
      <c r="B461" t="inlineStr">
        <is>
          <t>Umbro Body Spray Action Green</t>
        </is>
      </c>
      <c r="C461" t="inlineStr">
        <is>
          <t>Deodorant &amp; Anti-Perspirant</t>
        </is>
      </c>
      <c r="D461" t="inlineStr">
        <is>
          <t>Umbro</t>
        </is>
      </c>
      <c r="E461" t="n">
        <v>4.55</v>
      </c>
      <c r="F461" t="n">
        <v>1</v>
      </c>
      <c r="G461" t="n">
        <v>4</v>
      </c>
      <c r="H461" s="5">
        <f>HYPERLINK("https://api.qogita.com/variants/link/0761828009940/", "View Product")</f>
        <v/>
      </c>
    </row>
    <row r="462">
      <c r="A462" t="inlineStr">
        <is>
          <t>0768114470927</t>
        </is>
      </c>
      <c r="B462" t="inlineStr">
        <is>
          <t>Dapper Dan Hair Fixing Spray for Firm Natural Hold 125ml</t>
        </is>
      </c>
      <c r="C462" t="inlineStr">
        <is>
          <t>Hairspray</t>
        </is>
      </c>
      <c r="D462" t="inlineStr">
        <is>
          <t>Dapper Dan</t>
        </is>
      </c>
      <c r="E462" t="n">
        <v>6.94</v>
      </c>
      <c r="F462" t="n">
        <v>1</v>
      </c>
      <c r="G462" t="n">
        <v>10</v>
      </c>
      <c r="H462" s="5">
        <f>HYPERLINK("https://api.qogita.com/variants/link/0768114470927/", "View Product")</f>
        <v/>
      </c>
    </row>
    <row r="463">
      <c r="A463" t="inlineStr">
        <is>
          <t>0773602000708</t>
        </is>
      </c>
      <c r="B463" t="inlineStr">
        <is>
          <t>MAC Powder Blush Rouge Desert Rose 6g</t>
        </is>
      </c>
      <c r="C463" t="inlineStr">
        <is>
          <t>Blush</t>
        </is>
      </c>
      <c r="D463" t="inlineStr">
        <is>
          <t>Mac</t>
        </is>
      </c>
      <c r="E463" t="n">
        <v>22.37</v>
      </c>
      <c r="F463" t="n">
        <v>1</v>
      </c>
      <c r="G463" t="n">
        <v>15</v>
      </c>
      <c r="H463" s="5">
        <f>HYPERLINK("https://api.qogita.com/variants/link/0773602000708/", "View Product")</f>
        <v/>
      </c>
    </row>
    <row r="464">
      <c r="A464" t="inlineStr">
        <is>
          <t>0773602000760</t>
        </is>
      </c>
      <c r="B464" t="inlineStr">
        <is>
          <t>M.A.C Powder Blush 6g Melba Soft Coral-Peach</t>
        </is>
      </c>
      <c r="C464" t="inlineStr">
        <is>
          <t>Blush</t>
        </is>
      </c>
      <c r="D464" t="inlineStr">
        <is>
          <t>Mac</t>
        </is>
      </c>
      <c r="E464" t="n">
        <v>21.57</v>
      </c>
      <c r="F464" t="n">
        <v>1</v>
      </c>
      <c r="G464" t="n">
        <v>20</v>
      </c>
      <c r="H464" s="5">
        <f>HYPERLINK("https://api.qogita.com/variants/link/0773602000760/", "View Product")</f>
        <v/>
      </c>
    </row>
    <row r="465">
      <c r="A465" t="inlineStr">
        <is>
          <t>0773602001682</t>
        </is>
      </c>
      <c r="B465" t="inlineStr">
        <is>
          <t>MAC Frost Eye Shadow Sable 1.5g 0.5oz</t>
        </is>
      </c>
      <c r="C465" t="inlineStr">
        <is>
          <t>Eyeshadow</t>
        </is>
      </c>
      <c r="D465" t="inlineStr">
        <is>
          <t>Mac</t>
        </is>
      </c>
      <c r="E465" t="n">
        <v>13.7</v>
      </c>
      <c r="F465" t="n">
        <v>1</v>
      </c>
      <c r="G465" t="n">
        <v>5</v>
      </c>
      <c r="H465" s="5">
        <f>HYPERLINK("https://api.qogita.com/variants/link/0773602001682/", "View Product")</f>
        <v/>
      </c>
    </row>
    <row r="466">
      <c r="A466" t="inlineStr">
        <is>
          <t>0773602001996</t>
        </is>
      </c>
      <c r="B466" t="inlineStr">
        <is>
          <t>MAC Lip Pencil Liner 0.05 oz Cherry</t>
        </is>
      </c>
      <c r="C466" t="inlineStr">
        <is>
          <t>Lip Liner</t>
        </is>
      </c>
      <c r="D466" t="inlineStr">
        <is>
          <t>Mac</t>
        </is>
      </c>
      <c r="E466" t="n">
        <v>16.2</v>
      </c>
      <c r="F466" t="n">
        <v>1</v>
      </c>
      <c r="G466" t="n">
        <v>7</v>
      </c>
      <c r="H466" s="5">
        <f>HYPERLINK("https://api.qogita.com/variants/link/0773602001996/", "View Product")</f>
        <v/>
      </c>
    </row>
    <row r="467">
      <c r="A467" t="inlineStr">
        <is>
          <t>0773602003679</t>
        </is>
      </c>
      <c r="B467" t="inlineStr">
        <is>
          <t>M.A.C Lipglass Lip Gloss Clear 15ml</t>
        </is>
      </c>
      <c r="C467" t="inlineStr">
        <is>
          <t>Lip Gloss</t>
        </is>
      </c>
      <c r="D467" t="inlineStr">
        <is>
          <t>Mac</t>
        </is>
      </c>
      <c r="E467" t="n">
        <v>17.14</v>
      </c>
      <c r="F467" t="n">
        <v>1</v>
      </c>
      <c r="G467" t="n">
        <v>6</v>
      </c>
      <c r="H467" s="5">
        <f>HYPERLINK("https://api.qogita.com/variants/link/0773602003679/", "View Product")</f>
        <v/>
      </c>
    </row>
    <row r="468">
      <c r="A468" t="inlineStr">
        <is>
          <t>0773602016211</t>
        </is>
      </c>
      <c r="B468" t="inlineStr">
        <is>
          <t>MAC Eyeshadow Soba Satin 1.5g</t>
        </is>
      </c>
      <c r="C468" t="inlineStr">
        <is>
          <t>Eyeshadow</t>
        </is>
      </c>
      <c r="D468" t="inlineStr">
        <is>
          <t>Mac</t>
        </is>
      </c>
      <c r="E468" t="n">
        <v>14.42</v>
      </c>
      <c r="F468" t="n">
        <v>1</v>
      </c>
      <c r="G468" t="n">
        <v>3</v>
      </c>
      <c r="H468" s="5">
        <f>HYPERLINK("https://api.qogita.com/variants/link/0773602016211/", "View Product")</f>
        <v/>
      </c>
    </row>
    <row r="469">
      <c r="A469" t="inlineStr">
        <is>
          <t>0773602034895</t>
        </is>
      </c>
      <c r="B469" t="inlineStr">
        <is>
          <t>MAC Eye Khol Eyeliner Pencil Fascinating White 1.36g</t>
        </is>
      </c>
      <c r="C469" t="inlineStr">
        <is>
          <t>Eyeliner</t>
        </is>
      </c>
      <c r="D469" t="inlineStr">
        <is>
          <t>Mac</t>
        </is>
      </c>
      <c r="E469" t="n">
        <v>14.22</v>
      </c>
      <c r="F469" t="n">
        <v>1</v>
      </c>
      <c r="G469" t="n">
        <v>2</v>
      </c>
      <c r="H469" s="5">
        <f>HYPERLINK("https://api.qogita.com/variants/link/0773602034895/", "View Product")</f>
        <v/>
      </c>
    </row>
    <row r="470">
      <c r="A470" t="inlineStr">
        <is>
          <t>0773602040377</t>
        </is>
      </c>
      <c r="B470" t="inlineStr">
        <is>
          <t>Mac Eye Shadow 148 Club Satin 1.5g</t>
        </is>
      </c>
      <c r="C470" t="inlineStr">
        <is>
          <t>Eyeshadow</t>
        </is>
      </c>
      <c r="D470" t="inlineStr">
        <is>
          <t>Mac</t>
        </is>
      </c>
      <c r="E470" t="n">
        <v>13.71</v>
      </c>
      <c r="F470" t="n">
        <v>1</v>
      </c>
      <c r="G470" t="n">
        <v>15</v>
      </c>
      <c r="H470" s="5">
        <f>HYPERLINK("https://api.qogita.com/variants/link/0773602040377/", "View Product")</f>
        <v/>
      </c>
    </row>
    <row r="471">
      <c r="A471" t="inlineStr">
        <is>
          <t>0773602044450</t>
        </is>
      </c>
      <c r="B471" t="inlineStr">
        <is>
          <t>MAC Powder Blush Fever</t>
        </is>
      </c>
      <c r="C471" t="inlineStr">
        <is>
          <t>Blush</t>
        </is>
      </c>
      <c r="D471" t="inlineStr">
        <is>
          <t>Goldwell</t>
        </is>
      </c>
      <c r="E471" t="n">
        <v>20.01</v>
      </c>
      <c r="F471" t="n">
        <v>1</v>
      </c>
      <c r="G471" t="n">
        <v>7</v>
      </c>
      <c r="H471" s="5">
        <f>HYPERLINK("https://api.qogita.com/variants/link/0773602044450/", "View Product")</f>
        <v/>
      </c>
    </row>
    <row r="472">
      <c r="A472" t="inlineStr">
        <is>
          <t>0773602077618</t>
        </is>
      </c>
      <c r="B472" t="inlineStr">
        <is>
          <t>MAC Eye Shadow Antiqued 0.04oz</t>
        </is>
      </c>
      <c r="C472" t="inlineStr">
        <is>
          <t>Eyeshadow</t>
        </is>
      </c>
      <c r="D472" t="inlineStr">
        <is>
          <t>Mac</t>
        </is>
      </c>
      <c r="E472" t="n">
        <v>13.13</v>
      </c>
      <c r="F472" t="n">
        <v>1</v>
      </c>
      <c r="G472" t="n">
        <v>6</v>
      </c>
      <c r="H472" s="5">
        <f>HYPERLINK("https://api.qogita.com/variants/link/0773602077618/", "View Product")</f>
        <v/>
      </c>
    </row>
    <row r="473">
      <c r="A473" t="inlineStr">
        <is>
          <t>0773602102167</t>
        </is>
      </c>
      <c r="B473" t="inlineStr">
        <is>
          <t>MAC Stars 'N' Rockets Veluxe Pearl Eyeshadow Lavender Frost Global</t>
        </is>
      </c>
      <c r="C473" t="inlineStr">
        <is>
          <t>Eyeshadow</t>
        </is>
      </c>
      <c r="D473" t="inlineStr">
        <is>
          <t>Mac</t>
        </is>
      </c>
      <c r="E473" t="n">
        <v>13.13</v>
      </c>
      <c r="F473" t="n">
        <v>1</v>
      </c>
      <c r="G473" t="n">
        <v>4</v>
      </c>
      <c r="H473" s="5">
        <f>HYPERLINK("https://api.qogita.com/variants/link/0773602102167/", "View Product")</f>
        <v/>
      </c>
    </row>
    <row r="474">
      <c r="A474" t="inlineStr">
        <is>
          <t>0773602147007</t>
        </is>
      </c>
      <c r="B474" t="inlineStr">
        <is>
          <t>Mac Duo Eyelash Adhesive White/Clear 14g 0.5oz</t>
        </is>
      </c>
      <c r="C474" t="inlineStr">
        <is>
          <t>False Eyelashes</t>
        </is>
      </c>
      <c r="D474" t="inlineStr">
        <is>
          <t>Mac</t>
        </is>
      </c>
      <c r="E474" t="n">
        <v>7.63</v>
      </c>
      <c r="F474" t="n">
        <v>1</v>
      </c>
      <c r="G474" t="n">
        <v>16</v>
      </c>
      <c r="H474" s="5">
        <f>HYPERLINK("https://api.qogita.com/variants/link/0773602147007/", "View Product")</f>
        <v/>
      </c>
    </row>
    <row r="475">
      <c r="A475" t="inlineStr">
        <is>
          <t>0773602187188</t>
        </is>
      </c>
      <c r="B475" t="inlineStr">
        <is>
          <t>M.A.C Pigment Vanilla</t>
        </is>
      </c>
      <c r="C475" t="inlineStr">
        <is>
          <t>Eyeshadow</t>
        </is>
      </c>
      <c r="D475" t="inlineStr">
        <is>
          <t>MAC Cosmetics</t>
        </is>
      </c>
      <c r="E475" t="n">
        <v>20.31</v>
      </c>
      <c r="F475" t="n">
        <v>1</v>
      </c>
      <c r="G475" t="n">
        <v>8</v>
      </c>
      <c r="H475" s="5">
        <f>HYPERLINK("https://api.qogita.com/variants/link/0773602187188/", "View Product")</f>
        <v/>
      </c>
    </row>
    <row r="476">
      <c r="A476" t="inlineStr">
        <is>
          <t>0773602207169</t>
        </is>
      </c>
      <c r="B476" t="inlineStr">
        <is>
          <t>MAC Pro Longwear Concealer 9ml - Various Shades</t>
        </is>
      </c>
      <c r="C476" t="inlineStr">
        <is>
          <t>Concealer</t>
        </is>
      </c>
      <c r="D476" t="inlineStr">
        <is>
          <t>Mac</t>
        </is>
      </c>
      <c r="E476" t="n">
        <v>18.52</v>
      </c>
      <c r="F476" t="n">
        <v>1</v>
      </c>
      <c r="G476" t="n">
        <v>8</v>
      </c>
      <c r="H476" s="5">
        <f>HYPERLINK("https://api.qogita.com/variants/link/0773602207169/", "View Product")</f>
        <v/>
      </c>
    </row>
    <row r="477">
      <c r="A477" t="inlineStr">
        <is>
          <t>0773602279203</t>
        </is>
      </c>
      <c r="B477" t="inlineStr">
        <is>
          <t>M.A.C MAC Veluxe Brow Liner Deep Dark Brunette 0.042 ounce</t>
        </is>
      </c>
      <c r="C477" t="inlineStr">
        <is>
          <t>Eyebrow Pencil</t>
        </is>
      </c>
      <c r="D477" t="inlineStr">
        <is>
          <t>Mac</t>
        </is>
      </c>
      <c r="E477" t="n">
        <v>21.04</v>
      </c>
      <c r="F477" t="n">
        <v>1</v>
      </c>
      <c r="G477" t="n">
        <v>9</v>
      </c>
      <c r="H477" s="5">
        <f>HYPERLINK("https://api.qogita.com/variants/link/0773602279203/", "View Product")</f>
        <v/>
      </c>
    </row>
    <row r="478">
      <c r="A478" t="inlineStr">
        <is>
          <t>0773602307302</t>
        </is>
      </c>
      <c r="B478" t="inlineStr">
        <is>
          <t>MAC Pro Longwear Paint Pot Layin' Low</t>
        </is>
      </c>
      <c r="C478" t="inlineStr">
        <is>
          <t>Eyeshadow</t>
        </is>
      </c>
      <c r="D478" t="inlineStr">
        <is>
          <t>Mac</t>
        </is>
      </c>
      <c r="E478" t="n">
        <v>20.31</v>
      </c>
      <c r="F478" t="n">
        <v>1</v>
      </c>
      <c r="G478" t="n">
        <v>7</v>
      </c>
      <c r="H478" s="5">
        <f>HYPERLINK("https://api.qogita.com/variants/link/0773602307302/", "View Product")</f>
        <v/>
      </c>
    </row>
    <row r="479">
      <c r="A479" t="inlineStr">
        <is>
          <t>0773602308569</t>
        </is>
      </c>
      <c r="B479" t="inlineStr">
        <is>
          <t>MAC Shader Brush 231 by MAC</t>
        </is>
      </c>
      <c r="C479" t="inlineStr">
        <is>
          <t>Eyeshadow Brushes</t>
        </is>
      </c>
      <c r="D479" t="inlineStr">
        <is>
          <t>Mac</t>
        </is>
      </c>
      <c r="E479" t="n">
        <v>17</v>
      </c>
      <c r="F479" t="n">
        <v>1</v>
      </c>
      <c r="G479" t="n">
        <v>4</v>
      </c>
      <c r="H479" s="5">
        <f>HYPERLINK("https://api.qogita.com/variants/link/0773602308569/", "View Product")</f>
        <v/>
      </c>
    </row>
    <row r="480">
      <c r="A480" t="inlineStr">
        <is>
          <t>0773602337958</t>
        </is>
      </c>
      <c r="B480" t="inlineStr">
        <is>
          <t>MAC Mineralize Blush Dainty Pink 3.2g</t>
        </is>
      </c>
      <c r="C480" t="inlineStr">
        <is>
          <t>Blush</t>
        </is>
      </c>
      <c r="D480" t="inlineStr">
        <is>
          <t>Mac</t>
        </is>
      </c>
      <c r="E480" t="n">
        <v>24.76</v>
      </c>
      <c r="F480" t="n">
        <v>1</v>
      </c>
      <c r="G480" t="n">
        <v>9</v>
      </c>
      <c r="H480" s="5">
        <f>HYPERLINK("https://api.qogita.com/variants/link/0773602337958/", "View Product")</f>
        <v/>
      </c>
    </row>
    <row r="481">
      <c r="A481" t="inlineStr">
        <is>
          <t>0773602338733</t>
        </is>
      </c>
      <c r="B481" t="inlineStr">
        <is>
          <t>Mac Mineralize Skin Finish Natural Dark Tan Bronzing Powder</t>
        </is>
      </c>
      <c r="C481" t="inlineStr">
        <is>
          <t>Bronzer</t>
        </is>
      </c>
      <c r="D481" t="inlineStr">
        <is>
          <t>Mac</t>
        </is>
      </c>
      <c r="E481" t="n">
        <v>25.7</v>
      </c>
      <c r="F481" t="n">
        <v>1</v>
      </c>
      <c r="G481" t="n">
        <v>3</v>
      </c>
      <c r="H481" s="5">
        <f>HYPERLINK("https://api.qogita.com/variants/link/0773602338733/", "View Product")</f>
        <v/>
      </c>
    </row>
    <row r="482">
      <c r="A482" t="inlineStr">
        <is>
          <t>0773602367276</t>
        </is>
      </c>
      <c r="B482" t="inlineStr">
        <is>
          <t>MAC Studio Waterweight Foundation SPF30 NW15 30ml</t>
        </is>
      </c>
      <c r="C482" t="inlineStr">
        <is>
          <t>Foundation</t>
        </is>
      </c>
      <c r="D482" t="inlineStr">
        <is>
          <t>Mac</t>
        </is>
      </c>
      <c r="E482" t="n">
        <v>31.1</v>
      </c>
      <c r="F482" t="n">
        <v>1</v>
      </c>
      <c r="G482" t="n">
        <v>2</v>
      </c>
      <c r="H482" s="5">
        <f>HYPERLINK("https://api.qogita.com/variants/link/0773602367276/", "View Product")</f>
        <v/>
      </c>
    </row>
    <row r="483">
      <c r="A483" t="inlineStr">
        <is>
          <t>0773602367320</t>
        </is>
      </c>
      <c r="B483" t="inlineStr">
        <is>
          <t>MAC Studio Waterweight Foundation NW30 30ml</t>
        </is>
      </c>
      <c r="C483" t="inlineStr">
        <is>
          <t>Foundation</t>
        </is>
      </c>
      <c r="D483" t="inlineStr">
        <is>
          <t>L'Oréal Paris</t>
        </is>
      </c>
      <c r="E483" t="n">
        <v>25.69</v>
      </c>
      <c r="F483" t="n">
        <v>1</v>
      </c>
      <c r="G483" t="n">
        <v>4</v>
      </c>
      <c r="H483" s="5">
        <f>HYPERLINK("https://api.qogita.com/variants/link/0773602367320/", "View Product")</f>
        <v/>
      </c>
    </row>
    <row r="484">
      <c r="A484" t="inlineStr">
        <is>
          <t>0773602373161</t>
        </is>
      </c>
      <c r="B484" t="inlineStr">
        <is>
          <t>MAC Studio Waterweight Foundation NW43</t>
        </is>
      </c>
      <c r="C484" t="inlineStr">
        <is>
          <t>Foundation</t>
        </is>
      </c>
      <c r="D484" t="inlineStr">
        <is>
          <t>Mac</t>
        </is>
      </c>
      <c r="E484" t="n">
        <v>38.22</v>
      </c>
      <c r="F484" t="n">
        <v>1</v>
      </c>
      <c r="G484" t="n">
        <v>3</v>
      </c>
      <c r="H484" s="5">
        <f>HYPERLINK("https://api.qogita.com/variants/link/0773602373161/", "View Product")</f>
        <v/>
      </c>
    </row>
    <row r="485">
      <c r="A485" t="inlineStr">
        <is>
          <t>0773602373185</t>
        </is>
      </c>
      <c r="B485" t="inlineStr">
        <is>
          <t>Studio Waterweight SPF 30 Foundation</t>
        </is>
      </c>
      <c r="C485" t="inlineStr">
        <is>
          <t>Face Sun Protection</t>
        </is>
      </c>
      <c r="D485" t="inlineStr">
        <is>
          <t>Goldwell</t>
        </is>
      </c>
      <c r="E485" t="n">
        <v>38.22</v>
      </c>
      <c r="F485" t="n">
        <v>1</v>
      </c>
      <c r="G485" t="n">
        <v>3</v>
      </c>
      <c r="H485" s="5">
        <f>HYPERLINK("https://api.qogita.com/variants/link/0773602373185/", "View Product")</f>
        <v/>
      </c>
    </row>
    <row r="486">
      <c r="A486" t="inlineStr">
        <is>
          <t>0773602378609</t>
        </is>
      </c>
      <c r="B486" t="inlineStr">
        <is>
          <t>Extra Dimension Eye Shadow</t>
        </is>
      </c>
      <c r="C486" t="inlineStr">
        <is>
          <t>Eyeshadow</t>
        </is>
      </c>
      <c r="D486" t="inlineStr">
        <is>
          <t>MAC Cosmetics</t>
        </is>
      </c>
      <c r="E486" t="n">
        <v>17.22</v>
      </c>
      <c r="F486" t="n">
        <v>1</v>
      </c>
      <c r="G486" t="n">
        <v>2</v>
      </c>
      <c r="H486" s="5">
        <f>HYPERLINK("https://api.qogita.com/variants/link/0773602378609/", "View Product")</f>
        <v/>
      </c>
    </row>
    <row r="487">
      <c r="A487" t="inlineStr">
        <is>
          <t>0773602378746</t>
        </is>
      </c>
      <c r="B487" t="inlineStr">
        <is>
          <t>MAC Extra Dimension Eyeshadow Ready to Party</t>
        </is>
      </c>
      <c r="C487" t="inlineStr">
        <is>
          <t>Eyeshadow</t>
        </is>
      </c>
      <c r="D487" t="inlineStr">
        <is>
          <t>MAC Cosmetics</t>
        </is>
      </c>
      <c r="E487" t="n">
        <v>20.31</v>
      </c>
      <c r="F487" t="n">
        <v>1</v>
      </c>
      <c r="G487" t="n">
        <v>6</v>
      </c>
      <c r="H487" s="5">
        <f>HYPERLINK("https://api.qogita.com/variants/link/0773602378746/", "View Product")</f>
        <v/>
      </c>
    </row>
    <row r="488">
      <c r="A488" t="inlineStr">
        <is>
          <t>0773602378777</t>
        </is>
      </c>
      <c r="B488" t="inlineStr">
        <is>
          <t>Extra Dimension Eye Shadow</t>
        </is>
      </c>
      <c r="C488" t="inlineStr">
        <is>
          <t>Eyeshadow</t>
        </is>
      </c>
      <c r="D488" t="inlineStr">
        <is>
          <t>MAC Cosmetics</t>
        </is>
      </c>
      <c r="E488" t="n">
        <v>16.81</v>
      </c>
      <c r="F488" t="n">
        <v>1</v>
      </c>
      <c r="G488" t="n">
        <v>6</v>
      </c>
      <c r="H488" s="5">
        <f>HYPERLINK("https://api.qogita.com/variants/link/0773602378777/", "View Product")</f>
        <v/>
      </c>
    </row>
    <row r="489">
      <c r="A489" t="inlineStr">
        <is>
          <t>0773602387069</t>
        </is>
      </c>
      <c r="B489" t="inlineStr">
        <is>
          <t>Powder Blush Pink Swoon Satin</t>
        </is>
      </c>
      <c r="C489" t="inlineStr">
        <is>
          <t>Blush</t>
        </is>
      </c>
      <c r="D489" t="inlineStr">
        <is>
          <t>Mac</t>
        </is>
      </c>
      <c r="E489" t="n">
        <v>21.57</v>
      </c>
      <c r="F489" t="n">
        <v>1</v>
      </c>
      <c r="G489" t="n">
        <v>10</v>
      </c>
      <c r="H489" s="5">
        <f>HYPERLINK("https://api.qogita.com/variants/link/0773602387069/", "View Product")</f>
        <v/>
      </c>
    </row>
    <row r="490">
      <c r="A490" t="inlineStr">
        <is>
          <t>0773602429882</t>
        </is>
      </c>
      <c r="B490" t="inlineStr">
        <is>
          <t>MAC Extra Dimension Skinfinish Powder Show Gold Highlighter for Women 9g</t>
        </is>
      </c>
      <c r="C490" t="inlineStr">
        <is>
          <t>Highlighter</t>
        </is>
      </c>
      <c r="D490" t="inlineStr">
        <is>
          <t>Mac</t>
        </is>
      </c>
      <c r="E490" t="n">
        <v>29.2</v>
      </c>
      <c r="F490" t="n">
        <v>1</v>
      </c>
      <c r="G490" t="n">
        <v>2</v>
      </c>
      <c r="H490" s="5">
        <f>HYPERLINK("https://api.qogita.com/variants/link/0773602429882/", "View Product")</f>
        <v/>
      </c>
    </row>
    <row r="491">
      <c r="A491" t="inlineStr">
        <is>
          <t>0773602430079</t>
        </is>
      </c>
      <c r="B491" t="inlineStr">
        <is>
          <t>MAC Lip Pencil Vino 1.45g</t>
        </is>
      </c>
      <c r="C491" t="inlineStr">
        <is>
          <t>Lip Liner</t>
        </is>
      </c>
      <c r="D491" t="inlineStr">
        <is>
          <t>Mac</t>
        </is>
      </c>
      <c r="E491" t="n">
        <v>16.2</v>
      </c>
      <c r="F491" t="n">
        <v>1</v>
      </c>
      <c r="G491" t="n">
        <v>2</v>
      </c>
      <c r="H491" s="5">
        <f>HYPERLINK("https://api.qogita.com/variants/link/0773602430079/", "View Product")</f>
        <v/>
      </c>
    </row>
    <row r="492">
      <c r="A492" t="inlineStr">
        <is>
          <t>0773602431304</t>
        </is>
      </c>
      <c r="B492" t="inlineStr">
        <is>
          <t>MAC Powder Kiss Lipstick Burning Love 3g</t>
        </is>
      </c>
      <c r="C492" t="inlineStr">
        <is>
          <t>Lipstick</t>
        </is>
      </c>
      <c r="D492" t="inlineStr">
        <is>
          <t>Mac</t>
        </is>
      </c>
      <c r="E492" t="n">
        <v>19.52</v>
      </c>
      <c r="F492" t="n">
        <v>1</v>
      </c>
      <c r="G492" t="n">
        <v>4</v>
      </c>
      <c r="H492" s="5">
        <f>HYPERLINK("https://api.qogita.com/variants/link/0773602431304/", "View Product")</f>
        <v/>
      </c>
    </row>
    <row r="493">
      <c r="A493" t="inlineStr">
        <is>
          <t>0773602439850</t>
        </is>
      </c>
      <c r="B493" t="inlineStr">
        <is>
          <t>MAC Eye Shadow Suspiciously Sweet 1.5g</t>
        </is>
      </c>
      <c r="C493" t="inlineStr">
        <is>
          <t>Eyeshadow</t>
        </is>
      </c>
      <c r="D493" t="inlineStr">
        <is>
          <t>Mac</t>
        </is>
      </c>
      <c r="E493" t="n">
        <v>14.54</v>
      </c>
      <c r="F493" t="n">
        <v>1</v>
      </c>
      <c r="G493" t="n">
        <v>8</v>
      </c>
      <c r="H493" s="5">
        <f>HYPERLINK("https://api.qogita.com/variants/link/0773602439850/", "View Product")</f>
        <v/>
      </c>
    </row>
    <row r="494">
      <c r="A494" t="inlineStr">
        <is>
          <t>0773602439904</t>
        </is>
      </c>
      <c r="B494" t="inlineStr">
        <is>
          <t>MAC Eye Shadow New Crop Frost</t>
        </is>
      </c>
      <c r="C494" t="inlineStr">
        <is>
          <t>Eyeshadow</t>
        </is>
      </c>
      <c r="D494" t="inlineStr">
        <is>
          <t>MAC Cosmetics</t>
        </is>
      </c>
      <c r="E494" t="n">
        <v>14.54</v>
      </c>
      <c r="F494" t="n">
        <v>1</v>
      </c>
      <c r="G494" t="n">
        <v>3</v>
      </c>
      <c r="H494" s="5">
        <f>HYPERLINK("https://api.qogita.com/variants/link/0773602439904/", "View Product")</f>
        <v/>
      </c>
    </row>
    <row r="495">
      <c r="A495" t="inlineStr">
        <is>
          <t>0773602447282</t>
        </is>
      </c>
      <c r="B495" t="inlineStr">
        <is>
          <t>MAC Extra Dimension Rouge Apricot Shimmer - Brand New in Packaging Global Shipping!</t>
        </is>
      </c>
      <c r="C495" t="inlineStr">
        <is>
          <t>Blush</t>
        </is>
      </c>
      <c r="D495" t="inlineStr">
        <is>
          <t>Mac</t>
        </is>
      </c>
      <c r="E495" t="n">
        <v>22.67</v>
      </c>
      <c r="F495" t="n">
        <v>1</v>
      </c>
      <c r="G495" t="n">
        <v>9</v>
      </c>
      <c r="H495" s="5">
        <f>HYPERLINK("https://api.qogita.com/variants/link/0773602447282/", "View Product")</f>
        <v/>
      </c>
    </row>
    <row r="496">
      <c r="A496" t="inlineStr">
        <is>
          <t>0773602454570</t>
        </is>
      </c>
      <c r="B496" t="inlineStr">
        <is>
          <t>MAC 184S Duo Fibre Fan Brush</t>
        </is>
      </c>
      <c r="C496" t="inlineStr">
        <is>
          <t>Powder Brushes</t>
        </is>
      </c>
      <c r="D496" t="inlineStr">
        <is>
          <t>Mac</t>
        </is>
      </c>
      <c r="E496" t="n">
        <v>18.87</v>
      </c>
      <c r="F496" t="n">
        <v>1</v>
      </c>
      <c r="G496" t="n">
        <v>4</v>
      </c>
      <c r="H496" s="5">
        <f>HYPERLINK("https://api.qogita.com/variants/link/0773602454570/", "View Product")</f>
        <v/>
      </c>
    </row>
    <row r="497">
      <c r="A497" t="inlineStr">
        <is>
          <t>0773602454709</t>
        </is>
      </c>
      <c r="B497" t="inlineStr">
        <is>
          <t>MAC 217 Synthetic Blending Brush</t>
        </is>
      </c>
      <c r="C497" t="inlineStr">
        <is>
          <t>Eyeshadow Brushes</t>
        </is>
      </c>
      <c r="D497" t="inlineStr">
        <is>
          <t>Mac</t>
        </is>
      </c>
      <c r="E497" t="n">
        <v>17.09</v>
      </c>
      <c r="F497" t="n">
        <v>1</v>
      </c>
      <c r="G497" t="n">
        <v>3</v>
      </c>
      <c r="H497" s="5">
        <f>HYPERLINK("https://api.qogita.com/variants/link/0773602454709/", "View Product")</f>
        <v/>
      </c>
    </row>
    <row r="498">
      <c r="A498" t="inlineStr">
        <is>
          <t>0773602458141</t>
        </is>
      </c>
      <c r="B498" t="inlineStr">
        <is>
          <t>MAC Mineralize Sweet Enough Blush for Women 0.1 oz</t>
        </is>
      </c>
      <c r="C498" t="inlineStr">
        <is>
          <t>Blush</t>
        </is>
      </c>
      <c r="D498" t="inlineStr">
        <is>
          <t>Mac</t>
        </is>
      </c>
      <c r="E498" t="n">
        <v>24.76</v>
      </c>
      <c r="F498" t="n">
        <v>1</v>
      </c>
      <c r="G498" t="n">
        <v>5</v>
      </c>
      <c r="H498" s="5">
        <f>HYPERLINK("https://api.qogita.com/variants/link/0773602458141/", "View Product")</f>
        <v/>
      </c>
    </row>
    <row r="499">
      <c r="A499" t="inlineStr">
        <is>
          <t>0773602458189</t>
        </is>
      </c>
      <c r="B499" t="inlineStr">
        <is>
          <t>MAC Mineralize Blush Happy Go Rosy Blush Women 0.11 oz</t>
        </is>
      </c>
      <c r="C499" t="inlineStr">
        <is>
          <t>Blush</t>
        </is>
      </c>
      <c r="D499" t="inlineStr">
        <is>
          <t>Mac</t>
        </is>
      </c>
      <c r="E499" t="n">
        <v>22.93</v>
      </c>
      <c r="F499" t="n">
        <v>1</v>
      </c>
      <c r="G499" t="n">
        <v>7</v>
      </c>
      <c r="H499" s="5">
        <f>HYPERLINK("https://api.qogita.com/variants/link/0773602458189/", "View Product")</f>
        <v/>
      </c>
    </row>
    <row r="500">
      <c r="A500" t="inlineStr">
        <is>
          <t>0773602470808</t>
        </is>
      </c>
      <c r="B500" t="inlineStr">
        <is>
          <t>MAC Synthetic Eyeshadow Brush 242S</t>
        </is>
      </c>
      <c r="C500" t="inlineStr">
        <is>
          <t>Eyeshadow Brushes</t>
        </is>
      </c>
      <c r="D500" t="inlineStr">
        <is>
          <t>Mac</t>
        </is>
      </c>
      <c r="E500" t="n">
        <v>17.62</v>
      </c>
      <c r="F500" t="n">
        <v>1</v>
      </c>
      <c r="G500" t="n">
        <v>5</v>
      </c>
      <c r="H500" s="5">
        <f>HYPERLINK("https://api.qogita.com/variants/link/0773602470808/", "View Product")</f>
        <v/>
      </c>
    </row>
    <row r="501">
      <c r="A501" t="inlineStr">
        <is>
          <t>0773602507047</t>
        </is>
      </c>
      <c r="B501" t="inlineStr">
        <is>
          <t>Ultra Shiny Eye Shadows (Dazzleshadow Liquid) 4.6 grams Shade Flash and Dash</t>
        </is>
      </c>
      <c r="C501" t="inlineStr">
        <is>
          <t>Eyeshadow</t>
        </is>
      </c>
      <c r="D501" t="inlineStr">
        <is>
          <t>Mac</t>
        </is>
      </c>
      <c r="E501" t="n">
        <v>18.25</v>
      </c>
      <c r="F501" t="n">
        <v>1</v>
      </c>
      <c r="G501" t="n">
        <v>6</v>
      </c>
      <c r="H501" s="5">
        <f>HYPERLINK("https://api.qogita.com/variants/link/0773602507047/", "View Product")</f>
        <v/>
      </c>
    </row>
    <row r="502">
      <c r="A502" t="inlineStr">
        <is>
          <t>0773602507061</t>
        </is>
      </c>
      <c r="B502" t="inlineStr">
        <is>
          <t>Mac Dazzleshadow Liquid Boxed Glitter Eyeshadow Love Yourself</t>
        </is>
      </c>
      <c r="C502" t="inlineStr">
        <is>
          <t>Eyeshadow</t>
        </is>
      </c>
      <c r="D502" t="inlineStr">
        <is>
          <t>Mac</t>
        </is>
      </c>
      <c r="E502" t="n">
        <v>15.03</v>
      </c>
      <c r="F502" t="n">
        <v>1</v>
      </c>
      <c r="G502" t="n">
        <v>6</v>
      </c>
      <c r="H502" s="5">
        <f>HYPERLINK("https://api.qogita.com/variants/link/0773602507061/", "View Product")</f>
        <v/>
      </c>
    </row>
    <row r="503">
      <c r="A503" t="inlineStr">
        <is>
          <t>0773602507085</t>
        </is>
      </c>
      <c r="B503" t="inlineStr">
        <is>
          <t>MAC Dazzle Shadow Liquid Full Size 0.16oz/4.6g New in Box - Choose Shade</t>
        </is>
      </c>
      <c r="C503" t="inlineStr">
        <is>
          <t>Eyeshadow</t>
        </is>
      </c>
      <c r="D503" t="inlineStr">
        <is>
          <t>Mac</t>
        </is>
      </c>
      <c r="E503" t="n">
        <v>17.54</v>
      </c>
      <c r="F503" t="n">
        <v>1</v>
      </c>
      <c r="G503" t="n">
        <v>3</v>
      </c>
      <c r="H503" s="5">
        <f>HYPERLINK("https://api.qogita.com/variants/link/0773602507085/", "View Product")</f>
        <v/>
      </c>
    </row>
    <row r="504">
      <c r="A504" t="inlineStr">
        <is>
          <t>0773602516537</t>
        </is>
      </c>
      <c r="B504" t="inlineStr">
        <is>
          <t>MAC Diamond Crumbles Dazzleshadow Liquid Eyeshadow</t>
        </is>
      </c>
      <c r="C504" t="inlineStr">
        <is>
          <t>Eyeshadow</t>
        </is>
      </c>
      <c r="D504" t="inlineStr">
        <is>
          <t>MAC Cosmetics</t>
        </is>
      </c>
      <c r="E504" t="n">
        <v>19.75</v>
      </c>
      <c r="F504" t="n">
        <v>1</v>
      </c>
      <c r="G504" t="n">
        <v>8</v>
      </c>
      <c r="H504" s="5">
        <f>HYPERLINK("https://api.qogita.com/variants/link/0773602516537/", "View Product")</f>
        <v/>
      </c>
    </row>
    <row r="505">
      <c r="A505" t="inlineStr">
        <is>
          <t>0773602527427</t>
        </is>
      </c>
      <c r="B505" t="inlineStr">
        <is>
          <t>MAC 270 Synthetic Mini Rounded Slant Brush</t>
        </is>
      </c>
      <c r="C505" t="inlineStr">
        <is>
          <t>Foundation Brushes</t>
        </is>
      </c>
      <c r="D505" t="inlineStr">
        <is>
          <t>Mac</t>
        </is>
      </c>
      <c r="E505" t="n">
        <v>32.77</v>
      </c>
      <c r="F505" t="n">
        <v>1</v>
      </c>
      <c r="G505" t="n">
        <v>4</v>
      </c>
      <c r="H505" s="5">
        <f>HYPERLINK("https://api.qogita.com/variants/link/0773602527427/", "View Product")</f>
        <v/>
      </c>
    </row>
    <row r="506">
      <c r="A506" t="inlineStr">
        <is>
          <t>0773602531653</t>
        </is>
      </c>
      <c r="B506" t="inlineStr">
        <is>
          <t>MAC Studio Fix 24 Hour Smooth Wear Concealer NC48</t>
        </is>
      </c>
      <c r="C506" t="inlineStr">
        <is>
          <t>Concealer</t>
        </is>
      </c>
      <c r="D506" t="inlineStr">
        <is>
          <t>Mac</t>
        </is>
      </c>
      <c r="E506" t="n">
        <v>15.78</v>
      </c>
      <c r="F506" t="n">
        <v>1</v>
      </c>
      <c r="G506" t="n">
        <v>7</v>
      </c>
      <c r="H506" s="5">
        <f>HYPERLINK("https://api.qogita.com/variants/link/0773602531653/", "View Product")</f>
        <v/>
      </c>
    </row>
    <row r="507">
      <c r="A507" t="inlineStr">
        <is>
          <t>0773602531660</t>
        </is>
      </c>
      <c r="B507" t="inlineStr">
        <is>
          <t>MAC Studio Fix 24-Hour Smooth Wear Concealer 7ml NC55</t>
        </is>
      </c>
      <c r="C507" t="inlineStr">
        <is>
          <t>Concealer</t>
        </is>
      </c>
      <c r="D507" t="inlineStr">
        <is>
          <t>MAC Cosmetics</t>
        </is>
      </c>
      <c r="E507" t="n">
        <v>15.78</v>
      </c>
      <c r="F507" t="n">
        <v>1</v>
      </c>
      <c r="G507" t="n">
        <v>8</v>
      </c>
      <c r="H507" s="5">
        <f>HYPERLINK("https://api.qogita.com/variants/link/0773602531660/", "View Product")</f>
        <v/>
      </c>
    </row>
    <row r="508">
      <c r="A508" t="inlineStr">
        <is>
          <t>0773602543878</t>
        </is>
      </c>
      <c r="B508" t="inlineStr">
        <is>
          <t>Brushstroke 24-Hour Liquid Eyeliner 01 Black</t>
        </is>
      </c>
      <c r="C508" t="inlineStr">
        <is>
          <t>Eyeliner</t>
        </is>
      </c>
      <c r="D508" t="inlineStr">
        <is>
          <t>Mac</t>
        </is>
      </c>
      <c r="E508" t="n">
        <v>17.79</v>
      </c>
      <c r="F508" t="n">
        <v>1</v>
      </c>
      <c r="G508" t="n">
        <v>26</v>
      </c>
      <c r="H508" s="5">
        <f>HYPERLINK("https://api.qogita.com/variants/link/0773602543878/", "View Product")</f>
        <v/>
      </c>
    </row>
    <row r="509">
      <c r="A509" t="inlineStr">
        <is>
          <t>0773602545315</t>
        </is>
      </c>
      <c r="B509" t="inlineStr">
        <is>
          <t>Mac Eye Lash - New In Box</t>
        </is>
      </c>
      <c r="C509" t="inlineStr">
        <is>
          <t>False Eyelashes</t>
        </is>
      </c>
      <c r="D509" t="inlineStr">
        <is>
          <t>Mac</t>
        </is>
      </c>
      <c r="E509" t="n">
        <v>10.91</v>
      </c>
      <c r="F509" t="n">
        <v>1</v>
      </c>
      <c r="G509" t="n">
        <v>10</v>
      </c>
      <c r="H509" s="5">
        <f>HYPERLINK("https://api.qogita.com/variants/link/0773602545315/", "View Product")</f>
        <v/>
      </c>
    </row>
    <row r="510">
      <c r="A510" t="inlineStr">
        <is>
          <t>0773602550241</t>
        </is>
      </c>
      <c r="B510" t="inlineStr">
        <is>
          <t>MAC Nude Model Frost Eyeshadow - New in Box</t>
        </is>
      </c>
      <c r="C510" t="inlineStr">
        <is>
          <t>Eyeshadow</t>
        </is>
      </c>
      <c r="D510" t="inlineStr">
        <is>
          <t>Mac</t>
        </is>
      </c>
      <c r="E510" t="n">
        <v>15.88</v>
      </c>
      <c r="F510" t="n">
        <v>1</v>
      </c>
      <c r="G510" t="n">
        <v>5</v>
      </c>
      <c r="H510" s="5">
        <f>HYPERLINK("https://api.qogita.com/variants/link/0773602550241/", "View Product")</f>
        <v/>
      </c>
    </row>
    <row r="511">
      <c r="A511" t="inlineStr">
        <is>
          <t>0773602560066</t>
        </is>
      </c>
      <c r="B511" t="inlineStr">
        <is>
          <t>MAC Cosmetics Brow Gel Spiked 0.21oz</t>
        </is>
      </c>
      <c r="C511" t="inlineStr">
        <is>
          <t>Eyebrow Gel</t>
        </is>
      </c>
      <c r="D511" t="inlineStr">
        <is>
          <t>Mac</t>
        </is>
      </c>
      <c r="E511" t="n">
        <v>20.95</v>
      </c>
      <c r="F511" t="n">
        <v>1</v>
      </c>
      <c r="G511" t="n">
        <v>2</v>
      </c>
      <c r="H511" s="5">
        <f>HYPERLINK("https://api.qogita.com/variants/link/0773602560066/", "View Product")</f>
        <v/>
      </c>
    </row>
    <row r="512">
      <c r="A512" t="inlineStr">
        <is>
          <t>0773602567638</t>
        </is>
      </c>
      <c r="B512" t="inlineStr">
        <is>
          <t>MAC Cosmetics Dazzle Shadow Extreme Couture Copper SuperDeal 1.5g</t>
        </is>
      </c>
      <c r="C512" t="inlineStr">
        <is>
          <t>Eyeshadow</t>
        </is>
      </c>
      <c r="D512" t="inlineStr">
        <is>
          <t>Mac</t>
        </is>
      </c>
      <c r="E512" t="n">
        <v>14.86</v>
      </c>
      <c r="F512" t="n">
        <v>1</v>
      </c>
      <c r="G512" t="n">
        <v>5</v>
      </c>
      <c r="H512" s="5">
        <f>HYPERLINK("https://api.qogita.com/variants/link/0773602567638/", "View Product")</f>
        <v/>
      </c>
    </row>
    <row r="513">
      <c r="A513" t="inlineStr">
        <is>
          <t>0773602567942</t>
        </is>
      </c>
      <c r="B513" t="inlineStr">
        <is>
          <t>MAC Powder Kiss Liquid Lipcolor Over the Taupe 997 Full Size 0.17oz Lip Color</t>
        </is>
      </c>
      <c r="C513" t="inlineStr">
        <is>
          <t>Lipstick</t>
        </is>
      </c>
      <c r="D513" t="inlineStr">
        <is>
          <t>Mac</t>
        </is>
      </c>
      <c r="E513" t="n">
        <v>21.15</v>
      </c>
      <c r="F513" t="n">
        <v>1</v>
      </c>
      <c r="G513" t="n">
        <v>6</v>
      </c>
      <c r="H513" s="5">
        <f>HYPERLINK("https://api.qogita.com/variants/link/0773602567942/", "View Product")</f>
        <v/>
      </c>
    </row>
    <row r="514">
      <c r="A514" t="inlineStr">
        <is>
          <t>0773602568567</t>
        </is>
      </c>
      <c r="B514" t="inlineStr">
        <is>
          <t>MAC Pro Longwear Paint Pot It's Fabstract Dark Chocolate Brown 0.17oz 5g</t>
        </is>
      </c>
      <c r="C514" t="inlineStr">
        <is>
          <t>Eyeshadow</t>
        </is>
      </c>
      <c r="D514" t="inlineStr">
        <is>
          <t>MAC Cosmetics</t>
        </is>
      </c>
      <c r="E514" t="n">
        <v>21.05</v>
      </c>
      <c r="F514" t="n">
        <v>1</v>
      </c>
      <c r="G514" t="n">
        <v>11</v>
      </c>
      <c r="H514" s="5">
        <f>HYPERLINK("https://api.qogita.com/variants/link/0773602568567/", "View Product")</f>
        <v/>
      </c>
    </row>
    <row r="515">
      <c r="A515" t="inlineStr">
        <is>
          <t>0773602576241</t>
        </is>
      </c>
      <c r="B515" t="inlineStr">
        <is>
          <t>MAC Powder Kiss Eyeshadow My Tweedy Eye Shadow Women 0.05 oz</t>
        </is>
      </c>
      <c r="C515" t="inlineStr">
        <is>
          <t>Eyeshadow</t>
        </is>
      </c>
      <c r="D515" t="inlineStr">
        <is>
          <t>Mac</t>
        </is>
      </c>
      <c r="E515" t="n">
        <v>14.18</v>
      </c>
      <c r="F515" t="n">
        <v>1</v>
      </c>
      <c r="G515" t="n">
        <v>3</v>
      </c>
      <c r="H515" s="5">
        <f>HYPERLINK("https://api.qogita.com/variants/link/0773602576241/", "View Product")</f>
        <v/>
      </c>
    </row>
    <row r="516">
      <c r="A516" t="inlineStr">
        <is>
          <t>0773602576258</t>
        </is>
      </c>
      <c r="B516" t="inlineStr">
        <is>
          <t>MAC Powder Kiss Eyeshadow What Clout Eye Shadow Women 0.05 oz</t>
        </is>
      </c>
      <c r="C516" t="inlineStr">
        <is>
          <t>Eyeshadow</t>
        </is>
      </c>
      <c r="D516" t="inlineStr">
        <is>
          <t>Mac</t>
        </is>
      </c>
      <c r="E516" t="n">
        <v>14.71</v>
      </c>
      <c r="F516" t="n">
        <v>1</v>
      </c>
      <c r="G516" t="n">
        <v>6</v>
      </c>
      <c r="H516" s="5">
        <f>HYPERLINK("https://api.qogita.com/variants/link/0773602576258/", "View Product")</f>
        <v/>
      </c>
    </row>
    <row r="517">
      <c r="A517" t="inlineStr">
        <is>
          <t>0773602576272</t>
        </is>
      </c>
      <c r="B517" t="inlineStr">
        <is>
          <t>MAC Eye Shadow Dazzle Powder Extra 100% Authentic NIB</t>
        </is>
      </c>
      <c r="C517" t="inlineStr">
        <is>
          <t>Eyeshadow</t>
        </is>
      </c>
      <c r="D517" t="inlineStr">
        <is>
          <t>Revolution</t>
        </is>
      </c>
      <c r="E517" t="n">
        <v>15.31</v>
      </c>
      <c r="F517" t="n">
        <v>1</v>
      </c>
      <c r="G517" t="n">
        <v>3</v>
      </c>
      <c r="H517" s="5">
        <f>HYPERLINK("https://api.qogita.com/variants/link/0773602576272/", "View Product")</f>
        <v/>
      </c>
    </row>
    <row r="518">
      <c r="A518" t="inlineStr">
        <is>
          <t>0773602581122</t>
        </is>
      </c>
      <c r="B518" t="inlineStr">
        <is>
          <t>MAC Powder Eyeshadow Soft Matte Kiss Good Jeans 0.05 Ounce - New in Box</t>
        </is>
      </c>
      <c r="C518" t="inlineStr">
        <is>
          <t>Eyeshadow</t>
        </is>
      </c>
      <c r="D518" t="inlineStr">
        <is>
          <t>Mac</t>
        </is>
      </c>
      <c r="E518" t="n">
        <v>14.36</v>
      </c>
      <c r="F518" t="n">
        <v>1</v>
      </c>
      <c r="G518" t="n">
        <v>4</v>
      </c>
      <c r="H518" s="5">
        <f>HYPERLINK("https://api.qogita.com/variants/link/0773602581122/", "View Product")</f>
        <v/>
      </c>
    </row>
    <row r="519">
      <c r="A519" t="inlineStr">
        <is>
          <t>0773602581351</t>
        </is>
      </c>
      <c r="B519" t="inlineStr">
        <is>
          <t>MAC Powder Kiss Soft Matte Eye Shadow Refill Pan Good Jeans 0.05 oz 1.5g</t>
        </is>
      </c>
      <c r="C519" t="inlineStr">
        <is>
          <t>Eyeshadow</t>
        </is>
      </c>
      <c r="D519" t="inlineStr">
        <is>
          <t>Mac</t>
        </is>
      </c>
      <c r="E519" t="n">
        <v>10.78</v>
      </c>
      <c r="F519" t="n">
        <v>1</v>
      </c>
      <c r="G519" t="n">
        <v>5</v>
      </c>
      <c r="H519" s="5">
        <f>HYPERLINK("https://api.qogita.com/variants/link/0773602581351/", "View Product")</f>
        <v/>
      </c>
    </row>
    <row r="520">
      <c r="A520" t="inlineStr">
        <is>
          <t>0773602582969</t>
        </is>
      </c>
      <c r="B520" t="inlineStr">
        <is>
          <t>MAC Studio Fix Tech Cream-To-Powder Foundation NC30 10g</t>
        </is>
      </c>
      <c r="C520" t="inlineStr">
        <is>
          <t>Foundation</t>
        </is>
      </c>
      <c r="D520" t="inlineStr">
        <is>
          <t>Mac</t>
        </is>
      </c>
      <c r="E520" t="n">
        <v>27.93</v>
      </c>
      <c r="F520" t="n">
        <v>1</v>
      </c>
      <c r="G520" t="n">
        <v>5</v>
      </c>
      <c r="H520" s="5">
        <f>HYPERLINK("https://api.qogita.com/variants/link/0773602582969/", "View Product")</f>
        <v/>
      </c>
    </row>
    <row r="521">
      <c r="A521" t="inlineStr">
        <is>
          <t>0773602583188</t>
        </is>
      </c>
      <c r="B521" t="inlineStr">
        <is>
          <t>Mac Cosmetics Studio Fix Tech Cream-To-Powder Foundation - 10 Grams</t>
        </is>
      </c>
      <c r="C521" t="inlineStr">
        <is>
          <t>Foundation</t>
        </is>
      </c>
      <c r="D521" t="inlineStr">
        <is>
          <t>MAC Cosmetics</t>
        </is>
      </c>
      <c r="E521" t="n">
        <v>26.29</v>
      </c>
      <c r="F521" t="n">
        <v>1</v>
      </c>
      <c r="G521" t="n">
        <v>8</v>
      </c>
      <c r="H521" s="5">
        <f>HYPERLINK("https://api.qogita.com/variants/link/0773602583188/", "View Product")</f>
        <v/>
      </c>
    </row>
    <row r="522">
      <c r="A522" t="inlineStr">
        <is>
          <t>0773602588800</t>
        </is>
      </c>
      <c r="B522" t="inlineStr">
        <is>
          <t>MAC Powder Kiss Lipstick by MAC 0.1 Ounce</t>
        </is>
      </c>
      <c r="C522" t="inlineStr">
        <is>
          <t>Lipstick</t>
        </is>
      </c>
      <c r="D522" t="inlineStr">
        <is>
          <t>Mac</t>
        </is>
      </c>
      <c r="E522" t="n">
        <v>19.04</v>
      </c>
      <c r="F522" t="n">
        <v>1</v>
      </c>
      <c r="G522" t="n">
        <v>3</v>
      </c>
      <c r="H522" s="5">
        <f>HYPERLINK("https://api.qogita.com/variants/link/0773602588800/", "View Product")</f>
        <v/>
      </c>
    </row>
    <row r="523">
      <c r="A523" t="inlineStr">
        <is>
          <t>0773602594382</t>
        </is>
      </c>
      <c r="B523" t="inlineStr">
        <is>
          <t>MAC Colour Excess Gel Pencil 0.35gm 0.01oz</t>
        </is>
      </c>
      <c r="C523" t="inlineStr">
        <is>
          <t>Eye Pencil</t>
        </is>
      </c>
      <c r="D523" t="inlineStr">
        <is>
          <t>Mac</t>
        </is>
      </c>
      <c r="E523" t="n">
        <v>17.79</v>
      </c>
      <c r="F523" t="n">
        <v>1</v>
      </c>
      <c r="G523" t="n">
        <v>3</v>
      </c>
      <c r="H523" s="5">
        <f>HYPERLINK("https://api.qogita.com/variants/link/0773602594382/", "View Product")</f>
        <v/>
      </c>
    </row>
    <row r="524">
      <c r="A524" t="inlineStr">
        <is>
          <t>0773602594399</t>
        </is>
      </c>
      <c r="B524" t="inlineStr">
        <is>
          <t>Authentic MAC Colour Excess Gel Pencil Eye Liner Full Sleeve 0.01oz</t>
        </is>
      </c>
      <c r="C524" t="inlineStr">
        <is>
          <t>Eyeliner</t>
        </is>
      </c>
      <c r="D524" t="inlineStr">
        <is>
          <t>Mac</t>
        </is>
      </c>
      <c r="E524" t="n">
        <v>14.87</v>
      </c>
      <c r="F524" t="n">
        <v>1</v>
      </c>
      <c r="G524" t="n">
        <v>2</v>
      </c>
      <c r="H524" s="5">
        <f>HYPERLINK("https://api.qogita.com/variants/link/0773602594399/", "View Product")</f>
        <v/>
      </c>
    </row>
    <row r="525">
      <c r="A525" t="inlineStr">
        <is>
          <t>0773602594412</t>
        </is>
      </c>
      <c r="B525" t="inlineStr">
        <is>
          <t>MAC Color Excess Gel Pencil Eye Liner COMMITMENT ISSUES 0.01oz</t>
        </is>
      </c>
      <c r="C525" t="inlineStr">
        <is>
          <t>Eyeliner</t>
        </is>
      </c>
      <c r="D525" t="inlineStr">
        <is>
          <t>Mac</t>
        </is>
      </c>
      <c r="E525" t="n">
        <v>17.03</v>
      </c>
      <c r="F525" t="n">
        <v>1</v>
      </c>
      <c r="G525" t="n">
        <v>8</v>
      </c>
      <c r="H525" s="5">
        <f>HYPERLINK("https://api.qogita.com/variants/link/0773602594412/", "View Product")</f>
        <v/>
      </c>
    </row>
    <row r="526">
      <c r="A526" t="inlineStr">
        <is>
          <t>0773602604340</t>
        </is>
      </c>
      <c r="B526" t="inlineStr">
        <is>
          <t>Mac Cosmetics Pro Longwear Paint Pot - 5 Grams</t>
        </is>
      </c>
      <c r="C526" t="inlineStr">
        <is>
          <t>Eyeshadow</t>
        </is>
      </c>
      <c r="D526" t="inlineStr">
        <is>
          <t>MAC Cosmetics</t>
        </is>
      </c>
      <c r="E526" t="n">
        <v>20.31</v>
      </c>
      <c r="F526" t="n">
        <v>1</v>
      </c>
      <c r="G526" t="n">
        <v>7</v>
      </c>
      <c r="H526" s="5">
        <f>HYPERLINK("https://api.qogita.com/variants/link/0773602604340/", "View Product")</f>
        <v/>
      </c>
    </row>
    <row r="527">
      <c r="A527" t="inlineStr">
        <is>
          <t>0773602606108</t>
        </is>
      </c>
      <c r="B527" t="inlineStr">
        <is>
          <t>Mac Lash 85 Sexpot Artificial Eyelashes</t>
        </is>
      </c>
      <c r="C527" t="inlineStr">
        <is>
          <t>False Eyelashes</t>
        </is>
      </c>
      <c r="D527" t="inlineStr">
        <is>
          <t>Mac</t>
        </is>
      </c>
      <c r="E527" t="n">
        <v>10.65</v>
      </c>
      <c r="F527" t="n">
        <v>1</v>
      </c>
      <c r="G527" t="n">
        <v>3</v>
      </c>
      <c r="H527" s="5">
        <f>HYPERLINK("https://api.qogita.com/variants/link/0773602606108/", "View Product")</f>
        <v/>
      </c>
    </row>
    <row r="528">
      <c r="A528" t="inlineStr">
        <is>
          <t>0773602609802</t>
        </is>
      </c>
      <c r="B528" t="inlineStr">
        <is>
          <t>MAC Lustreglass Sheer Shine Lipstick Sellout Women 0.1oz</t>
        </is>
      </c>
      <c r="C528" t="inlineStr">
        <is>
          <t>Lipstick</t>
        </is>
      </c>
      <c r="D528" t="inlineStr">
        <is>
          <t>Mac</t>
        </is>
      </c>
      <c r="E528" t="n">
        <v>19.04</v>
      </c>
      <c r="F528" t="n">
        <v>1</v>
      </c>
      <c r="G528" t="n">
        <v>9</v>
      </c>
      <c r="H528" s="5">
        <f>HYPERLINK("https://api.qogita.com/variants/link/0773602609802/", "View Product")</f>
        <v/>
      </c>
    </row>
    <row r="529">
      <c r="A529" t="inlineStr">
        <is>
          <t>0773602609918</t>
        </is>
      </c>
      <c r="B529" t="inlineStr">
        <is>
          <t>Mac Lustreglass Lipstick #548 Beam There Done That 3g 0.10oz - New</t>
        </is>
      </c>
      <c r="C529" t="inlineStr">
        <is>
          <t>Lipstick</t>
        </is>
      </c>
      <c r="D529" t="inlineStr">
        <is>
          <t>Mac</t>
        </is>
      </c>
      <c r="E529" t="n">
        <v>19.04</v>
      </c>
      <c r="F529" t="n">
        <v>1</v>
      </c>
      <c r="G529" t="n">
        <v>12</v>
      </c>
      <c r="H529" s="5">
        <f>HYPERLINK("https://api.qogita.com/variants/link/0773602609918/", "View Product")</f>
        <v/>
      </c>
    </row>
    <row r="530">
      <c r="A530" t="inlineStr">
        <is>
          <t>0773602609963</t>
        </is>
      </c>
      <c r="B530" t="inlineStr">
        <is>
          <t>MAC Lustreglass Sheer Shine Lipstick 549 PDA Warm Coppery Red</t>
        </is>
      </c>
      <c r="C530" t="inlineStr">
        <is>
          <t>Lipstick</t>
        </is>
      </c>
      <c r="D530" t="inlineStr">
        <is>
          <t>Mac</t>
        </is>
      </c>
      <c r="E530" t="n">
        <v>18.44</v>
      </c>
      <c r="F530" t="n">
        <v>1</v>
      </c>
      <c r="G530" t="n">
        <v>9</v>
      </c>
      <c r="H530" s="5">
        <f>HYPERLINK("https://api.qogita.com/variants/link/0773602609963/", "View Product")</f>
        <v/>
      </c>
    </row>
    <row r="531">
      <c r="A531" t="inlineStr">
        <is>
          <t>0773602610051</t>
        </is>
      </c>
      <c r="B531" t="inlineStr">
        <is>
          <t>MAC Lustreglass Sheer Shine Lipstick Syrup for Women 0.1oz</t>
        </is>
      </c>
      <c r="C531" t="inlineStr">
        <is>
          <t>Lipstick</t>
        </is>
      </c>
      <c r="D531" t="inlineStr">
        <is>
          <t>Mac</t>
        </is>
      </c>
      <c r="E531" t="n">
        <v>19.04</v>
      </c>
      <c r="F531" t="n">
        <v>1</v>
      </c>
      <c r="G531" t="n">
        <v>5</v>
      </c>
      <c r="H531" s="5">
        <f>HYPERLINK("https://api.qogita.com/variants/link/0773602610051/", "View Product")</f>
        <v/>
      </c>
    </row>
    <row r="532">
      <c r="A532" t="inlineStr">
        <is>
          <t>0773602610679</t>
        </is>
      </c>
      <c r="B532" t="inlineStr">
        <is>
          <t>MAC Cosmetics Studio Radiance Face and Body Radiant Sheer Foundation - Color: C8, Size: 50 ml</t>
        </is>
      </c>
      <c r="C532" t="inlineStr">
        <is>
          <t>Foundation</t>
        </is>
      </c>
      <c r="D532" t="inlineStr">
        <is>
          <t>Mac</t>
        </is>
      </c>
      <c r="E532" t="n">
        <v>27.15</v>
      </c>
      <c r="F532" t="n">
        <v>1</v>
      </c>
      <c r="G532" t="n">
        <v>5</v>
      </c>
      <c r="H532" s="5">
        <f>HYPERLINK("https://api.qogita.com/variants/link/0773602610679/", "View Product")</f>
        <v/>
      </c>
    </row>
    <row r="533">
      <c r="A533" t="inlineStr">
        <is>
          <t>0773602610686</t>
        </is>
      </c>
      <c r="B533" t="inlineStr">
        <is>
          <t>M.A.C Studio Radiance Face and Body Radiant Sheer Foundation C9 50ml</t>
        </is>
      </c>
      <c r="C533" t="inlineStr">
        <is>
          <t>Foundation</t>
        </is>
      </c>
      <c r="D533" t="inlineStr">
        <is>
          <t>MAC Cosmetics</t>
        </is>
      </c>
      <c r="E533" t="n">
        <v>24.95</v>
      </c>
      <c r="F533" t="n">
        <v>1</v>
      </c>
      <c r="G533" t="n">
        <v>4</v>
      </c>
      <c r="H533" s="5">
        <f>HYPERLINK("https://api.qogita.com/variants/link/0773602610686/", "View Product")</f>
        <v/>
      </c>
    </row>
    <row r="534">
      <c r="A534" t="inlineStr">
        <is>
          <t>0773602642878</t>
        </is>
      </c>
      <c r="B534" t="inlineStr">
        <is>
          <t>MAC Studio Fix Fluid SPF 15 Matte Foundation with Oil Control - Choose Color</t>
        </is>
      </c>
      <c r="C534" t="inlineStr">
        <is>
          <t>Foundation</t>
        </is>
      </c>
      <c r="D534" t="inlineStr">
        <is>
          <t>Mac</t>
        </is>
      </c>
      <c r="E534" t="n">
        <v>28.56</v>
      </c>
      <c r="F534" t="n">
        <v>1</v>
      </c>
      <c r="G534" t="n">
        <v>4</v>
      </c>
      <c r="H534" s="5">
        <f>HYPERLINK("https://api.qogita.com/variants/link/0773602642878/", "View Product")</f>
        <v/>
      </c>
    </row>
    <row r="535">
      <c r="A535" t="inlineStr">
        <is>
          <t>0773602642939</t>
        </is>
      </c>
      <c r="B535" t="inlineStr">
        <is>
          <t>Mac Studio Fix Fluid Broad Spectrum SPF 15 NC42 1 FL.OZ New</t>
        </is>
      </c>
      <c r="C535" t="inlineStr">
        <is>
          <t>Foundation</t>
        </is>
      </c>
      <c r="D535" t="inlineStr">
        <is>
          <t>Mac</t>
        </is>
      </c>
      <c r="E535" t="n">
        <v>23.41</v>
      </c>
      <c r="F535" t="n">
        <v>1</v>
      </c>
      <c r="G535" t="n">
        <v>9</v>
      </c>
      <c r="H535" s="5">
        <f>HYPERLINK("https://api.qogita.com/variants/link/0773602642939/", "View Product")</f>
        <v/>
      </c>
    </row>
    <row r="536">
      <c r="A536" t="inlineStr">
        <is>
          <t>0773602643042</t>
        </is>
      </c>
      <c r="B536" t="inlineStr">
        <is>
          <t>MAC Studio Fix Fluid SPF15 Liquid Foundation NW43</t>
        </is>
      </c>
      <c r="C536" t="inlineStr">
        <is>
          <t>Foundation</t>
        </is>
      </c>
      <c r="D536" t="inlineStr">
        <is>
          <t>Mac</t>
        </is>
      </c>
      <c r="E536" t="n">
        <v>25.11</v>
      </c>
      <c r="F536" t="n">
        <v>1</v>
      </c>
      <c r="G536" t="n">
        <v>3</v>
      </c>
      <c r="H536" s="5">
        <f>HYPERLINK("https://api.qogita.com/variants/link/0773602643042/", "View Product")</f>
        <v/>
      </c>
    </row>
    <row r="537">
      <c r="A537" t="inlineStr">
        <is>
          <t>0773602643110</t>
        </is>
      </c>
      <c r="B537" t="inlineStr">
        <is>
          <t>Mac Studio Fix Fluid Spf 15 24hr Matte Foundation Oil Control - 30 Ml</t>
        </is>
      </c>
      <c r="C537" t="inlineStr">
        <is>
          <t>Foundation</t>
        </is>
      </c>
      <c r="D537" t="inlineStr">
        <is>
          <t>Mac</t>
        </is>
      </c>
      <c r="E537" t="n">
        <v>23.16</v>
      </c>
      <c r="F537" t="n">
        <v>1</v>
      </c>
      <c r="G537" t="n">
        <v>2</v>
      </c>
      <c r="H537" s="5">
        <f>HYPERLINK("https://api.qogita.com/variants/link/0773602643110/", "View Product")</f>
        <v/>
      </c>
    </row>
    <row r="538">
      <c r="A538" t="inlineStr">
        <is>
          <t>0773602643318</t>
        </is>
      </c>
      <c r="B538" t="inlineStr">
        <is>
          <t>M.A.C Cosmetics Studio Fix Fluid Broad Spectrum SPF 15 Foundation C8 Deep Olive 1 fl oz 30 mL</t>
        </is>
      </c>
      <c r="C538" t="inlineStr">
        <is>
          <t>Foundation</t>
        </is>
      </c>
      <c r="D538" t="inlineStr">
        <is>
          <t>Mac</t>
        </is>
      </c>
      <c r="E538" t="n">
        <v>23.85</v>
      </c>
      <c r="F538" t="n">
        <v>1</v>
      </c>
      <c r="G538" t="n">
        <v>8</v>
      </c>
      <c r="H538" s="5">
        <f>HYPERLINK("https://api.qogita.com/variants/link/0773602643318/", "View Product")</f>
        <v/>
      </c>
    </row>
    <row r="539">
      <c r="A539" t="inlineStr">
        <is>
          <t>0773602643363</t>
        </is>
      </c>
      <c r="B539" t="inlineStr">
        <is>
          <t>Mac Cosmetics Studio Fix Fluid Spf 15 24hr Matte Foundation Oil Control - 30 Ml</t>
        </is>
      </c>
      <c r="C539" t="inlineStr">
        <is>
          <t>Foundation</t>
        </is>
      </c>
      <c r="D539" t="inlineStr">
        <is>
          <t>MAC Cosmetics</t>
        </is>
      </c>
      <c r="E539" t="n">
        <v>23.16</v>
      </c>
      <c r="F539" t="n">
        <v>1</v>
      </c>
      <c r="G539" t="n">
        <v>5</v>
      </c>
      <c r="H539" s="5">
        <f>HYPERLINK("https://api.qogita.com/variants/link/0773602643363/", "View Product")</f>
        <v/>
      </c>
    </row>
    <row r="540">
      <c r="A540" t="inlineStr">
        <is>
          <t>0773602643486</t>
        </is>
      </c>
      <c r="B540" t="inlineStr">
        <is>
          <t>M.A.C Cosmetics Studio Fix Fluid Broad Spectrum SPF 15 Foundation N4.5 Fair Beige 1 fl oz 30 mL</t>
        </is>
      </c>
      <c r="C540" t="inlineStr">
        <is>
          <t>Foundation</t>
        </is>
      </c>
      <c r="D540" t="inlineStr">
        <is>
          <t>Mac</t>
        </is>
      </c>
      <c r="E540" t="n">
        <v>29.63</v>
      </c>
      <c r="F540" t="n">
        <v>1</v>
      </c>
      <c r="G540" t="n">
        <v>11</v>
      </c>
      <c r="H540" s="5">
        <f>HYPERLINK("https://api.qogita.com/variants/link/0773602643486/", "View Product")</f>
        <v/>
      </c>
    </row>
    <row r="541">
      <c r="A541" t="inlineStr">
        <is>
          <t>0773602646067</t>
        </is>
      </c>
      <c r="B541" t="inlineStr">
        <is>
          <t>New MAC Locked Kiss Ink Lipstick Emphatic 4ml Women's Makeup</t>
        </is>
      </c>
      <c r="C541" t="inlineStr">
        <is>
          <t>Lipstick</t>
        </is>
      </c>
      <c r="D541" t="inlineStr">
        <is>
          <t>Mac</t>
        </is>
      </c>
      <c r="E541" t="n">
        <v>19.69</v>
      </c>
      <c r="F541" t="n">
        <v>1</v>
      </c>
      <c r="G541" t="n">
        <v>9</v>
      </c>
      <c r="H541" s="5">
        <f>HYPERLINK("https://api.qogita.com/variants/link/0773602646067/", "View Product")</f>
        <v/>
      </c>
    </row>
    <row r="542">
      <c r="A542" t="inlineStr">
        <is>
          <t>0773602646166</t>
        </is>
      </c>
      <c r="B542" t="inlineStr">
        <is>
          <t>MAC Locked Kiss Ink 24HR Lipcolour Lipstick 81 Gutsy Tomato Red 4ml</t>
        </is>
      </c>
      <c r="C542" t="inlineStr">
        <is>
          <t>Lipstick</t>
        </is>
      </c>
      <c r="D542" t="inlineStr">
        <is>
          <t>Mac</t>
        </is>
      </c>
      <c r="E542" t="n">
        <v>23.48</v>
      </c>
      <c r="F542" t="n">
        <v>1</v>
      </c>
      <c r="G542" t="n">
        <v>3</v>
      </c>
      <c r="H542" s="5">
        <f>HYPERLINK("https://api.qogita.com/variants/link/0773602646166/", "View Product")</f>
        <v/>
      </c>
    </row>
    <row r="543">
      <c r="A543" t="inlineStr">
        <is>
          <t>0773602656622</t>
        </is>
      </c>
      <c r="B543" t="inlineStr">
        <is>
          <t>MAC Studio Radiance Serum-Powered Foundation</t>
        </is>
      </c>
      <c r="C543" t="inlineStr">
        <is>
          <t>Foundation</t>
        </is>
      </c>
      <c r="D543" t="inlineStr">
        <is>
          <t>Mac</t>
        </is>
      </c>
      <c r="E543" t="n">
        <v>32.51</v>
      </c>
      <c r="F543" t="n">
        <v>1</v>
      </c>
      <c r="G543" t="n">
        <v>6</v>
      </c>
      <c r="H543" s="5">
        <f>HYPERLINK("https://api.qogita.com/variants/link/0773602656622/", "View Product")</f>
        <v/>
      </c>
    </row>
    <row r="544">
      <c r="A544" t="inlineStr">
        <is>
          <t>0773602656783</t>
        </is>
      </c>
      <c r="B544" t="inlineStr">
        <is>
          <t>MAC Cosmetics Studio Radiance Serum-Powered Foundation - NC44, 30 ml</t>
        </is>
      </c>
      <c r="C544" t="inlineStr">
        <is>
          <t>Foundation</t>
        </is>
      </c>
      <c r="D544" t="inlineStr">
        <is>
          <t>Mac</t>
        </is>
      </c>
      <c r="E544" t="n">
        <v>27.62</v>
      </c>
      <c r="F544" t="n">
        <v>1</v>
      </c>
      <c r="G544" t="n">
        <v>5</v>
      </c>
      <c r="H544" s="5">
        <f>HYPERLINK("https://api.qogita.com/variants/link/0773602656783/", "View Product")</f>
        <v/>
      </c>
    </row>
    <row r="545">
      <c r="A545" t="inlineStr">
        <is>
          <t>0773602656806</t>
        </is>
      </c>
      <c r="B545" t="inlineStr">
        <is>
          <t>MAC Cosmetics Studio Radiance Serum-Powered Foundation - NC47, 30 ml</t>
        </is>
      </c>
      <c r="C545" t="inlineStr">
        <is>
          <t>Foundation</t>
        </is>
      </c>
      <c r="D545" t="inlineStr">
        <is>
          <t>Mac</t>
        </is>
      </c>
      <c r="E545" t="n">
        <v>27.62</v>
      </c>
      <c r="F545" t="n">
        <v>1</v>
      </c>
      <c r="G545" t="n">
        <v>5</v>
      </c>
      <c r="H545" s="5">
        <f>HYPERLINK("https://api.qogita.com/variants/link/0773602656806/", "View Product")</f>
        <v/>
      </c>
    </row>
    <row r="546">
      <c r="A546" t="inlineStr">
        <is>
          <t>0773602656813</t>
        </is>
      </c>
      <c r="B546" t="inlineStr">
        <is>
          <t>MAC Studio Radiance Serum Powered Foundation NC55</t>
        </is>
      </c>
      <c r="C546" t="inlineStr">
        <is>
          <t>Foundation</t>
        </is>
      </c>
      <c r="D546" t="inlineStr">
        <is>
          <t>MAC Cosmetics</t>
        </is>
      </c>
      <c r="E546" t="n">
        <v>27.62</v>
      </c>
      <c r="F546" t="n">
        <v>1</v>
      </c>
      <c r="G546" t="n">
        <v>5</v>
      </c>
      <c r="H546" s="5">
        <f>HYPERLINK("https://api.qogita.com/variants/link/0773602656813/", "View Product")</f>
        <v/>
      </c>
    </row>
    <row r="547">
      <c r="A547" t="inlineStr">
        <is>
          <t>0773602656882</t>
        </is>
      </c>
      <c r="B547" t="inlineStr">
        <is>
          <t>MAC Studio Radiance Serum Powered Foundation NW22</t>
        </is>
      </c>
      <c r="C547" t="inlineStr">
        <is>
          <t>Foundation</t>
        </is>
      </c>
      <c r="D547" t="inlineStr">
        <is>
          <t>MAC Cosmetics</t>
        </is>
      </c>
      <c r="E547" t="n">
        <v>27.27</v>
      </c>
      <c r="F547" t="n">
        <v>1</v>
      </c>
      <c r="G547" t="n">
        <v>2</v>
      </c>
      <c r="H547" s="5">
        <f>HYPERLINK("https://api.qogita.com/variants/link/0773602656882/", "View Product")</f>
        <v/>
      </c>
    </row>
    <row r="548">
      <c r="A548" t="inlineStr">
        <is>
          <t>0773602656905</t>
        </is>
      </c>
      <c r="B548" t="inlineStr">
        <is>
          <t>MAC Studio Radiance Serum Powered Foundation NW30</t>
        </is>
      </c>
      <c r="C548" t="inlineStr">
        <is>
          <t>Foundation</t>
        </is>
      </c>
      <c r="D548" t="inlineStr">
        <is>
          <t>MAC Cosmetics</t>
        </is>
      </c>
      <c r="E548" t="n">
        <v>27.27</v>
      </c>
      <c r="F548" t="n">
        <v>1</v>
      </c>
      <c r="G548" t="n">
        <v>2</v>
      </c>
      <c r="H548" s="5">
        <f>HYPERLINK("https://api.qogita.com/variants/link/0773602656905/", "View Product")</f>
        <v/>
      </c>
    </row>
    <row r="549">
      <c r="A549" t="inlineStr">
        <is>
          <t>0773602656936</t>
        </is>
      </c>
      <c r="B549" t="inlineStr">
        <is>
          <t>MAC Studio Radiance Serum Powered Foundation NW43</t>
        </is>
      </c>
      <c r="C549" t="inlineStr">
        <is>
          <t>Foundation</t>
        </is>
      </c>
      <c r="D549" t="inlineStr">
        <is>
          <t>MAC Cosmetics</t>
        </is>
      </c>
      <c r="E549" t="n">
        <v>27.62</v>
      </c>
      <c r="F549" t="n">
        <v>1</v>
      </c>
      <c r="G549" t="n">
        <v>5</v>
      </c>
      <c r="H549" s="5">
        <f>HYPERLINK("https://api.qogita.com/variants/link/0773602656936/", "View Product")</f>
        <v/>
      </c>
    </row>
    <row r="550">
      <c r="A550" t="inlineStr">
        <is>
          <t>0773602656943</t>
        </is>
      </c>
      <c r="B550" t="inlineStr">
        <is>
          <t>MAC Studio Radiance Serum Powered Foundation NW45</t>
        </is>
      </c>
      <c r="C550" t="inlineStr">
        <is>
          <t>Foundation</t>
        </is>
      </c>
      <c r="D550" t="inlineStr">
        <is>
          <t>MAC Cosmetics</t>
        </is>
      </c>
      <c r="E550" t="n">
        <v>27.62</v>
      </c>
      <c r="F550" t="n">
        <v>1</v>
      </c>
      <c r="G550" t="n">
        <v>5</v>
      </c>
      <c r="H550" s="5">
        <f>HYPERLINK("https://api.qogita.com/variants/link/0773602656943/", "View Product")</f>
        <v/>
      </c>
    </row>
    <row r="551">
      <c r="A551" t="inlineStr">
        <is>
          <t>0773602657049</t>
        </is>
      </c>
      <c r="B551" t="inlineStr">
        <is>
          <t>MAC Studio Radiance Serum-Based Foundation Choose Your Shade 1.0 fl oz</t>
        </is>
      </c>
      <c r="C551" t="inlineStr">
        <is>
          <t>Foundation</t>
        </is>
      </c>
      <c r="D551" t="inlineStr">
        <is>
          <t>Mac</t>
        </is>
      </c>
      <c r="E551" t="n">
        <v>27.62</v>
      </c>
      <c r="F551" t="n">
        <v>1</v>
      </c>
      <c r="G551" t="n">
        <v>11</v>
      </c>
      <c r="H551" s="5">
        <f>HYPERLINK("https://api.qogita.com/variants/link/0773602657049/", "View Product")</f>
        <v/>
      </c>
    </row>
    <row r="552">
      <c r="A552" t="inlineStr">
        <is>
          <t>0773602657056</t>
        </is>
      </c>
      <c r="B552" t="inlineStr">
        <is>
          <t>MAC Cosmetics Studio Radiance Serum-Powered Foundation - N12, 30 ml</t>
        </is>
      </c>
      <c r="C552" t="inlineStr">
        <is>
          <t>Foundation</t>
        </is>
      </c>
      <c r="D552" t="inlineStr">
        <is>
          <t>Mac</t>
        </is>
      </c>
      <c r="E552" t="n">
        <v>30.87</v>
      </c>
      <c r="F552" t="n">
        <v>1</v>
      </c>
      <c r="G552" t="n">
        <v>3</v>
      </c>
      <c r="H552" s="5">
        <f>HYPERLINK("https://api.qogita.com/variants/link/0773602657056/", "View Product")</f>
        <v/>
      </c>
    </row>
    <row r="553">
      <c r="A553" t="inlineStr">
        <is>
          <t>0773602657520</t>
        </is>
      </c>
      <c r="B553" t="inlineStr">
        <is>
          <t>MAC 001 Serum Moisturizer Brush</t>
        </is>
      </c>
      <c r="C553" t="inlineStr">
        <is>
          <t>Brush Sets</t>
        </is>
      </c>
      <c r="D553" t="inlineStr">
        <is>
          <t>Mac</t>
        </is>
      </c>
      <c r="E553" t="n">
        <v>28.07</v>
      </c>
      <c r="F553" t="n">
        <v>1</v>
      </c>
      <c r="G553" t="n">
        <v>5</v>
      </c>
      <c r="H553" s="5">
        <f>HYPERLINK("https://api.qogita.com/variants/link/0773602657520/", "View Product")</f>
        <v/>
      </c>
    </row>
    <row r="554">
      <c r="A554" t="inlineStr">
        <is>
          <t>0773602672202</t>
        </is>
      </c>
      <c r="B554" t="inlineStr">
        <is>
          <t>M.A.C. Strobe Dewy Skin Tint 30ml</t>
        </is>
      </c>
      <c r="C554" t="inlineStr">
        <is>
          <t>Foundation</t>
        </is>
      </c>
      <c r="D554" t="inlineStr">
        <is>
          <t>MAC Cosmetics</t>
        </is>
      </c>
      <c r="E554" t="n">
        <v>21.59</v>
      </c>
      <c r="F554" t="n">
        <v>1</v>
      </c>
      <c r="G554" t="n">
        <v>8</v>
      </c>
      <c r="H554" s="5">
        <f>HYPERLINK("https://api.qogita.com/variants/link/0773602672202/", "View Product")</f>
        <v/>
      </c>
    </row>
    <row r="555">
      <c r="A555" t="inlineStr">
        <is>
          <t>0773602672417</t>
        </is>
      </c>
      <c r="B555" t="inlineStr">
        <is>
          <t>MAC Powder Kiss Velvet Blur Slim Stick 891 Mull It Over for Women 0.07oz Lipstick</t>
        </is>
      </c>
      <c r="C555" t="inlineStr">
        <is>
          <t>Lipstick</t>
        </is>
      </c>
      <c r="D555" t="inlineStr">
        <is>
          <t>Mac</t>
        </is>
      </c>
      <c r="E555" t="n">
        <v>18.65</v>
      </c>
      <c r="F555" t="n">
        <v>1</v>
      </c>
      <c r="G555" t="n">
        <v>4</v>
      </c>
      <c r="H555" s="5">
        <f>HYPERLINK("https://api.qogita.com/variants/link/0773602672417/", "View Product")</f>
        <v/>
      </c>
    </row>
    <row r="556">
      <c r="A556" t="inlineStr">
        <is>
          <t>0773602672523</t>
        </is>
      </c>
      <c r="B556" t="inlineStr">
        <is>
          <t>MAC Powder Kiss Velvet Blur Slim Stick Lipstick 876 Nice Spice</t>
        </is>
      </c>
      <c r="C556" t="inlineStr">
        <is>
          <t>Lipstick</t>
        </is>
      </c>
      <c r="D556" t="inlineStr">
        <is>
          <t>MAC Cosmetics</t>
        </is>
      </c>
      <c r="E556" t="n">
        <v>17.56</v>
      </c>
      <c r="F556" t="n">
        <v>1</v>
      </c>
      <c r="G556" t="n">
        <v>26</v>
      </c>
      <c r="H556" s="5">
        <f>HYPERLINK("https://api.qogita.com/variants/link/0773602672523/", "View Product")</f>
        <v/>
      </c>
    </row>
    <row r="557">
      <c r="A557" t="inlineStr">
        <is>
          <t>0773602676347</t>
        </is>
      </c>
      <c r="B557" t="inlineStr">
        <is>
          <t>MAC Colour Excess Gel Pencil Eye Liner Pool Shark Emerald Green</t>
        </is>
      </c>
      <c r="C557" t="inlineStr">
        <is>
          <t>Eyeliner</t>
        </is>
      </c>
      <c r="D557" t="inlineStr">
        <is>
          <t>MAC Cosmetics</t>
        </is>
      </c>
      <c r="E557" t="n">
        <v>14.87</v>
      </c>
      <c r="F557" t="n">
        <v>1</v>
      </c>
      <c r="G557" t="n">
        <v>2</v>
      </c>
      <c r="H557" s="5">
        <f>HYPERLINK("https://api.qogita.com/variants/link/0773602676347/", "View Product")</f>
        <v/>
      </c>
    </row>
    <row r="558">
      <c r="A558" t="inlineStr">
        <is>
          <t>0773602684595</t>
        </is>
      </c>
      <c r="B558" t="inlineStr">
        <is>
          <t>Mac Studio Fix Every Wear All Over Face Pen NW25</t>
        </is>
      </c>
      <c r="C558" t="inlineStr">
        <is>
          <t>Foundation</t>
        </is>
      </c>
      <c r="D558" t="inlineStr">
        <is>
          <t>Mac</t>
        </is>
      </c>
      <c r="E558" t="n">
        <v>20.95</v>
      </c>
      <c r="F558" t="n">
        <v>1</v>
      </c>
      <c r="G558" t="n">
        <v>3</v>
      </c>
      <c r="H558" s="5">
        <f>HYPERLINK("https://api.qogita.com/variants/link/0773602684595/", "View Product")</f>
        <v/>
      </c>
    </row>
    <row r="559">
      <c r="A559" t="inlineStr">
        <is>
          <t>0773602684663</t>
        </is>
      </c>
      <c r="B559" t="inlineStr">
        <is>
          <t>MAC Cosmetics Studio Fix Every-Wear All-Over Face Pen NW50 12 ml - Concealer and Foundation in Cream</t>
        </is>
      </c>
      <c r="C559" t="inlineStr">
        <is>
          <t>Concealer</t>
        </is>
      </c>
      <c r="D559" t="inlineStr">
        <is>
          <t>Mac</t>
        </is>
      </c>
      <c r="E559" t="n">
        <v>20.71</v>
      </c>
      <c r="F559" t="n">
        <v>1</v>
      </c>
      <c r="G559" t="n">
        <v>5</v>
      </c>
      <c r="H559" s="5">
        <f>HYPERLINK("https://api.qogita.com/variants/link/0773602684663/", "View Product")</f>
        <v/>
      </c>
    </row>
    <row r="560">
      <c r="A560" t="inlineStr">
        <is>
          <t>0773602684670</t>
        </is>
      </c>
      <c r="B560" t="inlineStr">
        <is>
          <t>MAC Cosmetics Studio Fix Every-Wear All-Over Face Pen NW55 12 ml - Concealer and Foundation in Cream</t>
        </is>
      </c>
      <c r="C560" t="inlineStr">
        <is>
          <t>Concealer</t>
        </is>
      </c>
      <c r="D560" t="inlineStr">
        <is>
          <t>Mac</t>
        </is>
      </c>
      <c r="E560" t="n">
        <v>20.71</v>
      </c>
      <c r="F560" t="n">
        <v>1</v>
      </c>
      <c r="G560" t="n">
        <v>5</v>
      </c>
      <c r="H560" s="5">
        <f>HYPERLINK("https://api.qogita.com/variants/link/0773602684670/", "View Product")</f>
        <v/>
      </c>
    </row>
    <row r="561">
      <c r="A561" t="inlineStr">
        <is>
          <t>0773602684717</t>
        </is>
      </c>
      <c r="B561" t="inlineStr">
        <is>
          <t>Studio Fix Every-Wear All Over Face Pen NW18</t>
        </is>
      </c>
      <c r="C561" t="inlineStr">
        <is>
          <t>Foundation</t>
        </is>
      </c>
      <c r="D561" t="inlineStr">
        <is>
          <t>MAC Cosmetics</t>
        </is>
      </c>
      <c r="E561" t="n">
        <v>21.32</v>
      </c>
      <c r="F561" t="n">
        <v>1</v>
      </c>
      <c r="G561" t="n">
        <v>3</v>
      </c>
      <c r="H561" s="5">
        <f>HYPERLINK("https://api.qogita.com/variants/link/0773602684717/", "View Product")</f>
        <v/>
      </c>
    </row>
    <row r="562">
      <c r="A562" t="inlineStr">
        <is>
          <t>0773602684861</t>
        </is>
      </c>
      <c r="B562" t="inlineStr">
        <is>
          <t>Mac Auto Parts Macximal Silky Matte Lipstick Russian Red</t>
        </is>
      </c>
      <c r="C562" t="inlineStr">
        <is>
          <t>Lipstick</t>
        </is>
      </c>
      <c r="D562" t="inlineStr">
        <is>
          <t>Mac</t>
        </is>
      </c>
      <c r="E562" t="n">
        <v>17.35</v>
      </c>
      <c r="F562" t="n">
        <v>1</v>
      </c>
      <c r="G562" t="n">
        <v>15</v>
      </c>
      <c r="H562" s="5">
        <f>HYPERLINK("https://api.qogita.com/variants/link/0773602684861/", "View Product")</f>
        <v/>
      </c>
    </row>
    <row r="563">
      <c r="A563" t="inlineStr">
        <is>
          <t>0773602685080</t>
        </is>
      </c>
      <c r="B563" t="inlineStr">
        <is>
          <t>MAC Silky Matte Lipstick Twig Twist 690</t>
        </is>
      </c>
      <c r="C563" t="inlineStr">
        <is>
          <t>Lipstick</t>
        </is>
      </c>
      <c r="D563" t="inlineStr">
        <is>
          <t>Mac</t>
        </is>
      </c>
      <c r="E563" t="n">
        <v>17.79</v>
      </c>
      <c r="F563" t="n">
        <v>1</v>
      </c>
      <c r="G563" t="n">
        <v>3</v>
      </c>
      <c r="H563" s="5">
        <f>HYPERLINK("https://api.qogita.com/variants/link/0773602685080/", "View Product")</f>
        <v/>
      </c>
    </row>
    <row r="564">
      <c r="A564" t="inlineStr">
        <is>
          <t>0773602685110</t>
        </is>
      </c>
      <c r="B564" t="inlineStr">
        <is>
          <t>Authentic MAC Lipstick MACximal Silky Matte New In Box - Choose Your Shade</t>
        </is>
      </c>
      <c r="C564" t="inlineStr">
        <is>
          <t>Lipstick</t>
        </is>
      </c>
      <c r="D564" t="inlineStr">
        <is>
          <t>Mac</t>
        </is>
      </c>
      <c r="E564" t="n">
        <v>15.23</v>
      </c>
      <c r="F564" t="n">
        <v>1</v>
      </c>
      <c r="G564" t="n">
        <v>3</v>
      </c>
      <c r="H564" s="5">
        <f>HYPERLINK("https://api.qogita.com/variants/link/0773602685110/", "View Product")</f>
        <v/>
      </c>
    </row>
    <row r="565">
      <c r="A565" t="inlineStr">
        <is>
          <t>0773602692156</t>
        </is>
      </c>
      <c r="B565" t="inlineStr">
        <is>
          <t>MAC Squirt Plumping Gloss Stick 2.3g</t>
        </is>
      </c>
      <c r="C565" t="inlineStr">
        <is>
          <t>Lip Plumper</t>
        </is>
      </c>
      <c r="D565" t="inlineStr">
        <is>
          <t>Mac</t>
        </is>
      </c>
      <c r="E565" t="n">
        <v>15.19</v>
      </c>
      <c r="F565" t="n">
        <v>1</v>
      </c>
      <c r="G565" t="n">
        <v>3</v>
      </c>
      <c r="H565" s="5">
        <f>HYPERLINK("https://api.qogita.com/variants/link/0773602692156/", "View Product")</f>
        <v/>
      </c>
    </row>
    <row r="566">
      <c r="A566" t="inlineStr">
        <is>
          <t>0773602692163</t>
        </is>
      </c>
      <c r="B566" t="inlineStr">
        <is>
          <t>MAC Squirt Plumping Gloss Stick 10 Clear 0.08oz 2.3g</t>
        </is>
      </c>
      <c r="C566" t="inlineStr">
        <is>
          <t>Lip Plumper</t>
        </is>
      </c>
      <c r="D566" t="inlineStr">
        <is>
          <t>MAC Cosmetics</t>
        </is>
      </c>
      <c r="E566" t="n">
        <v>17.14</v>
      </c>
      <c r="F566" t="n">
        <v>1</v>
      </c>
      <c r="G566" t="n">
        <v>2</v>
      </c>
      <c r="H566" s="5">
        <f>HYPERLINK("https://api.qogita.com/variants/link/0773602692163/", "View Product")</f>
        <v/>
      </c>
    </row>
    <row r="567">
      <c r="A567" t="inlineStr">
        <is>
          <t>0773602692200</t>
        </is>
      </c>
      <c r="B567" t="inlineStr">
        <is>
          <t>MAC Squirt Plumping Gloss Stick Jet 2.3g</t>
        </is>
      </c>
      <c r="C567" t="inlineStr">
        <is>
          <t>Lip Plumper</t>
        </is>
      </c>
      <c r="D567" t="inlineStr">
        <is>
          <t>Mac</t>
        </is>
      </c>
      <c r="E567" t="n">
        <v>14.8</v>
      </c>
      <c r="F567" t="n">
        <v>1</v>
      </c>
      <c r="G567" t="n">
        <v>29</v>
      </c>
      <c r="H567" s="5">
        <f>HYPERLINK("https://api.qogita.com/variants/link/0773602692200/", "View Product")</f>
        <v/>
      </c>
    </row>
    <row r="568">
      <c r="A568" t="inlineStr">
        <is>
          <t>0773602693962</t>
        </is>
      </c>
      <c r="B568" t="inlineStr">
        <is>
          <t>MAC Pro Brow Definer 1mm Tip Brow Pencil Omega 0.001 ounce</t>
        </is>
      </c>
      <c r="C568" t="inlineStr">
        <is>
          <t>Eyebrow Pencil</t>
        </is>
      </c>
      <c r="D568" t="inlineStr">
        <is>
          <t>Mac</t>
        </is>
      </c>
      <c r="E568" t="n">
        <v>16.57</v>
      </c>
      <c r="F568" t="n">
        <v>1</v>
      </c>
      <c r="G568" t="n">
        <v>9</v>
      </c>
      <c r="H568" s="5">
        <f>HYPERLINK("https://api.qogita.com/variants/link/0773602693962/", "View Product")</f>
        <v/>
      </c>
    </row>
    <row r="569">
      <c r="A569" t="inlineStr">
        <is>
          <t>0773602693979</t>
        </is>
      </c>
      <c r="B569" t="inlineStr">
        <is>
          <t>MAC Pro Brow Definer 1mm Tip Brow Pencil Onyx 0.001 Ounces</t>
        </is>
      </c>
      <c r="C569" t="inlineStr">
        <is>
          <t>Eyebrow Pencil</t>
        </is>
      </c>
      <c r="D569" t="inlineStr">
        <is>
          <t>Mac</t>
        </is>
      </c>
      <c r="E569" t="n">
        <v>19.69</v>
      </c>
      <c r="F569" t="n">
        <v>1</v>
      </c>
      <c r="G569" t="n">
        <v>4</v>
      </c>
      <c r="H569" s="5">
        <f>HYPERLINK("https://api.qogita.com/variants/link/0773602693979/", "View Product")</f>
        <v/>
      </c>
    </row>
    <row r="570">
      <c r="A570" t="inlineStr">
        <is>
          <t>0773602694037</t>
        </is>
      </c>
      <c r="B570" t="inlineStr">
        <is>
          <t>MAC Pro Brow Definer 1mm Tip Brow Pencil Taupe 0.001 Ounces</t>
        </is>
      </c>
      <c r="C570" t="inlineStr">
        <is>
          <t>Eyebrow Pencil</t>
        </is>
      </c>
      <c r="D570" t="inlineStr">
        <is>
          <t>Mac</t>
        </is>
      </c>
      <c r="E570" t="n">
        <v>19.69</v>
      </c>
      <c r="F570" t="n">
        <v>1</v>
      </c>
      <c r="G570" t="n">
        <v>5</v>
      </c>
      <c r="H570" s="5">
        <f>HYPERLINK("https://api.qogita.com/variants/link/0773602694037/", "View Product")</f>
        <v/>
      </c>
    </row>
    <row r="571">
      <c r="A571" t="inlineStr">
        <is>
          <t>0773602695843</t>
        </is>
      </c>
      <c r="B571" t="inlineStr">
        <is>
          <t>MAC Pro Locked Brow Gel Clear</t>
        </is>
      </c>
      <c r="C571" t="inlineStr">
        <is>
          <t>Eyebrow Gel</t>
        </is>
      </c>
      <c r="D571" t="inlineStr">
        <is>
          <t>Mac</t>
        </is>
      </c>
      <c r="E571" t="n">
        <v>19.69</v>
      </c>
      <c r="F571" t="n">
        <v>1</v>
      </c>
      <c r="G571" t="n">
        <v>8</v>
      </c>
      <c r="H571" s="5">
        <f>HYPERLINK("https://api.qogita.com/variants/link/0773602695843/", "View Product")</f>
        <v/>
      </c>
    </row>
    <row r="572">
      <c r="A572" t="inlineStr">
        <is>
          <t>0773602701230</t>
        </is>
      </c>
      <c r="B572" t="inlineStr">
        <is>
          <t>M.A.C Cosmetics Lovestruck Luck Collection Studio Fix Pro Set and Blur Weightless</t>
        </is>
      </c>
      <c r="C572" t="inlineStr">
        <is>
          <t>Complexion Sets &amp; Pallets</t>
        </is>
      </c>
      <c r="D572" t="inlineStr">
        <is>
          <t>Mac</t>
        </is>
      </c>
      <c r="E572" t="n">
        <v>44.17</v>
      </c>
      <c r="F572" t="n">
        <v>1</v>
      </c>
      <c r="G572" t="n">
        <v>11</v>
      </c>
      <c r="H572" s="5">
        <f>HYPERLINK("https://api.qogita.com/variants/link/0773602701230/", "View Product")</f>
        <v/>
      </c>
    </row>
    <row r="573">
      <c r="A573" t="inlineStr">
        <is>
          <t>0773602703487</t>
        </is>
      </c>
      <c r="B573" t="inlineStr">
        <is>
          <t>Mac Cosmetics Lovestruck Luck Collection Hyper Real Fresh Canvas Cleansing Oil</t>
        </is>
      </c>
      <c r="C573" t="inlineStr">
        <is>
          <t>Cleansing Oil</t>
        </is>
      </c>
      <c r="D573" t="inlineStr">
        <is>
          <t>Mac</t>
        </is>
      </c>
      <c r="E573" t="n">
        <v>32.47</v>
      </c>
      <c r="F573" t="n">
        <v>1</v>
      </c>
      <c r="G573" t="n">
        <v>19</v>
      </c>
      <c r="H573" s="5">
        <f>HYPERLINK("https://api.qogita.com/variants/link/0773602703487/", "View Product")</f>
        <v/>
      </c>
    </row>
    <row r="574">
      <c r="A574" t="inlineStr">
        <is>
          <t>0773602718771</t>
        </is>
      </c>
      <c r="B574" t="inlineStr">
        <is>
          <t>Mac Gold Tier Mini Lip and Lash Duo 2 Piece Set</t>
        </is>
      </c>
      <c r="C574" t="inlineStr">
        <is>
          <t>Mascara</t>
        </is>
      </c>
      <c r="D574" t="inlineStr">
        <is>
          <t>Mac</t>
        </is>
      </c>
      <c r="E574" t="n">
        <v>22.64</v>
      </c>
      <c r="F574" t="n">
        <v>1</v>
      </c>
      <c r="G574" t="n">
        <v>8</v>
      </c>
      <c r="H574" s="5">
        <f>HYPERLINK("https://api.qogita.com/variants/link/0773602718771/", "View Product")</f>
        <v/>
      </c>
    </row>
    <row r="575">
      <c r="A575" t="inlineStr">
        <is>
          <t>0773602726103</t>
        </is>
      </c>
      <c r="B575" t="inlineStr">
        <is>
          <t>Mac Lipglass Lip Gloss Ruby Sparks 0.1 Ounces</t>
        </is>
      </c>
      <c r="C575" t="inlineStr">
        <is>
          <t>Lip Gloss</t>
        </is>
      </c>
      <c r="D575" t="inlineStr">
        <is>
          <t>Mac</t>
        </is>
      </c>
      <c r="E575" t="n">
        <v>18.34</v>
      </c>
      <c r="F575" t="n">
        <v>1</v>
      </c>
      <c r="G575" t="n">
        <v>12</v>
      </c>
      <c r="H575" s="5">
        <f>HYPERLINK("https://api.qogita.com/variants/link/0773602726103/", "View Product")</f>
        <v/>
      </c>
    </row>
    <row r="576">
      <c r="A576" t="inlineStr">
        <is>
          <t>0773602726189</t>
        </is>
      </c>
      <c r="B576" t="inlineStr">
        <is>
          <t>Mac Frost Lipstick in Macgenta 0.1 Ounces</t>
        </is>
      </c>
      <c r="C576" t="inlineStr">
        <is>
          <t>Lipstick</t>
        </is>
      </c>
      <c r="D576" t="inlineStr">
        <is>
          <t>Mac</t>
        </is>
      </c>
      <c r="E576" t="n">
        <v>18.34</v>
      </c>
      <c r="F576" t="n">
        <v>1</v>
      </c>
      <c r="G576" t="n">
        <v>7</v>
      </c>
      <c r="H576" s="5">
        <f>HYPERLINK("https://api.qogita.com/variants/link/0773602726189/", "View Product")</f>
        <v/>
      </c>
    </row>
    <row r="577">
      <c r="A577" t="inlineStr">
        <is>
          <t>0773602727018</t>
        </is>
      </c>
      <c r="B577" t="inlineStr">
        <is>
          <t>Mac Skinfinish Metallic Cream Blush Priceless Purple 0.2 Ounces</t>
        </is>
      </c>
      <c r="C577" t="inlineStr">
        <is>
          <t>Blush</t>
        </is>
      </c>
      <c r="D577" t="inlineStr">
        <is>
          <t>Mac</t>
        </is>
      </c>
      <c r="E577" t="n">
        <v>29.2</v>
      </c>
      <c r="F577" t="n">
        <v>1</v>
      </c>
      <c r="G577" t="n">
        <v>11</v>
      </c>
      <c r="H577" s="5">
        <f>HYPERLINK("https://api.qogita.com/variants/link/0773602727018/", "View Product")</f>
        <v/>
      </c>
    </row>
    <row r="578">
      <c r="A578" t="inlineStr">
        <is>
          <t>0783320402661</t>
        </is>
      </c>
      <c r="B578" t="inlineStr">
        <is>
          <t>Omnia Amethyste by Bvlgari Eau De Toilette Spray 1.3oz 38ml</t>
        </is>
      </c>
      <c r="C578" t="inlineStr">
        <is>
          <t>Eau De Toilette</t>
        </is>
      </c>
      <c r="D578" t="inlineStr">
        <is>
          <t>BULGARI</t>
        </is>
      </c>
      <c r="E578" t="n">
        <v>47.54</v>
      </c>
      <c r="F578" t="n">
        <v>1</v>
      </c>
      <c r="G578" t="n">
        <v>66</v>
      </c>
      <c r="H578" s="5">
        <f>HYPERLINK("https://api.qogita.com/variants/link/0783320402661/", "View Product")</f>
        <v/>
      </c>
    </row>
    <row r="579">
      <c r="A579" t="inlineStr">
        <is>
          <t>0783320404726</t>
        </is>
      </c>
      <c r="B579" t="inlineStr">
        <is>
          <t>Bvlgari Rose Goldea Blossom Delight Eau de Parfum for Women 30ml</t>
        </is>
      </c>
      <c r="C579" t="inlineStr">
        <is>
          <t>Eau De Parfum</t>
        </is>
      </c>
      <c r="D579" t="inlineStr">
        <is>
          <t>Bvlgari</t>
        </is>
      </c>
      <c r="E579" t="n">
        <v>59.76</v>
      </c>
      <c r="F579" t="n">
        <v>1</v>
      </c>
      <c r="G579" t="n">
        <v>1</v>
      </c>
      <c r="H579" s="5">
        <f>HYPERLINK("https://api.qogita.com/variants/link/0783320404726/", "View Product")</f>
        <v/>
      </c>
    </row>
    <row r="580">
      <c r="A580" t="inlineStr">
        <is>
          <t>0783320409585</t>
        </is>
      </c>
      <c r="B580" t="inlineStr">
        <is>
          <t>Splendida Tubereuse Mystique Bvlgari For Women 1.7oz EDP Spray 50ml</t>
        </is>
      </c>
      <c r="C580" t="inlineStr">
        <is>
          <t>Eau De Parfum</t>
        </is>
      </c>
      <c r="D580" t="inlineStr">
        <is>
          <t>BULGARI</t>
        </is>
      </c>
      <c r="E580" t="n">
        <v>34.78</v>
      </c>
      <c r="F580" t="n">
        <v>1</v>
      </c>
      <c r="G580" t="n">
        <v>16</v>
      </c>
      <c r="H580" s="5">
        <f>HYPERLINK("https://api.qogita.com/variants/link/0783320409585/", "View Product")</f>
        <v/>
      </c>
    </row>
    <row r="581">
      <c r="A581" t="inlineStr">
        <is>
          <t>0783320409592</t>
        </is>
      </c>
      <c r="B581" t="inlineStr">
        <is>
          <t>Bulgari Splendida Tubereuse Mystique Eau De Parfum 100ml</t>
        </is>
      </c>
      <c r="C581" t="inlineStr">
        <is>
          <t>Eau De Parfum</t>
        </is>
      </c>
      <c r="D581" t="inlineStr">
        <is>
          <t>BULGARI</t>
        </is>
      </c>
      <c r="E581" t="n">
        <v>51.61</v>
      </c>
      <c r="F581" t="n">
        <v>1</v>
      </c>
      <c r="G581" t="n">
        <v>66</v>
      </c>
      <c r="H581" s="5">
        <f>HYPERLINK("https://api.qogita.com/variants/link/0783320409592/", "View Product")</f>
        <v/>
      </c>
    </row>
    <row r="582">
      <c r="A582" t="inlineStr">
        <is>
          <t>0783320411946</t>
        </is>
      </c>
      <c r="B582" t="inlineStr">
        <is>
          <t>BVLGARI Man Glacial Essence Eau De Parfum Spray 3.4 Ounce Woody Fougere</t>
        </is>
      </c>
      <c r="C582" t="inlineStr">
        <is>
          <t>Eau De Parfum</t>
        </is>
      </c>
      <c r="D582" t="inlineStr">
        <is>
          <t>Bvlgari</t>
        </is>
      </c>
      <c r="E582" t="n">
        <v>67.33</v>
      </c>
      <c r="F582" t="n">
        <v>1</v>
      </c>
      <c r="G582" t="n">
        <v>88</v>
      </c>
      <c r="H582" s="5">
        <f>HYPERLINK("https://api.qogita.com/variants/link/0783320411946/", "View Product")</f>
        <v/>
      </c>
    </row>
    <row r="583">
      <c r="A583" t="inlineStr">
        <is>
          <t>0783320413858</t>
        </is>
      </c>
      <c r="B583" t="inlineStr">
        <is>
          <t>In Black by Bulgari Eau de Parfum For Men 100ml Wood</t>
        </is>
      </c>
      <c r="C583" t="inlineStr">
        <is>
          <t>Eau De Parfum</t>
        </is>
      </c>
      <c r="D583" t="inlineStr">
        <is>
          <t>Bvlgari</t>
        </is>
      </c>
      <c r="E583" t="n">
        <v>71.90000000000001</v>
      </c>
      <c r="F583" t="n">
        <v>1</v>
      </c>
      <c r="G583" t="n">
        <v>3</v>
      </c>
      <c r="H583" s="5">
        <f>HYPERLINK("https://api.qogita.com/variants/link/0783320413858/", "View Product")</f>
        <v/>
      </c>
    </row>
    <row r="584">
      <c r="A584" t="inlineStr">
        <is>
          <t>0783320418952</t>
        </is>
      </c>
      <c r="B584" t="inlineStr">
        <is>
          <t>Bvlgari Pour Homme Eau de Toilette Spray</t>
        </is>
      </c>
      <c r="C584" t="inlineStr">
        <is>
          <t>Eau De Toilette</t>
        </is>
      </c>
      <c r="D584" t="inlineStr">
        <is>
          <t>Bvlgari</t>
        </is>
      </c>
      <c r="E584" t="n">
        <v>79.17</v>
      </c>
      <c r="F584" t="n">
        <v>1</v>
      </c>
      <c r="G584" t="n">
        <v>5</v>
      </c>
      <c r="H584" s="5">
        <f>HYPERLINK("https://api.qogita.com/variants/link/0783320418952/", "View Product")</f>
        <v/>
      </c>
    </row>
    <row r="585">
      <c r="A585" t="inlineStr">
        <is>
          <t>0783320419461</t>
        </is>
      </c>
      <c r="B585" t="inlineStr">
        <is>
          <t>Bulgari Man Rain Essence Eau de Parfum Spray 100ml</t>
        </is>
      </c>
      <c r="C585" t="inlineStr">
        <is>
          <t>Eau De Parfum</t>
        </is>
      </c>
      <c r="D585" t="inlineStr">
        <is>
          <t>Bvlgari</t>
        </is>
      </c>
      <c r="E585" t="n">
        <v>94.27</v>
      </c>
      <c r="F585" t="n">
        <v>1</v>
      </c>
      <c r="G585" t="n">
        <v>13</v>
      </c>
      <c r="H585" s="5">
        <f>HYPERLINK("https://api.qogita.com/variants/link/0783320419461/", "View Product")</f>
        <v/>
      </c>
    </row>
    <row r="586">
      <c r="A586" t="inlineStr">
        <is>
          <t>0783320421211</t>
        </is>
      </c>
      <c r="B586" t="inlineStr">
        <is>
          <t>Bvlgari Rain Essence Christmas 2023 Set Eau De Parfum 100 Ml And 15 Ml</t>
        </is>
      </c>
      <c r="C586" t="inlineStr">
        <is>
          <t>Fragrance Sets</t>
        </is>
      </c>
      <c r="D586" t="inlineStr">
        <is>
          <t>Bvlgari</t>
        </is>
      </c>
      <c r="E586" t="n">
        <v>64.56</v>
      </c>
      <c r="F586" t="n">
        <v>1</v>
      </c>
      <c r="G586" t="n">
        <v>3</v>
      </c>
      <c r="H586" s="5">
        <f>HYPERLINK("https://api.qogita.com/variants/link/0783320421211/", "View Product")</f>
        <v/>
      </c>
    </row>
    <row r="587">
      <c r="A587" t="inlineStr">
        <is>
          <t>0783320421747</t>
        </is>
      </c>
      <c r="B587" t="inlineStr">
        <is>
          <t>Bvlgari Le Gemme Empyr Eau De Parfum 125ml</t>
        </is>
      </c>
      <c r="C587" t="inlineStr">
        <is>
          <t>Eau De Parfum</t>
        </is>
      </c>
      <c r="D587" t="inlineStr">
        <is>
          <t>Bvlgari</t>
        </is>
      </c>
      <c r="E587" t="n">
        <v>317.9</v>
      </c>
      <c r="F587" t="n">
        <v>1</v>
      </c>
      <c r="G587" t="n">
        <v>2</v>
      </c>
      <c r="H587" s="5">
        <f>HYPERLINK("https://api.qogita.com/variants/link/0783320421747/", "View Product")</f>
        <v/>
      </c>
    </row>
    <row r="588">
      <c r="A588" t="inlineStr">
        <is>
          <t>0783320421822</t>
        </is>
      </c>
      <c r="B588" t="inlineStr">
        <is>
          <t>Bvlgari Le Gemme Azaran Eau De Parfum 125ml</t>
        </is>
      </c>
      <c r="C588" t="inlineStr">
        <is>
          <t>Eau De Parfum</t>
        </is>
      </c>
      <c r="D588" t="inlineStr">
        <is>
          <t>Bvlgari</t>
        </is>
      </c>
      <c r="E588" t="n">
        <v>327.05</v>
      </c>
      <c r="F588" t="n">
        <v>1</v>
      </c>
      <c r="G588" t="n">
        <v>4</v>
      </c>
      <c r="H588" s="5">
        <f>HYPERLINK("https://api.qogita.com/variants/link/0783320421822/", "View Product")</f>
        <v/>
      </c>
    </row>
    <row r="589">
      <c r="A589" t="inlineStr">
        <is>
          <t>0783320461002</t>
        </is>
      </c>
      <c r="B589" t="inlineStr">
        <is>
          <t>Bvlgari Man Wood Essence Eau De Perfume Spray 100ml</t>
        </is>
      </c>
      <c r="C589" t="inlineStr">
        <is>
          <t>Eau De Parfum</t>
        </is>
      </c>
      <c r="D589" t="inlineStr">
        <is>
          <t>Bvlgari</t>
        </is>
      </c>
      <c r="E589" t="n">
        <v>86.95999999999999</v>
      </c>
      <c r="F589" t="n">
        <v>1</v>
      </c>
      <c r="G589" t="n">
        <v>6</v>
      </c>
      <c r="H589" s="5">
        <f>HYPERLINK("https://api.qogita.com/variants/link/0783320461002/", "View Product")</f>
        <v/>
      </c>
    </row>
    <row r="590">
      <c r="A590" t="inlineStr">
        <is>
          <t>0783320515217</t>
        </is>
      </c>
      <c r="B590" t="inlineStr">
        <is>
          <t>Bvlgari Omnia Paraiba Shower Oil 100ml</t>
        </is>
      </c>
      <c r="C590" t="inlineStr">
        <is>
          <t>Shower Oil</t>
        </is>
      </c>
      <c r="D590" t="inlineStr">
        <is>
          <t>Bvlgari</t>
        </is>
      </c>
      <c r="E590" t="n">
        <v>18.67</v>
      </c>
      <c r="F590" t="n">
        <v>1</v>
      </c>
      <c r="G590" t="n">
        <v>19</v>
      </c>
      <c r="H590" s="5">
        <f>HYPERLINK("https://api.qogita.com/variants/link/0783320515217/", "View Product")</f>
        <v/>
      </c>
    </row>
    <row r="591">
      <c r="A591" t="inlineStr">
        <is>
          <t>0783320977343</t>
        </is>
      </c>
      <c r="B591" t="inlineStr">
        <is>
          <t>Bvlgari Splendida Magnolia Sensuel Eau de Parfum 100 ml</t>
        </is>
      </c>
      <c r="C591" t="inlineStr">
        <is>
          <t>Eau De Parfum</t>
        </is>
      </c>
      <c r="D591" t="inlineStr">
        <is>
          <t>Bvlgari</t>
        </is>
      </c>
      <c r="E591" t="n">
        <v>65.72</v>
      </c>
      <c r="F591" t="n">
        <v>1</v>
      </c>
      <c r="G591" t="n">
        <v>203</v>
      </c>
      <c r="H591" s="5">
        <f>HYPERLINK("https://api.qogita.com/variants/link/0783320977343/", "View Product")</f>
        <v/>
      </c>
    </row>
    <row r="592">
      <c r="A592" t="inlineStr">
        <is>
          <t>0784089051398</t>
        </is>
      </c>
      <c r="B592" t="inlineStr">
        <is>
          <t>D.S. by D.S. &amp; Durga for Women Eau de Parfum Spray 1.7oz</t>
        </is>
      </c>
      <c r="C592" t="inlineStr">
        <is>
          <t>Eau De Parfum</t>
        </is>
      </c>
      <c r="D592" t="inlineStr">
        <is>
          <t>D.S. &amp; Durga</t>
        </is>
      </c>
      <c r="E592" t="n">
        <v>203.42</v>
      </c>
      <c r="F592" t="n">
        <v>1</v>
      </c>
      <c r="G592" t="n">
        <v>5</v>
      </c>
      <c r="H592" s="5">
        <f>HYPERLINK("https://api.qogita.com/variants/link/0784089051398/", "View Product")</f>
        <v/>
      </c>
    </row>
    <row r="593">
      <c r="A593" t="inlineStr">
        <is>
          <t>0785364104235</t>
        </is>
      </c>
      <c r="B593" t="inlineStr">
        <is>
          <t>Rose Hand Cream with Vitamin E 85g - Beauty Skincare Hand Cream</t>
        </is>
      </c>
      <c r="C593" t="inlineStr">
        <is>
          <t>Hand Cream</t>
        </is>
      </c>
      <c r="D593" t="inlineStr">
        <is>
          <t>Dermacol</t>
        </is>
      </c>
      <c r="E593" t="n">
        <v>6.34</v>
      </c>
      <c r="F593" t="n">
        <v>1</v>
      </c>
      <c r="G593" t="n">
        <v>5</v>
      </c>
      <c r="H593" s="5">
        <f>HYPERLINK("https://api.qogita.com/variants/link/0785364104235/", "View Product")</f>
        <v/>
      </c>
    </row>
    <row r="594">
      <c r="A594" t="inlineStr">
        <is>
          <t>0785364134515</t>
        </is>
      </c>
      <c r="B594" t="inlineStr">
        <is>
          <t>Mario Badescu Deodorant 68g</t>
        </is>
      </c>
      <c r="C594" t="inlineStr">
        <is>
          <t>Deodorant &amp; Anti-Perspirant</t>
        </is>
      </c>
      <c r="D594" t="inlineStr">
        <is>
          <t>Mario Badescu</t>
        </is>
      </c>
      <c r="E594" t="n">
        <v>11.33</v>
      </c>
      <c r="F594" t="n">
        <v>1</v>
      </c>
      <c r="G594" t="n">
        <v>3</v>
      </c>
      <c r="H594" s="5">
        <f>HYPERLINK("https://api.qogita.com/variants/link/0785364134515/", "View Product")</f>
        <v/>
      </c>
    </row>
    <row r="595">
      <c r="A595" t="inlineStr">
        <is>
          <t>0785364134546</t>
        </is>
      </c>
      <c r="B595" t="inlineStr">
        <is>
          <t>Facial Spray with Aloe, Adaptogens and Coconut Water 236ml</t>
        </is>
      </c>
      <c r="C595" t="inlineStr">
        <is>
          <t>Facial Spray</t>
        </is>
      </c>
      <c r="D595" t="inlineStr">
        <is>
          <t>Mario Badescu</t>
        </is>
      </c>
      <c r="E595" t="n">
        <v>9.1</v>
      </c>
      <c r="F595" t="n">
        <v>1</v>
      </c>
      <c r="G595" t="n">
        <v>6</v>
      </c>
      <c r="H595" s="5">
        <f>HYPERLINK("https://api.qogita.com/variants/link/0785364134546/", "View Product")</f>
        <v/>
      </c>
    </row>
    <row r="596">
      <c r="A596" t="inlineStr">
        <is>
          <t>0785364134683</t>
        </is>
      </c>
      <c r="B596" t="inlineStr">
        <is>
          <t>Mario Badescu Pore Minimizer Powder - 16 Grams</t>
        </is>
      </c>
      <c r="C596" t="inlineStr">
        <is>
          <t>Pimple &amp; Blackhead Treatments</t>
        </is>
      </c>
      <c r="D596" t="inlineStr">
        <is>
          <t>Mario Badescu</t>
        </is>
      </c>
      <c r="E596" t="n">
        <v>10.8</v>
      </c>
      <c r="F596" t="n">
        <v>1</v>
      </c>
      <c r="G596" t="n">
        <v>5</v>
      </c>
      <c r="H596" s="5">
        <f>HYPERLINK("https://api.qogita.com/variants/link/0785364134683/", "View Product")</f>
        <v/>
      </c>
    </row>
    <row r="597">
      <c r="A597" t="inlineStr">
        <is>
          <t>0785364900066</t>
        </is>
      </c>
      <c r="B597" t="inlineStr">
        <is>
          <t>Mario Badescu Aloe Moisturizer SPF 15 2 Fl Oz</t>
        </is>
      </c>
      <c r="C597" t="inlineStr">
        <is>
          <t>Face Sun Protection</t>
        </is>
      </c>
      <c r="D597" t="inlineStr">
        <is>
          <t>Mario Badescu</t>
        </is>
      </c>
      <c r="E597" t="n">
        <v>18.19</v>
      </c>
      <c r="F597" t="n">
        <v>1</v>
      </c>
      <c r="G597" t="n">
        <v>2</v>
      </c>
      <c r="H597" s="5">
        <f>HYPERLINK("https://api.qogita.com/variants/link/0785364900066/", "View Product")</f>
        <v/>
      </c>
    </row>
    <row r="598">
      <c r="A598" t="inlineStr">
        <is>
          <t>0787099964856</t>
        </is>
      </c>
      <c r="B598" t="inlineStr">
        <is>
          <t>Original Black Tea Body Scrub 100% Natural Exfoliator Polish for Soft Smooth Skin 100g</t>
        </is>
      </c>
      <c r="C598" t="inlineStr">
        <is>
          <t>Body Scrub &amp; Peeling</t>
        </is>
      </c>
      <c r="D598" t="inlineStr">
        <is>
          <t>Delhicious</t>
        </is>
      </c>
      <c r="E598" t="n">
        <v>8.98</v>
      </c>
      <c r="F598" t="n">
        <v>1</v>
      </c>
      <c r="G598" t="n">
        <v>6</v>
      </c>
      <c r="H598" s="5">
        <f>HYPERLINK("https://api.qogita.com/variants/link/0787099964856/", "View Product")</f>
        <v/>
      </c>
    </row>
    <row r="599">
      <c r="A599" t="inlineStr">
        <is>
          <t>0791511878133</t>
        </is>
      </c>
      <c r="B599" t="inlineStr">
        <is>
          <t>D.S. &amp; Durga Burning Barbershop Eau de Parfum 1.7oz 50ml</t>
        </is>
      </c>
      <c r="C599" t="inlineStr">
        <is>
          <t>Eau De Parfum</t>
        </is>
      </c>
      <c r="D599" t="inlineStr">
        <is>
          <t>D.S. &amp; Durga</t>
        </is>
      </c>
      <c r="E599" t="n">
        <v>112.54</v>
      </c>
      <c r="F599" t="n">
        <v>1</v>
      </c>
      <c r="G599" t="n">
        <v>5</v>
      </c>
      <c r="H599" s="5">
        <f>HYPERLINK("https://api.qogita.com/variants/link/0791511878133/", "View Product")</f>
        <v/>
      </c>
    </row>
    <row r="600">
      <c r="A600" t="inlineStr">
        <is>
          <t>0791511878218</t>
        </is>
      </c>
      <c r="B600" t="inlineStr">
        <is>
          <t>D.S. &amp; Durga Debaser for Women Eau de Parfum Spray 1.7oz</t>
        </is>
      </c>
      <c r="C600" t="inlineStr">
        <is>
          <t>Eau De Parfum</t>
        </is>
      </c>
      <c r="D600" t="inlineStr">
        <is>
          <t>D.S. &amp; Durga</t>
        </is>
      </c>
      <c r="E600" t="n">
        <v>112.54</v>
      </c>
      <c r="F600" t="n">
        <v>1</v>
      </c>
      <c r="G600" t="n">
        <v>14</v>
      </c>
      <c r="H600" s="5">
        <f>HYPERLINK("https://api.qogita.com/variants/link/0791511878218/", "View Product")</f>
        <v/>
      </c>
    </row>
    <row r="601">
      <c r="A601" t="inlineStr">
        <is>
          <t>0793675001525</t>
        </is>
      </c>
      <c r="B601" t="inlineStr">
        <is>
          <t>Penhaligon's Anthology Collection Zizonia Eau de Toilette for Men 100ml</t>
        </is>
      </c>
      <c r="C601" t="inlineStr">
        <is>
          <t>Eau De Toilette</t>
        </is>
      </c>
      <c r="D601" t="inlineStr">
        <is>
          <t>Penhaligon's London</t>
        </is>
      </c>
      <c r="E601" t="n">
        <v>48.73</v>
      </c>
      <c r="F601" t="n">
        <v>1</v>
      </c>
      <c r="G601" t="n">
        <v>27</v>
      </c>
      <c r="H601" s="5">
        <f>HYPERLINK("https://api.qogita.com/variants/link/0793675001525/", "View Product")</f>
        <v/>
      </c>
    </row>
    <row r="602">
      <c r="A602" t="inlineStr">
        <is>
          <t>0794995011454</t>
        </is>
      </c>
      <c r="B602" t="inlineStr">
        <is>
          <t>Daily Facial Serum with Succinic Acid &amp; Niacinamide (Re-surfacing Day Serum) 30 ml</t>
        </is>
      </c>
      <c r="C602" t="inlineStr">
        <is>
          <t>Glow Serum</t>
        </is>
      </c>
      <c r="D602" t="inlineStr">
        <is>
          <t>Carbon Theory</t>
        </is>
      </c>
      <c r="E602" t="n">
        <v>9.56</v>
      </c>
      <c r="F602" t="n">
        <v>1</v>
      </c>
      <c r="G602" t="n">
        <v>5</v>
      </c>
      <c r="H602" s="5">
        <f>HYPERLINK("https://api.qogita.com/variants/link/0794995011454/", "View Product")</f>
        <v/>
      </c>
    </row>
    <row r="603">
      <c r="A603" t="inlineStr">
        <is>
          <t>0800897108175</t>
        </is>
      </c>
      <c r="B603" t="inlineStr">
        <is>
          <t>NYX Professional Makeup Slim Lip Pencil Long-Lasting Creamy Lip Liner Hot Red</t>
        </is>
      </c>
      <c r="C603" t="inlineStr">
        <is>
          <t>Lip Liner</t>
        </is>
      </c>
      <c r="D603" t="inlineStr">
        <is>
          <t>NYX Professional Makeup</t>
        </is>
      </c>
      <c r="E603" t="n">
        <v>3.61</v>
      </c>
      <c r="F603" t="n">
        <v>1</v>
      </c>
      <c r="G603" t="n">
        <v>5</v>
      </c>
      <c r="H603" s="5">
        <f>HYPERLINK("https://api.qogita.com/variants/link/0800897108175/", "View Product")</f>
        <v/>
      </c>
    </row>
    <row r="604">
      <c r="A604" t="inlineStr">
        <is>
          <t>0800897197216</t>
        </is>
      </c>
      <c r="B604" t="inlineStr">
        <is>
          <t>Nyx Professional Makeup Epic Wear Liquid Liner Long-Lasting Waterproof Matte Eyeliner Yellow</t>
        </is>
      </c>
      <c r="C604" t="inlineStr">
        <is>
          <t>Eyeliner</t>
        </is>
      </c>
      <c r="D604" t="inlineStr">
        <is>
          <t>NYX Professional Makeup</t>
        </is>
      </c>
      <c r="E604" t="n">
        <v>7.33</v>
      </c>
      <c r="F604" t="n">
        <v>1</v>
      </c>
      <c r="G604" t="n">
        <v>2</v>
      </c>
      <c r="H604" s="5">
        <f>HYPERLINK("https://api.qogita.com/variants/link/0800897197216/", "View Product")</f>
        <v/>
      </c>
    </row>
    <row r="605">
      <c r="A605" t="inlineStr">
        <is>
          <t>0800897197841</t>
        </is>
      </c>
      <c r="B605" t="inlineStr">
        <is>
          <t>NYX Professional Makeup Butter Gloss Non-Sticky Lip Gloss Apple Crisp Modern Red 0.27 Fl Oz</t>
        </is>
      </c>
      <c r="C605" t="inlineStr">
        <is>
          <t>Lip Gloss</t>
        </is>
      </c>
      <c r="D605" t="inlineStr">
        <is>
          <t>NYX Professional Makeup</t>
        </is>
      </c>
      <c r="E605" t="n">
        <v>4.76</v>
      </c>
      <c r="F605" t="n">
        <v>1</v>
      </c>
      <c r="G605" t="n">
        <v>4</v>
      </c>
      <c r="H605" s="5">
        <f>HYPERLINK("https://api.qogita.com/variants/link/0800897197841/", "View Product")</f>
        <v/>
      </c>
    </row>
    <row r="606">
      <c r="A606" t="inlineStr">
        <is>
          <t>0800897221782</t>
        </is>
      </c>
      <c r="B606" t="inlineStr">
        <is>
          <t>NYX PROFESSIONAL MAKEUP Line Loud Lip Liner with Jojoba Oil and Vitamin E - Evil Genius 18 Black</t>
        </is>
      </c>
      <c r="C606" t="inlineStr">
        <is>
          <t>Lip Liner</t>
        </is>
      </c>
      <c r="D606" t="inlineStr">
        <is>
          <t>NYX Professional Makeup</t>
        </is>
      </c>
      <c r="E606" t="n">
        <v>5.42</v>
      </c>
      <c r="F606" t="n">
        <v>1</v>
      </c>
      <c r="G606" t="n">
        <v>2</v>
      </c>
      <c r="H606" s="5">
        <f>HYPERLINK("https://api.qogita.com/variants/link/0800897221782/", "View Product")</f>
        <v/>
      </c>
    </row>
    <row r="607">
      <c r="A607" t="inlineStr">
        <is>
          <t>0800897245030</t>
        </is>
      </c>
      <c r="B607" t="inlineStr">
        <is>
          <t>NYX Mechanical Eye Pencil White 0.34g</t>
        </is>
      </c>
      <c r="C607" t="inlineStr">
        <is>
          <t>Eye Pencil</t>
        </is>
      </c>
      <c r="D607" t="inlineStr">
        <is>
          <t>NYX Professional Makeup</t>
        </is>
      </c>
      <c r="E607" t="n">
        <v>6.74</v>
      </c>
      <c r="F607" t="n">
        <v>1</v>
      </c>
      <c r="G607" t="n">
        <v>2</v>
      </c>
      <c r="H607" s="5">
        <f>HYPERLINK("https://api.qogita.com/variants/link/0800897245030/", "View Product")</f>
        <v/>
      </c>
    </row>
    <row r="608">
      <c r="A608" t="inlineStr">
        <is>
          <t>0800897249281</t>
        </is>
      </c>
      <c r="B608" t="inlineStr">
        <is>
          <t>NYX Professional Makeup Correcting Concealer Stick Covers Blemishes Dark Spots Discoloration 12H Wear Vegan Formula Pro Fix Stick Deep Walnut 17 Deep Walnut</t>
        </is>
      </c>
      <c r="C608" t="inlineStr">
        <is>
          <t>Concealer</t>
        </is>
      </c>
      <c r="D608" t="inlineStr">
        <is>
          <t>NYX Professional Makeup</t>
        </is>
      </c>
      <c r="E608" t="n">
        <v>5.21</v>
      </c>
      <c r="F608" t="n">
        <v>1</v>
      </c>
      <c r="G608" t="n">
        <v>5</v>
      </c>
      <c r="H608" s="5">
        <f>HYPERLINK("https://api.qogita.com/variants/link/0800897249281/", "View Product")</f>
        <v/>
      </c>
    </row>
    <row r="609">
      <c r="A609" t="inlineStr">
        <is>
          <t>0800897254759</t>
        </is>
      </c>
      <c r="B609" t="inlineStr">
        <is>
          <t>NYX PROFESSIONAL MAKEUP Matte Buttermelt Bronzer Longwear Face Makeup Vegan Formula Butta Than U 08 0.17 Ounce</t>
        </is>
      </c>
      <c r="C609" t="inlineStr">
        <is>
          <t>Bronzer</t>
        </is>
      </c>
      <c r="D609" t="inlineStr">
        <is>
          <t>NYX Professional Makeup</t>
        </is>
      </c>
      <c r="E609" t="n">
        <v>6.35</v>
      </c>
      <c r="F609" t="n">
        <v>1</v>
      </c>
      <c r="G609" t="n">
        <v>3</v>
      </c>
      <c r="H609" s="5">
        <f>HYPERLINK("https://api.qogita.com/variants/link/0800897254759/", "View Product")</f>
        <v/>
      </c>
    </row>
    <row r="610">
      <c r="A610" t="inlineStr">
        <is>
          <t>0800897266691</t>
        </is>
      </c>
      <c r="B610" t="inlineStr">
        <is>
          <t>Nyx Professional Makeup Plumping Lip Liner - Up to 10 Hour Wear Matte</t>
        </is>
      </c>
      <c r="C610" t="inlineStr">
        <is>
          <t>Lip Liner</t>
        </is>
      </c>
      <c r="D610" t="inlineStr">
        <is>
          <t>NYX Professional Makeup</t>
        </is>
      </c>
      <c r="E610" t="n">
        <v>5.31</v>
      </c>
      <c r="F610" t="n">
        <v>1</v>
      </c>
      <c r="G610" t="n">
        <v>2</v>
      </c>
      <c r="H610" s="5">
        <f>HYPERLINK("https://api.qogita.com/variants/link/0800897266691/", "View Product")</f>
        <v/>
      </c>
    </row>
    <row r="611">
      <c r="A611" t="inlineStr">
        <is>
          <t>0800897266806</t>
        </is>
      </c>
      <c r="B611" t="inlineStr">
        <is>
          <t>Nyx Professional Makeup Buttermelt Glaze Soft Glow Skin Tint with SPF 30</t>
        </is>
      </c>
      <c r="C611" t="inlineStr">
        <is>
          <t>Foundation</t>
        </is>
      </c>
      <c r="D611" t="inlineStr">
        <is>
          <t>NYX Professional Makeup</t>
        </is>
      </c>
      <c r="E611" t="n">
        <v>7.17</v>
      </c>
      <c r="F611" t="n">
        <v>1</v>
      </c>
      <c r="G611" t="n">
        <v>6</v>
      </c>
      <c r="H611" s="5">
        <f>HYPERLINK("https://api.qogita.com/variants/link/0800897266806/", "View Product")</f>
        <v/>
      </c>
    </row>
    <row r="612">
      <c r="A612" t="inlineStr">
        <is>
          <t>0800897266820</t>
        </is>
      </c>
      <c r="B612" t="inlineStr">
        <is>
          <t>Nyx Professional Makeup Buttermelt Glaze Soft Glow Skin Tint with SPF 30</t>
        </is>
      </c>
      <c r="C612" t="inlineStr">
        <is>
          <t>Foundation</t>
        </is>
      </c>
      <c r="D612" t="inlineStr">
        <is>
          <t>NYX Professional Makeup</t>
        </is>
      </c>
      <c r="E612" t="n">
        <v>11.76</v>
      </c>
      <c r="F612" t="n">
        <v>1</v>
      </c>
      <c r="G612" t="n">
        <v>3</v>
      </c>
      <c r="H612" s="5">
        <f>HYPERLINK("https://api.qogita.com/variants/link/0800897266820/", "View Product")</f>
        <v/>
      </c>
    </row>
    <row r="613">
      <c r="A613" t="inlineStr">
        <is>
          <t>0810014320120</t>
        </is>
      </c>
      <c r="B613" t="inlineStr">
        <is>
          <t>StriVectin Hyperlift Eye Instant Eye Fix 10ml</t>
        </is>
      </c>
      <c r="C613" t="inlineStr">
        <is>
          <t>Eye Cream</t>
        </is>
      </c>
      <c r="D613" t="inlineStr">
        <is>
          <t>Strivectin</t>
        </is>
      </c>
      <c r="E613" t="n">
        <v>20.62</v>
      </c>
      <c r="F613" t="n">
        <v>1</v>
      </c>
      <c r="G613" t="n">
        <v>68</v>
      </c>
      <c r="H613" s="5">
        <f>HYPERLINK("https://api.qogita.com/variants/link/0810014320120/", "View Product")</f>
        <v/>
      </c>
    </row>
    <row r="614">
      <c r="A614" t="inlineStr">
        <is>
          <t>0810014321202</t>
        </is>
      </c>
      <c r="B614" t="inlineStr">
        <is>
          <t>StriVectin Tighten &amp; Lift Peptight 360 Degree Eye Serum 1 fl oz - Peptides for Wrinkles, Bags, and Puffiness</t>
        </is>
      </c>
      <c r="C614" t="inlineStr">
        <is>
          <t>Eye Serum</t>
        </is>
      </c>
      <c r="D614" t="inlineStr">
        <is>
          <t>Strivectin</t>
        </is>
      </c>
      <c r="E614" t="n">
        <v>26.67</v>
      </c>
      <c r="F614" t="n">
        <v>1</v>
      </c>
      <c r="G614" t="n">
        <v>27</v>
      </c>
      <c r="H614" s="5">
        <f>HYPERLINK("https://api.qogita.com/variants/link/0810014321202/", "View Product")</f>
        <v/>
      </c>
    </row>
    <row r="615">
      <c r="A615" t="inlineStr">
        <is>
          <t>0810014322322</t>
        </is>
      </c>
      <c r="B615" t="inlineStr">
        <is>
          <t>StriVectin Hyaluronic Omega Moisture Lip Mask 10ml Pink</t>
        </is>
      </c>
      <c r="C615" t="inlineStr">
        <is>
          <t>Lip Mask</t>
        </is>
      </c>
      <c r="D615" t="inlineStr">
        <is>
          <t>Strivectin</t>
        </is>
      </c>
      <c r="E615" t="n">
        <v>16.38</v>
      </c>
      <c r="F615" t="n">
        <v>1</v>
      </c>
      <c r="G615" t="n">
        <v>2</v>
      </c>
      <c r="H615" s="5">
        <f>HYPERLINK("https://api.qogita.com/variants/link/0810014322322/", "View Product")</f>
        <v/>
      </c>
    </row>
    <row r="616">
      <c r="A616" t="inlineStr">
        <is>
          <t>0810014323848</t>
        </is>
      </c>
      <c r="B616" t="inlineStr">
        <is>
          <t>StriVectin Brightening &amp; Firming Hand Cream 1 Oz 30ml Crepe Control for Dry Skin and Fewer Wrinkles</t>
        </is>
      </c>
      <c r="C616" t="inlineStr">
        <is>
          <t>Hand Cream</t>
        </is>
      </c>
      <c r="D616" t="inlineStr">
        <is>
          <t>Strivectin</t>
        </is>
      </c>
      <c r="E616" t="n">
        <v>13.84</v>
      </c>
      <c r="F616" t="n">
        <v>1</v>
      </c>
      <c r="G616" t="n">
        <v>8</v>
      </c>
      <c r="H616" s="5">
        <f>HYPERLINK("https://api.qogita.com/variants/link/0810014323848/", "View Product")</f>
        <v/>
      </c>
    </row>
    <row r="617">
      <c r="A617" t="inlineStr">
        <is>
          <t>0810014325385</t>
        </is>
      </c>
      <c r="B617" t="inlineStr">
        <is>
          <t>StriVectin Retinol Nightly Multi-Correct Serum Visibly Reducing Fines Lines and Wrinkles Restores Elasticity</t>
        </is>
      </c>
      <c r="C617" t="inlineStr">
        <is>
          <t>Anti-Aging Serum</t>
        </is>
      </c>
      <c r="D617" t="inlineStr">
        <is>
          <t>Strivectin</t>
        </is>
      </c>
      <c r="E617" t="n">
        <v>40.02</v>
      </c>
      <c r="F617" t="n">
        <v>1</v>
      </c>
      <c r="G617" t="n">
        <v>35</v>
      </c>
      <c r="H617" s="5">
        <f>HYPERLINK("https://api.qogita.com/variants/link/0810014325385/", "View Product")</f>
        <v/>
      </c>
    </row>
    <row r="618">
      <c r="A618" t="inlineStr">
        <is>
          <t>0810023673620</t>
        </is>
      </c>
      <c r="B618" t="inlineStr">
        <is>
          <t>Disco Darling By Kylie Minogue 75ml Edp Spray</t>
        </is>
      </c>
      <c r="C618" t="inlineStr">
        <is>
          <t>Eau De Parfum</t>
        </is>
      </c>
      <c r="D618" t="inlineStr">
        <is>
          <t>Scent Beauty</t>
        </is>
      </c>
      <c r="E618" t="n">
        <v>12.91</v>
      </c>
      <c r="F618" t="n">
        <v>1</v>
      </c>
      <c r="G618" t="n">
        <v>2</v>
      </c>
      <c r="H618" s="5">
        <f>HYPERLINK("https://api.qogita.com/variants/link/0810023673620/", "View Product")</f>
        <v/>
      </c>
    </row>
    <row r="619">
      <c r="A619" t="inlineStr">
        <is>
          <t>0810023673637</t>
        </is>
      </c>
      <c r="B619" t="inlineStr">
        <is>
          <t>Kylie Disco Darling EDP 30ml</t>
        </is>
      </c>
      <c r="C619" t="inlineStr">
        <is>
          <t>Eau De Parfum</t>
        </is>
      </c>
      <c r="D619" t="inlineStr">
        <is>
          <t>Kylie Minogue</t>
        </is>
      </c>
      <c r="E619" t="n">
        <v>8.81</v>
      </c>
      <c r="F619" t="n">
        <v>1</v>
      </c>
      <c r="G619" t="n">
        <v>12</v>
      </c>
      <c r="H619" s="5">
        <f>HYPERLINK("https://api.qogita.com/variants/link/0810023673637/", "View Product")</f>
        <v/>
      </c>
    </row>
    <row r="620">
      <c r="A620" t="inlineStr">
        <is>
          <t>0810101500091</t>
        </is>
      </c>
      <c r="B620" t="inlineStr">
        <is>
          <t>Mod Blush Eau de Parfum 30ml</t>
        </is>
      </c>
      <c r="C620" t="inlineStr">
        <is>
          <t>Eau De Parfum</t>
        </is>
      </c>
      <c r="D620" t="inlineStr">
        <is>
          <t>Ariana Grande</t>
        </is>
      </c>
      <c r="E620" t="n">
        <v>27.51</v>
      </c>
      <c r="F620" t="n">
        <v>1</v>
      </c>
      <c r="G620" t="n">
        <v>50</v>
      </c>
      <c r="H620" s="5">
        <f>HYPERLINK("https://api.qogita.com/variants/link/0810101500091/", "View Product")</f>
        <v/>
      </c>
    </row>
    <row r="621">
      <c r="A621" t="inlineStr">
        <is>
          <t>0810101501227</t>
        </is>
      </c>
      <c r="B621" t="inlineStr">
        <is>
          <t>Ariana Grande MOD Vanilla EDP 100ml</t>
        </is>
      </c>
      <c r="C621" t="inlineStr">
        <is>
          <t>Eau De Parfum</t>
        </is>
      </c>
      <c r="D621" t="inlineStr">
        <is>
          <t>Ariana Grande</t>
        </is>
      </c>
      <c r="E621" t="n">
        <v>44.66</v>
      </c>
      <c r="F621" t="n">
        <v>1</v>
      </c>
      <c r="G621" t="n">
        <v>92</v>
      </c>
      <c r="H621" s="5">
        <f>HYPERLINK("https://api.qogita.com/variants/link/0810101501227/", "View Product")</f>
        <v/>
      </c>
    </row>
    <row r="622">
      <c r="A622" t="inlineStr">
        <is>
          <t>0810101501234</t>
        </is>
      </c>
      <c r="B622" t="inlineStr">
        <is>
          <t>Mod Vanilla Eau de Parfum 30ml</t>
        </is>
      </c>
      <c r="C622" t="inlineStr">
        <is>
          <t>Eau De Parfum</t>
        </is>
      </c>
      <c r="D622" t="inlineStr">
        <is>
          <t>Ariana Grande</t>
        </is>
      </c>
      <c r="E622" t="n">
        <v>27.51</v>
      </c>
      <c r="F622" t="n">
        <v>1</v>
      </c>
      <c r="G622" t="n">
        <v>11</v>
      </c>
      <c r="H622" s="5">
        <f>HYPERLINK("https://api.qogita.com/variants/link/0810101501234/", "View Product")</f>
        <v/>
      </c>
    </row>
    <row r="623">
      <c r="A623" t="inlineStr">
        <is>
          <t>0810101502774</t>
        </is>
      </c>
      <c r="B623" t="inlineStr">
        <is>
          <t>Cloud Pink Eau de Parfum Volume 30 ml</t>
        </is>
      </c>
      <c r="C623" t="inlineStr">
        <is>
          <t>Eau De Parfum</t>
        </is>
      </c>
      <c r="D623" t="inlineStr">
        <is>
          <t>Ariana Grande</t>
        </is>
      </c>
      <c r="E623" t="n">
        <v>24.1</v>
      </c>
      <c r="F623" t="n">
        <v>1</v>
      </c>
      <c r="G623" t="n">
        <v>22</v>
      </c>
      <c r="H623" s="5">
        <f>HYPERLINK("https://api.qogita.com/variants/link/0810101502774/", "View Product")</f>
        <v/>
      </c>
    </row>
    <row r="624">
      <c r="A624" t="inlineStr">
        <is>
          <t>0810122100119</t>
        </is>
      </c>
      <c r="B624" t="inlineStr">
        <is>
          <t>D.S. &amp; Durga Steamed Rainbow Eau De Parfum Spray 1.7 Ounce Unisex</t>
        </is>
      </c>
      <c r="C624" t="inlineStr">
        <is>
          <t>Eau De Parfum</t>
        </is>
      </c>
      <c r="D624" t="inlineStr">
        <is>
          <t>D.S. &amp; Durga</t>
        </is>
      </c>
      <c r="E624" t="n">
        <v>112.54</v>
      </c>
      <c r="F624" t="n">
        <v>1</v>
      </c>
      <c r="G624" t="n">
        <v>9</v>
      </c>
      <c r="H624" s="5">
        <f>HYPERLINK("https://api.qogita.com/variants/link/0810122100119/", "View Product")</f>
        <v/>
      </c>
    </row>
    <row r="625">
      <c r="A625" t="inlineStr">
        <is>
          <t>0810122102458</t>
        </is>
      </c>
      <c r="B625" t="inlineStr">
        <is>
          <t>Ds &amp; Durga Deluxe Box Set 6 x 10ml EDP</t>
        </is>
      </c>
      <c r="C625" t="inlineStr">
        <is>
          <t>Fragrance Sets</t>
        </is>
      </c>
      <c r="D625" t="inlineStr">
        <is>
          <t>D.S. &amp; Durga</t>
        </is>
      </c>
      <c r="E625" t="n">
        <v>171.34</v>
      </c>
      <c r="F625" t="n">
        <v>1</v>
      </c>
      <c r="G625" t="n">
        <v>5</v>
      </c>
      <c r="H625" s="5">
        <f>HYPERLINK("https://api.qogita.com/variants/link/0810122102458/", "View Product")</f>
        <v/>
      </c>
    </row>
    <row r="626">
      <c r="A626" t="inlineStr">
        <is>
          <t>0810763033159</t>
        </is>
      </c>
      <c r="B626" t="inlineStr">
        <is>
          <t>Fenty Killawatt Freestyle Highlighter Duo Afternoon Snack/Mo' Hunny</t>
        </is>
      </c>
      <c r="C626" t="inlineStr">
        <is>
          <t>Highlighter</t>
        </is>
      </c>
      <c r="D626" t="inlineStr">
        <is>
          <t>Fenty Beauty by Rihanna</t>
        </is>
      </c>
      <c r="E626" t="n">
        <v>32.29</v>
      </c>
      <c r="F626" t="n">
        <v>1</v>
      </c>
      <c r="G626" t="n">
        <v>5</v>
      </c>
      <c r="H626" s="5">
        <f>HYPERLINK("https://api.qogita.com/variants/link/0810763033159/", "View Product")</f>
        <v/>
      </c>
    </row>
    <row r="627">
      <c r="A627" t="inlineStr">
        <is>
          <t>0810876032292</t>
        </is>
      </c>
      <c r="B627" t="inlineStr">
        <is>
          <t>Blue Collection by Alfa Romeo Eau de Toilette Spray 75ml</t>
        </is>
      </c>
      <c r="C627" t="inlineStr">
        <is>
          <t>Eau De Toilette</t>
        </is>
      </c>
      <c r="D627" t="inlineStr">
        <is>
          <t>Alfa Romeo</t>
        </is>
      </c>
      <c r="E627" t="n">
        <v>8.34</v>
      </c>
      <c r="F627" t="n">
        <v>1</v>
      </c>
      <c r="G627" t="n">
        <v>3</v>
      </c>
      <c r="H627" s="5">
        <f>HYPERLINK("https://api.qogita.com/variants/link/0810876032292/", "View Product")</f>
        <v/>
      </c>
    </row>
    <row r="628">
      <c r="A628" t="inlineStr">
        <is>
          <t>0810876033084</t>
        </is>
      </c>
      <c r="B628" t="inlineStr">
        <is>
          <t>Liu Jo Classy Wild Rose Body Water Fragrance for Women 200ml - Pack with Samples Gift</t>
        </is>
      </c>
      <c r="C628" t="inlineStr">
        <is>
          <t>Fragrance Sets</t>
        </is>
      </c>
      <c r="D628" t="inlineStr">
        <is>
          <t>Liu Jo</t>
        </is>
      </c>
      <c r="E628" t="n">
        <v>10.2</v>
      </c>
      <c r="F628" t="n">
        <v>1</v>
      </c>
      <c r="G628" t="n">
        <v>5</v>
      </c>
      <c r="H628" s="5">
        <f>HYPERLINK("https://api.qogita.com/variants/link/0810876033084/", "View Product")</f>
        <v/>
      </c>
    </row>
    <row r="629">
      <c r="A629" t="inlineStr">
        <is>
          <t>0810876037198</t>
        </is>
      </c>
      <c r="B629" t="inlineStr">
        <is>
          <t>Lamborghini Sportivo Eau De Toilette 75ml</t>
        </is>
      </c>
      <c r="C629" t="inlineStr">
        <is>
          <t>Eau De Toilette</t>
        </is>
      </c>
      <c r="D629" t="inlineStr">
        <is>
          <t>Tonino Lamborghini</t>
        </is>
      </c>
      <c r="E629" t="n">
        <v>6.86</v>
      </c>
      <c r="F629" t="n">
        <v>1</v>
      </c>
      <c r="G629" t="n">
        <v>23</v>
      </c>
      <c r="H629" s="5">
        <f>HYPERLINK("https://api.qogita.com/variants/link/0810876037198/", "View Product")</f>
        <v/>
      </c>
    </row>
    <row r="630">
      <c r="A630" t="inlineStr">
        <is>
          <t>0810876037921</t>
        </is>
      </c>
      <c r="B630" t="inlineStr">
        <is>
          <t>Tonino Lamborghini Prestigio 200ml Eau de Toilette for Men - Brand New in Original Packaging</t>
        </is>
      </c>
      <c r="C630" t="inlineStr">
        <is>
          <t>Eau De Toilette</t>
        </is>
      </c>
      <c r="D630" t="inlineStr">
        <is>
          <t>Tonino Lamborghini</t>
        </is>
      </c>
      <c r="E630" t="n">
        <v>11.81</v>
      </c>
      <c r="F630" t="n">
        <v>1</v>
      </c>
      <c r="G630" t="n">
        <v>7</v>
      </c>
      <c r="H630" s="5">
        <f>HYPERLINK("https://api.qogita.com/variants/link/0810876037921/", "View Product")</f>
        <v/>
      </c>
    </row>
    <row r="631">
      <c r="A631" t="inlineStr">
        <is>
          <t>0810876038102</t>
        </is>
      </c>
      <c r="B631" t="inlineStr">
        <is>
          <t>Tonino Lamborghini Millennials Dynamic EDT Spray 40ml</t>
        </is>
      </c>
      <c r="C631" t="inlineStr">
        <is>
          <t>Eau De Toilette</t>
        </is>
      </c>
      <c r="D631" t="inlineStr">
        <is>
          <t>Tonino Lamborghini</t>
        </is>
      </c>
      <c r="E631" t="n">
        <v>6.26</v>
      </c>
      <c r="F631" t="n">
        <v>1</v>
      </c>
      <c r="G631" t="n">
        <v>7</v>
      </c>
      <c r="H631" s="5">
        <f>HYPERLINK("https://api.qogita.com/variants/link/0810876038102/", "View Product")</f>
        <v/>
      </c>
    </row>
    <row r="632">
      <c r="A632" t="inlineStr">
        <is>
          <t>0810876038270</t>
        </is>
      </c>
      <c r="B632" t="inlineStr">
        <is>
          <t>Tonino Lamborghini Acqua 200ml Eau De Toilette Men's Perfume</t>
        </is>
      </c>
      <c r="C632" t="inlineStr">
        <is>
          <t>Eau De Toilette</t>
        </is>
      </c>
      <c r="D632" t="inlineStr">
        <is>
          <t>Tonino Lamborghini</t>
        </is>
      </c>
      <c r="E632" t="n">
        <v>12.75</v>
      </c>
      <c r="F632" t="n">
        <v>1</v>
      </c>
      <c r="G632" t="n">
        <v>23</v>
      </c>
      <c r="H632" s="5">
        <f>HYPERLINK("https://api.qogita.com/variants/link/0810876038270/", "View Product")</f>
        <v/>
      </c>
    </row>
    <row r="633">
      <c r="A633" t="inlineStr">
        <is>
          <t>0810876038430</t>
        </is>
      </c>
      <c r="B633" t="inlineStr">
        <is>
          <t>Tonino Lamborghini Acqua Eau De Toilette 125ml - Shower Gel</t>
        </is>
      </c>
      <c r="C633" t="inlineStr">
        <is>
          <t>Fragrance</t>
        </is>
      </c>
      <c r="D633" t="inlineStr">
        <is>
          <t>Tonino Lamborghini</t>
        </is>
      </c>
      <c r="E633" t="n">
        <v>8.4</v>
      </c>
      <c r="F633" t="n">
        <v>1</v>
      </c>
      <c r="G633" t="n">
        <v>84</v>
      </c>
      <c r="H633" s="5">
        <f>HYPERLINK("https://api.qogita.com/variants/link/0810876038430/", "View Product")</f>
        <v/>
      </c>
    </row>
    <row r="634">
      <c r="A634" t="inlineStr">
        <is>
          <t>0810876039451</t>
        </is>
      </c>
      <c r="B634" t="inlineStr">
        <is>
          <t>Alfa Romeo Gift Set Men's Green Black Blue Red Fragrances Eau De Toilette Spray - 4 X 15 Ml</t>
        </is>
      </c>
      <c r="C634" t="inlineStr">
        <is>
          <t>Fragrance Sets</t>
        </is>
      </c>
      <c r="D634" t="inlineStr">
        <is>
          <t>Alfa Romeo</t>
        </is>
      </c>
      <c r="E634" t="n">
        <v>9.43</v>
      </c>
      <c r="F634" t="n">
        <v>1</v>
      </c>
      <c r="G634" t="n">
        <v>11</v>
      </c>
      <c r="H634" s="5">
        <f>HYPERLINK("https://api.qogita.com/variants/link/0810876039451/", "View Product")</f>
        <v/>
      </c>
    </row>
    <row r="635">
      <c r="A635" t="inlineStr">
        <is>
          <t>0810876039949</t>
        </is>
      </c>
      <c r="B635" t="inlineStr">
        <is>
          <t>Liu Jo Lovely U Eau de Parfum Spray 50ml</t>
        </is>
      </c>
      <c r="C635" t="inlineStr">
        <is>
          <t>Eau De Parfum</t>
        </is>
      </c>
      <c r="D635" t="inlineStr">
        <is>
          <t>Liu Jo</t>
        </is>
      </c>
      <c r="E635" t="n">
        <v>11</v>
      </c>
      <c r="F635" t="n">
        <v>1</v>
      </c>
      <c r="G635" t="n">
        <v>8</v>
      </c>
      <c r="H635" s="5">
        <f>HYPERLINK("https://api.qogita.com/variants/link/0810876039949/", "View Product")</f>
        <v/>
      </c>
    </row>
    <row r="636">
      <c r="A636" t="inlineStr">
        <is>
          <t>0810907028102</t>
        </is>
      </c>
      <c r="B636" t="inlineStr">
        <is>
          <t>StriVectin Anti-Wrinkle Double Fix for Lips Plump and Smooth Vertical Lines Hydrating Two-in-One Treatment 0.16 Fl O</t>
        </is>
      </c>
      <c r="C636" t="inlineStr">
        <is>
          <t>Lip Serum</t>
        </is>
      </c>
      <c r="D636" t="inlineStr">
        <is>
          <t>Strivectin</t>
        </is>
      </c>
      <c r="E636" t="n">
        <v>13.74</v>
      </c>
      <c r="F636" t="n">
        <v>1</v>
      </c>
      <c r="G636" t="n">
        <v>24</v>
      </c>
      <c r="H636" s="5">
        <f>HYPERLINK("https://api.qogita.com/variants/link/0810907028102/", "View Product")</f>
        <v/>
      </c>
    </row>
    <row r="637">
      <c r="A637" t="inlineStr">
        <is>
          <t>0810907029093</t>
        </is>
      </c>
      <c r="B637" t="inlineStr">
        <is>
          <t>StriVectin Comforting Cream Cleanser Anti-Wrinkle 150ml</t>
        </is>
      </c>
      <c r="C637" t="inlineStr">
        <is>
          <t>Cleansing Cream</t>
        </is>
      </c>
      <c r="D637" t="inlineStr">
        <is>
          <t>Strivectin</t>
        </is>
      </c>
      <c r="E637" t="n">
        <v>12.72</v>
      </c>
      <c r="F637" t="n">
        <v>1</v>
      </c>
      <c r="G637" t="n">
        <v>4</v>
      </c>
      <c r="H637" s="5">
        <f>HYPERLINK("https://api.qogita.com/variants/link/0810907029093/", "View Product")</f>
        <v/>
      </c>
    </row>
    <row r="638">
      <c r="A638" t="inlineStr">
        <is>
          <t>0810912034976</t>
        </is>
      </c>
      <c r="B638" t="inlineStr">
        <is>
          <t>Rio Radiance SPF 50 Body Spray by Sol De Janeiro 170ml</t>
        </is>
      </c>
      <c r="C638" t="inlineStr">
        <is>
          <t>Body Sun Protection</t>
        </is>
      </c>
      <c r="D638" t="inlineStr">
        <is>
          <t>Sol De Janeiro</t>
        </is>
      </c>
      <c r="E638" t="n">
        <v>31.4</v>
      </c>
      <c r="F638" t="n">
        <v>1</v>
      </c>
      <c r="G638" t="n">
        <v>10</v>
      </c>
      <c r="H638" s="5">
        <f>HYPERLINK("https://api.qogita.com/variants/link/0810912034976/", "View Product")</f>
        <v/>
      </c>
    </row>
    <row r="639">
      <c r="A639" t="inlineStr">
        <is>
          <t>0811913018194</t>
        </is>
      </c>
      <c r="B639" t="inlineStr">
        <is>
          <t>Balm d'or Heat Styling Shield Protective Treatment 100ml</t>
        </is>
      </c>
      <c r="C639" t="inlineStr">
        <is>
          <t>Heat Protection</t>
        </is>
      </c>
      <c r="D639" t="inlineStr">
        <is>
          <t>Oribe</t>
        </is>
      </c>
      <c r="E639" t="n">
        <v>52.32</v>
      </c>
      <c r="F639" t="n">
        <v>1</v>
      </c>
      <c r="G639" t="n">
        <v>5</v>
      </c>
      <c r="H639" s="5">
        <f>HYPERLINK("https://api.qogita.com/variants/link/0811913018194/", "View Product")</f>
        <v/>
      </c>
    </row>
    <row r="640">
      <c r="A640" t="inlineStr">
        <is>
          <t>0811913018361</t>
        </is>
      </c>
      <c r="B640" t="inlineStr">
        <is>
          <t>Oribe Conditioner for Magnificent Volume 6.76 Fl Oz</t>
        </is>
      </c>
      <c r="C640" t="inlineStr">
        <is>
          <t>Conditioner</t>
        </is>
      </c>
      <c r="D640" t="inlineStr">
        <is>
          <t>Oribe</t>
        </is>
      </c>
      <c r="E640" t="n">
        <v>47.8</v>
      </c>
      <c r="F640" t="n">
        <v>1</v>
      </c>
      <c r="G640" t="n">
        <v>3</v>
      </c>
      <c r="H640" s="5">
        <f>HYPERLINK("https://api.qogita.com/variants/link/0811913018361/", "View Product")</f>
        <v/>
      </c>
    </row>
    <row r="641">
      <c r="A641" t="inlineStr">
        <is>
          <t>0811913018712</t>
        </is>
      </c>
      <c r="B641" t="inlineStr">
        <is>
          <t>Oribe Signature Moisture Masque 5.9oz Unisex</t>
        </is>
      </c>
      <c r="C641" t="inlineStr">
        <is>
          <t>Hair Masks</t>
        </is>
      </c>
      <c r="D641" t="inlineStr">
        <is>
          <t>Oribe</t>
        </is>
      </c>
      <c r="E641" t="n">
        <v>64.39</v>
      </c>
      <c r="F641" t="n">
        <v>1</v>
      </c>
      <c r="G641" t="n">
        <v>5</v>
      </c>
      <c r="H641" s="5">
        <f>HYPERLINK("https://api.qogita.com/variants/link/0811913018712/", "View Product")</f>
        <v/>
      </c>
    </row>
    <row r="642">
      <c r="A642" t="inlineStr">
        <is>
          <t>0812256020301</t>
        </is>
      </c>
      <c r="B642" t="inlineStr">
        <is>
          <t>Ariana Grande Eau de Parfum 100ml</t>
        </is>
      </c>
      <c r="C642" t="inlineStr">
        <is>
          <t>Eau De Parfum</t>
        </is>
      </c>
      <c r="D642" t="inlineStr">
        <is>
          <t>Ariana Grande</t>
        </is>
      </c>
      <c r="E642" t="n">
        <v>31.19</v>
      </c>
      <c r="F642" t="n">
        <v>1</v>
      </c>
      <c r="G642" t="n">
        <v>1</v>
      </c>
      <c r="H642" s="5">
        <f>HYPERLINK("https://api.qogita.com/variants/link/0812256020301/", "View Product")</f>
        <v/>
      </c>
    </row>
    <row r="643">
      <c r="A643" t="inlineStr">
        <is>
          <t>0812256021735</t>
        </is>
      </c>
      <c r="B643" t="inlineStr">
        <is>
          <t>Ariana Grande Sweet Like Candy Eau de Perfume Spray 30ml</t>
        </is>
      </c>
      <c r="C643" t="inlineStr">
        <is>
          <t>Eau De Parfum</t>
        </is>
      </c>
      <c r="D643" t="inlineStr">
        <is>
          <t>Ariana Grande</t>
        </is>
      </c>
      <c r="E643" t="n">
        <v>21.4</v>
      </c>
      <c r="F643" t="n">
        <v>1</v>
      </c>
      <c r="G643" t="n">
        <v>61</v>
      </c>
      <c r="H643" s="5">
        <f>HYPERLINK("https://api.qogita.com/variants/link/0812256021735/", "View Product")</f>
        <v/>
      </c>
    </row>
    <row r="644">
      <c r="A644" t="inlineStr">
        <is>
          <t>0812256023104</t>
        </is>
      </c>
      <c r="B644" t="inlineStr">
        <is>
          <t>Ariana Grande Moonlight Body Mist 236ml</t>
        </is>
      </c>
      <c r="C644" t="inlineStr">
        <is>
          <t>Fragrance Sets</t>
        </is>
      </c>
      <c r="D644" t="inlineStr">
        <is>
          <t>Ariana Grande</t>
        </is>
      </c>
      <c r="E644" t="n">
        <v>9.720000000000001</v>
      </c>
      <c r="F644" t="n">
        <v>1</v>
      </c>
      <c r="G644" t="n">
        <v>9</v>
      </c>
      <c r="H644" s="5">
        <f>HYPERLINK("https://api.qogita.com/variants/link/0812256023104/", "View Product")</f>
        <v/>
      </c>
    </row>
    <row r="645">
      <c r="A645" t="inlineStr">
        <is>
          <t>0812256023302</t>
        </is>
      </c>
      <c r="B645" t="inlineStr">
        <is>
          <t>Ariana Grande Cloud Eau de Parfum Spray 30ml</t>
        </is>
      </c>
      <c r="C645" t="inlineStr">
        <is>
          <t>Eau De Parfum</t>
        </is>
      </c>
      <c r="D645" t="inlineStr">
        <is>
          <t>Ariana Grande</t>
        </is>
      </c>
      <c r="E645" t="n">
        <v>26.2</v>
      </c>
      <c r="F645" t="n">
        <v>1</v>
      </c>
      <c r="G645" t="n">
        <v>227</v>
      </c>
      <c r="H645" s="5">
        <f>HYPERLINK("https://api.qogita.com/variants/link/0812256023302/", "View Product")</f>
        <v/>
      </c>
    </row>
    <row r="646">
      <c r="A646" t="inlineStr">
        <is>
          <t>0812256025474</t>
        </is>
      </c>
      <c r="B646" t="inlineStr">
        <is>
          <t>Ariana Grande R.E.M Eau De Parfum 50ml Amber Vanilla</t>
        </is>
      </c>
      <c r="C646" t="inlineStr">
        <is>
          <t>Eau De Parfum</t>
        </is>
      </c>
      <c r="D646" t="inlineStr">
        <is>
          <t>Ariana Grande</t>
        </is>
      </c>
      <c r="E646" t="n">
        <v>26.11</v>
      </c>
      <c r="F646" t="n">
        <v>1</v>
      </c>
      <c r="G646" t="n">
        <v>25</v>
      </c>
      <c r="H646" s="5">
        <f>HYPERLINK("https://api.qogita.com/variants/link/0812256025474/", "View Product")</f>
        <v/>
      </c>
    </row>
    <row r="647">
      <c r="A647" t="inlineStr">
        <is>
          <t>0812256028499</t>
        </is>
      </c>
      <c r="B647" t="inlineStr">
        <is>
          <t>Ariana Grande God Is A Woman Eau de Parfum Spray 30ml</t>
        </is>
      </c>
      <c r="C647" t="inlineStr">
        <is>
          <t>Eau De Parfum</t>
        </is>
      </c>
      <c r="D647" t="inlineStr">
        <is>
          <t>Ariana Grande</t>
        </is>
      </c>
      <c r="E647" t="n">
        <v>20.08</v>
      </c>
      <c r="F647" t="n">
        <v>1</v>
      </c>
      <c r="G647" t="n">
        <v>32</v>
      </c>
      <c r="H647" s="5">
        <f>HYPERLINK("https://api.qogita.com/variants/link/0812256028499/", "View Product")</f>
        <v/>
      </c>
    </row>
    <row r="648">
      <c r="A648" t="inlineStr">
        <is>
          <t>0815305021328</t>
        </is>
      </c>
      <c r="B648" t="inlineStr">
        <is>
          <t>Living Proof Style Lab Blowout 148ml</t>
        </is>
      </c>
      <c r="C648" t="inlineStr">
        <is>
          <t>Styling Sprays</t>
        </is>
      </c>
      <c r="D648" t="inlineStr">
        <is>
          <t>Living Proof</t>
        </is>
      </c>
      <c r="E648" t="n">
        <v>27</v>
      </c>
      <c r="F648" t="n">
        <v>1</v>
      </c>
      <c r="G648" t="n">
        <v>5</v>
      </c>
      <c r="H648" s="5">
        <f>HYPERLINK("https://api.qogita.com/variants/link/0815305021328/", "View Product")</f>
        <v/>
      </c>
    </row>
    <row r="649">
      <c r="A649" t="inlineStr">
        <is>
          <t>0815305025968</t>
        </is>
      </c>
      <c r="B649" t="inlineStr">
        <is>
          <t>Living Proof Curl Definer 190ml</t>
        </is>
      </c>
      <c r="C649" t="inlineStr">
        <is>
          <t>Hair Care Sets</t>
        </is>
      </c>
      <c r="D649" t="inlineStr">
        <is>
          <t>Living Proof</t>
        </is>
      </c>
      <c r="E649" t="n">
        <v>32.38</v>
      </c>
      <c r="F649" t="n">
        <v>1</v>
      </c>
      <c r="G649" t="n">
        <v>5</v>
      </c>
      <c r="H649" s="5">
        <f>HYPERLINK("https://api.qogita.com/variants/link/0815305025968/", "View Product")</f>
        <v/>
      </c>
    </row>
    <row r="650">
      <c r="A650" t="inlineStr">
        <is>
          <t>0815305025982</t>
        </is>
      </c>
      <c r="B650" t="inlineStr">
        <is>
          <t>Living Proof Curl Elongator 236ml</t>
        </is>
      </c>
      <c r="C650" t="inlineStr">
        <is>
          <t>Conditioner</t>
        </is>
      </c>
      <c r="D650" t="inlineStr">
        <is>
          <t>Living Proof</t>
        </is>
      </c>
      <c r="E650" t="n">
        <v>36.93</v>
      </c>
      <c r="F650" t="n">
        <v>1</v>
      </c>
      <c r="G650" t="n">
        <v>5</v>
      </c>
      <c r="H650" s="5">
        <f>HYPERLINK("https://api.qogita.com/variants/link/0815305025982/", "View Product")</f>
        <v/>
      </c>
    </row>
    <row r="651">
      <c r="A651" t="inlineStr">
        <is>
          <t>0815305026026</t>
        </is>
      </c>
      <c r="B651" t="inlineStr">
        <is>
          <t>Living Proof Curl Moisturizing Shine Oil 50ml</t>
        </is>
      </c>
      <c r="C651" t="inlineStr">
        <is>
          <t>Hair Oil &amp; Hair Serum</t>
        </is>
      </c>
      <c r="D651" t="inlineStr">
        <is>
          <t>Living Proof</t>
        </is>
      </c>
      <c r="E651" t="n">
        <v>28.8</v>
      </c>
      <c r="F651" t="n">
        <v>1</v>
      </c>
      <c r="G651" t="n">
        <v>5</v>
      </c>
      <c r="H651" s="5">
        <f>HYPERLINK("https://api.qogita.com/variants/link/0815305026026/", "View Product")</f>
        <v/>
      </c>
    </row>
    <row r="652">
      <c r="A652" t="inlineStr">
        <is>
          <t>0815305028303</t>
        </is>
      </c>
      <c r="B652" t="inlineStr">
        <is>
          <t>Living Proof Curl Enhancer Conditioning Styler to Enhance Natural Curl Pattern 100g</t>
        </is>
      </c>
      <c r="C652" t="inlineStr">
        <is>
          <t>Leave-In Conditioner</t>
        </is>
      </c>
      <c r="D652" t="inlineStr">
        <is>
          <t>Living Proof</t>
        </is>
      </c>
      <c r="E652" t="n">
        <v>17.12</v>
      </c>
      <c r="F652" t="n">
        <v>1</v>
      </c>
      <c r="G652" t="n">
        <v>5</v>
      </c>
      <c r="H652" s="5">
        <f>HYPERLINK("https://api.qogita.com/variants/link/0815305028303/", "View Product")</f>
        <v/>
      </c>
    </row>
    <row r="653">
      <c r="A653" t="inlineStr">
        <is>
          <t>0815401010608</t>
        </is>
      </c>
      <c r="B653" t="inlineStr">
        <is>
          <t>GK HAIR Global Keratin Balancing Conditioner 1000ml 33.8 Fl Oz for Oily and Color Treated Hair</t>
        </is>
      </c>
      <c r="C653" t="inlineStr">
        <is>
          <t>Conditioner</t>
        </is>
      </c>
      <c r="D653" t="inlineStr">
        <is>
          <t>Gk Hair</t>
        </is>
      </c>
      <c r="E653" t="n">
        <v>26.22</v>
      </c>
      <c r="F653" t="n">
        <v>1</v>
      </c>
      <c r="G653" t="n">
        <v>3</v>
      </c>
      <c r="H653" s="5">
        <f>HYPERLINK("https://api.qogita.com/variants/link/0815401010608/", "View Product")</f>
        <v/>
      </c>
    </row>
    <row r="654">
      <c r="A654" t="inlineStr">
        <is>
          <t>0815857010481</t>
        </is>
      </c>
      <c r="B654" t="inlineStr">
        <is>
          <t>Macadamia Professional Nourishing Repair Conditioner 300ml</t>
        </is>
      </c>
      <c r="C654" t="inlineStr">
        <is>
          <t>Conditioner</t>
        </is>
      </c>
      <c r="D654" t="inlineStr">
        <is>
          <t>Macadamia</t>
        </is>
      </c>
      <c r="E654" t="n">
        <v>11.69</v>
      </c>
      <c r="F654" t="n">
        <v>1</v>
      </c>
      <c r="G654" t="n">
        <v>5</v>
      </c>
      <c r="H654" s="5">
        <f>HYPERLINK("https://api.qogita.com/variants/link/0815857010481/", "View Product")</f>
        <v/>
      </c>
    </row>
    <row r="655">
      <c r="A655" t="inlineStr">
        <is>
          <t>0816378020928</t>
        </is>
      </c>
      <c r="B655" t="inlineStr">
        <is>
          <t>DS Laboratories Spectral.RS Topical Treatment for Thinning Hair 60ml</t>
        </is>
      </c>
      <c r="C655" t="inlineStr">
        <is>
          <t>Hair Tonic</t>
        </is>
      </c>
      <c r="D655" t="inlineStr">
        <is>
          <t>Ds Laboratories</t>
        </is>
      </c>
      <c r="E655" t="n">
        <v>37.75</v>
      </c>
      <c r="F655" t="n">
        <v>1</v>
      </c>
      <c r="G655" t="n">
        <v>10</v>
      </c>
      <c r="H655" s="5">
        <f>HYPERLINK("https://api.qogita.com/variants/link/0816378020928/", "View Product")</f>
        <v/>
      </c>
    </row>
    <row r="656">
      <c r="A656" t="inlineStr">
        <is>
          <t>0816378022076</t>
        </is>
      </c>
      <c r="B656" t="inlineStr">
        <is>
          <t>REVITA SOD Anti-Fall 30 Tablets</t>
        </is>
      </c>
      <c r="C656" t="inlineStr">
        <is>
          <t>Vitamin</t>
        </is>
      </c>
      <c r="D656" t="inlineStr">
        <is>
          <t>Revita</t>
        </is>
      </c>
      <c r="E656" t="n">
        <v>28.05</v>
      </c>
      <c r="F656" t="n">
        <v>1</v>
      </c>
      <c r="G656" t="n">
        <v>4</v>
      </c>
      <c r="H656" s="5">
        <f>HYPERLINK("https://api.qogita.com/variants/link/0816378022076/", "View Product")</f>
        <v/>
      </c>
    </row>
    <row r="657">
      <c r="A657" t="inlineStr">
        <is>
          <t>0816657023145</t>
        </is>
      </c>
      <c r="B657" t="inlineStr">
        <is>
          <t>Fenty Beauty by Rihanna Pro Filt'r Soft Matte Longwear Foundation #420 Deep Skin with Neutral Undertones 1 Count</t>
        </is>
      </c>
      <c r="C657" t="inlineStr">
        <is>
          <t>Foundation</t>
        </is>
      </c>
      <c r="D657" t="inlineStr">
        <is>
          <t>Fenty Beauty by Rihanna</t>
        </is>
      </c>
      <c r="E657" t="n">
        <v>31.39</v>
      </c>
      <c r="F657" t="n">
        <v>1</v>
      </c>
      <c r="G657" t="n">
        <v>10</v>
      </c>
      <c r="H657" s="5">
        <f>HYPERLINK("https://api.qogita.com/variants/link/0816657023145/", "View Product")</f>
        <v/>
      </c>
    </row>
    <row r="658">
      <c r="A658" t="inlineStr">
        <is>
          <t>0817891024837</t>
        </is>
      </c>
      <c r="B658" t="inlineStr">
        <is>
          <t>UPPERCUT DELUXE Clear Scalp Shampoo 8.0 fl. oz.</t>
        </is>
      </c>
      <c r="C658" t="inlineStr">
        <is>
          <t>Shampoo</t>
        </is>
      </c>
      <c r="D658" t="inlineStr">
        <is>
          <t>Uppercut Deluxe</t>
        </is>
      </c>
      <c r="E658" t="n">
        <v>9.83</v>
      </c>
      <c r="F658" t="n">
        <v>1</v>
      </c>
      <c r="G658" t="n">
        <v>3</v>
      </c>
      <c r="H658" s="5">
        <f>HYPERLINK("https://api.qogita.com/variants/link/0817891024837/", "View Product")</f>
        <v/>
      </c>
    </row>
    <row r="659">
      <c r="A659" t="inlineStr">
        <is>
          <t>0817891024936</t>
        </is>
      </c>
      <c r="B659" t="inlineStr">
        <is>
          <t>Uppercut Deluxe Shave Cream Helps Prevent Razor Burn and Hydrate the Skin for a Close Comfortable Shave Ideal for Dry or Sensitive Skin 120ml</t>
        </is>
      </c>
      <c r="C659" t="inlineStr">
        <is>
          <t>Shaving</t>
        </is>
      </c>
      <c r="D659" t="inlineStr">
        <is>
          <t>Uppercut Deluxe</t>
        </is>
      </c>
      <c r="E659" t="n">
        <v>10.25</v>
      </c>
      <c r="F659" t="n">
        <v>1</v>
      </c>
      <c r="G659" t="n">
        <v>10</v>
      </c>
      <c r="H659" s="5">
        <f>HYPERLINK("https://api.qogita.com/variants/link/0817891024936/", "View Product")</f>
        <v/>
      </c>
    </row>
    <row r="660">
      <c r="A660" t="inlineStr">
        <is>
          <t>0818423020297</t>
        </is>
      </c>
      <c r="B660" t="inlineStr">
        <is>
          <t>Foligain Men's Hair Regrowth Treatment with 10% Trioxidil 2oz</t>
        </is>
      </c>
      <c r="C660" t="inlineStr">
        <is>
          <t>Hair Loss</t>
        </is>
      </c>
      <c r="D660" t="inlineStr">
        <is>
          <t>Foligain</t>
        </is>
      </c>
      <c r="E660" t="n">
        <v>30.47</v>
      </c>
      <c r="F660" t="n">
        <v>1</v>
      </c>
      <c r="G660" t="n">
        <v>27</v>
      </c>
      <c r="H660" s="5">
        <f>HYPERLINK("https://api.qogita.com/variants/link/0818423020297/", "View Product")</f>
        <v/>
      </c>
    </row>
    <row r="661">
      <c r="A661" t="inlineStr">
        <is>
          <t>0818423020495</t>
        </is>
      </c>
      <c r="B661" t="inlineStr">
        <is>
          <t>Foligain Men's Anti-Hair Loss Shampoo 2% Trioxidil with Natural Ingredients</t>
        </is>
      </c>
      <c r="C661" t="inlineStr">
        <is>
          <t>Shampoo</t>
        </is>
      </c>
      <c r="D661" t="inlineStr">
        <is>
          <t>Foligain</t>
        </is>
      </c>
      <c r="E661" t="n">
        <v>22.86</v>
      </c>
      <c r="F661" t="n">
        <v>1</v>
      </c>
      <c r="G661" t="n">
        <v>36</v>
      </c>
      <c r="H661" s="5">
        <f>HYPERLINK("https://api.qogita.com/variants/link/0818423020495/", "View Product")</f>
        <v/>
      </c>
    </row>
    <row r="662">
      <c r="A662" t="inlineStr">
        <is>
          <t>0818625024437</t>
        </is>
      </c>
      <c r="B662" t="inlineStr">
        <is>
          <t>Medik8 Advanced Night Eye 15ml</t>
        </is>
      </c>
      <c r="C662" t="inlineStr">
        <is>
          <t>Eye Cream</t>
        </is>
      </c>
      <c r="D662" t="inlineStr">
        <is>
          <t>Medik8</t>
        </is>
      </c>
      <c r="E662" t="n">
        <v>41</v>
      </c>
      <c r="F662" t="n">
        <v>1</v>
      </c>
      <c r="G662" t="n">
        <v>5</v>
      </c>
      <c r="H662" s="5">
        <f>HYPERLINK("https://api.qogita.com/variants/link/0818625024437/", "View Product")</f>
        <v/>
      </c>
    </row>
    <row r="663">
      <c r="A663" t="inlineStr">
        <is>
          <t>0818625024482</t>
        </is>
      </c>
      <c r="B663" t="inlineStr">
        <is>
          <t>Medik8 Clarity Peptide 30ml</t>
        </is>
      </c>
      <c r="C663" t="inlineStr">
        <is>
          <t>Anti-Aging Serum</t>
        </is>
      </c>
      <c r="D663" t="inlineStr">
        <is>
          <t>Medik8</t>
        </is>
      </c>
      <c r="E663" t="n">
        <v>45.27</v>
      </c>
      <c r="F663" t="n">
        <v>1</v>
      </c>
      <c r="G663" t="n">
        <v>4</v>
      </c>
      <c r="H663" s="5">
        <f>HYPERLINK("https://api.qogita.com/variants/link/0818625024482/", "View Product")</f>
        <v/>
      </c>
    </row>
    <row r="664">
      <c r="A664" t="inlineStr">
        <is>
          <t>0818625024550</t>
        </is>
      </c>
      <c r="B664" t="inlineStr">
        <is>
          <t>Medik8 Daily Refresh Balancing Toner Alcohol-Free 150ml</t>
        </is>
      </c>
      <c r="C664" t="inlineStr">
        <is>
          <t>Facial Spray</t>
        </is>
      </c>
      <c r="D664" t="inlineStr">
        <is>
          <t>Medik8</t>
        </is>
      </c>
      <c r="E664" t="n">
        <v>22.64</v>
      </c>
      <c r="F664" t="n">
        <v>1</v>
      </c>
      <c r="G664" t="n">
        <v>5</v>
      </c>
      <c r="H664" s="5">
        <f>HYPERLINK("https://api.qogita.com/variants/link/0818625024550/", "View Product")</f>
        <v/>
      </c>
    </row>
    <row r="665">
      <c r="A665" t="inlineStr">
        <is>
          <t>0818625024567</t>
        </is>
      </c>
      <c r="B665" t="inlineStr">
        <is>
          <t>Medik8 Eyelift Peptides 15ml</t>
        </is>
      </c>
      <c r="C665" t="inlineStr">
        <is>
          <t>Eye Serum</t>
        </is>
      </c>
      <c r="D665" t="inlineStr">
        <is>
          <t>Medik8</t>
        </is>
      </c>
      <c r="E665" t="n">
        <v>44.28</v>
      </c>
      <c r="F665" t="n">
        <v>1</v>
      </c>
      <c r="G665" t="n">
        <v>11</v>
      </c>
      <c r="H665" s="5">
        <f>HYPERLINK("https://api.qogita.com/variants/link/0818625024567/", "View Product")</f>
        <v/>
      </c>
    </row>
    <row r="666">
      <c r="A666" t="inlineStr">
        <is>
          <t>0818625024642</t>
        </is>
      </c>
      <c r="B666" t="inlineStr">
        <is>
          <t>Medik8 Nourishing Body Cream Intensely Hydrating Moisturizer 250ml</t>
        </is>
      </c>
      <c r="C666" t="inlineStr">
        <is>
          <t>Body Lotion</t>
        </is>
      </c>
      <c r="D666" t="inlineStr">
        <is>
          <t>Medik8</t>
        </is>
      </c>
      <c r="E666" t="n">
        <v>28.05</v>
      </c>
      <c r="F666" t="n">
        <v>1</v>
      </c>
      <c r="G666" t="n">
        <v>3</v>
      </c>
      <c r="H666" s="5">
        <f>HYPERLINK("https://api.qogita.com/variants/link/0818625024642/", "View Product")</f>
        <v/>
      </c>
    </row>
    <row r="667">
      <c r="A667" t="inlineStr">
        <is>
          <t>0818625024659</t>
        </is>
      </c>
      <c r="B667" t="inlineStr">
        <is>
          <t>Medik8 Pore Refining Scrub 75ml</t>
        </is>
      </c>
      <c r="C667" t="inlineStr">
        <is>
          <t>Facial Scrub &amp; Peeling</t>
        </is>
      </c>
      <c r="D667" t="inlineStr">
        <is>
          <t>Medik8</t>
        </is>
      </c>
      <c r="E667" t="n">
        <v>33.62</v>
      </c>
      <c r="F667" t="n">
        <v>1</v>
      </c>
      <c r="G667" t="n">
        <v>2</v>
      </c>
      <c r="H667" s="5">
        <f>HYPERLINK("https://api.qogita.com/variants/link/0818625024659/", "View Product")</f>
        <v/>
      </c>
    </row>
    <row r="668">
      <c r="A668" t="inlineStr">
        <is>
          <t>0818625024697</t>
        </is>
      </c>
      <c r="B668" t="inlineStr">
        <is>
          <t>Medik8 Smooth Body Exfoliating Kit - AHA Exfoliating Scrub 150ml and Lotion 200ml</t>
        </is>
      </c>
      <c r="C668" t="inlineStr">
        <is>
          <t>Body Care Sets</t>
        </is>
      </c>
      <c r="D668" t="inlineStr">
        <is>
          <t>Medik8</t>
        </is>
      </c>
      <c r="E668" t="n">
        <v>57.88</v>
      </c>
      <c r="F668" t="n">
        <v>1</v>
      </c>
      <c r="G668" t="n">
        <v>6</v>
      </c>
      <c r="H668" s="5">
        <f>HYPERLINK("https://api.qogita.com/variants/link/0818625024697/", "View Product")</f>
        <v/>
      </c>
    </row>
    <row r="669">
      <c r="A669" t="inlineStr">
        <is>
          <t>0818625025199</t>
        </is>
      </c>
      <c r="B669" t="inlineStr">
        <is>
          <t>Medik8 Advanced Day Ultimate Protect SPF50+ 50ml</t>
        </is>
      </c>
      <c r="C669" t="inlineStr">
        <is>
          <t>Face Sun Protection</t>
        </is>
      </c>
      <c r="D669" t="inlineStr">
        <is>
          <t>Medik8</t>
        </is>
      </c>
      <c r="E669" t="n">
        <v>69.22</v>
      </c>
      <c r="F669" t="n">
        <v>1</v>
      </c>
      <c r="G669" t="n">
        <v>5</v>
      </c>
      <c r="H669" s="5">
        <f>HYPERLINK("https://api.qogita.com/variants/link/0818625025199/", "View Product")</f>
        <v/>
      </c>
    </row>
    <row r="670">
      <c r="A670" t="inlineStr">
        <is>
          <t>0818625025212</t>
        </is>
      </c>
      <c r="B670" t="inlineStr">
        <is>
          <t>Facial Sunscreen Physical Sunscreen SPF 50 (Sun Cream) 60 ml</t>
        </is>
      </c>
      <c r="C670" t="inlineStr">
        <is>
          <t>Face Sun Protection</t>
        </is>
      </c>
      <c r="D670" t="inlineStr">
        <is>
          <t>Medik8</t>
        </is>
      </c>
      <c r="E670" t="n">
        <v>45.26</v>
      </c>
      <c r="F670" t="n">
        <v>1</v>
      </c>
      <c r="G670" t="n">
        <v>4</v>
      </c>
      <c r="H670" s="5">
        <f>HYPERLINK("https://api.qogita.com/variants/link/0818625025212/", "View Product")</f>
        <v/>
      </c>
    </row>
    <row r="671">
      <c r="A671" t="inlineStr">
        <is>
          <t>0818625026943</t>
        </is>
      </c>
      <c r="B671" t="inlineStr">
        <is>
          <t>Medik8 Bakuchiol Peptides Retinol Alternative Peptide-Infused Serum 1.25</t>
        </is>
      </c>
      <c r="C671" t="inlineStr">
        <is>
          <t>Anti-Aging Serum</t>
        </is>
      </c>
      <c r="D671" t="inlineStr">
        <is>
          <t>Medik8</t>
        </is>
      </c>
      <c r="E671" t="n">
        <v>50.75</v>
      </c>
      <c r="F671" t="n">
        <v>1</v>
      </c>
      <c r="G671" t="n">
        <v>14</v>
      </c>
      <c r="H671" s="5">
        <f>HYPERLINK("https://api.qogita.com/variants/link/0818625026943/", "View Product")</f>
        <v/>
      </c>
    </row>
    <row r="672">
      <c r="A672" t="inlineStr">
        <is>
          <t>0819174012098</t>
        </is>
      </c>
      <c r="B672" t="inlineStr">
        <is>
          <t>Dr. Lancer Pro Polish Microdermabrasion Device</t>
        </is>
      </c>
      <c r="C672" t="inlineStr">
        <is>
          <t>Facial Cleansing Tools</t>
        </is>
      </c>
      <c r="D672" t="inlineStr">
        <is>
          <t>Dr. Lancer</t>
        </is>
      </c>
      <c r="E672" t="n">
        <v>185.96</v>
      </c>
      <c r="F672" t="n">
        <v>1</v>
      </c>
      <c r="G672" t="n">
        <v>3</v>
      </c>
      <c r="H672" s="5">
        <f>HYPERLINK("https://api.qogita.com/variants/link/0819174012098/", "View Product")</f>
        <v/>
      </c>
    </row>
    <row r="673">
      <c r="A673" t="inlineStr">
        <is>
          <t>0837524000212</t>
        </is>
      </c>
      <c r="B673" t="inlineStr">
        <is>
          <t>Nesti Dante Almond Olive Oil Natural Bath &amp; Shower Gel 300ml</t>
        </is>
      </c>
      <c r="C673" t="inlineStr">
        <is>
          <t>Shower Gel</t>
        </is>
      </c>
      <c r="D673" t="inlineStr">
        <is>
          <t>Nesti Dante</t>
        </is>
      </c>
      <c r="E673" t="n">
        <v>5.29</v>
      </c>
      <c r="F673" t="n">
        <v>1</v>
      </c>
      <c r="G673" t="n">
        <v>5</v>
      </c>
      <c r="H673" s="5">
        <f>HYPERLINK("https://api.qogita.com/variants/link/0837524000212/", "View Product")</f>
        <v/>
      </c>
    </row>
    <row r="674">
      <c r="A674" t="inlineStr">
        <is>
          <t>0837524000229</t>
        </is>
      </c>
      <c r="B674" t="inlineStr">
        <is>
          <t>NESTI DANTE Honey Wheatgerm Natural Liquid Soap 300ml</t>
        </is>
      </c>
      <c r="C674" t="inlineStr">
        <is>
          <t>Soap</t>
        </is>
      </c>
      <c r="D674" t="inlineStr">
        <is>
          <t>Nesti Dante</t>
        </is>
      </c>
      <c r="E674" t="n">
        <v>5.29</v>
      </c>
      <c r="F674" t="n">
        <v>1</v>
      </c>
      <c r="G674" t="n">
        <v>6</v>
      </c>
      <c r="H674" s="5">
        <f>HYPERLINK("https://api.qogita.com/variants/link/0837524000229/", "View Product")</f>
        <v/>
      </c>
    </row>
    <row r="675">
      <c r="A675" t="inlineStr">
        <is>
          <t>0837524000267</t>
        </is>
      </c>
      <c r="B675" t="inlineStr">
        <is>
          <t>NESTI Dante Il Frutteto Natural Liquid Soap 300ml</t>
        </is>
      </c>
      <c r="C675" t="inlineStr">
        <is>
          <t>Soap</t>
        </is>
      </c>
      <c r="D675" t="inlineStr">
        <is>
          <t>Health Centre</t>
        </is>
      </c>
      <c r="E675" t="n">
        <v>5.29</v>
      </c>
      <c r="F675" t="n">
        <v>1</v>
      </c>
      <c r="G675" t="n">
        <v>3</v>
      </c>
      <c r="H675" s="5">
        <f>HYPERLINK("https://api.qogita.com/variants/link/0837524000267/", "View Product")</f>
        <v/>
      </c>
    </row>
    <row r="676">
      <c r="A676" t="inlineStr">
        <is>
          <t>0837524001264</t>
        </is>
      </c>
      <c r="B676" t="inlineStr">
        <is>
          <t>Nesti Dante Chic Animalier Bronze Leopard Soap 250g</t>
        </is>
      </c>
      <c r="C676" t="inlineStr">
        <is>
          <t>Soap</t>
        </is>
      </c>
      <c r="D676" t="inlineStr">
        <is>
          <t>Nesti Dante</t>
        </is>
      </c>
      <c r="E676" t="n">
        <v>3.68</v>
      </c>
      <c r="F676" t="n">
        <v>1</v>
      </c>
      <c r="G676" t="n">
        <v>5</v>
      </c>
      <c r="H676" s="5">
        <f>HYPERLINK("https://api.qogita.com/variants/link/0837524001264/", "View Product")</f>
        <v/>
      </c>
    </row>
    <row r="677">
      <c r="A677" t="inlineStr">
        <is>
          <t>0837524004289</t>
        </is>
      </c>
      <c r="B677" t="inlineStr">
        <is>
          <t>Nesti Dante Villa Sole Chinotto Di Amalfi Liquid Soap 500ml</t>
        </is>
      </c>
      <c r="C677" t="inlineStr">
        <is>
          <t>Soap</t>
        </is>
      </c>
      <c r="D677" t="inlineStr">
        <is>
          <t>Nesti Dante</t>
        </is>
      </c>
      <c r="E677" t="n">
        <v>8.050000000000001</v>
      </c>
      <c r="F677" t="n">
        <v>1</v>
      </c>
      <c r="G677" t="n">
        <v>4</v>
      </c>
      <c r="H677" s="5">
        <f>HYPERLINK("https://api.qogita.com/variants/link/0837524004289/", "View Product")</f>
        <v/>
      </c>
    </row>
    <row r="678">
      <c r="A678" t="inlineStr">
        <is>
          <t>0837524004388</t>
        </is>
      </c>
      <c r="B678" t="inlineStr">
        <is>
          <t>Nesti Dante Villa Sole Pineapple Flowers of Etna 500ml Seed with Pineapple Notes</t>
        </is>
      </c>
      <c r="C678" t="inlineStr">
        <is>
          <t>Soap</t>
        </is>
      </c>
      <c r="D678" t="inlineStr">
        <is>
          <t>Nesti Dante</t>
        </is>
      </c>
      <c r="E678" t="n">
        <v>8.050000000000001</v>
      </c>
      <c r="F678" t="n">
        <v>1</v>
      </c>
      <c r="G678" t="n">
        <v>3</v>
      </c>
      <c r="H678" s="5">
        <f>HYPERLINK("https://api.qogita.com/variants/link/0837524004388/", "View Product")</f>
        <v/>
      </c>
    </row>
    <row r="679">
      <c r="A679" t="inlineStr">
        <is>
          <t>0839174001397</t>
        </is>
      </c>
      <c r="B679" t="inlineStr">
        <is>
          <t>Lip Glace Nude 10ml</t>
        </is>
      </c>
      <c r="C679" t="inlineStr">
        <is>
          <t>Lip Gloss</t>
        </is>
      </c>
      <c r="D679" t="inlineStr">
        <is>
          <t>Nudestix</t>
        </is>
      </c>
      <c r="E679" t="n">
        <v>14.98</v>
      </c>
      <c r="F679" t="n">
        <v>1</v>
      </c>
      <c r="G679" t="n">
        <v>15</v>
      </c>
      <c r="H679" s="5">
        <f>HYPERLINK("https://api.qogita.com/variants/link/0839174001397/", "View Product")</f>
        <v/>
      </c>
    </row>
    <row r="680">
      <c r="A680" t="inlineStr">
        <is>
          <t>0839174001731</t>
        </is>
      </c>
      <c r="B680" t="inlineStr">
        <is>
          <t>Nudestix Nudies Tinted Blur Stick 6.1g Light</t>
        </is>
      </c>
      <c r="C680" t="inlineStr">
        <is>
          <t>Foundation</t>
        </is>
      </c>
      <c r="D680" t="inlineStr">
        <is>
          <t>Nudestix</t>
        </is>
      </c>
      <c r="E680" t="n">
        <v>16.81</v>
      </c>
      <c r="F680" t="n">
        <v>1</v>
      </c>
      <c r="G680" t="n">
        <v>3</v>
      </c>
      <c r="H680" s="5">
        <f>HYPERLINK("https://api.qogita.com/variants/link/0839174001731/", "View Product")</f>
        <v/>
      </c>
    </row>
    <row r="681">
      <c r="A681" t="inlineStr">
        <is>
          <t>0839174001847</t>
        </is>
      </c>
      <c r="B681" t="inlineStr">
        <is>
          <t>NUDESTIX Nudies Tinted Cover Foundation Act 3.5 Medium Neutral Cool New</t>
        </is>
      </c>
      <c r="C681" t="inlineStr">
        <is>
          <t>Foundation</t>
        </is>
      </c>
      <c r="D681" t="inlineStr">
        <is>
          <t>Nudestix</t>
        </is>
      </c>
      <c r="E681" t="n">
        <v>19.65</v>
      </c>
      <c r="F681" t="n">
        <v>1</v>
      </c>
      <c r="G681" t="n">
        <v>12</v>
      </c>
      <c r="H681" s="5">
        <f>HYPERLINK("https://api.qogita.com/variants/link/0839174001847/", "View Product")</f>
        <v/>
      </c>
    </row>
    <row r="682">
      <c r="A682" t="inlineStr">
        <is>
          <t>0839174001861</t>
        </is>
      </c>
      <c r="B682" t="inlineStr">
        <is>
          <t>Nudestix Tinted Cover Foundation NUDE 3.5 NEW</t>
        </is>
      </c>
      <c r="C682" t="inlineStr">
        <is>
          <t>Foundation</t>
        </is>
      </c>
      <c r="D682" t="inlineStr">
        <is>
          <t>Nudestix</t>
        </is>
      </c>
      <c r="E682" t="n">
        <v>19.65</v>
      </c>
      <c r="F682" t="n">
        <v>1</v>
      </c>
      <c r="G682" t="n">
        <v>9</v>
      </c>
      <c r="H682" s="5">
        <f>HYPERLINK("https://api.qogita.com/variants/link/0839174001861/", "View Product")</f>
        <v/>
      </c>
    </row>
    <row r="683">
      <c r="A683" t="inlineStr">
        <is>
          <t>0839174005517</t>
        </is>
      </c>
      <c r="B683" t="inlineStr">
        <is>
          <t>Nudies All Over Face Color Matte Nudestix Blush</t>
        </is>
      </c>
      <c r="C683" t="inlineStr">
        <is>
          <t>Blush</t>
        </is>
      </c>
      <c r="D683" t="inlineStr">
        <is>
          <t>Nudestix</t>
        </is>
      </c>
      <c r="E683" t="n">
        <v>19.37</v>
      </c>
      <c r="F683" t="n">
        <v>1</v>
      </c>
      <c r="G683" t="n">
        <v>11</v>
      </c>
      <c r="H683" s="5">
        <f>HYPERLINK("https://api.qogita.com/variants/link/0839174005517/", "View Product")</f>
        <v/>
      </c>
    </row>
    <row r="684">
      <c r="A684" t="inlineStr">
        <is>
          <t>0839174005630</t>
        </is>
      </c>
      <c r="B684" t="inlineStr">
        <is>
          <t>NUDESTIX Nudeskin Gentle Hydra Gel Face Cleanser 70ml 2.26 fl oz - New in Box</t>
        </is>
      </c>
      <c r="C684" t="inlineStr">
        <is>
          <t>Cleansing Gel</t>
        </is>
      </c>
      <c r="D684" t="inlineStr">
        <is>
          <t>Nudestix</t>
        </is>
      </c>
      <c r="E684" t="n">
        <v>10.24</v>
      </c>
      <c r="F684" t="n">
        <v>1</v>
      </c>
      <c r="G684" t="n">
        <v>14</v>
      </c>
      <c r="H684" s="5">
        <f>HYPERLINK("https://api.qogita.com/variants/link/0839174005630/", "View Product")</f>
        <v/>
      </c>
    </row>
    <row r="685">
      <c r="A685" t="inlineStr">
        <is>
          <t>0839174005906</t>
        </is>
      </c>
      <c r="B685" t="inlineStr">
        <is>
          <t>Magnetic Luminous Rustique Eye Color Pencil</t>
        </is>
      </c>
      <c r="C685" t="inlineStr">
        <is>
          <t>Eye Pencil</t>
        </is>
      </c>
      <c r="D685" t="inlineStr">
        <is>
          <t>Nudestix</t>
        </is>
      </c>
      <c r="E685" t="n">
        <v>13.94</v>
      </c>
      <c r="F685" t="n">
        <v>1</v>
      </c>
      <c r="G685" t="n">
        <v>7</v>
      </c>
      <c r="H685" s="5">
        <f>HYPERLINK("https://api.qogita.com/variants/link/0839174005906/", "View Product")</f>
        <v/>
      </c>
    </row>
    <row r="686">
      <c r="A686" t="inlineStr">
        <is>
          <t>0839174008136</t>
        </is>
      </c>
      <c r="B686" t="inlineStr">
        <is>
          <t>Nudestix Nudies Matte Lux Cream Blush 3-in-1 All Over Face Colour For Cheeks Eyes and Lips with Blending Blush Dolce Darlin' 1 Count</t>
        </is>
      </c>
      <c r="C686" t="inlineStr">
        <is>
          <t>Blush</t>
        </is>
      </c>
      <c r="D686" t="inlineStr">
        <is>
          <t>Nudestix</t>
        </is>
      </c>
      <c r="E686" t="n">
        <v>17.94</v>
      </c>
      <c r="F686" t="n">
        <v>1</v>
      </c>
      <c r="G686" t="n">
        <v>11</v>
      </c>
      <c r="H686" s="5">
        <f>HYPERLINK("https://api.qogita.com/variants/link/0839174008136/", "View Product")</f>
        <v/>
      </c>
    </row>
    <row r="687">
      <c r="A687" t="inlineStr">
        <is>
          <t>0839174010030</t>
        </is>
      </c>
      <c r="B687" t="inlineStr">
        <is>
          <t>Nudestix Magnetic Matte Lip Color Lipstick Lip Liner Lip Stain 3-in-1 Multi Use Makeup Pencil Long Lasting Pigment Kiss Proof Smudge Proof Waterproof Bold Nude Looks Saint</t>
        </is>
      </c>
      <c r="C687" t="inlineStr">
        <is>
          <t>Lipstick</t>
        </is>
      </c>
      <c r="D687" t="inlineStr">
        <is>
          <t>Nudestix</t>
        </is>
      </c>
      <c r="E687" t="n">
        <v>16.32</v>
      </c>
      <c r="F687" t="n">
        <v>1</v>
      </c>
      <c r="G687" t="n">
        <v>2</v>
      </c>
      <c r="H687" s="5">
        <f>HYPERLINK("https://api.qogita.com/variants/link/0839174010030/", "View Product")</f>
        <v/>
      </c>
    </row>
    <row r="688">
      <c r="A688" t="inlineStr">
        <is>
          <t>0839174012607</t>
        </is>
      </c>
      <c r="B688" t="inlineStr">
        <is>
          <t>Gel Color Lip + Cheek Balm Rebel</t>
        </is>
      </c>
      <c r="C688" t="inlineStr">
        <is>
          <t>Lip Balm</t>
        </is>
      </c>
      <c r="D688" t="inlineStr">
        <is>
          <t>Nudestix</t>
        </is>
      </c>
      <c r="E688" t="n">
        <v>13.94</v>
      </c>
      <c r="F688" t="n">
        <v>1</v>
      </c>
      <c r="G688" t="n">
        <v>7</v>
      </c>
      <c r="H688" s="5">
        <f>HYPERLINK("https://api.qogita.com/variants/link/0839174012607/", "View Product")</f>
        <v/>
      </c>
    </row>
    <row r="689">
      <c r="A689" t="inlineStr">
        <is>
          <t>0839174012713</t>
        </is>
      </c>
      <c r="B689" t="inlineStr">
        <is>
          <t>Nudestix NudeFix Cream Concealer Lightweight Liquid Natural Finish Makeup Hydrating Brightening Under Eye Dark Circle Corrector Reduces Redness and Blemishes Shade Nude 1 0.34 fl oz 10 ml</t>
        </is>
      </c>
      <c r="C689" t="inlineStr">
        <is>
          <t>Concealer</t>
        </is>
      </c>
      <c r="D689" t="inlineStr">
        <is>
          <t>Nudestix</t>
        </is>
      </c>
      <c r="E689" t="n">
        <v>15.07</v>
      </c>
      <c r="F689" t="n">
        <v>1</v>
      </c>
      <c r="G689" t="n">
        <v>7</v>
      </c>
      <c r="H689" s="5">
        <f>HYPERLINK("https://api.qogita.com/variants/link/0839174012713/", "View Product")</f>
        <v/>
      </c>
    </row>
    <row r="690">
      <c r="A690" t="inlineStr">
        <is>
          <t>0840026645157</t>
        </is>
      </c>
      <c r="B690" t="inlineStr">
        <is>
          <t>Fenty Beauty Slip Shine Sheer Shiny Lipstick - 2.8 G</t>
        </is>
      </c>
      <c r="C690" t="inlineStr">
        <is>
          <t>Lipstick</t>
        </is>
      </c>
      <c r="D690" t="inlineStr">
        <is>
          <t>Fenty Beauty by Rihanna</t>
        </is>
      </c>
      <c r="E690" t="n">
        <v>17.71</v>
      </c>
      <c r="F690" t="n">
        <v>1</v>
      </c>
      <c r="G690" t="n">
        <v>7</v>
      </c>
      <c r="H690" s="5">
        <f>HYPERLINK("https://api.qogita.com/variants/link/0840026645157/", "View Product")</f>
        <v/>
      </c>
    </row>
    <row r="691">
      <c r="A691" t="inlineStr">
        <is>
          <t>0840026647861</t>
        </is>
      </c>
      <c r="B691" t="inlineStr">
        <is>
          <t>Fenty Beauty Pro Kiss`R Tinted Lip Balm Luscious Lip Balm - 12 Ml</t>
        </is>
      </c>
      <c r="C691" t="inlineStr">
        <is>
          <t>Lip Balm</t>
        </is>
      </c>
      <c r="D691" t="inlineStr">
        <is>
          <t>Fenty Beauty by Rihanna</t>
        </is>
      </c>
      <c r="E691" t="n">
        <v>13.61</v>
      </c>
      <c r="F691" t="n">
        <v>1</v>
      </c>
      <c r="G691" t="n">
        <v>3</v>
      </c>
      <c r="H691" s="5">
        <f>HYPERLINK("https://api.qogita.com/variants/link/0840026647861/", "View Product")</f>
        <v/>
      </c>
    </row>
    <row r="692">
      <c r="A692" t="inlineStr">
        <is>
          <t>0840026648721</t>
        </is>
      </c>
      <c r="B692" t="inlineStr">
        <is>
          <t>Fenty Beauty by Rihanna Golden Ivory Warm Foundation for Light Skin Tones 10ml</t>
        </is>
      </c>
      <c r="C692" t="inlineStr">
        <is>
          <t>Foundation</t>
        </is>
      </c>
      <c r="D692" t="inlineStr">
        <is>
          <t>Fenty Beauty by Rihanna</t>
        </is>
      </c>
      <c r="E692" t="n">
        <v>26.73</v>
      </c>
      <c r="F692" t="n">
        <v>1</v>
      </c>
      <c r="G692" t="n">
        <v>23</v>
      </c>
      <c r="H692" s="5">
        <f>HYPERLINK("https://api.qogita.com/variants/link/0840026648721/", "View Product")</f>
        <v/>
      </c>
    </row>
    <row r="693">
      <c r="A693" t="inlineStr">
        <is>
          <t>0840026648776</t>
        </is>
      </c>
      <c r="B693" t="inlineStr">
        <is>
          <t>Fenty #07 Deep Butter 10ml</t>
        </is>
      </c>
      <c r="C693" t="inlineStr">
        <is>
          <t>Foundation</t>
        </is>
      </c>
      <c r="D693" t="inlineStr">
        <is>
          <t>Fenty Beauty by Rihanna</t>
        </is>
      </c>
      <c r="E693" t="n">
        <v>26.73</v>
      </c>
      <c r="F693" t="n">
        <v>1</v>
      </c>
      <c r="G693" t="n">
        <v>22</v>
      </c>
      <c r="H693" s="5">
        <f>HYPERLINK("https://api.qogita.com/variants/link/0840026648776/", "View Product")</f>
        <v/>
      </c>
    </row>
    <row r="694">
      <c r="A694" t="inlineStr">
        <is>
          <t>0840026654890</t>
        </is>
      </c>
      <c r="B694" t="inlineStr">
        <is>
          <t>Fenty Beauty Eaze Drop Lit All-Over Glow Enhancer - 36 Ml</t>
        </is>
      </c>
      <c r="C694" t="inlineStr">
        <is>
          <t>Highlighter</t>
        </is>
      </c>
      <c r="D694" t="inlineStr">
        <is>
          <t>Fenty Beauty by Rihanna</t>
        </is>
      </c>
      <c r="E694" t="n">
        <v>32.32</v>
      </c>
      <c r="F694" t="n">
        <v>1</v>
      </c>
      <c r="G694" t="n">
        <v>23</v>
      </c>
      <c r="H694" s="5">
        <f>HYPERLINK("https://api.qogita.com/variants/link/0840026654890/", "View Product")</f>
        <v/>
      </c>
    </row>
    <row r="695">
      <c r="A695" t="inlineStr">
        <is>
          <t>0840026656559</t>
        </is>
      </c>
      <c r="B695" t="inlineStr">
        <is>
          <t>Fenty Beauty Mattifying Makeup Pro Filt'r Soft Matte Foundation Mini - 12 Ml</t>
        </is>
      </c>
      <c r="C695" t="inlineStr">
        <is>
          <t>Foundation</t>
        </is>
      </c>
      <c r="D695" t="inlineStr">
        <is>
          <t>Fenty Beauty by Rihanna</t>
        </is>
      </c>
      <c r="E695" t="n">
        <v>16.73</v>
      </c>
      <c r="F695" t="n">
        <v>1</v>
      </c>
      <c r="G695" t="n">
        <v>14</v>
      </c>
      <c r="H695" s="5">
        <f>HYPERLINK("https://api.qogita.com/variants/link/0840026656559/", "View Product")</f>
        <v/>
      </c>
    </row>
    <row r="696">
      <c r="A696" t="inlineStr">
        <is>
          <t>0840026656580</t>
        </is>
      </c>
      <c r="B696" t="inlineStr">
        <is>
          <t>Fenty Beauty Mattifying Makeup Pro Filt`R Soft Matte Foundation Mini - 12 Ml</t>
        </is>
      </c>
      <c r="C696" t="inlineStr">
        <is>
          <t>Foundation</t>
        </is>
      </c>
      <c r="D696" t="inlineStr">
        <is>
          <t>Fenty Beauty by Rihanna</t>
        </is>
      </c>
      <c r="E696" t="n">
        <v>16.73</v>
      </c>
      <c r="F696" t="n">
        <v>1</v>
      </c>
      <c r="G696" t="n">
        <v>19</v>
      </c>
      <c r="H696" s="5">
        <f>HYPERLINK("https://api.qogita.com/variants/link/0840026656580/", "View Product")</f>
        <v/>
      </c>
    </row>
    <row r="697">
      <c r="A697" t="inlineStr">
        <is>
          <t>0840026656603</t>
        </is>
      </c>
      <c r="B697" t="inlineStr">
        <is>
          <t>Fenty Beauty By Rihanna Pro Filt'r Soft Matte Longwear Foundation 12ml</t>
        </is>
      </c>
      <c r="C697" t="inlineStr">
        <is>
          <t>Foundation</t>
        </is>
      </c>
      <c r="D697" t="inlineStr">
        <is>
          <t>Fenty Beauty by Rihanna</t>
        </is>
      </c>
      <c r="E697" t="n">
        <v>16.73</v>
      </c>
      <c r="F697" t="n">
        <v>1</v>
      </c>
      <c r="G697" t="n">
        <v>14</v>
      </c>
      <c r="H697" s="5">
        <f>HYPERLINK("https://api.qogita.com/variants/link/0840026656603/", "View Product")</f>
        <v/>
      </c>
    </row>
    <row r="698">
      <c r="A698" t="inlineStr">
        <is>
          <t>0840026656672</t>
        </is>
      </c>
      <c r="B698" t="inlineStr">
        <is>
          <t>Fenty Beauty Mattifying Makeup Pro Filt'r Soft Matte Foundation Mini - 12 Ml</t>
        </is>
      </c>
      <c r="C698" t="inlineStr">
        <is>
          <t>Foundation</t>
        </is>
      </c>
      <c r="D698" t="inlineStr">
        <is>
          <t>Fenty Beauty by Rihanna</t>
        </is>
      </c>
      <c r="E698" t="n">
        <v>16.73</v>
      </c>
      <c r="F698" t="n">
        <v>1</v>
      </c>
      <c r="G698" t="n">
        <v>16</v>
      </c>
      <c r="H698" s="5">
        <f>HYPERLINK("https://api.qogita.com/variants/link/0840026656672/", "View Product")</f>
        <v/>
      </c>
    </row>
    <row r="699">
      <c r="A699" t="inlineStr">
        <is>
          <t>0840026656788</t>
        </is>
      </c>
      <c r="B699" t="inlineStr">
        <is>
          <t>Fenty Beauty Pro Filt'r Soft Matte Foundation Mini - 12 Ml</t>
        </is>
      </c>
      <c r="C699" t="inlineStr">
        <is>
          <t>Foundation</t>
        </is>
      </c>
      <c r="D699" t="inlineStr">
        <is>
          <t>Fenty Beauty by Rihanna</t>
        </is>
      </c>
      <c r="E699" t="n">
        <v>16.73</v>
      </c>
      <c r="F699" t="n">
        <v>1</v>
      </c>
      <c r="G699" t="n">
        <v>19</v>
      </c>
      <c r="H699" s="5">
        <f>HYPERLINK("https://api.qogita.com/variants/link/0840026656788/", "View Product")</f>
        <v/>
      </c>
    </row>
    <row r="700">
      <c r="A700" t="inlineStr">
        <is>
          <t>0840026656795</t>
        </is>
      </c>
      <c r="B700" t="inlineStr">
        <is>
          <t>Fenty Beauty Mattifying Makeup Pro Filt'r Soft Matte Foundation Mini - 12 Ml</t>
        </is>
      </c>
      <c r="C700" t="inlineStr">
        <is>
          <t>Foundation</t>
        </is>
      </c>
      <c r="D700" t="inlineStr">
        <is>
          <t>Fenty Beauty by Rihanna</t>
        </is>
      </c>
      <c r="E700" t="n">
        <v>16.73</v>
      </c>
      <c r="F700" t="n">
        <v>1</v>
      </c>
      <c r="G700" t="n">
        <v>19</v>
      </c>
      <c r="H700" s="5">
        <f>HYPERLINK("https://api.qogita.com/variants/link/0840026656795/", "View Product")</f>
        <v/>
      </c>
    </row>
    <row r="701">
      <c r="A701" t="inlineStr">
        <is>
          <t>0840026656894</t>
        </is>
      </c>
      <c r="B701" t="inlineStr">
        <is>
          <t>Fenty Beauty Mattifying Makeup Pro Filt'r Soft Matte Foundation Mini - 12 Ml</t>
        </is>
      </c>
      <c r="C701" t="inlineStr">
        <is>
          <t>Foundation</t>
        </is>
      </c>
      <c r="D701" t="inlineStr">
        <is>
          <t>Fenty Beauty by Rihanna</t>
        </is>
      </c>
      <c r="E701" t="n">
        <v>16.73</v>
      </c>
      <c r="F701" t="n">
        <v>1</v>
      </c>
      <c r="G701" t="n">
        <v>19</v>
      </c>
      <c r="H701" s="5">
        <f>HYPERLINK("https://api.qogita.com/variants/link/0840026656894/", "View Product")</f>
        <v/>
      </c>
    </row>
    <row r="702">
      <c r="A702" t="inlineStr">
        <is>
          <t>0840026656986</t>
        </is>
      </c>
      <c r="B702" t="inlineStr">
        <is>
          <t>Fenty Beauty Mattifying Makeup Pro Filt'r Soft Matte Foundation Mini - 12 Ml</t>
        </is>
      </c>
      <c r="C702" t="inlineStr">
        <is>
          <t>Foundation</t>
        </is>
      </c>
      <c r="D702" t="inlineStr">
        <is>
          <t>Fenty Beauty by Rihanna</t>
        </is>
      </c>
      <c r="E702" t="n">
        <v>16.73</v>
      </c>
      <c r="F702" t="n">
        <v>1</v>
      </c>
      <c r="G702" t="n">
        <v>15</v>
      </c>
      <c r="H702" s="5">
        <f>HYPERLINK("https://api.qogita.com/variants/link/0840026656986/", "View Product")</f>
        <v/>
      </c>
    </row>
    <row r="703">
      <c r="A703" t="inlineStr">
        <is>
          <t>0840026664721</t>
        </is>
      </c>
      <c r="B703" t="inlineStr">
        <is>
          <t>Fenty Beauty Mattifying Makeup Pro Filt'r Soft Matte Foundation Mini - 12 Ml</t>
        </is>
      </c>
      <c r="C703" t="inlineStr">
        <is>
          <t>Foundation</t>
        </is>
      </c>
      <c r="D703" t="inlineStr">
        <is>
          <t>Fenty Beauty by Rihanna</t>
        </is>
      </c>
      <c r="E703" t="n">
        <v>16.73</v>
      </c>
      <c r="F703" t="n">
        <v>1</v>
      </c>
      <c r="G703" t="n">
        <v>19</v>
      </c>
      <c r="H703" s="5">
        <f>HYPERLINK("https://api.qogita.com/variants/link/0840026664721/", "View Product")</f>
        <v/>
      </c>
    </row>
    <row r="704">
      <c r="A704" t="inlineStr">
        <is>
          <t>0840026664745</t>
        </is>
      </c>
      <c r="B704" t="inlineStr">
        <is>
          <t>Fenty Beauty Mattifying Makeup Pro Filt'r Soft Matte Foundation Mini - 12 Ml</t>
        </is>
      </c>
      <c r="C704" t="inlineStr">
        <is>
          <t>Foundation</t>
        </is>
      </c>
      <c r="D704" t="inlineStr">
        <is>
          <t>Fenty Beauty by Rihanna</t>
        </is>
      </c>
      <c r="E704" t="n">
        <v>16.73</v>
      </c>
      <c r="F704" t="n">
        <v>1</v>
      </c>
      <c r="G704" t="n">
        <v>18</v>
      </c>
      <c r="H704" s="5">
        <f>HYPERLINK("https://api.qogita.com/variants/link/0840026664745/", "View Product")</f>
        <v/>
      </c>
    </row>
    <row r="705">
      <c r="A705" t="inlineStr">
        <is>
          <t>0840026664783</t>
        </is>
      </c>
      <c r="B705" t="inlineStr">
        <is>
          <t>Fenty Beauty Mattifying Makeup Pro Filt'r Soft Matte Foundation Mini - 12 Ml</t>
        </is>
      </c>
      <c r="C705" t="inlineStr">
        <is>
          <t>Foundation</t>
        </is>
      </c>
      <c r="D705" t="inlineStr">
        <is>
          <t>Fenty Beauty by Rihanna</t>
        </is>
      </c>
      <c r="E705" t="n">
        <v>16.73</v>
      </c>
      <c r="F705" t="n">
        <v>1</v>
      </c>
      <c r="G705" t="n">
        <v>19</v>
      </c>
      <c r="H705" s="5">
        <f>HYPERLINK("https://api.qogita.com/variants/link/0840026664783/", "View Product")</f>
        <v/>
      </c>
    </row>
    <row r="706">
      <c r="A706" t="inlineStr">
        <is>
          <t>0840026664790</t>
        </is>
      </c>
      <c r="B706" t="inlineStr">
        <is>
          <t>Fenty Beauty Mattifying Makeup Pro Filt'r Soft Matte Foundation Mini - 12 Ml</t>
        </is>
      </c>
      <c r="C706" t="inlineStr">
        <is>
          <t>Foundation</t>
        </is>
      </c>
      <c r="D706" t="inlineStr">
        <is>
          <t>Fenty Beauty by Rihanna</t>
        </is>
      </c>
      <c r="E706" t="n">
        <v>16.73</v>
      </c>
      <c r="F706" t="n">
        <v>1</v>
      </c>
      <c r="G706" t="n">
        <v>20</v>
      </c>
      <c r="H706" s="5">
        <f>HYPERLINK("https://api.qogita.com/variants/link/0840026664790/", "View Product")</f>
        <v/>
      </c>
    </row>
    <row r="707">
      <c r="A707" t="inlineStr">
        <is>
          <t>0840026666466</t>
        </is>
      </c>
      <c r="B707" t="inlineStr">
        <is>
          <t>Fenty Beauty Eaze Drop Blur + Smooth Tint Stick 9 G</t>
        </is>
      </c>
      <c r="C707" t="inlineStr">
        <is>
          <t>Foundation</t>
        </is>
      </c>
      <c r="D707" t="inlineStr">
        <is>
          <t>Fenty Beauty by Rihanna</t>
        </is>
      </c>
      <c r="E707" t="n">
        <v>31.46</v>
      </c>
      <c r="F707" t="n">
        <v>1</v>
      </c>
      <c r="G707" t="n">
        <v>27</v>
      </c>
      <c r="H707" s="5">
        <f>HYPERLINK("https://api.qogita.com/variants/link/0840026666466/", "View Product")</f>
        <v/>
      </c>
    </row>
    <row r="708">
      <c r="A708" t="inlineStr">
        <is>
          <t>0840026666770</t>
        </is>
      </c>
      <c r="B708" t="inlineStr">
        <is>
          <t>Fenty Beauty Demi Glow Highlighter - 4.5 G</t>
        </is>
      </c>
      <c r="C708" t="inlineStr">
        <is>
          <t>Highlighter</t>
        </is>
      </c>
      <c r="D708" t="inlineStr">
        <is>
          <t>Fenty Beauty by Rihanna</t>
        </is>
      </c>
      <c r="E708" t="n">
        <v>38.02</v>
      </c>
      <c r="F708" t="n">
        <v>1</v>
      </c>
      <c r="G708" t="n">
        <v>8</v>
      </c>
      <c r="H708" s="5">
        <f>HYPERLINK("https://api.qogita.com/variants/link/0840026666770/", "View Product")</f>
        <v/>
      </c>
    </row>
    <row r="709">
      <c r="A709" t="inlineStr">
        <is>
          <t>0840026670173</t>
        </is>
      </c>
      <c r="B709" t="inlineStr">
        <is>
          <t>Fenty Beauty Poutsicle Hydrating Lip Stain 6.5 Ml</t>
        </is>
      </c>
      <c r="C709" t="inlineStr">
        <is>
          <t>Lipstick</t>
        </is>
      </c>
      <c r="D709" t="inlineStr">
        <is>
          <t>Fenty Beauty by Rihanna</t>
        </is>
      </c>
      <c r="E709" t="n">
        <v>19.65</v>
      </c>
      <c r="F709" t="n">
        <v>1</v>
      </c>
      <c r="G709" t="n">
        <v>19</v>
      </c>
      <c r="H709" s="5">
        <f>HYPERLINK("https://api.qogita.com/variants/link/0840026670173/", "View Product")</f>
        <v/>
      </c>
    </row>
    <row r="710">
      <c r="A710" t="inlineStr">
        <is>
          <t>0840026670814</t>
        </is>
      </c>
      <c r="B710" t="inlineStr">
        <is>
          <t>Fenty Beauty Demi`Glow Highlighter - 4.5 G</t>
        </is>
      </c>
      <c r="C710" t="inlineStr">
        <is>
          <t>Highlighter</t>
        </is>
      </c>
      <c r="D710" t="inlineStr">
        <is>
          <t>Fenty Beauty by Rihanna</t>
        </is>
      </c>
      <c r="E710" t="n">
        <v>38.02</v>
      </c>
      <c r="F710" t="n">
        <v>1</v>
      </c>
      <c r="G710" t="n">
        <v>24</v>
      </c>
      <c r="H710" s="5">
        <f>HYPERLINK("https://api.qogita.com/variants/link/0840026670814/", "View Product")</f>
        <v/>
      </c>
    </row>
    <row r="711">
      <c r="A711" t="inlineStr">
        <is>
          <t>0840026670821</t>
        </is>
      </c>
      <c r="B711" t="inlineStr">
        <is>
          <t>Fenty Beauty Demi Glow Highlighter - 4.5 Grams</t>
        </is>
      </c>
      <c r="C711" t="inlineStr">
        <is>
          <t>Highlighter</t>
        </is>
      </c>
      <c r="D711" t="inlineStr">
        <is>
          <t>Fenty Beauty by Rihanna</t>
        </is>
      </c>
      <c r="E711" t="n">
        <v>38.02</v>
      </c>
      <c r="F711" t="n">
        <v>1</v>
      </c>
      <c r="G711" t="n">
        <v>23</v>
      </c>
      <c r="H711" s="5">
        <f>HYPERLINK("https://api.qogita.com/variants/link/0840026670821/", "View Product")</f>
        <v/>
      </c>
    </row>
    <row r="712">
      <c r="A712" t="inlineStr">
        <is>
          <t>0840035200965</t>
        </is>
      </c>
      <c r="B712" t="inlineStr">
        <is>
          <t>Oribe Cleansing Crème for Moisture and Control 8.5 Fl Oz</t>
        </is>
      </c>
      <c r="C712" t="inlineStr">
        <is>
          <t>Shampoo</t>
        </is>
      </c>
      <c r="D712" t="inlineStr">
        <is>
          <t>Oribe</t>
        </is>
      </c>
      <c r="E712" t="n">
        <v>45.57</v>
      </c>
      <c r="F712" t="n">
        <v>1</v>
      </c>
      <c r="G712" t="n">
        <v>19</v>
      </c>
      <c r="H712" s="5">
        <f>HYPERLINK("https://api.qogita.com/variants/link/0840035200965/", "View Product")</f>
        <v/>
      </c>
    </row>
    <row r="713">
      <c r="A713" t="inlineStr">
        <is>
          <t>0840035204376</t>
        </is>
      </c>
      <c r="B713" t="inlineStr">
        <is>
          <t>ORIBE Bright Blonde Essential Priming Serum 3.4 fl. oz.</t>
        </is>
      </c>
      <c r="C713" t="inlineStr">
        <is>
          <t>Hair Oil &amp; Hair Serum</t>
        </is>
      </c>
      <c r="D713" t="inlineStr">
        <is>
          <t>Oribe</t>
        </is>
      </c>
      <c r="E713" t="n">
        <v>42.99</v>
      </c>
      <c r="F713" t="n">
        <v>1</v>
      </c>
      <c r="G713" t="n">
        <v>4</v>
      </c>
      <c r="H713" s="5">
        <f>HYPERLINK("https://api.qogita.com/variants/link/0840035204376/", "View Product")</f>
        <v/>
      </c>
    </row>
    <row r="714">
      <c r="A714" t="inlineStr">
        <is>
          <t>0840035204581</t>
        </is>
      </c>
      <c r="B714" t="inlineStr">
        <is>
          <t>Oribe Imperial Blowout Transformative Styling Spray 5oz</t>
        </is>
      </c>
      <c r="C714" t="inlineStr">
        <is>
          <t>Styling Sprays</t>
        </is>
      </c>
      <c r="D714" t="inlineStr">
        <is>
          <t>Oribe</t>
        </is>
      </c>
      <c r="E714" t="n">
        <v>66.5</v>
      </c>
      <c r="F714" t="n">
        <v>1</v>
      </c>
      <c r="G714" t="n">
        <v>2</v>
      </c>
      <c r="H714" s="5">
        <f>HYPERLINK("https://api.qogita.com/variants/link/0840035204581/", "View Product")</f>
        <v/>
      </c>
    </row>
    <row r="715">
      <c r="A715" t="inlineStr">
        <is>
          <t>0840035214108</t>
        </is>
      </c>
      <c r="B715" t="inlineStr">
        <is>
          <t>Oribe Crème for Style 1.7 Fl Oz</t>
        </is>
      </c>
      <c r="C715" t="inlineStr">
        <is>
          <t>Styling Creams</t>
        </is>
      </c>
      <c r="D715" t="inlineStr">
        <is>
          <t>Oribe</t>
        </is>
      </c>
      <c r="E715" t="n">
        <v>39.81</v>
      </c>
      <c r="F715" t="n">
        <v>1</v>
      </c>
      <c r="G715" t="n">
        <v>5</v>
      </c>
      <c r="H715" s="5">
        <f>HYPERLINK("https://api.qogita.com/variants/link/0840035214108/", "View Product")</f>
        <v/>
      </c>
    </row>
    <row r="716">
      <c r="A716" t="inlineStr">
        <is>
          <t>0840035215020</t>
        </is>
      </c>
      <c r="B716" t="inlineStr">
        <is>
          <t>Moisture &amp; Control Shampoo 250ml</t>
        </is>
      </c>
      <c r="C716" t="inlineStr">
        <is>
          <t>Shampoo</t>
        </is>
      </c>
      <c r="D716" t="inlineStr">
        <is>
          <t>Oribe</t>
        </is>
      </c>
      <c r="E716" t="n">
        <v>50.95</v>
      </c>
      <c r="F716" t="n">
        <v>1</v>
      </c>
      <c r="G716" t="n">
        <v>5</v>
      </c>
      <c r="H716" s="5">
        <f>HYPERLINK("https://api.qogita.com/variants/link/0840035215020/", "View Product")</f>
        <v/>
      </c>
    </row>
    <row r="717">
      <c r="A717" t="inlineStr">
        <is>
          <t>0840216930322</t>
        </is>
      </c>
      <c r="B717" t="inlineStr">
        <is>
          <t>Living Proof No Frizz Shampoo Travel Size 60ml</t>
        </is>
      </c>
      <c r="C717" t="inlineStr">
        <is>
          <t>Shampoo</t>
        </is>
      </c>
      <c r="D717" t="inlineStr">
        <is>
          <t>Living Proof</t>
        </is>
      </c>
      <c r="E717" t="n">
        <v>14.43</v>
      </c>
      <c r="F717" t="n">
        <v>1</v>
      </c>
      <c r="G717" t="n">
        <v>4</v>
      </c>
      <c r="H717" s="5">
        <f>HYPERLINK("https://api.qogita.com/variants/link/0840216930322/", "View Product")</f>
        <v/>
      </c>
    </row>
    <row r="718">
      <c r="A718" t="inlineStr">
        <is>
          <t>0840216930421</t>
        </is>
      </c>
      <c r="B718" t="inlineStr">
        <is>
          <t>Living Proof Full Haircare Shampoo &amp; Conditioner Transform Fine Flat Hair Fullness Thickness Volumizing Paraben Free Silicone Free Vegan Shampoo 60ml</t>
        </is>
      </c>
      <c r="C718" t="inlineStr">
        <is>
          <t>Shampoo</t>
        </is>
      </c>
      <c r="D718" t="inlineStr">
        <is>
          <t>Living Proof</t>
        </is>
      </c>
      <c r="E718" t="n">
        <v>14.43</v>
      </c>
      <c r="F718" t="n">
        <v>1</v>
      </c>
      <c r="G718" t="n">
        <v>4</v>
      </c>
      <c r="H718" s="5">
        <f>HYPERLINK("https://api.qogita.com/variants/link/0840216930421/", "View Product")</f>
        <v/>
      </c>
    </row>
    <row r="719">
      <c r="A719" t="inlineStr">
        <is>
          <t>0840216930438</t>
        </is>
      </c>
      <c r="B719" t="inlineStr">
        <is>
          <t>Living Proof Full Haircare Shampoo &amp; Conditioner Transform Fine Flat Hair Fullness Thickness Volumizing Paraben Free Silicone Free Vegan Conditioner 60ml</t>
        </is>
      </c>
      <c r="C719" t="inlineStr">
        <is>
          <t>Shampoo</t>
        </is>
      </c>
      <c r="D719" t="inlineStr">
        <is>
          <t>Living Proof</t>
        </is>
      </c>
      <c r="E719" t="n">
        <v>14.43</v>
      </c>
      <c r="F719" t="n">
        <v>1</v>
      </c>
      <c r="G719" t="n">
        <v>5</v>
      </c>
      <c r="H719" s="5">
        <f>HYPERLINK("https://api.qogita.com/variants/link/0840216930438/", "View Product")</f>
        <v/>
      </c>
    </row>
    <row r="720">
      <c r="A720" t="inlineStr">
        <is>
          <t>0840216930612</t>
        </is>
      </c>
      <c r="B720" t="inlineStr">
        <is>
          <t>Living Proof PhD Hydrating Conditioner Paraben Free Silicone Free Vegan</t>
        </is>
      </c>
      <c r="C720" t="inlineStr">
        <is>
          <t>Conditioner</t>
        </is>
      </c>
      <c r="D720" t="inlineStr">
        <is>
          <t>Living Proof</t>
        </is>
      </c>
      <c r="E720" t="n">
        <v>28.8</v>
      </c>
      <c r="F720" t="n">
        <v>1</v>
      </c>
      <c r="G720" t="n">
        <v>5</v>
      </c>
      <c r="H720" s="5">
        <f>HYPERLINK("https://api.qogita.com/variants/link/0840216930612/", "View Product")</f>
        <v/>
      </c>
    </row>
    <row r="721">
      <c r="A721" t="inlineStr">
        <is>
          <t>0840216930629</t>
        </is>
      </c>
      <c r="B721" t="inlineStr">
        <is>
          <t>Living Proof Perfect Hair Day Shampoo &amp; Conditioner Hydrating</t>
        </is>
      </c>
      <c r="C721" t="inlineStr">
        <is>
          <t>Hair Care Sets</t>
        </is>
      </c>
      <c r="D721" t="inlineStr">
        <is>
          <t>Living Proof</t>
        </is>
      </c>
      <c r="E721" t="n">
        <v>14.43</v>
      </c>
      <c r="F721" t="n">
        <v>1</v>
      </c>
      <c r="G721" t="n">
        <v>5</v>
      </c>
      <c r="H721" s="5">
        <f>HYPERLINK("https://api.qogita.com/variants/link/0840216930629/", "View Product")</f>
        <v/>
      </c>
    </row>
    <row r="722">
      <c r="A722" t="inlineStr">
        <is>
          <t>0840216934207</t>
        </is>
      </c>
      <c r="B722" t="inlineStr">
        <is>
          <t>Living Proof Full Texturizing Foam 5.0 Fl Oz</t>
        </is>
      </c>
      <c r="C722" t="inlineStr">
        <is>
          <t>Mousse</t>
        </is>
      </c>
      <c r="D722" t="inlineStr">
        <is>
          <t>Living Proof</t>
        </is>
      </c>
      <c r="E722" t="n">
        <v>27</v>
      </c>
      <c r="F722" t="n">
        <v>1</v>
      </c>
      <c r="G722" t="n">
        <v>5</v>
      </c>
      <c r="H722" s="5">
        <f>HYPERLINK("https://api.qogita.com/variants/link/0840216934207/", "View Product")</f>
        <v/>
      </c>
    </row>
    <row r="723">
      <c r="A723" t="inlineStr">
        <is>
          <t>0840216934221</t>
        </is>
      </c>
      <c r="B723" t="inlineStr">
        <is>
          <t>Living proof Full Thickening Blow-Dry Cream 3.7 Fl Oz</t>
        </is>
      </c>
      <c r="C723" t="inlineStr">
        <is>
          <t>Styling Creams</t>
        </is>
      </c>
      <c r="D723" t="inlineStr">
        <is>
          <t>Living Proof</t>
        </is>
      </c>
      <c r="E723" t="n">
        <v>27</v>
      </c>
      <c r="F723" t="n">
        <v>1</v>
      </c>
      <c r="G723" t="n">
        <v>5</v>
      </c>
      <c r="H723" s="5">
        <f>HYPERLINK("https://api.qogita.com/variants/link/0840216934221/", "View Product")</f>
        <v/>
      </c>
    </row>
    <row r="724">
      <c r="A724" t="inlineStr">
        <is>
          <t>0840216935600</t>
        </is>
      </c>
      <c r="B724" t="inlineStr">
        <is>
          <t>Living Proof Clarifying Detox Shampoo 1ml</t>
        </is>
      </c>
      <c r="C724" t="inlineStr">
        <is>
          <t>Shampoo</t>
        </is>
      </c>
      <c r="D724" t="inlineStr">
        <is>
          <t>Living Proof</t>
        </is>
      </c>
      <c r="E724" t="n">
        <v>30.59</v>
      </c>
      <c r="F724" t="n">
        <v>1</v>
      </c>
      <c r="G724" t="n">
        <v>3</v>
      </c>
      <c r="H724" s="5">
        <f>HYPERLINK("https://api.qogita.com/variants/link/0840216935600/", "View Product")</f>
        <v/>
      </c>
    </row>
    <row r="725">
      <c r="A725" t="inlineStr">
        <is>
          <t>0840356500096</t>
        </is>
      </c>
      <c r="B725" t="inlineStr">
        <is>
          <t>Strivectin Super-C Eye Vitamin C Eye Cream Brightening &amp; Firming</t>
        </is>
      </c>
      <c r="C725" t="inlineStr">
        <is>
          <t>Eye Cream</t>
        </is>
      </c>
      <c r="D725" t="inlineStr">
        <is>
          <t>Strivectin</t>
        </is>
      </c>
      <c r="E725" t="n">
        <v>15.11</v>
      </c>
      <c r="F725" t="n">
        <v>1</v>
      </c>
      <c r="G725" t="n">
        <v>2</v>
      </c>
      <c r="H725" s="5">
        <f>HYPERLINK("https://api.qogita.com/variants/link/0840356500096/", "View Product")</f>
        <v/>
      </c>
    </row>
    <row r="726">
      <c r="A726" t="inlineStr">
        <is>
          <t>0840797116405</t>
        </is>
      </c>
      <c r="B726" t="inlineStr">
        <is>
          <t>Banana Republic Pure White Unisex Fragrance Eau De Parfum (EDP) 75ml Spray</t>
        </is>
      </c>
      <c r="C726" t="inlineStr">
        <is>
          <t>Eau De Parfum</t>
        </is>
      </c>
      <c r="D726" t="inlineStr">
        <is>
          <t>Banana Republic</t>
        </is>
      </c>
      <c r="E726" t="n">
        <v>22.48</v>
      </c>
      <c r="F726" t="n">
        <v>1</v>
      </c>
      <c r="G726" t="n">
        <v>4</v>
      </c>
      <c r="H726" s="5">
        <f>HYPERLINK("https://api.qogita.com/variants/link/0840797116405/", "View Product")</f>
        <v/>
      </c>
    </row>
    <row r="727">
      <c r="A727" t="inlineStr">
        <is>
          <t>0840797126275</t>
        </is>
      </c>
      <c r="B727" t="inlineStr">
        <is>
          <t>Banana Republic Unisex Fragrance 83 Gardenia and Cardamom Eau De Parfum (EDP) 75ml Spray</t>
        </is>
      </c>
      <c r="C727" t="inlineStr">
        <is>
          <t>Eau De Parfum</t>
        </is>
      </c>
      <c r="D727" t="inlineStr">
        <is>
          <t>Banana Republic</t>
        </is>
      </c>
      <c r="E727" t="n">
        <v>22.75</v>
      </c>
      <c r="F727" t="n">
        <v>1</v>
      </c>
      <c r="G727" t="n">
        <v>5</v>
      </c>
      <c r="H727" s="5">
        <f>HYPERLINK("https://api.qogita.com/variants/link/0840797126275/", "View Product")</f>
        <v/>
      </c>
    </row>
    <row r="728">
      <c r="A728" t="inlineStr">
        <is>
          <t>0840797136250</t>
        </is>
      </c>
      <c r="B728" t="inlineStr">
        <is>
          <t>Banana Republic Cordovan Eau De Toilette 100ml EDT Spray</t>
        </is>
      </c>
      <c r="C728" t="inlineStr">
        <is>
          <t>Eau De Toilette</t>
        </is>
      </c>
      <c r="D728" t="inlineStr">
        <is>
          <t>Banana Republic</t>
        </is>
      </c>
      <c r="E728" t="n">
        <v>15.2</v>
      </c>
      <c r="F728" t="n">
        <v>1</v>
      </c>
      <c r="G728" t="n">
        <v>4</v>
      </c>
      <c r="H728" s="5">
        <f>HYPERLINK("https://api.qogita.com/variants/link/0840797136250/", "View Product")</f>
        <v/>
      </c>
    </row>
    <row r="729">
      <c r="A729" t="inlineStr">
        <is>
          <t>0840797139244</t>
        </is>
      </c>
      <c r="B729" t="inlineStr">
        <is>
          <t>Banana Republic Rosewood Eau De Parfum Spray 3.4 oz for Women</t>
        </is>
      </c>
      <c r="C729" t="inlineStr">
        <is>
          <t>Eau De Parfum</t>
        </is>
      </c>
      <c r="D729" t="inlineStr">
        <is>
          <t>Banana Republic</t>
        </is>
      </c>
      <c r="E729" t="n">
        <v>15.34</v>
      </c>
      <c r="F729" t="n">
        <v>1</v>
      </c>
      <c r="G729" t="n">
        <v>3</v>
      </c>
      <c r="H729" s="5">
        <f>HYPERLINK("https://api.qogita.com/variants/link/0840797139244/", "View Product")</f>
        <v/>
      </c>
    </row>
    <row r="730">
      <c r="A730" t="inlineStr">
        <is>
          <t>0841317000051</t>
        </is>
      </c>
      <c r="B730" t="inlineStr">
        <is>
          <t>Histoires De Parfums 1876 Women EDP 120ml</t>
        </is>
      </c>
      <c r="C730" t="inlineStr">
        <is>
          <t>Eau De Parfum</t>
        </is>
      </c>
      <c r="D730" t="inlineStr">
        <is>
          <t>Histoires De Parfums</t>
        </is>
      </c>
      <c r="E730" t="n">
        <v>87.76000000000001</v>
      </c>
      <c r="F730" t="n">
        <v>1</v>
      </c>
      <c r="G730" t="n">
        <v>3</v>
      </c>
      <c r="H730" s="5">
        <f>HYPERLINK("https://api.qogita.com/variants/link/0841317000051/", "View Product")</f>
        <v/>
      </c>
    </row>
    <row r="731">
      <c r="A731" t="inlineStr">
        <is>
          <t>0841317000075</t>
        </is>
      </c>
      <c r="B731" t="inlineStr">
        <is>
          <t>Histoires de Parfums Noir Patchouli 120ml</t>
        </is>
      </c>
      <c r="C731" t="inlineStr">
        <is>
          <t>Eau De Parfum</t>
        </is>
      </c>
      <c r="D731" t="inlineStr">
        <is>
          <t>Histoires De Parfums</t>
        </is>
      </c>
      <c r="E731" t="n">
        <v>79.34</v>
      </c>
      <c r="F731" t="n">
        <v>1</v>
      </c>
      <c r="G731" t="n">
        <v>9</v>
      </c>
      <c r="H731" s="5">
        <f>HYPERLINK("https://api.qogita.com/variants/link/0841317000075/", "View Product")</f>
        <v/>
      </c>
    </row>
    <row r="732">
      <c r="A732" t="inlineStr">
        <is>
          <t>0841317000273</t>
        </is>
      </c>
      <c r="B732" t="inlineStr">
        <is>
          <t>Histoires De Parfums Encens Roi Edp 60 Ml Unisex</t>
        </is>
      </c>
      <c r="C732" t="inlineStr">
        <is>
          <t>Eau De Parfum</t>
        </is>
      </c>
      <c r="D732" t="inlineStr">
        <is>
          <t>Histoires De Parfums</t>
        </is>
      </c>
      <c r="E732" t="n">
        <v>96.29000000000001</v>
      </c>
      <c r="F732" t="n">
        <v>1</v>
      </c>
      <c r="G732" t="n">
        <v>8</v>
      </c>
      <c r="H732" s="5">
        <f>HYPERLINK("https://api.qogita.com/variants/link/0841317000273/", "View Product")</f>
        <v/>
      </c>
    </row>
    <row r="733">
      <c r="A733" t="inlineStr">
        <is>
          <t>0841317001010</t>
        </is>
      </c>
      <c r="B733" t="inlineStr">
        <is>
          <t>Histoire De Parfums 1804 Eau de Parfum Vapo 60ml</t>
        </is>
      </c>
      <c r="C733" t="inlineStr">
        <is>
          <t>Eau De Parfum</t>
        </is>
      </c>
      <c r="D733" t="inlineStr">
        <is>
          <t>Histoires De Parfums</t>
        </is>
      </c>
      <c r="E733" t="n">
        <v>53.22</v>
      </c>
      <c r="F733" t="n">
        <v>1</v>
      </c>
      <c r="G733" t="n">
        <v>11</v>
      </c>
      <c r="H733" s="5">
        <f>HYPERLINK("https://api.qogita.com/variants/link/0841317001010/", "View Product")</f>
        <v/>
      </c>
    </row>
    <row r="734">
      <c r="A734" t="inlineStr">
        <is>
          <t>0841317001126</t>
        </is>
      </c>
      <c r="B734" t="inlineStr">
        <is>
          <t>Histoires De Parfums Ambre 114 EDP 60ml</t>
        </is>
      </c>
      <c r="C734" t="inlineStr">
        <is>
          <t>Eau De Parfum</t>
        </is>
      </c>
      <c r="D734" t="inlineStr">
        <is>
          <t>Histoire De Parfums</t>
        </is>
      </c>
      <c r="E734" t="n">
        <v>60.47</v>
      </c>
      <c r="F734" t="n">
        <v>1</v>
      </c>
      <c r="G734" t="n">
        <v>5</v>
      </c>
      <c r="H734" s="5">
        <f>HYPERLINK("https://api.qogita.com/variants/link/0841317001126/", "View Product")</f>
        <v/>
      </c>
    </row>
    <row r="735">
      <c r="A735" t="inlineStr">
        <is>
          <t>0841317001218</t>
        </is>
      </c>
      <c r="B735" t="inlineStr">
        <is>
          <t>Histoires De Parfums 7753 Woman EDP 60ml</t>
        </is>
      </c>
      <c r="C735" t="inlineStr">
        <is>
          <t>Eau De Parfum</t>
        </is>
      </c>
      <c r="D735" t="inlineStr">
        <is>
          <t>Histoires De Parfums</t>
        </is>
      </c>
      <c r="E735" t="n">
        <v>52.57</v>
      </c>
      <c r="F735" t="n">
        <v>1</v>
      </c>
      <c r="G735" t="n">
        <v>11</v>
      </c>
      <c r="H735" s="5">
        <f>HYPERLINK("https://api.qogita.com/variants/link/0841317001218/", "View Product")</f>
        <v/>
      </c>
    </row>
    <row r="736">
      <c r="A736" t="inlineStr">
        <is>
          <t>0841317002628</t>
        </is>
      </c>
      <c r="B736" t="inlineStr">
        <is>
          <t>Histoires De Parfums This Is Not A Bleu Bottle 1.3 Eau De Parfum 60ml</t>
        </is>
      </c>
      <c r="C736" t="inlineStr">
        <is>
          <t>Eau De Parfum</t>
        </is>
      </c>
      <c r="D736" t="inlineStr">
        <is>
          <t>Histoires De Parfums</t>
        </is>
      </c>
      <c r="E736" t="n">
        <v>51.44</v>
      </c>
      <c r="F736" t="n">
        <v>1</v>
      </c>
      <c r="G736" t="n">
        <v>10</v>
      </c>
      <c r="H736" s="5">
        <f>HYPERLINK("https://api.qogita.com/variants/link/0841317002628/", "View Product")</f>
        <v/>
      </c>
    </row>
    <row r="737">
      <c r="A737" t="inlineStr">
        <is>
          <t>0841317002635</t>
        </is>
      </c>
      <c r="B737" t="inlineStr">
        <is>
          <t>Histoire de Parfums Blue 1.3 Unisex Eau de Parfum 15ml</t>
        </is>
      </c>
      <c r="C737" t="inlineStr">
        <is>
          <t>Eau De Parfum</t>
        </is>
      </c>
      <c r="D737" t="inlineStr">
        <is>
          <t>Histoire De Parfums</t>
        </is>
      </c>
      <c r="E737" t="n">
        <v>17.84</v>
      </c>
      <c r="F737" t="n">
        <v>1</v>
      </c>
      <c r="G737" t="n">
        <v>81</v>
      </c>
      <c r="H737" s="5">
        <f>HYPERLINK("https://api.qogita.com/variants/link/0841317002635/", "View Product")</f>
        <v/>
      </c>
    </row>
    <row r="738">
      <c r="A738" t="inlineStr">
        <is>
          <t>0841317002871</t>
        </is>
      </c>
      <c r="B738" t="inlineStr">
        <is>
          <t>Histoires De Parfums This Is Not A Blue Bottle Blue 1.7 Parfum</t>
        </is>
      </c>
      <c r="C738" t="inlineStr">
        <is>
          <t>Eau De Parfum</t>
        </is>
      </c>
      <c r="D738" t="inlineStr">
        <is>
          <t>Histoires De Parfums</t>
        </is>
      </c>
      <c r="E738" t="n">
        <v>77.45999999999999</v>
      </c>
      <c r="F738" t="n">
        <v>1</v>
      </c>
      <c r="G738" t="n">
        <v>11</v>
      </c>
      <c r="H738" s="5">
        <f>HYPERLINK("https://api.qogita.com/variants/link/0841317002871/", "View Product")</f>
        <v/>
      </c>
    </row>
    <row r="739">
      <c r="A739" t="inlineStr">
        <is>
          <t>0843445024350</t>
        </is>
      </c>
      <c r="B739" t="inlineStr">
        <is>
          <t>Facial Mask Significantly Increases Skincare Absorption Exfoliating</t>
        </is>
      </c>
      <c r="C739" t="inlineStr">
        <is>
          <t>Glow Mask</t>
        </is>
      </c>
      <c r="D739" t="inlineStr">
        <is>
          <t>Shapeways</t>
        </is>
      </c>
      <c r="E739" t="n">
        <v>8.4</v>
      </c>
      <c r="F739" t="n">
        <v>1</v>
      </c>
      <c r="G739" t="n">
        <v>2</v>
      </c>
      <c r="H739" s="5">
        <f>HYPERLINK("https://api.qogita.com/variants/link/0843445024350/", "View Product")</f>
        <v/>
      </c>
    </row>
    <row r="740">
      <c r="A740" t="inlineStr">
        <is>
          <t>0843445024404</t>
        </is>
      </c>
      <c r="B740" t="inlineStr">
        <is>
          <t>Plumbeauty Peeling Pad For The Face Skin Scrubbers - 2 Pieces</t>
        </is>
      </c>
      <c r="C740" t="inlineStr">
        <is>
          <t>Facial Scrub &amp; Peeling</t>
        </is>
      </c>
      <c r="D740" t="inlineStr">
        <is>
          <t>Plum Beauty</t>
        </is>
      </c>
      <c r="E740" t="n">
        <v>9.51</v>
      </c>
      <c r="F740" t="n">
        <v>1</v>
      </c>
      <c r="G740" t="n">
        <v>2</v>
      </c>
      <c r="H740" s="5">
        <f>HYPERLINK("https://api.qogita.com/variants/link/0843445024404/", "View Product")</f>
        <v/>
      </c>
    </row>
    <row r="741">
      <c r="A741" t="inlineStr">
        <is>
          <t>0844061000551</t>
        </is>
      </c>
      <c r="B741" t="inlineStr">
        <is>
          <t>Perry Ellis 360 Red EDT Spray for Men 100ml</t>
        </is>
      </c>
      <c r="C741" t="inlineStr">
        <is>
          <t>Eau De Toilette</t>
        </is>
      </c>
      <c r="D741" t="inlineStr">
        <is>
          <t>Perry Ellis</t>
        </is>
      </c>
      <c r="E741" t="n">
        <v>22.38</v>
      </c>
      <c r="F741" t="n">
        <v>1</v>
      </c>
      <c r="G741" t="n">
        <v>77</v>
      </c>
      <c r="H741" s="5">
        <f>HYPERLINK("https://api.qogita.com/variants/link/0844061000551/", "View Product")</f>
        <v/>
      </c>
    </row>
    <row r="742">
      <c r="A742" t="inlineStr">
        <is>
          <t>0844061004764</t>
        </is>
      </c>
      <c r="B742" t="inlineStr">
        <is>
          <t>Perry Ellis America 5-Ounce</t>
        </is>
      </c>
      <c r="C742" t="inlineStr">
        <is>
          <t>Eau De Toilette</t>
        </is>
      </c>
      <c r="D742" t="inlineStr">
        <is>
          <t>Perry Ellis</t>
        </is>
      </c>
      <c r="E742" t="n">
        <v>17.74</v>
      </c>
      <c r="F742" t="n">
        <v>1</v>
      </c>
      <c r="G742" t="n">
        <v>13</v>
      </c>
      <c r="H742" s="5">
        <f>HYPERLINK("https://api.qogita.com/variants/link/0844061004764/", "View Product")</f>
        <v/>
      </c>
    </row>
    <row r="743">
      <c r="A743" t="inlineStr">
        <is>
          <t>0844061006164</t>
        </is>
      </c>
      <c r="B743" t="inlineStr">
        <is>
          <t>Perry Ellis 360 Collection for Women 3.4oz EDP Spray</t>
        </is>
      </c>
      <c r="C743" t="inlineStr">
        <is>
          <t>Eau De Parfum</t>
        </is>
      </c>
      <c r="D743" t="inlineStr">
        <is>
          <t>Perry Ellis</t>
        </is>
      </c>
      <c r="E743" t="n">
        <v>26.87</v>
      </c>
      <c r="F743" t="n">
        <v>1</v>
      </c>
      <c r="G743" t="n">
        <v>17</v>
      </c>
      <c r="H743" s="5">
        <f>HYPERLINK("https://api.qogita.com/variants/link/0844061006164/", "View Product")</f>
        <v/>
      </c>
    </row>
    <row r="744">
      <c r="A744" t="inlineStr">
        <is>
          <t>0844061009462</t>
        </is>
      </c>
      <c r="B744" t="inlineStr">
        <is>
          <t>Perry Ellis 360 Collection Rose Eau de Parfum Spray 3.4 Oz</t>
        </is>
      </c>
      <c r="C744" t="inlineStr">
        <is>
          <t>Eau De Parfum</t>
        </is>
      </c>
      <c r="D744" t="inlineStr">
        <is>
          <t>Perry Ellis</t>
        </is>
      </c>
      <c r="E744" t="n">
        <v>25.8</v>
      </c>
      <c r="F744" t="n">
        <v>1</v>
      </c>
      <c r="G744" t="n">
        <v>5</v>
      </c>
      <c r="H744" s="5">
        <f>HYPERLINK("https://api.qogita.com/variants/link/0844061009462/", "View Product")</f>
        <v/>
      </c>
    </row>
    <row r="745">
      <c r="A745" t="inlineStr">
        <is>
          <t>0844061011212</t>
        </is>
      </c>
      <c r="B745" t="inlineStr">
        <is>
          <t>Perry Ellis 360 Very Blue 3.4oz EDT Spray</t>
        </is>
      </c>
      <c r="C745" t="inlineStr">
        <is>
          <t>Eau De Toilette</t>
        </is>
      </c>
      <c r="D745" t="inlineStr">
        <is>
          <t>Perry Ellis</t>
        </is>
      </c>
      <c r="E745" t="n">
        <v>19.09</v>
      </c>
      <c r="F745" t="n">
        <v>1</v>
      </c>
      <c r="G745" t="n">
        <v>5</v>
      </c>
      <c r="H745" s="5">
        <f>HYPERLINK("https://api.qogita.com/variants/link/0844061011212/", "View Product")</f>
        <v/>
      </c>
    </row>
    <row r="746">
      <c r="A746" t="inlineStr">
        <is>
          <t>0850004313190</t>
        </is>
      </c>
      <c r="B746" t="inlineStr">
        <is>
          <t>Reuzel Surf Tonic Hairspray Fragrance Free Adds Grip Texture and Volume</t>
        </is>
      </c>
      <c r="C746" t="inlineStr">
        <is>
          <t>Hairspray</t>
        </is>
      </c>
      <c r="D746" t="inlineStr">
        <is>
          <t>Reuzel</t>
        </is>
      </c>
      <c r="E746" t="n">
        <v>6.08</v>
      </c>
      <c r="F746" t="n">
        <v>1</v>
      </c>
      <c r="G746" t="n">
        <v>15</v>
      </c>
      <c r="H746" s="5">
        <f>HYPERLINK("https://api.qogita.com/variants/link/0850004313190/", "View Product")</f>
        <v/>
      </c>
    </row>
    <row r="747">
      <c r="A747" t="inlineStr">
        <is>
          <t>0850004313893</t>
        </is>
      </c>
      <c r="B747" t="inlineStr">
        <is>
          <t>Reuzel Clay Spray Adds Texture and Definition 355ml</t>
        </is>
      </c>
      <c r="C747" t="inlineStr">
        <is>
          <t>Styling Sprays</t>
        </is>
      </c>
      <c r="D747" t="inlineStr">
        <is>
          <t>Reuzel</t>
        </is>
      </c>
      <c r="E747" t="n">
        <v>6.54</v>
      </c>
      <c r="F747" t="n">
        <v>1</v>
      </c>
      <c r="G747" t="n">
        <v>5</v>
      </c>
      <c r="H747" s="5">
        <f>HYPERLINK("https://api.qogita.com/variants/link/0850004313893/", "View Product")</f>
        <v/>
      </c>
    </row>
    <row r="748">
      <c r="A748" t="inlineStr">
        <is>
          <t>0850013332670</t>
        </is>
      </c>
      <c r="B748" t="inlineStr">
        <is>
          <t>Reuzel Clay Hairspray for Men Texturizing &amp; Volumizing Spray Matte Finish</t>
        </is>
      </c>
      <c r="C748" t="inlineStr">
        <is>
          <t>Hairspray</t>
        </is>
      </c>
      <c r="D748" t="inlineStr">
        <is>
          <t>Reuzel</t>
        </is>
      </c>
      <c r="E748" t="n">
        <v>6.74</v>
      </c>
      <c r="F748" t="n">
        <v>1</v>
      </c>
      <c r="G748" t="n">
        <v>5</v>
      </c>
      <c r="H748" s="5">
        <f>HYPERLINK("https://api.qogita.com/variants/link/0850013332670/", "View Product")</f>
        <v/>
      </c>
    </row>
    <row r="749">
      <c r="A749" t="inlineStr">
        <is>
          <t>0850013332786</t>
        </is>
      </c>
      <c r="B749" t="inlineStr">
        <is>
          <t>Reuzel Hydrating Face Moisturizer with Calendula and Apricot 100ml</t>
        </is>
      </c>
      <c r="C749" t="inlineStr">
        <is>
          <t>Face Cream</t>
        </is>
      </c>
      <c r="D749" t="inlineStr">
        <is>
          <t>Reuzel</t>
        </is>
      </c>
      <c r="E749" t="n">
        <v>13.07</v>
      </c>
      <c r="F749" t="n">
        <v>1</v>
      </c>
      <c r="G749" t="n">
        <v>2</v>
      </c>
      <c r="H749" s="5">
        <f>HYPERLINK("https://api.qogita.com/variants/link/0850013332786/", "View Product")</f>
        <v/>
      </c>
    </row>
    <row r="750">
      <c r="A750" t="inlineStr">
        <is>
          <t>0850013332823</t>
        </is>
      </c>
      <c r="B750" t="inlineStr">
        <is>
          <t>Reuzel Clean &amp; Fresh Beard Serum 50g</t>
        </is>
      </c>
      <c r="C750" t="inlineStr">
        <is>
          <t>Beard Care Accessories</t>
        </is>
      </c>
      <c r="D750" t="inlineStr">
        <is>
          <t>Reuzel</t>
        </is>
      </c>
      <c r="E750" t="n">
        <v>17.04</v>
      </c>
      <c r="F750" t="n">
        <v>1</v>
      </c>
      <c r="G750" t="n">
        <v>2</v>
      </c>
      <c r="H750" s="5">
        <f>HYPERLINK("https://api.qogita.com/variants/link/0850013332823/", "View Product")</f>
        <v/>
      </c>
    </row>
    <row r="751">
      <c r="A751" t="inlineStr">
        <is>
          <t>0850016678010</t>
        </is>
      </c>
      <c r="B751" t="inlineStr">
        <is>
          <t>TUMI UNWIND Eau de Parfum 100ml</t>
        </is>
      </c>
      <c r="C751" t="inlineStr">
        <is>
          <t>Eau De Parfum</t>
        </is>
      </c>
      <c r="D751" t="inlineStr">
        <is>
          <t>Tumi</t>
        </is>
      </c>
      <c r="E751" t="n">
        <v>44.6</v>
      </c>
      <c r="F751" t="n">
        <v>1</v>
      </c>
      <c r="G751" t="n">
        <v>5</v>
      </c>
      <c r="H751" s="5">
        <f>HYPERLINK("https://api.qogita.com/variants/link/0850016678010/", "View Product")</f>
        <v/>
      </c>
    </row>
    <row r="752">
      <c r="A752" t="inlineStr">
        <is>
          <t>0850018802444</t>
        </is>
      </c>
      <c r="B752" t="inlineStr">
        <is>
          <t>Olaplex No.4 Bond Maintenance Shampoo 1000ml</t>
        </is>
      </c>
      <c r="C752" t="inlineStr">
        <is>
          <t>Shampoo</t>
        </is>
      </c>
      <c r="D752" t="inlineStr">
        <is>
          <t>Olaplex</t>
        </is>
      </c>
      <c r="E752" t="n">
        <v>48.64</v>
      </c>
      <c r="F752" t="n">
        <v>1</v>
      </c>
      <c r="G752" t="n">
        <v>955</v>
      </c>
      <c r="H752" s="5">
        <f>HYPERLINK("https://api.qogita.com/variants/link/0850018802444/", "View Product")</f>
        <v/>
      </c>
    </row>
    <row r="753">
      <c r="A753" t="inlineStr">
        <is>
          <t>0850018802642</t>
        </is>
      </c>
      <c r="B753" t="inlineStr">
        <is>
          <t>Olaplex Lashbond Building Serum Clear Eyelash Growth Serum for Longer Fuller Lashes</t>
        </is>
      </c>
      <c r="C753" t="inlineStr">
        <is>
          <t>Hands &amp; Feet</t>
        </is>
      </c>
      <c r="D753" t="inlineStr">
        <is>
          <t>Olaplex</t>
        </is>
      </c>
      <c r="E753" t="n">
        <v>39.81</v>
      </c>
      <c r="F753" t="n">
        <v>1</v>
      </c>
      <c r="G753" t="n">
        <v>20</v>
      </c>
      <c r="H753" s="5">
        <f>HYPERLINK("https://api.qogita.com/variants/link/0850018802642/", "View Product")</f>
        <v/>
      </c>
    </row>
    <row r="754">
      <c r="A754" t="inlineStr">
        <is>
          <t>0850018802659</t>
        </is>
      </c>
      <c r="B754" t="inlineStr">
        <is>
          <t>OLAPLEX No. 5 Bond Maintenance Conditioner 250ml</t>
        </is>
      </c>
      <c r="C754" t="inlineStr">
        <is>
          <t>Conditioner</t>
        </is>
      </c>
      <c r="D754" t="inlineStr">
        <is>
          <t>Olaplex</t>
        </is>
      </c>
      <c r="E754" t="n">
        <v>16.84</v>
      </c>
      <c r="F754" t="n">
        <v>1</v>
      </c>
      <c r="G754" t="n">
        <v>697</v>
      </c>
      <c r="H754" s="5">
        <f>HYPERLINK("https://api.qogita.com/variants/link/0850018802659/", "View Product")</f>
        <v/>
      </c>
    </row>
    <row r="755">
      <c r="A755" t="inlineStr">
        <is>
          <t>0850018802710</t>
        </is>
      </c>
      <c r="B755" t="inlineStr">
        <is>
          <t>Olaplex Bond Maintenance No.4C Clarifying Shampoo 1000ml</t>
        </is>
      </c>
      <c r="C755" t="inlineStr">
        <is>
          <t>Shampoo</t>
        </is>
      </c>
      <c r="D755" t="inlineStr">
        <is>
          <t>Olaplex</t>
        </is>
      </c>
      <c r="E755" t="n">
        <v>45.88</v>
      </c>
      <c r="F755" t="n">
        <v>1</v>
      </c>
      <c r="G755" t="n">
        <v>105</v>
      </c>
      <c r="H755" s="5">
        <f>HYPERLINK("https://api.qogita.com/variants/link/0850018802710/", "View Product")</f>
        <v/>
      </c>
    </row>
    <row r="756">
      <c r="A756" t="inlineStr">
        <is>
          <t>0850018802765</t>
        </is>
      </c>
      <c r="B756" t="inlineStr">
        <is>
          <t>Olaplex No 4C Bond Maintenance Shampoo Cleanses Green Softens Restores Shine</t>
        </is>
      </c>
      <c r="C756" t="inlineStr">
        <is>
          <t>Shampoo</t>
        </is>
      </c>
      <c r="D756" t="inlineStr">
        <is>
          <t>Olaplex</t>
        </is>
      </c>
      <c r="E756" t="n">
        <v>16.48</v>
      </c>
      <c r="F756" t="n">
        <v>1</v>
      </c>
      <c r="G756" t="n">
        <v>199</v>
      </c>
      <c r="H756" s="5">
        <f>HYPERLINK("https://api.qogita.com/variants/link/0850018802765/", "View Product")</f>
        <v/>
      </c>
    </row>
    <row r="757">
      <c r="A757" t="inlineStr">
        <is>
          <t>0850018802802</t>
        </is>
      </c>
      <c r="B757" t="inlineStr">
        <is>
          <t>Olaplex Salon Kit No 1 Bond Multiplier and No 2 Bond Perfector - 525 ml each</t>
        </is>
      </c>
      <c r="C757" t="inlineStr">
        <is>
          <t>Hair Care Sets</t>
        </is>
      </c>
      <c r="D757" t="inlineStr">
        <is>
          <t>Olaplex</t>
        </is>
      </c>
      <c r="E757" t="n">
        <v>217.1</v>
      </c>
      <c r="F757" t="n">
        <v>1</v>
      </c>
      <c r="G757" t="n">
        <v>22</v>
      </c>
      <c r="H757" s="5">
        <f>HYPERLINK("https://api.qogita.com/variants/link/0850018802802/", "View Product")</f>
        <v/>
      </c>
    </row>
    <row r="758">
      <c r="A758" t="inlineStr">
        <is>
          <t>0850018802826</t>
        </is>
      </c>
      <c r="B758" t="inlineStr">
        <is>
          <t>Olaplex No 9 Bond Protector Nourishing Hair Serum with Heat Protection</t>
        </is>
      </c>
      <c r="C758" t="inlineStr">
        <is>
          <t>Hair Oil &amp; Hair Serum</t>
        </is>
      </c>
      <c r="D758" t="inlineStr">
        <is>
          <t>Olaplex</t>
        </is>
      </c>
      <c r="E758" t="n">
        <v>16.92</v>
      </c>
      <c r="F758" t="n">
        <v>1</v>
      </c>
      <c r="G758" t="n">
        <v>61</v>
      </c>
      <c r="H758" s="5">
        <f>HYPERLINK("https://api.qogita.com/variants/link/0850018802826/", "View Product")</f>
        <v/>
      </c>
    </row>
    <row r="759">
      <c r="A759" t="inlineStr">
        <is>
          <t>0850018802833</t>
        </is>
      </c>
      <c r="B759" t="inlineStr">
        <is>
          <t>Olaplex No.0 Intensive Bond Building Hair Treatment 155ml</t>
        </is>
      </c>
      <c r="C759" t="inlineStr">
        <is>
          <t>Hair Masks</t>
        </is>
      </c>
      <c r="D759" t="inlineStr">
        <is>
          <t>Olaplex</t>
        </is>
      </c>
      <c r="E759" t="n">
        <v>17.67</v>
      </c>
      <c r="F759" t="n">
        <v>1</v>
      </c>
      <c r="G759" t="n">
        <v>188</v>
      </c>
      <c r="H759" s="5">
        <f>HYPERLINK("https://api.qogita.com/variants/link/0850018802833/", "View Product")</f>
        <v/>
      </c>
    </row>
    <row r="760">
      <c r="A760" t="inlineStr">
        <is>
          <t>0850034671062</t>
        </is>
      </c>
      <c r="B760" t="inlineStr">
        <is>
          <t>Mind Games Caissa Luxury Perfume with Notes of Black Licorice and White Gardenia</t>
        </is>
      </c>
      <c r="C760" t="inlineStr">
        <is>
          <t>Extrait De Parfum</t>
        </is>
      </c>
      <c r="D760" t="inlineStr">
        <is>
          <t>Mind Games</t>
        </is>
      </c>
      <c r="E760" t="n">
        <v>183.09</v>
      </c>
      <c r="F760" t="n">
        <v>1</v>
      </c>
      <c r="G760" t="n">
        <v>3</v>
      </c>
      <c r="H760" s="5">
        <f>HYPERLINK("https://api.qogita.com/variants/link/0850034671062/", "View Product")</f>
        <v/>
      </c>
    </row>
    <row r="761">
      <c r="A761" t="inlineStr">
        <is>
          <t>0850034671093</t>
        </is>
      </c>
      <c r="B761" t="inlineStr">
        <is>
          <t>Mind Games As-Suli's Diamond Luxury Perfume with Notes of Bergamot and Madagascar</t>
        </is>
      </c>
      <c r="C761" t="inlineStr">
        <is>
          <t>Extrait De Parfum</t>
        </is>
      </c>
      <c r="D761" t="inlineStr">
        <is>
          <t>Mind Games</t>
        </is>
      </c>
      <c r="E761" t="n">
        <v>173.79</v>
      </c>
      <c r="F761" t="n">
        <v>1</v>
      </c>
      <c r="G761" t="n">
        <v>9</v>
      </c>
      <c r="H761" s="5">
        <f>HYPERLINK("https://api.qogita.com/variants/link/0850034671093/", "View Product")</f>
        <v/>
      </c>
    </row>
    <row r="762">
      <c r="A762" t="inlineStr">
        <is>
          <t>0850045076085</t>
        </is>
      </c>
      <c r="B762" t="inlineStr">
        <is>
          <t>Olaplex No 7 Bonding Hair Oil Concentrated High Shine Oil Heat Protection</t>
        </is>
      </c>
      <c r="C762" t="inlineStr">
        <is>
          <t>Hair Oil &amp; Hair Serum</t>
        </is>
      </c>
      <c r="D762" t="inlineStr">
        <is>
          <t>Olaplex</t>
        </is>
      </c>
      <c r="E762" t="n">
        <v>18.25</v>
      </c>
      <c r="F762" t="n">
        <v>1</v>
      </c>
      <c r="G762" t="n">
        <v>84</v>
      </c>
      <c r="H762" s="5">
        <f>HYPERLINK("https://api.qogita.com/variants/link/0850045076085/", "View Product")</f>
        <v/>
      </c>
    </row>
    <row r="763">
      <c r="A763" t="inlineStr">
        <is>
          <t>0850045076290</t>
        </is>
      </c>
      <c r="B763" t="inlineStr">
        <is>
          <t>Olaplex No 5P Blonde Enhancer Purple Toning Conditioner Repairs Moisturizes</t>
        </is>
      </c>
      <c r="C763" t="inlineStr">
        <is>
          <t>Conditioner</t>
        </is>
      </c>
      <c r="D763" t="inlineStr">
        <is>
          <t>Olaplex</t>
        </is>
      </c>
      <c r="E763" t="n">
        <v>17.12</v>
      </c>
      <c r="F763" t="n">
        <v>1</v>
      </c>
      <c r="G763" t="n">
        <v>87</v>
      </c>
      <c r="H763" s="5">
        <f>HYPERLINK("https://api.qogita.com/variants/link/0850045076290/", "View Product")</f>
        <v/>
      </c>
    </row>
    <row r="764">
      <c r="A764" t="inlineStr">
        <is>
          <t>0850049716154</t>
        </is>
      </c>
      <c r="B764" t="inlineStr">
        <is>
          <t>Michael Kors Pour Homme Eau de Parfum 30ml</t>
        </is>
      </c>
      <c r="C764" t="inlineStr">
        <is>
          <t>Eau De Parfum</t>
        </is>
      </c>
      <c r="D764" t="inlineStr">
        <is>
          <t>Michael Kors</t>
        </is>
      </c>
      <c r="E764" t="n">
        <v>46.49</v>
      </c>
      <c r="F764" t="n">
        <v>1</v>
      </c>
      <c r="G764" t="n">
        <v>17</v>
      </c>
      <c r="H764" s="5">
        <f>HYPERLINK("https://api.qogita.com/variants/link/0850049716154/", "View Product")</f>
        <v/>
      </c>
    </row>
    <row r="765">
      <c r="A765" t="inlineStr">
        <is>
          <t>0850049716215</t>
        </is>
      </c>
      <c r="B765" t="inlineStr">
        <is>
          <t>Michael Kors Pour Homme Deodorant Stick 75ml</t>
        </is>
      </c>
      <c r="C765" t="inlineStr">
        <is>
          <t>Deodorant &amp; Anti-Perspirant</t>
        </is>
      </c>
      <c r="D765" t="inlineStr">
        <is>
          <t>Michael Kors</t>
        </is>
      </c>
      <c r="E765" t="n">
        <v>14.51</v>
      </c>
      <c r="F765" t="n">
        <v>1</v>
      </c>
      <c r="G765" t="n">
        <v>3</v>
      </c>
      <c r="H765" s="5">
        <f>HYPERLINK("https://api.qogita.com/variants/link/0850049716215/", "View Product")</f>
        <v/>
      </c>
    </row>
    <row r="766">
      <c r="A766" t="inlineStr">
        <is>
          <t>0850050062219</t>
        </is>
      </c>
      <c r="B766" t="inlineStr">
        <is>
          <t>Bharara Viking Rio 3.4 Fl Oz / 100 Ml EDP Unisex</t>
        </is>
      </c>
      <c r="C766" t="inlineStr">
        <is>
          <t>Eau De Parfum</t>
        </is>
      </c>
      <c r="D766" t="inlineStr">
        <is>
          <t>Bharara</t>
        </is>
      </c>
      <c r="E766" t="n">
        <v>52.28</v>
      </c>
      <c r="F766" t="n">
        <v>1</v>
      </c>
      <c r="G766" t="n">
        <v>6</v>
      </c>
      <c r="H766" s="5">
        <f>HYPERLINK("https://api.qogita.com/variants/link/0850050062219/", "View Product")</f>
        <v/>
      </c>
    </row>
    <row r="767">
      <c r="A767" t="inlineStr">
        <is>
          <t>0850051296019</t>
        </is>
      </c>
      <c r="B767" t="inlineStr">
        <is>
          <t>Amazonas Solstice Arabian Perfume for Women - Affordable Strong Attractive Eau</t>
        </is>
      </c>
      <c r="C767" t="inlineStr">
        <is>
          <t>Eau De Parfum</t>
        </is>
      </c>
      <c r="D767" t="inlineStr">
        <is>
          <t>Atralia</t>
        </is>
      </c>
      <c r="E767" t="n">
        <v>17.13</v>
      </c>
      <c r="F767" t="n">
        <v>1</v>
      </c>
      <c r="G767" t="n">
        <v>8</v>
      </c>
      <c r="H767" s="5">
        <f>HYPERLINK("https://api.qogita.com/variants/link/0850051296019/", "View Product")</f>
        <v/>
      </c>
    </row>
    <row r="768">
      <c r="A768" t="inlineStr">
        <is>
          <t>0850056933148</t>
        </is>
      </c>
      <c r="B768" t="inlineStr">
        <is>
          <t>Olaplex Bond Shaper Curl Rebuilding Treatment Kit</t>
        </is>
      </c>
      <c r="C768" t="inlineStr">
        <is>
          <t>Hair Care Sets</t>
        </is>
      </c>
      <c r="D768" t="inlineStr">
        <is>
          <t>Olaplex</t>
        </is>
      </c>
      <c r="E768" t="n">
        <v>60.32</v>
      </c>
      <c r="F768" t="n">
        <v>1</v>
      </c>
      <c r="G768" t="n">
        <v>4</v>
      </c>
      <c r="H768" s="5">
        <f>HYPERLINK("https://api.qogita.com/variants/link/0850056933148/", "View Product")</f>
        <v/>
      </c>
    </row>
    <row r="769">
      <c r="A769" t="inlineStr">
        <is>
          <t>0850426006083</t>
        </is>
      </c>
      <c r="B769" t="inlineStr">
        <is>
          <t>Living proof Perfect Hair Day (PhD) Dry Shampoo 112g</t>
        </is>
      </c>
      <c r="C769" t="inlineStr">
        <is>
          <t>Dry Shampoo</t>
        </is>
      </c>
      <c r="D769" t="inlineStr">
        <is>
          <t>Living Proof</t>
        </is>
      </c>
      <c r="E769" t="n">
        <v>25.2</v>
      </c>
      <c r="F769" t="n">
        <v>1</v>
      </c>
      <c r="G769" t="n">
        <v>4</v>
      </c>
      <c r="H769" s="5">
        <f>HYPERLINK("https://api.qogita.com/variants/link/0850426006083/", "View Product")</f>
        <v/>
      </c>
    </row>
    <row r="770">
      <c r="A770" t="inlineStr">
        <is>
          <t>0851604006710</t>
        </is>
      </c>
      <c r="B770" t="inlineStr">
        <is>
          <t>Bom Dia Bright Body Cream with Vitamin C Cheirosa '40 Black Amber Plum &amp; Vanilla Woods 2.5 Fl Oz</t>
        </is>
      </c>
      <c r="C770" t="inlineStr">
        <is>
          <t>Body Lotion</t>
        </is>
      </c>
      <c r="D770" t="inlineStr">
        <is>
          <t>Sol De Janeiro</t>
        </is>
      </c>
      <c r="E770" t="n">
        <v>21.57</v>
      </c>
      <c r="F770" t="n">
        <v>1</v>
      </c>
      <c r="G770" t="n">
        <v>16</v>
      </c>
      <c r="H770" s="5">
        <f>HYPERLINK("https://api.qogita.com/variants/link/0851604006710/", "View Product")</f>
        <v/>
      </c>
    </row>
    <row r="771">
      <c r="A771" t="inlineStr">
        <is>
          <t>0852578006126</t>
        </is>
      </c>
      <c r="B771" t="inlineStr">
        <is>
          <t>Reuzel Daily Conditioner</t>
        </is>
      </c>
      <c r="C771" t="inlineStr">
        <is>
          <t>Hair Tonic</t>
        </is>
      </c>
      <c r="D771" t="inlineStr">
        <is>
          <t>Reuzel</t>
        </is>
      </c>
      <c r="E771" t="n">
        <v>2.62</v>
      </c>
      <c r="F771" t="n">
        <v>1</v>
      </c>
      <c r="G771" t="n">
        <v>14</v>
      </c>
      <c r="H771" s="5">
        <f>HYPERLINK("https://api.qogita.com/variants/link/0852578006126/", "View Product")</f>
        <v/>
      </c>
    </row>
    <row r="772">
      <c r="A772" t="inlineStr">
        <is>
          <t>0852578006829</t>
        </is>
      </c>
      <c r="B772" t="inlineStr">
        <is>
          <t>Reuzel Fiber Pomade Hair Holding Wax for Men 340g</t>
        </is>
      </c>
      <c r="C772" t="inlineStr">
        <is>
          <t>Wax</t>
        </is>
      </c>
      <c r="D772" t="inlineStr">
        <is>
          <t>Reuzel</t>
        </is>
      </c>
      <c r="E772" t="n">
        <v>24.26</v>
      </c>
      <c r="F772" t="n">
        <v>1</v>
      </c>
      <c r="G772" t="n">
        <v>4</v>
      </c>
      <c r="H772" s="5">
        <f>HYPERLINK("https://api.qogita.com/variants/link/0852578006829/", "View Product")</f>
        <v/>
      </c>
    </row>
    <row r="773">
      <c r="A773" t="inlineStr">
        <is>
          <t>0852578006850</t>
        </is>
      </c>
      <c r="B773" t="inlineStr">
        <is>
          <t>Touchable Me  Hold Matte Finish Hair Styling Product with Vanilla Mint Fragrance 340g</t>
        </is>
      </c>
      <c r="C773" t="inlineStr">
        <is>
          <t>Styling Creams</t>
        </is>
      </c>
      <c r="D773" t="inlineStr">
        <is>
          <t>Reuzel</t>
        </is>
      </c>
      <c r="E773" t="n">
        <v>18.48</v>
      </c>
      <c r="F773" t="n">
        <v>1</v>
      </c>
      <c r="G773" t="n">
        <v>16</v>
      </c>
      <c r="H773" s="5">
        <f>HYPERLINK("https://api.qogita.com/variants/link/0852578006850/", "View Product")</f>
        <v/>
      </c>
    </row>
    <row r="774">
      <c r="A774" t="inlineStr">
        <is>
          <t>0853382004896</t>
        </is>
      </c>
      <c r="B774" t="inlineStr">
        <is>
          <t>CREMO Barber Grade Hair Styling Thickening Paste for Men High Hold Low Shine 113g</t>
        </is>
      </c>
      <c r="C774" t="inlineStr">
        <is>
          <t>Styling Creams</t>
        </is>
      </c>
      <c r="D774" t="inlineStr">
        <is>
          <t>Cremo</t>
        </is>
      </c>
      <c r="E774" t="n">
        <v>14.3</v>
      </c>
      <c r="F774" t="n">
        <v>1</v>
      </c>
      <c r="G774" t="n">
        <v>3</v>
      </c>
      <c r="H774" s="5">
        <f>HYPERLINK("https://api.qogita.com/variants/link/0853382004896/", "View Product")</f>
        <v/>
      </c>
    </row>
    <row r="775">
      <c r="A775" t="inlineStr">
        <is>
          <t>0853382004919</t>
        </is>
      </c>
      <c r="B775" t="inlineStr">
        <is>
          <t>CREMO Barber Grade Hair Styling Cream for Men Medium Hold and Medium Shine 113g</t>
        </is>
      </c>
      <c r="C775" t="inlineStr">
        <is>
          <t>Styling Creams</t>
        </is>
      </c>
      <c r="D775" t="inlineStr">
        <is>
          <t>Cremo</t>
        </is>
      </c>
      <c r="E775" t="n">
        <v>14.3</v>
      </c>
      <c r="F775" t="n">
        <v>1</v>
      </c>
      <c r="G775" t="n">
        <v>3</v>
      </c>
      <c r="H775" s="5">
        <f>HYPERLINK("https://api.qogita.com/variants/link/0853382004919/", "View Product")</f>
        <v/>
      </c>
    </row>
    <row r="776">
      <c r="A776" t="inlineStr">
        <is>
          <t>0855238006597</t>
        </is>
      </c>
      <c r="B776" t="inlineStr">
        <is>
          <t>Pestle &amp; Mortar Erase Makeup Remover Cleansing Balm 100g with Nourishing Natural Oils</t>
        </is>
      </c>
      <c r="C776" t="inlineStr">
        <is>
          <t>Makeup Remover</t>
        </is>
      </c>
      <c r="D776" t="inlineStr">
        <is>
          <t>Pestle &amp; Mortar</t>
        </is>
      </c>
      <c r="E776" t="n">
        <v>39.33</v>
      </c>
      <c r="F776" t="n">
        <v>1</v>
      </c>
      <c r="G776" t="n">
        <v>2</v>
      </c>
      <c r="H776" s="5">
        <f>HYPERLINK("https://api.qogita.com/variants/link/0855238006597/", "View Product")</f>
        <v/>
      </c>
    </row>
    <row r="777">
      <c r="A777" t="inlineStr">
        <is>
          <t>0856515004039</t>
        </is>
      </c>
      <c r="B777" t="inlineStr">
        <is>
          <t>Hummer H2 for Men 4.2oz EDT Spray 100.55g</t>
        </is>
      </c>
      <c r="C777" t="inlineStr">
        <is>
          <t>Eau De Toilette</t>
        </is>
      </c>
      <c r="D777" t="inlineStr">
        <is>
          <t>Hummer</t>
        </is>
      </c>
      <c r="E777" t="n">
        <v>15.28</v>
      </c>
      <c r="F777" t="n">
        <v>1</v>
      </c>
      <c r="G777" t="n">
        <v>31</v>
      </c>
      <c r="H777" s="5">
        <f>HYPERLINK("https://api.qogita.com/variants/link/0856515004039/", "View Product")</f>
        <v/>
      </c>
    </row>
    <row r="778">
      <c r="A778" t="inlineStr">
        <is>
          <t>0857154002455</t>
        </is>
      </c>
      <c r="B778" t="inlineStr">
        <is>
          <t>Layrite Moisturizing Conditioner</t>
        </is>
      </c>
      <c r="C778" t="inlineStr">
        <is>
          <t>Conditioner</t>
        </is>
      </c>
      <c r="D778" t="inlineStr">
        <is>
          <t>Layrite</t>
        </is>
      </c>
      <c r="E778" t="n">
        <v>13.37</v>
      </c>
      <c r="F778" t="n">
        <v>1</v>
      </c>
      <c r="G778" t="n">
        <v>5</v>
      </c>
      <c r="H778" s="5">
        <f>HYPERLINK("https://api.qogita.com/variants/link/0857154002455/", "View Product")</f>
        <v/>
      </c>
    </row>
    <row r="779">
      <c r="A779" t="inlineStr">
        <is>
          <t>0858511000718</t>
        </is>
      </c>
      <c r="B779" t="inlineStr">
        <is>
          <t>K18 Conditioner Damage Shield Protective - 930 Milliliters</t>
        </is>
      </c>
      <c r="C779" t="inlineStr">
        <is>
          <t>Conditioner</t>
        </is>
      </c>
      <c r="D779" t="inlineStr">
        <is>
          <t>K18</t>
        </is>
      </c>
      <c r="E779" t="n">
        <v>96.59</v>
      </c>
      <c r="F779" t="n">
        <v>1</v>
      </c>
      <c r="G779" t="n">
        <v>4</v>
      </c>
      <c r="H779" s="5">
        <f>HYPERLINK("https://api.qogita.com/variants/link/0858511000718/", "View Product")</f>
        <v/>
      </c>
    </row>
    <row r="780">
      <c r="A780" t="inlineStr">
        <is>
          <t>0858511000756</t>
        </is>
      </c>
      <c r="B780" t="inlineStr">
        <is>
          <t>K18 Cleansing Shampoo For Hair Color Protection Damage Shield Ph Protective Shampoo</t>
        </is>
      </c>
      <c r="C780" t="inlineStr">
        <is>
          <t>Shampoo</t>
        </is>
      </c>
      <c r="D780" t="inlineStr">
        <is>
          <t>K18</t>
        </is>
      </c>
      <c r="E780" t="n">
        <v>86.76000000000001</v>
      </c>
      <c r="F780" t="n">
        <v>1</v>
      </c>
      <c r="G780" t="n">
        <v>2</v>
      </c>
      <c r="H780" s="5">
        <f>HYPERLINK("https://api.qogita.com/variants/link/0858511000756/", "View Product")</f>
        <v/>
      </c>
    </row>
    <row r="781">
      <c r="A781" t="inlineStr">
        <is>
          <t>0858511000954</t>
        </is>
      </c>
      <c r="B781" t="inlineStr">
        <is>
          <t>K18 Astrolift Reparative Volume Spray 118ml</t>
        </is>
      </c>
      <c r="C781" t="inlineStr">
        <is>
          <t>Hair Care Sets</t>
        </is>
      </c>
      <c r="D781" t="inlineStr">
        <is>
          <t>K18</t>
        </is>
      </c>
      <c r="E781" t="n">
        <v>38.01</v>
      </c>
      <c r="F781" t="n">
        <v>1</v>
      </c>
      <c r="G781" t="n">
        <v>29</v>
      </c>
      <c r="H781" s="5">
        <f>HYPERLINK("https://api.qogita.com/variants/link/0858511000954/", "View Product")</f>
        <v/>
      </c>
    </row>
    <row r="782">
      <c r="A782" t="inlineStr">
        <is>
          <t>0858511001128</t>
        </is>
      </c>
      <c r="B782" t="inlineStr">
        <is>
          <t>K18 Leave-In Repair Hair Mask 50ml</t>
        </is>
      </c>
      <c r="C782" t="inlineStr">
        <is>
          <t>Hair Masks</t>
        </is>
      </c>
      <c r="D782" t="inlineStr">
        <is>
          <t>K18</t>
        </is>
      </c>
      <c r="E782" t="n">
        <v>38.22</v>
      </c>
      <c r="F782" t="n">
        <v>1</v>
      </c>
      <c r="G782" t="n">
        <v>336</v>
      </c>
      <c r="H782" s="5">
        <f>HYPERLINK("https://api.qogita.com/variants/link/0858511001128/", "View Product")</f>
        <v/>
      </c>
    </row>
    <row r="783">
      <c r="A783" t="inlineStr">
        <is>
          <t>0858511001142</t>
        </is>
      </c>
      <c r="B783" t="inlineStr">
        <is>
          <t>K18 Professional Molecular Repair Hair Mist</t>
        </is>
      </c>
      <c r="C783" t="inlineStr">
        <is>
          <t>Hair Oil &amp; Hair Serum</t>
        </is>
      </c>
      <c r="D783" t="inlineStr">
        <is>
          <t>K18</t>
        </is>
      </c>
      <c r="E783" t="n">
        <v>60.2</v>
      </c>
      <c r="F783" t="n">
        <v>1</v>
      </c>
      <c r="G783" t="n">
        <v>53</v>
      </c>
      <c r="H783" s="5">
        <f>HYPERLINK("https://api.qogita.com/variants/link/0858511001142/", "View Product")</f>
        <v/>
      </c>
    </row>
    <row r="784">
      <c r="A784" t="inlineStr">
        <is>
          <t>0858511001401</t>
        </is>
      </c>
      <c r="B784" t="inlineStr">
        <is>
          <t>K18 Biomimetic Hairscience Peptide Prep Detox Shampoo</t>
        </is>
      </c>
      <c r="C784" t="inlineStr">
        <is>
          <t>Shampoo</t>
        </is>
      </c>
      <c r="D784" t="inlineStr">
        <is>
          <t>K18</t>
        </is>
      </c>
      <c r="E784" t="n">
        <v>8.73</v>
      </c>
      <c r="F784" t="n">
        <v>1</v>
      </c>
      <c r="G784" t="n">
        <v>5</v>
      </c>
      <c r="H784" s="5">
        <f>HYPERLINK("https://api.qogita.com/variants/link/0858511001401/", "View Product")</f>
        <v/>
      </c>
    </row>
    <row r="785">
      <c r="A785" t="inlineStr">
        <is>
          <t>0858544005575</t>
        </is>
      </c>
      <c r="B785" t="inlineStr">
        <is>
          <t>Living proof Restore Repair Leave-In 4 Fl Oz</t>
        </is>
      </c>
      <c r="C785" t="inlineStr">
        <is>
          <t>Leave-In Conditioner</t>
        </is>
      </c>
      <c r="D785" t="inlineStr">
        <is>
          <t>Living Proof</t>
        </is>
      </c>
      <c r="E785" t="n">
        <v>26.1</v>
      </c>
      <c r="F785" t="n">
        <v>1</v>
      </c>
      <c r="G785" t="n">
        <v>5</v>
      </c>
      <c r="H785" s="5">
        <f>HYPERLINK("https://api.qogita.com/variants/link/0858544005575/", "View Product")</f>
        <v/>
      </c>
    </row>
    <row r="786">
      <c r="A786" t="inlineStr">
        <is>
          <t>0859847006351</t>
        </is>
      </c>
      <c r="B786" t="inlineStr">
        <is>
          <t>Reuzel Shave Cream Reduces Cuts and Nicks Highly Concentrated Rich and Super-Slick Formula Closest Most Comfortable Shave Reduce Scrapes and Razor Irritation Vegan Formula 283g</t>
        </is>
      </c>
      <c r="C786" t="inlineStr">
        <is>
          <t>Aftershave</t>
        </is>
      </c>
      <c r="D786" t="inlineStr">
        <is>
          <t>Reuzel</t>
        </is>
      </c>
      <c r="E786" t="n">
        <v>12.61</v>
      </c>
      <c r="F786" t="n">
        <v>1</v>
      </c>
      <c r="G786" t="n">
        <v>8</v>
      </c>
      <c r="H786" s="5">
        <f>HYPERLINK("https://api.qogita.com/variants/link/0859847006351/", "View Product")</f>
        <v/>
      </c>
    </row>
    <row r="787">
      <c r="A787" t="inlineStr">
        <is>
          <t>0869519000020</t>
        </is>
      </c>
      <c r="B787" t="inlineStr">
        <is>
          <t>Reuzel Styling Pink Pomade Grease Heavy Hold 113g</t>
        </is>
      </c>
      <c r="C787" t="inlineStr">
        <is>
          <t>Wax</t>
        </is>
      </c>
      <c r="D787" t="inlineStr">
        <is>
          <t>Reuzel</t>
        </is>
      </c>
      <c r="E787" t="n">
        <v>7.84</v>
      </c>
      <c r="F787" t="n">
        <v>1</v>
      </c>
      <c r="G787" t="n">
        <v>5</v>
      </c>
      <c r="H787" s="5">
        <f>HYPERLINK("https://api.qogita.com/variants/link/0869519000020/", "View Product")</f>
        <v/>
      </c>
    </row>
    <row r="788">
      <c r="A788" t="inlineStr">
        <is>
          <t>0869519000044</t>
        </is>
      </c>
      <c r="B788" t="inlineStr">
        <is>
          <t>Reuzel Pink Grease Heavy Hold Pomade Hair Holding Wax for Men 355ml</t>
        </is>
      </c>
      <c r="C788" t="inlineStr">
        <is>
          <t>Wax</t>
        </is>
      </c>
      <c r="D788" t="inlineStr">
        <is>
          <t>Reuzel</t>
        </is>
      </c>
      <c r="E788" t="n">
        <v>20.36</v>
      </c>
      <c r="F788" t="n">
        <v>1</v>
      </c>
      <c r="G788" t="n">
        <v>19</v>
      </c>
      <c r="H788" s="5">
        <f>HYPERLINK("https://api.qogita.com/variants/link/0869519000044/", "View Product")</f>
        <v/>
      </c>
    </row>
    <row r="789">
      <c r="A789" t="inlineStr">
        <is>
          <t>0873509024668</t>
        </is>
      </c>
      <c r="B789" t="inlineStr">
        <is>
          <t>Alterna Caviar Anti-Aging Replenishing Moisture Conditioner for Unisex 487ml White</t>
        </is>
      </c>
      <c r="C789" t="inlineStr">
        <is>
          <t>Conditioner</t>
        </is>
      </c>
      <c r="D789" t="inlineStr">
        <is>
          <t>Alterna</t>
        </is>
      </c>
      <c r="E789" t="n">
        <v>27.09</v>
      </c>
      <c r="F789" t="n">
        <v>1</v>
      </c>
      <c r="G789" t="n">
        <v>28</v>
      </c>
      <c r="H789" s="5">
        <f>HYPERLINK("https://api.qogita.com/variants/link/0873509024668/", "View Product")</f>
        <v/>
      </c>
    </row>
    <row r="790">
      <c r="A790" t="inlineStr">
        <is>
          <t>0873509027249</t>
        </is>
      </c>
      <c r="B790" t="inlineStr">
        <is>
          <t>Alterna Caviar Anti-Aging Multiplying Volume Styling Mist 5 Oz 147.9ml</t>
        </is>
      </c>
      <c r="C790" t="inlineStr">
        <is>
          <t>Styling Sprays</t>
        </is>
      </c>
      <c r="D790" t="inlineStr">
        <is>
          <t>Alterna</t>
        </is>
      </c>
      <c r="E790" t="n">
        <v>13.27</v>
      </c>
      <c r="F790" t="n">
        <v>1</v>
      </c>
      <c r="G790" t="n">
        <v>43</v>
      </c>
      <c r="H790" s="5">
        <f>HYPERLINK("https://api.qogita.com/variants/link/0873509027249/", "View Product")</f>
        <v/>
      </c>
    </row>
    <row r="791">
      <c r="A791" t="inlineStr">
        <is>
          <t>0873509027669</t>
        </is>
      </c>
      <c r="B791" t="inlineStr">
        <is>
          <t>Alterna Caviar Smoothing Anti-Frizz Conditioner</t>
        </is>
      </c>
      <c r="C791" t="inlineStr">
        <is>
          <t>Conditioner</t>
        </is>
      </c>
      <c r="D791" t="inlineStr">
        <is>
          <t>Alterna</t>
        </is>
      </c>
      <c r="E791" t="n">
        <v>18.77</v>
      </c>
      <c r="F791" t="n">
        <v>1</v>
      </c>
      <c r="G791" t="n">
        <v>7</v>
      </c>
      <c r="H791" s="5">
        <f>HYPERLINK("https://api.qogita.com/variants/link/0873509027669/", "View Product")</f>
        <v/>
      </c>
    </row>
    <row r="792">
      <c r="A792" t="inlineStr">
        <is>
          <t>0873509027737</t>
        </is>
      </c>
      <c r="B792" t="inlineStr">
        <is>
          <t>Alterna Caviar Anti-Aging Infinite Color Hold Shampoo for Unisex 8.5oz</t>
        </is>
      </c>
      <c r="C792" t="inlineStr">
        <is>
          <t>Shampoo</t>
        </is>
      </c>
      <c r="D792" t="inlineStr">
        <is>
          <t>Alterna</t>
        </is>
      </c>
      <c r="E792" t="n">
        <v>19.75</v>
      </c>
      <c r="F792" t="n">
        <v>1</v>
      </c>
      <c r="G792" t="n">
        <v>14</v>
      </c>
      <c r="H792" s="5">
        <f>HYPERLINK("https://api.qogita.com/variants/link/0873509027737/", "View Product")</f>
        <v/>
      </c>
    </row>
    <row r="793">
      <c r="A793" t="inlineStr">
        <is>
          <t>0873509027805</t>
        </is>
      </c>
      <c r="B793" t="inlineStr">
        <is>
          <t>Alterna Caviar Replenishing Moisture Leave-in Conditioning Milk</t>
        </is>
      </c>
      <c r="C793" t="inlineStr">
        <is>
          <t>Leave-In Conditioner</t>
        </is>
      </c>
      <c r="D793" t="inlineStr">
        <is>
          <t>Alterna</t>
        </is>
      </c>
      <c r="E793" t="n">
        <v>17.98</v>
      </c>
      <c r="F793" t="n">
        <v>1</v>
      </c>
      <c r="G793" t="n">
        <v>55</v>
      </c>
      <c r="H793" s="5">
        <f>HYPERLINK("https://api.qogita.com/variants/link/0873509027805/", "View Product")</f>
        <v/>
      </c>
    </row>
    <row r="794">
      <c r="A794" t="inlineStr">
        <is>
          <t>0873509027812</t>
        </is>
      </c>
      <c r="B794" t="inlineStr">
        <is>
          <t>Alterna Caviar Replenishing Masque Moisture 161g</t>
        </is>
      </c>
      <c r="C794" t="inlineStr">
        <is>
          <t>Hair Masks</t>
        </is>
      </c>
      <c r="D794" t="inlineStr">
        <is>
          <t>Alterna</t>
        </is>
      </c>
      <c r="E794" t="n">
        <v>26.01</v>
      </c>
      <c r="F794" t="n">
        <v>1</v>
      </c>
      <c r="G794" t="n">
        <v>13</v>
      </c>
      <c r="H794" s="5">
        <f>HYPERLINK("https://api.qogita.com/variants/link/0873509027812/", "View Product")</f>
        <v/>
      </c>
    </row>
    <row r="795">
      <c r="A795" t="inlineStr">
        <is>
          <t>0873509027904</t>
        </is>
      </c>
      <c r="B795" t="inlineStr">
        <is>
          <t>Alterna Caviar Anti-Aging Restructuring Bond Repair Heat Protection Spray 125ml</t>
        </is>
      </c>
      <c r="C795" t="inlineStr">
        <is>
          <t>Heat Protection</t>
        </is>
      </c>
      <c r="D795" t="inlineStr">
        <is>
          <t>Alterna</t>
        </is>
      </c>
      <c r="E795" t="n">
        <v>15.49</v>
      </c>
      <c r="F795" t="n">
        <v>1</v>
      </c>
      <c r="G795" t="n">
        <v>14</v>
      </c>
      <c r="H795" s="5">
        <f>HYPERLINK("https://api.qogita.com/variants/link/0873509027904/", "View Product")</f>
        <v/>
      </c>
    </row>
    <row r="796">
      <c r="A796" t="inlineStr">
        <is>
          <t>0873509027935</t>
        </is>
      </c>
      <c r="B796" t="inlineStr">
        <is>
          <t>Alterna Caviar A-A Multiplying Volume Conditioner</t>
        </is>
      </c>
      <c r="C796" t="inlineStr">
        <is>
          <t>Conditioner</t>
        </is>
      </c>
      <c r="D796" t="inlineStr">
        <is>
          <t>Alterna</t>
        </is>
      </c>
      <c r="E796" t="n">
        <v>18</v>
      </c>
      <c r="F796" t="n">
        <v>1</v>
      </c>
      <c r="G796" t="n">
        <v>43</v>
      </c>
      <c r="H796" s="5">
        <f>HYPERLINK("https://api.qogita.com/variants/link/0873509027935/", "View Product")</f>
        <v/>
      </c>
    </row>
    <row r="797">
      <c r="A797" t="inlineStr">
        <is>
          <t>0873509027942</t>
        </is>
      </c>
      <c r="B797" t="inlineStr">
        <is>
          <t>Alterna Caviar Multiplying Volume Styling Mousse</t>
        </is>
      </c>
      <c r="C797" t="inlineStr">
        <is>
          <t>Mousse</t>
        </is>
      </c>
      <c r="D797" t="inlineStr">
        <is>
          <t>Alterna</t>
        </is>
      </c>
      <c r="E797" t="n">
        <v>19.16</v>
      </c>
      <c r="F797" t="n">
        <v>1</v>
      </c>
      <c r="G797" t="n">
        <v>30</v>
      </c>
      <c r="H797" s="5">
        <f>HYPERLINK("https://api.qogita.com/variants/link/0873509027942/", "View Product")</f>
        <v/>
      </c>
    </row>
    <row r="798">
      <c r="A798" t="inlineStr">
        <is>
          <t>0873509027997</t>
        </is>
      </c>
      <c r="B798" t="inlineStr">
        <is>
          <t>Alterna Caviar Infinite Colour Hold Back Bar Conditioner 1000ml</t>
        </is>
      </c>
      <c r="C798" t="inlineStr">
        <is>
          <t>Conditioner</t>
        </is>
      </c>
      <c r="D798" t="inlineStr">
        <is>
          <t>Alterna</t>
        </is>
      </c>
      <c r="E798" t="n">
        <v>41.02</v>
      </c>
      <c r="F798" t="n">
        <v>1</v>
      </c>
      <c r="G798" t="n">
        <v>20</v>
      </c>
      <c r="H798" s="5">
        <f>HYPERLINK("https://api.qogita.com/variants/link/0873509027997/", "View Product")</f>
        <v/>
      </c>
    </row>
    <row r="799">
      <c r="A799" t="inlineStr">
        <is>
          <t>0873509028000</t>
        </is>
      </c>
      <c r="B799" t="inlineStr">
        <is>
          <t>Alterna Caviar Replenishing Moisture Back Bar Shampoo</t>
        </is>
      </c>
      <c r="C799" t="inlineStr">
        <is>
          <t>Shampoo</t>
        </is>
      </c>
      <c r="D799" t="inlineStr">
        <is>
          <t>Alterna</t>
        </is>
      </c>
      <c r="E799" t="n">
        <v>44.51</v>
      </c>
      <c r="F799" t="n">
        <v>1</v>
      </c>
      <c r="G799" t="n">
        <v>169</v>
      </c>
      <c r="H799" s="5">
        <f>HYPERLINK("https://api.qogita.com/variants/link/0873509028000/", "View Product")</f>
        <v/>
      </c>
    </row>
    <row r="800">
      <c r="A800" t="inlineStr">
        <is>
          <t>0873509028611</t>
        </is>
      </c>
      <c r="B800" t="inlineStr">
        <is>
          <t>Alterna Caviar Replenishing Moisture Priming Leave-in Conditioner</t>
        </is>
      </c>
      <c r="C800" t="inlineStr">
        <is>
          <t>Leave-In Conditioner</t>
        </is>
      </c>
      <c r="D800" t="inlineStr">
        <is>
          <t>Alterna</t>
        </is>
      </c>
      <c r="E800" t="n">
        <v>17.18</v>
      </c>
      <c r="F800" t="n">
        <v>1</v>
      </c>
      <c r="G800" t="n">
        <v>24</v>
      </c>
      <c r="H800" s="5">
        <f>HYPERLINK("https://api.qogita.com/variants/link/0873509028611/", "View Product")</f>
        <v/>
      </c>
    </row>
    <row r="801">
      <c r="A801" t="inlineStr">
        <is>
          <t>0873509029724</t>
        </is>
      </c>
      <c r="B801" t="inlineStr">
        <is>
          <t>Alterna My Hair My Canvas Jelly Fix Repair Booster</t>
        </is>
      </c>
      <c r="C801" t="inlineStr">
        <is>
          <t>Hair Masks</t>
        </is>
      </c>
      <c r="D801" t="inlineStr">
        <is>
          <t>Alterna My Hair My Canvas</t>
        </is>
      </c>
      <c r="E801" t="n">
        <v>17.68</v>
      </c>
      <c r="F801" t="n">
        <v>1</v>
      </c>
      <c r="G801" t="n">
        <v>4</v>
      </c>
      <c r="H801" s="5">
        <f>HYPERLINK("https://api.qogita.com/variants/link/0873509029724/", "View Product")</f>
        <v/>
      </c>
    </row>
    <row r="802">
      <c r="A802" t="inlineStr">
        <is>
          <t>0873509030386</t>
        </is>
      </c>
      <c r="B802" t="inlineStr">
        <is>
          <t>Alterna Caviar Anti-Aging Restructuring Bond Repair Shampoo for Unisex 250ml</t>
        </is>
      </c>
      <c r="C802" t="inlineStr">
        <is>
          <t>Shampoo</t>
        </is>
      </c>
      <c r="D802" t="inlineStr">
        <is>
          <t>Alterna</t>
        </is>
      </c>
      <c r="E802" t="n">
        <v>17.98</v>
      </c>
      <c r="F802" t="n">
        <v>1</v>
      </c>
      <c r="G802" t="n">
        <v>29</v>
      </c>
      <c r="H802" s="5">
        <f>HYPERLINK("https://api.qogita.com/variants/link/0873509030386/", "View Product")</f>
        <v/>
      </c>
    </row>
    <row r="803">
      <c r="A803" t="inlineStr">
        <is>
          <t>0873824001184</t>
        </is>
      </c>
      <c r="B803" t="inlineStr">
        <is>
          <t>John Varvatos Artisan Eau de Toilette for Men 75ml</t>
        </is>
      </c>
      <c r="C803" t="inlineStr">
        <is>
          <t>Eau De Toilette</t>
        </is>
      </c>
      <c r="D803" t="inlineStr">
        <is>
          <t>John Varvatos</t>
        </is>
      </c>
      <c r="E803" t="n">
        <v>30.99</v>
      </c>
      <c r="F803" t="n">
        <v>1</v>
      </c>
      <c r="G803" t="n">
        <v>70</v>
      </c>
      <c r="H803" s="5">
        <f>HYPERLINK("https://api.qogita.com/variants/link/0873824001184/", "View Product")</f>
        <v/>
      </c>
    </row>
    <row r="804">
      <c r="A804" t="inlineStr">
        <is>
          <t>0873824001191</t>
        </is>
      </c>
      <c r="B804" t="inlineStr">
        <is>
          <t>John Varvatos Artisan Eau de Toilette for Men 75ml</t>
        </is>
      </c>
      <c r="C804" t="inlineStr">
        <is>
          <t>Eau De Toilette</t>
        </is>
      </c>
      <c r="D804" t="inlineStr">
        <is>
          <t>John Varvatos</t>
        </is>
      </c>
      <c r="E804" t="n">
        <v>23.82</v>
      </c>
      <c r="F804" t="n">
        <v>1</v>
      </c>
      <c r="G804" t="n">
        <v>43</v>
      </c>
      <c r="H804" s="5">
        <f>HYPERLINK("https://api.qogita.com/variants/link/0873824001191/", "View Product")</f>
        <v/>
      </c>
    </row>
    <row r="805">
      <c r="A805" t="inlineStr">
        <is>
          <t>0874034011635</t>
        </is>
      </c>
      <c r="B805" t="inlineStr">
        <is>
          <t>CLEAN Reserve Sel Santal Eau de Parfum for Women 50ml</t>
        </is>
      </c>
      <c r="C805" t="inlineStr">
        <is>
          <t>Eau De Parfum</t>
        </is>
      </c>
      <c r="D805" t="inlineStr">
        <is>
          <t>Clean</t>
        </is>
      </c>
      <c r="E805" t="n">
        <v>33.6</v>
      </c>
      <c r="F805" t="n">
        <v>1</v>
      </c>
      <c r="G805" t="n">
        <v>2</v>
      </c>
      <c r="H805" s="5">
        <f>HYPERLINK("https://api.qogita.com/variants/link/0874034011635/", "View Product")</f>
        <v/>
      </c>
    </row>
    <row r="806">
      <c r="A806" t="inlineStr">
        <is>
          <t>0874034011864</t>
        </is>
      </c>
      <c r="B806" t="inlineStr">
        <is>
          <t>Clean Classic Flower Fresh Eau De Parfum Spray 60ml</t>
        </is>
      </c>
      <c r="C806" t="inlineStr">
        <is>
          <t>Eau De Parfum</t>
        </is>
      </c>
      <c r="D806" t="inlineStr">
        <is>
          <t>Clean</t>
        </is>
      </c>
      <c r="E806" t="n">
        <v>31.92</v>
      </c>
      <c r="F806" t="n">
        <v>1</v>
      </c>
      <c r="G806" t="n">
        <v>9</v>
      </c>
      <c r="H806" s="5">
        <f>HYPERLINK("https://api.qogita.com/variants/link/0874034011864/", "View Product")</f>
        <v/>
      </c>
    </row>
    <row r="807">
      <c r="A807" t="inlineStr">
        <is>
          <t>0874034013714</t>
        </is>
      </c>
      <c r="B807" t="inlineStr">
        <is>
          <t>Clean Reserve H2 Eau Brilliant Peony Eau De Parfum 100 Ml</t>
        </is>
      </c>
      <c r="C807" t="inlineStr">
        <is>
          <t>Eau De Parfum</t>
        </is>
      </c>
      <c r="D807" t="inlineStr">
        <is>
          <t>Clean</t>
        </is>
      </c>
      <c r="E807" t="n">
        <v>36.26</v>
      </c>
      <c r="F807" t="n">
        <v>1</v>
      </c>
      <c r="G807" t="n">
        <v>5</v>
      </c>
      <c r="H807" s="5">
        <f>HYPERLINK("https://api.qogita.com/variants/link/0874034013714/", "View Product")</f>
        <v/>
      </c>
    </row>
    <row r="808">
      <c r="A808" t="inlineStr">
        <is>
          <t>0874034014841</t>
        </is>
      </c>
      <c r="B808" t="inlineStr">
        <is>
          <t>Clean Radiant Nectar Edp 30 Ml</t>
        </is>
      </c>
      <c r="C808" t="inlineStr">
        <is>
          <t>Eau De Parfum</t>
        </is>
      </c>
      <c r="D808" t="inlineStr">
        <is>
          <t>Clean</t>
        </is>
      </c>
      <c r="E808" t="n">
        <v>26.98</v>
      </c>
      <c r="F808" t="n">
        <v>1</v>
      </c>
      <c r="G808" t="n">
        <v>6</v>
      </c>
      <c r="H808" s="5">
        <f>HYPERLINK("https://api.qogita.com/variants/link/0874034014841/", "View Product")</f>
        <v/>
      </c>
    </row>
    <row r="809">
      <c r="A809" t="inlineStr">
        <is>
          <t>0879546019513</t>
        </is>
      </c>
      <c r="B809" t="inlineStr">
        <is>
          <t>Reuzel Green Grease Medium Hold Pomade Hair Holding Wax For Men 113g</t>
        </is>
      </c>
      <c r="C809" t="inlineStr">
        <is>
          <t>Wax</t>
        </is>
      </c>
      <c r="D809" t="inlineStr">
        <is>
          <t>Reuzel</t>
        </is>
      </c>
      <c r="E809" t="n">
        <v>14.85</v>
      </c>
      <c r="F809" t="n">
        <v>1</v>
      </c>
      <c r="G809" t="n">
        <v>15</v>
      </c>
      <c r="H809" s="5">
        <f>HYPERLINK("https://api.qogita.com/variants/link/0879546019513/", "View Product")</f>
        <v/>
      </c>
    </row>
    <row r="810">
      <c r="A810" t="inlineStr">
        <is>
          <t>0882381003968</t>
        </is>
      </c>
      <c r="B810" t="inlineStr">
        <is>
          <t>Darphin Women's Cosmetics Anti-Wrinkle Face Stimulskin Plus Cream Balm 50ml</t>
        </is>
      </c>
      <c r="C810" t="inlineStr">
        <is>
          <t>Anti-Aging Facial Care</t>
        </is>
      </c>
      <c r="D810" t="inlineStr">
        <is>
          <t>Darphin</t>
        </is>
      </c>
      <c r="E810" t="n">
        <v>123.75</v>
      </c>
      <c r="F810" t="n">
        <v>1</v>
      </c>
      <c r="G810" t="n">
        <v>7</v>
      </c>
      <c r="H810" s="5">
        <f>HYPERLINK("https://api.qogita.com/variants/link/0882381003968/", "View Product")</f>
        <v/>
      </c>
    </row>
    <row r="811">
      <c r="A811" t="inlineStr">
        <is>
          <t>0882381004644</t>
        </is>
      </c>
      <c r="B811" t="inlineStr">
        <is>
          <t>Darphin Hydraskin Light Gel Cream for Normal to Combination Skin 1.7 Oz</t>
        </is>
      </c>
      <c r="C811" t="inlineStr">
        <is>
          <t>Face Cream</t>
        </is>
      </c>
      <c r="D811" t="inlineStr">
        <is>
          <t>Darphin</t>
        </is>
      </c>
      <c r="E811" t="n">
        <v>27.49</v>
      </c>
      <c r="F811" t="n">
        <v>1</v>
      </c>
      <c r="G811" t="n">
        <v>6</v>
      </c>
      <c r="H811" s="5">
        <f>HYPERLINK("https://api.qogita.com/variants/link/0882381004644/", "View Product")</f>
        <v/>
      </c>
    </row>
    <row r="812">
      <c r="A812" t="inlineStr">
        <is>
          <t>0882381048167</t>
        </is>
      </c>
      <c r="B812" t="inlineStr">
        <is>
          <t>Darphin Ideal Resource Smoothing Radiance Cream 50ml</t>
        </is>
      </c>
      <c r="C812" t="inlineStr">
        <is>
          <t>Face Cream</t>
        </is>
      </c>
      <c r="D812" t="inlineStr">
        <is>
          <t>Darphin</t>
        </is>
      </c>
      <c r="E812" t="n">
        <v>37</v>
      </c>
      <c r="F812" t="n">
        <v>1</v>
      </c>
      <c r="G812" t="n">
        <v>23</v>
      </c>
      <c r="H812" s="5">
        <f>HYPERLINK("https://api.qogita.com/variants/link/0882381048167/", "View Product")</f>
        <v/>
      </c>
    </row>
    <row r="813">
      <c r="A813" t="inlineStr">
        <is>
          <t>0882381078140</t>
        </is>
      </c>
      <c r="B813" t="inlineStr">
        <is>
          <t>Darphin Paris Stimulskin Plus Serumask 50ml</t>
        </is>
      </c>
      <c r="C813" t="inlineStr">
        <is>
          <t>Anti-Aging Mask</t>
        </is>
      </c>
      <c r="D813" t="inlineStr">
        <is>
          <t>Darphin</t>
        </is>
      </c>
      <c r="E813" t="n">
        <v>70.43000000000001</v>
      </c>
      <c r="F813" t="n">
        <v>1</v>
      </c>
      <c r="G813" t="n">
        <v>6</v>
      </c>
      <c r="H813" s="5">
        <f>HYPERLINK("https://api.qogita.com/variants/link/0882381078140/", "View Product")</f>
        <v/>
      </c>
    </row>
    <row r="814">
      <c r="A814" t="inlineStr">
        <is>
          <t>0882381107383</t>
        </is>
      </c>
      <c r="B814" t="inlineStr">
        <is>
          <t>Darphin Intral Daily Treatment Lotion For Sensitive Skin 150 Ml</t>
        </is>
      </c>
      <c r="C814" t="inlineStr">
        <is>
          <t>Facial Spray</t>
        </is>
      </c>
      <c r="D814" t="inlineStr">
        <is>
          <t>Darphin</t>
        </is>
      </c>
      <c r="E814" t="n">
        <v>30.97</v>
      </c>
      <c r="F814" t="n">
        <v>1</v>
      </c>
      <c r="G814" t="n">
        <v>5</v>
      </c>
      <c r="H814" s="5">
        <f>HYPERLINK("https://api.qogita.com/variants/link/0882381107383/", "View Product")</f>
        <v/>
      </c>
    </row>
    <row r="815">
      <c r="A815" t="inlineStr">
        <is>
          <t>0882381109493</t>
        </is>
      </c>
      <c r="B815" t="inlineStr">
        <is>
          <t>Darphin Estee Lauder Intral Soothing and Fortifying Serum 30ml</t>
        </is>
      </c>
      <c r="C815" t="inlineStr">
        <is>
          <t>Hydrating Serum</t>
        </is>
      </c>
      <c r="D815" t="inlineStr">
        <is>
          <t>Darphin</t>
        </is>
      </c>
      <c r="E815" t="n">
        <v>38.21</v>
      </c>
      <c r="F815" t="n">
        <v>1</v>
      </c>
      <c r="G815" t="n">
        <v>5</v>
      </c>
      <c r="H815" s="5">
        <f>HYPERLINK("https://api.qogita.com/variants/link/0882381109493/", "View Product")</f>
        <v/>
      </c>
    </row>
    <row r="816">
      <c r="A816" t="inlineStr">
        <is>
          <t>0882381112530</t>
        </is>
      </c>
      <c r="B816" t="inlineStr">
        <is>
          <t>Darphin Intral Soothing Comfort Set</t>
        </is>
      </c>
      <c r="C816" t="inlineStr">
        <is>
          <t>Facial Care Sets</t>
        </is>
      </c>
      <c r="D816" t="inlineStr">
        <is>
          <t>Darphin</t>
        </is>
      </c>
      <c r="E816" t="n">
        <v>54.29</v>
      </c>
      <c r="F816" t="n">
        <v>1</v>
      </c>
      <c r="G816" t="n">
        <v>11</v>
      </c>
      <c r="H816" s="5">
        <f>HYPERLINK("https://api.qogita.com/variants/link/0882381112530/", "View Product")</f>
        <v/>
      </c>
    </row>
    <row r="817">
      <c r="A817" t="inlineStr">
        <is>
          <t>0883205101617</t>
        </is>
      </c>
      <c r="B817" t="inlineStr">
        <is>
          <t>Opalescence Whitening Toothpaste Cool Mint 133ml</t>
        </is>
      </c>
      <c r="C817" t="inlineStr">
        <is>
          <t>Toothpaste</t>
        </is>
      </c>
      <c r="D817" t="inlineStr">
        <is>
          <t>Opalescence</t>
        </is>
      </c>
      <c r="E817" t="n">
        <v>7.15</v>
      </c>
      <c r="F817" t="n">
        <v>1</v>
      </c>
      <c r="G817" t="n">
        <v>221</v>
      </c>
      <c r="H817" s="5">
        <f>HYPERLINK("https://api.qogita.com/variants/link/0883205101617/", "View Product")</f>
        <v/>
      </c>
    </row>
    <row r="818">
      <c r="A818" t="inlineStr">
        <is>
          <t>0883991088963</t>
        </is>
      </c>
      <c r="B818" t="inlineStr">
        <is>
          <t>Paris Hilton CanCan Body Mist Fragrance for Women 8 fl oz</t>
        </is>
      </c>
      <c r="C818" t="inlineStr">
        <is>
          <t>Eau De Toilette</t>
        </is>
      </c>
      <c r="D818" t="inlineStr">
        <is>
          <t>Paris Hilton</t>
        </is>
      </c>
      <c r="E818" t="n">
        <v>7.74</v>
      </c>
      <c r="F818" t="n">
        <v>1</v>
      </c>
      <c r="G818" t="n">
        <v>7</v>
      </c>
      <c r="H818" s="5">
        <f>HYPERLINK("https://api.qogita.com/variants/link/0883991088963/", "View Product")</f>
        <v/>
      </c>
    </row>
    <row r="819">
      <c r="A819" t="inlineStr">
        <is>
          <t>0883991088987</t>
        </is>
      </c>
      <c r="B819" t="inlineStr">
        <is>
          <t>Jessica Simpson Fancy Love for Women Body Spray 8 Fluid Ounce</t>
        </is>
      </c>
      <c r="C819" t="inlineStr">
        <is>
          <t>Eau De Toilette</t>
        </is>
      </c>
      <c r="D819" t="inlineStr">
        <is>
          <t>Jessica Simpson</t>
        </is>
      </c>
      <c r="E819" t="n">
        <v>7.87</v>
      </c>
      <c r="F819" t="n">
        <v>1</v>
      </c>
      <c r="G819" t="n">
        <v>9</v>
      </c>
      <c r="H819" s="5">
        <f>HYPERLINK("https://api.qogita.com/variants/link/0883991088987/", "View Product")</f>
        <v/>
      </c>
    </row>
    <row r="820">
      <c r="A820" t="inlineStr">
        <is>
          <t>0883991110879</t>
        </is>
      </c>
      <c r="B820" t="inlineStr">
        <is>
          <t>Can Can Burlesque Fragrance Mist for Women 8 oz</t>
        </is>
      </c>
      <c r="C820" t="inlineStr">
        <is>
          <t>Fragrance Sets</t>
        </is>
      </c>
      <c r="D820" t="inlineStr">
        <is>
          <t>Paris Hilton</t>
        </is>
      </c>
      <c r="E820" t="n">
        <v>7.87</v>
      </c>
      <c r="F820" t="n">
        <v>1</v>
      </c>
      <c r="G820" t="n">
        <v>5</v>
      </c>
      <c r="H820" s="5">
        <f>HYPERLINK("https://api.qogita.com/variants/link/0883991110879/", "View Product")</f>
        <v/>
      </c>
    </row>
    <row r="821">
      <c r="A821" t="inlineStr">
        <is>
          <t>0883991121806</t>
        </is>
      </c>
      <c r="B821" t="inlineStr">
        <is>
          <t>Jessica Simpson Signature Women Body Spray 8 oz</t>
        </is>
      </c>
      <c r="C821" t="inlineStr">
        <is>
          <t>Eau De Toilette</t>
        </is>
      </c>
      <c r="D821" t="inlineStr">
        <is>
          <t>Jessica Simpson</t>
        </is>
      </c>
      <c r="E821" t="n">
        <v>8.34</v>
      </c>
      <c r="F821" t="n">
        <v>1</v>
      </c>
      <c r="G821" t="n">
        <v>4</v>
      </c>
      <c r="H821" s="5">
        <f>HYPERLINK("https://api.qogita.com/variants/link/0883991121806/", "View Product")</f>
        <v/>
      </c>
    </row>
    <row r="822">
      <c r="A822" t="inlineStr">
        <is>
          <t>0884486151513</t>
        </is>
      </c>
      <c r="B822" t="inlineStr">
        <is>
          <t>Biolage Color Last Shampoo Helps Protect Hair and Maintain Vibrant Color 13.5 Fl Oz</t>
        </is>
      </c>
      <c r="C822" t="inlineStr">
        <is>
          <t>Shampoo</t>
        </is>
      </c>
      <c r="D822" t="inlineStr">
        <is>
          <t>Biolage</t>
        </is>
      </c>
      <c r="E822" t="n">
        <v>17.27</v>
      </c>
      <c r="F822" t="n">
        <v>1</v>
      </c>
      <c r="G822" t="n">
        <v>5</v>
      </c>
      <c r="H822" s="5">
        <f>HYPERLINK("https://api.qogita.com/variants/link/0884486151513/", "View Product")</f>
        <v/>
      </c>
    </row>
    <row r="823">
      <c r="A823" t="inlineStr">
        <is>
          <t>0884486453556</t>
        </is>
      </c>
      <c r="B823" t="inlineStr">
        <is>
          <t>Redken Frizz Dismiss Instant Deflate Haircare Serum 125ml</t>
        </is>
      </c>
      <c r="C823" t="inlineStr">
        <is>
          <t>Hair Oil &amp; Hair Serum</t>
        </is>
      </c>
      <c r="D823" t="inlineStr">
        <is>
          <t>Redken</t>
        </is>
      </c>
      <c r="E823" t="n">
        <v>23.52</v>
      </c>
      <c r="F823" t="n">
        <v>1</v>
      </c>
      <c r="G823" t="n">
        <v>2</v>
      </c>
      <c r="H823" s="5">
        <f>HYPERLINK("https://api.qogita.com/variants/link/0884486453556/", "View Product")</f>
        <v/>
      </c>
    </row>
    <row r="824">
      <c r="A824" t="inlineStr">
        <is>
          <t>0884486456281</t>
        </is>
      </c>
      <c r="B824" t="inlineStr">
        <is>
          <t>Redken Nourishing Hair Shampoo with Intensive Protection Against Color Loss</t>
        </is>
      </c>
      <c r="C824" t="inlineStr">
        <is>
          <t>Shampoo</t>
        </is>
      </c>
      <c r="D824" t="inlineStr">
        <is>
          <t>Redken</t>
        </is>
      </c>
      <c r="E824" t="n">
        <v>22.5</v>
      </c>
      <c r="F824" t="n">
        <v>1</v>
      </c>
      <c r="G824" t="n">
        <v>5</v>
      </c>
      <c r="H824" s="5">
        <f>HYPERLINK("https://api.qogita.com/variants/link/0884486456281/", "View Product")</f>
        <v/>
      </c>
    </row>
    <row r="825">
      <c r="A825" t="inlineStr">
        <is>
          <t>0884486459053</t>
        </is>
      </c>
      <c r="B825" t="inlineStr">
        <is>
          <t>Redken Brews Work Hard Molding Paste 150ml</t>
        </is>
      </c>
      <c r="C825" t="inlineStr">
        <is>
          <t>Wax</t>
        </is>
      </c>
      <c r="D825" t="inlineStr">
        <is>
          <t>Redken</t>
        </is>
      </c>
      <c r="E825" t="n">
        <v>17.43</v>
      </c>
      <c r="F825" t="n">
        <v>1</v>
      </c>
      <c r="G825" t="n">
        <v>9</v>
      </c>
      <c r="H825" s="5">
        <f>HYPERLINK("https://api.qogita.com/variants/link/0884486459053/", "View Product")</f>
        <v/>
      </c>
    </row>
    <row r="826">
      <c r="A826" t="inlineStr">
        <is>
          <t>0884486494269</t>
        </is>
      </c>
      <c r="B826" t="inlineStr">
        <is>
          <t>Matrix Over Achiever 3-In-1 Cream Paste Wax Styling Product for Structuring and Smoothing Hair 50ml</t>
        </is>
      </c>
      <c r="C826" t="inlineStr">
        <is>
          <t>Wax</t>
        </is>
      </c>
      <c r="D826" t="inlineStr">
        <is>
          <t>Matrix</t>
        </is>
      </c>
      <c r="E826" t="n">
        <v>12.35</v>
      </c>
      <c r="F826" t="n">
        <v>1</v>
      </c>
      <c r="G826" t="n">
        <v>8</v>
      </c>
      <c r="H826" s="5">
        <f>HYPERLINK("https://api.qogita.com/variants/link/0884486494269/", "View Product")</f>
        <v/>
      </c>
    </row>
    <row r="827">
      <c r="A827" t="inlineStr">
        <is>
          <t>0884486497918</t>
        </is>
      </c>
      <c r="B827" t="inlineStr">
        <is>
          <t>Redken Texture Rough Paste For all Hair Types 75ml</t>
        </is>
      </c>
      <c r="C827" t="inlineStr">
        <is>
          <t>Wax</t>
        </is>
      </c>
      <c r="D827" t="inlineStr">
        <is>
          <t>Redken</t>
        </is>
      </c>
      <c r="E827" t="n">
        <v>18.14</v>
      </c>
      <c r="F827" t="n">
        <v>1</v>
      </c>
      <c r="G827" t="n">
        <v>2</v>
      </c>
      <c r="H827" s="5">
        <f>HYPERLINK("https://api.qogita.com/variants/link/0884486497918/", "View Product")</f>
        <v/>
      </c>
    </row>
    <row r="828">
      <c r="A828" t="inlineStr">
        <is>
          <t>0887167095878</t>
        </is>
      </c>
      <c r="B828" t="inlineStr">
        <is>
          <t>Estee Lauder Cinnabar Eau De Parfum 50ml</t>
        </is>
      </c>
      <c r="C828" t="inlineStr">
        <is>
          <t>Eau De Parfum</t>
        </is>
      </c>
      <c r="D828" t="inlineStr">
        <is>
          <t>Estée Lauder</t>
        </is>
      </c>
      <c r="E828" t="n">
        <v>36.67</v>
      </c>
      <c r="F828" t="n">
        <v>1</v>
      </c>
      <c r="G828" t="n">
        <v>6</v>
      </c>
      <c r="H828" s="5">
        <f>HYPERLINK("https://api.qogita.com/variants/link/0887167095878/", "View Product")</f>
        <v/>
      </c>
    </row>
    <row r="829">
      <c r="A829" t="inlineStr">
        <is>
          <t>0887167189942</t>
        </is>
      </c>
      <c r="B829" t="inlineStr">
        <is>
          <t>Estée Lauder Brow Defining Gel Pencil 01 Blonde 1g</t>
        </is>
      </c>
      <c r="C829" t="inlineStr">
        <is>
          <t>Eyebrow Pencil</t>
        </is>
      </c>
      <c r="D829" t="inlineStr">
        <is>
          <t>Estée Lauder</t>
        </is>
      </c>
      <c r="E829" t="n">
        <v>17.68</v>
      </c>
      <c r="F829" t="n">
        <v>1</v>
      </c>
      <c r="G829" t="n">
        <v>3</v>
      </c>
      <c r="H829" s="5">
        <f>HYPERLINK("https://api.qogita.com/variants/link/0887167189942/", "View Product")</f>
        <v/>
      </c>
    </row>
    <row r="830">
      <c r="A830" t="inlineStr">
        <is>
          <t>0887167279995</t>
        </is>
      </c>
      <c r="B830" t="inlineStr">
        <is>
          <t>Estée Lauder Daywear Matte Gel Creme 50ml</t>
        </is>
      </c>
      <c r="C830" t="inlineStr">
        <is>
          <t>Day Cream</t>
        </is>
      </c>
      <c r="D830" t="inlineStr">
        <is>
          <t>Estée Lauder</t>
        </is>
      </c>
      <c r="E830" t="n">
        <v>33.84</v>
      </c>
      <c r="F830" t="n">
        <v>1</v>
      </c>
      <c r="G830" t="n">
        <v>20</v>
      </c>
      <c r="H830" s="5">
        <f>HYPERLINK("https://api.qogita.com/variants/link/0887167279995/", "View Product")</f>
        <v/>
      </c>
    </row>
    <row r="831">
      <c r="A831" t="inlineStr">
        <is>
          <t>0887167368668</t>
        </is>
      </c>
      <c r="B831" t="inlineStr">
        <is>
          <t>Estee Lauder Resilience Multi-Effect Tri-Peptide Eye Cream 15ml</t>
        </is>
      </c>
      <c r="C831" t="inlineStr">
        <is>
          <t>Eye Cream</t>
        </is>
      </c>
      <c r="D831" t="inlineStr">
        <is>
          <t>Estée Lauder</t>
        </is>
      </c>
      <c r="E831" t="n">
        <v>59.71</v>
      </c>
      <c r="F831" t="n">
        <v>1</v>
      </c>
      <c r="G831" t="n">
        <v>3</v>
      </c>
      <c r="H831" s="5">
        <f>HYPERLINK("https://api.qogita.com/variants/link/0887167368668/", "View Product")</f>
        <v/>
      </c>
    </row>
    <row r="832">
      <c r="A832" t="inlineStr">
        <is>
          <t>0887167371262</t>
        </is>
      </c>
      <c r="B832" t="inlineStr">
        <is>
          <t>Estee Lauder Double Wear Maximum Cover Camouflage Makeup Ivory Beige 3N1 30ml</t>
        </is>
      </c>
      <c r="C832" t="inlineStr">
        <is>
          <t>Camouflage Makeup</t>
        </is>
      </c>
      <c r="D832" t="inlineStr">
        <is>
          <t>Estée Lauder</t>
        </is>
      </c>
      <c r="E832" t="n">
        <v>33.39</v>
      </c>
      <c r="F832" t="n">
        <v>1</v>
      </c>
      <c r="G832" t="n">
        <v>8</v>
      </c>
      <c r="H832" s="5">
        <f>HYPERLINK("https://api.qogita.com/variants/link/0887167371262/", "View Product")</f>
        <v/>
      </c>
    </row>
    <row r="833">
      <c r="A833" t="inlineStr">
        <is>
          <t>0887167466722</t>
        </is>
      </c>
      <c r="B833" t="inlineStr">
        <is>
          <t>Lau Futurist Moisture 2-in-1 Desert Beige 35ml</t>
        </is>
      </c>
      <c r="C833" t="inlineStr">
        <is>
          <t>Foundation</t>
        </is>
      </c>
      <c r="D833" t="inlineStr">
        <is>
          <t>Estée Lauder</t>
        </is>
      </c>
      <c r="E833" t="n">
        <v>32.77</v>
      </c>
      <c r="F833" t="n">
        <v>1</v>
      </c>
      <c r="G833" t="n">
        <v>5</v>
      </c>
      <c r="H833" s="5">
        <f>HYPERLINK("https://api.qogita.com/variants/link/0887167466722/", "View Product")</f>
        <v/>
      </c>
    </row>
    <row r="834">
      <c r="A834" t="inlineStr">
        <is>
          <t>0887167496149</t>
        </is>
      </c>
      <c r="B834" t="inlineStr">
        <is>
          <t>Estee Lauder Pure Color Envy Nighttime Rescue Lip Oil-Serum 0.3 fl. oz / 9ml Full Size</t>
        </is>
      </c>
      <c r="C834" t="inlineStr">
        <is>
          <t>Lip Gloss</t>
        </is>
      </c>
      <c r="D834" t="inlineStr">
        <is>
          <t>Estée Lauder</t>
        </is>
      </c>
      <c r="E834" t="n">
        <v>30.01</v>
      </c>
      <c r="F834" t="n">
        <v>1</v>
      </c>
      <c r="G834" t="n">
        <v>6</v>
      </c>
      <c r="H834" s="5">
        <f>HYPERLINK("https://api.qogita.com/variants/link/0887167496149/", "View Product")</f>
        <v/>
      </c>
    </row>
    <row r="835">
      <c r="A835" t="inlineStr">
        <is>
          <t>0887167500235</t>
        </is>
      </c>
      <c r="B835" t="inlineStr">
        <is>
          <t>Estee Lauder Double Wear 24h Waterproof Gel Eye Pencil Onyx 1.2g</t>
        </is>
      </c>
      <c r="C835" t="inlineStr">
        <is>
          <t>Eye Pencil</t>
        </is>
      </c>
      <c r="D835" t="inlineStr">
        <is>
          <t>Estée Lauder</t>
        </is>
      </c>
      <c r="E835" t="n">
        <v>20.9</v>
      </c>
      <c r="F835" t="n">
        <v>1</v>
      </c>
      <c r="G835" t="n">
        <v>5</v>
      </c>
      <c r="H835" s="5">
        <f>HYPERLINK("https://api.qogita.com/variants/link/0887167500235/", "View Product")</f>
        <v/>
      </c>
    </row>
    <row r="836">
      <c r="A836" t="inlineStr">
        <is>
          <t>0887167534803</t>
        </is>
      </c>
      <c r="B836" t="inlineStr">
        <is>
          <t>Estee Lauder Revitalizing Supreme + Night Intensive Restorative Night Cream 15ml - No Box</t>
        </is>
      </c>
      <c r="C836" t="inlineStr">
        <is>
          <t>Night Cream</t>
        </is>
      </c>
      <c r="D836" t="inlineStr">
        <is>
          <t>Estée Lauder</t>
        </is>
      </c>
      <c r="E836" t="n">
        <v>17.39</v>
      </c>
      <c r="F836" t="n">
        <v>1</v>
      </c>
      <c r="G836" t="n">
        <v>144</v>
      </c>
      <c r="H836" s="5">
        <f>HYPERLINK("https://api.qogita.com/variants/link/0887167534803/", "View Product")</f>
        <v/>
      </c>
    </row>
    <row r="837">
      <c r="A837" t="inlineStr">
        <is>
          <t>0887167540484</t>
        </is>
      </c>
      <c r="B837" t="inlineStr">
        <is>
          <t>Estée Lauder Pure Color Revitalizing Crystal 1 st. Lipstick</t>
        </is>
      </c>
      <c r="C837" t="inlineStr">
        <is>
          <t>Lipstick</t>
        </is>
      </c>
      <c r="D837" t="inlineStr">
        <is>
          <t>Estée Lauder</t>
        </is>
      </c>
      <c r="E837" t="n">
        <v>21.11</v>
      </c>
      <c r="F837" t="n">
        <v>1</v>
      </c>
      <c r="G837" t="n">
        <v>4</v>
      </c>
      <c r="H837" s="5">
        <f>HYPERLINK("https://api.qogita.com/variants/link/0887167540484/", "View Product")</f>
        <v/>
      </c>
    </row>
    <row r="838">
      <c r="A838" t="inlineStr">
        <is>
          <t>0887167546899</t>
        </is>
      </c>
      <c r="B838" t="inlineStr">
        <is>
          <t>Re-Nutriv Eye Care Gift Set</t>
        </is>
      </c>
      <c r="C838" t="inlineStr">
        <is>
          <t>Eye Cream</t>
        </is>
      </c>
      <c r="D838" t="inlineStr">
        <is>
          <t>Estée Lauder</t>
        </is>
      </c>
      <c r="E838" t="n">
        <v>205.57</v>
      </c>
      <c r="F838" t="n">
        <v>1</v>
      </c>
      <c r="G838" t="n">
        <v>3</v>
      </c>
      <c r="H838" s="5">
        <f>HYPERLINK("https://api.qogita.com/variants/link/0887167546899/", "View Product")</f>
        <v/>
      </c>
    </row>
    <row r="839">
      <c r="A839" t="inlineStr">
        <is>
          <t>0887167557338</t>
        </is>
      </c>
      <c r="B839" t="inlineStr">
        <is>
          <t>Estee Lauder Micro Essence Skin Activating Treatment Lotion Fresh with Sakura Ferment 200ml</t>
        </is>
      </c>
      <c r="C839" t="inlineStr">
        <is>
          <t>Facial Care Sets</t>
        </is>
      </c>
      <c r="D839" t="inlineStr">
        <is>
          <t>Clinique</t>
        </is>
      </c>
      <c r="E839" t="n">
        <v>90.67</v>
      </c>
      <c r="F839" t="n">
        <v>1</v>
      </c>
      <c r="G839" t="n">
        <v>2</v>
      </c>
      <c r="H839" s="5">
        <f>HYPERLINK("https://api.qogita.com/variants/link/0887167557338/", "View Product")</f>
        <v/>
      </c>
    </row>
    <row r="840">
      <c r="A840" t="inlineStr">
        <is>
          <t>0887167567443</t>
        </is>
      </c>
      <c r="B840" t="inlineStr">
        <is>
          <t>Perfectly Clean Infusion Balancing Essence Lotion 400ml</t>
        </is>
      </c>
      <c r="C840" t="inlineStr">
        <is>
          <t>Facial Spray</t>
        </is>
      </c>
      <c r="D840" t="inlineStr">
        <is>
          <t>Estée Lauder</t>
        </is>
      </c>
      <c r="E840" t="n">
        <v>24.75</v>
      </c>
      <c r="F840" t="n">
        <v>1</v>
      </c>
      <c r="G840" t="n">
        <v>4</v>
      </c>
      <c r="H840" s="5">
        <f>HYPERLINK("https://api.qogita.com/variants/link/0887167567443/", "View Product")</f>
        <v/>
      </c>
    </row>
    <row r="841">
      <c r="A841" t="inlineStr">
        <is>
          <t>0887167567733</t>
        </is>
      </c>
      <c r="B841" t="inlineStr">
        <is>
          <t>Estée Lauder Re-Nutriv 15ml Eye cream</t>
        </is>
      </c>
      <c r="C841" t="inlineStr">
        <is>
          <t>Eye Cream</t>
        </is>
      </c>
      <c r="D841" t="inlineStr">
        <is>
          <t>Estée Lauder</t>
        </is>
      </c>
      <c r="E841" t="n">
        <v>132.61</v>
      </c>
      <c r="F841" t="n">
        <v>1</v>
      </c>
      <c r="G841" t="n">
        <v>5</v>
      </c>
      <c r="H841" s="5">
        <f>HYPERLINK("https://api.qogita.com/variants/link/0887167567733/", "View Product")</f>
        <v/>
      </c>
    </row>
    <row r="842">
      <c r="A842" t="inlineStr">
        <is>
          <t>0887167614963</t>
        </is>
      </c>
      <c r="B842" t="inlineStr">
        <is>
          <t>Pure Color Creme Lipstick</t>
        </is>
      </c>
      <c r="C842" t="inlineStr">
        <is>
          <t>Lipstick</t>
        </is>
      </c>
      <c r="D842" t="inlineStr">
        <is>
          <t>Estée Lauder</t>
        </is>
      </c>
      <c r="E842" t="n">
        <v>27.89</v>
      </c>
      <c r="F842" t="n">
        <v>1</v>
      </c>
      <c r="G842" t="n">
        <v>3</v>
      </c>
      <c r="H842" s="5">
        <f>HYPERLINK("https://api.qogita.com/variants/link/0887167614963/", "View Product")</f>
        <v/>
      </c>
    </row>
    <row r="843">
      <c r="A843" t="inlineStr">
        <is>
          <t>0887167615250</t>
        </is>
      </c>
      <c r="B843" t="inlineStr">
        <is>
          <t>ESTÉE LAUDER Pure Color Matte Lipstick No. 888 Power Kiss 3.5g</t>
        </is>
      </c>
      <c r="C843" t="inlineStr">
        <is>
          <t>Lipstick</t>
        </is>
      </c>
      <c r="D843" t="inlineStr">
        <is>
          <t>Estée Lauder</t>
        </is>
      </c>
      <c r="E843" t="n">
        <v>20.04</v>
      </c>
      <c r="F843" t="n">
        <v>1</v>
      </c>
      <c r="G843" t="n">
        <v>2</v>
      </c>
      <c r="H843" s="5">
        <f>HYPERLINK("https://api.qogita.com/variants/link/0887167615250/", "View Product")</f>
        <v/>
      </c>
    </row>
    <row r="844">
      <c r="A844" t="inlineStr">
        <is>
          <t>0887167616691</t>
        </is>
      </c>
      <c r="B844" t="inlineStr">
        <is>
          <t>Estee Lauder Double Wear 24h Stay-In-Place Lip Liner 1.2g 420 - Rebellious Rose</t>
        </is>
      </c>
      <c r="C844" t="inlineStr">
        <is>
          <t>Lip Liner</t>
        </is>
      </c>
      <c r="D844" t="inlineStr">
        <is>
          <t>Estée Lauder</t>
        </is>
      </c>
      <c r="E844" t="n">
        <v>18.68</v>
      </c>
      <c r="F844" t="n">
        <v>1</v>
      </c>
      <c r="G844" t="n">
        <v>3</v>
      </c>
      <c r="H844" s="5">
        <f>HYPERLINK("https://api.qogita.com/variants/link/0887167616691/", "View Product")</f>
        <v/>
      </c>
    </row>
    <row r="845">
      <c r="A845" t="inlineStr">
        <is>
          <t>0887167616707</t>
        </is>
      </c>
      <c r="B845" t="inlineStr">
        <is>
          <t>Estee Lauder Double Wear 24h Stay-In-Place Lip Liner 1.2g - Spice</t>
        </is>
      </c>
      <c r="C845" t="inlineStr">
        <is>
          <t>Lip Liner</t>
        </is>
      </c>
      <c r="D845" t="inlineStr">
        <is>
          <t>Estée Lauder</t>
        </is>
      </c>
      <c r="E845" t="n">
        <v>18.6</v>
      </c>
      <c r="F845" t="n">
        <v>1</v>
      </c>
      <c r="G845" t="n">
        <v>7</v>
      </c>
      <c r="H845" s="5">
        <f>HYPERLINK("https://api.qogita.com/variants/link/0887167616707/", "View Product")</f>
        <v/>
      </c>
    </row>
    <row r="846">
      <c r="A846" t="inlineStr">
        <is>
          <t>0887167620834</t>
        </is>
      </c>
      <c r="B846" t="inlineStr">
        <is>
          <t>Estee Lauder Advanced Night Cleansing Balm Makeup Remover 70ml</t>
        </is>
      </c>
      <c r="C846" t="inlineStr">
        <is>
          <t>Makeup Remover</t>
        </is>
      </c>
      <c r="D846" t="inlineStr">
        <is>
          <t>Estée Lauder</t>
        </is>
      </c>
      <c r="E846" t="n">
        <v>33.61</v>
      </c>
      <c r="F846" t="n">
        <v>1</v>
      </c>
      <c r="G846" t="n">
        <v>7</v>
      </c>
      <c r="H846" s="5">
        <f>HYPERLINK("https://api.qogita.com/variants/link/0887167620834/", "View Product")</f>
        <v/>
      </c>
    </row>
    <row r="847">
      <c r="A847" t="inlineStr">
        <is>
          <t>0887167666641</t>
        </is>
      </c>
      <c r="B847" t="inlineStr">
        <is>
          <t>Estee Lauder Soft Clean Moisture Rich Foaming Cleanser 125ml</t>
        </is>
      </c>
      <c r="C847" t="inlineStr">
        <is>
          <t>Cleansing Foam</t>
        </is>
      </c>
      <c r="D847" t="inlineStr">
        <is>
          <t>Estée Lauder</t>
        </is>
      </c>
      <c r="E847" t="n">
        <v>54.34</v>
      </c>
      <c r="F847" t="n">
        <v>1</v>
      </c>
      <c r="G847" t="n">
        <v>11</v>
      </c>
      <c r="H847" s="5">
        <f>HYPERLINK("https://api.qogita.com/variants/link/0887167666641/", "View Product")</f>
        <v/>
      </c>
    </row>
    <row r="848">
      <c r="A848" t="inlineStr">
        <is>
          <t>0887167681378</t>
        </is>
      </c>
      <c r="B848" t="inlineStr">
        <is>
          <t>Estee Lauder Double Wear Stay-In-Place Concealer 12 Ml</t>
        </is>
      </c>
      <c r="C848" t="inlineStr">
        <is>
          <t>Concealer</t>
        </is>
      </c>
      <c r="D848" t="inlineStr">
        <is>
          <t>Estée Lauder</t>
        </is>
      </c>
      <c r="E848" t="n">
        <v>25.29</v>
      </c>
      <c r="F848" t="n">
        <v>1</v>
      </c>
      <c r="G848" t="n">
        <v>3</v>
      </c>
      <c r="H848" s="5">
        <f>HYPERLINK("https://api.qogita.com/variants/link/0887167681378/", "View Product")</f>
        <v/>
      </c>
    </row>
    <row r="849">
      <c r="A849" t="inlineStr">
        <is>
          <t>0887167681385</t>
        </is>
      </c>
      <c r="B849" t="inlineStr">
        <is>
          <t>Estee Lauder Double Wear Stay-In-Place Concealer - 12 Ml</t>
        </is>
      </c>
      <c r="C849" t="inlineStr">
        <is>
          <t>Concealer</t>
        </is>
      </c>
      <c r="D849" t="inlineStr">
        <is>
          <t>Estée Lauder</t>
        </is>
      </c>
      <c r="E849" t="n">
        <v>24.09</v>
      </c>
      <c r="F849" t="n">
        <v>1</v>
      </c>
      <c r="G849" t="n">
        <v>4</v>
      </c>
      <c r="H849" s="5">
        <f>HYPERLINK("https://api.qogita.com/variants/link/0887167681385/", "View Product")</f>
        <v/>
      </c>
    </row>
    <row r="850">
      <c r="A850" t="inlineStr">
        <is>
          <t>0887167774865</t>
        </is>
      </c>
      <c r="B850" t="inlineStr">
        <is>
          <t>Estee Lauder Pure Color Melt-On Glosstick Plumping &amp; Moisturizing Lip Gloss</t>
        </is>
      </c>
      <c r="C850" t="inlineStr">
        <is>
          <t>Lip Gloss</t>
        </is>
      </c>
      <c r="D850" t="inlineStr">
        <is>
          <t>Estée Lauder</t>
        </is>
      </c>
      <c r="E850" t="n">
        <v>27.86</v>
      </c>
      <c r="F850" t="n">
        <v>1</v>
      </c>
      <c r="G850" t="n">
        <v>3</v>
      </c>
      <c r="H850" s="5">
        <f>HYPERLINK("https://api.qogita.com/variants/link/0887167774865/", "View Product")</f>
        <v/>
      </c>
    </row>
    <row r="851">
      <c r="A851" t="inlineStr">
        <is>
          <t>0888066000062</t>
        </is>
      </c>
      <c r="B851" t="inlineStr">
        <is>
          <t>Tom Ford Black Orchid Eau De Parfum 50ml</t>
        </is>
      </c>
      <c r="C851" t="inlineStr">
        <is>
          <t>Eau De Parfum</t>
        </is>
      </c>
      <c r="D851" t="inlineStr">
        <is>
          <t>Tom Ford</t>
        </is>
      </c>
      <c r="E851" t="n">
        <v>74.66</v>
      </c>
      <c r="F851" t="n">
        <v>1</v>
      </c>
      <c r="G851" t="n">
        <v>5</v>
      </c>
      <c r="H851" s="5">
        <f>HYPERLINK("https://api.qogita.com/variants/link/0888066000062/", "View Product")</f>
        <v/>
      </c>
    </row>
    <row r="852">
      <c r="A852" t="inlineStr">
        <is>
          <t>0888066023955</t>
        </is>
      </c>
      <c r="B852" t="inlineStr">
        <is>
          <t>Tom Ford Velvet Orchid for Women 3.4 Oz EDP Spray 100ml</t>
        </is>
      </c>
      <c r="C852" t="inlineStr">
        <is>
          <t>Eau De Parfum</t>
        </is>
      </c>
      <c r="D852" t="inlineStr">
        <is>
          <t>Tom Ford</t>
        </is>
      </c>
      <c r="E852" t="n">
        <v>111.51</v>
      </c>
      <c r="F852" t="n">
        <v>1</v>
      </c>
      <c r="G852" t="n">
        <v>63</v>
      </c>
      <c r="H852" s="5">
        <f>HYPERLINK("https://api.qogita.com/variants/link/0888066023955/", "View Product")</f>
        <v/>
      </c>
    </row>
    <row r="853">
      <c r="A853" t="inlineStr">
        <is>
          <t>0888066024471</t>
        </is>
      </c>
      <c r="B853" t="inlineStr">
        <is>
          <t>Tom Ford Mandarino Di Amalfi 50ml</t>
        </is>
      </c>
      <c r="C853" t="inlineStr">
        <is>
          <t>Eau De Parfum</t>
        </is>
      </c>
      <c r="D853" t="inlineStr">
        <is>
          <t>Tom Ford</t>
        </is>
      </c>
      <c r="E853" t="n">
        <v>184.95</v>
      </c>
      <c r="F853" t="n">
        <v>1</v>
      </c>
      <c r="G853" t="n">
        <v>8</v>
      </c>
      <c r="H853" s="5">
        <f>HYPERLINK("https://api.qogita.com/variants/link/0888066024471/", "View Product")</f>
        <v/>
      </c>
    </row>
    <row r="854">
      <c r="A854" t="inlineStr">
        <is>
          <t>0888066030212</t>
        </is>
      </c>
      <c r="B854" t="inlineStr">
        <is>
          <t>Tom Ford Private Blend Oud Wood Body Spray 150ml</t>
        </is>
      </c>
      <c r="C854" t="inlineStr">
        <is>
          <t>Eau De Toilette</t>
        </is>
      </c>
      <c r="D854" t="inlineStr">
        <is>
          <t>Tom Ford</t>
        </is>
      </c>
      <c r="E854" t="n">
        <v>57.61</v>
      </c>
      <c r="F854" t="n">
        <v>1</v>
      </c>
      <c r="G854" t="n">
        <v>2</v>
      </c>
      <c r="H854" s="5">
        <f>HYPERLINK("https://api.qogita.com/variants/link/0888066030212/", "View Product")</f>
        <v/>
      </c>
    </row>
    <row r="855">
      <c r="A855" t="inlineStr">
        <is>
          <t>0888066035392</t>
        </is>
      </c>
      <c r="B855" t="inlineStr">
        <is>
          <t>Tom Ford Noir Extreme Eau De Parfum For Men 100ml</t>
        </is>
      </c>
      <c r="C855" t="inlineStr">
        <is>
          <t>Eau De Parfum</t>
        </is>
      </c>
      <c r="D855" t="inlineStr">
        <is>
          <t>Tom Ford</t>
        </is>
      </c>
      <c r="E855" t="n">
        <v>121.76</v>
      </c>
      <c r="F855" t="n">
        <v>1</v>
      </c>
      <c r="G855" t="n">
        <v>2</v>
      </c>
      <c r="H855" s="5">
        <f>HYPERLINK("https://api.qogita.com/variants/link/0888066035392/", "View Product")</f>
        <v/>
      </c>
    </row>
    <row r="856">
      <c r="A856" t="inlineStr">
        <is>
          <t>0888066077446</t>
        </is>
      </c>
      <c r="B856" t="inlineStr">
        <is>
          <t>Tom Ford Body Spray 0.21g</t>
        </is>
      </c>
      <c r="C856" t="inlineStr">
        <is>
          <t>Body Mist</t>
        </is>
      </c>
      <c r="D856" t="inlineStr">
        <is>
          <t>Tom Ford</t>
        </is>
      </c>
      <c r="E856" t="n">
        <v>36.51</v>
      </c>
      <c r="F856" t="n">
        <v>1</v>
      </c>
      <c r="G856" t="n">
        <v>3</v>
      </c>
      <c r="H856" s="5">
        <f>HYPERLINK("https://api.qogita.com/variants/link/0888066077446/", "View Product")</f>
        <v/>
      </c>
    </row>
    <row r="857">
      <c r="A857" t="inlineStr">
        <is>
          <t>0888066082341</t>
        </is>
      </c>
      <c r="B857" t="inlineStr">
        <is>
          <t>Tom Ford Lost Cherry Eau De Parfum Fruity 50ml</t>
        </is>
      </c>
      <c r="C857" t="inlineStr">
        <is>
          <t>Eau De Parfum</t>
        </is>
      </c>
      <c r="D857" t="inlineStr">
        <is>
          <t>Tom Ford</t>
        </is>
      </c>
      <c r="E857" t="n">
        <v>191.04</v>
      </c>
      <c r="F857" t="n">
        <v>1</v>
      </c>
      <c r="G857" t="n">
        <v>19</v>
      </c>
      <c r="H857" s="5">
        <f>HYPERLINK("https://api.qogita.com/variants/link/0888066082341/", "View Product")</f>
        <v/>
      </c>
    </row>
    <row r="858">
      <c r="A858" t="inlineStr">
        <is>
          <t>0888066087537</t>
        </is>
      </c>
      <c r="B858" t="inlineStr">
        <is>
          <t>Tom Ford Brightening Make-Up Shade And Illuminate Spf 50 Soft Radiance Foundation - 30 Ml</t>
        </is>
      </c>
      <c r="C858" t="inlineStr">
        <is>
          <t>Foundation</t>
        </is>
      </c>
      <c r="D858" t="inlineStr">
        <is>
          <t>Tom Ford</t>
        </is>
      </c>
      <c r="E858" t="n">
        <v>111.93</v>
      </c>
      <c r="F858" t="n">
        <v>1</v>
      </c>
      <c r="G858" t="n">
        <v>2</v>
      </c>
      <c r="H858" s="5">
        <f>HYPERLINK("https://api.qogita.com/variants/link/0888066087537/", "View Product")</f>
        <v/>
      </c>
    </row>
    <row r="859">
      <c r="A859" t="inlineStr">
        <is>
          <t>0888066089449</t>
        </is>
      </c>
      <c r="B859" t="inlineStr">
        <is>
          <t>Tom Ford Fabulous Homme All Over Body Spray 150ml</t>
        </is>
      </c>
      <c r="C859" t="inlineStr">
        <is>
          <t>Eau De Toilette</t>
        </is>
      </c>
      <c r="D859" t="inlineStr">
        <is>
          <t>Tom Ford</t>
        </is>
      </c>
      <c r="E859" t="n">
        <v>67.40000000000001</v>
      </c>
      <c r="F859" t="n">
        <v>1</v>
      </c>
      <c r="G859" t="n">
        <v>8</v>
      </c>
      <c r="H859" s="5">
        <f>HYPERLINK("https://api.qogita.com/variants/link/0888066089449/", "View Product")</f>
        <v/>
      </c>
    </row>
    <row r="860">
      <c r="A860" t="inlineStr">
        <is>
          <t>0888066098878</t>
        </is>
      </c>
      <c r="B860" t="inlineStr">
        <is>
          <t>Tom Ford Lost Cherry - 100ml</t>
        </is>
      </c>
      <c r="C860" t="inlineStr">
        <is>
          <t>Eau De Parfum</t>
        </is>
      </c>
      <c r="D860" t="inlineStr">
        <is>
          <t>Tom Ford</t>
        </is>
      </c>
      <c r="E860" t="n">
        <v>271.2</v>
      </c>
      <c r="F860" t="n">
        <v>1</v>
      </c>
      <c r="G860" t="n">
        <v>71</v>
      </c>
      <c r="H860" s="5">
        <f>HYPERLINK("https://api.qogita.com/variants/link/0888066098878/", "View Product")</f>
        <v/>
      </c>
    </row>
    <row r="861">
      <c r="A861" t="inlineStr">
        <is>
          <t>0888066105828</t>
        </is>
      </c>
      <c r="B861" t="inlineStr">
        <is>
          <t>Tom Ford White Suede Eau De Parfum Spray Unisex 100ml</t>
        </is>
      </c>
      <c r="C861" t="inlineStr">
        <is>
          <t>Eau De Parfum</t>
        </is>
      </c>
      <c r="D861" t="inlineStr">
        <is>
          <t>Tom Ford</t>
        </is>
      </c>
      <c r="E861" t="n">
        <v>186.54</v>
      </c>
      <c r="F861" t="n">
        <v>1</v>
      </c>
      <c r="G861" t="n">
        <v>2</v>
      </c>
      <c r="H861" s="5">
        <f>HYPERLINK("https://api.qogita.com/variants/link/0888066105828/", "View Product")</f>
        <v/>
      </c>
    </row>
    <row r="862">
      <c r="A862" t="inlineStr">
        <is>
          <t>0888066107914</t>
        </is>
      </c>
      <c r="B862" t="inlineStr">
        <is>
          <t>Lost Cherry by Tom Ford Unisex 1oz EDP Spray</t>
        </is>
      </c>
      <c r="C862" t="inlineStr">
        <is>
          <t>Eau De Parfum</t>
        </is>
      </c>
      <c r="D862" t="inlineStr">
        <is>
          <t>Tom Ford</t>
        </is>
      </c>
      <c r="E862" t="n">
        <v>140.41</v>
      </c>
      <c r="F862" t="n">
        <v>1</v>
      </c>
      <c r="G862" t="n">
        <v>2</v>
      </c>
      <c r="H862" s="5">
        <f>HYPERLINK("https://api.qogita.com/variants/link/0888066107914/", "View Product")</f>
        <v/>
      </c>
    </row>
    <row r="863">
      <c r="A863" t="inlineStr">
        <is>
          <t>0888066113274</t>
        </is>
      </c>
      <c r="B863" t="inlineStr">
        <is>
          <t>Tom Ford Shade and Illuminate Concealer 2W1 Taupe</t>
        </is>
      </c>
      <c r="C863" t="inlineStr">
        <is>
          <t>Concealer</t>
        </is>
      </c>
      <c r="D863" t="inlineStr">
        <is>
          <t>Tom Ford</t>
        </is>
      </c>
      <c r="E863" t="n">
        <v>66.16</v>
      </c>
      <c r="F863" t="n">
        <v>1</v>
      </c>
      <c r="G863" t="n">
        <v>4</v>
      </c>
      <c r="H863" s="5">
        <f>HYPERLINK("https://api.qogita.com/variants/link/0888066113274/", "View Product")</f>
        <v/>
      </c>
    </row>
    <row r="864">
      <c r="A864" t="inlineStr">
        <is>
          <t>0888066121507</t>
        </is>
      </c>
      <c r="B864" t="inlineStr">
        <is>
          <t>Tom Ford Eye Color Quad Eye Shadow Palette - 10 Grams</t>
        </is>
      </c>
      <c r="C864" t="inlineStr">
        <is>
          <t>Eye Sets &amp; Pallets</t>
        </is>
      </c>
      <c r="D864" t="inlineStr">
        <is>
          <t>Tom Ford</t>
        </is>
      </c>
      <c r="E864" t="n">
        <v>72.11</v>
      </c>
      <c r="F864" t="n">
        <v>1</v>
      </c>
      <c r="G864" t="n">
        <v>2</v>
      </c>
      <c r="H864" s="5">
        <f>HYPERLINK("https://api.qogita.com/variants/link/0888066121507/", "View Product")</f>
        <v/>
      </c>
    </row>
    <row r="865">
      <c r="A865" t="inlineStr">
        <is>
          <t>0888066124041</t>
        </is>
      </c>
      <c r="B865" t="inlineStr">
        <is>
          <t>Tom Ford Grey Vetiver Eau De Parfum for Men 100ml</t>
        </is>
      </c>
      <c r="C865" t="inlineStr">
        <is>
          <t>Eau De Parfum</t>
        </is>
      </c>
      <c r="D865" t="inlineStr">
        <is>
          <t>Tom Ford</t>
        </is>
      </c>
      <c r="E865" t="n">
        <v>131.88</v>
      </c>
      <c r="F865" t="n">
        <v>1</v>
      </c>
      <c r="G865" t="n">
        <v>23</v>
      </c>
      <c r="H865" s="5">
        <f>HYPERLINK("https://api.qogita.com/variants/link/0888066124041/", "View Product")</f>
        <v/>
      </c>
    </row>
    <row r="866">
      <c r="A866" t="inlineStr">
        <is>
          <t>0888066135962</t>
        </is>
      </c>
      <c r="B866" t="inlineStr">
        <is>
          <t>Tom Ford Liquid Lip Luxe Matte Lipstick in Shade 16 SCARLET ROUGE</t>
        </is>
      </c>
      <c r="C866" t="inlineStr">
        <is>
          <t>Lipstick</t>
        </is>
      </c>
      <c r="D866" t="inlineStr">
        <is>
          <t>Tom Ford</t>
        </is>
      </c>
      <c r="E866" t="n">
        <v>50.88</v>
      </c>
      <c r="F866" t="n">
        <v>1</v>
      </c>
      <c r="G866" t="n">
        <v>3</v>
      </c>
      <c r="H866" s="5">
        <f>HYPERLINK("https://api.qogita.com/variants/link/0888066135962/", "View Product")</f>
        <v/>
      </c>
    </row>
    <row r="867">
      <c r="A867" t="inlineStr">
        <is>
          <t>0888066137232</t>
        </is>
      </c>
      <c r="B867" t="inlineStr">
        <is>
          <t>TOM FORD Traceless Soft Matte Concealer 3W0 Latte .12 oz 3.5g</t>
        </is>
      </c>
      <c r="C867" t="inlineStr">
        <is>
          <t>Concealer</t>
        </is>
      </c>
      <c r="D867" t="inlineStr">
        <is>
          <t>Tom Ford</t>
        </is>
      </c>
      <c r="E867" t="n">
        <v>46.68</v>
      </c>
      <c r="F867" t="n">
        <v>1</v>
      </c>
      <c r="G867" t="n">
        <v>3</v>
      </c>
      <c r="H867" s="5">
        <f>HYPERLINK("https://api.qogita.com/variants/link/0888066137232/", "View Product")</f>
        <v/>
      </c>
    </row>
    <row r="868">
      <c r="A868" t="inlineStr">
        <is>
          <t>0888066138734</t>
        </is>
      </c>
      <c r="B868" t="inlineStr">
        <is>
          <t>Tom Ford Bois Marocain Eau de Parfum Unisex Fragrance 30ml</t>
        </is>
      </c>
      <c r="C868" t="inlineStr">
        <is>
          <t>Eau De Parfum</t>
        </is>
      </c>
      <c r="D868" t="inlineStr">
        <is>
          <t>Tom Ford</t>
        </is>
      </c>
      <c r="E868" t="n">
        <v>116.82</v>
      </c>
      <c r="F868" t="n">
        <v>1</v>
      </c>
      <c r="G868" t="n">
        <v>6</v>
      </c>
      <c r="H868" s="5">
        <f>HYPERLINK("https://api.qogita.com/variants/link/0888066138734/", "View Product")</f>
        <v/>
      </c>
    </row>
    <row r="869">
      <c r="A869" t="inlineStr">
        <is>
          <t>0888066140829</t>
        </is>
      </c>
      <c r="B869" t="inlineStr">
        <is>
          <t>Tom Ford Eyeshadow Eye Color Quad 43 Ambrosia</t>
        </is>
      </c>
      <c r="C869" t="inlineStr">
        <is>
          <t>Eyeshadow</t>
        </is>
      </c>
      <c r="D869" t="inlineStr">
        <is>
          <t>Tom Ford</t>
        </is>
      </c>
      <c r="E869" t="n">
        <v>72.11</v>
      </c>
      <c r="F869" t="n">
        <v>1</v>
      </c>
      <c r="G869" t="n">
        <v>2</v>
      </c>
      <c r="H869" s="5">
        <f>HYPERLINK("https://api.qogita.com/variants/link/0888066140829/", "View Product")</f>
        <v/>
      </c>
    </row>
    <row r="870">
      <c r="A870" t="inlineStr">
        <is>
          <t>0888066143134</t>
        </is>
      </c>
      <c r="B870" t="inlineStr">
        <is>
          <t>Tom Ford Electric Cherry Eau De Parfum Unisex 50ml</t>
        </is>
      </c>
      <c r="C870" t="inlineStr">
        <is>
          <t>Eau De Parfum</t>
        </is>
      </c>
      <c r="D870" t="inlineStr">
        <is>
          <t>Tom Ford</t>
        </is>
      </c>
      <c r="E870" t="n">
        <v>255.88</v>
      </c>
      <c r="F870" t="n">
        <v>1</v>
      </c>
      <c r="G870" t="n">
        <v>2</v>
      </c>
      <c r="H870" s="5">
        <f>HYPERLINK("https://api.qogita.com/variants/link/0888066143134/", "View Product")</f>
        <v/>
      </c>
    </row>
    <row r="871">
      <c r="A871" t="inlineStr">
        <is>
          <t>0888066147408</t>
        </is>
      </c>
      <c r="B871" t="inlineStr">
        <is>
          <t>Tom Ford Glossy Lipstick Slim Lip Color Shine - 09 G</t>
        </is>
      </c>
      <c r="C871" t="inlineStr">
        <is>
          <t>Lipstick</t>
        </is>
      </c>
      <c r="D871" t="inlineStr">
        <is>
          <t>Tom Ford</t>
        </is>
      </c>
      <c r="E871" t="n">
        <v>50.88</v>
      </c>
      <c r="F871" t="n">
        <v>1</v>
      </c>
      <c r="G871" t="n">
        <v>4</v>
      </c>
      <c r="H871" s="5">
        <f>HYPERLINK("https://api.qogita.com/variants/link/0888066147408/", "View Product")</f>
        <v/>
      </c>
    </row>
    <row r="872">
      <c r="A872" t="inlineStr">
        <is>
          <t>0888066149044</t>
        </is>
      </c>
      <c r="B872" t="inlineStr">
        <is>
          <t>Tom Ford Black Orchid Eau De Toilette 50ml</t>
        </is>
      </c>
      <c r="C872" t="inlineStr">
        <is>
          <t>Eau De Toilette</t>
        </is>
      </c>
      <c r="D872" t="inlineStr">
        <is>
          <t>Tom Ford</t>
        </is>
      </c>
      <c r="E872" t="n">
        <v>61.49</v>
      </c>
      <c r="F872" t="n">
        <v>1</v>
      </c>
      <c r="G872" t="n">
        <v>12</v>
      </c>
      <c r="H872" s="5">
        <f>HYPERLINK("https://api.qogita.com/variants/link/0888066149044/", "View Product")</f>
        <v/>
      </c>
    </row>
    <row r="873">
      <c r="A873" t="inlineStr">
        <is>
          <t>0888066150491</t>
        </is>
      </c>
      <c r="B873" t="inlineStr">
        <is>
          <t>Tom Ford Vanille Fatale Eau De Parfum 50ml</t>
        </is>
      </c>
      <c r="C873" t="inlineStr">
        <is>
          <t>Eau De Parfum</t>
        </is>
      </c>
      <c r="D873" t="inlineStr">
        <is>
          <t>Tom Ford</t>
        </is>
      </c>
      <c r="E873" t="n">
        <v>246.31</v>
      </c>
      <c r="F873" t="n">
        <v>1</v>
      </c>
      <c r="G873" t="n">
        <v>4</v>
      </c>
      <c r="H873" s="5">
        <f>HYPERLINK("https://api.qogita.com/variants/link/0888066150491/", "View Product")</f>
        <v/>
      </c>
    </row>
    <row r="874">
      <c r="A874" t="inlineStr">
        <is>
          <t>0888066152051</t>
        </is>
      </c>
      <c r="B874" t="inlineStr">
        <is>
          <t>Tom Ford Ombre Leather Eau De Parfum Vapo 100ml</t>
        </is>
      </c>
      <c r="C874" t="inlineStr">
        <is>
          <t>Eau De Parfum</t>
        </is>
      </c>
      <c r="D874" t="inlineStr">
        <is>
          <t>Tom Ford</t>
        </is>
      </c>
      <c r="E874" t="n">
        <v>116.1</v>
      </c>
      <c r="F874" t="n">
        <v>1</v>
      </c>
      <c r="G874" t="n">
        <v>2</v>
      </c>
      <c r="H874" s="5">
        <f>HYPERLINK("https://api.qogita.com/variants/link/0888066152051/", "View Product")</f>
        <v/>
      </c>
    </row>
    <row r="875">
      <c r="A875" t="inlineStr">
        <is>
          <t>0888066158169</t>
        </is>
      </c>
      <c r="B875" t="inlineStr">
        <is>
          <t>Tom Ford Ultra Shine Lip Color Full Size Brand New in Box #159 Solaire</t>
        </is>
      </c>
      <c r="C875" t="inlineStr">
        <is>
          <t>Lipstick</t>
        </is>
      </c>
      <c r="D875" t="inlineStr">
        <is>
          <t>Tom Ford</t>
        </is>
      </c>
      <c r="E875" t="n">
        <v>48.58</v>
      </c>
      <c r="F875" t="n">
        <v>1</v>
      </c>
      <c r="G875" t="n">
        <v>3</v>
      </c>
      <c r="H875" s="5">
        <f>HYPERLINK("https://api.qogita.com/variants/link/0888066158169/", "View Product")</f>
        <v/>
      </c>
    </row>
    <row r="876">
      <c r="A876" t="inlineStr">
        <is>
          <t>0888066158176</t>
        </is>
      </c>
      <c r="B876" t="inlineStr">
        <is>
          <t>Tom Ford Ultra Shine Lip Color - 33 G</t>
        </is>
      </c>
      <c r="C876" t="inlineStr">
        <is>
          <t>Lipstick</t>
        </is>
      </c>
      <c r="D876" t="inlineStr">
        <is>
          <t>Tom Ford</t>
        </is>
      </c>
      <c r="E876" t="n">
        <v>50.88</v>
      </c>
      <c r="F876" t="n">
        <v>1</v>
      </c>
      <c r="G876" t="n">
        <v>4</v>
      </c>
      <c r="H876" s="5">
        <f>HYPERLINK("https://api.qogita.com/variants/link/0888066158176/", "View Product")</f>
        <v/>
      </c>
    </row>
    <row r="877">
      <c r="A877" t="inlineStr">
        <is>
          <t>0888874000728</t>
        </is>
      </c>
      <c r="B877" t="inlineStr">
        <is>
          <t>Bond No. 9 250 Riverside Drive Eau De Parfum Spray for Men 100ml</t>
        </is>
      </c>
      <c r="C877" t="inlineStr">
        <is>
          <t>Eau De Parfum</t>
        </is>
      </c>
      <c r="D877" t="inlineStr">
        <is>
          <t>Bond No. 9</t>
        </is>
      </c>
      <c r="E877" t="n">
        <v>145.86</v>
      </c>
      <c r="F877" t="n">
        <v>1</v>
      </c>
      <c r="G877" t="n">
        <v>2</v>
      </c>
      <c r="H877" s="5">
        <f>HYPERLINK("https://api.qogita.com/variants/link/0888874000728/", "View Product")</f>
        <v/>
      </c>
    </row>
    <row r="878">
      <c r="A878" t="inlineStr">
        <is>
          <t>0888874001169</t>
        </is>
      </c>
      <c r="B878" t="inlineStr">
        <is>
          <t>Wall Street Bond No.9 EDP Spray 1.7 Oz</t>
        </is>
      </c>
      <c r="C878" t="inlineStr">
        <is>
          <t>Eau De Parfum</t>
        </is>
      </c>
      <c r="D878" t="inlineStr">
        <is>
          <t>Bond No. 9</t>
        </is>
      </c>
      <c r="E878" t="n">
        <v>133.19</v>
      </c>
      <c r="F878" t="n">
        <v>1</v>
      </c>
      <c r="G878" t="n">
        <v>8</v>
      </c>
      <c r="H878" s="5">
        <f>HYPERLINK("https://api.qogita.com/variants/link/0888874001169/", "View Product")</f>
        <v/>
      </c>
    </row>
    <row r="879">
      <c r="A879" t="inlineStr">
        <is>
          <t>0888874001701</t>
        </is>
      </c>
      <c r="B879" t="inlineStr">
        <is>
          <t>Bond No.9 West Side Eau De Parfum Spray 100ml</t>
        </is>
      </c>
      <c r="C879" t="inlineStr">
        <is>
          <t>Eau De Parfum</t>
        </is>
      </c>
      <c r="D879" t="inlineStr">
        <is>
          <t>Bond No. 9</t>
        </is>
      </c>
      <c r="E879" t="n">
        <v>180.31</v>
      </c>
      <c r="F879" t="n">
        <v>1</v>
      </c>
      <c r="G879" t="n">
        <v>2</v>
      </c>
      <c r="H879" s="5">
        <f>HYPERLINK("https://api.qogita.com/variants/link/0888874001701/", "View Product")</f>
        <v/>
      </c>
    </row>
    <row r="880">
      <c r="A880" t="inlineStr">
        <is>
          <t>0888874002401</t>
        </is>
      </c>
      <c r="B880" t="inlineStr">
        <is>
          <t>Bond No.9 Central Park West Eau De Parfum Spray for Women 100ml</t>
        </is>
      </c>
      <c r="C880" t="inlineStr">
        <is>
          <t>Eau De Parfum</t>
        </is>
      </c>
      <c r="D880" t="inlineStr">
        <is>
          <t>Bond No. 9</t>
        </is>
      </c>
      <c r="E880" t="n">
        <v>165.12</v>
      </c>
      <c r="F880" t="n">
        <v>1</v>
      </c>
      <c r="G880" t="n">
        <v>5</v>
      </c>
      <c r="H880" s="5">
        <f>HYPERLINK("https://api.qogita.com/variants/link/0888874002401/", "View Product")</f>
        <v/>
      </c>
    </row>
    <row r="881">
      <c r="A881" t="inlineStr">
        <is>
          <t>0888874002418</t>
        </is>
      </c>
      <c r="B881" t="inlineStr">
        <is>
          <t>Bond No.9 Central Park West EDP Spray 1.7oz</t>
        </is>
      </c>
      <c r="C881" t="inlineStr">
        <is>
          <t>Eau De Parfum</t>
        </is>
      </c>
      <c r="D881" t="inlineStr">
        <is>
          <t>Bond No. 9</t>
        </is>
      </c>
      <c r="E881" t="n">
        <v>101.09</v>
      </c>
      <c r="F881" t="n">
        <v>1</v>
      </c>
      <c r="G881" t="n">
        <v>5</v>
      </c>
      <c r="H881" s="5">
        <f>HYPERLINK("https://api.qogita.com/variants/link/0888874002418/", "View Product")</f>
        <v/>
      </c>
    </row>
    <row r="882">
      <c r="A882" t="inlineStr">
        <is>
          <t>0888874005488</t>
        </is>
      </c>
      <c r="B882" t="inlineStr">
        <is>
          <t>Bond No.9 Madison Avenue Homme Eau de Parfum Spray 100ml</t>
        </is>
      </c>
      <c r="C882" t="inlineStr">
        <is>
          <t>Eau De Parfum</t>
        </is>
      </c>
      <c r="D882" t="inlineStr">
        <is>
          <t>Bond No. 9</t>
        </is>
      </c>
      <c r="E882" t="n">
        <v>154.94</v>
      </c>
      <c r="F882" t="n">
        <v>1</v>
      </c>
      <c r="G882" t="n">
        <v>8</v>
      </c>
      <c r="H882" s="5">
        <f>HYPERLINK("https://api.qogita.com/variants/link/0888874005488/", "View Product")</f>
        <v/>
      </c>
    </row>
    <row r="883">
      <c r="A883" t="inlineStr">
        <is>
          <t>0888874005563</t>
        </is>
      </c>
      <c r="B883" t="inlineStr">
        <is>
          <t>Bond No9 Liberty Island Eau De Parfum Spray Unisex 50ml</t>
        </is>
      </c>
      <c r="C883" t="inlineStr">
        <is>
          <t>Eau De Parfum</t>
        </is>
      </c>
      <c r="D883" t="inlineStr">
        <is>
          <t>Bond No. 9</t>
        </is>
      </c>
      <c r="E883" t="n">
        <v>87.93000000000001</v>
      </c>
      <c r="F883" t="n">
        <v>1</v>
      </c>
      <c r="G883" t="n">
        <v>4</v>
      </c>
      <c r="H883" s="5">
        <f>HYPERLINK("https://api.qogita.com/variants/link/0888874005563/", "View Product")</f>
        <v/>
      </c>
    </row>
    <row r="884">
      <c r="A884" t="inlineStr">
        <is>
          <t>0888874005624</t>
        </is>
      </c>
      <c r="B884" t="inlineStr">
        <is>
          <t>Bond No9 Dubai Collection Jade Perfume 100ml</t>
        </is>
      </c>
      <c r="C884" t="inlineStr">
        <is>
          <t>Eau De Parfum</t>
        </is>
      </c>
      <c r="D884" t="inlineStr">
        <is>
          <t>Bond No. 9</t>
        </is>
      </c>
      <c r="E884" t="n">
        <v>278.38</v>
      </c>
      <c r="F884" t="n">
        <v>1</v>
      </c>
      <c r="G884" t="n">
        <v>2</v>
      </c>
      <c r="H884" s="5">
        <f>HYPERLINK("https://api.qogita.com/variants/link/0888874005624/", "View Product")</f>
        <v/>
      </c>
    </row>
    <row r="885">
      <c r="A885" t="inlineStr">
        <is>
          <t>0888874008007</t>
        </is>
      </c>
      <c r="B885" t="inlineStr">
        <is>
          <t>Bond No.9 New York Flowers Eau De Parfum Spray 3.4 Ounce Unisex</t>
        </is>
      </c>
      <c r="C885" t="inlineStr">
        <is>
          <t>Eau De Parfum</t>
        </is>
      </c>
      <c r="D885" t="inlineStr">
        <is>
          <t>Bond No. 9</t>
        </is>
      </c>
      <c r="E885" t="n">
        <v>175.39</v>
      </c>
      <c r="F885" t="n">
        <v>1</v>
      </c>
      <c r="G885" t="n">
        <v>3</v>
      </c>
      <c r="H885" s="5">
        <f>HYPERLINK("https://api.qogita.com/variants/link/0888874008007/", "View Product")</f>
        <v/>
      </c>
    </row>
    <row r="886">
      <c r="A886" t="inlineStr">
        <is>
          <t>0892456000174</t>
        </is>
      </c>
      <c r="B886" t="inlineStr">
        <is>
          <t>Animale for Men EDT 101ml 3.3 New in Box</t>
        </is>
      </c>
      <c r="C886" t="inlineStr">
        <is>
          <t>Eau De Toilette</t>
        </is>
      </c>
      <c r="D886" t="inlineStr">
        <is>
          <t>Animale</t>
        </is>
      </c>
      <c r="E886" t="n">
        <v>27.7</v>
      </c>
      <c r="F886" t="n">
        <v>1</v>
      </c>
      <c r="G886" t="n">
        <v>10</v>
      </c>
      <c r="H886" s="5">
        <f>HYPERLINK("https://api.qogita.com/variants/link/0892456000174/", "View Product")</f>
        <v/>
      </c>
    </row>
    <row r="887">
      <c r="A887" t="inlineStr">
        <is>
          <t>0893239000190</t>
        </is>
      </c>
      <c r="B887" t="inlineStr">
        <is>
          <t>PHILIP B Light-Weight Deep Conditioner 2oz Hair Moisturizer Detangler for All Hair Types</t>
        </is>
      </c>
      <c r="C887" t="inlineStr">
        <is>
          <t>Conditioner</t>
        </is>
      </c>
      <c r="D887" t="inlineStr">
        <is>
          <t>Philip B</t>
        </is>
      </c>
      <c r="E887" t="n">
        <v>7.66</v>
      </c>
      <c r="F887" t="n">
        <v>1</v>
      </c>
      <c r="G887" t="n">
        <v>15</v>
      </c>
      <c r="H887" s="5">
        <f>HYPERLINK("https://api.qogita.com/variants/link/0893239000190/", "View Product")</f>
        <v/>
      </c>
    </row>
    <row r="888">
      <c r="A888" t="inlineStr">
        <is>
          <t>0893239000930</t>
        </is>
      </c>
      <c r="B888" t="inlineStr">
        <is>
          <t>Russian Amber Imperial Conditioner</t>
        </is>
      </c>
      <c r="C888" t="inlineStr">
        <is>
          <t>Conditioner</t>
        </is>
      </c>
      <c r="D888" t="inlineStr">
        <is>
          <t>Philip B</t>
        </is>
      </c>
      <c r="E888" t="n">
        <v>34.69</v>
      </c>
      <c r="F888" t="n">
        <v>1</v>
      </c>
      <c r="G888" t="n">
        <v>16</v>
      </c>
      <c r="H888" s="5">
        <f>HYPERLINK("https://api.qogita.com/variants/link/0893239000930/", "View Product")</f>
        <v/>
      </c>
    </row>
    <row r="889">
      <c r="A889" t="inlineStr">
        <is>
          <t>0895531010174</t>
        </is>
      </c>
      <c r="B889" t="inlineStr">
        <is>
          <t>Australian Gold Dark Sunshine Magnifying Bronzer 133ml</t>
        </is>
      </c>
      <c r="C889" t="inlineStr">
        <is>
          <t>Body Sun Protection</t>
        </is>
      </c>
      <c r="D889" t="inlineStr">
        <is>
          <t>Australian Gold</t>
        </is>
      </c>
      <c r="E889" t="n">
        <v>15.09</v>
      </c>
      <c r="F889" t="n">
        <v>1</v>
      </c>
      <c r="G889" t="n">
        <v>2</v>
      </c>
      <c r="H889" s="5">
        <f>HYPERLINK("https://api.qogita.com/variants/link/0895531010174/", "View Product")</f>
        <v/>
      </c>
    </row>
    <row r="890">
      <c r="A890" t="inlineStr">
        <is>
          <t>2376873030559</t>
        </is>
      </c>
      <c r="B890" t="inlineStr">
        <is>
          <t>TimeWise Repair Volu-Firm Eye Renewal Cream - Mary Kay - 14g</t>
        </is>
      </c>
      <c r="C890" t="inlineStr">
        <is>
          <t>Eye Cream</t>
        </is>
      </c>
      <c r="D890" t="inlineStr">
        <is>
          <t>Mary Kay</t>
        </is>
      </c>
      <c r="E890" t="n">
        <v>49.99</v>
      </c>
      <c r="F890" t="n">
        <v>1</v>
      </c>
      <c r="G890" t="n">
        <v>6</v>
      </c>
      <c r="H890" s="5">
        <f>HYPERLINK("https://api.qogita.com/variants/link/2376873030559/", "View Product")</f>
        <v/>
      </c>
    </row>
    <row r="891">
      <c r="A891" t="inlineStr">
        <is>
          <t>2376873802347</t>
        </is>
      </c>
      <c r="B891" t="inlineStr">
        <is>
          <t>Long-lasting Liquid Eyeliner 1.5g Shade Black</t>
        </is>
      </c>
      <c r="C891" t="inlineStr">
        <is>
          <t>Eyeliner</t>
        </is>
      </c>
      <c r="D891" t="inlineStr">
        <is>
          <t>Mary Kay</t>
        </is>
      </c>
      <c r="E891" t="n">
        <v>18.09</v>
      </c>
      <c r="F891" t="n">
        <v>1</v>
      </c>
      <c r="G891" t="n">
        <v>12</v>
      </c>
      <c r="H891" s="5">
        <f>HYPERLINK("https://api.qogita.com/variants/link/2376873802347/", "View Product")</f>
        <v/>
      </c>
    </row>
    <row r="892">
      <c r="A892" t="inlineStr">
        <is>
          <t>2376875625203</t>
        </is>
      </c>
      <c r="B892" t="inlineStr">
        <is>
          <t>TimeWise Moisture Renewing Gel Mask 85g</t>
        </is>
      </c>
      <c r="C892" t="inlineStr">
        <is>
          <t>Hydrating Mask</t>
        </is>
      </c>
      <c r="D892" t="inlineStr">
        <is>
          <t>Mary Kay</t>
        </is>
      </c>
      <c r="E892" t="n">
        <v>35.59</v>
      </c>
      <c r="F892" t="n">
        <v>1</v>
      </c>
      <c r="G892" t="n">
        <v>2</v>
      </c>
      <c r="H892" s="5">
        <f>HYPERLINK("https://api.qogita.com/variants/link/2376875625203/", "View Product")</f>
        <v/>
      </c>
    </row>
    <row r="893">
      <c r="A893" t="inlineStr">
        <is>
          <t>2376878585252</t>
        </is>
      </c>
      <c r="B893" t="inlineStr">
        <is>
          <t>La Chevre Nourishing Cream For Hands And Feet With Goat Butter - 100 G</t>
        </is>
      </c>
      <c r="C893" t="inlineStr">
        <is>
          <t>Hand &amp; Foot Care</t>
        </is>
      </c>
      <c r="D893" t="inlineStr">
        <is>
          <t>La Chevre</t>
        </is>
      </c>
      <c r="E893" t="n">
        <v>10.82</v>
      </c>
      <c r="F893" t="n">
        <v>1</v>
      </c>
      <c r="G893" t="n">
        <v>3</v>
      </c>
      <c r="H893" s="5">
        <f>HYPERLINK("https://api.qogita.com/variants/link/2376878585252/", "View Product")</f>
        <v/>
      </c>
    </row>
    <row r="894">
      <c r="A894" t="inlineStr">
        <is>
          <t>2376878618547</t>
        </is>
      </c>
      <c r="B894" t="inlineStr">
        <is>
          <t>Oriflame Tender Care Protecting Balm Raspberry - Malinovy Zazracny Kelimek</t>
        </is>
      </c>
      <c r="C894" t="inlineStr">
        <is>
          <t>Body Care Sets</t>
        </is>
      </c>
      <c r="D894" t="inlineStr">
        <is>
          <t>Oriflame</t>
        </is>
      </c>
      <c r="E894" t="n">
        <v>6.65</v>
      </c>
      <c r="F894" t="n">
        <v>1</v>
      </c>
      <c r="G894" t="n">
        <v>52</v>
      </c>
      <c r="H894" s="5">
        <f>HYPERLINK("https://api.qogita.com/variants/link/2376878618547/", "View Product")</f>
        <v/>
      </c>
    </row>
    <row r="895">
      <c r="A895" t="inlineStr">
        <is>
          <t>2376879017387</t>
        </is>
      </c>
      <c r="B895" t="inlineStr">
        <is>
          <t>Oriflame Milk &amp; Honey Gold Pampering Shower Cream 250 Ml</t>
        </is>
      </c>
      <c r="C895" t="inlineStr">
        <is>
          <t>Shower Gel</t>
        </is>
      </c>
      <c r="D895" t="inlineStr">
        <is>
          <t>Oriflame</t>
        </is>
      </c>
      <c r="E895" t="n">
        <v>5.81</v>
      </c>
      <c r="F895" t="n">
        <v>1</v>
      </c>
      <c r="G895" t="n">
        <v>9</v>
      </c>
      <c r="H895" s="5">
        <f>HYPERLINK("https://api.qogita.com/variants/link/2376879017387/", "View Product")</f>
        <v/>
      </c>
    </row>
    <row r="896">
      <c r="A896" t="inlineStr">
        <is>
          <t>3005196700014</t>
        </is>
      </c>
      <c r="B896" t="inlineStr">
        <is>
          <t>Panier Des Sens Relaxing Lavender Set - Darkova Sada</t>
        </is>
      </c>
      <c r="C896" t="inlineStr">
        <is>
          <t>Diffusers</t>
        </is>
      </c>
      <c r="D896" t="inlineStr">
        <is>
          <t>Panier Des Sens</t>
        </is>
      </c>
      <c r="E896" t="n">
        <v>17.98</v>
      </c>
      <c r="F896" t="n">
        <v>1</v>
      </c>
      <c r="G896" t="n">
        <v>2</v>
      </c>
      <c r="H896" s="5">
        <f>HYPERLINK("https://api.qogita.com/variants/link/3005196700014/", "View Product")</f>
        <v/>
      </c>
    </row>
    <row r="897">
      <c r="A897" t="inlineStr">
        <is>
          <t>3014260274924</t>
        </is>
      </c>
      <c r="B897" t="inlineStr">
        <is>
          <t>Gillette Mach3 Turbo Men's Razor Blades 8 Count</t>
        </is>
      </c>
      <c r="C897" t="inlineStr">
        <is>
          <t>Care Needs</t>
        </is>
      </c>
      <c r="D897" t="inlineStr">
        <is>
          <t>Gillette</t>
        </is>
      </c>
      <c r="E897" t="n">
        <v>20.08</v>
      </c>
      <c r="F897" t="n">
        <v>1</v>
      </c>
      <c r="G897" t="n">
        <v>98</v>
      </c>
      <c r="H897" s="5">
        <f>HYPERLINK("https://api.qogita.com/variants/link/3014260274924/", "View Product")</f>
        <v/>
      </c>
    </row>
    <row r="898">
      <c r="A898" t="inlineStr">
        <is>
          <t>3030050046120</t>
        </is>
      </c>
      <c r="B898" t="inlineStr">
        <is>
          <t>Babyliss Pro Professional Digital Titanium Tourmaline Curling Iron 19 Mm</t>
        </is>
      </c>
      <c r="C898" t="inlineStr">
        <is>
          <t>Curling Irons</t>
        </is>
      </c>
      <c r="D898" t="inlineStr">
        <is>
          <t>Babyliss Pro</t>
        </is>
      </c>
      <c r="E898" t="n">
        <v>49.61</v>
      </c>
      <c r="F898" t="n">
        <v>1</v>
      </c>
      <c r="G898" t="n">
        <v>2</v>
      </c>
      <c r="H898" s="5">
        <f>HYPERLINK("https://api.qogita.com/variants/link/3030050046120/", "View Product")</f>
        <v/>
      </c>
    </row>
    <row r="899">
      <c r="A899" t="inlineStr">
        <is>
          <t>3030050047318</t>
        </is>
      </c>
      <c r="B899" t="inlineStr">
        <is>
          <t>BaBylissPRO Triple Barrel Waver Hair Styling Iron</t>
        </is>
      </c>
      <c r="C899" t="inlineStr">
        <is>
          <t>Curling Irons</t>
        </is>
      </c>
      <c r="D899" t="inlineStr">
        <is>
          <t>Babyliss Pro</t>
        </is>
      </c>
      <c r="E899" t="n">
        <v>67.23</v>
      </c>
      <c r="F899" t="n">
        <v>1</v>
      </c>
      <c r="G899" t="n">
        <v>2</v>
      </c>
      <c r="H899" s="5">
        <f>HYPERLINK("https://api.qogita.com/variants/link/3030050047318/", "View Product")</f>
        <v/>
      </c>
    </row>
    <row r="900">
      <c r="A900" t="inlineStr">
        <is>
          <t>3030050060263</t>
        </is>
      </c>
      <c r="B900" t="inlineStr">
        <is>
          <t>Babyliss Pro Bambino Hairdryer 5510e 1200w Travel Mini Hair Dryer</t>
        </is>
      </c>
      <c r="C900" t="inlineStr">
        <is>
          <t>Hair Dryers</t>
        </is>
      </c>
      <c r="D900" t="inlineStr">
        <is>
          <t>Babyliss Pro</t>
        </is>
      </c>
      <c r="E900" t="n">
        <v>30.65</v>
      </c>
      <c r="F900" t="n">
        <v>1</v>
      </c>
      <c r="G900" t="n">
        <v>2</v>
      </c>
      <c r="H900" s="5">
        <f>HYPERLINK("https://api.qogita.com/variants/link/3030050060263/", "View Product")</f>
        <v/>
      </c>
    </row>
    <row r="901">
      <c r="A901" t="inlineStr">
        <is>
          <t>3030050060959</t>
        </is>
      </c>
      <c r="B901" t="inlineStr">
        <is>
          <t>Babyliss Pro Hot Air Brush 32 Mm Ceramic Air Styler 700 W</t>
        </is>
      </c>
      <c r="C901" t="inlineStr">
        <is>
          <t>Hot Air Brushes</t>
        </is>
      </c>
      <c r="D901" t="inlineStr">
        <is>
          <t>Babyliss Pro</t>
        </is>
      </c>
      <c r="E901" t="n">
        <v>36.7</v>
      </c>
      <c r="F901" t="n">
        <v>1</v>
      </c>
      <c r="G901" t="n">
        <v>2</v>
      </c>
      <c r="H901" s="5">
        <f>HYPERLINK("https://api.qogita.com/variants/link/3030050060959/", "View Product")</f>
        <v/>
      </c>
    </row>
    <row r="902">
      <c r="A902" t="inlineStr">
        <is>
          <t>3030050091649</t>
        </is>
      </c>
      <c r="B902" t="inlineStr">
        <is>
          <t>Babyliss Pro Nano Titanium Hair Straightener 38mm Perfect For Dry Hair</t>
        </is>
      </c>
      <c r="C902" t="inlineStr">
        <is>
          <t>Hair Straighteners</t>
        </is>
      </c>
      <c r="D902" t="inlineStr">
        <is>
          <t>Babyliss Pro</t>
        </is>
      </c>
      <c r="E902" t="n">
        <v>81.48999999999999</v>
      </c>
      <c r="F902" t="n">
        <v>1</v>
      </c>
      <c r="G902" t="n">
        <v>3</v>
      </c>
      <c r="H902" s="5">
        <f>HYPERLINK("https://api.qogita.com/variants/link/3030050091649/", "View Product")</f>
        <v/>
      </c>
    </row>
    <row r="903">
      <c r="A903" t="inlineStr">
        <is>
          <t>3030050091656</t>
        </is>
      </c>
      <c r="B903" t="inlineStr">
        <is>
          <t>Babyliss Pro Professional Hair Straightener 27 Mm</t>
        </is>
      </c>
      <c r="C903" t="inlineStr">
        <is>
          <t>Hair Straighteners</t>
        </is>
      </c>
      <c r="D903" t="inlineStr">
        <is>
          <t>Babyliss Pro</t>
        </is>
      </c>
      <c r="E903" t="n">
        <v>74.93000000000001</v>
      </c>
      <c r="F903" t="n">
        <v>1</v>
      </c>
      <c r="G903" t="n">
        <v>2</v>
      </c>
      <c r="H903" s="5">
        <f>HYPERLINK("https://api.qogita.com/variants/link/3030050091656/", "View Product")</f>
        <v/>
      </c>
    </row>
    <row r="904">
      <c r="A904" t="inlineStr">
        <is>
          <t>3030050144277</t>
        </is>
      </c>
      <c r="B904" t="inlineStr">
        <is>
          <t>Babyliss Pro Barbers Spirit Silver Fx7880e Professional Contouring Hair And Beard Trimmer</t>
        </is>
      </c>
      <c r="C904" t="inlineStr">
        <is>
          <t>Hair Clippers</t>
        </is>
      </c>
      <c r="D904" t="inlineStr">
        <is>
          <t>Babyliss Pro</t>
        </is>
      </c>
      <c r="E904" t="n">
        <v>105.59</v>
      </c>
      <c r="F904" t="n">
        <v>1</v>
      </c>
      <c r="G904" t="n">
        <v>3</v>
      </c>
      <c r="H904" s="5">
        <f>HYPERLINK("https://api.qogita.com/variants/link/3030050144277/", "View Product")</f>
        <v/>
      </c>
    </row>
    <row r="905">
      <c r="A905" t="inlineStr">
        <is>
          <t>3030050176124</t>
        </is>
      </c>
      <c r="B905" t="inlineStr">
        <is>
          <t>Babyliss Pro Elip Style Titanium Hair Straightener Bab3500e</t>
        </is>
      </c>
      <c r="C905" t="inlineStr">
        <is>
          <t>Hair Straighteners</t>
        </is>
      </c>
      <c r="D905" t="inlineStr">
        <is>
          <t>Babyliss Pro</t>
        </is>
      </c>
      <c r="E905" t="n">
        <v>105.51</v>
      </c>
      <c r="F905" t="n">
        <v>1</v>
      </c>
      <c r="G905" t="n">
        <v>5</v>
      </c>
      <c r="H905" s="5">
        <f>HYPERLINK("https://api.qogita.com/variants/link/3030050176124/", "View Product")</f>
        <v/>
      </c>
    </row>
    <row r="906">
      <c r="A906" t="inlineStr">
        <is>
          <t>3030050179439</t>
        </is>
      </c>
      <c r="B906" t="inlineStr">
        <is>
          <t>Babyliss Pro Fx3 Double Foil Shaver Black Ideal For A Close And Comfortable Shave</t>
        </is>
      </c>
      <c r="C906" t="inlineStr">
        <is>
          <t>Shaving</t>
        </is>
      </c>
      <c r="D906" t="inlineStr">
        <is>
          <t>Babyliss Pro</t>
        </is>
      </c>
      <c r="E906" t="n">
        <v>90.95</v>
      </c>
      <c r="F906" t="n">
        <v>1</v>
      </c>
      <c r="G906" t="n">
        <v>9</v>
      </c>
      <c r="H906" s="5">
        <f>HYPERLINK("https://api.qogita.com/variants/link/3030050179439/", "View Product")</f>
        <v/>
      </c>
    </row>
    <row r="907">
      <c r="A907" t="inlineStr">
        <is>
          <t>3030050179446</t>
        </is>
      </c>
      <c r="B907" t="inlineStr">
        <is>
          <t>Babyliss Pro Lo-Pro FX Cordless Trimmer 514g</t>
        </is>
      </c>
      <c r="C907" t="inlineStr">
        <is>
          <t>Hair Clippers</t>
        </is>
      </c>
      <c r="D907" t="inlineStr">
        <is>
          <t>Babyliss Pro</t>
        </is>
      </c>
      <c r="E907" t="n">
        <v>114.48</v>
      </c>
      <c r="F907" t="n">
        <v>1</v>
      </c>
      <c r="G907" t="n">
        <v>12</v>
      </c>
      <c r="H907" s="5">
        <f>HYPERLINK("https://api.qogita.com/variants/link/3030050179446/", "View Product")</f>
        <v/>
      </c>
    </row>
    <row r="908">
      <c r="A908" t="inlineStr">
        <is>
          <t>3050070000162</t>
        </is>
      </c>
      <c r="B908" t="inlineStr">
        <is>
          <t>Mont St Michel Intense Freshness Eau de Cologne 500ml</t>
        </is>
      </c>
      <c r="C908" t="inlineStr">
        <is>
          <t>Eau De Cologne</t>
        </is>
      </c>
      <c r="D908" t="inlineStr">
        <is>
          <t>Mont Saint Michel</t>
        </is>
      </c>
      <c r="E908" t="n">
        <v>7.66</v>
      </c>
      <c r="F908" t="n">
        <v>1</v>
      </c>
      <c r="G908" t="n">
        <v>35</v>
      </c>
      <c r="H908" s="5">
        <f>HYPERLINK("https://api.qogita.com/variants/link/3050070000162/", "View Product")</f>
        <v/>
      </c>
    </row>
    <row r="909">
      <c r="A909" t="inlineStr">
        <is>
          <t>3052503635101</t>
        </is>
      </c>
      <c r="B909" t="inlineStr">
        <is>
          <t>Bourjois 123 Perfect Foundation - 51 Light Vanilla, 30ml</t>
        </is>
      </c>
      <c r="C909" t="inlineStr">
        <is>
          <t>Foundation</t>
        </is>
      </c>
      <c r="D909" t="inlineStr">
        <is>
          <t>Bourjois</t>
        </is>
      </c>
      <c r="E909" t="n">
        <v>6.94</v>
      </c>
      <c r="F909" t="n">
        <v>1</v>
      </c>
      <c r="G909" t="n">
        <v>2</v>
      </c>
      <c r="H909" s="5">
        <f>HYPERLINK("https://api.qogita.com/variants/link/3052503635101/", "View Product")</f>
        <v/>
      </c>
    </row>
    <row r="910">
      <c r="A910" t="inlineStr">
        <is>
          <t>3052503635200</t>
        </is>
      </c>
      <c r="B910" t="inlineStr">
        <is>
          <t>Bourjois 123 Perfect Medium Coverage Liquid Foundation 52 Vanilla 30ml</t>
        </is>
      </c>
      <c r="C910" t="inlineStr">
        <is>
          <t>Foundation</t>
        </is>
      </c>
      <c r="D910" t="inlineStr">
        <is>
          <t>Bourjois</t>
        </is>
      </c>
      <c r="E910" t="n">
        <v>6.57</v>
      </c>
      <c r="F910" t="n">
        <v>1</v>
      </c>
      <c r="G910" t="n">
        <v>27</v>
      </c>
      <c r="H910" s="5">
        <f>HYPERLINK("https://api.qogita.com/variants/link/3052503635200/", "View Product")</f>
        <v/>
      </c>
    </row>
    <row r="911">
      <c r="A911" t="inlineStr">
        <is>
          <t>3052503635408</t>
        </is>
      </c>
      <c r="B911" t="inlineStr">
        <is>
          <t>Bourjois 123 Perfect Foundation In 54 Beige, 30ml</t>
        </is>
      </c>
      <c r="C911" t="inlineStr">
        <is>
          <t>Foundation</t>
        </is>
      </c>
      <c r="D911" t="inlineStr">
        <is>
          <t>Bourjois</t>
        </is>
      </c>
      <c r="E911" t="n">
        <v>7.82</v>
      </c>
      <c r="F911" t="n">
        <v>1</v>
      </c>
      <c r="G911" t="n">
        <v>2</v>
      </c>
      <c r="H911" s="5">
        <f>HYPERLINK("https://api.qogita.com/variants/link/3052503635408/", "View Product")</f>
        <v/>
      </c>
    </row>
    <row r="912">
      <c r="A912" t="inlineStr">
        <is>
          <t>3052503703121</t>
        </is>
      </c>
      <c r="B912" t="inlineStr">
        <is>
          <t>Bourjois Volume Glamour Push Up Effect Mascara Ultra Black Edition 6 Ml</t>
        </is>
      </c>
      <c r="C912" t="inlineStr">
        <is>
          <t>Mascara</t>
        </is>
      </c>
      <c r="D912" t="inlineStr">
        <is>
          <t>Bourjois</t>
        </is>
      </c>
      <c r="E912" t="n">
        <v>4.73</v>
      </c>
      <c r="F912" t="n">
        <v>1</v>
      </c>
      <c r="G912" t="n">
        <v>15</v>
      </c>
      <c r="H912" s="5">
        <f>HYPERLINK("https://api.qogita.com/variants/link/3052503703121/", "View Product")</f>
        <v/>
      </c>
    </row>
    <row r="913">
      <c r="A913" t="inlineStr">
        <is>
          <t>3054080055839</t>
        </is>
      </c>
      <c r="B913" t="inlineStr">
        <is>
          <t>L'Oreal Color Riche Lipstick 302 Bois De Rose 24g</t>
        </is>
      </c>
      <c r="C913" t="inlineStr">
        <is>
          <t>Lipstick</t>
        </is>
      </c>
      <c r="D913" t="inlineStr">
        <is>
          <t>L'Oréal</t>
        </is>
      </c>
      <c r="E913" t="n">
        <v>8.550000000000001</v>
      </c>
      <c r="F913" t="n">
        <v>1</v>
      </c>
      <c r="G913" t="n">
        <v>2</v>
      </c>
      <c r="H913" s="5">
        <f>HYPERLINK("https://api.qogita.com/variants/link/3054080055839/", "View Product")</f>
        <v/>
      </c>
    </row>
    <row r="914">
      <c r="A914" t="inlineStr">
        <is>
          <t>3069940884313</t>
        </is>
      </c>
      <c r="B914" t="inlineStr">
        <is>
          <t>Gerini Romance Rubus by Gerini Extrait de Parfum Spray 3.3 oz</t>
        </is>
      </c>
      <c r="C914" t="inlineStr">
        <is>
          <t>Extrait De Parfum</t>
        </is>
      </c>
      <c r="D914" t="inlineStr">
        <is>
          <t>Gerini</t>
        </is>
      </c>
      <c r="E914" t="n">
        <v>34.47</v>
      </c>
      <c r="F914" t="n">
        <v>1</v>
      </c>
      <c r="G914" t="n">
        <v>5</v>
      </c>
      <c r="H914" s="5">
        <f>HYPERLINK("https://api.qogita.com/variants/link/3069940884313/", "View Product")</f>
        <v/>
      </c>
    </row>
    <row r="915">
      <c r="A915" t="inlineStr">
        <is>
          <t>3073110520239</t>
        </is>
      </c>
      <c r="B915" t="inlineStr">
        <is>
          <t>Moudon Eclipse Extrait De Parfum Spray</t>
        </is>
      </c>
      <c r="C915" t="inlineStr">
        <is>
          <t>Extrait De Parfum</t>
        </is>
      </c>
      <c r="D915" t="inlineStr">
        <is>
          <t>Moudon</t>
        </is>
      </c>
      <c r="E915" t="n">
        <v>48.49</v>
      </c>
      <c r="F915" t="n">
        <v>1</v>
      </c>
      <c r="G915" t="n">
        <v>51</v>
      </c>
      <c r="H915" s="5">
        <f>HYPERLINK("https://api.qogita.com/variants/link/3073110520239/", "View Product")</f>
        <v/>
      </c>
    </row>
    <row r="916">
      <c r="A916" t="inlineStr">
        <is>
          <t>3074161000602</t>
        </is>
      </c>
      <c r="B916" t="inlineStr">
        <is>
          <t>Precieux Unisex Extrait De Parfum Spray</t>
        </is>
      </c>
      <c r="C916" t="inlineStr">
        <is>
          <t>Extrait De Parfum</t>
        </is>
      </c>
      <c r="D916" t="inlineStr">
        <is>
          <t>Moudon</t>
        </is>
      </c>
      <c r="E916" t="n">
        <v>36.3</v>
      </c>
      <c r="F916" t="n">
        <v>1</v>
      </c>
      <c r="G916" t="n">
        <v>9</v>
      </c>
      <c r="H916" s="5">
        <f>HYPERLINK("https://api.qogita.com/variants/link/3074161000602/", "View Product")</f>
        <v/>
      </c>
    </row>
    <row r="917">
      <c r="A917" t="inlineStr">
        <is>
          <t>3127290062376</t>
        </is>
      </c>
      <c r="B917" t="inlineStr">
        <is>
          <t>Lampe Berger Room Fragrance 200ml Bouquet Parfumé Lolita Lempicka</t>
        </is>
      </c>
      <c r="C917" t="inlineStr">
        <is>
          <t>Diffusers</t>
        </is>
      </c>
      <c r="D917" t="inlineStr">
        <is>
          <t>Lampe Berger</t>
        </is>
      </c>
      <c r="E917" t="n">
        <v>14.73</v>
      </c>
      <c r="F917" t="n">
        <v>1</v>
      </c>
      <c r="G917" t="n">
        <v>2</v>
      </c>
      <c r="H917" s="5">
        <f>HYPERLINK("https://api.qogita.com/variants/link/3127290062376/", "View Product")</f>
        <v/>
      </c>
    </row>
    <row r="918">
      <c r="A918" t="inlineStr">
        <is>
          <t>3127290080219</t>
        </is>
      </c>
      <c r="B918" t="inlineStr">
        <is>
          <t>Maison Berger Paris Night And Day Aroma Wakeup Woody Breeze Electric Diffuser Refill</t>
        </is>
      </c>
      <c r="C918" t="inlineStr">
        <is>
          <t>Diffusers</t>
        </is>
      </c>
      <c r="D918" t="inlineStr">
        <is>
          <t>Maison Berger Paris</t>
        </is>
      </c>
      <c r="E918" t="n">
        <v>8.800000000000001</v>
      </c>
      <c r="F918" t="n">
        <v>1</v>
      </c>
      <c r="G918" t="n">
        <v>2</v>
      </c>
      <c r="H918" s="5">
        <f>HYPERLINK("https://api.qogita.com/variants/link/3127290080219/", "View Product")</f>
        <v/>
      </c>
    </row>
    <row r="919">
      <c r="A919" t="inlineStr">
        <is>
          <t>3127291152373</t>
        </is>
      </c>
      <c r="B919" t="inlineStr">
        <is>
          <t>Lolita Lempicka Lampe Berger Refill 500ml</t>
        </is>
      </c>
      <c r="C919" t="inlineStr">
        <is>
          <t>Diffusers</t>
        </is>
      </c>
      <c r="D919" t="inlineStr">
        <is>
          <t>Maison Berger</t>
        </is>
      </c>
      <c r="E919" t="n">
        <v>17.97</v>
      </c>
      <c r="F919" t="n">
        <v>1</v>
      </c>
      <c r="G919" t="n">
        <v>14</v>
      </c>
      <c r="H919" s="5">
        <f>HYPERLINK("https://api.qogita.com/variants/link/3127291152373/", "View Product")</f>
        <v/>
      </c>
    </row>
    <row r="920">
      <c r="A920" t="inlineStr">
        <is>
          <t>3127291153684</t>
        </is>
      </c>
      <c r="B920" t="inlineStr">
        <is>
          <t>Maison Berger Paris Aroma Energy Sparkling Zest Catalytic Lamp Refill 500 Ml</t>
        </is>
      </c>
      <c r="C920" t="inlineStr">
        <is>
          <t>Diffusers</t>
        </is>
      </c>
      <c r="D920" t="inlineStr">
        <is>
          <t>Maison Berger Paris</t>
        </is>
      </c>
      <c r="E920" t="n">
        <v>17.27</v>
      </c>
      <c r="F920" t="n">
        <v>1</v>
      </c>
      <c r="G920" t="n">
        <v>2</v>
      </c>
      <c r="H920" s="5">
        <f>HYPERLINK("https://api.qogita.com/variants/link/3127291153684/", "View Product")</f>
        <v/>
      </c>
    </row>
    <row r="921">
      <c r="A921" t="inlineStr">
        <is>
          <t>3137370207023</t>
        </is>
      </c>
      <c r="B921" t="inlineStr">
        <is>
          <t>Nina Ricci L'Air Du Temps Eau De Toilette Spray 50ml For Women</t>
        </is>
      </c>
      <c r="C921" t="inlineStr">
        <is>
          <t>Eau De Toilette</t>
        </is>
      </c>
      <c r="D921" t="inlineStr">
        <is>
          <t>Nina Ricci</t>
        </is>
      </c>
      <c r="E921" t="n">
        <v>33.25</v>
      </c>
      <c r="F921" t="n">
        <v>1</v>
      </c>
      <c r="G921" t="n">
        <v>17</v>
      </c>
      <c r="H921" s="5">
        <f>HYPERLINK("https://api.qogita.com/variants/link/3137370207023/", "View Product")</f>
        <v/>
      </c>
    </row>
    <row r="922">
      <c r="A922" t="inlineStr">
        <is>
          <t>3137370207085</t>
        </is>
      </c>
      <c r="B922" t="inlineStr">
        <is>
          <t>Nina Ricci L'Air Du Temps Shower Gel 200ml</t>
        </is>
      </c>
      <c r="C922" t="inlineStr">
        <is>
          <t>Shower Gel</t>
        </is>
      </c>
      <c r="D922" t="inlineStr">
        <is>
          <t>Nina Ricci</t>
        </is>
      </c>
      <c r="E922" t="n">
        <v>26.01</v>
      </c>
      <c r="F922" t="n">
        <v>1</v>
      </c>
      <c r="G922" t="n">
        <v>13</v>
      </c>
      <c r="H922" s="5">
        <f>HYPERLINK("https://api.qogita.com/variants/link/3137370207085/", "View Product")</f>
        <v/>
      </c>
    </row>
    <row r="923">
      <c r="A923" t="inlineStr">
        <is>
          <t>3137370307228</t>
        </is>
      </c>
      <c r="B923" t="inlineStr">
        <is>
          <t>Nina Ricci Love In Paris 50ml</t>
        </is>
      </c>
      <c r="C923" t="inlineStr">
        <is>
          <t>Eau De Parfum</t>
        </is>
      </c>
      <c r="D923" t="inlineStr">
        <is>
          <t>Nina Ricci</t>
        </is>
      </c>
      <c r="E923" t="n">
        <v>22.98</v>
      </c>
      <c r="F923" t="n">
        <v>1</v>
      </c>
      <c r="G923" t="n">
        <v>349</v>
      </c>
      <c r="H923" s="5">
        <f>HYPERLINK("https://api.qogita.com/variants/link/3137370307228/", "View Product")</f>
        <v/>
      </c>
    </row>
    <row r="924">
      <c r="A924" t="inlineStr">
        <is>
          <t>3137370319221</t>
        </is>
      </c>
      <c r="B924" t="inlineStr">
        <is>
          <t>Nina Ricci Nina Woman Deodorant Spray 150ml</t>
        </is>
      </c>
      <c r="C924" t="inlineStr">
        <is>
          <t>Deodorant &amp; Anti-Perspirant</t>
        </is>
      </c>
      <c r="D924" t="inlineStr">
        <is>
          <t>Nina Ricci</t>
        </is>
      </c>
      <c r="E924" t="n">
        <v>16.82</v>
      </c>
      <c r="F924" t="n">
        <v>1</v>
      </c>
      <c r="G924" t="n">
        <v>7</v>
      </c>
      <c r="H924" s="5">
        <f>HYPERLINK("https://api.qogita.com/variants/link/3137370319221/", "View Product")</f>
        <v/>
      </c>
    </row>
    <row r="925">
      <c r="A925" t="inlineStr">
        <is>
          <t>3137370340379</t>
        </is>
      </c>
      <c r="B925" t="inlineStr">
        <is>
          <t>Nina Ricci Premier Jour Eau De Parfum Spray 100ml</t>
        </is>
      </c>
      <c r="C925" t="inlineStr">
        <is>
          <t>Eau De Parfum</t>
        </is>
      </c>
      <c r="D925" t="inlineStr">
        <is>
          <t>Nina Ricci</t>
        </is>
      </c>
      <c r="E925" t="n">
        <v>36.64</v>
      </c>
      <c r="F925" t="n">
        <v>1</v>
      </c>
      <c r="G925" t="n">
        <v>334</v>
      </c>
      <c r="H925" s="5">
        <f>HYPERLINK("https://api.qogita.com/variants/link/3137370340379/", "View Product")</f>
        <v/>
      </c>
    </row>
    <row r="926">
      <c r="A926" t="inlineStr">
        <is>
          <t>3137370347163</t>
        </is>
      </c>
      <c r="B926" t="inlineStr">
        <is>
          <t>Nina Ricci Luna EDT Spray Collector Edition 50ml</t>
        </is>
      </c>
      <c r="C926" t="inlineStr">
        <is>
          <t>Eau De Toilette</t>
        </is>
      </c>
      <c r="D926" t="inlineStr">
        <is>
          <t>Nina Ricci</t>
        </is>
      </c>
      <c r="E926" t="n">
        <v>19.88</v>
      </c>
      <c r="F926" t="n">
        <v>1</v>
      </c>
      <c r="G926" t="n">
        <v>20</v>
      </c>
      <c r="H926" s="5">
        <f>HYPERLINK("https://api.qogita.com/variants/link/3137370347163/", "View Product")</f>
        <v/>
      </c>
    </row>
    <row r="927">
      <c r="A927" t="inlineStr">
        <is>
          <t>3137370356899</t>
        </is>
      </c>
      <c r="B927" t="inlineStr">
        <is>
          <t>Nina Collector Edition 80ml by Nina Ricci</t>
        </is>
      </c>
      <c r="C927" t="inlineStr">
        <is>
          <t>Eau De Parfum</t>
        </is>
      </c>
      <c r="D927" t="inlineStr">
        <is>
          <t>Nina Ricci</t>
        </is>
      </c>
      <c r="E927" t="n">
        <v>53.7</v>
      </c>
      <c r="F927" t="n">
        <v>1</v>
      </c>
      <c r="G927" t="n">
        <v>14</v>
      </c>
      <c r="H927" s="5">
        <f>HYPERLINK("https://api.qogita.com/variants/link/3137370356899/", "View Product")</f>
        <v/>
      </c>
    </row>
    <row r="928">
      <c r="A928" t="inlineStr">
        <is>
          <t>3137370357322</t>
        </is>
      </c>
      <c r="B928" t="inlineStr">
        <is>
          <t>Nina Ricci Nina Fleur Eau De Toilette 50ml</t>
        </is>
      </c>
      <c r="C928" t="inlineStr">
        <is>
          <t>Eau De Toilette</t>
        </is>
      </c>
      <c r="D928" t="inlineStr">
        <is>
          <t>Nina Ricci</t>
        </is>
      </c>
      <c r="E928" t="n">
        <v>25.76</v>
      </c>
      <c r="F928" t="n">
        <v>1</v>
      </c>
      <c r="G928" t="n">
        <v>14</v>
      </c>
      <c r="H928" s="5">
        <f>HYPERLINK("https://api.qogita.com/variants/link/3137370357322/", "View Product")</f>
        <v/>
      </c>
    </row>
    <row r="929">
      <c r="A929" t="inlineStr">
        <is>
          <t>3137370357636</t>
        </is>
      </c>
      <c r="B929" t="inlineStr">
        <is>
          <t>Nina Ricci Nina Eau De Toilette Spray 30ml For Women</t>
        </is>
      </c>
      <c r="C929" t="inlineStr">
        <is>
          <t>Eau De Toilette</t>
        </is>
      </c>
      <c r="D929" t="inlineStr">
        <is>
          <t>Nina Ricci</t>
        </is>
      </c>
      <c r="E929" t="n">
        <v>24.75</v>
      </c>
      <c r="F929" t="n">
        <v>1</v>
      </c>
      <c r="G929" t="n">
        <v>81</v>
      </c>
      <c r="H929" s="5">
        <f>HYPERLINK("https://api.qogita.com/variants/link/3137370357636/", "View Product")</f>
        <v/>
      </c>
    </row>
    <row r="930">
      <c r="A930" t="inlineStr">
        <is>
          <t>3137370357681</t>
        </is>
      </c>
      <c r="B930" t="inlineStr">
        <is>
          <t>Nina Ricci Nina Rouge Eau De Toilette Spray 80ml</t>
        </is>
      </c>
      <c r="C930" t="inlineStr">
        <is>
          <t>Eau De Toilette</t>
        </is>
      </c>
      <c r="D930" t="inlineStr">
        <is>
          <t>Nina Ricci</t>
        </is>
      </c>
      <c r="E930" t="n">
        <v>50.42</v>
      </c>
      <c r="F930" t="n">
        <v>1</v>
      </c>
      <c r="G930" t="n">
        <v>10</v>
      </c>
      <c r="H930" s="5">
        <f>HYPERLINK("https://api.qogita.com/variants/link/3137370357681/", "View Product")</f>
        <v/>
      </c>
    </row>
    <row r="931">
      <c r="A931" t="inlineStr">
        <is>
          <t>3137370361336</t>
        </is>
      </c>
      <c r="B931" t="inlineStr">
        <is>
          <t>Nina Illusion Eau de Parfum - Vaporisateur 80 ml</t>
        </is>
      </c>
      <c r="C931" t="inlineStr">
        <is>
          <t>Eau De Parfum</t>
        </is>
      </c>
      <c r="D931" t="inlineStr">
        <is>
          <t>‎Nina</t>
        </is>
      </c>
      <c r="E931" t="n">
        <v>92.39</v>
      </c>
      <c r="F931" t="n">
        <v>1</v>
      </c>
      <c r="G931" t="n">
        <v>3</v>
      </c>
      <c r="H931" s="5">
        <f>HYPERLINK("https://api.qogita.com/variants/link/3137370361336/", "View Product")</f>
        <v/>
      </c>
    </row>
    <row r="932">
      <c r="A932" t="inlineStr">
        <is>
          <t>3139420010126</t>
        </is>
      </c>
      <c r="B932" t="inlineStr">
        <is>
          <t>Rochas Eau De Rochas Homme Eau De Toilette Spray 100ml</t>
        </is>
      </c>
      <c r="C932" t="inlineStr">
        <is>
          <t>Eau De Toilette</t>
        </is>
      </c>
      <c r="D932" t="inlineStr">
        <is>
          <t>Rochas</t>
        </is>
      </c>
      <c r="E932" t="n">
        <v>22.92</v>
      </c>
      <c r="F932" t="n">
        <v>1</v>
      </c>
      <c r="G932" t="n">
        <v>2</v>
      </c>
      <c r="H932" s="5">
        <f>HYPERLINK("https://api.qogita.com/variants/link/3139420010126/", "View Product")</f>
        <v/>
      </c>
    </row>
    <row r="933">
      <c r="A933" t="inlineStr">
        <is>
          <t>3147758029406</t>
        </is>
      </c>
      <c r="B933" t="inlineStr">
        <is>
          <t>Lancme Miracle Eau De Parfum Spray 30 Ml A Delightful Fragrance For Women</t>
        </is>
      </c>
      <c r="C933" t="inlineStr">
        <is>
          <t>Eau De Parfum</t>
        </is>
      </c>
      <c r="D933" t="inlineStr">
        <is>
          <t>Lancôme</t>
        </is>
      </c>
      <c r="E933" t="n">
        <v>28.53</v>
      </c>
      <c r="F933" t="n">
        <v>1</v>
      </c>
      <c r="G933" t="n">
        <v>40</v>
      </c>
      <c r="H933" s="5">
        <f>HYPERLINK("https://api.qogita.com/variants/link/3147758029406/", "View Product")</f>
        <v/>
      </c>
    </row>
    <row r="934">
      <c r="A934" t="inlineStr">
        <is>
          <t>3147758030211</t>
        </is>
      </c>
      <c r="B934" t="inlineStr">
        <is>
          <t>Lancme Cleansing Makeup Remover Milk With Honey And Sweet Almond Oil 400ml For Dry Skin</t>
        </is>
      </c>
      <c r="C934" t="inlineStr">
        <is>
          <t>Cleansing Milk</t>
        </is>
      </c>
      <c r="D934" t="inlineStr">
        <is>
          <t>Lancôme</t>
        </is>
      </c>
      <c r="E934" t="n">
        <v>30.64</v>
      </c>
      <c r="F934" t="n">
        <v>1</v>
      </c>
      <c r="G934" t="n">
        <v>8</v>
      </c>
      <c r="H934" s="5">
        <f>HYPERLINK("https://api.qogita.com/variants/link/3147758030211/", "View Product")</f>
        <v/>
      </c>
    </row>
    <row r="935">
      <c r="A935" t="inlineStr">
        <is>
          <t>3147758030228</t>
        </is>
      </c>
      <c r="B935" t="inlineStr">
        <is>
          <t>Lancme Comforting Cleansing Milk Galate 200ml Cleansing Makeup Remover Milk With Honey And Sweet Almond Oil</t>
        </is>
      </c>
      <c r="C935" t="inlineStr">
        <is>
          <t>Cleansing Milk</t>
        </is>
      </c>
      <c r="D935" t="inlineStr">
        <is>
          <t>Lancôme</t>
        </is>
      </c>
      <c r="E935" t="n">
        <v>25.11</v>
      </c>
      <c r="F935" t="n">
        <v>1</v>
      </c>
      <c r="G935" t="n">
        <v>6</v>
      </c>
      <c r="H935" s="5">
        <f>HYPERLINK("https://api.qogita.com/variants/link/3147758030228/", "View Product")</f>
        <v/>
      </c>
    </row>
    <row r="936">
      <c r="A936" t="inlineStr">
        <is>
          <t>3147758034905</t>
        </is>
      </c>
      <c r="B936" t="inlineStr">
        <is>
          <t>Lancme Trsor Eau De Parfum 30ml For Women</t>
        </is>
      </c>
      <c r="C936" t="inlineStr">
        <is>
          <t>Eau De Parfum</t>
        </is>
      </c>
      <c r="D936" t="inlineStr">
        <is>
          <t>Lancôme</t>
        </is>
      </c>
      <c r="E936" t="n">
        <v>30.39</v>
      </c>
      <c r="F936" t="n">
        <v>1</v>
      </c>
      <c r="G936" t="n">
        <v>14</v>
      </c>
      <c r="H936" s="5">
        <f>HYPERLINK("https://api.qogita.com/variants/link/3147758034905/", "View Product")</f>
        <v/>
      </c>
    </row>
    <row r="937">
      <c r="A937" t="inlineStr">
        <is>
          <t>3147758034929</t>
        </is>
      </c>
      <c r="B937" t="inlineStr">
        <is>
          <t>Lancme Trsor Eau De Parfum 100ml Women's Fragrance</t>
        </is>
      </c>
      <c r="C937" t="inlineStr">
        <is>
          <t>Eau De Parfum</t>
        </is>
      </c>
      <c r="D937" t="inlineStr">
        <is>
          <t>Lancôme</t>
        </is>
      </c>
      <c r="E937" t="n">
        <v>86.02</v>
      </c>
      <c r="F937" t="n">
        <v>1</v>
      </c>
      <c r="G937" t="n">
        <v>13</v>
      </c>
      <c r="H937" s="5">
        <f>HYPERLINK("https://api.qogita.com/variants/link/3147758034929/", "View Product")</f>
        <v/>
      </c>
    </row>
    <row r="938">
      <c r="A938" t="inlineStr">
        <is>
          <t>3147758155112</t>
        </is>
      </c>
      <c r="B938" t="inlineStr">
        <is>
          <t>Lancme Pome Eau De Parfum Spray 100ml For Women</t>
        </is>
      </c>
      <c r="C938" t="inlineStr">
        <is>
          <t>Eau De Parfum</t>
        </is>
      </c>
      <c r="D938" t="inlineStr">
        <is>
          <t>Lancôme</t>
        </is>
      </c>
      <c r="E938" t="n">
        <v>60.62</v>
      </c>
      <c r="F938" t="n">
        <v>1</v>
      </c>
      <c r="G938" t="n">
        <v>165</v>
      </c>
      <c r="H938" s="5">
        <f>HYPERLINK("https://api.qogita.com/variants/link/3147758155112/", "View Product")</f>
        <v/>
      </c>
    </row>
    <row r="939">
      <c r="A939" t="inlineStr">
        <is>
          <t>3147758155341</t>
        </is>
      </c>
      <c r="B939" t="inlineStr">
        <is>
          <t>Lancome O De Lancome Eau De Toilette Spray 75ml</t>
        </is>
      </c>
      <c r="C939" t="inlineStr">
        <is>
          <t>Eau De Toilette</t>
        </is>
      </c>
      <c r="D939" t="inlineStr">
        <is>
          <t>Lancôme</t>
        </is>
      </c>
      <c r="E939" t="n">
        <v>45.6</v>
      </c>
      <c r="F939" t="n">
        <v>1</v>
      </c>
      <c r="G939" t="n">
        <v>14</v>
      </c>
      <c r="H939" s="5">
        <f>HYPERLINK("https://api.qogita.com/variants/link/3147758155341/", "View Product")</f>
        <v/>
      </c>
    </row>
    <row r="940">
      <c r="A940" t="inlineStr">
        <is>
          <t>3147758185010</t>
        </is>
      </c>
      <c r="B940" t="inlineStr">
        <is>
          <t>Lancme Dfinicils 01 Noir Infini Mascara</t>
        </is>
      </c>
      <c r="C940" t="inlineStr">
        <is>
          <t>Mascara</t>
        </is>
      </c>
      <c r="D940" t="inlineStr">
        <is>
          <t>Lancôme</t>
        </is>
      </c>
      <c r="E940" t="n">
        <v>27.4</v>
      </c>
      <c r="F940" t="n">
        <v>1</v>
      </c>
      <c r="G940" t="n">
        <v>23</v>
      </c>
      <c r="H940" s="5">
        <f>HYPERLINK("https://api.qogita.com/variants/link/3147758185010/", "View Product")</f>
        <v/>
      </c>
    </row>
    <row r="941">
      <c r="A941" t="inlineStr">
        <is>
          <t>3147758235548</t>
        </is>
      </c>
      <c r="B941" t="inlineStr">
        <is>
          <t>Lancome Hypnose Eau De Parfum Spray - Long Lasting Woody Oriental Fragrance</t>
        </is>
      </c>
      <c r="C941" t="inlineStr">
        <is>
          <t>Eau De Parfum</t>
        </is>
      </c>
      <c r="D941" t="inlineStr">
        <is>
          <t>Lancôme</t>
        </is>
      </c>
      <c r="E941" t="n">
        <v>44.1</v>
      </c>
      <c r="F941" t="n">
        <v>1</v>
      </c>
      <c r="G941" t="n">
        <v>4</v>
      </c>
      <c r="H941" s="5">
        <f>HYPERLINK("https://api.qogita.com/variants/link/3147758235548/", "View Product")</f>
        <v/>
      </c>
    </row>
    <row r="942">
      <c r="A942" t="inlineStr">
        <is>
          <t>3178040478282</t>
        </is>
      </c>
      <c r="B942" t="inlineStr">
        <is>
          <t>Scorpio Inferno Eau De Toilette</t>
        </is>
      </c>
      <c r="C942" t="inlineStr">
        <is>
          <t>Eau De Toilette</t>
        </is>
      </c>
      <c r="D942" t="inlineStr">
        <is>
          <t>Scorpio</t>
        </is>
      </c>
      <c r="E942" t="n">
        <v>10.53</v>
      </c>
      <c r="F942" t="n">
        <v>1</v>
      </c>
      <c r="G942" t="n">
        <v>39</v>
      </c>
      <c r="H942" s="5">
        <f>HYPERLINK("https://api.qogita.com/variants/link/3178040478282/", "View Product")</f>
        <v/>
      </c>
    </row>
    <row r="943">
      <c r="A943" t="inlineStr">
        <is>
          <t>3178040671843</t>
        </is>
      </c>
      <c r="B943" t="inlineStr">
        <is>
          <t>Scorpio Men's Shower Gel Collection Rouge 250ml</t>
        </is>
      </c>
      <c r="C943" t="inlineStr">
        <is>
          <t>Shower Gel</t>
        </is>
      </c>
      <c r="D943" t="inlineStr">
        <is>
          <t>Scorpio</t>
        </is>
      </c>
      <c r="E943" t="n">
        <v>2.34</v>
      </c>
      <c r="F943" t="n">
        <v>1</v>
      </c>
      <c r="G943" t="n">
        <v>117</v>
      </c>
      <c r="H943" s="5">
        <f>HYPERLINK("https://api.qogita.com/variants/link/3178040671843/", "View Product")</f>
        <v/>
      </c>
    </row>
    <row r="944">
      <c r="A944" t="inlineStr">
        <is>
          <t>3178040671867</t>
        </is>
      </c>
      <c r="B944" t="inlineStr">
        <is>
          <t>Scorpio Douche Noir Absolu Gel 250ml</t>
        </is>
      </c>
      <c r="C944" t="inlineStr">
        <is>
          <t>Intimate Care</t>
        </is>
      </c>
      <c r="D944" t="inlineStr">
        <is>
          <t>Scorpio</t>
        </is>
      </c>
      <c r="E944" t="n">
        <v>2.34</v>
      </c>
      <c r="F944" t="n">
        <v>1</v>
      </c>
      <c r="G944" t="n">
        <v>85</v>
      </c>
      <c r="H944" s="5">
        <f>HYPERLINK("https://api.qogita.com/variants/link/3178040671867/", "View Product")</f>
        <v/>
      </c>
    </row>
    <row r="945">
      <c r="A945" t="inlineStr">
        <is>
          <t>3178040689640</t>
        </is>
      </c>
      <c r="B945" t="inlineStr">
        <is>
          <t>Scorpio Men's Eau de Toilette 75ml</t>
        </is>
      </c>
      <c r="C945" t="inlineStr">
        <is>
          <t>Eau De Toilette</t>
        </is>
      </c>
      <c r="D945" t="inlineStr">
        <is>
          <t>Scorpio</t>
        </is>
      </c>
      <c r="E945" t="n">
        <v>10.51</v>
      </c>
      <c r="F945" t="n">
        <v>1</v>
      </c>
      <c r="G945" t="n">
        <v>37</v>
      </c>
      <c r="H945" s="5">
        <f>HYPERLINK("https://api.qogita.com/variants/link/3178040689640/", "View Product")</f>
        <v/>
      </c>
    </row>
    <row r="946">
      <c r="A946" t="inlineStr">
        <is>
          <t>3178040689657</t>
        </is>
      </c>
      <c r="B946" t="inlineStr">
        <is>
          <t>Scorpio Scandalous Men's Deodorant Atomizer 150ml</t>
        </is>
      </c>
      <c r="C946" t="inlineStr">
        <is>
          <t>Deodorant &amp; Anti-Perspirant</t>
        </is>
      </c>
      <c r="D946" t="inlineStr">
        <is>
          <t>Scorpio</t>
        </is>
      </c>
      <c r="E946" t="n">
        <v>3.74</v>
      </c>
      <c r="F946" t="n">
        <v>1</v>
      </c>
      <c r="G946" t="n">
        <v>140</v>
      </c>
      <c r="H946" s="5">
        <f>HYPERLINK("https://api.qogita.com/variants/link/3178040689657/", "View Product")</f>
        <v/>
      </c>
    </row>
    <row r="947">
      <c r="A947" t="inlineStr">
        <is>
          <t>3178041309745</t>
        </is>
      </c>
      <c r="B947" t="inlineStr">
        <is>
          <t>Mont St Michel Eau de Cologne Wonderful Fig Flower Notes 250ml</t>
        </is>
      </c>
      <c r="C947" t="inlineStr">
        <is>
          <t>Eau De Cologne</t>
        </is>
      </c>
      <c r="D947" t="inlineStr">
        <is>
          <t>Mont Saint Michel</t>
        </is>
      </c>
      <c r="E947" t="n">
        <v>5.21</v>
      </c>
      <c r="F947" t="n">
        <v>1</v>
      </c>
      <c r="G947" t="n">
        <v>48</v>
      </c>
      <c r="H947" s="5">
        <f>HYPERLINK("https://api.qogita.com/variants/link/3178041309745/", "View Product")</f>
        <v/>
      </c>
    </row>
    <row r="948">
      <c r="A948" t="inlineStr">
        <is>
          <t>3178041309752</t>
        </is>
      </c>
      <c r="B948" t="inlineStr">
        <is>
          <t>Mont St Michel Instant Ensoleille Cologne 250ml</t>
        </is>
      </c>
      <c r="C948" t="inlineStr">
        <is>
          <t>Eau De Cologne</t>
        </is>
      </c>
      <c r="D948" t="inlineStr">
        <is>
          <t>Mont St Michel</t>
        </is>
      </c>
      <c r="E948" t="n">
        <v>5.21</v>
      </c>
      <c r="F948" t="n">
        <v>1</v>
      </c>
      <c r="G948" t="n">
        <v>46</v>
      </c>
      <c r="H948" s="5">
        <f>HYPERLINK("https://api.qogita.com/variants/link/3178041309752/", "View Product")</f>
        <v/>
      </c>
    </row>
    <row r="949">
      <c r="A949" t="inlineStr">
        <is>
          <t>3178041315142</t>
        </is>
      </c>
      <c r="B949" t="inlineStr">
        <is>
          <t>Mont St. Michel Après l'orage Eau de Cologne 250ml</t>
        </is>
      </c>
      <c r="C949" t="inlineStr">
        <is>
          <t>Eau De Cologne</t>
        </is>
      </c>
      <c r="D949" t="inlineStr">
        <is>
          <t>Mont St Michel</t>
        </is>
      </c>
      <c r="E949" t="n">
        <v>5.21</v>
      </c>
      <c r="F949" t="n">
        <v>1</v>
      </c>
      <c r="G949" t="n">
        <v>29</v>
      </c>
      <c r="H949" s="5">
        <f>HYPERLINK("https://api.qogita.com/variants/link/3178041315142/", "View Product")</f>
        <v/>
      </c>
    </row>
    <row r="950">
      <c r="A950" t="inlineStr">
        <is>
          <t>3178041316804</t>
        </is>
      </c>
      <c r="B950" t="inlineStr">
        <is>
          <t>Scorpio Collection Sport Deodorant 150ml</t>
        </is>
      </c>
      <c r="C950" t="inlineStr">
        <is>
          <t>Deodorant &amp; Anti-Perspirant</t>
        </is>
      </c>
      <c r="D950" t="inlineStr">
        <is>
          <t>Scorpio 60</t>
        </is>
      </c>
      <c r="E950" t="n">
        <v>3.74</v>
      </c>
      <c r="F950" t="n">
        <v>1</v>
      </c>
      <c r="G950" t="n">
        <v>7</v>
      </c>
      <c r="H950" s="5">
        <f>HYPERLINK("https://api.qogita.com/variants/link/3178041316804/", "View Product")</f>
        <v/>
      </c>
    </row>
    <row r="951">
      <c r="A951" t="inlineStr">
        <is>
          <t>3178041340373</t>
        </is>
      </c>
      <c r="B951" t="inlineStr">
        <is>
          <t>Scorpio Unlimited Eau de Toilette 75ml</t>
        </is>
      </c>
      <c r="C951" t="inlineStr">
        <is>
          <t>Eau De Toilette</t>
        </is>
      </c>
      <c r="D951" t="inlineStr">
        <is>
          <t>Scorpio</t>
        </is>
      </c>
      <c r="E951" t="n">
        <v>10.53</v>
      </c>
      <c r="F951" t="n">
        <v>1</v>
      </c>
      <c r="G951" t="n">
        <v>43</v>
      </c>
      <c r="H951" s="5">
        <f>HYPERLINK("https://api.qogita.com/variants/link/3178041340373/", "View Product")</f>
        <v/>
      </c>
    </row>
    <row r="952">
      <c r="A952" t="inlineStr">
        <is>
          <t>3178048344527</t>
        </is>
      </c>
      <c r="B952" t="inlineStr">
        <is>
          <t>Scorpio Vertigo After-Shave 100ml Bottle</t>
        </is>
      </c>
      <c r="C952" t="inlineStr">
        <is>
          <t>Aftershave</t>
        </is>
      </c>
      <c r="D952" t="inlineStr">
        <is>
          <t>Scorpio</t>
        </is>
      </c>
      <c r="E952" t="n">
        <v>4.88</v>
      </c>
      <c r="F952" t="n">
        <v>1</v>
      </c>
      <c r="G952" t="n">
        <v>80</v>
      </c>
      <c r="H952" s="5">
        <f>HYPERLINK("https://api.qogita.com/variants/link/3178048344527/", "View Product")</f>
        <v/>
      </c>
    </row>
    <row r="953">
      <c r="A953" t="inlineStr">
        <is>
          <t>3253581680544</t>
        </is>
      </c>
      <c r="B953" t="inlineStr">
        <is>
          <t>L'Occitane Shea Verbena Soap 250g Extra Gentle Soap With Shea Butter And Verbena</t>
        </is>
      </c>
      <c r="C953" t="inlineStr">
        <is>
          <t>Soap</t>
        </is>
      </c>
      <c r="D953" t="inlineStr">
        <is>
          <t>L'Occitane</t>
        </is>
      </c>
      <c r="E953" t="n">
        <v>6.57</v>
      </c>
      <c r="F953" t="n">
        <v>1</v>
      </c>
      <c r="G953" t="n">
        <v>28</v>
      </c>
      <c r="H953" s="5">
        <f>HYPERLINK("https://api.qogita.com/variants/link/3253581680544/", "View Product")</f>
        <v/>
      </c>
    </row>
    <row r="954">
      <c r="A954" t="inlineStr">
        <is>
          <t>3253581760369</t>
        </is>
      </c>
      <c r="B954" t="inlineStr">
        <is>
          <t>L'Occitane En Provence Purifying Fresh Rebalancing Scalp Essence 75 Ml For Normal To Oily Hair</t>
        </is>
      </c>
      <c r="C954" t="inlineStr">
        <is>
          <t>Scalp Care</t>
        </is>
      </c>
      <c r="D954" t="inlineStr">
        <is>
          <t>L'Occitane</t>
        </is>
      </c>
      <c r="E954" t="n">
        <v>18.07</v>
      </c>
      <c r="F954" t="n">
        <v>1</v>
      </c>
      <c r="G954" t="n">
        <v>5</v>
      </c>
      <c r="H954" s="5">
        <f>HYPERLINK("https://api.qogita.com/variants/link/3253581760369/", "View Product")</f>
        <v/>
      </c>
    </row>
    <row r="955">
      <c r="A955" t="inlineStr">
        <is>
          <t>3253581762868</t>
        </is>
      </c>
      <c r="B955" t="inlineStr">
        <is>
          <t>L'Occitane Immortelle Divine Youth Oil 1.00 fl. oz</t>
        </is>
      </c>
      <c r="C955" t="inlineStr">
        <is>
          <t>Facial Oil</t>
        </is>
      </c>
      <c r="D955" t="inlineStr">
        <is>
          <t>L'Occitane</t>
        </is>
      </c>
      <c r="E955" t="n">
        <v>62.03</v>
      </c>
      <c r="F955" t="n">
        <v>1</v>
      </c>
      <c r="G955" t="n">
        <v>4</v>
      </c>
      <c r="H955" s="5">
        <f>HYPERLINK("https://api.qogita.com/variants/link/3253581762868/", "View Product")</f>
        <v/>
      </c>
    </row>
    <row r="956">
      <c r="A956" t="inlineStr">
        <is>
          <t>3253581763162</t>
        </is>
      </c>
      <c r="B956" t="inlineStr">
        <is>
          <t>L'OCCITANE Immortelle Precious Cleansing Oil 200ml Makeup Remover for All Skin Types</t>
        </is>
      </c>
      <c r="C956" t="inlineStr">
        <is>
          <t>Cleansing Oil</t>
        </is>
      </c>
      <c r="D956" t="inlineStr">
        <is>
          <t>L'Occitane</t>
        </is>
      </c>
      <c r="E956" t="n">
        <v>16.42</v>
      </c>
      <c r="F956" t="n">
        <v>1</v>
      </c>
      <c r="G956" t="n">
        <v>27</v>
      </c>
      <c r="H956" s="5">
        <f>HYPERLINK("https://api.qogita.com/variants/link/3253581763162/", "View Product")</f>
        <v/>
      </c>
    </row>
    <row r="957">
      <c r="A957" t="inlineStr">
        <is>
          <t>3253581764572</t>
        </is>
      </c>
      <c r="B957" t="inlineStr">
        <is>
          <t>L'OCCITANE Verbena Cooling Hand Cream Gel 75ml</t>
        </is>
      </c>
      <c r="C957" t="inlineStr">
        <is>
          <t>Hand Cream</t>
        </is>
      </c>
      <c r="D957" t="inlineStr">
        <is>
          <t>L'Occitane</t>
        </is>
      </c>
      <c r="E957" t="n">
        <v>11.89</v>
      </c>
      <c r="F957" t="n">
        <v>1</v>
      </c>
      <c r="G957" t="n">
        <v>2</v>
      </c>
      <c r="H957" s="5">
        <f>HYPERLINK("https://api.qogita.com/variants/link/3253581764572/", "View Product")</f>
        <v/>
      </c>
    </row>
    <row r="958">
      <c r="A958" t="inlineStr">
        <is>
          <t>3253581764657</t>
        </is>
      </c>
      <c r="B958" t="inlineStr">
        <is>
          <t>L'Occitane Almond Delicious Hands Cream 30ml</t>
        </is>
      </c>
      <c r="C958" t="inlineStr">
        <is>
          <t>Hand Cream</t>
        </is>
      </c>
      <c r="D958" t="inlineStr">
        <is>
          <t>L'Occitane</t>
        </is>
      </c>
      <c r="E958" t="n">
        <v>6.58</v>
      </c>
      <c r="F958" t="n">
        <v>1</v>
      </c>
      <c r="G958" t="n">
        <v>47</v>
      </c>
      <c r="H958" s="5">
        <f>HYPERLINK("https://api.qogita.com/variants/link/3253581764657/", "View Product")</f>
        <v/>
      </c>
    </row>
    <row r="959">
      <c r="A959" t="inlineStr">
        <is>
          <t>3253581764701</t>
        </is>
      </c>
      <c r="B959" t="inlineStr">
        <is>
          <t>L'Occitane Almond Milk Concentrate 48 Hour Hydration Visibly Firm &amp; Soften</t>
        </is>
      </c>
      <c r="C959" t="inlineStr">
        <is>
          <t>Body Lotion</t>
        </is>
      </c>
      <c r="D959" t="inlineStr">
        <is>
          <t>L'Occitane</t>
        </is>
      </c>
      <c r="E959" t="n">
        <v>34.31</v>
      </c>
      <c r="F959" t="n">
        <v>1</v>
      </c>
      <c r="G959" t="n">
        <v>37</v>
      </c>
      <c r="H959" s="5">
        <f>HYPERLINK("https://api.qogita.com/variants/link/3253581764701/", "View Product")</f>
        <v/>
      </c>
    </row>
    <row r="960">
      <c r="A960" t="inlineStr">
        <is>
          <t>3253581767542</t>
        </is>
      </c>
      <c r="B960" t="inlineStr">
        <is>
          <t>L'Occitane En Provence Extra-Gentle Lotion 300 Ml For Hands And Body</t>
        </is>
      </c>
      <c r="C960" t="inlineStr">
        <is>
          <t>Body Lotion</t>
        </is>
      </c>
      <c r="D960" t="inlineStr">
        <is>
          <t>L'Occitane</t>
        </is>
      </c>
      <c r="E960" t="n">
        <v>20.7</v>
      </c>
      <c r="F960" t="n">
        <v>1</v>
      </c>
      <c r="G960" t="n">
        <v>15</v>
      </c>
      <c r="H960" s="5">
        <f>HYPERLINK("https://api.qogita.com/variants/link/3253581767542/", "View Product")</f>
        <v/>
      </c>
    </row>
    <row r="961">
      <c r="A961" t="inlineStr">
        <is>
          <t>3253581768891</t>
        </is>
      </c>
      <c r="B961" t="inlineStr">
        <is>
          <t>L'Occitane Homme Cade Face Cleanser 150ml - Aromatic Woody Scent - Vegan</t>
        </is>
      </c>
      <c r="C961" t="inlineStr">
        <is>
          <t>Cleansing Foam</t>
        </is>
      </c>
      <c r="D961" t="inlineStr">
        <is>
          <t>L'Occitane</t>
        </is>
      </c>
      <c r="E961" t="n">
        <v>18.86</v>
      </c>
      <c r="F961" t="n">
        <v>1</v>
      </c>
      <c r="G961" t="n">
        <v>5</v>
      </c>
      <c r="H961" s="5">
        <f>HYPERLINK("https://api.qogita.com/variants/link/3253581768891/", "View Product")</f>
        <v/>
      </c>
    </row>
    <row r="962">
      <c r="A962" t="inlineStr">
        <is>
          <t>3253581769034</t>
        </is>
      </c>
      <c r="B962" t="inlineStr">
        <is>
          <t>L'OCCITANE Eau de Cedrat Eau de Toilette 75ml Citrus Fragrance for Men</t>
        </is>
      </c>
      <c r="C962" t="inlineStr">
        <is>
          <t>Eau De Toilette</t>
        </is>
      </c>
      <c r="D962" t="inlineStr">
        <is>
          <t>L'Occitane</t>
        </is>
      </c>
      <c r="E962" t="n">
        <v>45.89</v>
      </c>
      <c r="F962" t="n">
        <v>1</v>
      </c>
      <c r="G962" t="n">
        <v>3</v>
      </c>
      <c r="H962" s="5">
        <f>HYPERLINK("https://api.qogita.com/variants/link/3253581769034/", "View Product")</f>
        <v/>
      </c>
    </row>
    <row r="963">
      <c r="A963" t="inlineStr">
        <is>
          <t>3253581770399</t>
        </is>
      </c>
      <c r="B963" t="inlineStr">
        <is>
          <t>L'Occitane Lavender Hand Cream 30ml</t>
        </is>
      </c>
      <c r="C963" t="inlineStr">
        <is>
          <t>Hand Cream</t>
        </is>
      </c>
      <c r="D963" t="inlineStr">
        <is>
          <t>L'Occitane</t>
        </is>
      </c>
      <c r="E963" t="n">
        <v>5.88</v>
      </c>
      <c r="F963" t="n">
        <v>1</v>
      </c>
      <c r="G963" t="n">
        <v>27</v>
      </c>
      <c r="H963" s="5">
        <f>HYPERLINK("https://api.qogita.com/variants/link/3253581770399/", "View Product")</f>
        <v/>
      </c>
    </row>
    <row r="964">
      <c r="A964" t="inlineStr">
        <is>
          <t>3253581775202</t>
        </is>
      </c>
      <c r="B964" t="inlineStr">
        <is>
          <t>L'Occitane Almond Discovery Set</t>
        </is>
      </c>
      <c r="C964" t="inlineStr">
        <is>
          <t>Body Care Sets</t>
        </is>
      </c>
      <c r="D964" t="inlineStr">
        <is>
          <t>L'Occitane</t>
        </is>
      </c>
      <c r="E964" t="n">
        <v>15.86</v>
      </c>
      <c r="F964" t="n">
        <v>1</v>
      </c>
      <c r="G964" t="n">
        <v>35</v>
      </c>
      <c r="H964" s="5">
        <f>HYPERLINK("https://api.qogita.com/variants/link/3253581775202/", "View Product")</f>
        <v/>
      </c>
    </row>
    <row r="965">
      <c r="A965" t="inlineStr">
        <is>
          <t>3253581775448</t>
        </is>
      </c>
      <c r="B965" t="inlineStr">
        <is>
          <t>L'Occitane Shea Set - Hand Cream And Lip Balm</t>
        </is>
      </c>
      <c r="C965" t="inlineStr">
        <is>
          <t>Hand Care Sets</t>
        </is>
      </c>
      <c r="D965" t="inlineStr">
        <is>
          <t>L'Occitane</t>
        </is>
      </c>
      <c r="E965" t="n">
        <v>13.59</v>
      </c>
      <c r="F965" t="n">
        <v>1</v>
      </c>
      <c r="G965" t="n">
        <v>49</v>
      </c>
      <c r="H965" s="5">
        <f>HYPERLINK("https://api.qogita.com/variants/link/3253581775448/", "View Product")</f>
        <v/>
      </c>
    </row>
    <row r="966">
      <c r="A966" t="inlineStr">
        <is>
          <t>3253581779132</t>
        </is>
      </c>
      <c r="B966" t="inlineStr">
        <is>
          <t>L'OCCITANE Almond Milk Veil 240ml Nourishing Softening Toning Premium Clean Beauty Skincare All Skin Types</t>
        </is>
      </c>
      <c r="C966" t="inlineStr">
        <is>
          <t>Body Lotion</t>
        </is>
      </c>
      <c r="D966" t="inlineStr">
        <is>
          <t>L'Occitane</t>
        </is>
      </c>
      <c r="E966" t="n">
        <v>23.91</v>
      </c>
      <c r="F966" t="n">
        <v>1</v>
      </c>
      <c r="G966" t="n">
        <v>57</v>
      </c>
      <c r="H966" s="5">
        <f>HYPERLINK("https://api.qogita.com/variants/link/3253581779132/", "View Product")</f>
        <v/>
      </c>
    </row>
    <row r="967">
      <c r="A967" t="inlineStr">
        <is>
          <t>3253581779347</t>
        </is>
      </c>
      <c r="B967" t="inlineStr">
        <is>
          <t>L'Occitane Anti-Hair Loss Serum</t>
        </is>
      </c>
      <c r="C967" t="inlineStr">
        <is>
          <t>Hair Oil &amp; Hair Serum</t>
        </is>
      </c>
      <c r="D967" t="inlineStr">
        <is>
          <t>L'Occitane</t>
        </is>
      </c>
      <c r="E967" t="n">
        <v>24.32</v>
      </c>
      <c r="F967" t="n">
        <v>1</v>
      </c>
      <c r="G967" t="n">
        <v>12</v>
      </c>
      <c r="H967" s="5">
        <f>HYPERLINK("https://api.qogita.com/variants/link/3253581779347/", "View Product")</f>
        <v/>
      </c>
    </row>
    <row r="968">
      <c r="A968" t="inlineStr">
        <is>
          <t>3253581862117</t>
        </is>
      </c>
      <c r="B968" t="inlineStr">
        <is>
          <t>L'Occitane En Provence Provence Beauty Set Body Care Gift Set</t>
        </is>
      </c>
      <c r="C968" t="inlineStr">
        <is>
          <t>Body Care Sets</t>
        </is>
      </c>
      <c r="D968" t="inlineStr">
        <is>
          <t>L'Occitane</t>
        </is>
      </c>
      <c r="E968" t="n">
        <v>26.58</v>
      </c>
      <c r="F968" t="n">
        <v>1</v>
      </c>
      <c r="G968" t="n">
        <v>32</v>
      </c>
      <c r="H968" s="5">
        <f>HYPERLINK("https://api.qogita.com/variants/link/3253581862117/", "View Product")</f>
        <v/>
      </c>
    </row>
    <row r="969">
      <c r="A969" t="inlineStr">
        <is>
          <t>3253581866658</t>
        </is>
      </c>
      <c r="B969" t="inlineStr">
        <is>
          <t>L'Occitane Shea Immortelle Youth Hand Cream 5.50 Oz</t>
        </is>
      </c>
      <c r="C969" t="inlineStr">
        <is>
          <t>Hand Cream</t>
        </is>
      </c>
      <c r="D969" t="inlineStr">
        <is>
          <t>L'Occitane</t>
        </is>
      </c>
      <c r="E969" t="n">
        <v>33.43</v>
      </c>
      <c r="F969" t="n">
        <v>1</v>
      </c>
      <c r="G969" t="n">
        <v>11</v>
      </c>
      <c r="H969" s="5">
        <f>HYPERLINK("https://api.qogita.com/variants/link/3253581866658/", "View Product")</f>
        <v/>
      </c>
    </row>
    <row r="970">
      <c r="A970" t="inlineStr">
        <is>
          <t>3259550301502</t>
        </is>
      </c>
      <c r="B970" t="inlineStr">
        <is>
          <t>Excellence Crème Somptueuse 30ml</t>
        </is>
      </c>
      <c r="C970" t="inlineStr">
        <is>
          <t>Face Cream</t>
        </is>
      </c>
      <c r="D970" t="inlineStr">
        <is>
          <t>Eisenberg</t>
        </is>
      </c>
      <c r="E970" t="n">
        <v>54.13</v>
      </c>
      <c r="F970" t="n">
        <v>1</v>
      </c>
      <c r="G970" t="n">
        <v>14</v>
      </c>
      <c r="H970" s="5">
        <f>HYPERLINK("https://api.qogita.com/variants/link/3259550301502/", "View Product")</f>
        <v/>
      </c>
    </row>
    <row r="971">
      <c r="A971" t="inlineStr">
        <is>
          <t>3259550303308</t>
        </is>
      </c>
      <c r="B971" t="inlineStr">
        <is>
          <t>Eye &amp; Lip Contour Cream 30ml</t>
        </is>
      </c>
      <c r="C971" t="inlineStr">
        <is>
          <t>Eye Cream</t>
        </is>
      </c>
      <c r="D971" t="inlineStr">
        <is>
          <t>Eisenberg</t>
        </is>
      </c>
      <c r="E971" t="n">
        <v>40.92</v>
      </c>
      <c r="F971" t="n">
        <v>1</v>
      </c>
      <c r="G971" t="n">
        <v>17</v>
      </c>
      <c r="H971" s="5">
        <f>HYPERLINK("https://api.qogita.com/variants/link/3259550303308/", "View Product")</f>
        <v/>
      </c>
    </row>
    <row r="972">
      <c r="A972" t="inlineStr">
        <is>
          <t>3259550502374</t>
        </is>
      </c>
      <c r="B972" t="inlineStr">
        <is>
          <t>EISENBERG Le Correcteur Lumière Blanc 50ml</t>
        </is>
      </c>
      <c r="C972" t="inlineStr">
        <is>
          <t>Face Cream</t>
        </is>
      </c>
      <c r="D972" t="inlineStr">
        <is>
          <t>Eisenberg</t>
        </is>
      </c>
      <c r="E972" t="n">
        <v>92.98999999999999</v>
      </c>
      <c r="F972" t="n">
        <v>1</v>
      </c>
      <c r="G972" t="n">
        <v>4</v>
      </c>
      <c r="H972" s="5">
        <f>HYPERLINK("https://api.qogita.com/variants/link/3259550502374/", "View Product")</f>
        <v/>
      </c>
    </row>
    <row r="973">
      <c r="A973" t="inlineStr">
        <is>
          <t>3259550503210</t>
        </is>
      </c>
      <c r="B973" t="inlineStr">
        <is>
          <t>Eisenberg Face Care Refining Serum 50ml</t>
        </is>
      </c>
      <c r="C973" t="inlineStr">
        <is>
          <t>Glow Serum</t>
        </is>
      </c>
      <c r="D973" t="inlineStr">
        <is>
          <t>Eisenberg</t>
        </is>
      </c>
      <c r="E973" t="n">
        <v>47.06</v>
      </c>
      <c r="F973" t="n">
        <v>1</v>
      </c>
      <c r="G973" t="n">
        <v>2</v>
      </c>
      <c r="H973" s="5">
        <f>HYPERLINK("https://api.qogita.com/variants/link/3259550503210/", "View Product")</f>
        <v/>
      </c>
    </row>
    <row r="974">
      <c r="A974" t="inlineStr">
        <is>
          <t>3259550504309</t>
        </is>
      </c>
      <c r="B974" t="inlineStr">
        <is>
          <t>Face Care by Eisenberg Hydra Lifting 50ml</t>
        </is>
      </c>
      <c r="C974" t="inlineStr">
        <is>
          <t>Anti-Aging Facial Care</t>
        </is>
      </c>
      <c r="D974" t="inlineStr">
        <is>
          <t>Eisenberg</t>
        </is>
      </c>
      <c r="E974" t="n">
        <v>69.76000000000001</v>
      </c>
      <c r="F974" t="n">
        <v>1</v>
      </c>
      <c r="G974" t="n">
        <v>31</v>
      </c>
      <c r="H974" s="5">
        <f>HYPERLINK("https://api.qogita.com/variants/link/3259550504309/", "View Product")</f>
        <v/>
      </c>
    </row>
    <row r="975">
      <c r="A975" t="inlineStr">
        <is>
          <t>3259550508734</t>
        </is>
      </c>
      <c r="B975" t="inlineStr">
        <is>
          <t>Eisenberg Hydra Antipollution Defence Mask 50ml</t>
        </is>
      </c>
      <c r="C975" t="inlineStr">
        <is>
          <t>Hydrating Mask</t>
        </is>
      </c>
      <c r="D975" t="inlineStr">
        <is>
          <t>Eisenberg</t>
        </is>
      </c>
      <c r="E975" t="n">
        <v>34.53</v>
      </c>
      <c r="F975" t="n">
        <v>1</v>
      </c>
      <c r="G975" t="n">
        <v>5</v>
      </c>
      <c r="H975" s="5">
        <f>HYPERLINK("https://api.qogita.com/variants/link/3259550508734/", "View Product")</f>
        <v/>
      </c>
    </row>
    <row r="976">
      <c r="A976" t="inlineStr">
        <is>
          <t>3259550754803</t>
        </is>
      </c>
      <c r="B976" t="inlineStr">
        <is>
          <t>Homme Baume Essentiel Hydratant 75ml</t>
        </is>
      </c>
      <c r="C976" t="inlineStr">
        <is>
          <t>Face Cream</t>
        </is>
      </c>
      <c r="D976" t="inlineStr">
        <is>
          <t>Eisenberg</t>
        </is>
      </c>
      <c r="E976" t="n">
        <v>32.55</v>
      </c>
      <c r="F976" t="n">
        <v>1</v>
      </c>
      <c r="G976" t="n">
        <v>15</v>
      </c>
      <c r="H976" s="5">
        <f>HYPERLINK("https://api.qogita.com/variants/link/3259550754803/", "View Product")</f>
        <v/>
      </c>
    </row>
    <row r="977">
      <c r="A977" t="inlineStr">
        <is>
          <t>3282770055092</t>
        </is>
      </c>
      <c r="B977" t="inlineStr">
        <is>
          <t>Ducray Sensinol Soothing Lotion - 200ml</t>
        </is>
      </c>
      <c r="C977" t="inlineStr">
        <is>
          <t>Body Care</t>
        </is>
      </c>
      <c r="D977" t="inlineStr">
        <is>
          <t>Ducray</t>
        </is>
      </c>
      <c r="E977" t="n">
        <v>13.12</v>
      </c>
      <c r="F977" t="n">
        <v>1</v>
      </c>
      <c r="G977" t="n">
        <v>2</v>
      </c>
      <c r="H977" s="5">
        <f>HYPERLINK("https://api.qogita.com/variants/link/3282770055092/", "View Product")</f>
        <v/>
      </c>
    </row>
    <row r="978">
      <c r="A978" t="inlineStr">
        <is>
          <t>3282770075526</t>
        </is>
      </c>
      <c r="B978" t="inlineStr">
        <is>
          <t>Ducray Anaphase+ Shampoo Against Hair Loss 400ml</t>
        </is>
      </c>
      <c r="C978" t="inlineStr">
        <is>
          <t>Shampoo</t>
        </is>
      </c>
      <c r="D978" t="inlineStr">
        <is>
          <t>Ducray</t>
        </is>
      </c>
      <c r="E978" t="n">
        <v>16.13</v>
      </c>
      <c r="F978" t="n">
        <v>1</v>
      </c>
      <c r="G978" t="n">
        <v>4</v>
      </c>
      <c r="H978" s="5">
        <f>HYPERLINK("https://api.qogita.com/variants/link/3282770075526/", "View Product")</f>
        <v/>
      </c>
    </row>
    <row r="979">
      <c r="A979" t="inlineStr">
        <is>
          <t>3282770100549</t>
        </is>
      </c>
      <c r="B979" t="inlineStr">
        <is>
          <t>Avene Couvrance Fluid Foundation Corrector Spf 20 30 Ml</t>
        </is>
      </c>
      <c r="C979" t="inlineStr">
        <is>
          <t>Foundation</t>
        </is>
      </c>
      <c r="D979" t="inlineStr">
        <is>
          <t>Avène</t>
        </is>
      </c>
      <c r="E979" t="n">
        <v>21.48</v>
      </c>
      <c r="F979" t="n">
        <v>1</v>
      </c>
      <c r="G979" t="n">
        <v>2</v>
      </c>
      <c r="H979" s="5">
        <f>HYPERLINK("https://api.qogita.com/variants/link/3282770100549/", "View Product")</f>
        <v/>
      </c>
    </row>
    <row r="980">
      <c r="A980" t="inlineStr">
        <is>
          <t>3282770114478</t>
        </is>
      </c>
      <c r="B980" t="inlineStr">
        <is>
          <t>Okara by Rene Furterer Blonde Radiance Ritual Brightening Conditioner 250ml</t>
        </is>
      </c>
      <c r="C980" t="inlineStr">
        <is>
          <t>Conditioner</t>
        </is>
      </c>
      <c r="D980" t="inlineStr">
        <is>
          <t>Rene Furterer</t>
        </is>
      </c>
      <c r="E980" t="n">
        <v>27.35</v>
      </c>
      <c r="F980" t="n">
        <v>1</v>
      </c>
      <c r="G980" t="n">
        <v>8</v>
      </c>
      <c r="H980" s="5">
        <f>HYPERLINK("https://api.qogita.com/variants/link/3282770114478/", "View Product")</f>
        <v/>
      </c>
    </row>
    <row r="981">
      <c r="A981" t="inlineStr">
        <is>
          <t>3282770138856</t>
        </is>
      </c>
      <c r="B981" t="inlineStr">
        <is>
          <t>Avene Tolerance Control Soothing Skin Recovery Balm 40ml</t>
        </is>
      </c>
      <c r="C981" t="inlineStr">
        <is>
          <t>Face Cream</t>
        </is>
      </c>
      <c r="D981" t="inlineStr">
        <is>
          <t>Avène</t>
        </is>
      </c>
      <c r="E981" t="n">
        <v>20.18</v>
      </c>
      <c r="F981" t="n">
        <v>1</v>
      </c>
      <c r="G981" t="n">
        <v>2</v>
      </c>
      <c r="H981" s="5">
        <f>HYPERLINK("https://api.qogita.com/variants/link/3282770138856/", "View Product")</f>
        <v/>
      </c>
    </row>
    <row r="982">
      <c r="A982" t="inlineStr">
        <is>
          <t>3282770140804</t>
        </is>
      </c>
      <c r="B982" t="inlineStr">
        <is>
          <t>Ren Furterer Tonucia Natural Filler Plumping Shampoo 200ml</t>
        </is>
      </c>
      <c r="C982" t="inlineStr">
        <is>
          <t>Shampoo</t>
        </is>
      </c>
      <c r="D982" t="inlineStr">
        <is>
          <t>Rene Furterer</t>
        </is>
      </c>
      <c r="E982" t="n">
        <v>14.94</v>
      </c>
      <c r="F982" t="n">
        <v>1</v>
      </c>
      <c r="G982" t="n">
        <v>8</v>
      </c>
      <c r="H982" s="5">
        <f>HYPERLINK("https://api.qogita.com/variants/link/3282770140804/", "View Product")</f>
        <v/>
      </c>
    </row>
    <row r="983">
      <c r="A983" t="inlineStr">
        <is>
          <t>3282770142112</t>
        </is>
      </c>
      <c r="B983" t="inlineStr">
        <is>
          <t>Avène Cold Cream Nourishing Lip Balm 4g</t>
        </is>
      </c>
      <c r="C983" t="inlineStr">
        <is>
          <t>Lip Balm</t>
        </is>
      </c>
      <c r="D983" t="inlineStr">
        <is>
          <t>Avène</t>
        </is>
      </c>
      <c r="E983" t="n">
        <v>6.9</v>
      </c>
      <c r="F983" t="n">
        <v>1</v>
      </c>
      <c r="G983" t="n">
        <v>2</v>
      </c>
      <c r="H983" s="5">
        <f>HYPERLINK("https://api.qogita.com/variants/link/3282770142112/", "View Product")</f>
        <v/>
      </c>
    </row>
    <row r="984">
      <c r="A984" t="inlineStr">
        <is>
          <t>3282770143683</t>
        </is>
      </c>
      <c r="B984" t="inlineStr">
        <is>
          <t>Aderma Dermalibour Cica Lip Balm 15ml Repairing Lip Balm</t>
        </is>
      </c>
      <c r="C984" t="inlineStr">
        <is>
          <t>Medicated Treatments</t>
        </is>
      </c>
      <c r="D984" t="inlineStr">
        <is>
          <t>A-Derma</t>
        </is>
      </c>
      <c r="E984" t="n">
        <v>7</v>
      </c>
      <c r="F984" t="n">
        <v>1</v>
      </c>
      <c r="G984" t="n">
        <v>5</v>
      </c>
      <c r="H984" s="5">
        <f>HYPERLINK("https://api.qogita.com/variants/link/3282770143683/", "View Product")</f>
        <v/>
      </c>
    </row>
    <row r="985">
      <c r="A985" t="inlineStr">
        <is>
          <t>3282770143843</t>
        </is>
      </c>
      <c r="B985" t="inlineStr">
        <is>
          <t>Klorane Tiare Flower Shower Gel 200ml Nourishing Shower Gel</t>
        </is>
      </c>
      <c r="C985" t="inlineStr">
        <is>
          <t>Shower Gel</t>
        </is>
      </c>
      <c r="D985" t="inlineStr">
        <is>
          <t>Klorane</t>
        </is>
      </c>
      <c r="E985" t="n">
        <v>6.75</v>
      </c>
      <c r="F985" t="n">
        <v>1</v>
      </c>
      <c r="G985" t="n">
        <v>11</v>
      </c>
      <c r="H985" s="5">
        <f>HYPERLINK("https://api.qogita.com/variants/link/3282770143843/", "View Product")</f>
        <v/>
      </c>
    </row>
    <row r="986">
      <c r="A986" t="inlineStr">
        <is>
          <t>3282770145175</t>
        </is>
      </c>
      <c r="B986" t="inlineStr">
        <is>
          <t>Ducray Keracnyl Uv Spf 50 Cream 50ml Effective Sunscreen For Imperfections</t>
        </is>
      </c>
      <c r="C986" t="inlineStr">
        <is>
          <t>Face Sun Protection</t>
        </is>
      </c>
      <c r="D986" t="inlineStr">
        <is>
          <t>Ducray</t>
        </is>
      </c>
      <c r="E986" t="n">
        <v>14.18</v>
      </c>
      <c r="F986" t="n">
        <v>1</v>
      </c>
      <c r="G986" t="n">
        <v>8</v>
      </c>
      <c r="H986" s="5">
        <f>HYPERLINK("https://api.qogita.com/variants/link/3282770145175/", "View Product")</f>
        <v/>
      </c>
    </row>
    <row r="987">
      <c r="A987" t="inlineStr">
        <is>
          <t>3282770145236</t>
        </is>
      </c>
      <c r="B987" t="inlineStr">
        <is>
          <t>Klorane Reflection Shampoo With Centaurea Extract 200ml Neutralizes Yellow Tones For White Gray And Platinum Blonde Hair</t>
        </is>
      </c>
      <c r="C987" t="inlineStr">
        <is>
          <t>Shampoo</t>
        </is>
      </c>
      <c r="D987" t="inlineStr">
        <is>
          <t>Klorane</t>
        </is>
      </c>
      <c r="E987" t="n">
        <v>9.359999999999999</v>
      </c>
      <c r="F987" t="n">
        <v>1</v>
      </c>
      <c r="G987" t="n">
        <v>31</v>
      </c>
      <c r="H987" s="5">
        <f>HYPERLINK("https://api.qogita.com/variants/link/3282770145236/", "View Product")</f>
        <v/>
      </c>
    </row>
    <row r="988">
      <c r="A988" t="inlineStr">
        <is>
          <t>3282770145779</t>
        </is>
      </c>
      <c r="B988" t="inlineStr">
        <is>
          <t>Avne Nourishing And Protective Cream For Dry To Very Dry Hand Skin Cold Cream 50 Ml</t>
        </is>
      </c>
      <c r="C988" t="inlineStr">
        <is>
          <t>Hand Cream</t>
        </is>
      </c>
      <c r="D988" t="inlineStr">
        <is>
          <t>Avène</t>
        </is>
      </c>
      <c r="E988" t="n">
        <v>8.34</v>
      </c>
      <c r="F988" t="n">
        <v>1</v>
      </c>
      <c r="G988" t="n">
        <v>41</v>
      </c>
      <c r="H988" s="5">
        <f>HYPERLINK("https://api.qogita.com/variants/link/3282770145779/", "View Product")</f>
        <v/>
      </c>
    </row>
    <row r="989">
      <c r="A989" t="inlineStr">
        <is>
          <t>3282770146073</t>
        </is>
      </c>
      <c r="B989" t="inlineStr">
        <is>
          <t>Couvrance Compact Cream Makeup Base In Honey - 85 Grams</t>
        </is>
      </c>
      <c r="C989" t="inlineStr">
        <is>
          <t>Foundation</t>
        </is>
      </c>
      <c r="D989" t="inlineStr">
        <is>
          <t>Couvrance</t>
        </is>
      </c>
      <c r="E989" t="n">
        <v>24.28</v>
      </c>
      <c r="F989" t="n">
        <v>1</v>
      </c>
      <c r="G989" t="n">
        <v>10</v>
      </c>
      <c r="H989" s="5">
        <f>HYPERLINK("https://api.qogita.com/variants/link/3282770146073/", "View Product")</f>
        <v/>
      </c>
    </row>
    <row r="990">
      <c r="A990" t="inlineStr">
        <is>
          <t>3282770148886</t>
        </is>
      </c>
      <c r="B990" t="inlineStr">
        <is>
          <t>NEOPUR Anti-Dandruff Balancing Shampoo 250ml</t>
        </is>
      </c>
      <c r="C990" t="inlineStr">
        <is>
          <t>Shampoo</t>
        </is>
      </c>
      <c r="D990" t="inlineStr">
        <is>
          <t>Rene Furterer</t>
        </is>
      </c>
      <c r="E990" t="n">
        <v>19.32</v>
      </c>
      <c r="F990" t="n">
        <v>1</v>
      </c>
      <c r="G990" t="n">
        <v>3</v>
      </c>
      <c r="H990" s="5">
        <f>HYPERLINK("https://api.qogita.com/variants/link/3282770148886/", "View Product")</f>
        <v/>
      </c>
    </row>
    <row r="991">
      <c r="A991" t="inlineStr">
        <is>
          <t>3282770148923</t>
        </is>
      </c>
      <c r="B991" t="inlineStr">
        <is>
          <t>Rene Furterer Neopur Oily Scalp Dandruff Shampoo 150ml</t>
        </is>
      </c>
      <c r="C991" t="inlineStr">
        <is>
          <t>Shampoo</t>
        </is>
      </c>
      <c r="D991" t="inlineStr">
        <is>
          <t>Rene Furterer</t>
        </is>
      </c>
      <c r="E991" t="n">
        <v>12.62</v>
      </c>
      <c r="F991" t="n">
        <v>1</v>
      </c>
      <c r="G991" t="n">
        <v>5</v>
      </c>
      <c r="H991" s="5">
        <f>HYPERLINK("https://api.qogita.com/variants/link/3282770148923/", "View Product")</f>
        <v/>
      </c>
    </row>
    <row r="992">
      <c r="A992" t="inlineStr">
        <is>
          <t>3282770149401</t>
        </is>
      </c>
      <c r="B992" t="inlineStr">
        <is>
          <t>Avene Cold Cream Nourishing Lip Balm 4g - Pack of 2</t>
        </is>
      </c>
      <c r="C992" t="inlineStr">
        <is>
          <t>Medicated Treatments</t>
        </is>
      </c>
      <c r="D992" t="inlineStr">
        <is>
          <t>Avène</t>
        </is>
      </c>
      <c r="E992" t="n">
        <v>12.31</v>
      </c>
      <c r="F992" t="n">
        <v>1</v>
      </c>
      <c r="G992" t="n">
        <v>5</v>
      </c>
      <c r="H992" s="5">
        <f>HYPERLINK("https://api.qogita.com/variants/link/3282770149401/", "View Product")</f>
        <v/>
      </c>
    </row>
    <row r="993">
      <c r="A993" t="inlineStr">
        <is>
          <t>3282770149616</t>
        </is>
      </c>
      <c r="B993" t="inlineStr">
        <is>
          <t>Klorane Lemon Purifying Shampoo For Normal To Oily Hair 200ml</t>
        </is>
      </c>
      <c r="C993" t="inlineStr">
        <is>
          <t>Shampoo</t>
        </is>
      </c>
      <c r="D993" t="inlineStr">
        <is>
          <t>Klorane</t>
        </is>
      </c>
      <c r="E993" t="n">
        <v>10.55</v>
      </c>
      <c r="F993" t="n">
        <v>1</v>
      </c>
      <c r="G993" t="n">
        <v>5</v>
      </c>
      <c r="H993" s="5">
        <f>HYPERLINK("https://api.qogita.com/variants/link/3282770149616/", "View Product")</f>
        <v/>
      </c>
    </row>
    <row r="994">
      <c r="A994" t="inlineStr">
        <is>
          <t>3282770150131</t>
        </is>
      </c>
      <c r="B994" t="inlineStr">
        <is>
          <t>Klorane Galanga Shampoo 400ml Antidandruff Rebalancing Shampoo</t>
        </is>
      </c>
      <c r="C994" t="inlineStr">
        <is>
          <t>Shampoo</t>
        </is>
      </c>
      <c r="D994" t="inlineStr">
        <is>
          <t>Klorane</t>
        </is>
      </c>
      <c r="E994" t="n">
        <v>13.1</v>
      </c>
      <c r="F994" t="n">
        <v>1</v>
      </c>
      <c r="G994" t="n">
        <v>54</v>
      </c>
      <c r="H994" s="5">
        <f>HYPERLINK("https://api.qogita.com/variants/link/3282770150131/", "View Product")</f>
        <v/>
      </c>
    </row>
    <row r="995">
      <c r="A995" t="inlineStr">
        <is>
          <t>3282770150339</t>
        </is>
      </c>
      <c r="B995" t="inlineStr">
        <is>
          <t>Klorane Solid Shampoo With Citronella 80 G Solid Shampoo For Normal To Oily Hair</t>
        </is>
      </c>
      <c r="C995" t="inlineStr">
        <is>
          <t>Shampoo</t>
        </is>
      </c>
      <c r="D995" t="inlineStr">
        <is>
          <t>Klorane</t>
        </is>
      </c>
      <c r="E995" t="n">
        <v>9.779999999999999</v>
      </c>
      <c r="F995" t="n">
        <v>1</v>
      </c>
      <c r="G995" t="n">
        <v>2</v>
      </c>
      <c r="H995" s="5">
        <f>HYPERLINK("https://api.qogita.com/variants/link/3282770150339/", "View Product")</f>
        <v/>
      </c>
    </row>
    <row r="996">
      <c r="A996" t="inlineStr">
        <is>
          <t>3282770152463</t>
        </is>
      </c>
      <c r="B996" t="inlineStr">
        <is>
          <t>Avne Makeup Removing Micellar Water For Normal And Combination Sensitive Skin 200ml</t>
        </is>
      </c>
      <c r="C996" t="inlineStr">
        <is>
          <t>Micellar Water</t>
        </is>
      </c>
      <c r="D996" t="inlineStr">
        <is>
          <t>Avène</t>
        </is>
      </c>
      <c r="E996" t="n">
        <v>13.69</v>
      </c>
      <c r="F996" t="n">
        <v>1</v>
      </c>
      <c r="G996" t="n">
        <v>6</v>
      </c>
      <c r="H996" s="5">
        <f>HYPERLINK("https://api.qogita.com/variants/link/3282770152463/", "View Product")</f>
        <v/>
      </c>
    </row>
    <row r="997">
      <c r="A997" t="inlineStr">
        <is>
          <t>3282770152852</t>
        </is>
      </c>
      <c r="B997" t="inlineStr">
        <is>
          <t>Rene Furterer Sublime Curl Curl Defining Conditioner 150ml For Curly And Wavy Hair</t>
        </is>
      </c>
      <c r="C997" t="inlineStr">
        <is>
          <t>Conditioner</t>
        </is>
      </c>
      <c r="D997" t="inlineStr">
        <is>
          <t>Rene Furterer</t>
        </is>
      </c>
      <c r="E997" t="n">
        <v>16.1</v>
      </c>
      <c r="F997" t="n">
        <v>1</v>
      </c>
      <c r="G997" t="n">
        <v>4</v>
      </c>
      <c r="H997" s="5">
        <f>HYPERLINK("https://api.qogita.com/variants/link/3282770152852/", "View Product")</f>
        <v/>
      </c>
    </row>
    <row r="998">
      <c r="A998" t="inlineStr">
        <is>
          <t>3282770154221</t>
        </is>
      </c>
      <c r="B998" t="inlineStr">
        <is>
          <t>Avene After-Sun Restorative Lotion 200ml</t>
        </is>
      </c>
      <c r="C998" t="inlineStr">
        <is>
          <t>Aftersun</t>
        </is>
      </c>
      <c r="D998" t="inlineStr">
        <is>
          <t>Avène</t>
        </is>
      </c>
      <c r="E998" t="n">
        <v>15.44</v>
      </c>
      <c r="F998" t="n">
        <v>1</v>
      </c>
      <c r="G998" t="n">
        <v>11</v>
      </c>
      <c r="H998" s="5">
        <f>HYPERLINK("https://api.qogita.com/variants/link/3282770154221/", "View Product")</f>
        <v/>
      </c>
    </row>
    <row r="999">
      <c r="A999" t="inlineStr">
        <is>
          <t>3282770200850</t>
        </is>
      </c>
      <c r="B999" t="inlineStr">
        <is>
          <t>Klorane Oat Milk Dry Shampoo For Dark Hair 150ml</t>
        </is>
      </c>
      <c r="C999" t="inlineStr">
        <is>
          <t>Dry Shampoo</t>
        </is>
      </c>
      <c r="D999" t="inlineStr">
        <is>
          <t>Klorane</t>
        </is>
      </c>
      <c r="E999" t="n">
        <v>9.57</v>
      </c>
      <c r="F999" t="n">
        <v>1</v>
      </c>
      <c r="G999" t="n">
        <v>2</v>
      </c>
      <c r="H999" s="5">
        <f>HYPERLINK("https://api.qogita.com/variants/link/3282770200850/", "View Product")</f>
        <v/>
      </c>
    </row>
    <row r="1000">
      <c r="A1000" t="inlineStr">
        <is>
          <t>3282770202465</t>
        </is>
      </c>
      <c r="B1000" t="inlineStr">
        <is>
          <t>Rene Furterer Style Spray Fixer Precision And Strong Fixation 150ml Strong Holding Hairspray</t>
        </is>
      </c>
      <c r="C1000" t="inlineStr">
        <is>
          <t>Hairspray</t>
        </is>
      </c>
      <c r="D1000" t="inlineStr">
        <is>
          <t>Rene Furterer</t>
        </is>
      </c>
      <c r="E1000" t="n">
        <v>13.68</v>
      </c>
      <c r="F1000" t="n">
        <v>1</v>
      </c>
      <c r="G1000" t="n">
        <v>5</v>
      </c>
      <c r="H1000" s="5">
        <f>HYPERLINK("https://api.qogita.com/variants/link/3282770202465/", "View Product")</f>
        <v/>
      </c>
    </row>
    <row r="1001">
      <c r="A1001" t="inlineStr">
        <is>
          <t>3282770203196</t>
        </is>
      </c>
      <c r="B1001" t="inlineStr">
        <is>
          <t>Ducray Dexyane Restorative Body Cream 100ml</t>
        </is>
      </c>
      <c r="C1001" t="inlineStr">
        <is>
          <t>Body Lotion</t>
        </is>
      </c>
      <c r="D1001" t="inlineStr">
        <is>
          <t>Ducray</t>
        </is>
      </c>
      <c r="E1001" t="n">
        <v>11.37</v>
      </c>
      <c r="F1001" t="n">
        <v>1</v>
      </c>
      <c r="G1001" t="n">
        <v>2</v>
      </c>
      <c r="H1001" s="5">
        <f>HYPERLINK("https://api.qogita.com/variants/link/3282770203196/", "View Product")</f>
        <v/>
      </c>
    </row>
    <row r="1002">
      <c r="A1002" t="inlineStr">
        <is>
          <t>3282770203578</t>
        </is>
      </c>
      <c r="B1002" t="inlineStr">
        <is>
          <t>Ren Furterer Style Protective &amp; Antifrizz Thermal Protecting Spray 150 Ml</t>
        </is>
      </c>
      <c r="C1002" t="inlineStr">
        <is>
          <t>Heat Protection</t>
        </is>
      </c>
      <c r="D1002" t="inlineStr">
        <is>
          <t>Rene Furterer</t>
        </is>
      </c>
      <c r="E1002" t="n">
        <v>13.58</v>
      </c>
      <c r="F1002" t="n">
        <v>1</v>
      </c>
      <c r="G1002" t="n">
        <v>7</v>
      </c>
      <c r="H1002" s="5">
        <f>HYPERLINK("https://api.qogita.com/variants/link/3282770203578/", "View Product")</f>
        <v/>
      </c>
    </row>
    <row r="1003">
      <c r="A1003" t="inlineStr">
        <is>
          <t>3282770204667</t>
        </is>
      </c>
      <c r="B1003" t="inlineStr">
        <is>
          <t>Avne Cicalfate Repair Cream 40 Ml For Sensitive And Irritating Skin</t>
        </is>
      </c>
      <c r="C1003" t="inlineStr">
        <is>
          <t>Face Cream</t>
        </is>
      </c>
      <c r="D1003" t="inlineStr">
        <is>
          <t>Avène</t>
        </is>
      </c>
      <c r="E1003" t="n">
        <v>9.65</v>
      </c>
      <c r="F1003" t="n">
        <v>1</v>
      </c>
      <c r="G1003" t="n">
        <v>4</v>
      </c>
      <c r="H1003" s="5">
        <f>HYPERLINK("https://api.qogita.com/variants/link/3282770204667/", "View Product")</f>
        <v/>
      </c>
    </row>
    <row r="1004">
      <c r="A1004" t="inlineStr">
        <is>
          <t>3282770204803</t>
        </is>
      </c>
      <c r="B1004" t="inlineStr">
        <is>
          <t>Avne Sensitive Areas Stick Spf 50 8g</t>
        </is>
      </c>
      <c r="C1004" t="inlineStr">
        <is>
          <t>Face Sun Protection</t>
        </is>
      </c>
      <c r="D1004" t="inlineStr">
        <is>
          <t>Avène</t>
        </is>
      </c>
      <c r="E1004" t="n">
        <v>10.29</v>
      </c>
      <c r="F1004" t="n">
        <v>1</v>
      </c>
      <c r="G1004" t="n">
        <v>8</v>
      </c>
      <c r="H1004" s="5">
        <f>HYPERLINK("https://api.qogita.com/variants/link/3282770204803/", "View Product")</f>
        <v/>
      </c>
    </row>
    <row r="1005">
      <c r="A1005" t="inlineStr">
        <is>
          <t>3282770206746</t>
        </is>
      </c>
      <c r="B1005" t="inlineStr">
        <is>
          <t>Klorane Junior Detangling Shampoo Peach 200 Ml Gentle Detangling Shampoo For Children's Delicate Hair</t>
        </is>
      </c>
      <c r="C1005" t="inlineStr">
        <is>
          <t>Children's Hair Cleaning</t>
        </is>
      </c>
      <c r="D1005" t="inlineStr">
        <is>
          <t>Klorane</t>
        </is>
      </c>
      <c r="E1005" t="n">
        <v>7.57</v>
      </c>
      <c r="F1005" t="n">
        <v>1</v>
      </c>
      <c r="G1005" t="n">
        <v>2</v>
      </c>
      <c r="H1005" s="5">
        <f>HYPERLINK("https://api.qogita.com/variants/link/3282770206746/", "View Product")</f>
        <v/>
      </c>
    </row>
    <row r="1006">
      <c r="A1006" t="inlineStr">
        <is>
          <t>3282770208764</t>
        </is>
      </c>
      <c r="B1006" t="inlineStr">
        <is>
          <t>Hydrance BB Rich Tinted Hydrating Cream SPF 30 by Avene for Unisex 1.3oz</t>
        </is>
      </c>
      <c r="C1006" t="inlineStr">
        <is>
          <t>Tinted Day Cream</t>
        </is>
      </c>
      <c r="D1006" t="inlineStr">
        <is>
          <t>Avène</t>
        </is>
      </c>
      <c r="E1006" t="n">
        <v>18.07</v>
      </c>
      <c r="F1006" t="n">
        <v>1</v>
      </c>
      <c r="G1006" t="n">
        <v>4</v>
      </c>
      <c r="H1006" s="5">
        <f>HYPERLINK("https://api.qogita.com/variants/link/3282770208764/", "View Product")</f>
        <v/>
      </c>
    </row>
    <row r="1007">
      <c r="A1007" t="inlineStr">
        <is>
          <t>3282770208962</t>
        </is>
      </c>
      <c r="B1007" t="inlineStr">
        <is>
          <t>Avne Hydrance Optimale Light Hydrating Cream 40 Ml For Normal To Combination Dehydrated Skin</t>
        </is>
      </c>
      <c r="C1007" t="inlineStr">
        <is>
          <t>Face Cream</t>
        </is>
      </c>
      <c r="D1007" t="inlineStr">
        <is>
          <t>Avène</t>
        </is>
      </c>
      <c r="E1007" t="n">
        <v>16.74</v>
      </c>
      <c r="F1007" t="n">
        <v>1</v>
      </c>
      <c r="G1007" t="n">
        <v>6</v>
      </c>
      <c r="H1007" s="5">
        <f>HYPERLINK("https://api.qogita.com/variants/link/3282770208962/", "View Product")</f>
        <v/>
      </c>
    </row>
    <row r="1008">
      <c r="A1008" t="inlineStr">
        <is>
          <t>3282770388848</t>
        </is>
      </c>
      <c r="B1008" t="inlineStr">
        <is>
          <t>Cutalgan Roll-On Fresh Effect A-Derma 10ml</t>
        </is>
      </c>
      <c r="C1008" t="inlineStr">
        <is>
          <t>Neurodermatitis</t>
        </is>
      </c>
      <c r="D1008" t="inlineStr">
        <is>
          <t>A-Derma</t>
        </is>
      </c>
      <c r="E1008" t="n">
        <v>6.94</v>
      </c>
      <c r="F1008" t="n">
        <v>1</v>
      </c>
      <c r="G1008" t="n">
        <v>5</v>
      </c>
      <c r="H1008" s="5">
        <f>HYPERLINK("https://api.qogita.com/variants/link/3282770388848/", "View Product")</f>
        <v/>
      </c>
    </row>
    <row r="1009">
      <c r="A1009" t="inlineStr">
        <is>
          <t>3282770388886</t>
        </is>
      </c>
      <c r="B1009" t="inlineStr">
        <is>
          <t>Aderma Biology Ac Perfect Antiblemish Fluid 40ml</t>
        </is>
      </c>
      <c r="C1009" t="inlineStr">
        <is>
          <t>Pimple &amp; Blackhead Treatments</t>
        </is>
      </c>
      <c r="D1009" t="inlineStr">
        <is>
          <t>A-Derma</t>
        </is>
      </c>
      <c r="E1009" t="n">
        <v>13.74</v>
      </c>
      <c r="F1009" t="n">
        <v>1</v>
      </c>
      <c r="G1009" t="n">
        <v>3</v>
      </c>
      <c r="H1009" s="5">
        <f>HYPERLINK("https://api.qogita.com/variants/link/3282770388886/", "View Product")</f>
        <v/>
      </c>
    </row>
    <row r="1010">
      <c r="A1010" t="inlineStr">
        <is>
          <t>3282770388954</t>
        </is>
      </c>
      <c r="B1010" t="inlineStr">
        <is>
          <t>Avne Hydrance Boost Serum Concentrate 30ml Hydrating Face Serum</t>
        </is>
      </c>
      <c r="C1010" t="inlineStr">
        <is>
          <t>Hydrating Serum</t>
        </is>
      </c>
      <c r="D1010" t="inlineStr">
        <is>
          <t>Avène</t>
        </is>
      </c>
      <c r="E1010" t="n">
        <v>23.33</v>
      </c>
      <c r="F1010" t="n">
        <v>1</v>
      </c>
      <c r="G1010" t="n">
        <v>20</v>
      </c>
      <c r="H1010" s="5">
        <f>HYPERLINK("https://api.qogita.com/variants/link/3282770388954/", "View Product")</f>
        <v/>
      </c>
    </row>
    <row r="1011">
      <c r="A1011" t="inlineStr">
        <is>
          <t>3282770389333</t>
        </is>
      </c>
      <c r="B1011" t="inlineStr">
        <is>
          <t>A-Derma Biology Moisturizing Face Serum 30ml</t>
        </is>
      </c>
      <c r="C1011" t="inlineStr">
        <is>
          <t>Hydrating Serum</t>
        </is>
      </c>
      <c r="D1011" t="inlineStr">
        <is>
          <t>A-Derma</t>
        </is>
      </c>
      <c r="E1011" t="n">
        <v>18.67</v>
      </c>
      <c r="F1011" t="n">
        <v>1</v>
      </c>
      <c r="G1011" t="n">
        <v>5</v>
      </c>
      <c r="H1011" s="5">
        <f>HYPERLINK("https://api.qogita.com/variants/link/3282770389333/", "View Product")</f>
        <v/>
      </c>
    </row>
    <row r="1012">
      <c r="A1012" t="inlineStr">
        <is>
          <t>3282770390445</t>
        </is>
      </c>
      <c r="B1012" t="inlineStr">
        <is>
          <t>Avne Cleanance Detox Mask 50ml</t>
        </is>
      </c>
      <c r="C1012" t="inlineStr">
        <is>
          <t>Purifying Mask</t>
        </is>
      </c>
      <c r="D1012" t="inlineStr">
        <is>
          <t>Avène</t>
        </is>
      </c>
      <c r="E1012" t="n">
        <v>12.7</v>
      </c>
      <c r="F1012" t="n">
        <v>1</v>
      </c>
      <c r="G1012" t="n">
        <v>5</v>
      </c>
      <c r="H1012" s="5">
        <f>HYPERLINK("https://api.qogita.com/variants/link/3282770390445/", "View Product")</f>
        <v/>
      </c>
    </row>
    <row r="1013">
      <c r="A1013" t="inlineStr">
        <is>
          <t>3282770390476</t>
        </is>
      </c>
      <c r="B1013" t="inlineStr">
        <is>
          <t>Avne Cleanance Hydra Soothing Cleansing Cream 200ml</t>
        </is>
      </c>
      <c r="C1013" t="inlineStr">
        <is>
          <t>Cleansing Cream</t>
        </is>
      </c>
      <c r="D1013" t="inlineStr">
        <is>
          <t>Avène</t>
        </is>
      </c>
      <c r="E1013" t="n">
        <v>13.74</v>
      </c>
      <c r="F1013" t="n">
        <v>1</v>
      </c>
      <c r="G1013" t="n">
        <v>22</v>
      </c>
      <c r="H1013" s="5">
        <f>HYPERLINK("https://api.qogita.com/variants/link/3282770390476/", "View Product")</f>
        <v/>
      </c>
    </row>
    <row r="1014">
      <c r="A1014" t="inlineStr">
        <is>
          <t>3282770391107</t>
        </is>
      </c>
      <c r="B1014" t="inlineStr">
        <is>
          <t>Klorane Hydra Baby Bio Calendula Moisturizing Cream 200ml</t>
        </is>
      </c>
      <c r="C1014" t="inlineStr">
        <is>
          <t>Baby Cream &amp; Oil</t>
        </is>
      </c>
      <c r="D1014" t="inlineStr">
        <is>
          <t>Klorane</t>
        </is>
      </c>
      <c r="E1014" t="n">
        <v>11.57</v>
      </c>
      <c r="F1014" t="n">
        <v>1</v>
      </c>
      <c r="G1014" t="n">
        <v>7</v>
      </c>
      <c r="H1014" s="5">
        <f>HYPERLINK("https://api.qogita.com/variants/link/3282770391107/", "View Product")</f>
        <v/>
      </c>
    </row>
    <row r="1015">
      <c r="A1015" t="inlineStr">
        <is>
          <t>3282770391176</t>
        </is>
      </c>
      <c r="B1015" t="inlineStr">
        <is>
          <t>Klorane Organic Baby Diaper Cream 100ml With Organic Marigold</t>
        </is>
      </c>
      <c r="C1015" t="inlineStr">
        <is>
          <t>Baby Cream &amp; Oil</t>
        </is>
      </c>
      <c r="D1015" t="inlineStr">
        <is>
          <t>Klorane</t>
        </is>
      </c>
      <c r="E1015" t="n">
        <v>8.56</v>
      </c>
      <c r="F1015" t="n">
        <v>1</v>
      </c>
      <c r="G1015" t="n">
        <v>11</v>
      </c>
      <c r="H1015" s="5">
        <f>HYPERLINK("https://api.qogita.com/variants/link/3282770391176/", "View Product")</f>
        <v/>
      </c>
    </row>
    <row r="1016">
      <c r="A1016" t="inlineStr">
        <is>
          <t>3282770391251</t>
        </is>
      </c>
      <c r="B1016" t="inlineStr">
        <is>
          <t>Ducray Keracnyl Repair Rebuilding Cream For Face 50ml</t>
        </is>
      </c>
      <c r="C1016" t="inlineStr">
        <is>
          <t>Face Cream</t>
        </is>
      </c>
      <c r="D1016" t="inlineStr">
        <is>
          <t>Ducray</t>
        </is>
      </c>
      <c r="E1016" t="n">
        <v>13.51</v>
      </c>
      <c r="F1016" t="n">
        <v>1</v>
      </c>
      <c r="G1016" t="n">
        <v>5</v>
      </c>
      <c r="H1016" s="5">
        <f>HYPERLINK("https://api.qogita.com/variants/link/3282770391251/", "View Product")</f>
        <v/>
      </c>
    </row>
    <row r="1017">
      <c r="A1017" t="inlineStr">
        <is>
          <t>3282770392197</t>
        </is>
      </c>
      <c r="B1017" t="inlineStr">
        <is>
          <t>Rene Furterer Color Glow Repairing Glow Mask - Obnovujici Maska Na Barevny Lesk</t>
        </is>
      </c>
      <c r="C1017" t="inlineStr">
        <is>
          <t>Hair Masks</t>
        </is>
      </c>
      <c r="D1017" t="inlineStr">
        <is>
          <t xml:space="preserve">Rene Furterer </t>
        </is>
      </c>
      <c r="E1017" t="n">
        <v>23.21</v>
      </c>
      <c r="F1017" t="n">
        <v>1</v>
      </c>
      <c r="G1017" t="n">
        <v>4</v>
      </c>
      <c r="H1017" s="5">
        <f>HYPERLINK("https://api.qogita.com/variants/link/3282770392197/", "View Product")</f>
        <v/>
      </c>
    </row>
    <row r="1018">
      <c r="A1018" t="inlineStr">
        <is>
          <t>3282770392791</t>
        </is>
      </c>
      <c r="B1018" t="inlineStr">
        <is>
          <t>Avene Sunsimed Pigment 80ml</t>
        </is>
      </c>
      <c r="C1018" t="inlineStr">
        <is>
          <t>Face Sun Protection</t>
        </is>
      </c>
      <c r="D1018" t="inlineStr">
        <is>
          <t>Avène</t>
        </is>
      </c>
      <c r="E1018" t="n">
        <v>22.93</v>
      </c>
      <c r="F1018" t="n">
        <v>1</v>
      </c>
      <c r="G1018" t="n">
        <v>2</v>
      </c>
      <c r="H1018" s="5">
        <f>HYPERLINK("https://api.qogita.com/variants/link/3282770392791/", "View Product")</f>
        <v/>
      </c>
    </row>
    <row r="1019">
      <c r="A1019" t="inlineStr">
        <is>
          <t>3282770393224</t>
        </is>
      </c>
      <c r="B1019" t="inlineStr">
        <is>
          <t>Aderma Biology Energy C Radiance Serum 30 Ml</t>
        </is>
      </c>
      <c r="C1019" t="inlineStr">
        <is>
          <t>Vitamin Serum</t>
        </is>
      </c>
      <c r="D1019" t="inlineStr">
        <is>
          <t>A-Derma</t>
        </is>
      </c>
      <c r="E1019" t="n">
        <v>24.78</v>
      </c>
      <c r="F1019" t="n">
        <v>1</v>
      </c>
      <c r="G1019" t="n">
        <v>5</v>
      </c>
      <c r="H1019" s="5">
        <f>HYPERLINK("https://api.qogita.com/variants/link/3282770393224/", "View Product")</f>
        <v/>
      </c>
    </row>
    <row r="1020">
      <c r="A1020" t="inlineStr">
        <is>
          <t>3282770393590</t>
        </is>
      </c>
      <c r="B1020" t="inlineStr">
        <is>
          <t>Al Aiano Bio Cleansing Cream - 200 Ml</t>
        </is>
      </c>
      <c r="C1020" t="inlineStr">
        <is>
          <t>Cleansing Cream</t>
        </is>
      </c>
      <c r="D1020" t="inlineStr">
        <is>
          <t>Aliana</t>
        </is>
      </c>
      <c r="E1020" t="n">
        <v>9.74</v>
      </c>
      <c r="F1020" t="n">
        <v>1</v>
      </c>
      <c r="G1020" t="n">
        <v>8</v>
      </c>
      <c r="H1020" s="5">
        <f>HYPERLINK("https://api.qogita.com/variants/link/3282770393590/", "View Product")</f>
        <v/>
      </c>
    </row>
    <row r="1021">
      <c r="A1021" t="inlineStr">
        <is>
          <t>3282770393750</t>
        </is>
      </c>
      <c r="B1021" t="inlineStr">
        <is>
          <t>Avene Hand Cream Set For Dry To Very Dry Skin Cold Cream 2 X 50 Ml</t>
        </is>
      </c>
      <c r="C1021" t="inlineStr">
        <is>
          <t>Hand Care Sets</t>
        </is>
      </c>
      <c r="D1021" t="inlineStr">
        <is>
          <t>Avène</t>
        </is>
      </c>
      <c r="E1021" t="n">
        <v>15.48</v>
      </c>
      <c r="F1021" t="n">
        <v>1</v>
      </c>
      <c r="G1021" t="n">
        <v>13</v>
      </c>
      <c r="H1021" s="5">
        <f>HYPERLINK("https://api.qogita.com/variants/link/3282770393750/", "View Product")</f>
        <v/>
      </c>
    </row>
    <row r="1022">
      <c r="A1022" t="inlineStr">
        <is>
          <t>3282770397499</t>
        </is>
      </c>
      <c r="B1022" t="inlineStr">
        <is>
          <t>Ducray Squanorm Antidandruff Lotion With Zinc 200 Ml</t>
        </is>
      </c>
      <c r="C1022" t="inlineStr">
        <is>
          <t>Scalp Care</t>
        </is>
      </c>
      <c r="D1022" t="inlineStr">
        <is>
          <t>Ducray</t>
        </is>
      </c>
      <c r="E1022" t="n">
        <v>13.38</v>
      </c>
      <c r="F1022" t="n">
        <v>1</v>
      </c>
      <c r="G1022" t="n">
        <v>8</v>
      </c>
      <c r="H1022" s="5">
        <f>HYPERLINK("https://api.qogita.com/variants/link/3282770397499/", "View Product")</f>
        <v/>
      </c>
    </row>
    <row r="1023">
      <c r="A1023" t="inlineStr">
        <is>
          <t>3282779002721</t>
        </is>
      </c>
      <c r="B1023" t="inlineStr">
        <is>
          <t>Avne Cold Cream Nourishing Care For Dry To Very Dry Skin 100 Ml</t>
        </is>
      </c>
      <c r="C1023" t="inlineStr">
        <is>
          <t>Face Cream</t>
        </is>
      </c>
      <c r="D1023" t="inlineStr">
        <is>
          <t>Avène</t>
        </is>
      </c>
      <c r="E1023" t="n">
        <v>14.12</v>
      </c>
      <c r="F1023" t="n">
        <v>1</v>
      </c>
      <c r="G1023" t="n">
        <v>12</v>
      </c>
      <c r="H1023" s="5">
        <f>HYPERLINK("https://api.qogita.com/variants/link/3282779002721/", "View Product")</f>
        <v/>
      </c>
    </row>
    <row r="1024">
      <c r="A1024" t="inlineStr">
        <is>
          <t>3282779048637</t>
        </is>
      </c>
      <c r="B1024" t="inlineStr">
        <is>
          <t>Avène Cicalfate Acute Care Lotion 40ml</t>
        </is>
      </c>
      <c r="C1024" t="inlineStr">
        <is>
          <t>Body Care</t>
        </is>
      </c>
      <c r="D1024" t="inlineStr">
        <is>
          <t>Avène</t>
        </is>
      </c>
      <c r="E1024" t="n">
        <v>14.12</v>
      </c>
      <c r="F1024" t="n">
        <v>1</v>
      </c>
      <c r="G1024" t="n">
        <v>6</v>
      </c>
      <c r="H1024" s="5">
        <f>HYPERLINK("https://api.qogita.com/variants/link/3282779048637/", "View Product")</f>
        <v/>
      </c>
    </row>
    <row r="1025">
      <c r="A1025" t="inlineStr">
        <is>
          <t>3282779292276</t>
        </is>
      </c>
      <c r="B1025" t="inlineStr">
        <is>
          <t>Avène Couvrance Green Concealer Stick</t>
        </is>
      </c>
      <c r="C1025" t="inlineStr">
        <is>
          <t>Concealer</t>
        </is>
      </c>
      <c r="D1025" t="inlineStr">
        <is>
          <t>Avène</t>
        </is>
      </c>
      <c r="E1025" t="n">
        <v>15.04</v>
      </c>
      <c r="F1025" t="n">
        <v>1</v>
      </c>
      <c r="G1025" t="n">
        <v>5</v>
      </c>
      <c r="H1025" s="5">
        <f>HYPERLINK("https://api.qogita.com/variants/link/3282779292276/", "View Product")</f>
        <v/>
      </c>
    </row>
    <row r="1026">
      <c r="A1026" t="inlineStr">
        <is>
          <t>3282779368971</t>
        </is>
      </c>
      <c r="B1026" t="inlineStr">
        <is>
          <t>Ducray Keracnyl Purifying Lotion For Mixed To Oily Skin With Imperfections 200 Ml</t>
        </is>
      </c>
      <c r="C1026" t="inlineStr">
        <is>
          <t>Facial Cleansing</t>
        </is>
      </c>
      <c r="D1026" t="inlineStr">
        <is>
          <t>Ducray</t>
        </is>
      </c>
      <c r="E1026" t="n">
        <v>10.53</v>
      </c>
      <c r="F1026" t="n">
        <v>1</v>
      </c>
      <c r="G1026" t="n">
        <v>7</v>
      </c>
      <c r="H1026" s="5">
        <f>HYPERLINK("https://api.qogita.com/variants/link/3282779368971/", "View Product")</f>
        <v/>
      </c>
    </row>
    <row r="1027">
      <c r="A1027" t="inlineStr">
        <is>
          <t>3284410042455</t>
        </is>
      </c>
      <c r="B1027" t="inlineStr">
        <is>
          <t>Melvita Lily Oil Radiance Protective 50ml Soothing And Brightening Oil For Dry Skin</t>
        </is>
      </c>
      <c r="C1027" t="inlineStr">
        <is>
          <t>Facial Oil</t>
        </is>
      </c>
      <c r="D1027" t="inlineStr">
        <is>
          <t>Melvita</t>
        </is>
      </c>
      <c r="E1027" t="n">
        <v>12.72</v>
      </c>
      <c r="F1027" t="n">
        <v>1</v>
      </c>
      <c r="G1027" t="n">
        <v>5</v>
      </c>
      <c r="H1027" s="5">
        <f>HYPERLINK("https://api.qogita.com/variants/link/3284410042455/", "View Product")</f>
        <v/>
      </c>
    </row>
    <row r="1028">
      <c r="A1028" t="inlineStr">
        <is>
          <t>3284410042479</t>
        </is>
      </c>
      <c r="B1028" t="inlineStr">
        <is>
          <t>Melvita Nigella Oil 50 Ml</t>
        </is>
      </c>
      <c r="C1028" t="inlineStr">
        <is>
          <t>Facial Oil</t>
        </is>
      </c>
      <c r="D1028" t="inlineStr">
        <is>
          <t>Melvita</t>
        </is>
      </c>
      <c r="E1028" t="n">
        <v>9.69</v>
      </c>
      <c r="F1028" t="n">
        <v>1</v>
      </c>
      <c r="G1028" t="n">
        <v>2</v>
      </c>
      <c r="H1028" s="5">
        <f>HYPERLINK("https://api.qogita.com/variants/link/3284410042479/", "View Product")</f>
        <v/>
      </c>
    </row>
    <row r="1029">
      <c r="A1029" t="inlineStr">
        <is>
          <t>3284410048006</t>
        </is>
      </c>
      <c r="B1029" t="inlineStr">
        <is>
          <t>Melvita Smoothing Hand Cream Certified Organic and Vegan 30mL Tube</t>
        </is>
      </c>
      <c r="C1029" t="inlineStr">
        <is>
          <t>Hand Cream</t>
        </is>
      </c>
      <c r="D1029" t="inlineStr">
        <is>
          <t>Melvita</t>
        </is>
      </c>
      <c r="E1029" t="n">
        <v>6.33</v>
      </c>
      <c r="F1029" t="n">
        <v>1</v>
      </c>
      <c r="G1029" t="n">
        <v>2</v>
      </c>
      <c r="H1029" s="5">
        <f>HYPERLINK("https://api.qogita.com/variants/link/3284410048006/", "View Product")</f>
        <v/>
      </c>
    </row>
    <row r="1030">
      <c r="A1030" t="inlineStr">
        <is>
          <t>3284410048105</t>
        </is>
      </c>
      <c r="B1030" t="inlineStr">
        <is>
          <t>Melvita Baby Body Milk 175ml Hydrating Body Milk For Children</t>
        </is>
      </c>
      <c r="C1030" t="inlineStr">
        <is>
          <t>Baby Cream &amp; Oil</t>
        </is>
      </c>
      <c r="D1030" t="inlineStr">
        <is>
          <t>Melvita</t>
        </is>
      </c>
      <c r="E1030" t="n">
        <v>8.4</v>
      </c>
      <c r="F1030" t="n">
        <v>1</v>
      </c>
      <c r="G1030" t="n">
        <v>3</v>
      </c>
      <c r="H1030" s="5">
        <f>HYPERLINK("https://api.qogita.com/variants/link/3284410048105/", "View Product")</f>
        <v/>
      </c>
    </row>
    <row r="1031">
      <c r="A1031" t="inlineStr">
        <is>
          <t>3306610950429</t>
        </is>
      </c>
      <c r="B1031" t="inlineStr">
        <is>
          <t>Chopperhead Leave-In Beard Oil 50ml</t>
        </is>
      </c>
      <c r="C1031" t="inlineStr">
        <is>
          <t>Beard Care Accessories</t>
        </is>
      </c>
      <c r="D1031" t="inlineStr">
        <is>
          <t>Chopperhead</t>
        </is>
      </c>
      <c r="E1031" t="n">
        <v>7.91</v>
      </c>
      <c r="F1031" t="n">
        <v>1</v>
      </c>
      <c r="G1031" t="n">
        <v>11</v>
      </c>
      <c r="H1031" s="5">
        <f>HYPERLINK("https://api.qogita.com/variants/link/3306610950429/", "View Product")</f>
        <v/>
      </c>
    </row>
    <row r="1032">
      <c r="A1032" t="inlineStr">
        <is>
          <t>3306610952850</t>
        </is>
      </c>
      <c r="B1032" t="inlineStr">
        <is>
          <t>Chopperhead Hair And Beard Shampoo</t>
        </is>
      </c>
      <c r="C1032" t="inlineStr">
        <is>
          <t>Shampoo</t>
        </is>
      </c>
      <c r="D1032" t="inlineStr">
        <is>
          <t>Chopperhead</t>
        </is>
      </c>
      <c r="E1032" t="n">
        <v>18.62</v>
      </c>
      <c r="F1032" t="n">
        <v>1</v>
      </c>
      <c r="G1032" t="n">
        <v>6</v>
      </c>
      <c r="H1032" s="5">
        <f>HYPERLINK("https://api.qogita.com/variants/link/3306610952850/", "View Product")</f>
        <v/>
      </c>
    </row>
    <row r="1033">
      <c r="A1033" t="inlineStr">
        <is>
          <t>3306619560124</t>
        </is>
      </c>
      <c r="B1033" t="inlineStr">
        <is>
          <t>Chopperhead Classic Wax</t>
        </is>
      </c>
      <c r="C1033" t="inlineStr">
        <is>
          <t>Wax</t>
        </is>
      </c>
      <c r="D1033" t="inlineStr">
        <is>
          <t>Chopperhead</t>
        </is>
      </c>
      <c r="E1033" t="n">
        <v>10.79</v>
      </c>
      <c r="F1033" t="n">
        <v>1</v>
      </c>
      <c r="G1033" t="n">
        <v>9</v>
      </c>
      <c r="H1033" s="5">
        <f>HYPERLINK("https://api.qogita.com/variants/link/3306619560124/", "View Product")</f>
        <v/>
      </c>
    </row>
    <row r="1034">
      <c r="A1034" t="inlineStr">
        <is>
          <t>3306619561428</t>
        </is>
      </c>
      <c r="B1034" t="inlineStr">
        <is>
          <t>Chopperhead Traditional Hair Pomade</t>
        </is>
      </c>
      <c r="C1034" t="inlineStr">
        <is>
          <t>Styling Creams</t>
        </is>
      </c>
      <c r="D1034" t="inlineStr">
        <is>
          <t>Chopperhead</t>
        </is>
      </c>
      <c r="E1034" t="n">
        <v>10.79</v>
      </c>
      <c r="F1034" t="n">
        <v>1</v>
      </c>
      <c r="G1034" t="n">
        <v>11</v>
      </c>
      <c r="H1034" s="5">
        <f>HYPERLINK("https://api.qogita.com/variants/link/3306619561428/", "View Product")</f>
        <v/>
      </c>
    </row>
    <row r="1035">
      <c r="A1035" t="inlineStr">
        <is>
          <t>3306619561534</t>
        </is>
      </c>
      <c r="B1035" t="inlineStr">
        <is>
          <t>Chopperhead Mattes Wachs, 50 G</t>
        </is>
      </c>
      <c r="C1035" t="inlineStr">
        <is>
          <t>Body Care Sets</t>
        </is>
      </c>
      <c r="D1035" t="inlineStr">
        <is>
          <t>Chopperhead</t>
        </is>
      </c>
      <c r="E1035" t="n">
        <v>7.68</v>
      </c>
      <c r="F1035" t="n">
        <v>1</v>
      </c>
      <c r="G1035" t="n">
        <v>11</v>
      </c>
      <c r="H1035" s="5">
        <f>HYPERLINK("https://api.qogita.com/variants/link/3306619561534/", "View Product")</f>
        <v/>
      </c>
    </row>
    <row r="1036">
      <c r="A1036" t="inlineStr">
        <is>
          <t>3306619561541</t>
        </is>
      </c>
      <c r="B1036" t="inlineStr">
        <is>
          <t>Chopperhead Matte Wax</t>
        </is>
      </c>
      <c r="C1036" t="inlineStr">
        <is>
          <t>Wax</t>
        </is>
      </c>
      <c r="D1036" t="inlineStr">
        <is>
          <t>Chopperhead</t>
        </is>
      </c>
      <c r="E1036" t="n">
        <v>10.79</v>
      </c>
      <c r="F1036" t="n">
        <v>1</v>
      </c>
      <c r="G1036" t="n">
        <v>7</v>
      </c>
      <c r="H1036" s="5">
        <f>HYPERLINK("https://api.qogita.com/variants/link/3306619561541/", "View Product")</f>
        <v/>
      </c>
    </row>
    <row r="1037">
      <c r="A1037" t="inlineStr">
        <is>
          <t>3326240027407</t>
        </is>
      </c>
      <c r="B1037" t="inlineStr">
        <is>
          <t>Ulric De Varens Night For Men Eau De Toilette Spray 100ml</t>
        </is>
      </c>
      <c r="C1037" t="inlineStr">
        <is>
          <t>Eau De Toilette</t>
        </is>
      </c>
      <c r="D1037" t="inlineStr">
        <is>
          <t>Ulric De Varens</t>
        </is>
      </c>
      <c r="E1037" t="n">
        <v>5.18</v>
      </c>
      <c r="F1037" t="n">
        <v>1</v>
      </c>
      <c r="G1037" t="n">
        <v>4</v>
      </c>
      <c r="H1037" s="5">
        <f>HYPERLINK("https://api.qogita.com/variants/link/3326240027407/", "View Product")</f>
        <v/>
      </c>
    </row>
    <row r="1038">
      <c r="A1038" t="inlineStr">
        <is>
          <t>3326240036454</t>
        </is>
      </c>
      <c r="B1038" t="inlineStr">
        <is>
          <t>Ulric de Varens Dream of Varens Eau de Parfum 50ml</t>
        </is>
      </c>
      <c r="C1038" t="inlineStr">
        <is>
          <t>Eau De Parfum</t>
        </is>
      </c>
      <c r="D1038" t="inlineStr">
        <is>
          <t>Ulric De Varens</t>
        </is>
      </c>
      <c r="E1038" t="n">
        <v>5.77</v>
      </c>
      <c r="F1038" t="n">
        <v>1</v>
      </c>
      <c r="G1038" t="n">
        <v>2</v>
      </c>
      <c r="H1038" s="5">
        <f>HYPERLINK("https://api.qogita.com/variants/link/3326240036454/", "View Product")</f>
        <v/>
      </c>
    </row>
    <row r="1039">
      <c r="A1039" t="inlineStr">
        <is>
          <t>3326240046545</t>
        </is>
      </c>
      <c r="B1039" t="inlineStr">
        <is>
          <t>Ulric De Varens Udv Star Men Eau De Toilette Spray 100 Ml</t>
        </is>
      </c>
      <c r="C1039" t="inlineStr">
        <is>
          <t>Eau De Toilette</t>
        </is>
      </c>
      <c r="D1039" t="inlineStr">
        <is>
          <t>Ulric De Varens</t>
        </is>
      </c>
      <c r="E1039" t="n">
        <v>5.74</v>
      </c>
      <c r="F1039" t="n">
        <v>1</v>
      </c>
      <c r="G1039" t="n">
        <v>5</v>
      </c>
      <c r="H1039" s="5">
        <f>HYPERLINK("https://api.qogita.com/variants/link/3326240046545/", "View Product")</f>
        <v/>
      </c>
    </row>
    <row r="1040">
      <c r="A1040" t="inlineStr">
        <is>
          <t>3331438550100</t>
        </is>
      </c>
      <c r="B1040" t="inlineStr">
        <is>
          <t>Salvador Dali Dalilight Eau De Toilette Spray 30ml</t>
        </is>
      </c>
      <c r="C1040" t="inlineStr">
        <is>
          <t>Eau De Toilette</t>
        </is>
      </c>
      <c r="D1040" t="inlineStr">
        <is>
          <t>Salvador Dali</t>
        </is>
      </c>
      <c r="E1040" t="n">
        <v>8.109999999999999</v>
      </c>
      <c r="F1040" t="n">
        <v>1</v>
      </c>
      <c r="G1040" t="n">
        <v>5</v>
      </c>
      <c r="H1040" s="5">
        <f>HYPERLINK("https://api.qogita.com/variants/link/3331438550100/", "View Product")</f>
        <v/>
      </c>
    </row>
    <row r="1041">
      <c r="A1041" t="inlineStr">
        <is>
          <t>3331438910034</t>
        </is>
      </c>
      <c r="B1041" t="inlineStr">
        <is>
          <t>Salvador Dali Dalia Eau De Toilette 100ml for Women</t>
        </is>
      </c>
      <c r="C1041" t="inlineStr">
        <is>
          <t>Eau De Toilette</t>
        </is>
      </c>
      <c r="D1041" t="inlineStr">
        <is>
          <t>Salvador Dali</t>
        </is>
      </c>
      <c r="E1041" t="n">
        <v>20.1</v>
      </c>
      <c r="F1041" t="n">
        <v>1</v>
      </c>
      <c r="G1041" t="n">
        <v>28</v>
      </c>
      <c r="H1041" s="5">
        <f>HYPERLINK("https://api.qogita.com/variants/link/3331438910034/", "View Product")</f>
        <v/>
      </c>
    </row>
    <row r="1042">
      <c r="A1042" t="inlineStr">
        <is>
          <t>3331849013690</t>
        </is>
      </c>
      <c r="B1042" t="inlineStr">
        <is>
          <t>Berdoeues 1902 Rose Eau De Cologne Spray 125ml</t>
        </is>
      </c>
      <c r="C1042" t="inlineStr">
        <is>
          <t>Eau De Cologne</t>
        </is>
      </c>
      <c r="D1042" t="inlineStr">
        <is>
          <t>Berdoeues</t>
        </is>
      </c>
      <c r="E1042" t="n">
        <v>8.1</v>
      </c>
      <c r="F1042" t="n">
        <v>1</v>
      </c>
      <c r="G1042" t="n">
        <v>2</v>
      </c>
      <c r="H1042" s="5">
        <f>HYPERLINK("https://api.qogita.com/variants/link/3331849013690/", "View Product")</f>
        <v/>
      </c>
    </row>
    <row r="1043">
      <c r="A1043" t="inlineStr">
        <is>
          <t>3331849015991</t>
        </is>
      </c>
      <c r="B1043" t="inlineStr">
        <is>
          <t>Berdoeues Guaria Morada Eau De Parfum Spray 100ml</t>
        </is>
      </c>
      <c r="C1043" t="inlineStr">
        <is>
          <t>Eau De Parfum</t>
        </is>
      </c>
      <c r="D1043" t="inlineStr">
        <is>
          <t>Berdoeues</t>
        </is>
      </c>
      <c r="E1043" t="n">
        <v>35.93</v>
      </c>
      <c r="F1043" t="n">
        <v>1</v>
      </c>
      <c r="G1043" t="n">
        <v>6</v>
      </c>
      <c r="H1043" s="5">
        <f>HYPERLINK("https://api.qogita.com/variants/link/3331849015991/", "View Product")</f>
        <v/>
      </c>
    </row>
    <row r="1044">
      <c r="A1044" t="inlineStr">
        <is>
          <t>3337871307738</t>
        </is>
      </c>
      <c r="B1044" t="inlineStr">
        <is>
          <t>Vichy Nutrilogie 1 Day Cream For Dry Skin 50 Ml</t>
        </is>
      </c>
      <c r="C1044" t="inlineStr">
        <is>
          <t>Day Cream</t>
        </is>
      </c>
      <c r="D1044" t="inlineStr">
        <is>
          <t>Vichy</t>
        </is>
      </c>
      <c r="E1044" t="n">
        <v>18.99</v>
      </c>
      <c r="F1044" t="n">
        <v>1</v>
      </c>
      <c r="G1044" t="n">
        <v>33</v>
      </c>
      <c r="H1044" s="5">
        <f>HYPERLINK("https://api.qogita.com/variants/link/3337871307738/", "View Product")</f>
        <v/>
      </c>
    </row>
    <row r="1045">
      <c r="A1045" t="inlineStr">
        <is>
          <t>3337871318901</t>
        </is>
      </c>
      <c r="B1045" t="inlineStr">
        <is>
          <t>Vichy Homme Shaving Foam 200ml Antiirritation Formula</t>
        </is>
      </c>
      <c r="C1045" t="inlineStr">
        <is>
          <t>Shaving</t>
        </is>
      </c>
      <c r="D1045" t="inlineStr">
        <is>
          <t>Vichy</t>
        </is>
      </c>
      <c r="E1045" t="n">
        <v>10.34</v>
      </c>
      <c r="F1045" t="n">
        <v>1</v>
      </c>
      <c r="G1045" t="n">
        <v>16</v>
      </c>
      <c r="H1045" s="5">
        <f>HYPERLINK("https://api.qogita.com/variants/link/3337871318901/", "View Product")</f>
        <v/>
      </c>
    </row>
    <row r="1046">
      <c r="A1046" t="inlineStr">
        <is>
          <t>3337871320355</t>
        </is>
      </c>
      <c r="B1046" t="inlineStr">
        <is>
          <t>Vichy Homme Hydra Mag C Shower Gel For Body And Hair 200 Ml</t>
        </is>
      </c>
      <c r="C1046" t="inlineStr">
        <is>
          <t>Shower Gel</t>
        </is>
      </c>
      <c r="D1046" t="inlineStr">
        <is>
          <t>Vichy</t>
        </is>
      </c>
      <c r="E1046" t="n">
        <v>11.04</v>
      </c>
      <c r="F1046" t="n">
        <v>1</v>
      </c>
      <c r="G1046" t="n">
        <v>12</v>
      </c>
      <c r="H1046" s="5">
        <f>HYPERLINK("https://api.qogita.com/variants/link/3337871320355/", "View Product")</f>
        <v/>
      </c>
    </row>
    <row r="1047">
      <c r="A1047" t="inlineStr">
        <is>
          <t>3337871320751</t>
        </is>
      </c>
      <c r="B1047" t="inlineStr">
        <is>
          <t>Vichy Normaderm Tonic 200ml Skin Care</t>
        </is>
      </c>
      <c r="C1047" t="inlineStr">
        <is>
          <t>Face Lotion</t>
        </is>
      </c>
      <c r="D1047" t="inlineStr">
        <is>
          <t>Vichy</t>
        </is>
      </c>
      <c r="E1047" t="n">
        <v>11.72</v>
      </c>
      <c r="F1047" t="n">
        <v>1</v>
      </c>
      <c r="G1047" t="n">
        <v>37</v>
      </c>
      <c r="H1047" s="5">
        <f>HYPERLINK("https://api.qogita.com/variants/link/3337871320751/", "View Product")</f>
        <v/>
      </c>
    </row>
    <row r="1048">
      <c r="A1048" t="inlineStr">
        <is>
          <t>3337871320980</t>
        </is>
      </c>
      <c r="B1048" t="inlineStr">
        <is>
          <t>Vichy Purete Thermale Delicate Cleansing Foam For Face 150ml</t>
        </is>
      </c>
      <c r="C1048" t="inlineStr">
        <is>
          <t>Cleansing Foam</t>
        </is>
      </c>
      <c r="D1048" t="inlineStr">
        <is>
          <t>Vichy</t>
        </is>
      </c>
      <c r="E1048" t="n">
        <v>11.6</v>
      </c>
      <c r="F1048" t="n">
        <v>1</v>
      </c>
      <c r="G1048" t="n">
        <v>14</v>
      </c>
      <c r="H1048" s="5">
        <f>HYPERLINK("https://api.qogita.com/variants/link/3337871320980/", "View Product")</f>
        <v/>
      </c>
    </row>
    <row r="1049">
      <c r="A1049" t="inlineStr">
        <is>
          <t>3337871322571</t>
        </is>
      </c>
      <c r="B1049" t="inlineStr">
        <is>
          <t>Vichy Homme Hydra Mag C Antifatigue Moisturizing Treatment For Face And Eyes 50ml</t>
        </is>
      </c>
      <c r="C1049" t="inlineStr">
        <is>
          <t>Face Cream</t>
        </is>
      </c>
      <c r="D1049" t="inlineStr">
        <is>
          <t>Vichy</t>
        </is>
      </c>
      <c r="E1049" t="n">
        <v>17.35</v>
      </c>
      <c r="F1049" t="n">
        <v>1</v>
      </c>
      <c r="G1049" t="n">
        <v>10</v>
      </c>
      <c r="H1049" s="5">
        <f>HYPERLINK("https://api.qogita.com/variants/link/3337871322571/", "View Product")</f>
        <v/>
      </c>
    </row>
    <row r="1050">
      <c r="A1050" t="inlineStr">
        <is>
          <t>3337871322595</t>
        </is>
      </c>
      <c r="B1050" t="inlineStr">
        <is>
          <t>Vichy Aluminium Salt Free Deodorant Roll On 50ml 24 Hour Protection For Sensitive Skin</t>
        </is>
      </c>
      <c r="C1050" t="inlineStr">
        <is>
          <t>Deodorant &amp; Anti-Perspirant</t>
        </is>
      </c>
      <c r="D1050" t="inlineStr">
        <is>
          <t>Vichy</t>
        </is>
      </c>
      <c r="E1050" t="n">
        <v>8.859999999999999</v>
      </c>
      <c r="F1050" t="n">
        <v>1</v>
      </c>
      <c r="G1050" t="n">
        <v>5</v>
      </c>
      <c r="H1050" s="5">
        <f>HYPERLINK("https://api.qogita.com/variants/link/3337871322595/", "View Product")</f>
        <v/>
      </c>
    </row>
    <row r="1051">
      <c r="A1051" t="inlineStr">
        <is>
          <t>3337871328795</t>
        </is>
      </c>
      <c r="B1051" t="inlineStr">
        <is>
          <t>Vichy Liftactiv Supreme Anti-Wrinkle Cream 50ml</t>
        </is>
      </c>
      <c r="C1051" t="inlineStr">
        <is>
          <t>Anti-Aging Facial Care</t>
        </is>
      </c>
      <c r="D1051" t="inlineStr">
        <is>
          <t>Vichy</t>
        </is>
      </c>
      <c r="E1051" t="n">
        <v>27.97</v>
      </c>
      <c r="F1051" t="n">
        <v>1</v>
      </c>
      <c r="G1051" t="n">
        <v>20</v>
      </c>
      <c r="H1051" s="5">
        <f>HYPERLINK("https://api.qogita.com/variants/link/3337871328795/", "View Product")</f>
        <v/>
      </c>
    </row>
    <row r="1052">
      <c r="A1052" t="inlineStr">
        <is>
          <t>3337871328801</t>
        </is>
      </c>
      <c r="B1052" t="inlineStr">
        <is>
          <t>Vichy Liftactiv Supreme Cream For Dry Skin 50ml</t>
        </is>
      </c>
      <c r="C1052" t="inlineStr">
        <is>
          <t>Day Cream</t>
        </is>
      </c>
      <c r="D1052" t="inlineStr">
        <is>
          <t>Vichy</t>
        </is>
      </c>
      <c r="E1052" t="n">
        <v>28.55</v>
      </c>
      <c r="F1052" t="n">
        <v>1</v>
      </c>
      <c r="G1052" t="n">
        <v>3</v>
      </c>
      <c r="H1052" s="5">
        <f>HYPERLINK("https://api.qogita.com/variants/link/3337871328801/", "View Product")</f>
        <v/>
      </c>
    </row>
    <row r="1053">
      <c r="A1053" t="inlineStr">
        <is>
          <t>3337871330262</t>
        </is>
      </c>
      <c r="B1053" t="inlineStr">
        <is>
          <t>Vichy Dercos Anti-Dandruff Shampoo For Dry Hair 200ml</t>
        </is>
      </c>
      <c r="C1053" t="inlineStr">
        <is>
          <t>Shampoo</t>
        </is>
      </c>
      <c r="D1053" t="inlineStr">
        <is>
          <t>Vichy</t>
        </is>
      </c>
      <c r="E1053" t="n">
        <v>12.18</v>
      </c>
      <c r="F1053" t="n">
        <v>1</v>
      </c>
      <c r="G1053" t="n">
        <v>85</v>
      </c>
      <c r="H1053" s="5">
        <f>HYPERLINK("https://api.qogita.com/variants/link/3337871330262/", "View Product")</f>
        <v/>
      </c>
    </row>
    <row r="1054">
      <c r="A1054" t="inlineStr">
        <is>
          <t>3337872411083</t>
        </is>
      </c>
      <c r="B1054" t="inlineStr">
        <is>
          <t>La Roche-Posay Effaclar Purifying Foaming Gel Facial Cleanser 200ml</t>
        </is>
      </c>
      <c r="C1054" t="inlineStr">
        <is>
          <t>Cleansing Gel</t>
        </is>
      </c>
      <c r="D1054" t="inlineStr">
        <is>
          <t>La Roche-Posay</t>
        </is>
      </c>
      <c r="E1054" t="n">
        <v>11.85</v>
      </c>
      <c r="F1054" t="n">
        <v>1</v>
      </c>
      <c r="G1054" t="n">
        <v>13</v>
      </c>
      <c r="H1054" s="5">
        <f>HYPERLINK("https://api.qogita.com/variants/link/3337872411083/", "View Product")</f>
        <v/>
      </c>
    </row>
    <row r="1055">
      <c r="A1055" t="inlineStr">
        <is>
          <t>3337872412158</t>
        </is>
      </c>
      <c r="B1055" t="inlineStr">
        <is>
          <t>La Roche Posay Physiological Deodorant Rollon 24h 50 Ml</t>
        </is>
      </c>
      <c r="C1055" t="inlineStr">
        <is>
          <t>Deodorant &amp; Anti-Perspirant</t>
        </is>
      </c>
      <c r="D1055" t="inlineStr">
        <is>
          <t>La Roche-Posay</t>
        </is>
      </c>
      <c r="E1055" t="n">
        <v>9.779999999999999</v>
      </c>
      <c r="F1055" t="n">
        <v>1</v>
      </c>
      <c r="G1055" t="n">
        <v>32</v>
      </c>
      <c r="H1055" s="5">
        <f>HYPERLINK("https://api.qogita.com/variants/link/3337872412158/", "View Product")</f>
        <v/>
      </c>
    </row>
    <row r="1056">
      <c r="A1056" t="inlineStr">
        <is>
          <t>3337872412646</t>
        </is>
      </c>
      <c r="B1056" t="inlineStr">
        <is>
          <t>La Rocheposay Hydraphase Intense Eyes 15ml Intensive Moisturizing Eye Gel For Antipuffiness</t>
        </is>
      </c>
      <c r="C1056" t="inlineStr">
        <is>
          <t>Eye Gel</t>
        </is>
      </c>
      <c r="D1056" t="inlineStr">
        <is>
          <t>La Roche-Posay</t>
        </is>
      </c>
      <c r="E1056" t="n">
        <v>17.35</v>
      </c>
      <c r="F1056" t="n">
        <v>1</v>
      </c>
      <c r="G1056" t="n">
        <v>3</v>
      </c>
      <c r="H1056" s="5">
        <f>HYPERLINK("https://api.qogita.com/variants/link/3337872412646/", "View Product")</f>
        <v/>
      </c>
    </row>
    <row r="1057">
      <c r="A1057" t="inlineStr">
        <is>
          <t>3337872413025</t>
        </is>
      </c>
      <c r="B1057" t="inlineStr">
        <is>
          <t>La Rocheposay Effaclar Mat Moisturizing Selfregulating Cream 40 Ml</t>
        </is>
      </c>
      <c r="C1057" t="inlineStr">
        <is>
          <t>Face Cream</t>
        </is>
      </c>
      <c r="D1057" t="inlineStr">
        <is>
          <t>La Roche-Posay</t>
        </is>
      </c>
      <c r="E1057" t="n">
        <v>16.99</v>
      </c>
      <c r="F1057" t="n">
        <v>1</v>
      </c>
      <c r="G1057" t="n">
        <v>30</v>
      </c>
      <c r="H1057" s="5">
        <f>HYPERLINK("https://api.qogita.com/variants/link/3337872413025/", "View Product")</f>
        <v/>
      </c>
    </row>
    <row r="1058">
      <c r="A1058" t="inlineStr">
        <is>
          <t>3337872414039</t>
        </is>
      </c>
      <c r="B1058" t="inlineStr">
        <is>
          <t>La Roche-Posay Redermic R Eyes Anti-Aging Concentrate 15ml</t>
        </is>
      </c>
      <c r="C1058" t="inlineStr">
        <is>
          <t>Eye Cream</t>
        </is>
      </c>
      <c r="D1058" t="inlineStr">
        <is>
          <t>La Roche-Posay</t>
        </is>
      </c>
      <c r="E1058" t="n">
        <v>24.09</v>
      </c>
      <c r="F1058" t="n">
        <v>1</v>
      </c>
      <c r="G1058" t="n">
        <v>14</v>
      </c>
      <c r="H1058" s="5">
        <f>HYPERLINK("https://api.qogita.com/variants/link/3337872414039/", "View Product")</f>
        <v/>
      </c>
    </row>
    <row r="1059">
      <c r="A1059" t="inlineStr">
        <is>
          <t>3337872419904</t>
        </is>
      </c>
      <c r="B1059" t="inlineStr">
        <is>
          <t>La Rocheposay Anthelios Dermopediatrics Lotion Spf 50 For Babies 50 Ml</t>
        </is>
      </c>
      <c r="C1059" t="inlineStr">
        <is>
          <t>Baby Cream &amp; Oil</t>
        </is>
      </c>
      <c r="D1059" t="inlineStr">
        <is>
          <t>La Roche-Posay</t>
        </is>
      </c>
      <c r="E1059" t="n">
        <v>17.17</v>
      </c>
      <c r="F1059" t="n">
        <v>1</v>
      </c>
      <c r="G1059" t="n">
        <v>11</v>
      </c>
      <c r="H1059" s="5">
        <f>HYPERLINK("https://api.qogita.com/variants/link/3337872419904/", "View Product")</f>
        <v/>
      </c>
    </row>
    <row r="1060">
      <c r="A1060" t="inlineStr">
        <is>
          <t>3337872420269</t>
        </is>
      </c>
      <c r="B1060" t="inlineStr">
        <is>
          <t>La Roche-Posay Rosaliac Micellar Gel For Cleansing And Makeup Removal 195ml</t>
        </is>
      </c>
      <c r="C1060" t="inlineStr">
        <is>
          <t>Cleansing Gel</t>
        </is>
      </c>
      <c r="D1060" t="inlineStr">
        <is>
          <t>La Roche-Posay</t>
        </is>
      </c>
      <c r="E1060" t="n">
        <v>14.77</v>
      </c>
      <c r="F1060" t="n">
        <v>1</v>
      </c>
      <c r="G1060" t="n">
        <v>18</v>
      </c>
      <c r="H1060" s="5">
        <f>HYPERLINK("https://api.qogita.com/variants/link/3337872420269/", "View Product")</f>
        <v/>
      </c>
    </row>
    <row r="1061">
      <c r="A1061" t="inlineStr">
        <is>
          <t>3337875543248</t>
        </is>
      </c>
      <c r="B1061" t="inlineStr">
        <is>
          <t>Vichy Mineral 89 Skin Serum Hyaluronic Acid Face Moisturizer 50ml</t>
        </is>
      </c>
      <c r="C1061" t="inlineStr">
        <is>
          <t>Hyaluronic Acid Serum</t>
        </is>
      </c>
      <c r="D1061" t="inlineStr">
        <is>
          <t>Vichy</t>
        </is>
      </c>
      <c r="E1061" t="n">
        <v>18.98</v>
      </c>
      <c r="F1061" t="n">
        <v>1</v>
      </c>
      <c r="G1061" t="n">
        <v>40</v>
      </c>
      <c r="H1061" s="5">
        <f>HYPERLINK("https://api.qogita.com/variants/link/3337875543248/", "View Product")</f>
        <v/>
      </c>
    </row>
    <row r="1062">
      <c r="A1062" t="inlineStr">
        <is>
          <t>3337875545778</t>
        </is>
      </c>
      <c r="B1062" t="inlineStr">
        <is>
          <t>La Rocheposay Toleriane Cleansing Cream 400ml</t>
        </is>
      </c>
      <c r="C1062" t="inlineStr">
        <is>
          <t>Cleansing Cream</t>
        </is>
      </c>
      <c r="D1062" t="inlineStr">
        <is>
          <t>La Roche-Posay</t>
        </is>
      </c>
      <c r="E1062" t="n">
        <v>16.97</v>
      </c>
      <c r="F1062" t="n">
        <v>1</v>
      </c>
      <c r="G1062" t="n">
        <v>14</v>
      </c>
      <c r="H1062" s="5">
        <f>HYPERLINK("https://api.qogita.com/variants/link/3337875545778/", "View Product")</f>
        <v/>
      </c>
    </row>
    <row r="1063">
      <c r="A1063" t="inlineStr">
        <is>
          <t>3337875546409</t>
        </is>
      </c>
      <c r="B1063" t="inlineStr">
        <is>
          <t>La Roche-Posay Anthelios Anti-Shine Dry Touch Gel-Cream Spf50 Facial Sunscreen 50ml</t>
        </is>
      </c>
      <c r="C1063" t="inlineStr">
        <is>
          <t>Face Sun Protection</t>
        </is>
      </c>
      <c r="D1063" t="inlineStr">
        <is>
          <t>La Roche-Posay</t>
        </is>
      </c>
      <c r="E1063" t="n">
        <v>11.77</v>
      </c>
      <c r="F1063" t="n">
        <v>1</v>
      </c>
      <c r="G1063" t="n">
        <v>11</v>
      </c>
      <c r="H1063" s="5">
        <f>HYPERLINK("https://api.qogita.com/variants/link/3337875546409/", "View Product")</f>
        <v/>
      </c>
    </row>
    <row r="1064">
      <c r="A1064" t="inlineStr">
        <is>
          <t>3337875549486</t>
        </is>
      </c>
      <c r="B1064" t="inlineStr">
        <is>
          <t>Effaclar Gel Moussant 300ml</t>
        </is>
      </c>
      <c r="C1064" t="inlineStr">
        <is>
          <t>Cleansing Gel</t>
        </is>
      </c>
      <c r="D1064" t="inlineStr">
        <is>
          <t>La Roche-Posay</t>
        </is>
      </c>
      <c r="E1064" t="n">
        <v>12.4</v>
      </c>
      <c r="F1064" t="n">
        <v>1</v>
      </c>
      <c r="G1064" t="n">
        <v>18</v>
      </c>
      <c r="H1064" s="5">
        <f>HYPERLINK("https://api.qogita.com/variants/link/3337875549486/", "View Product")</f>
        <v/>
      </c>
    </row>
    <row r="1065">
      <c r="A1065" t="inlineStr">
        <is>
          <t>3337875558037</t>
        </is>
      </c>
      <c r="B1065" t="inlineStr">
        <is>
          <t>Vichy Ideal Soleil Spf 50 Antisand Mist For Children 200 Ml</t>
        </is>
      </c>
      <c r="C1065" t="inlineStr">
        <is>
          <t>Sun Protection For Children</t>
        </is>
      </c>
      <c r="D1065" t="inlineStr">
        <is>
          <t>Vichy</t>
        </is>
      </c>
      <c r="E1065" t="n">
        <v>16.37</v>
      </c>
      <c r="F1065" t="n">
        <v>1</v>
      </c>
      <c r="G1065" t="n">
        <v>7</v>
      </c>
      <c r="H1065" s="5">
        <f>HYPERLINK("https://api.qogita.com/variants/link/3337875558037/", "View Product")</f>
        <v/>
      </c>
    </row>
    <row r="1066">
      <c r="A1066" t="inlineStr">
        <is>
          <t>3337875574358</t>
        </is>
      </c>
      <c r="B1066" t="inlineStr">
        <is>
          <t>Dercos Densi-Solutions Shampoo For Increasing Hair Volume 250ml</t>
        </is>
      </c>
      <c r="C1066" t="inlineStr">
        <is>
          <t>Shampoo</t>
        </is>
      </c>
      <c r="D1066" t="inlineStr">
        <is>
          <t>‎Dercos</t>
        </is>
      </c>
      <c r="E1066" t="n">
        <v>13.75</v>
      </c>
      <c r="F1066" t="n">
        <v>1</v>
      </c>
      <c r="G1066" t="n">
        <v>3</v>
      </c>
      <c r="H1066" s="5">
        <f>HYPERLINK("https://api.qogita.com/variants/link/3337875574358/", "View Product")</f>
        <v/>
      </c>
    </row>
    <row r="1067">
      <c r="A1067" t="inlineStr">
        <is>
          <t>3337875579919</t>
        </is>
      </c>
      <c r="B1067" t="inlineStr">
        <is>
          <t>Vichy Neovadiol Rose Platinum Cream 50ml</t>
        </is>
      </c>
      <c r="C1067" t="inlineStr">
        <is>
          <t>Face Cream</t>
        </is>
      </c>
      <c r="D1067" t="inlineStr">
        <is>
          <t>Vichy</t>
        </is>
      </c>
      <c r="E1067" t="n">
        <v>32.69</v>
      </c>
      <c r="F1067" t="n">
        <v>1</v>
      </c>
      <c r="G1067" t="n">
        <v>6</v>
      </c>
      <c r="H1067" s="5">
        <f>HYPERLINK("https://api.qogita.com/variants/link/3337875579919/", "View Product")</f>
        <v/>
      </c>
    </row>
    <row r="1068">
      <c r="A1068" t="inlineStr">
        <is>
          <t>3337875583589</t>
        </is>
      </c>
      <c r="B1068" t="inlineStr">
        <is>
          <t>La Roche-Posay Hyalu B5 Anti-Wrinkle Cream 40ml</t>
        </is>
      </c>
      <c r="C1068" t="inlineStr">
        <is>
          <t>Anti-Aging Facial Care</t>
        </is>
      </c>
      <c r="D1068" t="inlineStr">
        <is>
          <t>La Roche-Posay</t>
        </is>
      </c>
      <c r="E1068" t="n">
        <v>27.28</v>
      </c>
      <c r="F1068" t="n">
        <v>1</v>
      </c>
      <c r="G1068" t="n">
        <v>29</v>
      </c>
      <c r="H1068" s="5">
        <f>HYPERLINK("https://api.qogita.com/variants/link/3337875583589/", "View Product")</f>
        <v/>
      </c>
    </row>
    <row r="1069">
      <c r="A1069" t="inlineStr">
        <is>
          <t>3337875597319</t>
        </is>
      </c>
      <c r="B1069" t="inlineStr">
        <is>
          <t>Cerave Reparative Hand Cream For Very Dry Skin 50ml</t>
        </is>
      </c>
      <c r="C1069" t="inlineStr">
        <is>
          <t>Hand Cream</t>
        </is>
      </c>
      <c r="D1069" t="inlineStr">
        <is>
          <t>CeraVe</t>
        </is>
      </c>
      <c r="E1069" t="n">
        <v>6.86</v>
      </c>
      <c r="F1069" t="n">
        <v>1</v>
      </c>
      <c r="G1069" t="n">
        <v>14</v>
      </c>
      <c r="H1069" s="5">
        <f>HYPERLINK("https://api.qogita.com/variants/link/3337875597319/", "View Product")</f>
        <v/>
      </c>
    </row>
    <row r="1070">
      <c r="A1070" t="inlineStr">
        <is>
          <t>3337875597388</t>
        </is>
      </c>
      <c r="B1070" t="inlineStr">
        <is>
          <t>Cerave Hydrating Cream For Dry To Very Dry Skin 454g</t>
        </is>
      </c>
      <c r="C1070" t="inlineStr">
        <is>
          <t>Face Cream</t>
        </is>
      </c>
      <c r="D1070" t="inlineStr">
        <is>
          <t>CeraVe</t>
        </is>
      </c>
      <c r="E1070" t="n">
        <v>16.98</v>
      </c>
      <c r="F1070" t="n">
        <v>1</v>
      </c>
      <c r="G1070" t="n">
        <v>43</v>
      </c>
      <c r="H1070" s="5">
        <f>HYPERLINK("https://api.qogita.com/variants/link/3337875597388/", "View Product")</f>
        <v/>
      </c>
    </row>
    <row r="1071">
      <c r="A1071" t="inlineStr">
        <is>
          <t>3337875597449</t>
        </is>
      </c>
      <c r="B1071" t="inlineStr">
        <is>
          <t>Cerave Moisturizing Face Cream For Normal And Dry Skin 52ml</t>
        </is>
      </c>
      <c r="C1071" t="inlineStr">
        <is>
          <t>Face Cream</t>
        </is>
      </c>
      <c r="D1071" t="inlineStr">
        <is>
          <t>CeraVe</t>
        </is>
      </c>
      <c r="E1071" t="n">
        <v>14.77</v>
      </c>
      <c r="F1071" t="n">
        <v>1</v>
      </c>
      <c r="G1071" t="n">
        <v>6</v>
      </c>
      <c r="H1071" s="5">
        <f>HYPERLINK("https://api.qogita.com/variants/link/3337875597449/", "View Product")</f>
        <v/>
      </c>
    </row>
    <row r="1072">
      <c r="A1072" t="inlineStr">
        <is>
          <t>3337875598767</t>
        </is>
      </c>
      <c r="B1072" t="inlineStr">
        <is>
          <t>Cerave Hydrating Cleanser 1000ml</t>
        </is>
      </c>
      <c r="C1072" t="inlineStr">
        <is>
          <t>Cleansing Cream</t>
        </is>
      </c>
      <c r="D1072" t="inlineStr">
        <is>
          <t>CeraVe</t>
        </is>
      </c>
      <c r="E1072" t="n">
        <v>17.98</v>
      </c>
      <c r="F1072" t="n">
        <v>1</v>
      </c>
      <c r="G1072" t="n">
        <v>9</v>
      </c>
      <c r="H1072" s="5">
        <f>HYPERLINK("https://api.qogita.com/variants/link/3337875598767/", "View Product")</f>
        <v/>
      </c>
    </row>
    <row r="1073">
      <c r="A1073" t="inlineStr">
        <is>
          <t>3337875656757</t>
        </is>
      </c>
      <c r="B1073" t="inlineStr">
        <is>
          <t>La Rocheposay Lipikar Huile Lavante Ap Lipidreplenishing Cleansing Oil 750 Ml For Sensitive Skin</t>
        </is>
      </c>
      <c r="C1073" t="inlineStr">
        <is>
          <t>Shower Oil</t>
        </is>
      </c>
      <c r="D1073" t="inlineStr">
        <is>
          <t>La Roche-Posay</t>
        </is>
      </c>
      <c r="E1073" t="n">
        <v>18.53</v>
      </c>
      <c r="F1073" t="n">
        <v>1</v>
      </c>
      <c r="G1073" t="n">
        <v>4</v>
      </c>
      <c r="H1073" s="5">
        <f>HYPERLINK("https://api.qogita.com/variants/link/3337875656757/", "View Product")</f>
        <v/>
      </c>
    </row>
    <row r="1074">
      <c r="A1074" t="inlineStr">
        <is>
          <t>3337875656764</t>
        </is>
      </c>
      <c r="B1074" t="inlineStr">
        <is>
          <t>La Rocheposay Lipikar Huile Lavante Ap Lipidreplenishing Cleansing Oil Shower Oil 400 Ml</t>
        </is>
      </c>
      <c r="C1074" t="inlineStr">
        <is>
          <t>Shower Oil</t>
        </is>
      </c>
      <c r="D1074" t="inlineStr">
        <is>
          <t>La Roche-Posay</t>
        </is>
      </c>
      <c r="E1074" t="n">
        <v>14.96</v>
      </c>
      <c r="F1074" t="n">
        <v>1</v>
      </c>
      <c r="G1074" t="n">
        <v>7</v>
      </c>
      <c r="H1074" s="5">
        <f>HYPERLINK("https://api.qogita.com/variants/link/3337875656764/", "View Product")</f>
        <v/>
      </c>
    </row>
    <row r="1075">
      <c r="A1075" t="inlineStr">
        <is>
          <t>3337875660549</t>
        </is>
      </c>
      <c r="B1075" t="inlineStr">
        <is>
          <t>La Roche-Posay Redermic Retinol Anti-Wrinkle Cream 30ml</t>
        </is>
      </c>
      <c r="C1075" t="inlineStr">
        <is>
          <t>Anti-Aging Facial Care</t>
        </is>
      </c>
      <c r="D1075" t="inlineStr">
        <is>
          <t>La Roche-Posay</t>
        </is>
      </c>
      <c r="E1075" t="n">
        <v>29.52</v>
      </c>
      <c r="F1075" t="n">
        <v>1</v>
      </c>
      <c r="G1075" t="n">
        <v>4</v>
      </c>
      <c r="H1075" s="5">
        <f>HYPERLINK("https://api.qogita.com/variants/link/3337875660549/", "View Product")</f>
        <v/>
      </c>
    </row>
    <row r="1076">
      <c r="A1076" t="inlineStr">
        <is>
          <t>3337875677967</t>
        </is>
      </c>
      <c r="B1076" t="inlineStr">
        <is>
          <t>Dercos Densi-Solutions Hair Volume Increasing Conditioner 200ml</t>
        </is>
      </c>
      <c r="C1076" t="inlineStr">
        <is>
          <t>Conditioner</t>
        </is>
      </c>
      <c r="D1076" t="inlineStr">
        <is>
          <t>‎Dercos</t>
        </is>
      </c>
      <c r="E1076" t="n">
        <v>14.63</v>
      </c>
      <c r="F1076" t="n">
        <v>1</v>
      </c>
      <c r="G1076" t="n">
        <v>14</v>
      </c>
      <c r="H1076" s="5">
        <f>HYPERLINK("https://api.qogita.com/variants/link/3337875677967/", "View Product")</f>
        <v/>
      </c>
    </row>
    <row r="1077">
      <c r="A1077" t="inlineStr">
        <is>
          <t>3337875684101</t>
        </is>
      </c>
      <c r="B1077" t="inlineStr">
        <is>
          <t>Cerave Sa Smoothing Cream Antiroughness 340g Moisturizing Softening Cream For Dry To Very Dry Skin</t>
        </is>
      </c>
      <c r="C1077" t="inlineStr">
        <is>
          <t>Face Cream</t>
        </is>
      </c>
      <c r="D1077" t="inlineStr">
        <is>
          <t>CeraVe</t>
        </is>
      </c>
      <c r="E1077" t="n">
        <v>16.24</v>
      </c>
      <c r="F1077" t="n">
        <v>1</v>
      </c>
      <c r="G1077" t="n">
        <v>39</v>
      </c>
      <c r="H1077" s="5">
        <f>HYPERLINK("https://api.qogita.com/variants/link/3337875684101/", "View Product")</f>
        <v/>
      </c>
    </row>
    <row r="1078">
      <c r="A1078" t="inlineStr">
        <is>
          <t>3337875684118</t>
        </is>
      </c>
      <c r="B1078" t="inlineStr">
        <is>
          <t>Cerave Sa Smoothing Cleanser For Normal And Dry Skin 236ml</t>
        </is>
      </c>
      <c r="C1078" t="inlineStr">
        <is>
          <t>Cleansing Gel</t>
        </is>
      </c>
      <c r="D1078" t="inlineStr">
        <is>
          <t>CeraVe</t>
        </is>
      </c>
      <c r="E1078" t="n">
        <v>12.03</v>
      </c>
      <c r="F1078" t="n">
        <v>1</v>
      </c>
      <c r="G1078" t="n">
        <v>13</v>
      </c>
      <c r="H1078" s="5">
        <f>HYPERLINK("https://api.qogita.com/variants/link/3337875684118/", "View Product")</f>
        <v/>
      </c>
    </row>
    <row r="1079">
      <c r="A1079" t="inlineStr">
        <is>
          <t>3337875708937</t>
        </is>
      </c>
      <c r="B1079" t="inlineStr">
        <is>
          <t>Vichy Mineral Rollon Deodorant 50 Ml</t>
        </is>
      </c>
      <c r="C1079" t="inlineStr">
        <is>
          <t>Deodorant &amp; Anti-Perspirant</t>
        </is>
      </c>
      <c r="D1079" t="inlineStr">
        <is>
          <t>Vichy</t>
        </is>
      </c>
      <c r="E1079" t="n">
        <v>10.65</v>
      </c>
      <c r="F1079" t="n">
        <v>1</v>
      </c>
      <c r="G1079" t="n">
        <v>5</v>
      </c>
      <c r="H1079" s="5">
        <f>HYPERLINK("https://api.qogita.com/variants/link/3337875708937/", "View Product")</f>
        <v/>
      </c>
    </row>
    <row r="1080">
      <c r="A1080" t="inlineStr">
        <is>
          <t>3337875731409</t>
        </is>
      </c>
      <c r="B1080" t="inlineStr">
        <is>
          <t>La Rocheposay Hydraphase Ha Rich Cream Intense Hydration 50 Ml Moisturizer For Deep Hydration</t>
        </is>
      </c>
      <c r="C1080" t="inlineStr">
        <is>
          <t>Face Cream</t>
        </is>
      </c>
      <c r="D1080" t="inlineStr">
        <is>
          <t>La Roche-Posay</t>
        </is>
      </c>
      <c r="E1080" t="n">
        <v>20.28</v>
      </c>
      <c r="F1080" t="n">
        <v>1</v>
      </c>
      <c r="G1080" t="n">
        <v>25</v>
      </c>
      <c r="H1080" s="5">
        <f>HYPERLINK("https://api.qogita.com/variants/link/3337875731409/", "View Product")</f>
        <v/>
      </c>
    </row>
    <row r="1081">
      <c r="A1081" t="inlineStr">
        <is>
          <t>3337875782357</t>
        </is>
      </c>
      <c r="B1081" t="inlineStr">
        <is>
          <t>Cerave Imperfections Control Gel 40ml Skin Gel Against Skin Imperfections</t>
        </is>
      </c>
      <c r="C1081" t="inlineStr">
        <is>
          <t>Pimple &amp; Blackhead Treatments</t>
        </is>
      </c>
      <c r="D1081" t="inlineStr">
        <is>
          <t>CeraVe</t>
        </is>
      </c>
      <c r="E1081" t="n">
        <v>12.34</v>
      </c>
      <c r="F1081" t="n">
        <v>1</v>
      </c>
      <c r="G1081" t="n">
        <v>17</v>
      </c>
      <c r="H1081" s="5">
        <f>HYPERLINK("https://api.qogita.com/variants/link/3337875782357/", "View Product")</f>
        <v/>
      </c>
    </row>
    <row r="1082">
      <c r="A1082" t="inlineStr">
        <is>
          <t>3337875784054</t>
        </is>
      </c>
      <c r="B1082" t="inlineStr">
        <is>
          <t>Cerave Acne Cleansing Gel 236 Ml</t>
        </is>
      </c>
      <c r="C1082" t="inlineStr">
        <is>
          <t>Cleansing Gel</t>
        </is>
      </c>
      <c r="D1082" t="inlineStr">
        <is>
          <t>CeraVe</t>
        </is>
      </c>
      <c r="E1082" t="n">
        <v>11.2</v>
      </c>
      <c r="F1082" t="n">
        <v>1</v>
      </c>
      <c r="G1082" t="n">
        <v>54</v>
      </c>
      <c r="H1082" s="5">
        <f>HYPERLINK("https://api.qogita.com/variants/link/3337875784054/", "View Product")</f>
        <v/>
      </c>
    </row>
    <row r="1083">
      <c r="A1083" t="inlineStr">
        <is>
          <t>3337875791984</t>
        </is>
      </c>
      <c r="B1083" t="inlineStr">
        <is>
          <t>Vichy Normaderm Acne Prone Skin Probio Bha Serum Anti Imperfections 30 Ml</t>
        </is>
      </c>
      <c r="C1083" t="inlineStr">
        <is>
          <t>Hydrating Serum</t>
        </is>
      </c>
      <c r="D1083" t="inlineStr">
        <is>
          <t>Vichy</t>
        </is>
      </c>
      <c r="E1083" t="n">
        <v>23.35</v>
      </c>
      <c r="F1083" t="n">
        <v>1</v>
      </c>
      <c r="G1083" t="n">
        <v>17</v>
      </c>
      <c r="H1083" s="5">
        <f>HYPERLINK("https://api.qogita.com/variants/link/3337875791984/", "View Product")</f>
        <v/>
      </c>
    </row>
    <row r="1084">
      <c r="A1084" t="inlineStr">
        <is>
          <t>3337875794091</t>
        </is>
      </c>
      <c r="B1084" t="inlineStr">
        <is>
          <t>La Roche Posay Hydraphase HA BB Cream Light 40ml Fair</t>
        </is>
      </c>
      <c r="C1084" t="inlineStr">
        <is>
          <t>Tinted Day Cream</t>
        </is>
      </c>
      <c r="D1084" t="inlineStr">
        <is>
          <t>La Roche-Posay</t>
        </is>
      </c>
      <c r="E1084" t="n">
        <v>20.14</v>
      </c>
      <c r="F1084" t="n">
        <v>1</v>
      </c>
      <c r="G1084" t="n">
        <v>14</v>
      </c>
      <c r="H1084" s="5">
        <f>HYPERLINK("https://api.qogita.com/variants/link/3337875794091/", "View Product")</f>
        <v/>
      </c>
    </row>
    <row r="1085">
      <c r="A1085" t="inlineStr">
        <is>
          <t>3337875803786</t>
        </is>
      </c>
      <c r="B1085" t="inlineStr">
        <is>
          <t>La Rocheposay Lipikar Baume Light Apm Antiitch Balm 400ml</t>
        </is>
      </c>
      <c r="C1085" t="inlineStr">
        <is>
          <t>Body Lotion</t>
        </is>
      </c>
      <c r="D1085" t="inlineStr">
        <is>
          <t>La Roche-Posay</t>
        </is>
      </c>
      <c r="E1085" t="n">
        <v>20.43</v>
      </c>
      <c r="F1085" t="n">
        <v>1</v>
      </c>
      <c r="G1085" t="n">
        <v>2</v>
      </c>
      <c r="H1085" s="5">
        <f>HYPERLINK("https://api.qogita.com/variants/link/3337875803786/", "View Product")</f>
        <v/>
      </c>
    </row>
    <row r="1086">
      <c r="A1086" t="inlineStr">
        <is>
          <t>3337875806923</t>
        </is>
      </c>
      <c r="B1086" t="inlineStr">
        <is>
          <t>La Rocheposay Hyalu B5 Eye Serum 15 Ml With Hyaluronic Acid</t>
        </is>
      </c>
      <c r="C1086" t="inlineStr">
        <is>
          <t>Eye Serum</t>
        </is>
      </c>
      <c r="D1086" t="inlineStr">
        <is>
          <t>La Roche-Posay</t>
        </is>
      </c>
      <c r="E1086" t="n">
        <v>46.37</v>
      </c>
      <c r="F1086" t="n">
        <v>1</v>
      </c>
      <c r="G1086" t="n">
        <v>5</v>
      </c>
      <c r="H1086" s="5">
        <f>HYPERLINK("https://api.qogita.com/variants/link/3337875806923/", "View Product")</f>
        <v/>
      </c>
    </row>
    <row r="1087">
      <c r="A1087" t="inlineStr">
        <is>
          <t>3337875824033</t>
        </is>
      </c>
      <c r="B1087" t="inlineStr">
        <is>
          <t>Vichy Neovadiol Multicorrective Treatment For Eyes And Lips 15 Ml</t>
        </is>
      </c>
      <c r="C1087" t="inlineStr">
        <is>
          <t>Eye Cream</t>
        </is>
      </c>
      <c r="D1087" t="inlineStr">
        <is>
          <t>Vichy</t>
        </is>
      </c>
      <c r="E1087" t="n">
        <v>24.32</v>
      </c>
      <c r="F1087" t="n">
        <v>1</v>
      </c>
      <c r="G1087" t="n">
        <v>3</v>
      </c>
      <c r="H1087" s="5">
        <f>HYPERLINK("https://api.qogita.com/variants/link/3337875824033/", "View Product")</f>
        <v/>
      </c>
    </row>
    <row r="1088">
      <c r="A1088" t="inlineStr">
        <is>
          <t>3337875832724</t>
        </is>
      </c>
      <c r="B1088" t="inlineStr">
        <is>
          <t>Vichy Lift Activ Cream Against Discoloration Spf 50 50ml - Anti-Aging Sunscreen</t>
        </is>
      </c>
      <c r="C1088" t="inlineStr">
        <is>
          <t>Face Sun Protection</t>
        </is>
      </c>
      <c r="D1088" t="inlineStr">
        <is>
          <t>Vichy</t>
        </is>
      </c>
      <c r="E1088" t="n">
        <v>31.62</v>
      </c>
      <c r="F1088" t="n">
        <v>1</v>
      </c>
      <c r="G1088" t="n">
        <v>2</v>
      </c>
      <c r="H1088" s="5">
        <f>HYPERLINK("https://api.qogita.com/variants/link/3337875832724/", "View Product")</f>
        <v/>
      </c>
    </row>
    <row r="1089">
      <c r="A1089" t="inlineStr">
        <is>
          <t>3337875840620</t>
        </is>
      </c>
      <c r="B1089" t="inlineStr">
        <is>
          <t>Cerave Facial Moisturizing Lotion Hydrating Face Cream Spf30 52ml</t>
        </is>
      </c>
      <c r="C1089" t="inlineStr">
        <is>
          <t>Day Cream</t>
        </is>
      </c>
      <c r="D1089" t="inlineStr">
        <is>
          <t>CeraVe</t>
        </is>
      </c>
      <c r="E1089" t="n">
        <v>12.95</v>
      </c>
      <c r="F1089" t="n">
        <v>1</v>
      </c>
      <c r="G1089" t="n">
        <v>32</v>
      </c>
      <c r="H1089" s="5">
        <f>HYPERLINK("https://api.qogita.com/variants/link/3337875840620/", "View Product")</f>
        <v/>
      </c>
    </row>
    <row r="1090">
      <c r="A1090" t="inlineStr">
        <is>
          <t>3337875847087</t>
        </is>
      </c>
      <c r="B1090" t="inlineStr">
        <is>
          <t>La Rocheposay Tinted Sunscreen Fluid Spf 50 Anthelios Uvmune 400 50 Ml</t>
        </is>
      </c>
      <c r="C1090" t="inlineStr">
        <is>
          <t>Face Sun Protection</t>
        </is>
      </c>
      <c r="D1090" t="inlineStr">
        <is>
          <t>La Roche-Posay</t>
        </is>
      </c>
      <c r="E1090" t="n">
        <v>20.61</v>
      </c>
      <c r="F1090" t="n">
        <v>1</v>
      </c>
      <c r="G1090" t="n">
        <v>4</v>
      </c>
      <c r="H1090" s="5">
        <f>HYPERLINK("https://api.qogita.com/variants/link/3337875847087/", "View Product")</f>
        <v/>
      </c>
    </row>
    <row r="1091">
      <c r="A1091" t="inlineStr">
        <is>
          <t>3337875849302</t>
        </is>
      </c>
      <c r="B1091" t="inlineStr">
        <is>
          <t>Cerave Advanced Repair Ointment with Hyaluronic Acid and 3 Essential Ceramides</t>
        </is>
      </c>
      <c r="C1091" t="inlineStr">
        <is>
          <t>Face Cream</t>
        </is>
      </c>
      <c r="D1091" t="inlineStr">
        <is>
          <t>CeraVe</t>
        </is>
      </c>
      <c r="E1091" t="n">
        <v>8.220000000000001</v>
      </c>
      <c r="F1091" t="n">
        <v>1</v>
      </c>
      <c r="G1091" t="n">
        <v>8</v>
      </c>
      <c r="H1091" s="5">
        <f>HYPERLINK("https://api.qogita.com/variants/link/3337875849302/", "View Product")</f>
        <v/>
      </c>
    </row>
    <row r="1092">
      <c r="A1092" t="inlineStr">
        <is>
          <t>3337875852333</t>
        </is>
      </c>
      <c r="B1092" t="inlineStr">
        <is>
          <t>La Rocheposay Lipikar Lait Urea 10 Body Lotion For Very Dry Skin</t>
        </is>
      </c>
      <c r="C1092" t="inlineStr">
        <is>
          <t>Body Lotion</t>
        </is>
      </c>
      <c r="D1092" t="inlineStr">
        <is>
          <t>La Roche-Posay</t>
        </is>
      </c>
      <c r="E1092" t="n">
        <v>19.82</v>
      </c>
      <c r="F1092" t="n">
        <v>1</v>
      </c>
      <c r="G1092" t="n">
        <v>23</v>
      </c>
      <c r="H1092" s="5">
        <f>HYPERLINK("https://api.qogita.com/variants/link/3337875852333/", "View Product")</f>
        <v/>
      </c>
    </row>
    <row r="1093">
      <c r="A1093" t="inlineStr">
        <is>
          <t>3337875876940</t>
        </is>
      </c>
      <c r="B1093" t="inlineStr">
        <is>
          <t>La Rocheposay Cicaplast B5 Balm Repair Cream Spf 50 40ml</t>
        </is>
      </c>
      <c r="C1093" t="inlineStr">
        <is>
          <t>Face Sun Protection</t>
        </is>
      </c>
      <c r="D1093" t="inlineStr">
        <is>
          <t>La Roche-Posay</t>
        </is>
      </c>
      <c r="E1093" t="n">
        <v>13.27</v>
      </c>
      <c r="F1093" t="n">
        <v>1</v>
      </c>
      <c r="G1093" t="n">
        <v>9</v>
      </c>
      <c r="H1093" s="5">
        <f>HYPERLINK("https://api.qogita.com/variants/link/3337875876940/", "View Product")</f>
        <v/>
      </c>
    </row>
    <row r="1094">
      <c r="A1094" t="inlineStr">
        <is>
          <t>3337875886024</t>
        </is>
      </c>
      <c r="B1094" t="inlineStr">
        <is>
          <t>La Rocheposay Anthelios Postuv After Sun Lotion 200ml</t>
        </is>
      </c>
      <c r="C1094" t="inlineStr">
        <is>
          <t>Aftersun</t>
        </is>
      </c>
      <c r="D1094" t="inlineStr">
        <is>
          <t>La Roche-Posay</t>
        </is>
      </c>
      <c r="E1094" t="n">
        <v>14.26</v>
      </c>
      <c r="F1094" t="n">
        <v>1</v>
      </c>
      <c r="G1094" t="n">
        <v>26</v>
      </c>
      <c r="H1094" s="5">
        <f>HYPERLINK("https://api.qogita.com/variants/link/3337875886024/", "View Product")</f>
        <v/>
      </c>
    </row>
    <row r="1095">
      <c r="A1095" t="inlineStr">
        <is>
          <t>3337875894234</t>
        </is>
      </c>
      <c r="B1095" t="inlineStr">
        <is>
          <t>Vichy Invisible Resist 72h Antiperspirant For Men 50 Ml</t>
        </is>
      </c>
      <c r="C1095" t="inlineStr">
        <is>
          <t>Deodorant &amp; Anti-Perspirant</t>
        </is>
      </c>
      <c r="D1095" t="inlineStr">
        <is>
          <t>Vichy</t>
        </is>
      </c>
      <c r="E1095" t="n">
        <v>11.34</v>
      </c>
      <c r="F1095" t="n">
        <v>1</v>
      </c>
      <c r="G1095" t="n">
        <v>3</v>
      </c>
      <c r="H1095" s="5">
        <f>HYPERLINK("https://api.qogita.com/variants/link/3337875894234/", "View Product")</f>
        <v/>
      </c>
    </row>
    <row r="1096">
      <c r="A1096" t="inlineStr">
        <is>
          <t>3337875904513</t>
        </is>
      </c>
      <c r="B1096" t="inlineStr">
        <is>
          <t>Cerave Moisturizing Gelcream Oil Control 52 Ml</t>
        </is>
      </c>
      <c r="C1096" t="inlineStr">
        <is>
          <t>Face Cream</t>
        </is>
      </c>
      <c r="D1096" t="inlineStr">
        <is>
          <t>CeraVe</t>
        </is>
      </c>
      <c r="E1096" t="n">
        <v>13.02</v>
      </c>
      <c r="F1096" t="n">
        <v>1</v>
      </c>
      <c r="G1096" t="n">
        <v>20</v>
      </c>
      <c r="H1096" s="5">
        <f>HYPERLINK("https://api.qogita.com/variants/link/3337875904513/", "View Product")</f>
        <v/>
      </c>
    </row>
    <row r="1097">
      <c r="A1097" t="inlineStr">
        <is>
          <t>3337875905459</t>
        </is>
      </c>
      <c r="B1097" t="inlineStr">
        <is>
          <t>Generic Post-UV Exposure Aftersun Milk 400ml with Dispenser 99% Natural Origin Cream for Dry and Sun-Exposed Skin - Reduces Heat Sensation and Absorbs</t>
        </is>
      </c>
      <c r="C1097" t="inlineStr">
        <is>
          <t>Aftersun</t>
        </is>
      </c>
      <c r="D1097" t="inlineStr">
        <is>
          <t>La Roche-Posay</t>
        </is>
      </c>
      <c r="E1097" t="n">
        <v>19.65</v>
      </c>
      <c r="F1097" t="n">
        <v>1</v>
      </c>
      <c r="G1097" t="n">
        <v>14</v>
      </c>
      <c r="H1097" s="5">
        <f>HYPERLINK("https://api.qogita.com/variants/link/3337875905459/", "View Product")</f>
        <v/>
      </c>
    </row>
    <row r="1098">
      <c r="A1098" t="inlineStr">
        <is>
          <t>3337875917810</t>
        </is>
      </c>
      <c r="B1098" t="inlineStr">
        <is>
          <t>La Roche-Posay Anthelios Uv Air Fluid Spf50+ 50 Ml</t>
        </is>
      </c>
      <c r="C1098" t="inlineStr">
        <is>
          <t>Face Sun Protection</t>
        </is>
      </c>
      <c r="D1098" t="inlineStr">
        <is>
          <t>La Roche-Posay</t>
        </is>
      </c>
      <c r="E1098" t="n">
        <v>22.93</v>
      </c>
      <c r="F1098" t="n">
        <v>1</v>
      </c>
      <c r="G1098" t="n">
        <v>19</v>
      </c>
      <c r="H1098" s="5">
        <f>HYPERLINK("https://api.qogita.com/variants/link/3337875917810/", "View Product")</f>
        <v/>
      </c>
    </row>
    <row r="1099">
      <c r="A1099" t="inlineStr">
        <is>
          <t>3337875918534</t>
        </is>
      </c>
      <c r="B1099" t="inlineStr">
        <is>
          <t>Vichy Liftactiv Pigment Specialist B3 Eye Cream Spf50+ 15 Ml</t>
        </is>
      </c>
      <c r="C1099" t="inlineStr">
        <is>
          <t>Eye Cream</t>
        </is>
      </c>
      <c r="D1099" t="inlineStr">
        <is>
          <t>Vichy</t>
        </is>
      </c>
      <c r="E1099" t="n">
        <v>24.32</v>
      </c>
      <c r="F1099" t="n">
        <v>1</v>
      </c>
      <c r="G1099" t="n">
        <v>2</v>
      </c>
      <c r="H1099" s="5">
        <f>HYPERLINK("https://api.qogita.com/variants/link/3337875918534/", "View Product")</f>
        <v/>
      </c>
    </row>
    <row r="1100">
      <c r="A1100" t="inlineStr">
        <is>
          <t>3337875923873</t>
        </is>
      </c>
      <c r="B1100" t="inlineStr">
        <is>
          <t>Cerave Blemish Control Cleanser - Acne Treatment Cleanser</t>
        </is>
      </c>
      <c r="C1100" t="inlineStr">
        <is>
          <t>Facial Cleansing</t>
        </is>
      </c>
      <c r="D1100" t="inlineStr">
        <is>
          <t>CeraVe</t>
        </is>
      </c>
      <c r="E1100" t="n">
        <v>16.17</v>
      </c>
      <c r="F1100" t="n">
        <v>1</v>
      </c>
      <c r="G1100" t="n">
        <v>14</v>
      </c>
      <c r="H1100" s="5">
        <f>HYPERLINK("https://api.qogita.com/variants/link/3337875923873/", "View Product")</f>
        <v/>
      </c>
    </row>
    <row r="1101">
      <c r="A1101" t="inlineStr">
        <is>
          <t>3346130000020</t>
        </is>
      </c>
      <c r="B1101" t="inlineStr">
        <is>
          <t>Herms Eau De Basilic Pourpre Eau De Cologne 100ml</t>
        </is>
      </c>
      <c r="C1101" t="inlineStr">
        <is>
          <t>Eau De Cologne</t>
        </is>
      </c>
      <c r="D1101" t="inlineStr">
        <is>
          <t>Hermès</t>
        </is>
      </c>
      <c r="E1101" t="n">
        <v>46.44</v>
      </c>
      <c r="F1101" t="n">
        <v>1</v>
      </c>
      <c r="G1101" t="n">
        <v>20</v>
      </c>
      <c r="H1101" s="5">
        <f>HYPERLINK("https://api.qogita.com/variants/link/3346130000020/", "View Product")</f>
        <v/>
      </c>
    </row>
    <row r="1102">
      <c r="A1102" t="inlineStr">
        <is>
          <t>3346130000587</t>
        </is>
      </c>
      <c r="B1102" t="inlineStr">
        <is>
          <t>Hermes Voyage D'Hermes Perfume</t>
        </is>
      </c>
      <c r="C1102" t="inlineStr">
        <is>
          <t>Eau De Parfum</t>
        </is>
      </c>
      <c r="D1102" t="inlineStr">
        <is>
          <t>Hermès</t>
        </is>
      </c>
      <c r="E1102" t="n">
        <v>11.85</v>
      </c>
      <c r="F1102" t="n">
        <v>1</v>
      </c>
      <c r="G1102" t="n">
        <v>5</v>
      </c>
      <c r="H1102" s="5">
        <f>HYPERLINK("https://api.qogita.com/variants/link/3346130000587/", "View Product")</f>
        <v/>
      </c>
    </row>
    <row r="1103">
      <c r="A1103" t="inlineStr">
        <is>
          <t>3346130008460</t>
        </is>
      </c>
      <c r="B1103" t="inlineStr">
        <is>
          <t>Hermes Eau Des Merveilles Bleue Refillable Eau De Toilette 30ml For Women</t>
        </is>
      </c>
      <c r="C1103" t="inlineStr">
        <is>
          <t>Eau De Toilette</t>
        </is>
      </c>
      <c r="D1103" t="inlineStr">
        <is>
          <t>Hermès</t>
        </is>
      </c>
      <c r="E1103" t="n">
        <v>41.34</v>
      </c>
      <c r="F1103" t="n">
        <v>1</v>
      </c>
      <c r="G1103" t="n">
        <v>6</v>
      </c>
      <c r="H1103" s="5">
        <f>HYPERLINK("https://api.qogita.com/variants/link/3346130008460/", "View Product")</f>
        <v/>
      </c>
    </row>
    <row r="1104">
      <c r="A1104" t="inlineStr">
        <is>
          <t>3346130009368</t>
        </is>
      </c>
      <c r="B1104" t="inlineStr">
        <is>
          <t>Eau de Rhubarb Écarlate Cologne Spray 200ml</t>
        </is>
      </c>
      <c r="C1104" t="inlineStr">
        <is>
          <t>Eau De Cologne</t>
        </is>
      </c>
      <c r="D1104" t="inlineStr">
        <is>
          <t>Hermès</t>
        </is>
      </c>
      <c r="E1104" t="n">
        <v>82.34999999999999</v>
      </c>
      <c r="F1104" t="n">
        <v>1</v>
      </c>
      <c r="G1104" t="n">
        <v>27</v>
      </c>
      <c r="H1104" s="5">
        <f>HYPERLINK("https://api.qogita.com/variants/link/3346130009368/", "View Product")</f>
        <v/>
      </c>
    </row>
    <row r="1105">
      <c r="A1105" t="inlineStr">
        <is>
          <t>3346130009481</t>
        </is>
      </c>
      <c r="B1105" t="inlineStr">
        <is>
          <t>Hermes Twilly D'Hermes Eau Poivree Perfumed Water Spray 50ml</t>
        </is>
      </c>
      <c r="C1105" t="inlineStr">
        <is>
          <t>Eau De Parfum</t>
        </is>
      </c>
      <c r="D1105" t="inlineStr">
        <is>
          <t>Hermès</t>
        </is>
      </c>
      <c r="E1105" t="n">
        <v>53.74</v>
      </c>
      <c r="F1105" t="n">
        <v>1</v>
      </c>
      <c r="G1105" t="n">
        <v>39</v>
      </c>
      <c r="H1105" s="5">
        <f>HYPERLINK("https://api.qogita.com/variants/link/3346130009481/", "View Product")</f>
        <v/>
      </c>
    </row>
    <row r="1106">
      <c r="A1106" t="inlineStr">
        <is>
          <t>3346130009603</t>
        </is>
      </c>
      <c r="B1106" t="inlineStr">
        <is>
          <t>Hermes Terre D'Hermes Eau De Toilette Spray 100ml</t>
        </is>
      </c>
      <c r="C1106" t="inlineStr">
        <is>
          <t>Eau De Toilette</t>
        </is>
      </c>
      <c r="D1106" t="inlineStr">
        <is>
          <t>Hermès</t>
        </is>
      </c>
      <c r="E1106" t="n">
        <v>66.90000000000001</v>
      </c>
      <c r="F1106" t="n">
        <v>1</v>
      </c>
      <c r="G1106" t="n">
        <v>43</v>
      </c>
      <c r="H1106" s="5">
        <f>HYPERLINK("https://api.qogita.com/variants/link/3346130009603/", "View Product")</f>
        <v/>
      </c>
    </row>
    <row r="1107">
      <c r="A1107" t="inlineStr">
        <is>
          <t>3346130009610</t>
        </is>
      </c>
      <c r="B1107" t="inlineStr">
        <is>
          <t>Hermes Terre D'Hermes Eau De Toilette Spray 50ml</t>
        </is>
      </c>
      <c r="C1107" t="inlineStr">
        <is>
          <t>Eau De Toilette</t>
        </is>
      </c>
      <c r="D1107" t="inlineStr">
        <is>
          <t>Hermès</t>
        </is>
      </c>
      <c r="E1107" t="n">
        <v>39.85</v>
      </c>
      <c r="F1107" t="n">
        <v>1</v>
      </c>
      <c r="G1107" t="n">
        <v>279</v>
      </c>
      <c r="H1107" s="5">
        <f>HYPERLINK("https://api.qogita.com/variants/link/3346130009610/", "View Product")</f>
        <v/>
      </c>
    </row>
    <row r="1108">
      <c r="A1108" t="inlineStr">
        <is>
          <t>3346130009894</t>
        </is>
      </c>
      <c r="B1108" t="inlineStr">
        <is>
          <t>Hermes Terre D'Hermes Shower Gel 200ml</t>
        </is>
      </c>
      <c r="C1108" t="inlineStr">
        <is>
          <t>Shower Gel</t>
        </is>
      </c>
      <c r="D1108" t="inlineStr">
        <is>
          <t>Hermès</t>
        </is>
      </c>
      <c r="E1108" t="n">
        <v>29.47</v>
      </c>
      <c r="F1108" t="n">
        <v>1</v>
      </c>
      <c r="G1108" t="n">
        <v>2</v>
      </c>
      <c r="H1108" s="5">
        <f>HYPERLINK("https://api.qogita.com/variants/link/3346130009894/", "View Product")</f>
        <v/>
      </c>
    </row>
    <row r="1109">
      <c r="A1109" t="inlineStr">
        <is>
          <t>3346130009931</t>
        </is>
      </c>
      <c r="B1109" t="inlineStr">
        <is>
          <t>Hermes Terre D'Hermes Deodorant Stick 75ml</t>
        </is>
      </c>
      <c r="C1109" t="inlineStr">
        <is>
          <t>Deodorant &amp; Anti-Perspirant</t>
        </is>
      </c>
      <c r="D1109" t="inlineStr">
        <is>
          <t>Hermès</t>
        </is>
      </c>
      <c r="E1109" t="n">
        <v>26.59</v>
      </c>
      <c r="F1109" t="n">
        <v>1</v>
      </c>
      <c r="G1109" t="n">
        <v>46</v>
      </c>
      <c r="H1109" s="5">
        <f>HYPERLINK("https://api.qogita.com/variants/link/3346130009931/", "View Product")</f>
        <v/>
      </c>
    </row>
    <row r="1110">
      <c r="A1110" t="inlineStr">
        <is>
          <t>3346130010364</t>
        </is>
      </c>
      <c r="B1110" t="inlineStr">
        <is>
          <t>Hermes Twilly D'Hermes Eau De Parfum Spray 85ml</t>
        </is>
      </c>
      <c r="C1110" t="inlineStr">
        <is>
          <t>Eau De Parfum</t>
        </is>
      </c>
      <c r="D1110" t="inlineStr">
        <is>
          <t>Hermès</t>
        </is>
      </c>
      <c r="E1110" t="n">
        <v>72.84999999999999</v>
      </c>
      <c r="F1110" t="n">
        <v>1</v>
      </c>
      <c r="G1110" t="n">
        <v>46</v>
      </c>
      <c r="H1110" s="5">
        <f>HYPERLINK("https://api.qogita.com/variants/link/3346130010364/", "View Product")</f>
        <v/>
      </c>
    </row>
    <row r="1111">
      <c r="A1111" t="inlineStr">
        <is>
          <t>3346130010418</t>
        </is>
      </c>
      <c r="B1111" t="inlineStr">
        <is>
          <t>Hermes Twilly D'Hermes Deodorant Spray 150ml</t>
        </is>
      </c>
      <c r="C1111" t="inlineStr">
        <is>
          <t>Deodorant &amp; Anti-Perspirant</t>
        </is>
      </c>
      <c r="D1111" t="inlineStr">
        <is>
          <t>Hermès</t>
        </is>
      </c>
      <c r="E1111" t="n">
        <v>24.77</v>
      </c>
      <c r="F1111" t="n">
        <v>1</v>
      </c>
      <c r="G1111" t="n">
        <v>71</v>
      </c>
      <c r="H1111" s="5">
        <f>HYPERLINK("https://api.qogita.com/variants/link/3346130010418/", "View Product")</f>
        <v/>
      </c>
    </row>
    <row r="1112">
      <c r="A1112" t="inlineStr">
        <is>
          <t>3346130010470</t>
        </is>
      </c>
      <c r="B1112" t="inlineStr">
        <is>
          <t>Hermes Twilly D'Hermes Body Balm 200ml</t>
        </is>
      </c>
      <c r="C1112" t="inlineStr">
        <is>
          <t>Body Lotion</t>
        </is>
      </c>
      <c r="D1112" t="inlineStr">
        <is>
          <t>Hermès</t>
        </is>
      </c>
      <c r="E1112" t="n">
        <v>39.15</v>
      </c>
      <c r="F1112" t="n">
        <v>1</v>
      </c>
      <c r="G1112" t="n">
        <v>5</v>
      </c>
      <c r="H1112" s="5">
        <f>HYPERLINK("https://api.qogita.com/variants/link/3346130010470/", "View Product")</f>
        <v/>
      </c>
    </row>
    <row r="1113">
      <c r="A1113" t="inlineStr">
        <is>
          <t>3346130010630</t>
        </is>
      </c>
      <c r="B1113" t="inlineStr">
        <is>
          <t>Hermes Terre D'Hermes Eau De Toilette Spray Set 100ml + Shower Gel 80ml</t>
        </is>
      </c>
      <c r="C1113" t="inlineStr">
        <is>
          <t>Fragrance Sets</t>
        </is>
      </c>
      <c r="D1113" t="inlineStr">
        <is>
          <t>Hermès</t>
        </is>
      </c>
      <c r="E1113" t="n">
        <v>72.91</v>
      </c>
      <c r="F1113" t="n">
        <v>1</v>
      </c>
      <c r="G1113" t="n">
        <v>3</v>
      </c>
      <c r="H1113" s="5">
        <f>HYPERLINK("https://api.qogita.com/variants/link/3346130010630/", "View Product")</f>
        <v/>
      </c>
    </row>
    <row r="1114">
      <c r="A1114" t="inlineStr">
        <is>
          <t>3346130010951</t>
        </is>
      </c>
      <c r="B1114" t="inlineStr">
        <is>
          <t>Herms H24 Eau De Toilette 30ml</t>
        </is>
      </c>
      <c r="C1114" t="inlineStr">
        <is>
          <t>Eau De Toilette</t>
        </is>
      </c>
      <c r="D1114" t="inlineStr">
        <is>
          <t>Hermès</t>
        </is>
      </c>
      <c r="E1114" t="n">
        <v>27.44</v>
      </c>
      <c r="F1114" t="n">
        <v>1</v>
      </c>
      <c r="G1114" t="n">
        <v>13</v>
      </c>
      <c r="H1114" s="5">
        <f>HYPERLINK("https://api.qogita.com/variants/link/3346130010951/", "View Product")</f>
        <v/>
      </c>
    </row>
    <row r="1115">
      <c r="A1115" t="inlineStr">
        <is>
          <t>3346130011064</t>
        </is>
      </c>
      <c r="B1115" t="inlineStr">
        <is>
          <t>Herms 24 Faubourg Eau De Parfum Spray 50ml For Women</t>
        </is>
      </c>
      <c r="C1115" t="inlineStr">
        <is>
          <t>Eau De Parfum</t>
        </is>
      </c>
      <c r="D1115" t="inlineStr">
        <is>
          <t>Hermès</t>
        </is>
      </c>
      <c r="E1115" t="n">
        <v>68</v>
      </c>
      <c r="F1115" t="n">
        <v>1</v>
      </c>
      <c r="G1115" t="n">
        <v>4</v>
      </c>
      <c r="H1115" s="5">
        <f>HYPERLINK("https://api.qogita.com/variants/link/3346130011064/", "View Product")</f>
        <v/>
      </c>
    </row>
    <row r="1116">
      <c r="A1116" t="inlineStr">
        <is>
          <t>3346130011071</t>
        </is>
      </c>
      <c r="B1116" t="inlineStr">
        <is>
          <t>Herms Paris 24 Faubourg Eau De Parfum 100ml Spray</t>
        </is>
      </c>
      <c r="C1116" t="inlineStr">
        <is>
          <t>Eau De Parfum</t>
        </is>
      </c>
      <c r="D1116" t="inlineStr">
        <is>
          <t>Hermès</t>
        </is>
      </c>
      <c r="E1116" t="n">
        <v>102.31</v>
      </c>
      <c r="F1116" t="n">
        <v>1</v>
      </c>
      <c r="G1116" t="n">
        <v>27</v>
      </c>
      <c r="H1116" s="5">
        <f>HYPERLINK("https://api.qogita.com/variants/link/3346130011071/", "View Product")</f>
        <v/>
      </c>
    </row>
    <row r="1117">
      <c r="A1117" t="inlineStr">
        <is>
          <t>3346130011262</t>
        </is>
      </c>
      <c r="B1117" t="inlineStr">
        <is>
          <t>Herms Calche Soie De Parfum Eau De Parfum 50ml</t>
        </is>
      </c>
      <c r="C1117" t="inlineStr">
        <is>
          <t>Eau De Parfum</t>
        </is>
      </c>
      <c r="D1117" t="inlineStr">
        <is>
          <t>Hermès</t>
        </is>
      </c>
      <c r="E1117" t="n">
        <v>63.52</v>
      </c>
      <c r="F1117" t="n">
        <v>1</v>
      </c>
      <c r="G1117" t="n">
        <v>22</v>
      </c>
      <c r="H1117" s="5">
        <f>HYPERLINK("https://api.qogita.com/variants/link/3346130011262/", "View Product")</f>
        <v/>
      </c>
    </row>
    <row r="1118">
      <c r="A1118" t="inlineStr">
        <is>
          <t>3346130012696</t>
        </is>
      </c>
      <c r="B1118" t="inlineStr">
        <is>
          <t>Hermes Voyage D'Hermes Eau De Toilette Refillable Spray 35ml</t>
        </is>
      </c>
      <c r="C1118" t="inlineStr">
        <is>
          <t>Refillable Fragrances &amp; Refills</t>
        </is>
      </c>
      <c r="D1118" t="inlineStr">
        <is>
          <t>Hermès</t>
        </is>
      </c>
      <c r="E1118" t="n">
        <v>44.18</v>
      </c>
      <c r="F1118" t="n">
        <v>1</v>
      </c>
      <c r="G1118" t="n">
        <v>4</v>
      </c>
      <c r="H1118" s="5">
        <f>HYPERLINK("https://api.qogita.com/variants/link/3346130012696/", "View Product")</f>
        <v/>
      </c>
    </row>
    <row r="1119">
      <c r="A1119" t="inlineStr">
        <is>
          <t>3346130012702</t>
        </is>
      </c>
      <c r="B1119" t="inlineStr">
        <is>
          <t>Herms Voyage D'Herms Refillable Perfume 35ml</t>
        </is>
      </c>
      <c r="C1119" t="inlineStr">
        <is>
          <t>Refillable Fragrances &amp; Refills</t>
        </is>
      </c>
      <c r="D1119" t="inlineStr">
        <is>
          <t>Hermès</t>
        </is>
      </c>
      <c r="E1119" t="n">
        <v>61.83</v>
      </c>
      <c r="F1119" t="n">
        <v>1</v>
      </c>
      <c r="G1119" t="n">
        <v>6</v>
      </c>
      <c r="H1119" s="5">
        <f>HYPERLINK("https://api.qogita.com/variants/link/3346130012702/", "View Product")</f>
        <v/>
      </c>
    </row>
    <row r="1120">
      <c r="A1120" t="inlineStr">
        <is>
          <t>3346130013501</t>
        </is>
      </c>
      <c r="B1120" t="inlineStr">
        <is>
          <t>Hermes Terre D'Hermes Perfume Spray 200ml</t>
        </is>
      </c>
      <c r="C1120" t="inlineStr">
        <is>
          <t>Eau De Parfum</t>
        </is>
      </c>
      <c r="D1120" t="inlineStr">
        <is>
          <t>Hermès</t>
        </is>
      </c>
      <c r="E1120" t="n">
        <v>108.74</v>
      </c>
      <c r="F1120" t="n">
        <v>1</v>
      </c>
      <c r="G1120" t="n">
        <v>548</v>
      </c>
      <c r="H1120" s="5">
        <f>HYPERLINK("https://api.qogita.com/variants/link/3346130013501/", "View Product")</f>
        <v/>
      </c>
    </row>
    <row r="1121">
      <c r="A1121" t="inlineStr">
        <is>
          <t>3346130413356</t>
        </is>
      </c>
      <c r="B1121" t="inlineStr">
        <is>
          <t>Hermes Rouge Hermes Eau De Toilette Spray 100ml</t>
        </is>
      </c>
      <c r="C1121" t="inlineStr">
        <is>
          <t>Eau De Toilette</t>
        </is>
      </c>
      <c r="D1121" t="inlineStr">
        <is>
          <t>Hermès</t>
        </is>
      </c>
      <c r="E1121" t="n">
        <v>69.38</v>
      </c>
      <c r="F1121" t="n">
        <v>1</v>
      </c>
      <c r="G1121" t="n">
        <v>2</v>
      </c>
      <c r="H1121" s="5">
        <f>HYPERLINK("https://api.qogita.com/variants/link/3346130413356/", "View Product")</f>
        <v/>
      </c>
    </row>
    <row r="1122">
      <c r="A1122" t="inlineStr">
        <is>
          <t>3346130413752</t>
        </is>
      </c>
      <c r="B1122" t="inlineStr">
        <is>
          <t>Herms H24 Eau De Parfum Spray 100ml</t>
        </is>
      </c>
      <c r="C1122" t="inlineStr">
        <is>
          <t>Eau De Parfum</t>
        </is>
      </c>
      <c r="D1122" t="inlineStr">
        <is>
          <t>Hermès</t>
        </is>
      </c>
      <c r="E1122" t="n">
        <v>94.95999999999999</v>
      </c>
      <c r="F1122" t="n">
        <v>1</v>
      </c>
      <c r="G1122" t="n">
        <v>14</v>
      </c>
      <c r="H1122" s="5">
        <f>HYPERLINK("https://api.qogita.com/variants/link/3346130413752/", "View Product")</f>
        <v/>
      </c>
    </row>
    <row r="1123">
      <c r="A1123" t="inlineStr">
        <is>
          <t>3346130417002</t>
        </is>
      </c>
      <c r="B1123" t="inlineStr">
        <is>
          <t>Le Jardin de Monsieur Li Eau de Toilette - Refill Bottle - 200 ml Flacon-Recharge by Hermès</t>
        </is>
      </c>
      <c r="C1123" t="inlineStr">
        <is>
          <t>Refillable Fragrances &amp; Refills</t>
        </is>
      </c>
      <c r="D1123" t="inlineStr">
        <is>
          <t>Hermès</t>
        </is>
      </c>
      <c r="E1123" t="n">
        <v>68.36</v>
      </c>
      <c r="F1123" t="n">
        <v>1</v>
      </c>
      <c r="G1123" t="n">
        <v>46</v>
      </c>
      <c r="H1123" s="5">
        <f>HYPERLINK("https://api.qogita.com/variants/link/3346130417002/", "View Product")</f>
        <v/>
      </c>
    </row>
    <row r="1124">
      <c r="A1124" t="inlineStr">
        <is>
          <t>3346130417255</t>
        </is>
      </c>
      <c r="B1124" t="inlineStr">
        <is>
          <t>Herms Un Jardin Cythre Eau De Toilette Refillable 50ml</t>
        </is>
      </c>
      <c r="C1124" t="inlineStr">
        <is>
          <t>Eau De Toilette</t>
        </is>
      </c>
      <c r="D1124" t="inlineStr">
        <is>
          <t>Hermès</t>
        </is>
      </c>
      <c r="E1124" t="n">
        <v>33.1</v>
      </c>
      <c r="F1124" t="n">
        <v>1</v>
      </c>
      <c r="G1124" t="n">
        <v>8</v>
      </c>
      <c r="H1124" s="5">
        <f>HYPERLINK("https://api.qogita.com/variants/link/3346130417255/", "View Product")</f>
        <v/>
      </c>
    </row>
    <row r="1125">
      <c r="A1125" t="inlineStr">
        <is>
          <t>3346130421344</t>
        </is>
      </c>
      <c r="B1125" t="inlineStr">
        <is>
          <t>Hermes Hermes Barenia Eau De Parfum Spray Rechargeable 60ml</t>
        </is>
      </c>
      <c r="C1125" t="inlineStr">
        <is>
          <t>Eau De Parfum</t>
        </is>
      </c>
      <c r="D1125" t="inlineStr">
        <is>
          <t>Hermès</t>
        </is>
      </c>
      <c r="E1125" t="n">
        <v>51.54</v>
      </c>
      <c r="F1125" t="n">
        <v>1</v>
      </c>
      <c r="G1125" t="n">
        <v>151</v>
      </c>
      <c r="H1125" s="5">
        <f>HYPERLINK("https://api.qogita.com/variants/link/3346130421344/", "View Product")</f>
        <v/>
      </c>
    </row>
    <row r="1126">
      <c r="A1126" t="inlineStr">
        <is>
          <t>3346130422464</t>
        </is>
      </c>
      <c r="B1126" t="inlineStr">
        <is>
          <t>Hermes Tutti Twilly Eau 15ml</t>
        </is>
      </c>
      <c r="C1126" t="inlineStr">
        <is>
          <t>Eau De Parfum</t>
        </is>
      </c>
      <c r="D1126" t="inlineStr">
        <is>
          <t>Hermès</t>
        </is>
      </c>
      <c r="E1126" t="n">
        <v>16.82</v>
      </c>
      <c r="F1126" t="n">
        <v>1</v>
      </c>
      <c r="G1126" t="n">
        <v>74</v>
      </c>
      <c r="H1126" s="5">
        <f>HYPERLINK("https://api.qogita.com/variants/link/3346130422464/", "View Product")</f>
        <v/>
      </c>
    </row>
    <row r="1127">
      <c r="A1127" t="inlineStr">
        <is>
          <t>3346130422471</t>
        </is>
      </c>
      <c r="B1127" t="inlineStr">
        <is>
          <t>Hermes Tutti Twilly D'Hermes Eau De Parfum Spray 30ml</t>
        </is>
      </c>
      <c r="C1127" t="inlineStr">
        <is>
          <t>Eau De Parfum</t>
        </is>
      </c>
      <c r="D1127" t="inlineStr">
        <is>
          <t>Hermès</t>
        </is>
      </c>
      <c r="E1127" t="n">
        <v>32.26</v>
      </c>
      <c r="F1127" t="n">
        <v>1</v>
      </c>
      <c r="G1127" t="n">
        <v>5</v>
      </c>
      <c r="H1127" s="5">
        <f>HYPERLINK("https://api.qogita.com/variants/link/3346130422471/", "View Product")</f>
        <v/>
      </c>
    </row>
    <row r="1128">
      <c r="A1128" t="inlineStr">
        <is>
          <t>3346130433118</t>
        </is>
      </c>
      <c r="B1128" t="inlineStr">
        <is>
          <t>Hermes Un Jardin Sur Le Nil Body Lotion 200ml</t>
        </is>
      </c>
      <c r="C1128" t="inlineStr">
        <is>
          <t>Body Lotion</t>
        </is>
      </c>
      <c r="D1128" t="inlineStr">
        <is>
          <t>Hermès</t>
        </is>
      </c>
      <c r="E1128" t="n">
        <v>42.94</v>
      </c>
      <c r="F1128" t="n">
        <v>1</v>
      </c>
      <c r="G1128" t="n">
        <v>13</v>
      </c>
      <c r="H1128" s="5">
        <f>HYPERLINK("https://api.qogita.com/variants/link/3346130433118/", "View Product")</f>
        <v/>
      </c>
    </row>
    <row r="1129">
      <c r="A1129" t="inlineStr">
        <is>
          <t>3346130433835</t>
        </is>
      </c>
      <c r="B1129" t="inlineStr">
        <is>
          <t>Hermes Perfume Set Unisex Green Orange Water Case</t>
        </is>
      </c>
      <c r="C1129" t="inlineStr">
        <is>
          <t>Fragrance Sets</t>
        </is>
      </c>
      <c r="D1129" t="inlineStr">
        <is>
          <t>Hermès</t>
        </is>
      </c>
      <c r="E1129" t="n">
        <v>95.69</v>
      </c>
      <c r="F1129" t="n">
        <v>1</v>
      </c>
      <c r="G1129" t="n">
        <v>53</v>
      </c>
      <c r="H1129" s="5">
        <f>HYPERLINK("https://api.qogita.com/variants/link/3346130433835/", "View Product")</f>
        <v/>
      </c>
    </row>
    <row r="1130">
      <c r="A1130" t="inlineStr">
        <is>
          <t>3346130438311</t>
        </is>
      </c>
      <c r="B1130" t="inlineStr">
        <is>
          <t>Hermes Eau Des Merveilles Eau De Toilette Gift Set - 50ml</t>
        </is>
      </c>
      <c r="C1130" t="inlineStr">
        <is>
          <t>Fragrance Sets</t>
        </is>
      </c>
      <c r="D1130" t="inlineStr">
        <is>
          <t>Hermès</t>
        </is>
      </c>
      <c r="E1130" t="n">
        <v>71.83</v>
      </c>
      <c r="F1130" t="n">
        <v>1</v>
      </c>
      <c r="G1130" t="n">
        <v>2</v>
      </c>
      <c r="H1130" s="5">
        <f>HYPERLINK("https://api.qogita.com/variants/link/3346130438311/", "View Product")</f>
        <v/>
      </c>
    </row>
    <row r="1131">
      <c r="A1131" t="inlineStr">
        <is>
          <t>3346130490647</t>
        </is>
      </c>
      <c r="B1131" t="inlineStr">
        <is>
          <t>Herms Concentr D'Orange Verte Eau De Toilette Spray 50ml</t>
        </is>
      </c>
      <c r="C1131" t="inlineStr">
        <is>
          <t>Eau De Toilette</t>
        </is>
      </c>
      <c r="D1131" t="inlineStr">
        <is>
          <t>Hermès</t>
        </is>
      </c>
      <c r="E1131" t="n">
        <v>52.32</v>
      </c>
      <c r="F1131" t="n">
        <v>1</v>
      </c>
      <c r="G1131" t="n">
        <v>6</v>
      </c>
      <c r="H1131" s="5">
        <f>HYPERLINK("https://api.qogita.com/variants/link/3346130490647/", "View Product")</f>
        <v/>
      </c>
    </row>
    <row r="1132">
      <c r="A1132" t="inlineStr">
        <is>
          <t>3346130493594</t>
        </is>
      </c>
      <c r="B1132" t="inlineStr">
        <is>
          <t>Hermes Eau D'Orange Verte Eau De Cologne Spray 100ml</t>
        </is>
      </c>
      <c r="C1132" t="inlineStr">
        <is>
          <t>Eau De Cologne</t>
        </is>
      </c>
      <c r="D1132" t="inlineStr">
        <is>
          <t>Hermès</t>
        </is>
      </c>
      <c r="E1132" t="n">
        <v>56.35</v>
      </c>
      <c r="F1132" t="n">
        <v>1</v>
      </c>
      <c r="G1132" t="n">
        <v>53</v>
      </c>
      <c r="H1132" s="5">
        <f>HYPERLINK("https://api.qogita.com/variants/link/3346130493594/", "View Product")</f>
        <v/>
      </c>
    </row>
    <row r="1133">
      <c r="A1133" t="inlineStr">
        <is>
          <t>3346131102761</t>
        </is>
      </c>
      <c r="B1133" t="inlineStr">
        <is>
          <t>Un Jardin Sur Le Nil by Hermes for Women - 3 Piece Gift Set 1.6oz EDT Spray 1.35oz</t>
        </is>
      </c>
      <c r="C1133" t="inlineStr">
        <is>
          <t>Fragrance Sets</t>
        </is>
      </c>
      <c r="D1133" t="inlineStr">
        <is>
          <t>Hermès</t>
        </is>
      </c>
      <c r="E1133" t="n">
        <v>77.41</v>
      </c>
      <c r="F1133" t="n">
        <v>1</v>
      </c>
      <c r="G1133" t="n">
        <v>3</v>
      </c>
      <c r="H1133" s="5">
        <f>HYPERLINK("https://api.qogita.com/variants/link/3346131102761/", "View Product")</f>
        <v/>
      </c>
    </row>
    <row r="1134">
      <c r="A1134" t="inlineStr">
        <is>
          <t>3346132004910</t>
        </is>
      </c>
      <c r="B1134" t="inlineStr">
        <is>
          <t>Herms Eau De Citron Noir Eau De Cologne Spray 200ml</t>
        </is>
      </c>
      <c r="C1134" t="inlineStr">
        <is>
          <t>Eau De Cologne</t>
        </is>
      </c>
      <c r="D1134" t="inlineStr">
        <is>
          <t>Hermès</t>
        </is>
      </c>
      <c r="E1134" t="n">
        <v>98.19</v>
      </c>
      <c r="F1134" t="n">
        <v>1</v>
      </c>
      <c r="G1134" t="n">
        <v>4</v>
      </c>
      <c r="H1134" s="5">
        <f>HYPERLINK("https://api.qogita.com/variants/link/3346132004910/", "View Product")</f>
        <v/>
      </c>
    </row>
    <row r="1135">
      <c r="A1135" t="inlineStr">
        <is>
          <t>3346132400019</t>
        </is>
      </c>
      <c r="B1135" t="inlineStr">
        <is>
          <t>Hermes Un Jardin Sur Le Toit Eau De Toilette 100ml Unisex Spray</t>
        </is>
      </c>
      <c r="C1135" t="inlineStr">
        <is>
          <t>Eau De Toilette</t>
        </is>
      </c>
      <c r="D1135" t="inlineStr">
        <is>
          <t>Hermès</t>
        </is>
      </c>
      <c r="E1135" t="n">
        <v>66.26000000000001</v>
      </c>
      <c r="F1135" t="n">
        <v>1</v>
      </c>
      <c r="G1135" t="n">
        <v>92</v>
      </c>
      <c r="H1135" s="5">
        <f>HYPERLINK("https://api.qogita.com/variants/link/3346132400019/", "View Product")</f>
        <v/>
      </c>
    </row>
    <row r="1136">
      <c r="A1136" t="inlineStr">
        <is>
          <t>3346132400033</t>
        </is>
      </c>
      <c r="B1136" t="inlineStr">
        <is>
          <t>Hermes Un Jardin Sur Le Toit Eau De Toilette 50ml A Refreshing Fragrance For Women</t>
        </is>
      </c>
      <c r="C1136" t="inlineStr">
        <is>
          <t>Eau De Toilette</t>
        </is>
      </c>
      <c r="D1136" t="inlineStr">
        <is>
          <t>Hermès</t>
        </is>
      </c>
      <c r="E1136" t="n">
        <v>46.12</v>
      </c>
      <c r="F1136" t="n">
        <v>1</v>
      </c>
      <c r="G1136" t="n">
        <v>44</v>
      </c>
      <c r="H1136" s="5">
        <f>HYPERLINK("https://api.qogita.com/variants/link/3346132400033/", "View Product")</f>
        <v/>
      </c>
    </row>
    <row r="1137">
      <c r="A1137" t="inlineStr">
        <is>
          <t>3346132401177</t>
        </is>
      </c>
      <c r="B1137" t="inlineStr">
        <is>
          <t>Hermes Un Jardin Sur Le Toit Eau De Toilette 15ml</t>
        </is>
      </c>
      <c r="C1137" t="inlineStr">
        <is>
          <t>Eau De Toilette</t>
        </is>
      </c>
      <c r="D1137" t="inlineStr">
        <is>
          <t>Hermès</t>
        </is>
      </c>
      <c r="E1137" t="n">
        <v>17.15</v>
      </c>
      <c r="F1137" t="n">
        <v>1</v>
      </c>
      <c r="G1137" t="n">
        <v>47</v>
      </c>
      <c r="H1137" s="5">
        <f>HYPERLINK("https://api.qogita.com/variants/link/3346132401177/", "View Product")</f>
        <v/>
      </c>
    </row>
    <row r="1138">
      <c r="A1138" t="inlineStr">
        <is>
          <t>3346132600013</t>
        </is>
      </c>
      <c r="B1138" t="inlineStr">
        <is>
          <t>Herms Le Jardin De Monsieur Li Eau De Toilette Spray 100ml</t>
        </is>
      </c>
      <c r="C1138" t="inlineStr">
        <is>
          <t>Eau De Toilette</t>
        </is>
      </c>
      <c r="D1138" t="inlineStr">
        <is>
          <t>Hermès</t>
        </is>
      </c>
      <c r="E1138" t="n">
        <v>61.53</v>
      </c>
      <c r="F1138" t="n">
        <v>1</v>
      </c>
      <c r="G1138" t="n">
        <v>48</v>
      </c>
      <c r="H1138" s="5">
        <f>HYPERLINK("https://api.qogita.com/variants/link/3346132600013/", "View Product")</f>
        <v/>
      </c>
    </row>
    <row r="1139">
      <c r="A1139" t="inlineStr">
        <is>
          <t>3346133600043</t>
        </is>
      </c>
      <c r="B1139" t="inlineStr">
        <is>
          <t>Herms Un Jardin Sur La Lagune Eau De Toilette 50ml</t>
        </is>
      </c>
      <c r="C1139" t="inlineStr">
        <is>
          <t>Eau De Toilette</t>
        </is>
      </c>
      <c r="D1139" t="inlineStr">
        <is>
          <t>Hermès</t>
        </is>
      </c>
      <c r="E1139" t="n">
        <v>42.86</v>
      </c>
      <c r="F1139" t="n">
        <v>1</v>
      </c>
      <c r="G1139" t="n">
        <v>48</v>
      </c>
      <c r="H1139" s="5">
        <f>HYPERLINK("https://api.qogita.com/variants/link/3346133600043/", "View Product")</f>
        <v/>
      </c>
    </row>
    <row r="1140">
      <c r="A1140" t="inlineStr">
        <is>
          <t>3346138900087</t>
        </is>
      </c>
      <c r="B1140" t="inlineStr">
        <is>
          <t>Hermes Un Jardin Sur Le Nil Eau De Toilette 100ml A Refreshing Fragrance For Women</t>
        </is>
      </c>
      <c r="C1140" t="inlineStr">
        <is>
          <t>Eau De Toilette</t>
        </is>
      </c>
      <c r="D1140" t="inlineStr">
        <is>
          <t>Hermès</t>
        </is>
      </c>
      <c r="E1140" t="n">
        <v>77.89</v>
      </c>
      <c r="F1140" t="n">
        <v>1</v>
      </c>
      <c r="G1140" t="n">
        <v>2</v>
      </c>
      <c r="H1140" s="5">
        <f>HYPERLINK("https://api.qogita.com/variants/link/3346138900087/", "View Product")</f>
        <v/>
      </c>
    </row>
    <row r="1141">
      <c r="A1141" t="inlineStr">
        <is>
          <t>3346138900094</t>
        </is>
      </c>
      <c r="B1141" t="inlineStr">
        <is>
          <t>Herms Un Jardin Sur Le Nil Eau De Toilette Spray 50ml</t>
        </is>
      </c>
      <c r="C1141" t="inlineStr">
        <is>
          <t>Eau De Toilette</t>
        </is>
      </c>
      <c r="D1141" t="inlineStr">
        <is>
          <t>Hermès</t>
        </is>
      </c>
      <c r="E1141" t="n">
        <v>44.51</v>
      </c>
      <c r="F1141" t="n">
        <v>1</v>
      </c>
      <c r="G1141" t="n">
        <v>22</v>
      </c>
      <c r="H1141" s="5">
        <f>HYPERLINK("https://api.qogita.com/variants/link/3346138900094/", "View Product")</f>
        <v/>
      </c>
    </row>
    <row r="1142">
      <c r="A1142" t="inlineStr">
        <is>
          <t>3346400008862</t>
        </is>
      </c>
      <c r="B1142" t="inlineStr">
        <is>
          <t>Patou Forever De Jean Patou Eau De Toilette Spray for Women 3.4oz 100ml</t>
        </is>
      </c>
      <c r="C1142" t="inlineStr">
        <is>
          <t>Eau De Toilette</t>
        </is>
      </c>
      <c r="D1142" t="inlineStr">
        <is>
          <t>Jean Patou</t>
        </is>
      </c>
      <c r="E1142" t="n">
        <v>38.09</v>
      </c>
      <c r="F1142" t="n">
        <v>1</v>
      </c>
      <c r="G1142" t="n">
        <v>11</v>
      </c>
      <c r="H1142" s="5">
        <f>HYPERLINK("https://api.qogita.com/variants/link/3346400008862/", "View Product")</f>
        <v/>
      </c>
    </row>
    <row r="1143">
      <c r="A1143" t="inlineStr">
        <is>
          <t>3348900082731</t>
        </is>
      </c>
      <c r="B1143" t="inlineStr">
        <is>
          <t>Dior Eau Fraiche Eau De Toilette Spray For Women 100ml</t>
        </is>
      </c>
      <c r="C1143" t="inlineStr">
        <is>
          <t>Eau De Toilette</t>
        </is>
      </c>
      <c r="D1143" t="inlineStr">
        <is>
          <t>Christian Dior</t>
        </is>
      </c>
      <c r="E1143" t="n">
        <v>110.92</v>
      </c>
      <c r="F1143" t="n">
        <v>1</v>
      </c>
      <c r="G1143" t="n">
        <v>2</v>
      </c>
      <c r="H1143" s="5">
        <f>HYPERLINK("https://api.qogita.com/variants/link/3348900082731/", "View Product")</f>
        <v/>
      </c>
    </row>
    <row r="1144">
      <c r="A1144" t="inlineStr">
        <is>
          <t>3348900236738</t>
        </is>
      </c>
      <c r="B1144" t="inlineStr">
        <is>
          <t>Dior Dolce Vita Eau De Toilette 100ml</t>
        </is>
      </c>
      <c r="C1144" t="inlineStr">
        <is>
          <t>Eau De Toilette</t>
        </is>
      </c>
      <c r="D1144" t="inlineStr">
        <is>
          <t>Dior</t>
        </is>
      </c>
      <c r="E1144" t="n">
        <v>103.94</v>
      </c>
      <c r="F1144" t="n">
        <v>1</v>
      </c>
      <c r="G1144" t="n">
        <v>30</v>
      </c>
      <c r="H1144" s="5">
        <f>HYPERLINK("https://api.qogita.com/variants/link/3348900236738/", "View Product")</f>
        <v/>
      </c>
    </row>
    <row r="1145">
      <c r="A1145" t="inlineStr">
        <is>
          <t>3348900606692</t>
        </is>
      </c>
      <c r="B1145" t="inlineStr">
        <is>
          <t>Dior Pure Poison Eau De Parfum Spray 30ml For Women</t>
        </is>
      </c>
      <c r="C1145" t="inlineStr">
        <is>
          <t>Eau De Parfum</t>
        </is>
      </c>
      <c r="D1145" t="inlineStr">
        <is>
          <t>Dior</t>
        </is>
      </c>
      <c r="E1145" t="n">
        <v>66.54000000000001</v>
      </c>
      <c r="F1145" t="n">
        <v>1</v>
      </c>
      <c r="G1145" t="n">
        <v>5</v>
      </c>
      <c r="H1145" s="5">
        <f>HYPERLINK("https://api.qogita.com/variants/link/3348900606692/", "View Product")</f>
        <v/>
      </c>
    </row>
    <row r="1146">
      <c r="A1146" t="inlineStr">
        <is>
          <t>3348900669703</t>
        </is>
      </c>
      <c r="B1146" t="inlineStr">
        <is>
          <t>Dior Diorshow Mascara Waterproof Buildable Volume 115 Ml</t>
        </is>
      </c>
      <c r="C1146" t="inlineStr">
        <is>
          <t>Mascara</t>
        </is>
      </c>
      <c r="D1146" t="inlineStr">
        <is>
          <t>Dior</t>
        </is>
      </c>
      <c r="E1146" t="n">
        <v>33.84</v>
      </c>
      <c r="F1146" t="n">
        <v>1</v>
      </c>
      <c r="G1146" t="n">
        <v>7</v>
      </c>
      <c r="H1146" s="5">
        <f>HYPERLINK("https://api.qogita.com/variants/link/3348900669703/", "View Product")</f>
        <v/>
      </c>
    </row>
    <row r="1147">
      <c r="A1147" t="inlineStr">
        <is>
          <t>3348900760745</t>
        </is>
      </c>
      <c r="B1147" t="inlineStr">
        <is>
          <t>Dior Homme Dermo System Moisturizing Emulsion Result Reparative 50ml</t>
        </is>
      </c>
      <c r="C1147" t="inlineStr">
        <is>
          <t>Face Cream</t>
        </is>
      </c>
      <c r="D1147" t="inlineStr">
        <is>
          <t>Dior</t>
        </is>
      </c>
      <c r="E1147" t="n">
        <v>59.96</v>
      </c>
      <c r="F1147" t="n">
        <v>1</v>
      </c>
      <c r="G1147" t="n">
        <v>30</v>
      </c>
      <c r="H1147" s="5">
        <f>HYPERLINK("https://api.qogita.com/variants/link/3348900760745/", "View Product")</f>
        <v/>
      </c>
    </row>
    <row r="1148">
      <c r="A1148" t="inlineStr">
        <is>
          <t>3348900760752</t>
        </is>
      </c>
      <c r="B1148" t="inlineStr">
        <is>
          <t>Dior Homme Dermo System Repairing After Shave Lotion 100ml</t>
        </is>
      </c>
      <c r="C1148" t="inlineStr">
        <is>
          <t>Aftershave</t>
        </is>
      </c>
      <c r="D1148" t="inlineStr">
        <is>
          <t>Dior</t>
        </is>
      </c>
      <c r="E1148" t="n">
        <v>48.63</v>
      </c>
      <c r="F1148" t="n">
        <v>1</v>
      </c>
      <c r="G1148" t="n">
        <v>42</v>
      </c>
      <c r="H1148" s="5">
        <f>HYPERLINK("https://api.qogita.com/variants/link/3348900760752/", "View Product")</f>
        <v/>
      </c>
    </row>
    <row r="1149">
      <c r="A1149" t="inlineStr">
        <is>
          <t>3348900774056</t>
        </is>
      </c>
      <c r="B1149" t="inlineStr">
        <is>
          <t>Christian Dior Forever Eau de Toilette Spray for Women 50ml</t>
        </is>
      </c>
      <c r="C1149" t="inlineStr">
        <is>
          <t>Eau De Toilette</t>
        </is>
      </c>
      <c r="D1149" t="inlineStr">
        <is>
          <t>Dior</t>
        </is>
      </c>
      <c r="E1149" t="n">
        <v>77.18000000000001</v>
      </c>
      <c r="F1149" t="n">
        <v>1</v>
      </c>
      <c r="G1149" t="n">
        <v>12</v>
      </c>
      <c r="H1149" s="5">
        <f>HYPERLINK("https://api.qogita.com/variants/link/3348900774056/", "View Product")</f>
        <v/>
      </c>
    </row>
    <row r="1150">
      <c r="A1150" t="inlineStr">
        <is>
          <t>3348900852655</t>
        </is>
      </c>
      <c r="B1150" t="inlineStr">
        <is>
          <t>Dior Jadore Deodorant Spray 100ml For Women</t>
        </is>
      </c>
      <c r="C1150" t="inlineStr">
        <is>
          <t>Deodorant &amp; Anti-Perspirant</t>
        </is>
      </c>
      <c r="D1150" t="inlineStr">
        <is>
          <t>Dior</t>
        </is>
      </c>
      <c r="E1150" t="n">
        <v>42.64</v>
      </c>
      <c r="F1150" t="n">
        <v>1</v>
      </c>
      <c r="G1150" t="n">
        <v>32</v>
      </c>
      <c r="H1150" s="5">
        <f>HYPERLINK("https://api.qogita.com/variants/link/3348900852655/", "View Product")</f>
        <v/>
      </c>
    </row>
    <row r="1151">
      <c r="A1151" t="inlineStr">
        <is>
          <t>3348900911055</t>
        </is>
      </c>
      <c r="B1151" t="inlineStr">
        <is>
          <t>Christian Dior Eau Sauvage Deodorant Spray 150ml</t>
        </is>
      </c>
      <c r="C1151" t="inlineStr">
        <is>
          <t>Deodorant &amp; Anti-Perspirant</t>
        </is>
      </c>
      <c r="D1151" t="inlineStr">
        <is>
          <t>Dior</t>
        </is>
      </c>
      <c r="E1151" t="n">
        <v>37.79</v>
      </c>
      <c r="F1151" t="n">
        <v>1</v>
      </c>
      <c r="G1151" t="n">
        <v>5</v>
      </c>
      <c r="H1151" s="5">
        <f>HYPERLINK("https://api.qogita.com/variants/link/3348900911055/", "View Product")</f>
        <v/>
      </c>
    </row>
    <row r="1152">
      <c r="A1152" t="inlineStr">
        <is>
          <t>3348900959385</t>
        </is>
      </c>
      <c r="B1152" t="inlineStr">
        <is>
          <t>Dior Eau Sauvage Extreme Eau De Toilette Spray 100ml</t>
        </is>
      </c>
      <c r="C1152" t="inlineStr">
        <is>
          <t>Eau De Toilette</t>
        </is>
      </c>
      <c r="D1152" t="inlineStr">
        <is>
          <t>Dior</t>
        </is>
      </c>
      <c r="E1152" t="n">
        <v>101.48</v>
      </c>
      <c r="F1152" t="n">
        <v>1</v>
      </c>
      <c r="G1152" t="n">
        <v>5</v>
      </c>
      <c r="H1152" s="5">
        <f>HYPERLINK("https://api.qogita.com/variants/link/3348900959385/", "View Product")</f>
        <v/>
      </c>
    </row>
    <row r="1153">
      <c r="A1153" t="inlineStr">
        <is>
          <t>3348901001120</t>
        </is>
      </c>
      <c r="B1153" t="inlineStr">
        <is>
          <t>Dior Homme Intense Eau De Parfum Spray 150ml By Dior</t>
        </is>
      </c>
      <c r="C1153" t="inlineStr">
        <is>
          <t>Eau De Parfum</t>
        </is>
      </c>
      <c r="D1153" t="inlineStr">
        <is>
          <t>Dior</t>
        </is>
      </c>
      <c r="E1153" t="n">
        <v>123.77</v>
      </c>
      <c r="F1153" t="n">
        <v>1</v>
      </c>
      <c r="G1153" t="n">
        <v>2</v>
      </c>
      <c r="H1153" s="5">
        <f>HYPERLINK("https://api.qogita.com/variants/link/3348901001120/", "View Product")</f>
        <v/>
      </c>
    </row>
    <row r="1154">
      <c r="A1154" t="inlineStr">
        <is>
          <t>3348901181839</t>
        </is>
      </c>
      <c r="B1154" t="inlineStr">
        <is>
          <t>Christian Dior Dior Addict Eau De Parfum Spray for Unisex 100ml</t>
        </is>
      </c>
      <c r="C1154" t="inlineStr">
        <is>
          <t>Eau De Parfum</t>
        </is>
      </c>
      <c r="D1154" t="inlineStr">
        <is>
          <t>Dior</t>
        </is>
      </c>
      <c r="E1154" t="n">
        <v>128.34</v>
      </c>
      <c r="F1154" t="n">
        <v>1</v>
      </c>
      <c r="G1154" t="n">
        <v>10</v>
      </c>
      <c r="H1154" s="5">
        <f>HYPERLINK("https://api.qogita.com/variants/link/3348901181839/", "View Product")</f>
        <v/>
      </c>
    </row>
    <row r="1155">
      <c r="A1155" t="inlineStr">
        <is>
          <t>3348901182331</t>
        </is>
      </c>
      <c r="B1155" t="inlineStr">
        <is>
          <t>Dior Addict Eau De Parfum 30 Ml Women's Spray</t>
        </is>
      </c>
      <c r="C1155" t="inlineStr">
        <is>
          <t>Eau De Parfum</t>
        </is>
      </c>
      <c r="D1155" t="inlineStr">
        <is>
          <t>Dior</t>
        </is>
      </c>
      <c r="E1155" t="n">
        <v>65.13</v>
      </c>
      <c r="F1155" t="n">
        <v>1</v>
      </c>
      <c r="G1155" t="n">
        <v>7</v>
      </c>
      <c r="H1155" s="5">
        <f>HYPERLINK("https://api.qogita.com/variants/link/3348901182331/", "View Product")</f>
        <v/>
      </c>
    </row>
    <row r="1156">
      <c r="A1156" t="inlineStr">
        <is>
          <t>3348901192224</t>
        </is>
      </c>
      <c r="B1156" t="inlineStr">
        <is>
          <t>Dior Hypnotic Poison Eau De Parfum Spray 50ml</t>
        </is>
      </c>
      <c r="C1156" t="inlineStr">
        <is>
          <t>Eau De Parfum</t>
        </is>
      </c>
      <c r="D1156" t="inlineStr">
        <is>
          <t>Dior</t>
        </is>
      </c>
      <c r="E1156" t="n">
        <v>90.76000000000001</v>
      </c>
      <c r="F1156" t="n">
        <v>1</v>
      </c>
      <c r="G1156" t="n">
        <v>17</v>
      </c>
      <c r="H1156" s="5">
        <f>HYPERLINK("https://api.qogita.com/variants/link/3348901192224/", "View Product")</f>
        <v/>
      </c>
    </row>
    <row r="1157">
      <c r="A1157" t="inlineStr">
        <is>
          <t>3348901192231</t>
        </is>
      </c>
      <c r="B1157" t="inlineStr">
        <is>
          <t>Christian Dior Hypnotic Poison EDP Spray for Women 100ml</t>
        </is>
      </c>
      <c r="C1157" t="inlineStr">
        <is>
          <t>Eau De Parfum</t>
        </is>
      </c>
      <c r="D1157" t="inlineStr">
        <is>
          <t>Dior</t>
        </is>
      </c>
      <c r="E1157" t="n">
        <v>127.33</v>
      </c>
      <c r="F1157" t="n">
        <v>1</v>
      </c>
      <c r="G1157" t="n">
        <v>21</v>
      </c>
      <c r="H1157" s="5">
        <f>HYPERLINK("https://api.qogita.com/variants/link/3348901192231/", "View Product")</f>
        <v/>
      </c>
    </row>
    <row r="1158">
      <c r="A1158" t="inlineStr">
        <is>
          <t>3348901206167</t>
        </is>
      </c>
      <c r="B1158" t="inlineStr">
        <is>
          <t>Christian Dior Addict Eau De Toilette Splash 1.7 Ounce</t>
        </is>
      </c>
      <c r="C1158" t="inlineStr">
        <is>
          <t>Eau De Toilette</t>
        </is>
      </c>
      <c r="D1158" t="inlineStr">
        <is>
          <t>Dior</t>
        </is>
      </c>
      <c r="E1158" t="n">
        <v>84.67</v>
      </c>
      <c r="F1158" t="n">
        <v>1</v>
      </c>
      <c r="G1158" t="n">
        <v>3</v>
      </c>
      <c r="H1158" s="5">
        <f>HYPERLINK("https://api.qogita.com/variants/link/3348901206167/", "View Product")</f>
        <v/>
      </c>
    </row>
    <row r="1159">
      <c r="A1159" t="inlineStr">
        <is>
          <t>3348901237116</t>
        </is>
      </c>
      <c r="B1159" t="inlineStr">
        <is>
          <t>Dior J'Adore Eau De Parfum Spray 150ml</t>
        </is>
      </c>
      <c r="C1159" t="inlineStr">
        <is>
          <t>Eau De Parfum</t>
        </is>
      </c>
      <c r="D1159" t="inlineStr">
        <is>
          <t>Dior</t>
        </is>
      </c>
      <c r="E1159" t="n">
        <v>165.12</v>
      </c>
      <c r="F1159" t="n">
        <v>1</v>
      </c>
      <c r="G1159" t="n">
        <v>2</v>
      </c>
      <c r="H1159" s="5">
        <f>HYPERLINK("https://api.qogita.com/variants/link/3348901237116/", "View Product")</f>
        <v/>
      </c>
    </row>
    <row r="1160">
      <c r="A1160" t="inlineStr">
        <is>
          <t>3348901250351</t>
        </is>
      </c>
      <c r="B1160" t="inlineStr">
        <is>
          <t>Dior Hypnotic Poison Eau De Toilette Spray 150ml</t>
        </is>
      </c>
      <c r="C1160" t="inlineStr">
        <is>
          <t>Eau De Toilette</t>
        </is>
      </c>
      <c r="D1160" t="inlineStr">
        <is>
          <t>Dior</t>
        </is>
      </c>
      <c r="E1160" t="n">
        <v>135.93</v>
      </c>
      <c r="F1160" t="n">
        <v>1</v>
      </c>
      <c r="G1160" t="n">
        <v>10</v>
      </c>
      <c r="H1160" s="5">
        <f>HYPERLINK("https://api.qogita.com/variants/link/3348901250351/", "View Product")</f>
        <v/>
      </c>
    </row>
    <row r="1161">
      <c r="A1161" t="inlineStr">
        <is>
          <t>3348901293839</t>
        </is>
      </c>
      <c r="B1161" t="inlineStr">
        <is>
          <t>Christian Dior Poison Girl EDP Spray 50ml</t>
        </is>
      </c>
      <c r="C1161" t="inlineStr">
        <is>
          <t>Eau De Parfum</t>
        </is>
      </c>
      <c r="D1161" t="inlineStr">
        <is>
          <t>Dior</t>
        </is>
      </c>
      <c r="E1161" t="n">
        <v>92.26000000000001</v>
      </c>
      <c r="F1161" t="n">
        <v>1</v>
      </c>
      <c r="G1161" t="n">
        <v>9</v>
      </c>
      <c r="H1161" s="5">
        <f>HYPERLINK("https://api.qogita.com/variants/link/3348901293839/", "View Product")</f>
        <v/>
      </c>
    </row>
    <row r="1162">
      <c r="A1162" t="inlineStr">
        <is>
          <t>3348901321129</t>
        </is>
      </c>
      <c r="B1162" t="inlineStr">
        <is>
          <t>Dior Sauvage Eau De Toilette Spray 200ml</t>
        </is>
      </c>
      <c r="C1162" t="inlineStr">
        <is>
          <t>Eau De Toilette</t>
        </is>
      </c>
      <c r="D1162" t="inlineStr">
        <is>
          <t>Dior</t>
        </is>
      </c>
      <c r="E1162" t="n">
        <v>129.25</v>
      </c>
      <c r="F1162" t="n">
        <v>1</v>
      </c>
      <c r="G1162" t="n">
        <v>23</v>
      </c>
      <c r="H1162" s="5">
        <f>HYPERLINK("https://api.qogita.com/variants/link/3348901321129/", "View Product")</f>
        <v/>
      </c>
    </row>
    <row r="1163">
      <c r="A1163" t="inlineStr">
        <is>
          <t>3348901345736</t>
        </is>
      </c>
      <c r="B1163" t="inlineStr">
        <is>
          <t>Dior Poison Girl Eau De Toilette Spray 100ml</t>
        </is>
      </c>
      <c r="C1163" t="inlineStr">
        <is>
          <t>Eau De Toilette</t>
        </is>
      </c>
      <c r="D1163" t="inlineStr">
        <is>
          <t>Dior</t>
        </is>
      </c>
      <c r="E1163" t="n">
        <v>81.64</v>
      </c>
      <c r="F1163" t="n">
        <v>1</v>
      </c>
      <c r="G1163" t="n">
        <v>13</v>
      </c>
      <c r="H1163" s="5">
        <f>HYPERLINK("https://api.qogita.com/variants/link/3348901345736/", "View Product")</f>
        <v/>
      </c>
    </row>
    <row r="1164">
      <c r="A1164" t="inlineStr">
        <is>
          <t>3348901385732</t>
        </is>
      </c>
      <c r="B1164" t="inlineStr">
        <is>
          <t>Dior Miss Dior Hand Cream 50ml For Women</t>
        </is>
      </c>
      <c r="C1164" t="inlineStr">
        <is>
          <t>Hand Cream</t>
        </is>
      </c>
      <c r="D1164" t="inlineStr">
        <is>
          <t>Dior</t>
        </is>
      </c>
      <c r="E1164" t="n">
        <v>50.78</v>
      </c>
      <c r="F1164" t="n">
        <v>1</v>
      </c>
      <c r="G1164" t="n">
        <v>2</v>
      </c>
      <c r="H1164" s="5">
        <f>HYPERLINK("https://api.qogita.com/variants/link/3348901385732/", "View Product")</f>
        <v/>
      </c>
    </row>
    <row r="1165">
      <c r="A1165" t="inlineStr">
        <is>
          <t>3348901419086</t>
        </is>
      </c>
      <c r="B1165" t="inlineStr">
        <is>
          <t>Dior Joy Eau De Parfum 50ml Women's Fragrance By Dior</t>
        </is>
      </c>
      <c r="C1165" t="inlineStr">
        <is>
          <t>Eau De Parfum</t>
        </is>
      </c>
      <c r="D1165" t="inlineStr">
        <is>
          <t>Dior</t>
        </is>
      </c>
      <c r="E1165" t="n">
        <v>92.26000000000001</v>
      </c>
      <c r="F1165" t="n">
        <v>1</v>
      </c>
      <c r="G1165" t="n">
        <v>3</v>
      </c>
      <c r="H1165" s="5">
        <f>HYPERLINK("https://api.qogita.com/variants/link/3348901419086/", "View Product")</f>
        <v/>
      </c>
    </row>
    <row r="1166">
      <c r="A1166" t="inlineStr">
        <is>
          <t>3348901419093</t>
        </is>
      </c>
      <c r="B1166" t="inlineStr">
        <is>
          <t>Christian Dior Joy Eau De Parfum 90ml For Women</t>
        </is>
      </c>
      <c r="C1166" t="inlineStr">
        <is>
          <t>Eau De Parfum</t>
        </is>
      </c>
      <c r="D1166" t="inlineStr">
        <is>
          <t>Christian Dior</t>
        </is>
      </c>
      <c r="E1166" t="n">
        <v>123.79</v>
      </c>
      <c r="F1166" t="n">
        <v>1</v>
      </c>
      <c r="G1166" t="n">
        <v>19</v>
      </c>
      <c r="H1166" s="5">
        <f>HYPERLINK("https://api.qogita.com/variants/link/3348901419093/", "View Product")</f>
        <v/>
      </c>
    </row>
    <row r="1167">
      <c r="A1167" t="inlineStr">
        <is>
          <t>3348901419147</t>
        </is>
      </c>
      <c r="B1167" t="inlineStr">
        <is>
          <t>Dior Homme Eau De Toilette Spray 100ml By Dior</t>
        </is>
      </c>
      <c r="C1167" t="inlineStr">
        <is>
          <t>Eau De Toilette</t>
        </is>
      </c>
      <c r="D1167" t="inlineStr">
        <is>
          <t>Dior</t>
        </is>
      </c>
      <c r="E1167" t="n">
        <v>85.43000000000001</v>
      </c>
      <c r="F1167" t="n">
        <v>1</v>
      </c>
      <c r="G1167" t="n">
        <v>8</v>
      </c>
      <c r="H1167" s="5">
        <f>HYPERLINK("https://api.qogita.com/variants/link/3348901419147/", "View Product")</f>
        <v/>
      </c>
    </row>
    <row r="1168">
      <c r="A1168" t="inlineStr">
        <is>
          <t>3348901419161</t>
        </is>
      </c>
      <c r="B1168" t="inlineStr">
        <is>
          <t>Dior Homme Fragrance 100ml</t>
        </is>
      </c>
      <c r="C1168" t="inlineStr">
        <is>
          <t>Eau De Parfum</t>
        </is>
      </c>
      <c r="D1168" t="inlineStr">
        <is>
          <t>Dior</t>
        </is>
      </c>
      <c r="E1168" t="n">
        <v>56.18</v>
      </c>
      <c r="F1168" t="n">
        <v>1</v>
      </c>
      <c r="G1168" t="n">
        <v>7</v>
      </c>
      <c r="H1168" s="5">
        <f>HYPERLINK("https://api.qogita.com/variants/link/3348901419161/", "View Product")</f>
        <v/>
      </c>
    </row>
    <row r="1169">
      <c r="A1169" t="inlineStr">
        <is>
          <t>3348901445108</t>
        </is>
      </c>
      <c r="B1169" t="inlineStr">
        <is>
          <t>Dior Hypnotic Poison Eau de Toilette Spray 20ml</t>
        </is>
      </c>
      <c r="C1169" t="inlineStr">
        <is>
          <t>Eau De Toilette</t>
        </is>
      </c>
      <c r="D1169" t="inlineStr">
        <is>
          <t>Christian Dior</t>
        </is>
      </c>
      <c r="E1169" t="n">
        <v>39.85</v>
      </c>
      <c r="F1169" t="n">
        <v>1</v>
      </c>
      <c r="G1169" t="n">
        <v>3</v>
      </c>
      <c r="H1169" s="5">
        <f>HYPERLINK("https://api.qogita.com/variants/link/3348901445108/", "View Product")</f>
        <v/>
      </c>
    </row>
    <row r="1170">
      <c r="A1170" t="inlineStr">
        <is>
          <t>3348901470353</t>
        </is>
      </c>
      <c r="B1170" t="inlineStr">
        <is>
          <t>Dior Sauvage Eau De Toilette Refill 300ml</t>
        </is>
      </c>
      <c r="C1170" t="inlineStr">
        <is>
          <t>Eau De Toilette</t>
        </is>
      </c>
      <c r="D1170" t="inlineStr">
        <is>
          <t>Dior</t>
        </is>
      </c>
      <c r="E1170" t="n">
        <v>204.25</v>
      </c>
      <c r="F1170" t="n">
        <v>1</v>
      </c>
      <c r="G1170" t="n">
        <v>4</v>
      </c>
      <c r="H1170" s="5">
        <f>HYPERLINK("https://api.qogita.com/variants/link/3348901470353/", "View Product")</f>
        <v/>
      </c>
    </row>
    <row r="1171">
      <c r="A1171" t="inlineStr">
        <is>
          <t>3348901486392</t>
        </is>
      </c>
      <c r="B1171" t="inlineStr">
        <is>
          <t>Dior Sauvage Parfum 60ml Eau De Parfum For Men</t>
        </is>
      </c>
      <c r="C1171" t="inlineStr">
        <is>
          <t>Eau De Parfum</t>
        </is>
      </c>
      <c r="D1171" t="inlineStr">
        <is>
          <t>Dior</t>
        </is>
      </c>
      <c r="E1171" t="n">
        <v>96.51000000000001</v>
      </c>
      <c r="F1171" t="n">
        <v>1</v>
      </c>
      <c r="G1171" t="n">
        <v>14</v>
      </c>
      <c r="H1171" s="5">
        <f>HYPERLINK("https://api.qogita.com/variants/link/3348901486392/", "View Product")</f>
        <v/>
      </c>
    </row>
    <row r="1172">
      <c r="A1172" t="inlineStr">
        <is>
          <t>3348901487511</t>
        </is>
      </c>
      <c r="B1172" t="inlineStr">
        <is>
          <t>Dior Joy By Dior Intense Eau De Parfum 50ml For Women</t>
        </is>
      </c>
      <c r="C1172" t="inlineStr">
        <is>
          <t>Eau De Parfum</t>
        </is>
      </c>
      <c r="D1172" t="inlineStr">
        <is>
          <t>Dior</t>
        </is>
      </c>
      <c r="E1172" t="n">
        <v>89.14</v>
      </c>
      <c r="F1172" t="n">
        <v>1</v>
      </c>
      <c r="G1172" t="n">
        <v>17</v>
      </c>
      <c r="H1172" s="5">
        <f>HYPERLINK("https://api.qogita.com/variants/link/3348901487511/", "View Product")</f>
        <v/>
      </c>
    </row>
    <row r="1173">
      <c r="A1173" t="inlineStr">
        <is>
          <t>3348901500838</t>
        </is>
      </c>
      <c r="B1173" t="inlineStr">
        <is>
          <t>Dior Miss Dior Rose N'Roses Eau De Toilette Spray 100ml</t>
        </is>
      </c>
      <c r="C1173" t="inlineStr">
        <is>
          <t>Eau De Toilette</t>
        </is>
      </c>
      <c r="D1173" t="inlineStr">
        <is>
          <t>Dior</t>
        </is>
      </c>
      <c r="E1173" t="n">
        <v>108.37</v>
      </c>
      <c r="F1173" t="n">
        <v>1</v>
      </c>
      <c r="G1173" t="n">
        <v>3</v>
      </c>
      <c r="H1173" s="5">
        <f>HYPERLINK("https://api.qogita.com/variants/link/3348901500838/", "View Product")</f>
        <v/>
      </c>
    </row>
    <row r="1174">
      <c r="A1174" t="inlineStr">
        <is>
          <t>3348901521406</t>
        </is>
      </c>
      <c r="B1174" t="inlineStr">
        <is>
          <t>J Adore Infinissime Eau de Parfum Vapo 50ml</t>
        </is>
      </c>
      <c r="C1174" t="inlineStr">
        <is>
          <t>Eau De Parfum</t>
        </is>
      </c>
      <c r="D1174" t="inlineStr">
        <is>
          <t>Dior</t>
        </is>
      </c>
      <c r="E1174" t="n">
        <v>99.18000000000001</v>
      </c>
      <c r="F1174" t="n">
        <v>1</v>
      </c>
      <c r="G1174" t="n">
        <v>4</v>
      </c>
      <c r="H1174" s="5">
        <f>HYPERLINK("https://api.qogita.com/variants/link/3348901521406/", "View Product")</f>
        <v/>
      </c>
    </row>
    <row r="1175">
      <c r="A1175" t="inlineStr">
        <is>
          <t>3348901526753</t>
        </is>
      </c>
      <c r="B1175" t="inlineStr">
        <is>
          <t>Dior Longlasting Refillable Lipstick Rouge Dior Satin 35 G</t>
        </is>
      </c>
      <c r="C1175" t="inlineStr">
        <is>
          <t>Lipstick</t>
        </is>
      </c>
      <c r="D1175" t="inlineStr">
        <is>
          <t>Dior</t>
        </is>
      </c>
      <c r="E1175" t="n">
        <v>31.48</v>
      </c>
      <c r="F1175" t="n">
        <v>1</v>
      </c>
      <c r="G1175" t="n">
        <v>5</v>
      </c>
      <c r="H1175" s="5">
        <f>HYPERLINK("https://api.qogita.com/variants/link/3348901526753/", "View Product")</f>
        <v/>
      </c>
    </row>
    <row r="1176">
      <c r="A1176" t="inlineStr">
        <is>
          <t>3348901553254</t>
        </is>
      </c>
      <c r="B1176" t="inlineStr">
        <is>
          <t>Dior Sauvage Shower Gel 250ml</t>
        </is>
      </c>
      <c r="C1176" t="inlineStr">
        <is>
          <t>Shower Gel</t>
        </is>
      </c>
      <c r="D1176" t="inlineStr">
        <is>
          <t>Dior</t>
        </is>
      </c>
      <c r="E1176" t="n">
        <v>38.16</v>
      </c>
      <c r="F1176" t="n">
        <v>1</v>
      </c>
      <c r="G1176" t="n">
        <v>13</v>
      </c>
      <c r="H1176" s="5">
        <f>HYPERLINK("https://api.qogita.com/variants/link/3348901553254/", "View Product")</f>
        <v/>
      </c>
    </row>
    <row r="1177">
      <c r="A1177" t="inlineStr">
        <is>
          <t>3348901553261</t>
        </is>
      </c>
      <c r="B1177" t="inlineStr">
        <is>
          <t>Dior Sauvage Scented Aftershave Balm 100ml</t>
        </is>
      </c>
      <c r="C1177" t="inlineStr">
        <is>
          <t>Aftershave</t>
        </is>
      </c>
      <c r="D1177" t="inlineStr">
        <is>
          <t>Dior</t>
        </is>
      </c>
      <c r="E1177" t="n">
        <v>48.18</v>
      </c>
      <c r="F1177" t="n">
        <v>1</v>
      </c>
      <c r="G1177" t="n">
        <v>34</v>
      </c>
      <c r="H1177" s="5">
        <f>HYPERLINK("https://api.qogita.com/variants/link/3348901553261/", "View Product")</f>
        <v/>
      </c>
    </row>
    <row r="1178">
      <c r="A1178" t="inlineStr">
        <is>
          <t>3348901559423</t>
        </is>
      </c>
      <c r="B1178" t="inlineStr">
        <is>
          <t>Dior Eyeshadow Mono Couleur Couture Nude Dress 2 Grams</t>
        </is>
      </c>
      <c r="C1178" t="inlineStr">
        <is>
          <t>Eyeshadow</t>
        </is>
      </c>
      <c r="D1178" t="inlineStr">
        <is>
          <t>Dior</t>
        </is>
      </c>
      <c r="E1178" t="n">
        <v>31.78</v>
      </c>
      <c r="F1178" t="n">
        <v>1</v>
      </c>
      <c r="G1178" t="n">
        <v>3</v>
      </c>
      <c r="H1178" s="5">
        <f>HYPERLINK("https://api.qogita.com/variants/link/3348901559423/", "View Product")</f>
        <v/>
      </c>
    </row>
    <row r="1179">
      <c r="A1179" t="inlineStr">
        <is>
          <t>3348901571456</t>
        </is>
      </c>
      <c r="B1179" t="inlineStr">
        <is>
          <t>Dior Miss Dior Eau De Parfum Spray 100ml</t>
        </is>
      </c>
      <c r="C1179" t="inlineStr">
        <is>
          <t>Eau De Parfum</t>
        </is>
      </c>
      <c r="D1179" t="inlineStr">
        <is>
          <t>Dior</t>
        </is>
      </c>
      <c r="E1179" t="n">
        <v>127.98</v>
      </c>
      <c r="F1179" t="n">
        <v>1</v>
      </c>
      <c r="G1179" t="n">
        <v>5</v>
      </c>
      <c r="H1179" s="5">
        <f>HYPERLINK("https://api.qogita.com/variants/link/3348901571456/", "View Product")</f>
        <v/>
      </c>
    </row>
    <row r="1180">
      <c r="A1180" t="inlineStr">
        <is>
          <t>3348901572811</t>
        </is>
      </c>
      <c r="B1180" t="inlineStr">
        <is>
          <t>Dior Dior Forever Foundation Spf 20 1n Neutral 30ml</t>
        </is>
      </c>
      <c r="C1180" t="inlineStr">
        <is>
          <t>Foundation</t>
        </is>
      </c>
      <c r="D1180" t="inlineStr">
        <is>
          <t>Dior</t>
        </is>
      </c>
      <c r="E1180" t="n">
        <v>47.05</v>
      </c>
      <c r="F1180" t="n">
        <v>1</v>
      </c>
      <c r="G1180" t="n">
        <v>96</v>
      </c>
      <c r="H1180" s="5">
        <f>HYPERLINK("https://api.qogita.com/variants/link/3348901572811/", "View Product")</f>
        <v/>
      </c>
    </row>
    <row r="1181">
      <c r="A1181" t="inlineStr">
        <is>
          <t>3348901576376</t>
        </is>
      </c>
      <c r="B1181" t="inlineStr">
        <is>
          <t>Dior Miss Dior Hand Gel</t>
        </is>
      </c>
      <c r="C1181" t="inlineStr">
        <is>
          <t>Hand Cleaning</t>
        </is>
      </c>
      <c r="D1181" t="inlineStr">
        <is>
          <t>Dior</t>
        </is>
      </c>
      <c r="E1181" t="n">
        <v>40.54</v>
      </c>
      <c r="F1181" t="n">
        <v>1</v>
      </c>
      <c r="G1181" t="n">
        <v>16</v>
      </c>
      <c r="H1181" s="5">
        <f>HYPERLINK("https://api.qogita.com/variants/link/3348901576376/", "View Product")</f>
        <v/>
      </c>
    </row>
    <row r="1182">
      <c r="A1182" t="inlineStr">
        <is>
          <t>3348901578493</t>
        </is>
      </c>
      <c r="B1182" t="inlineStr">
        <is>
          <t>Dior Diorskin Forever Skin Glow Foundation 0n Neutral 30ml</t>
        </is>
      </c>
      <c r="C1182" t="inlineStr">
        <is>
          <t>Foundation</t>
        </is>
      </c>
      <c r="D1182" t="inlineStr">
        <is>
          <t>Dior</t>
        </is>
      </c>
      <c r="E1182" t="n">
        <v>47.05</v>
      </c>
      <c r="F1182" t="n">
        <v>1</v>
      </c>
      <c r="G1182" t="n">
        <v>57</v>
      </c>
      <c r="H1182" s="5">
        <f>HYPERLINK("https://api.qogita.com/variants/link/3348901578493/", "View Product")</f>
        <v/>
      </c>
    </row>
    <row r="1183">
      <c r="A1183" t="inlineStr">
        <is>
          <t>3348901581370</t>
        </is>
      </c>
      <c r="B1183" t="inlineStr">
        <is>
          <t>Dior Miss Dior Eau De Parfum Spray 150ml</t>
        </is>
      </c>
      <c r="C1183" t="inlineStr">
        <is>
          <t>Eau De Parfum</t>
        </is>
      </c>
      <c r="D1183" t="inlineStr">
        <is>
          <t>Dior</t>
        </is>
      </c>
      <c r="E1183" t="n">
        <v>138.74</v>
      </c>
      <c r="F1183" t="n">
        <v>1</v>
      </c>
      <c r="G1183" t="n">
        <v>21</v>
      </c>
      <c r="H1183" s="5">
        <f>HYPERLINK("https://api.qogita.com/variants/link/3348901581370/", "View Product")</f>
        <v/>
      </c>
    </row>
    <row r="1184">
      <c r="A1184" t="inlineStr">
        <is>
          <t>3348901588362</t>
        </is>
      </c>
      <c r="B1184" t="inlineStr">
        <is>
          <t>Dior Rouge Forever Liquid Lipstick 200 Forever Dream Highly Pigmented 6 Ml</t>
        </is>
      </c>
      <c r="C1184" t="inlineStr">
        <is>
          <t>Lipstick</t>
        </is>
      </c>
      <c r="D1184" t="inlineStr">
        <is>
          <t>Dior</t>
        </is>
      </c>
      <c r="E1184" t="n">
        <v>39.26</v>
      </c>
      <c r="F1184" t="n">
        <v>1</v>
      </c>
      <c r="G1184" t="n">
        <v>10</v>
      </c>
      <c r="H1184" s="5">
        <f>HYPERLINK("https://api.qogita.com/variants/link/3348901588362/", "View Product")</f>
        <v/>
      </c>
    </row>
    <row r="1185">
      <c r="A1185" t="inlineStr">
        <is>
          <t>3348901588386</t>
        </is>
      </c>
      <c r="B1185" t="inlineStr">
        <is>
          <t>Dior Rouge Dior Forever Liquid Forever Grace Highly Pigmented 6 Ml</t>
        </is>
      </c>
      <c r="C1185" t="inlineStr">
        <is>
          <t>Lipstick</t>
        </is>
      </c>
      <c r="D1185" t="inlineStr">
        <is>
          <t>Dior</t>
        </is>
      </c>
      <c r="E1185" t="n">
        <v>39.62</v>
      </c>
      <c r="F1185" t="n">
        <v>1</v>
      </c>
      <c r="G1185" t="n">
        <v>3</v>
      </c>
      <c r="H1185" s="5">
        <f>HYPERLINK("https://api.qogita.com/variants/link/3348901588386/", "View Product")</f>
        <v/>
      </c>
    </row>
    <row r="1186">
      <c r="A1186" t="inlineStr">
        <is>
          <t>3348901588430</t>
        </is>
      </c>
      <c r="B1186" t="inlineStr">
        <is>
          <t>Dior Rouge Dior Forever Liquid Highly Pigmented Lipstick 6 Ml</t>
        </is>
      </c>
      <c r="C1186" t="inlineStr">
        <is>
          <t>Lipstick</t>
        </is>
      </c>
      <c r="D1186" t="inlineStr">
        <is>
          <t>Dior</t>
        </is>
      </c>
      <c r="E1186" t="n">
        <v>39.1</v>
      </c>
      <c r="F1186" t="n">
        <v>1</v>
      </c>
      <c r="G1186" t="n">
        <v>3</v>
      </c>
      <c r="H1186" s="5">
        <f>HYPERLINK("https://api.qogita.com/variants/link/3348901588430/", "View Product")</f>
        <v/>
      </c>
    </row>
    <row r="1187">
      <c r="A1187" t="inlineStr">
        <is>
          <t>3348901600408</t>
        </is>
      </c>
      <c r="B1187" t="inlineStr">
        <is>
          <t>Dior La Mousse Off/On Foaming Face Cleanser 150ml</t>
        </is>
      </c>
      <c r="C1187" t="inlineStr">
        <is>
          <t>Cleansing Foam</t>
        </is>
      </c>
      <c r="D1187" t="inlineStr">
        <is>
          <t>Christian Dior</t>
        </is>
      </c>
      <c r="E1187" t="n">
        <v>40.36</v>
      </c>
      <c r="F1187" t="n">
        <v>1</v>
      </c>
      <c r="G1187" t="n">
        <v>85</v>
      </c>
      <c r="H1187" s="5">
        <f>HYPERLINK("https://api.qogita.com/variants/link/3348901600408/", "View Product")</f>
        <v/>
      </c>
    </row>
    <row r="1188">
      <c r="A1188" t="inlineStr">
        <is>
          <t>3348901608084</t>
        </is>
      </c>
      <c r="B1188" t="inlineStr">
        <is>
          <t>Dior Sauvage Perfume Refill 300ml</t>
        </is>
      </c>
      <c r="C1188" t="inlineStr">
        <is>
          <t>Refillable Fragrances &amp; Refills</t>
        </is>
      </c>
      <c r="D1188" t="inlineStr">
        <is>
          <t>Dior</t>
        </is>
      </c>
      <c r="E1188" t="n">
        <v>277.63</v>
      </c>
      <c r="F1188" t="n">
        <v>1</v>
      </c>
      <c r="G1188" t="n">
        <v>2</v>
      </c>
      <c r="H1188" s="5">
        <f>HYPERLINK("https://api.qogita.com/variants/link/3348901608084/", "View Product")</f>
        <v/>
      </c>
    </row>
    <row r="1189">
      <c r="A1189" t="inlineStr">
        <is>
          <t>3348901618113</t>
        </is>
      </c>
      <c r="B1189" t="inlineStr">
        <is>
          <t>Rouge Dior Velvet Lipstick 200 Nude Touch</t>
        </is>
      </c>
      <c r="C1189" t="inlineStr">
        <is>
          <t>Lipstick</t>
        </is>
      </c>
      <c r="D1189" t="inlineStr">
        <is>
          <t>Dior</t>
        </is>
      </c>
      <c r="E1189" t="n">
        <v>35.53</v>
      </c>
      <c r="F1189" t="n">
        <v>1</v>
      </c>
      <c r="G1189" t="n">
        <v>5</v>
      </c>
      <c r="H1189" s="5">
        <f>HYPERLINK("https://api.qogita.com/variants/link/3348901618113/", "View Product")</f>
        <v/>
      </c>
    </row>
    <row r="1190">
      <c r="A1190" t="inlineStr">
        <is>
          <t>3348901627375</t>
        </is>
      </c>
      <c r="B1190" t="inlineStr">
        <is>
          <t>Dior Miss Dior Blooming Bouquet Eau De Toilette Spray 100ml</t>
        </is>
      </c>
      <c r="C1190" t="inlineStr">
        <is>
          <t>Eau De Toilette</t>
        </is>
      </c>
      <c r="D1190" t="inlineStr">
        <is>
          <t>Dior</t>
        </is>
      </c>
      <c r="E1190" t="n">
        <v>114.04</v>
      </c>
      <c r="F1190" t="n">
        <v>1</v>
      </c>
      <c r="G1190" t="n">
        <v>36</v>
      </c>
      <c r="H1190" s="5">
        <f>HYPERLINK("https://api.qogita.com/variants/link/3348901627375/", "View Product")</f>
        <v/>
      </c>
    </row>
    <row r="1191">
      <c r="A1191" t="inlineStr">
        <is>
          <t>3348901630481</t>
        </is>
      </c>
      <c r="B1191" t="inlineStr">
        <is>
          <t>Dior Forever Glow Veil Glow Primer 30ml</t>
        </is>
      </c>
      <c r="C1191" t="inlineStr">
        <is>
          <t>Face Cream</t>
        </is>
      </c>
      <c r="D1191" t="inlineStr">
        <is>
          <t>Dior</t>
        </is>
      </c>
      <c r="E1191" t="n">
        <v>43.05</v>
      </c>
      <c r="F1191" t="n">
        <v>1</v>
      </c>
      <c r="G1191" t="n">
        <v>2</v>
      </c>
      <c r="H1191" s="5">
        <f>HYPERLINK("https://api.qogita.com/variants/link/3348901630481/", "View Product")</f>
        <v/>
      </c>
    </row>
    <row r="1192">
      <c r="A1192" t="inlineStr">
        <is>
          <t>3348901636049</t>
        </is>
      </c>
      <c r="B1192" t="inlineStr">
        <is>
          <t>Dior Lip Maximizer Berry A Lip Gloss That Enhances And Plumps The Lips</t>
        </is>
      </c>
      <c r="C1192" t="inlineStr">
        <is>
          <t>Lip Gloss</t>
        </is>
      </c>
      <c r="D1192" t="inlineStr">
        <is>
          <t>Dior</t>
        </is>
      </c>
      <c r="E1192" t="n">
        <v>35.12</v>
      </c>
      <c r="F1192" t="n">
        <v>1</v>
      </c>
      <c r="G1192" t="n">
        <v>7</v>
      </c>
      <c r="H1192" s="5">
        <f>HYPERLINK("https://api.qogita.com/variants/link/3348901636049/", "View Product")</f>
        <v/>
      </c>
    </row>
    <row r="1193">
      <c r="A1193" t="inlineStr">
        <is>
          <t>3348901636124</t>
        </is>
      </c>
      <c r="B1193" t="inlineStr">
        <is>
          <t>Dior Volume Lip Gloss Dior Addict Lip Maximizer 6 Ml</t>
        </is>
      </c>
      <c r="C1193" t="inlineStr">
        <is>
          <t>Lip Gloss</t>
        </is>
      </c>
      <c r="D1193" t="inlineStr">
        <is>
          <t>Dior</t>
        </is>
      </c>
      <c r="E1193" t="n">
        <v>38.27</v>
      </c>
      <c r="F1193" t="n">
        <v>1</v>
      </c>
      <c r="G1193" t="n">
        <v>5</v>
      </c>
      <c r="H1193" s="5">
        <f>HYPERLINK("https://api.qogita.com/variants/link/3348901636124/", "View Product")</f>
        <v/>
      </c>
    </row>
    <row r="1194">
      <c r="A1194" t="inlineStr">
        <is>
          <t>3348901637497</t>
        </is>
      </c>
      <c r="B1194" t="inlineStr">
        <is>
          <t>Dior Forever Skin Correct Concealer 1 N Neutral Fullcoverage Concealer 11 Ml</t>
        </is>
      </c>
      <c r="C1194" t="inlineStr">
        <is>
          <t>Concealer</t>
        </is>
      </c>
      <c r="D1194" t="inlineStr">
        <is>
          <t>Dior</t>
        </is>
      </c>
      <c r="E1194" t="n">
        <v>33.74</v>
      </c>
      <c r="F1194" t="n">
        <v>1</v>
      </c>
      <c r="G1194" t="n">
        <v>18</v>
      </c>
      <c r="H1194" s="5">
        <f>HYPERLINK("https://api.qogita.com/variants/link/3348901637497/", "View Product")</f>
        <v/>
      </c>
    </row>
    <row r="1195">
      <c r="A1195" t="inlineStr">
        <is>
          <t>3348901637787</t>
        </is>
      </c>
      <c r="B1195" t="inlineStr">
        <is>
          <t>Dior Forever Skin Correct Concealer 3 Wo Warm Olive 11ml Fullcoverage Liquid Corrector</t>
        </is>
      </c>
      <c r="C1195" t="inlineStr">
        <is>
          <t>Concealer</t>
        </is>
      </c>
      <c r="D1195" t="inlineStr">
        <is>
          <t>Dior</t>
        </is>
      </c>
      <c r="E1195" t="n">
        <v>35.97</v>
      </c>
      <c r="F1195" t="n">
        <v>1</v>
      </c>
      <c r="G1195" t="n">
        <v>3</v>
      </c>
      <c r="H1195" s="5">
        <f>HYPERLINK("https://api.qogita.com/variants/link/3348901637787/", "View Product")</f>
        <v/>
      </c>
    </row>
    <row r="1196">
      <c r="A1196" t="inlineStr">
        <is>
          <t>3348901637848</t>
        </is>
      </c>
      <c r="B1196" t="inlineStr">
        <is>
          <t>Dior Forever Skin Correct Concealer 35 N Neutral 11ml</t>
        </is>
      </c>
      <c r="C1196" t="inlineStr">
        <is>
          <t>Concealer</t>
        </is>
      </c>
      <c r="D1196" t="inlineStr">
        <is>
          <t>Dior</t>
        </is>
      </c>
      <c r="E1196" t="n">
        <v>32.86</v>
      </c>
      <c r="F1196" t="n">
        <v>1</v>
      </c>
      <c r="G1196" t="n">
        <v>2</v>
      </c>
      <c r="H1196" s="5">
        <f>HYPERLINK("https://api.qogita.com/variants/link/3348901637848/", "View Product")</f>
        <v/>
      </c>
    </row>
    <row r="1197">
      <c r="A1197" t="inlineStr">
        <is>
          <t>3348901642774</t>
        </is>
      </c>
      <c r="B1197" t="inlineStr">
        <is>
          <t>Dior Solar The Selftanning Gel Face 50ml</t>
        </is>
      </c>
      <c r="C1197" t="inlineStr">
        <is>
          <t>Face Self-Tanner</t>
        </is>
      </c>
      <c r="D1197" t="inlineStr">
        <is>
          <t>Dior</t>
        </is>
      </c>
      <c r="E1197" t="n">
        <v>76.43000000000001</v>
      </c>
      <c r="F1197" t="n">
        <v>1</v>
      </c>
      <c r="G1197" t="n">
        <v>5</v>
      </c>
      <c r="H1197" s="5">
        <f>HYPERLINK("https://api.qogita.com/variants/link/3348901642774/", "View Product")</f>
        <v/>
      </c>
    </row>
    <row r="1198">
      <c r="A1198" t="inlineStr">
        <is>
          <t>3348901658935</t>
        </is>
      </c>
      <c r="B1198" t="inlineStr">
        <is>
          <t>Dior Rouge Dior Lipstick Satin 683 Rendezvous 350g</t>
        </is>
      </c>
      <c r="C1198" t="inlineStr">
        <is>
          <t>Lipstick</t>
        </is>
      </c>
      <c r="D1198" t="inlineStr">
        <is>
          <t>Dior</t>
        </is>
      </c>
      <c r="E1198" t="n">
        <v>42.77</v>
      </c>
      <c r="F1198" t="n">
        <v>1</v>
      </c>
      <c r="G1198" t="n">
        <v>2</v>
      </c>
      <c r="H1198" s="5">
        <f>HYPERLINK("https://api.qogita.com/variants/link/3348901658935/", "View Product")</f>
        <v/>
      </c>
    </row>
    <row r="1199">
      <c r="A1199" t="inlineStr">
        <is>
          <t>3348901663496</t>
        </is>
      </c>
      <c r="B1199" t="inlineStr">
        <is>
          <t>Dior 5 Couleurs Couture Eyeshadow Palette 429 Toile De Jouy 7g</t>
        </is>
      </c>
      <c r="C1199" t="inlineStr">
        <is>
          <t>Eye Sets &amp; Pallets</t>
        </is>
      </c>
      <c r="D1199" t="inlineStr">
        <is>
          <t>Dior</t>
        </is>
      </c>
      <c r="E1199" t="n">
        <v>60.91</v>
      </c>
      <c r="F1199" t="n">
        <v>1</v>
      </c>
      <c r="G1199" t="n">
        <v>5</v>
      </c>
      <c r="H1199" s="5">
        <f>HYPERLINK("https://api.qogita.com/variants/link/3348901663496/", "View Product")</f>
        <v/>
      </c>
    </row>
    <row r="1200">
      <c r="A1200" t="inlineStr">
        <is>
          <t>3348901665834</t>
        </is>
      </c>
      <c r="B1200" t="inlineStr">
        <is>
          <t>Dior Blush Rosy Glow 44 G</t>
        </is>
      </c>
      <c r="C1200" t="inlineStr">
        <is>
          <t>Blush</t>
        </is>
      </c>
      <c r="D1200" t="inlineStr">
        <is>
          <t>Dior</t>
        </is>
      </c>
      <c r="E1200" t="n">
        <v>37</v>
      </c>
      <c r="F1200" t="n">
        <v>1</v>
      </c>
      <c r="G1200" t="n">
        <v>6</v>
      </c>
      <c r="H1200" s="5">
        <f>HYPERLINK("https://api.qogita.com/variants/link/3348901665834/", "View Product")</f>
        <v/>
      </c>
    </row>
    <row r="1201">
      <c r="A1201" t="inlineStr">
        <is>
          <t>3348901670432</t>
        </is>
      </c>
      <c r="B1201" t="inlineStr">
        <is>
          <t>Dior Forever Skin Perfect Multi-Use Foundation Stick - 10 G</t>
        </is>
      </c>
      <c r="C1201" t="inlineStr">
        <is>
          <t>Foundation</t>
        </is>
      </c>
      <c r="D1201" t="inlineStr">
        <is>
          <t>Dior</t>
        </is>
      </c>
      <c r="E1201" t="n">
        <v>47.46</v>
      </c>
      <c r="F1201" t="n">
        <v>1</v>
      </c>
      <c r="G1201" t="n">
        <v>11</v>
      </c>
      <c r="H1201" s="5">
        <f>HYPERLINK("https://api.qogita.com/variants/link/3348901670432/", "View Product")</f>
        <v/>
      </c>
    </row>
    <row r="1202">
      <c r="A1202" t="inlineStr">
        <is>
          <t>3348901672900</t>
        </is>
      </c>
      <c r="B1202" t="inlineStr">
        <is>
          <t>Dior Vernis 323 Dune Nail Polish 10ml</t>
        </is>
      </c>
      <c r="C1202" t="inlineStr">
        <is>
          <t>Nail Polish</t>
        </is>
      </c>
      <c r="D1202" t="inlineStr">
        <is>
          <t>Dior</t>
        </is>
      </c>
      <c r="E1202" t="n">
        <v>25.17</v>
      </c>
      <c r="F1202" t="n">
        <v>1</v>
      </c>
      <c r="G1202" t="n">
        <v>3</v>
      </c>
      <c r="H1202" s="5">
        <f>HYPERLINK("https://api.qogita.com/variants/link/3348901672900/", "View Product")</f>
        <v/>
      </c>
    </row>
    <row r="1203">
      <c r="A1203" t="inlineStr">
        <is>
          <t>3348901672979</t>
        </is>
      </c>
      <c r="B1203" t="inlineStr">
        <is>
          <t>Dior Gel Effect And Couture Color Nail Polish 796 Denim 10 Ml</t>
        </is>
      </c>
      <c r="C1203" t="inlineStr">
        <is>
          <t>Nail Polish</t>
        </is>
      </c>
      <c r="D1203" t="inlineStr">
        <is>
          <t>Dior</t>
        </is>
      </c>
      <c r="E1203" t="n">
        <v>22.41</v>
      </c>
      <c r="F1203" t="n">
        <v>1</v>
      </c>
      <c r="G1203" t="n">
        <v>5</v>
      </c>
      <c r="H1203" s="5">
        <f>HYPERLINK("https://api.qogita.com/variants/link/3348901672979/", "View Product")</f>
        <v/>
      </c>
    </row>
    <row r="1204">
      <c r="A1204" t="inlineStr">
        <is>
          <t>3348901677158</t>
        </is>
      </c>
      <c r="B1204" t="inlineStr">
        <is>
          <t>Dior Rouge Dior Velvet Lipstick 35g Shade 777</t>
        </is>
      </c>
      <c r="C1204" t="inlineStr">
        <is>
          <t>Lipstick</t>
        </is>
      </c>
      <c r="D1204" t="inlineStr">
        <is>
          <t>Dior</t>
        </is>
      </c>
      <c r="E1204" t="n">
        <v>37.02</v>
      </c>
      <c r="F1204" t="n">
        <v>1</v>
      </c>
      <c r="G1204" t="n">
        <v>3</v>
      </c>
      <c r="H1204" s="5">
        <f>HYPERLINK("https://api.qogita.com/variants/link/3348901677158/", "View Product")</f>
        <v/>
      </c>
    </row>
    <row r="1205">
      <c r="A1205" t="inlineStr">
        <is>
          <t>3348901702027</t>
        </is>
      </c>
      <c r="B1205" t="inlineStr">
        <is>
          <t>Dior Eyeshadow Mono Couleur Couture 2 Grams</t>
        </is>
      </c>
      <c r="C1205" t="inlineStr">
        <is>
          <t>Eyeshadow</t>
        </is>
      </c>
      <c r="D1205" t="inlineStr">
        <is>
          <t>Dior</t>
        </is>
      </c>
      <c r="E1205" t="n">
        <v>34.55</v>
      </c>
      <c r="F1205" t="n">
        <v>1</v>
      </c>
      <c r="G1205" t="n">
        <v>4</v>
      </c>
      <c r="H1205" s="5">
        <f>HYPERLINK("https://api.qogita.com/variants/link/3348901702027/", "View Product")</f>
        <v/>
      </c>
    </row>
    <row r="1206">
      <c r="A1206" t="inlineStr">
        <is>
          <t>3348901703604</t>
        </is>
      </c>
      <c r="B1206" t="inlineStr">
        <is>
          <t>Dior Diorshow Stylo Waterproof Eye Pencil 03 G</t>
        </is>
      </c>
      <c r="C1206" t="inlineStr">
        <is>
          <t>Eye Pencil</t>
        </is>
      </c>
      <c r="D1206" t="inlineStr">
        <is>
          <t>Dior</t>
        </is>
      </c>
      <c r="E1206" t="n">
        <v>28.88</v>
      </c>
      <c r="F1206" t="n">
        <v>1</v>
      </c>
      <c r="G1206" t="n">
        <v>5</v>
      </c>
      <c r="H1206" s="5">
        <f>HYPERLINK("https://api.qogita.com/variants/link/3348901703604/", "View Product")</f>
        <v/>
      </c>
    </row>
    <row r="1207">
      <c r="A1207" t="inlineStr">
        <is>
          <t>3348901703666</t>
        </is>
      </c>
      <c r="B1207" t="inlineStr">
        <is>
          <t>Dior Diorshow 24h Stylo Waterproof Eyeliner Pearly Bronze 03g</t>
        </is>
      </c>
      <c r="C1207" t="inlineStr">
        <is>
          <t>Eyeliner</t>
        </is>
      </c>
      <c r="D1207" t="inlineStr">
        <is>
          <t>Dior</t>
        </is>
      </c>
      <c r="E1207" t="n">
        <v>24.7</v>
      </c>
      <c r="F1207" t="n">
        <v>1</v>
      </c>
      <c r="G1207" t="n">
        <v>5</v>
      </c>
      <c r="H1207" s="5">
        <f>HYPERLINK("https://api.qogita.com/variants/link/3348901703666/", "View Product")</f>
        <v/>
      </c>
    </row>
    <row r="1208">
      <c r="A1208" t="inlineStr">
        <is>
          <t>3348901703703</t>
        </is>
      </c>
      <c r="B1208" t="inlineStr">
        <is>
          <t>Dior Diorshow 24h Stylo Waterproof Eyeliner Matte Taupe 03g</t>
        </is>
      </c>
      <c r="C1208" t="inlineStr">
        <is>
          <t>Eyeliner</t>
        </is>
      </c>
      <c r="D1208" t="inlineStr">
        <is>
          <t>Dior</t>
        </is>
      </c>
      <c r="E1208" t="n">
        <v>27.81</v>
      </c>
      <c r="F1208" t="n">
        <v>1</v>
      </c>
      <c r="G1208" t="n">
        <v>2</v>
      </c>
      <c r="H1208" s="5">
        <f>HYPERLINK("https://api.qogita.com/variants/link/3348901703703/", "View Product")</f>
        <v/>
      </c>
    </row>
    <row r="1209">
      <c r="A1209" t="inlineStr">
        <is>
          <t>3348901703710</t>
        </is>
      </c>
      <c r="B1209" t="inlineStr">
        <is>
          <t>Dior Diorshow 24h Stylo Waterproof Eyeliner Matte Brown 03g</t>
        </is>
      </c>
      <c r="C1209" t="inlineStr">
        <is>
          <t>Eyeliner</t>
        </is>
      </c>
      <c r="D1209" t="inlineStr">
        <is>
          <t>Dior</t>
        </is>
      </c>
      <c r="E1209" t="n">
        <v>29.09</v>
      </c>
      <c r="F1209" t="n">
        <v>1</v>
      </c>
      <c r="G1209" t="n">
        <v>5</v>
      </c>
      <c r="H1209" s="5">
        <f>HYPERLINK("https://api.qogita.com/variants/link/3348901703710/", "View Product")</f>
        <v/>
      </c>
    </row>
    <row r="1210">
      <c r="A1210" t="inlineStr">
        <is>
          <t>3348901708647</t>
        </is>
      </c>
      <c r="B1210" t="inlineStr">
        <is>
          <t>Dior Hydrating Lipstick With Gloss Addict - 32 Grams</t>
        </is>
      </c>
      <c r="C1210" t="inlineStr">
        <is>
          <t>Lipstick</t>
        </is>
      </c>
      <c r="D1210" t="inlineStr">
        <is>
          <t>Dior</t>
        </is>
      </c>
      <c r="E1210" t="n">
        <v>41.31</v>
      </c>
      <c r="F1210" t="n">
        <v>1</v>
      </c>
      <c r="G1210" t="n">
        <v>3</v>
      </c>
      <c r="H1210" s="5">
        <f>HYPERLINK("https://api.qogita.com/variants/link/3348901708647/", "View Product")</f>
        <v/>
      </c>
    </row>
    <row r="1211">
      <c r="A1211" t="inlineStr">
        <is>
          <t>3348901708920</t>
        </is>
      </c>
      <c r="B1211" t="inlineStr">
        <is>
          <t>Dior Miss Dior Perfume Spray 80ml</t>
        </is>
      </c>
      <c r="C1211" t="inlineStr">
        <is>
          <t>Eau De Parfum</t>
        </is>
      </c>
      <c r="D1211" t="inlineStr">
        <is>
          <t>Dior</t>
        </is>
      </c>
      <c r="E1211" t="n">
        <v>125.73</v>
      </c>
      <c r="F1211" t="n">
        <v>1</v>
      </c>
      <c r="G1211" t="n">
        <v>10</v>
      </c>
      <c r="H1211" s="5">
        <f>HYPERLINK("https://api.qogita.com/variants/link/3348901708920/", "View Product")</f>
        <v/>
      </c>
    </row>
    <row r="1212">
      <c r="A1212" t="inlineStr">
        <is>
          <t>3348901713573</t>
        </is>
      </c>
      <c r="B1212" t="inlineStr">
        <is>
          <t>Dior Forever Glow Maximizer Liquid Highlighter 11 Ml Pink</t>
        </is>
      </c>
      <c r="C1212" t="inlineStr">
        <is>
          <t>Highlighter</t>
        </is>
      </c>
      <c r="D1212" t="inlineStr">
        <is>
          <t>Dior</t>
        </is>
      </c>
      <c r="E1212" t="n">
        <v>34.15</v>
      </c>
      <c r="F1212" t="n">
        <v>1</v>
      </c>
      <c r="G1212" t="n">
        <v>3</v>
      </c>
      <c r="H1212" s="5">
        <f>HYPERLINK("https://api.qogita.com/variants/link/3348901713573/", "View Product")</f>
        <v/>
      </c>
    </row>
    <row r="1213">
      <c r="A1213" t="inlineStr">
        <is>
          <t>3348901726825</t>
        </is>
      </c>
      <c r="B1213" t="inlineStr">
        <is>
          <t>Dior Forever Skin Contour 04 Deep - Contouring Makeup</t>
        </is>
      </c>
      <c r="C1213" t="inlineStr">
        <is>
          <t>Contouring</t>
        </is>
      </c>
      <c r="D1213" t="inlineStr">
        <is>
          <t>Dior</t>
        </is>
      </c>
      <c r="E1213" t="n">
        <v>47.07</v>
      </c>
      <c r="F1213" t="n">
        <v>1</v>
      </c>
      <c r="G1213" t="n">
        <v>4</v>
      </c>
      <c r="H1213" s="5">
        <f>HYPERLINK("https://api.qogita.com/variants/link/3348901726825/", "View Product")</f>
        <v/>
      </c>
    </row>
    <row r="1214">
      <c r="A1214" t="inlineStr">
        <is>
          <t>3348901728836</t>
        </is>
      </c>
      <c r="B1214" t="inlineStr">
        <is>
          <t>Dior Sauvage Eau Forte Parfum Spray 100ml</t>
        </is>
      </c>
      <c r="C1214" t="inlineStr">
        <is>
          <t>Eau De Parfum</t>
        </is>
      </c>
      <c r="D1214" t="inlineStr">
        <is>
          <t>Dior</t>
        </is>
      </c>
      <c r="E1214" t="n">
        <v>129.11</v>
      </c>
      <c r="F1214" t="n">
        <v>1</v>
      </c>
      <c r="G1214" t="n">
        <v>4</v>
      </c>
      <c r="H1214" s="5">
        <f>HYPERLINK("https://api.qogita.com/variants/link/3348901728836/", "View Product")</f>
        <v/>
      </c>
    </row>
    <row r="1215">
      <c r="A1215" t="inlineStr">
        <is>
          <t>3348901738217</t>
        </is>
      </c>
      <c r="B1215" t="inlineStr">
        <is>
          <t>Dior J'Adore Eau De Parfum Spray 50ml</t>
        </is>
      </c>
      <c r="C1215" t="inlineStr">
        <is>
          <t>Eau De Parfum</t>
        </is>
      </c>
      <c r="D1215" t="inlineStr">
        <is>
          <t>Dior</t>
        </is>
      </c>
      <c r="E1215" t="n">
        <v>91.34</v>
      </c>
      <c r="F1215" t="n">
        <v>1</v>
      </c>
      <c r="G1215" t="n">
        <v>63</v>
      </c>
      <c r="H1215" s="5">
        <f>HYPERLINK("https://api.qogita.com/variants/link/3348901738217/", "View Product")</f>
        <v/>
      </c>
    </row>
    <row r="1216">
      <c r="A1216" t="inlineStr">
        <is>
          <t>3348901748049</t>
        </is>
      </c>
      <c r="B1216" t="inlineStr">
        <is>
          <t>Dior Forever Glow Luminizer 6g - 01 Nude Halo</t>
        </is>
      </c>
      <c r="C1216" t="inlineStr">
        <is>
          <t>Highlighter</t>
        </is>
      </c>
      <c r="D1216" t="inlineStr">
        <is>
          <t>Dior</t>
        </is>
      </c>
      <c r="E1216" t="n">
        <v>57.04</v>
      </c>
      <c r="F1216" t="n">
        <v>1</v>
      </c>
      <c r="G1216" t="n">
        <v>3</v>
      </c>
      <c r="H1216" s="5">
        <f>HYPERLINK("https://api.qogita.com/variants/link/3348901748049/", "View Product")</f>
        <v/>
      </c>
    </row>
    <row r="1217">
      <c r="A1217" t="inlineStr">
        <is>
          <t>3348901756426</t>
        </is>
      </c>
      <c r="B1217" t="inlineStr">
        <is>
          <t>Dior Diorshow Liquid Liner 0.55ml - White 001</t>
        </is>
      </c>
      <c r="C1217" t="inlineStr">
        <is>
          <t>Eyeliner</t>
        </is>
      </c>
      <c r="D1217" t="inlineStr">
        <is>
          <t>Dior</t>
        </is>
      </c>
      <c r="E1217" t="n">
        <v>40.78</v>
      </c>
      <c r="F1217" t="n">
        <v>1</v>
      </c>
      <c r="G1217" t="n">
        <v>3</v>
      </c>
      <c r="H1217" s="5">
        <f>HYPERLINK("https://api.qogita.com/variants/link/3348901756426/", "View Product")</f>
        <v/>
      </c>
    </row>
    <row r="1218">
      <c r="A1218" t="inlineStr">
        <is>
          <t>3348901756518</t>
        </is>
      </c>
      <c r="B1218" t="inlineStr">
        <is>
          <t>Dior Diorshow Liquid Liner - 0.55ml - Brown 781</t>
        </is>
      </c>
      <c r="C1218" t="inlineStr">
        <is>
          <t>Eyeliner</t>
        </is>
      </c>
      <c r="D1218" t="inlineStr">
        <is>
          <t>Dior</t>
        </is>
      </c>
      <c r="E1218" t="n">
        <v>40.78</v>
      </c>
      <c r="F1218" t="n">
        <v>1</v>
      </c>
      <c r="G1218" t="n">
        <v>2</v>
      </c>
      <c r="H1218" s="5">
        <f>HYPERLINK("https://api.qogita.com/variants/link/3348901756518/", "View Product")</f>
        <v/>
      </c>
    </row>
    <row r="1219">
      <c r="A1219" t="inlineStr">
        <is>
          <t>3348901756556</t>
        </is>
      </c>
      <c r="B1219" t="inlineStr">
        <is>
          <t>Dior Diorshow Liquid Liner 0.55ml - Burgundy 881</t>
        </is>
      </c>
      <c r="C1219" t="inlineStr">
        <is>
          <t>Eyeliner</t>
        </is>
      </c>
      <c r="D1219" t="inlineStr">
        <is>
          <t>Dior</t>
        </is>
      </c>
      <c r="E1219" t="n">
        <v>40.78</v>
      </c>
      <c r="F1219" t="n">
        <v>1</v>
      </c>
      <c r="G1219" t="n">
        <v>3</v>
      </c>
      <c r="H1219" s="5">
        <f>HYPERLINK("https://api.qogita.com/variants/link/3348901756556/", "View Product")</f>
        <v/>
      </c>
    </row>
    <row r="1220">
      <c r="A1220" t="inlineStr">
        <is>
          <t>3349666006016</t>
        </is>
      </c>
      <c r="B1220" t="inlineStr">
        <is>
          <t>Paco Rabanne Ultrared EDP Spray 80ml</t>
        </is>
      </c>
      <c r="C1220" t="inlineStr">
        <is>
          <t>Eau De Parfum</t>
        </is>
      </c>
      <c r="D1220" t="inlineStr">
        <is>
          <t>Paco Rabanne</t>
        </is>
      </c>
      <c r="E1220" t="n">
        <v>32.69</v>
      </c>
      <c r="F1220" t="n">
        <v>1</v>
      </c>
      <c r="G1220" t="n">
        <v>8</v>
      </c>
      <c r="H1220" s="5">
        <f>HYPERLINK("https://api.qogita.com/variants/link/3349666006016/", "View Product")</f>
        <v/>
      </c>
    </row>
    <row r="1221">
      <c r="A1221" t="inlineStr">
        <is>
          <t>3349666007921</t>
        </is>
      </c>
      <c r="B1221" t="inlineStr">
        <is>
          <t>Paco Rabanne 1 Million Men Eau De Toilette Spray 100ml</t>
        </is>
      </c>
      <c r="C1221" t="inlineStr">
        <is>
          <t>Eau De Toilette</t>
        </is>
      </c>
      <c r="D1221" t="inlineStr">
        <is>
          <t>Paco Rabanne</t>
        </is>
      </c>
      <c r="E1221" t="n">
        <v>61.49</v>
      </c>
      <c r="F1221" t="n">
        <v>1</v>
      </c>
      <c r="G1221" t="n">
        <v>171</v>
      </c>
      <c r="H1221" s="5">
        <f>HYPERLINK("https://api.qogita.com/variants/link/3349666007921/", "View Product")</f>
        <v/>
      </c>
    </row>
    <row r="1222">
      <c r="A1222" t="inlineStr">
        <is>
          <t>3349668515738</t>
        </is>
      </c>
      <c r="B1222" t="inlineStr">
        <is>
          <t>Invictus by Paco Rabanne Shower Gel 150ml</t>
        </is>
      </c>
      <c r="C1222" t="inlineStr">
        <is>
          <t>Shower Gel</t>
        </is>
      </c>
      <c r="D1222" t="inlineStr">
        <is>
          <t>Paco Rabanne</t>
        </is>
      </c>
      <c r="E1222" t="n">
        <v>25.78</v>
      </c>
      <c r="F1222" t="n">
        <v>1</v>
      </c>
      <c r="G1222" t="n">
        <v>5</v>
      </c>
      <c r="H1222" s="5">
        <f>HYPERLINK("https://api.qogita.com/variants/link/3349668515738/", "View Product")</f>
        <v/>
      </c>
    </row>
    <row r="1223">
      <c r="A1223" t="inlineStr">
        <is>
          <t>3349668524600</t>
        </is>
      </c>
      <c r="B1223" t="inlineStr">
        <is>
          <t>Lady Million Eau My Gold by Paco Rabanne</t>
        </is>
      </c>
      <c r="C1223" t="inlineStr">
        <is>
          <t>Eau De Parfum</t>
        </is>
      </c>
      <c r="D1223" t="inlineStr">
        <is>
          <t>Paco Rabanne</t>
        </is>
      </c>
      <c r="E1223" t="n">
        <v>49.07</v>
      </c>
      <c r="F1223" t="n">
        <v>1</v>
      </c>
      <c r="G1223" t="n">
        <v>4</v>
      </c>
      <c r="H1223" s="5">
        <f>HYPERLINK("https://api.qogita.com/variants/link/3349668524600/", "View Product")</f>
        <v/>
      </c>
    </row>
    <row r="1224">
      <c r="A1224" t="inlineStr">
        <is>
          <t>3349668554768</t>
        </is>
      </c>
      <c r="B1224" t="inlineStr">
        <is>
          <t>Paco Rabanne 1 Million Men Shower Gel 150ml</t>
        </is>
      </c>
      <c r="C1224" t="inlineStr">
        <is>
          <t>Shower Gel</t>
        </is>
      </c>
      <c r="D1224" t="inlineStr">
        <is>
          <t>Paco Rabanne</t>
        </is>
      </c>
      <c r="E1224" t="n">
        <v>22.38</v>
      </c>
      <c r="F1224" t="n">
        <v>1</v>
      </c>
      <c r="G1224" t="n">
        <v>14</v>
      </c>
      <c r="H1224" s="5">
        <f>HYPERLINK("https://api.qogita.com/variants/link/3349668554768/", "View Product")</f>
        <v/>
      </c>
    </row>
    <row r="1225">
      <c r="A1225" t="inlineStr">
        <is>
          <t>3349668566730</t>
        </is>
      </c>
      <c r="B1225" t="inlineStr">
        <is>
          <t>Paco Rabanne Calandre Eau De Toilette 100ml 3.4 Fl.Oz Perfume</t>
        </is>
      </c>
      <c r="C1225" t="inlineStr">
        <is>
          <t>Eau De Toilette</t>
        </is>
      </c>
      <c r="D1225" t="inlineStr">
        <is>
          <t>Paco Rabanne</t>
        </is>
      </c>
      <c r="E1225" t="n">
        <v>40.9</v>
      </c>
      <c r="F1225" t="n">
        <v>1</v>
      </c>
      <c r="G1225" t="n">
        <v>233</v>
      </c>
      <c r="H1225" s="5">
        <f>HYPERLINK("https://api.qogita.com/variants/link/3349668566730/", "View Product")</f>
        <v/>
      </c>
    </row>
    <row r="1226">
      <c r="A1226" t="inlineStr">
        <is>
          <t>3349668570515</t>
        </is>
      </c>
      <c r="B1226" t="inlineStr">
        <is>
          <t>Paco Rabanne Genius Me Eau De Parfum Spray 62ml</t>
        </is>
      </c>
      <c r="C1226" t="inlineStr">
        <is>
          <t>Eau De Parfum</t>
        </is>
      </c>
      <c r="D1226" t="inlineStr">
        <is>
          <t>Paco Rabanne</t>
        </is>
      </c>
      <c r="E1226" t="n">
        <v>40.82</v>
      </c>
      <c r="F1226" t="n">
        <v>1</v>
      </c>
      <c r="G1226" t="n">
        <v>3</v>
      </c>
      <c r="H1226" s="5">
        <f>HYPERLINK("https://api.qogita.com/variants/link/3349668570515/", "View Product")</f>
        <v/>
      </c>
    </row>
    <row r="1227">
      <c r="A1227" t="inlineStr">
        <is>
          <t>3349668576166</t>
        </is>
      </c>
      <c r="B1227" t="inlineStr">
        <is>
          <t>Paco Rabanne Xs Pure Excess Eau De Toilette 50ml Spray</t>
        </is>
      </c>
      <c r="C1227" t="inlineStr">
        <is>
          <t>Eau De Toilette</t>
        </is>
      </c>
      <c r="D1227" t="inlineStr">
        <is>
          <t>Paco Rabanne</t>
        </is>
      </c>
      <c r="E1227" t="n">
        <v>29.93</v>
      </c>
      <c r="F1227" t="n">
        <v>1</v>
      </c>
      <c r="G1227" t="n">
        <v>387</v>
      </c>
      <c r="H1227" s="5">
        <f>HYPERLINK("https://api.qogita.com/variants/link/3349668576166/", "View Product")</f>
        <v/>
      </c>
    </row>
    <row r="1228">
      <c r="A1228" t="inlineStr">
        <is>
          <t>3349668581948</t>
        </is>
      </c>
      <c r="B1228" t="inlineStr">
        <is>
          <t>Paco Rabanne 1 Million Parfum Perfume Spray 200ml</t>
        </is>
      </c>
      <c r="C1228" t="inlineStr">
        <is>
          <t>Eau De Parfum</t>
        </is>
      </c>
      <c r="D1228" t="inlineStr">
        <is>
          <t>Paco Rabanne</t>
        </is>
      </c>
      <c r="E1228" t="n">
        <v>104.32</v>
      </c>
      <c r="F1228" t="n">
        <v>1</v>
      </c>
      <c r="G1228" t="n">
        <v>41</v>
      </c>
      <c r="H1228" s="5">
        <f>HYPERLINK("https://api.qogita.com/variants/link/3349668581948/", "View Product")</f>
        <v/>
      </c>
    </row>
    <row r="1229">
      <c r="A1229" t="inlineStr">
        <is>
          <t>0018084065013</t>
        </is>
      </c>
      <c r="B1229" t="inlineStr">
        <is>
          <t>Aveda Scalp Solutions Hair Care Gift Set</t>
        </is>
      </c>
      <c r="C1229" t="inlineStr">
        <is>
          <t>Hair Care Sets</t>
        </is>
      </c>
      <c r="D1229" t="inlineStr">
        <is>
          <t>Aveda</t>
        </is>
      </c>
      <c r="E1229" t="n">
        <v>54.69</v>
      </c>
      <c r="F1229" t="n">
        <v>1</v>
      </c>
      <c r="G1229" t="n">
        <v>42</v>
      </c>
      <c r="H1229" s="5">
        <f>HYPERLINK("https://api.qogita.com/variants/link/0018084065013/", "View Product")</f>
        <v/>
      </c>
    </row>
    <row r="1230">
      <c r="A1230" t="inlineStr">
        <is>
          <t>0018084065020</t>
        </is>
      </c>
      <c r="B1230" t="inlineStr">
        <is>
          <t>Aveda Color Control Gift Set For Colored Hair</t>
        </is>
      </c>
      <c r="C1230" t="inlineStr">
        <is>
          <t>Hair Care Sets</t>
        </is>
      </c>
      <c r="D1230" t="inlineStr">
        <is>
          <t>Aveda</t>
        </is>
      </c>
      <c r="E1230" t="n">
        <v>78.25</v>
      </c>
      <c r="F1230" t="n">
        <v>1</v>
      </c>
      <c r="G1230" t="n">
        <v>36</v>
      </c>
      <c r="H1230" s="5">
        <f>HYPERLINK("https://api.qogita.com/variants/link/0018084065020/", "View Product")</f>
        <v/>
      </c>
    </row>
    <row r="1231">
      <c r="A1231" t="inlineStr">
        <is>
          <t>0018084829226</t>
        </is>
      </c>
      <c r="B1231" t="inlineStr">
        <is>
          <t>Aveda Pure Abundance Volumizing Shampoo 250ml Unscented</t>
        </is>
      </c>
      <c r="C1231" t="inlineStr">
        <is>
          <t>Shampoo</t>
        </is>
      </c>
      <c r="D1231" t="inlineStr">
        <is>
          <t>Aveda</t>
        </is>
      </c>
      <c r="E1231" t="n">
        <v>20.96</v>
      </c>
      <c r="F1231" t="n">
        <v>1</v>
      </c>
      <c r="G1231" t="n">
        <v>3</v>
      </c>
      <c r="H1231" s="5">
        <f>HYPERLINK("https://api.qogita.com/variants/link/0018084829226/", "View Product")</f>
        <v/>
      </c>
    </row>
    <row r="1232">
      <c r="A1232" t="inlineStr">
        <is>
          <t>0018084851043</t>
        </is>
      </c>
      <c r="B1232" t="inlineStr">
        <is>
          <t>Aveda Men Pure-Formance Liquid Pomade</t>
        </is>
      </c>
      <c r="C1232" t="inlineStr">
        <is>
          <t>Styling Creams</t>
        </is>
      </c>
      <c r="D1232" t="inlineStr">
        <is>
          <t>Aveda</t>
        </is>
      </c>
      <c r="E1232" t="n">
        <v>27.73</v>
      </c>
      <c r="F1232" t="n">
        <v>1</v>
      </c>
      <c r="G1232" t="n">
        <v>5</v>
      </c>
      <c r="H1232" s="5">
        <f>HYPERLINK("https://api.qogita.com/variants/link/0018084851043/", "View Product")</f>
        <v/>
      </c>
    </row>
    <row r="1233">
      <c r="A1233" t="inlineStr">
        <is>
          <t>0018084885086</t>
        </is>
      </c>
      <c r="B1233" t="inlineStr">
        <is>
          <t>Aveda Botanical Kinetics Exfoliant 150ml</t>
        </is>
      </c>
      <c r="C1233" t="inlineStr">
        <is>
          <t>Facial Scrub &amp; Peeling</t>
        </is>
      </c>
      <c r="D1233" t="inlineStr">
        <is>
          <t>Aveda</t>
        </is>
      </c>
      <c r="E1233" t="n">
        <v>23.55</v>
      </c>
      <c r="F1233" t="n">
        <v>1</v>
      </c>
      <c r="G1233" t="n">
        <v>9</v>
      </c>
      <c r="H1233" s="5">
        <f>HYPERLINK("https://api.qogita.com/variants/link/0018084885086/", "View Product")</f>
        <v/>
      </c>
    </row>
    <row r="1234">
      <c r="A1234" t="inlineStr">
        <is>
          <t>0018084885147</t>
        </is>
      </c>
      <c r="B1234" t="inlineStr">
        <is>
          <t>Aveda Botanical Kinetics Purifying Gel Cleanser Face Wash 150ml</t>
        </is>
      </c>
      <c r="C1234" t="inlineStr">
        <is>
          <t>Cleansing Gel</t>
        </is>
      </c>
      <c r="D1234" t="inlineStr">
        <is>
          <t>Aveda</t>
        </is>
      </c>
      <c r="E1234" t="n">
        <v>23.86</v>
      </c>
      <c r="F1234" t="n">
        <v>1</v>
      </c>
      <c r="G1234" t="n">
        <v>5</v>
      </c>
      <c r="H1234" s="5">
        <f>HYPERLINK("https://api.qogita.com/variants/link/0018084885147/", "View Product")</f>
        <v/>
      </c>
    </row>
    <row r="1235">
      <c r="A1235" t="inlineStr">
        <is>
          <t>0018084975619</t>
        </is>
      </c>
      <c r="B1235" t="inlineStr">
        <is>
          <t>Aveda Botanical Kinetics Intensive Hydrating Masque</t>
        </is>
      </c>
      <c r="C1235" t="inlineStr">
        <is>
          <t>Hydrating Mask</t>
        </is>
      </c>
      <c r="D1235" t="inlineStr">
        <is>
          <t>Aveda</t>
        </is>
      </c>
      <c r="E1235" t="n">
        <v>26.3</v>
      </c>
      <c r="F1235" t="n">
        <v>1</v>
      </c>
      <c r="G1235" t="n">
        <v>2</v>
      </c>
      <c r="H1235" s="5">
        <f>HYPERLINK("https://api.qogita.com/variants/link/0018084975619/", "View Product")</f>
        <v/>
      </c>
    </row>
    <row r="1236">
      <c r="A1236" t="inlineStr">
        <is>
          <t>0018084997499</t>
        </is>
      </c>
      <c r="B1236" t="inlineStr">
        <is>
          <t>AVEDA Cherry Almond Conditioner BB 1000ml</t>
        </is>
      </c>
      <c r="C1236" t="inlineStr">
        <is>
          <t>Conditioner</t>
        </is>
      </c>
      <c r="D1236" t="inlineStr">
        <is>
          <t>Aveda</t>
        </is>
      </c>
      <c r="E1236" t="n">
        <v>77.61</v>
      </c>
      <c r="F1236" t="n">
        <v>1</v>
      </c>
      <c r="G1236" t="n">
        <v>6</v>
      </c>
      <c r="H1236" s="5">
        <f>HYPERLINK("https://api.qogita.com/variants/link/0018084997499/", "View Product")</f>
        <v/>
      </c>
    </row>
    <row r="1237">
      <c r="A1237" t="inlineStr">
        <is>
          <t>0020714001940</t>
        </is>
      </c>
      <c r="B1237" t="inlineStr">
        <is>
          <t>Clinique Aromatics Elixir EDP 45ml</t>
        </is>
      </c>
      <c r="C1237" t="inlineStr">
        <is>
          <t>Eau De Parfum</t>
        </is>
      </c>
      <c r="D1237" t="inlineStr">
        <is>
          <t>Clinique</t>
        </is>
      </c>
      <c r="E1237" t="n">
        <v>20.11</v>
      </c>
      <c r="F1237" t="n">
        <v>1</v>
      </c>
      <c r="G1237" t="n">
        <v>5</v>
      </c>
      <c r="H1237" s="5">
        <f>HYPERLINK("https://api.qogita.com/variants/link/0020714001940/", "View Product")</f>
        <v/>
      </c>
    </row>
    <row r="1238">
      <c r="A1238" t="inlineStr">
        <is>
          <t>0020714012779</t>
        </is>
      </c>
      <c r="B1238" t="inlineStr">
        <is>
          <t>Clinique Aromatics Elixir Body Wash 6.7 fl.oz. 200ml</t>
        </is>
      </c>
      <c r="C1238" t="inlineStr">
        <is>
          <t>Shower Gel</t>
        </is>
      </c>
      <c r="D1238" t="inlineStr">
        <is>
          <t>Clinique</t>
        </is>
      </c>
      <c r="E1238" t="n">
        <v>33.79</v>
      </c>
      <c r="F1238" t="n">
        <v>1</v>
      </c>
      <c r="G1238" t="n">
        <v>3</v>
      </c>
      <c r="H1238" s="5">
        <f>HYPERLINK("https://api.qogita.com/variants/link/0020714012779/", "View Product")</f>
        <v/>
      </c>
    </row>
    <row r="1239">
      <c r="A1239" t="inlineStr">
        <is>
          <t>0020714052959</t>
        </is>
      </c>
      <c r="B1239" t="inlineStr">
        <is>
          <t>Clinique Happy for Women 1.7 Oz Perfume Spray 50ml</t>
        </is>
      </c>
      <c r="C1239" t="inlineStr">
        <is>
          <t>Eau De Parfum</t>
        </is>
      </c>
      <c r="D1239" t="inlineStr">
        <is>
          <t>Clinique</t>
        </is>
      </c>
      <c r="E1239" t="n">
        <v>17.71</v>
      </c>
      <c r="F1239" t="n">
        <v>1</v>
      </c>
      <c r="G1239" t="n">
        <v>62</v>
      </c>
      <c r="H1239" s="5">
        <f>HYPERLINK("https://api.qogita.com/variants/link/0020714052959/", "View Product")</f>
        <v/>
      </c>
    </row>
    <row r="1240">
      <c r="A1240" t="inlineStr">
        <is>
          <t>0020714066130</t>
        </is>
      </c>
      <c r="B1240" t="inlineStr">
        <is>
          <t>Clinique Stay Matte Powder Oil Free 7.6g/0.27oz Stay Honey</t>
        </is>
      </c>
      <c r="C1240" t="inlineStr">
        <is>
          <t>Powder</t>
        </is>
      </c>
      <c r="D1240" t="inlineStr">
        <is>
          <t>Clinique</t>
        </is>
      </c>
      <c r="E1240" t="n">
        <v>23.34</v>
      </c>
      <c r="F1240" t="n">
        <v>1</v>
      </c>
      <c r="G1240" t="n">
        <v>4</v>
      </c>
      <c r="H1240" s="5">
        <f>HYPERLINK("https://api.qogita.com/variants/link/0020714066130/", "View Product")</f>
        <v/>
      </c>
    </row>
    <row r="1241">
      <c r="A1241" t="inlineStr">
        <is>
          <t>0020714066321</t>
        </is>
      </c>
      <c r="B1241" t="inlineStr">
        <is>
          <t>Change title to: Clinique Superpowder Double Face Makeup No. 02 Matte Beige</t>
        </is>
      </c>
      <c r="C1241" t="inlineStr">
        <is>
          <t>Powder</t>
        </is>
      </c>
      <c r="D1241" t="inlineStr">
        <is>
          <t>Clinique</t>
        </is>
      </c>
      <c r="E1241" t="n">
        <v>25.74</v>
      </c>
      <c r="F1241" t="n">
        <v>1</v>
      </c>
      <c r="G1241" t="n">
        <v>7</v>
      </c>
      <c r="H1241" s="5">
        <f>HYPERLINK("https://api.qogita.com/variants/link/0020714066321/", "View Product")</f>
        <v/>
      </c>
    </row>
    <row r="1242">
      <c r="A1242" t="inlineStr">
        <is>
          <t>0020714066376</t>
        </is>
      </c>
      <c r="B1242" t="inlineStr">
        <is>
          <t>Clinique Superpowder Double Face Makeup 07 Matte Neutral</t>
        </is>
      </c>
      <c r="C1242" t="inlineStr">
        <is>
          <t>Foundation</t>
        </is>
      </c>
      <c r="D1242" t="inlineStr">
        <is>
          <t>Clinique</t>
        </is>
      </c>
      <c r="E1242" t="n">
        <v>26.07</v>
      </c>
      <c r="F1242" t="n">
        <v>1</v>
      </c>
      <c r="G1242" t="n">
        <v>8</v>
      </c>
      <c r="H1242" s="5">
        <f>HYPERLINK("https://api.qogita.com/variants/link/0020714066376/", "View Product")</f>
        <v/>
      </c>
    </row>
    <row r="1243">
      <c r="A1243" t="inlineStr">
        <is>
          <t>0020714080310</t>
        </is>
      </c>
      <c r="B1243" t="inlineStr">
        <is>
          <t>Clinique Eau de Toilette Happy For Men Spray 100ml</t>
        </is>
      </c>
      <c r="C1243" t="inlineStr">
        <is>
          <t>Eau De Toilette</t>
        </is>
      </c>
      <c r="D1243" t="inlineStr">
        <is>
          <t>Clinique</t>
        </is>
      </c>
      <c r="E1243" t="n">
        <v>24.02</v>
      </c>
      <c r="F1243" t="n">
        <v>1</v>
      </c>
      <c r="G1243" t="n">
        <v>41</v>
      </c>
      <c r="H1243" s="5">
        <f>HYPERLINK("https://api.qogita.com/variants/link/0020714080310/", "View Product")</f>
        <v/>
      </c>
    </row>
    <row r="1244">
      <c r="A1244" t="inlineStr">
        <is>
          <t>0020714091125</t>
        </is>
      </c>
      <c r="B1244" t="inlineStr">
        <is>
          <t>Clinique Sparkle Skin Body Exfoliator 200ml</t>
        </is>
      </c>
      <c r="C1244" t="inlineStr">
        <is>
          <t>Body Care Sets</t>
        </is>
      </c>
      <c r="D1244" t="inlineStr">
        <is>
          <t>Clinique</t>
        </is>
      </c>
      <c r="E1244" t="n">
        <v>21.97</v>
      </c>
      <c r="F1244" t="n">
        <v>1</v>
      </c>
      <c r="G1244" t="n">
        <v>3</v>
      </c>
      <c r="H1244" s="5">
        <f>HYPERLINK("https://api.qogita.com/variants/link/0020714091125/", "View Product")</f>
        <v/>
      </c>
    </row>
    <row r="1245">
      <c r="A1245" t="inlineStr">
        <is>
          <t>0020714132651</t>
        </is>
      </c>
      <c r="B1245" t="inlineStr">
        <is>
          <t>Clinique Exfoliating Scrub 100ml</t>
        </is>
      </c>
      <c r="C1245" t="inlineStr">
        <is>
          <t>Facial Scrub &amp; Peeling</t>
        </is>
      </c>
      <c r="D1245" t="inlineStr">
        <is>
          <t>Clinique</t>
        </is>
      </c>
      <c r="E1245" t="n">
        <v>22.91</v>
      </c>
      <c r="F1245" t="n">
        <v>1</v>
      </c>
      <c r="G1245" t="n">
        <v>12</v>
      </c>
      <c r="H1245" s="5">
        <f>HYPERLINK("https://api.qogita.com/variants/link/0020714132651/", "View Product")</f>
        <v/>
      </c>
    </row>
    <row r="1246">
      <c r="A1246" t="inlineStr">
        <is>
          <t>0020714149697</t>
        </is>
      </c>
      <c r="B1246" t="inlineStr">
        <is>
          <t>Clinique Superbalanced Dry Combination To Oily Makeup 1 Fl Oz 11 Sunny</t>
        </is>
      </c>
      <c r="C1246" t="inlineStr">
        <is>
          <t>Foundation</t>
        </is>
      </c>
      <c r="D1246" t="inlineStr">
        <is>
          <t>Clinique</t>
        </is>
      </c>
      <c r="E1246" t="n">
        <v>23.93</v>
      </c>
      <c r="F1246" t="n">
        <v>1</v>
      </c>
      <c r="G1246" t="n">
        <v>4</v>
      </c>
      <c r="H1246" s="5">
        <f>HYPERLINK("https://api.qogita.com/variants/link/0020714149697/", "View Product")</f>
        <v/>
      </c>
    </row>
    <row r="1247">
      <c r="A1247" t="inlineStr">
        <is>
          <t>0020714222864</t>
        </is>
      </c>
      <c r="B1247" t="inlineStr">
        <is>
          <t>Clinique Dramatically Different Moisturizing Gel 50ml</t>
        </is>
      </c>
      <c r="C1247" t="inlineStr">
        <is>
          <t>Face Cream</t>
        </is>
      </c>
      <c r="D1247" t="inlineStr">
        <is>
          <t>Clinique</t>
        </is>
      </c>
      <c r="E1247" t="n">
        <v>18.87</v>
      </c>
      <c r="F1247" t="n">
        <v>1</v>
      </c>
      <c r="G1247" t="n">
        <v>2</v>
      </c>
      <c r="H1247" s="5">
        <f>HYPERLINK("https://api.qogita.com/variants/link/0020714222864/", "View Product")</f>
        <v/>
      </c>
    </row>
    <row r="1248">
      <c r="A1248" t="inlineStr">
        <is>
          <t>0020714236960</t>
        </is>
      </c>
      <c r="B1248" t="inlineStr">
        <is>
          <t>Clinique Cream Shaper For Eyes 05 Chocolate Lustre 1.2g</t>
        </is>
      </c>
      <c r="C1248" t="inlineStr">
        <is>
          <t>Eye Pencil</t>
        </is>
      </c>
      <c r="D1248" t="inlineStr">
        <is>
          <t>Clinique</t>
        </is>
      </c>
      <c r="E1248" t="n">
        <v>13.78</v>
      </c>
      <c r="F1248" t="n">
        <v>1</v>
      </c>
      <c r="G1248" t="n">
        <v>14</v>
      </c>
      <c r="H1248" s="5">
        <f>HYPERLINK("https://api.qogita.com/variants/link/0020714236960/", "View Product")</f>
        <v/>
      </c>
    </row>
    <row r="1249">
      <c r="A1249" t="inlineStr">
        <is>
          <t>0020714258511</t>
        </is>
      </c>
      <c r="B1249" t="inlineStr">
        <is>
          <t>Clinique Exfoliating and Cleansing Masks 200ml</t>
        </is>
      </c>
      <c r="C1249" t="inlineStr">
        <is>
          <t>Purifying Mask</t>
        </is>
      </c>
      <c r="D1249" t="inlineStr">
        <is>
          <t>Clinique</t>
        </is>
      </c>
      <c r="E1249" t="n">
        <v>26.27</v>
      </c>
      <c r="F1249" t="n">
        <v>1</v>
      </c>
      <c r="G1249" t="n">
        <v>2</v>
      </c>
      <c r="H1249" s="5">
        <f>HYPERLINK("https://api.qogita.com/variants/link/0020714258511/", "View Product")</f>
        <v/>
      </c>
    </row>
    <row r="1250">
      <c r="A1250" t="inlineStr">
        <is>
          <t>0020714281113</t>
        </is>
      </c>
      <c r="B1250" t="inlineStr">
        <is>
          <t>Anti-Blemish Solutions Step 2 Clarifying Exfoliating Lotion</t>
        </is>
      </c>
      <c r="C1250" t="inlineStr">
        <is>
          <t>Pimple &amp; Blackhead Treatments</t>
        </is>
      </c>
      <c r="D1250" t="inlineStr">
        <is>
          <t>Clinique</t>
        </is>
      </c>
      <c r="E1250" t="n">
        <v>16.83</v>
      </c>
      <c r="F1250" t="n">
        <v>1</v>
      </c>
      <c r="G1250" t="n">
        <v>74</v>
      </c>
      <c r="H1250" s="5">
        <f>HYPERLINK("https://api.qogita.com/variants/link/0020714281113/", "View Product")</f>
        <v/>
      </c>
    </row>
    <row r="1251">
      <c r="A1251" t="inlineStr">
        <is>
          <t>0020714297923</t>
        </is>
      </c>
      <c r="B1251" t="inlineStr">
        <is>
          <t>Clinique Redness Solutions Daily Relief Cream 50ml</t>
        </is>
      </c>
      <c r="C1251" t="inlineStr">
        <is>
          <t>Day Cream</t>
        </is>
      </c>
      <c r="D1251" t="inlineStr">
        <is>
          <t>Clinique</t>
        </is>
      </c>
      <c r="E1251" t="n">
        <v>41.15</v>
      </c>
      <c r="F1251" t="n">
        <v>1</v>
      </c>
      <c r="G1251" t="n">
        <v>34</v>
      </c>
      <c r="H1251" s="5">
        <f>HYPERLINK("https://api.qogita.com/variants/link/0020714297923/", "View Product")</f>
        <v/>
      </c>
    </row>
    <row r="1252">
      <c r="A1252" t="inlineStr">
        <is>
          <t>0020714324612</t>
        </is>
      </c>
      <c r="B1252" t="inlineStr">
        <is>
          <t>Clinique Even Better SPF 15 30ml</t>
        </is>
      </c>
      <c r="C1252" t="inlineStr">
        <is>
          <t>Foundation</t>
        </is>
      </c>
      <c r="D1252" t="inlineStr">
        <is>
          <t>Clinique</t>
        </is>
      </c>
      <c r="E1252" t="n">
        <v>32.27</v>
      </c>
      <c r="F1252" t="n">
        <v>1</v>
      </c>
      <c r="G1252" t="n">
        <v>5</v>
      </c>
      <c r="H1252" s="5">
        <f>HYPERLINK("https://api.qogita.com/variants/link/0020714324612/", "View Product")</f>
        <v/>
      </c>
    </row>
    <row r="1253">
      <c r="A1253" t="inlineStr">
        <is>
          <t>0020714324643</t>
        </is>
      </c>
      <c r="B1253" t="inlineStr">
        <is>
          <t>Clinique Even Better Makeup SPF 15 CN 52 Neutral 30ml / 1 Fl. Oz</t>
        </is>
      </c>
      <c r="C1253" t="inlineStr">
        <is>
          <t>Foundation</t>
        </is>
      </c>
      <c r="D1253" t="inlineStr">
        <is>
          <t>Clinique</t>
        </is>
      </c>
      <c r="E1253" t="n">
        <v>26.45</v>
      </c>
      <c r="F1253" t="n">
        <v>1</v>
      </c>
      <c r="G1253" t="n">
        <v>15</v>
      </c>
      <c r="H1253" s="5">
        <f>HYPERLINK("https://api.qogita.com/variants/link/0020714324643/", "View Product")</f>
        <v/>
      </c>
    </row>
    <row r="1254">
      <c r="A1254" t="inlineStr">
        <is>
          <t>0020714324674</t>
        </is>
      </c>
      <c r="B1254" t="inlineStr">
        <is>
          <t>Clinique Even Better Makeup Broad Spectrum SPF 15 Foundation for Women</t>
        </is>
      </c>
      <c r="C1254" t="inlineStr">
        <is>
          <t>Foundation</t>
        </is>
      </c>
      <c r="D1254" t="inlineStr">
        <is>
          <t>Clinique</t>
        </is>
      </c>
      <c r="E1254" t="n">
        <v>26.58</v>
      </c>
      <c r="F1254" t="n">
        <v>1</v>
      </c>
      <c r="G1254" t="n">
        <v>2</v>
      </c>
      <c r="H1254" s="5">
        <f>HYPERLINK("https://api.qogita.com/variants/link/0020714324674/", "View Product")</f>
        <v/>
      </c>
    </row>
    <row r="1255">
      <c r="A1255" t="inlineStr">
        <is>
          <t>0020714324766</t>
        </is>
      </c>
      <c r="B1255" t="inlineStr">
        <is>
          <t>Clinique SPF15 Even Better Makeup CN 78 Nutty 30ml</t>
        </is>
      </c>
      <c r="C1255" t="inlineStr">
        <is>
          <t>Foundation</t>
        </is>
      </c>
      <c r="D1255" t="inlineStr">
        <is>
          <t>Clinique</t>
        </is>
      </c>
      <c r="E1255" t="n">
        <v>25.04</v>
      </c>
      <c r="F1255" t="n">
        <v>1</v>
      </c>
      <c r="G1255" t="n">
        <v>5</v>
      </c>
      <c r="H1255" s="5">
        <f>HYPERLINK("https://api.qogita.com/variants/link/0020714324766/", "View Product")</f>
        <v/>
      </c>
    </row>
    <row r="1256">
      <c r="A1256" t="inlineStr">
        <is>
          <t>0020714325282</t>
        </is>
      </c>
      <c r="B1256" t="inlineStr">
        <is>
          <t>Clinique Almost Powder Makeup Broad Spectrum SPF 15 01 Fair 10g</t>
        </is>
      </c>
      <c r="C1256" t="inlineStr">
        <is>
          <t>Powder</t>
        </is>
      </c>
      <c r="D1256" t="inlineStr">
        <is>
          <t>Clinique</t>
        </is>
      </c>
      <c r="E1256" t="n">
        <v>26.09</v>
      </c>
      <c r="F1256" t="n">
        <v>1</v>
      </c>
      <c r="G1256" t="n">
        <v>2</v>
      </c>
      <c r="H1256" s="5">
        <f>HYPERLINK("https://api.qogita.com/variants/link/0020714325282/", "View Product")</f>
        <v/>
      </c>
    </row>
    <row r="1257">
      <c r="A1257" t="inlineStr">
        <is>
          <t>0020714325299</t>
        </is>
      </c>
      <c r="B1257" t="inlineStr">
        <is>
          <t>Clinique Almost Powder Makeup SPF 15 New Packaging 02 Neutral Fair 0.35 Oz</t>
        </is>
      </c>
      <c r="C1257" t="inlineStr">
        <is>
          <t>Powder</t>
        </is>
      </c>
      <c r="D1257" t="inlineStr">
        <is>
          <t>Clinique</t>
        </is>
      </c>
      <c r="E1257" t="n">
        <v>26.12</v>
      </c>
      <c r="F1257" t="n">
        <v>1</v>
      </c>
      <c r="G1257" t="n">
        <v>16</v>
      </c>
      <c r="H1257" s="5">
        <f>HYPERLINK("https://api.qogita.com/variants/link/0020714325299/", "View Product")</f>
        <v/>
      </c>
    </row>
    <row r="1258">
      <c r="A1258" t="inlineStr">
        <is>
          <t>0020714325329</t>
        </is>
      </c>
      <c r="B1258" t="inlineStr">
        <is>
          <t>Clinique Medium</t>
        </is>
      </c>
      <c r="C1258" t="inlineStr">
        <is>
          <t>Tinted Day Cream</t>
        </is>
      </c>
      <c r="D1258" t="inlineStr">
        <is>
          <t>Clinique</t>
        </is>
      </c>
      <c r="E1258" t="n">
        <v>26</v>
      </c>
      <c r="F1258" t="n">
        <v>1</v>
      </c>
      <c r="G1258" t="n">
        <v>8</v>
      </c>
      <c r="H1258" s="5">
        <f>HYPERLINK("https://api.qogita.com/variants/link/0020714325329/", "View Product")</f>
        <v/>
      </c>
    </row>
    <row r="1259">
      <c r="A1259" t="inlineStr">
        <is>
          <t>0020714325336</t>
        </is>
      </c>
      <c r="B1259" t="inlineStr">
        <is>
          <t>Clinique 06 Deep</t>
        </is>
      </c>
      <c r="C1259" t="inlineStr">
        <is>
          <t>Foundation</t>
        </is>
      </c>
      <c r="D1259" t="inlineStr">
        <is>
          <t>Clinique</t>
        </is>
      </c>
      <c r="E1259" t="n">
        <v>26.01</v>
      </c>
      <c r="F1259" t="n">
        <v>1</v>
      </c>
      <c r="G1259" t="n">
        <v>2</v>
      </c>
      <c r="H1259" s="5">
        <f>HYPERLINK("https://api.qogita.com/variants/link/0020714325336/", "View Product")</f>
        <v/>
      </c>
    </row>
    <row r="1260">
      <c r="A1260" t="inlineStr">
        <is>
          <t>0020714330934</t>
        </is>
      </c>
      <c r="B1260" t="inlineStr">
        <is>
          <t>Anti-Blemish Clearing Concealer #02 10ml</t>
        </is>
      </c>
      <c r="C1260" t="inlineStr">
        <is>
          <t>Concealer</t>
        </is>
      </c>
      <c r="D1260" t="inlineStr">
        <is>
          <t>Clinique</t>
        </is>
      </c>
      <c r="E1260" t="n">
        <v>17.41</v>
      </c>
      <c r="F1260" t="n">
        <v>1</v>
      </c>
      <c r="G1260" t="n">
        <v>6</v>
      </c>
      <c r="H1260" s="5">
        <f>HYPERLINK("https://api.qogita.com/variants/link/0020714330934/", "View Product")</f>
        <v/>
      </c>
    </row>
    <row r="1261">
      <c r="A1261" t="inlineStr">
        <is>
          <t>0020714462710</t>
        </is>
      </c>
      <c r="B1261" t="inlineStr">
        <is>
          <t>Clinique Clarifying Lotion 1 400ml</t>
        </is>
      </c>
      <c r="C1261" t="inlineStr">
        <is>
          <t>Face Lotion</t>
        </is>
      </c>
      <c r="D1261" t="inlineStr">
        <is>
          <t>Clinique</t>
        </is>
      </c>
      <c r="E1261" t="n">
        <v>24.99</v>
      </c>
      <c r="F1261" t="n">
        <v>1</v>
      </c>
      <c r="G1261" t="n">
        <v>5</v>
      </c>
      <c r="H1261" s="5">
        <f>HYPERLINK("https://api.qogita.com/variants/link/0020714462710/", "View Product")</f>
        <v/>
      </c>
    </row>
    <row r="1262">
      <c r="A1262" t="inlineStr">
        <is>
          <t>0020714462727</t>
        </is>
      </c>
      <c r="B1262" t="inlineStr">
        <is>
          <t>Clinique Clarifying Lotion 2 for Dry Combination Skin</t>
        </is>
      </c>
      <c r="C1262" t="inlineStr">
        <is>
          <t>Face Lotion</t>
        </is>
      </c>
      <c r="D1262" t="inlineStr">
        <is>
          <t>Clinique</t>
        </is>
      </c>
      <c r="E1262" t="n">
        <v>25.99</v>
      </c>
      <c r="F1262" t="n">
        <v>1</v>
      </c>
      <c r="G1262" t="n">
        <v>2</v>
      </c>
      <c r="H1262" s="5">
        <f>HYPERLINK("https://api.qogita.com/variants/link/0020714462727/", "View Product")</f>
        <v/>
      </c>
    </row>
    <row r="1263">
      <c r="A1263" t="inlineStr">
        <is>
          <t>0020714462758</t>
        </is>
      </c>
      <c r="B1263" t="inlineStr">
        <is>
          <t>Clinique Clarifying Lotion No.1</t>
        </is>
      </c>
      <c r="C1263" t="inlineStr">
        <is>
          <t>Face Lotion</t>
        </is>
      </c>
      <c r="D1263" t="inlineStr">
        <is>
          <t>Clinique</t>
        </is>
      </c>
      <c r="E1263" t="n">
        <v>16.13</v>
      </c>
      <c r="F1263" t="n">
        <v>1</v>
      </c>
      <c r="G1263" t="n">
        <v>2</v>
      </c>
      <c r="H1263" s="5">
        <f>HYPERLINK("https://api.qogita.com/variants/link/0020714462758/", "View Product")</f>
        <v/>
      </c>
    </row>
    <row r="1264">
      <c r="A1264" t="inlineStr">
        <is>
          <t>0020714463717</t>
        </is>
      </c>
      <c r="B1264" t="inlineStr">
        <is>
          <t>Clinique Chubby Stick Moisturising Lip Colour Balm 07 Super Strawberry</t>
        </is>
      </c>
      <c r="C1264" t="inlineStr">
        <is>
          <t>Lip Balm</t>
        </is>
      </c>
      <c r="D1264" t="inlineStr">
        <is>
          <t>Clinique</t>
        </is>
      </c>
      <c r="E1264" t="n">
        <v>14.3</v>
      </c>
      <c r="F1264" t="n">
        <v>1</v>
      </c>
      <c r="G1264" t="n">
        <v>2</v>
      </c>
      <c r="H1264" s="5">
        <f>HYPERLINK("https://api.qogita.com/variants/link/0020714463717/", "View Product")</f>
        <v/>
      </c>
    </row>
    <row r="1265">
      <c r="A1265" t="inlineStr">
        <is>
          <t>0020714576219</t>
        </is>
      </c>
      <c r="B1265" t="inlineStr">
        <is>
          <t>Clinique Moisture Surge Overnight Mask</t>
        </is>
      </c>
      <c r="C1265" t="inlineStr">
        <is>
          <t>Hydrating Mask</t>
        </is>
      </c>
      <c r="D1265" t="inlineStr">
        <is>
          <t>Clinique</t>
        </is>
      </c>
      <c r="E1265" t="n">
        <v>23.82</v>
      </c>
      <c r="F1265" t="n">
        <v>1</v>
      </c>
      <c r="G1265" t="n">
        <v>9</v>
      </c>
      <c r="H1265" s="5">
        <f>HYPERLINK("https://api.qogita.com/variants/link/0020714576219/", "View Product")</f>
        <v/>
      </c>
    </row>
    <row r="1266">
      <c r="A1266" t="inlineStr">
        <is>
          <t>0020714598938</t>
        </is>
      </c>
      <c r="B1266" t="inlineStr">
        <is>
          <t>Clinique Dramatically Different Moisturizing Lotion 50ml</t>
        </is>
      </c>
      <c r="C1266" t="inlineStr">
        <is>
          <t>Face Cream</t>
        </is>
      </c>
      <c r="D1266" t="inlineStr">
        <is>
          <t>Clinique</t>
        </is>
      </c>
      <c r="E1266" t="n">
        <v>20.58</v>
      </c>
      <c r="F1266" t="n">
        <v>1</v>
      </c>
      <c r="G1266" t="n">
        <v>7</v>
      </c>
      <c r="H1266" s="5">
        <f>HYPERLINK("https://api.qogita.com/variants/link/0020714598938/", "View Product")</f>
        <v/>
      </c>
    </row>
    <row r="1267">
      <c r="A1267" t="inlineStr">
        <is>
          <t>0020714649562</t>
        </is>
      </c>
      <c r="B1267" t="inlineStr">
        <is>
          <t>Clinique Moisturizing Lotion Type I E II 100ml</t>
        </is>
      </c>
      <c r="C1267" t="inlineStr">
        <is>
          <t>Face Cream</t>
        </is>
      </c>
      <c r="D1267" t="inlineStr">
        <is>
          <t>Clinique</t>
        </is>
      </c>
      <c r="E1267" t="n">
        <v>27.1</v>
      </c>
      <c r="F1267" t="n">
        <v>1</v>
      </c>
      <c r="G1267" t="n">
        <v>41</v>
      </c>
      <c r="H1267" s="5">
        <f>HYPERLINK("https://api.qogita.com/variants/link/0020714649562/", "View Product")</f>
        <v/>
      </c>
    </row>
    <row r="1268">
      <c r="A1268" t="inlineStr">
        <is>
          <t>0020714687977</t>
        </is>
      </c>
      <c r="B1268" t="inlineStr">
        <is>
          <t>Clinique Anti-Blemish Cleansing Gel</t>
        </is>
      </c>
      <c r="C1268" t="inlineStr">
        <is>
          <t>Cleansing Gel</t>
        </is>
      </c>
      <c r="D1268" t="inlineStr">
        <is>
          <t>Clinique</t>
        </is>
      </c>
      <c r="E1268" t="n">
        <v>15.7</v>
      </c>
      <c r="F1268" t="n">
        <v>1</v>
      </c>
      <c r="G1268" t="n">
        <v>38</v>
      </c>
      <c r="H1268" s="5">
        <f>HYPERLINK("https://api.qogita.com/variants/link/0020714687977/", "View Product")</f>
        <v/>
      </c>
    </row>
    <row r="1269">
      <c r="A1269" t="inlineStr">
        <is>
          <t>0020714694784</t>
        </is>
      </c>
      <c r="B1269" t="inlineStr">
        <is>
          <t>CALYX Eau de Toilette 0.050ml</t>
        </is>
      </c>
      <c r="C1269" t="inlineStr">
        <is>
          <t>Eau De Toilette</t>
        </is>
      </c>
      <c r="D1269" t="inlineStr">
        <is>
          <t>Clinique</t>
        </is>
      </c>
      <c r="E1269" t="n">
        <v>39.38</v>
      </c>
      <c r="F1269" t="n">
        <v>1</v>
      </c>
      <c r="G1269" t="n">
        <v>87</v>
      </c>
      <c r="H1269" s="5">
        <f>HYPERLINK("https://api.qogita.com/variants/link/0020714694784/", "View Product")</f>
        <v/>
      </c>
    </row>
    <row r="1270">
      <c r="A1270" t="inlineStr">
        <is>
          <t>0020714783297</t>
        </is>
      </c>
      <c r="B1270" t="inlineStr">
        <is>
          <t>Clinique Extra Gentle Cleansing Foam 125ml</t>
        </is>
      </c>
      <c r="C1270" t="inlineStr">
        <is>
          <t>Cleansing Foam</t>
        </is>
      </c>
      <c r="D1270" t="inlineStr">
        <is>
          <t>Clinique</t>
        </is>
      </c>
      <c r="E1270" t="n">
        <v>17.49</v>
      </c>
      <c r="F1270" t="n">
        <v>1</v>
      </c>
      <c r="G1270" t="n">
        <v>4</v>
      </c>
      <c r="H1270" s="5">
        <f>HYPERLINK("https://api.qogita.com/variants/link/0020714783297/", "View Product")</f>
        <v/>
      </c>
    </row>
    <row r="1271">
      <c r="A1271" t="inlineStr">
        <is>
          <t>0020714800857</t>
        </is>
      </c>
      <c r="B1271" t="inlineStr">
        <is>
          <t>Clinique Clarifying Lotion 1.0 for Sensitive Skin Almond 200ml</t>
        </is>
      </c>
      <c r="C1271" t="inlineStr">
        <is>
          <t>Face Lotion</t>
        </is>
      </c>
      <c r="D1271" t="inlineStr">
        <is>
          <t>Clinique</t>
        </is>
      </c>
      <c r="E1271" t="n">
        <v>17.35</v>
      </c>
      <c r="F1271" t="n">
        <v>1</v>
      </c>
      <c r="G1271" t="n">
        <v>9</v>
      </c>
      <c r="H1271" s="5">
        <f>HYPERLINK("https://api.qogita.com/variants/link/0020714800857/", "View Product")</f>
        <v/>
      </c>
    </row>
    <row r="1272">
      <c r="A1272" t="inlineStr">
        <is>
          <t>0020714817343</t>
        </is>
      </c>
      <c r="B1272" t="inlineStr">
        <is>
          <t>Clinique Sun Anti-Wrinkle Face Cream SPF 30 Oil-Free 50ml</t>
        </is>
      </c>
      <c r="C1272" t="inlineStr">
        <is>
          <t>Face Sun Protection</t>
        </is>
      </c>
      <c r="D1272" t="inlineStr">
        <is>
          <t>Clinique</t>
        </is>
      </c>
      <c r="E1272" t="n">
        <v>19.07</v>
      </c>
      <c r="F1272" t="n">
        <v>1</v>
      </c>
      <c r="G1272" t="n">
        <v>6</v>
      </c>
      <c r="H1272" s="5">
        <f>HYPERLINK("https://api.qogita.com/variants/link/0020714817343/", "View Product")</f>
        <v/>
      </c>
    </row>
    <row r="1273">
      <c r="A1273" t="inlineStr">
        <is>
          <t>0020714817909</t>
        </is>
      </c>
      <c r="B1273" t="inlineStr">
        <is>
          <t>Clinique Blackheads Solutions Self-Heating Blackhead Extractor</t>
        </is>
      </c>
      <c r="C1273" t="inlineStr">
        <is>
          <t>Pimple &amp; Blackhead Treatments</t>
        </is>
      </c>
      <c r="D1273" t="inlineStr">
        <is>
          <t>Clinique</t>
        </is>
      </c>
      <c r="E1273" t="n">
        <v>22.61</v>
      </c>
      <c r="F1273" t="n">
        <v>1</v>
      </c>
      <c r="G1273" t="n">
        <v>4</v>
      </c>
      <c r="H1273" s="5">
        <f>HYPERLINK("https://api.qogita.com/variants/link/0020714817909/", "View Product")</f>
        <v/>
      </c>
    </row>
    <row r="1274">
      <c r="A1274" t="inlineStr">
        <is>
          <t>0020714881429</t>
        </is>
      </c>
      <c r="B1274" t="inlineStr">
        <is>
          <t>Happy Heart by Clinique Eau De Parfum for Women 100ml</t>
        </is>
      </c>
      <c r="C1274" t="inlineStr">
        <is>
          <t>Eau De Parfum</t>
        </is>
      </c>
      <c r="D1274" t="inlineStr">
        <is>
          <t>Clinique</t>
        </is>
      </c>
      <c r="E1274" t="n">
        <v>17.58</v>
      </c>
      <c r="F1274" t="n">
        <v>1</v>
      </c>
      <c r="G1274" t="n">
        <v>1631</v>
      </c>
      <c r="H1274" s="5">
        <f>HYPERLINK("https://api.qogita.com/variants/link/0020714881429/", "View Product")</f>
        <v/>
      </c>
    </row>
    <row r="1275">
      <c r="A1275" t="inlineStr">
        <is>
          <t>0020714948764</t>
        </is>
      </c>
      <c r="B1275" t="inlineStr">
        <is>
          <t>Clinique Take The Day Off Cleansing Balm 1oz 30ml</t>
        </is>
      </c>
      <c r="C1275" t="inlineStr">
        <is>
          <t>Makeup Remover</t>
        </is>
      </c>
      <c r="D1275" t="inlineStr">
        <is>
          <t>Clinique</t>
        </is>
      </c>
      <c r="E1275" t="n">
        <v>9.880000000000001</v>
      </c>
      <c r="F1275" t="n">
        <v>1</v>
      </c>
      <c r="G1275" t="n">
        <v>31</v>
      </c>
      <c r="H1275" s="5">
        <f>HYPERLINK("https://api.qogita.com/variants/link/0020714948764/", "View Product")</f>
        <v/>
      </c>
    </row>
    <row r="1276">
      <c r="A1276" t="inlineStr">
        <is>
          <t>0020714979089</t>
        </is>
      </c>
      <c r="B1276" t="inlineStr">
        <is>
          <t>Clinique 01 Black</t>
        </is>
      </c>
      <c r="C1276" t="inlineStr">
        <is>
          <t>Mascara</t>
        </is>
      </c>
      <c r="D1276" t="inlineStr">
        <is>
          <t>Clinique</t>
        </is>
      </c>
      <c r="E1276" t="n">
        <v>18.4</v>
      </c>
      <c r="F1276" t="n">
        <v>1</v>
      </c>
      <c r="G1276" t="n">
        <v>125</v>
      </c>
      <c r="H1276" s="5">
        <f>HYPERLINK("https://api.qogita.com/variants/link/0020714979089/", "View Product")</f>
        <v/>
      </c>
    </row>
    <row r="1277">
      <c r="A1277" t="inlineStr">
        <is>
          <t>0020714979133</t>
        </is>
      </c>
      <c r="B1277" t="inlineStr">
        <is>
          <t>Clinique 04 Dark Chocolate #04 6ml</t>
        </is>
      </c>
      <c r="C1277" t="inlineStr">
        <is>
          <t>Mascara</t>
        </is>
      </c>
      <c r="D1277" t="inlineStr">
        <is>
          <t>Clinique</t>
        </is>
      </c>
      <c r="E1277" t="n">
        <v>18.08</v>
      </c>
      <c r="F1277" t="n">
        <v>1</v>
      </c>
      <c r="G1277" t="n">
        <v>36</v>
      </c>
      <c r="H1277" s="5">
        <f>HYPERLINK("https://api.qogita.com/variants/link/0020714979133/", "View Product")</f>
        <v/>
      </c>
    </row>
    <row r="1278">
      <c r="A1278" t="inlineStr">
        <is>
          <t>0020714993085</t>
        </is>
      </c>
      <c r="B1278" t="inlineStr">
        <is>
          <t>Maximum Hydrator 72h Gel Cream Auto-Hydrating</t>
        </is>
      </c>
      <c r="C1278" t="inlineStr">
        <is>
          <t>Face Cream</t>
        </is>
      </c>
      <c r="D1278" t="inlineStr">
        <is>
          <t>Clinique</t>
        </is>
      </c>
      <c r="E1278" t="n">
        <v>25.78</v>
      </c>
      <c r="F1278" t="n">
        <v>1</v>
      </c>
      <c r="G1278" t="n">
        <v>4</v>
      </c>
      <c r="H1278" s="5">
        <f>HYPERLINK("https://api.qogita.com/variants/link/0020714993085/", "View Product")</f>
        <v/>
      </c>
    </row>
    <row r="1279">
      <c r="A1279" t="inlineStr">
        <is>
          <t>0020714999346</t>
        </is>
      </c>
      <c r="B1279" t="inlineStr">
        <is>
          <t>Aromatics Elixir by Clinique Eau de Parfum for Women 100ml</t>
        </is>
      </c>
      <c r="C1279" t="inlineStr">
        <is>
          <t>Eau De Parfum</t>
        </is>
      </c>
      <c r="D1279" t="inlineStr">
        <is>
          <t>Clinique</t>
        </is>
      </c>
      <c r="E1279" t="n">
        <v>31.03</v>
      </c>
      <c r="F1279" t="n">
        <v>1</v>
      </c>
      <c r="G1279" t="n">
        <v>891</v>
      </c>
      <c r="H1279" s="5">
        <f>HYPERLINK("https://api.qogita.com/variants/link/0020714999346/", "View Product")</f>
        <v/>
      </c>
    </row>
    <row r="1280">
      <c r="A1280" t="inlineStr">
        <is>
          <t>0022548055380</t>
        </is>
      </c>
      <c r="B1280" t="inlineStr">
        <is>
          <t>Tommy Girl by Tommy Hilfiger Cologne Spray 1oz Cedar Floral Sandalwood</t>
        </is>
      </c>
      <c r="C1280" t="inlineStr">
        <is>
          <t>Eau De Cologne</t>
        </is>
      </c>
      <c r="D1280" t="inlineStr">
        <is>
          <t>Tommy Hilfiger</t>
        </is>
      </c>
      <c r="E1280" t="n">
        <v>15.09</v>
      </c>
      <c r="F1280" t="n">
        <v>1</v>
      </c>
      <c r="G1280" t="n">
        <v>14</v>
      </c>
      <c r="H1280" s="5">
        <f>HYPERLINK("https://api.qogita.com/variants/link/0022548055380/", "View Product")</f>
        <v/>
      </c>
    </row>
    <row r="1281">
      <c r="A1281" t="inlineStr">
        <is>
          <t>0022548154496</t>
        </is>
      </c>
      <c r="B1281" t="inlineStr">
        <is>
          <t>BE 100% DELICIOUS Eau de Parfum Spray 30ml</t>
        </is>
      </c>
      <c r="C1281" t="inlineStr">
        <is>
          <t>Eau De Parfum</t>
        </is>
      </c>
      <c r="D1281" t="inlineStr">
        <is>
          <t>Donna Karan</t>
        </is>
      </c>
      <c r="E1281" t="n">
        <v>17.64</v>
      </c>
      <c r="F1281" t="n">
        <v>1</v>
      </c>
      <c r="G1281" t="n">
        <v>7</v>
      </c>
      <c r="H1281" s="5">
        <f>HYPERLINK("https://api.qogita.com/variants/link/0022548154496/", "View Product")</f>
        <v/>
      </c>
    </row>
    <row r="1282">
      <c r="A1282" t="inlineStr">
        <is>
          <t>0022548181089</t>
        </is>
      </c>
      <c r="B1282" t="inlineStr">
        <is>
          <t>DKNY Be Delicious Fresh Blossom Eau de Parfum For Women 30ml</t>
        </is>
      </c>
      <c r="C1282" t="inlineStr">
        <is>
          <t>Eau De Parfum</t>
        </is>
      </c>
      <c r="D1282" t="inlineStr">
        <is>
          <t>DKNY</t>
        </is>
      </c>
      <c r="E1282" t="n">
        <v>20.6</v>
      </c>
      <c r="F1282" t="n">
        <v>1</v>
      </c>
      <c r="G1282" t="n">
        <v>30</v>
      </c>
      <c r="H1282" s="5">
        <f>HYPERLINK("https://api.qogita.com/variants/link/0022548181089/", "View Product")</f>
        <v/>
      </c>
    </row>
    <row r="1283">
      <c r="A1283" t="inlineStr">
        <is>
          <t>0022548366448</t>
        </is>
      </c>
      <c r="B1283" t="inlineStr">
        <is>
          <t>Wonderlust by Michael Kors Eau de Parfum For Women 100ml</t>
        </is>
      </c>
      <c r="C1283" t="inlineStr">
        <is>
          <t>Eau De Parfum</t>
        </is>
      </c>
      <c r="D1283" t="inlineStr">
        <is>
          <t>Michael Kors</t>
        </is>
      </c>
      <c r="E1283" t="n">
        <v>33.1</v>
      </c>
      <c r="F1283" t="n">
        <v>1</v>
      </c>
      <c r="G1283" t="n">
        <v>23</v>
      </c>
      <c r="H1283" s="5">
        <f>HYPERLINK("https://api.qogita.com/variants/link/0022548366448/", "View Product")</f>
        <v/>
      </c>
    </row>
    <row r="1284">
      <c r="A1284" t="inlineStr">
        <is>
          <t>0022548366462</t>
        </is>
      </c>
      <c r="B1284" t="inlineStr">
        <is>
          <t>Michael Kors Wonderlust EDP Spray 30ml</t>
        </is>
      </c>
      <c r="C1284" t="inlineStr">
        <is>
          <t>Eau De Parfum</t>
        </is>
      </c>
      <c r="D1284" t="inlineStr">
        <is>
          <t>Michael Kors</t>
        </is>
      </c>
      <c r="E1284" t="n">
        <v>28.39</v>
      </c>
      <c r="F1284" t="n">
        <v>1</v>
      </c>
      <c r="G1284" t="n">
        <v>13</v>
      </c>
      <c r="H1284" s="5">
        <f>HYPERLINK("https://api.qogita.com/variants/link/0022548366462/", "View Product")</f>
        <v/>
      </c>
    </row>
    <row r="1285">
      <c r="A1285" t="inlineStr">
        <is>
          <t>0022548419953</t>
        </is>
      </c>
      <c r="B1285" t="inlineStr">
        <is>
          <t>Michael Kors Gorgeous Eau De Parfum For Women 100ml</t>
        </is>
      </c>
      <c r="C1285" t="inlineStr">
        <is>
          <t>Eau De Parfum</t>
        </is>
      </c>
      <c r="D1285" t="inlineStr">
        <is>
          <t>Michael Kors</t>
        </is>
      </c>
      <c r="E1285" t="n">
        <v>33.42</v>
      </c>
      <c r="F1285" t="n">
        <v>1</v>
      </c>
      <c r="G1285" t="n">
        <v>23</v>
      </c>
      <c r="H1285" s="5">
        <f>HYPERLINK("https://api.qogita.com/variants/link/0022548419953/", "View Product")</f>
        <v/>
      </c>
    </row>
    <row r="1286">
      <c r="A1286" t="inlineStr">
        <is>
          <t>0025929209358</t>
        </is>
      </c>
      <c r="B1286" t="inlineStr">
        <is>
          <t>Colour Me Dark Red Perfume for Men and Women 100ml Eau de Parfum Luxury Fragrance</t>
        </is>
      </c>
      <c r="C1286" t="inlineStr">
        <is>
          <t>Eau De Parfum</t>
        </is>
      </c>
      <c r="D1286" t="inlineStr">
        <is>
          <t>Colour Me</t>
        </is>
      </c>
      <c r="E1286" t="n">
        <v>11.81</v>
      </c>
      <c r="F1286" t="n">
        <v>1</v>
      </c>
      <c r="G1286" t="n">
        <v>2</v>
      </c>
      <c r="H1286" s="5">
        <f>HYPERLINK("https://api.qogita.com/variants/link/0025929209358/", "View Product")</f>
        <v/>
      </c>
    </row>
    <row r="1287">
      <c r="A1287" t="inlineStr">
        <is>
          <t>0025929212167</t>
        </is>
      </c>
      <c r="B1287" t="inlineStr">
        <is>
          <t>Colour Me Azure Perfume for Men 100ml Eau De Parfum Luxury Fragrance</t>
        </is>
      </c>
      <c r="C1287" t="inlineStr">
        <is>
          <t>Eau De Parfum</t>
        </is>
      </c>
      <c r="D1287" t="inlineStr">
        <is>
          <t>Colour Me</t>
        </is>
      </c>
      <c r="E1287" t="n">
        <v>9.800000000000001</v>
      </c>
      <c r="F1287" t="n">
        <v>1</v>
      </c>
      <c r="G1287" t="n">
        <v>2</v>
      </c>
      <c r="H1287" s="5">
        <f>HYPERLINK("https://api.qogita.com/variants/link/0025929212167/", "View Product")</f>
        <v/>
      </c>
    </row>
    <row r="1288">
      <c r="A1288" t="inlineStr">
        <is>
          <t>0027131007524</t>
        </is>
      </c>
      <c r="B1288" t="inlineStr">
        <is>
          <t>Estee Lauder Youth-Dew Deodorant Roll On 75ml</t>
        </is>
      </c>
      <c r="C1288" t="inlineStr">
        <is>
          <t>Deodorant &amp; Anti-Perspirant</t>
        </is>
      </c>
      <c r="D1288" t="inlineStr">
        <is>
          <t>Estée Lauder</t>
        </is>
      </c>
      <c r="E1288" t="n">
        <v>21.12</v>
      </c>
      <c r="F1288" t="n">
        <v>1</v>
      </c>
      <c r="G1288" t="n">
        <v>10</v>
      </c>
      <c r="H1288" s="5">
        <f>HYPERLINK("https://api.qogita.com/variants/link/0027131007524/", "View Product")</f>
        <v/>
      </c>
    </row>
    <row r="1289">
      <c r="A1289" t="inlineStr">
        <is>
          <t>0027131187080</t>
        </is>
      </c>
      <c r="B1289" t="inlineStr">
        <is>
          <t>Estée Lauder Double Wear Stay in Place Makeup SPF10 4C2 Auburn 30ml</t>
        </is>
      </c>
      <c r="C1289" t="inlineStr">
        <is>
          <t>Foundation</t>
        </is>
      </c>
      <c r="D1289" t="inlineStr">
        <is>
          <t>Estée Lauder</t>
        </is>
      </c>
      <c r="E1289" t="n">
        <v>30.55</v>
      </c>
      <c r="F1289" t="n">
        <v>1</v>
      </c>
      <c r="G1289" t="n">
        <v>10</v>
      </c>
      <c r="H1289" s="5">
        <f>HYPERLINK("https://api.qogita.com/variants/link/0027131187080/", "View Product")</f>
        <v/>
      </c>
    </row>
    <row r="1290">
      <c r="A1290" t="inlineStr">
        <is>
          <t>0027131286905</t>
        </is>
      </c>
      <c r="B1290" t="inlineStr">
        <is>
          <t>Pleasures Intense Eau De Parfum 100ml</t>
        </is>
      </c>
      <c r="C1290" t="inlineStr">
        <is>
          <t>Eau De Parfum</t>
        </is>
      </c>
      <c r="D1290" t="inlineStr">
        <is>
          <t>Estée Lauder</t>
        </is>
      </c>
      <c r="E1290" t="n">
        <v>38.83</v>
      </c>
      <c r="F1290" t="n">
        <v>1</v>
      </c>
      <c r="G1290" t="n">
        <v>4</v>
      </c>
      <c r="H1290" s="5">
        <f>HYPERLINK("https://api.qogita.com/variants/link/0027131286905/", "View Product")</f>
        <v/>
      </c>
    </row>
    <row r="1291">
      <c r="A1291" t="inlineStr">
        <is>
          <t>0027131392347</t>
        </is>
      </c>
      <c r="B1291" t="inlineStr">
        <is>
          <t>Estee Lauder Double Wear Stay In Place Makeup SPF 10 1W1 Bone 30ml</t>
        </is>
      </c>
      <c r="C1291" t="inlineStr">
        <is>
          <t>Foundation</t>
        </is>
      </c>
      <c r="D1291" t="inlineStr">
        <is>
          <t>Estée Lauder</t>
        </is>
      </c>
      <c r="E1291" t="n">
        <v>31.44</v>
      </c>
      <c r="F1291" t="n">
        <v>1</v>
      </c>
      <c r="G1291" t="n">
        <v>4</v>
      </c>
      <c r="H1291" s="5">
        <f>HYPERLINK("https://api.qogita.com/variants/link/0027131392347/", "View Product")</f>
        <v/>
      </c>
    </row>
    <row r="1292">
      <c r="A1292" t="inlineStr">
        <is>
          <t>0027131392378</t>
        </is>
      </c>
      <c r="B1292" t="inlineStr">
        <is>
          <t>Estée Lauder 1W2 Sand 36</t>
        </is>
      </c>
      <c r="C1292" t="inlineStr">
        <is>
          <t>Foundation</t>
        </is>
      </c>
      <c r="D1292" t="inlineStr">
        <is>
          <t>Estée Lauder</t>
        </is>
      </c>
      <c r="E1292" t="n">
        <v>30.55</v>
      </c>
      <c r="F1292" t="n">
        <v>1</v>
      </c>
      <c r="G1292" t="n">
        <v>6</v>
      </c>
      <c r="H1292" s="5">
        <f>HYPERLINK("https://api.qogita.com/variants/link/0027131392378/", "View Product")</f>
        <v/>
      </c>
    </row>
    <row r="1293">
      <c r="A1293" t="inlineStr">
        <is>
          <t>0027131392392</t>
        </is>
      </c>
      <c r="B1293" t="inlineStr">
        <is>
          <t>Estée Lauder Double Wear 3N2 Wheat 30ml</t>
        </is>
      </c>
      <c r="C1293" t="inlineStr">
        <is>
          <t>Foundation</t>
        </is>
      </c>
      <c r="D1293" t="inlineStr">
        <is>
          <t>Estée Lauder</t>
        </is>
      </c>
      <c r="E1293" t="n">
        <v>30.55</v>
      </c>
      <c r="F1293" t="n">
        <v>1</v>
      </c>
      <c r="G1293" t="n">
        <v>5</v>
      </c>
      <c r="H1293" s="5">
        <f>HYPERLINK("https://api.qogita.com/variants/link/0027131392392/", "View Product")</f>
        <v/>
      </c>
    </row>
    <row r="1294">
      <c r="A1294" t="inlineStr">
        <is>
          <t>0027131392439</t>
        </is>
      </c>
      <c r="B1294" t="inlineStr">
        <is>
          <t>Estee Lauder Double Wear 5W1 Bronze 1 Fl Oz</t>
        </is>
      </c>
      <c r="C1294" t="inlineStr">
        <is>
          <t>Foundation</t>
        </is>
      </c>
      <c r="D1294" t="inlineStr">
        <is>
          <t>Estée Lauder</t>
        </is>
      </c>
      <c r="E1294" t="n">
        <v>32.92</v>
      </c>
      <c r="F1294" t="n">
        <v>1</v>
      </c>
      <c r="G1294" t="n">
        <v>2</v>
      </c>
      <c r="H1294" s="5">
        <f>HYPERLINK("https://api.qogita.com/variants/link/0027131392439/", "View Product")</f>
        <v/>
      </c>
    </row>
    <row r="1295">
      <c r="A1295" t="inlineStr">
        <is>
          <t>0027131988137</t>
        </is>
      </c>
      <c r="B1295" t="inlineStr">
        <is>
          <t>Estee Lauder Perfectly Clean Multi-Action Toning Lotion/Refiner 200ml 154g</t>
        </is>
      </c>
      <c r="C1295" t="inlineStr">
        <is>
          <t>Face Lotion</t>
        </is>
      </c>
      <c r="D1295" t="inlineStr">
        <is>
          <t>Estée Lauder</t>
        </is>
      </c>
      <c r="E1295" t="n">
        <v>25.75</v>
      </c>
      <c r="F1295" t="n">
        <v>1</v>
      </c>
      <c r="G1295" t="n">
        <v>12</v>
      </c>
      <c r="H1295" s="5">
        <f>HYPERLINK("https://api.qogita.com/variants/link/0027131988137/", "View Product")</f>
        <v/>
      </c>
    </row>
    <row r="1296">
      <c r="A1296" t="inlineStr">
        <is>
          <t>0035017008923</t>
        </is>
      </c>
      <c r="B1296" t="inlineStr">
        <is>
          <t>Jovan Musk for Women cologne spray 96ml</t>
        </is>
      </c>
      <c r="C1296" t="inlineStr">
        <is>
          <t>Eau De Cologne</t>
        </is>
      </c>
      <c r="D1296" t="inlineStr">
        <is>
          <t>Ancor</t>
        </is>
      </c>
      <c r="E1296" t="n">
        <v>9.119999999999999</v>
      </c>
      <c r="F1296" t="n">
        <v>1</v>
      </c>
      <c r="G1296" t="n">
        <v>144</v>
      </c>
      <c r="H1296" s="5">
        <f>HYPERLINK("https://api.qogita.com/variants/link/0035017008923/", "View Product")</f>
        <v/>
      </c>
    </row>
    <row r="1297">
      <c r="A1297" t="inlineStr">
        <is>
          <t>0038097011135</t>
        </is>
      </c>
      <c r="B1297" t="inlineStr">
        <is>
          <t>TWEEZERMAN ProMaster Studio Collection Eyelash Curler with Extra Wide Almond Shaped Eyes and 3 Replacement Pads</t>
        </is>
      </c>
      <c r="C1297" t="inlineStr">
        <is>
          <t>Eyelash Curlers</t>
        </is>
      </c>
      <c r="D1297" t="inlineStr">
        <is>
          <t>Tweezerman</t>
        </is>
      </c>
      <c r="E1297" t="n">
        <v>24.08</v>
      </c>
      <c r="F1297" t="n">
        <v>1</v>
      </c>
      <c r="G1297" t="n">
        <v>18</v>
      </c>
      <c r="H1297" s="5">
        <f>HYPERLINK("https://api.qogita.com/variants/link/0038097011135/", "View Product")</f>
        <v/>
      </c>
    </row>
    <row r="1298">
      <c r="A1298" t="inlineStr">
        <is>
          <t>0038097019902</t>
        </is>
      </c>
      <c r="B1298" t="inlineStr">
        <is>
          <t>Tweezerman Rose Gold Tweezer and Lash Curler Set</t>
        </is>
      </c>
      <c r="C1298" t="inlineStr">
        <is>
          <t>Tweezers</t>
        </is>
      </c>
      <c r="D1298" t="inlineStr">
        <is>
          <t>Tweezerman</t>
        </is>
      </c>
      <c r="E1298" t="n">
        <v>31.17</v>
      </c>
      <c r="F1298" t="n">
        <v>1</v>
      </c>
      <c r="G1298" t="n">
        <v>7</v>
      </c>
      <c r="H1298" s="5">
        <f>HYPERLINK("https://api.qogita.com/variants/link/0038097019902/", "View Product")</f>
        <v/>
      </c>
    </row>
    <row r="1299">
      <c r="A1299" t="inlineStr">
        <is>
          <t>0038097300505</t>
        </is>
      </c>
      <c r="B1299" t="inlineStr">
        <is>
          <t>Tweezerman Stainless Steel Nail Scissors</t>
        </is>
      </c>
      <c r="C1299" t="inlineStr">
        <is>
          <t>Nail Clippers &amp; Tools</t>
        </is>
      </c>
      <c r="D1299" t="inlineStr">
        <is>
          <t>Tweezerman</t>
        </is>
      </c>
      <c r="E1299" t="n">
        <v>22.97</v>
      </c>
      <c r="F1299" t="n">
        <v>1</v>
      </c>
      <c r="G1299" t="n">
        <v>5</v>
      </c>
      <c r="H1299" s="5">
        <f>HYPERLINK("https://api.qogita.com/variants/link/0038097300505/", "View Product")</f>
        <v/>
      </c>
    </row>
    <row r="1300">
      <c r="A1300" t="inlineStr">
        <is>
          <t>0044386068339</t>
        </is>
      </c>
      <c r="B1300" t="inlineStr">
        <is>
          <t>Physician Formula Butter Blush with Nourishing Murumuru Butter and Integrated Mirror and Applicator 7.5g</t>
        </is>
      </c>
      <c r="C1300" t="inlineStr">
        <is>
          <t>Blush</t>
        </is>
      </c>
      <c r="D1300" t="inlineStr">
        <is>
          <t>Physicians Formula</t>
        </is>
      </c>
      <c r="E1300" t="n">
        <v>7.25</v>
      </c>
      <c r="F1300" t="n">
        <v>1</v>
      </c>
      <c r="G1300" t="n">
        <v>5</v>
      </c>
      <c r="H1300" s="5">
        <f>HYPERLINK("https://api.qogita.com/variants/link/0044386068339/", "View Product")</f>
        <v/>
      </c>
    </row>
    <row r="1301">
      <c r="A1301" t="inlineStr">
        <is>
          <t>0044386117556</t>
        </is>
      </c>
      <c r="B1301" t="inlineStr">
        <is>
          <t>Physicians Formula Murumuru Butter Believe It! Foundation + Concealer with Butter for Radiant Glow Fair</t>
        </is>
      </c>
      <c r="C1301" t="inlineStr">
        <is>
          <t>Foundation</t>
        </is>
      </c>
      <c r="D1301" t="inlineStr">
        <is>
          <t>Physicians Formula</t>
        </is>
      </c>
      <c r="E1301" t="n">
        <v>7.57</v>
      </c>
      <c r="F1301" t="n">
        <v>1</v>
      </c>
      <c r="G1301" t="n">
        <v>4</v>
      </c>
      <c r="H1301" s="5">
        <f>HYPERLINK("https://api.qogita.com/variants/link/0044386117556/", "View Product")</f>
        <v/>
      </c>
    </row>
    <row r="1302">
      <c r="A1302" t="inlineStr">
        <is>
          <t>0044386119574</t>
        </is>
      </c>
      <c r="B1302" t="inlineStr">
        <is>
          <t>Physicians Formula Butter Believe It! Multi-Finish Eyeshadow Palette with Murumuru Butter, Cupuaçu Butter, and Tucuma Butter - Bronzed Nudes</t>
        </is>
      </c>
      <c r="C1302" t="inlineStr">
        <is>
          <t>Eye Sets &amp; Pallets</t>
        </is>
      </c>
      <c r="D1302" t="inlineStr">
        <is>
          <t>Physicians Formula</t>
        </is>
      </c>
      <c r="E1302" t="n">
        <v>7.43</v>
      </c>
      <c r="F1302" t="n">
        <v>1</v>
      </c>
      <c r="G1302" t="n">
        <v>5</v>
      </c>
      <c r="H1302" s="5">
        <f>HYPERLINK("https://api.qogita.com/variants/link/0044386119574/", "View Product")</f>
        <v/>
      </c>
    </row>
    <row r="1303">
      <c r="A1303" t="inlineStr">
        <is>
          <t>0044386128606</t>
        </is>
      </c>
      <c r="B1303" t="inlineStr">
        <is>
          <t>Physician's Formula Murumuru Butter Glow Multi-Use Radiance-Boosting Pressed Powder Translucent Glow Shade</t>
        </is>
      </c>
      <c r="C1303" t="inlineStr">
        <is>
          <t>Powder</t>
        </is>
      </c>
      <c r="D1303" t="inlineStr">
        <is>
          <t>Physicians Formula</t>
        </is>
      </c>
      <c r="E1303" t="n">
        <v>7.77</v>
      </c>
      <c r="F1303" t="n">
        <v>1</v>
      </c>
      <c r="G1303" t="n">
        <v>5</v>
      </c>
      <c r="H1303" s="5">
        <f>HYPERLINK("https://api.qogita.com/variants/link/0044386128606/", "View Product")</f>
        <v/>
      </c>
    </row>
    <row r="1304">
      <c r="A1304" t="inlineStr">
        <is>
          <t>0044386128750</t>
        </is>
      </c>
      <c r="B1304" t="inlineStr">
        <is>
          <t>Physicians Formula Mineral Wear Diamond Setter Makeup Setting Spray with Weightless and Hydrating Formula Iridescent Shimmer and Skin Blurring</t>
        </is>
      </c>
      <c r="C1304" t="inlineStr">
        <is>
          <t>Setting Spray</t>
        </is>
      </c>
      <c r="D1304" t="inlineStr">
        <is>
          <t>Physicians Formula</t>
        </is>
      </c>
      <c r="E1304" t="n">
        <v>7.43</v>
      </c>
      <c r="F1304" t="n">
        <v>1</v>
      </c>
      <c r="G1304" t="n">
        <v>5</v>
      </c>
      <c r="H1304" s="5">
        <f>HYPERLINK("https://api.qogita.com/variants/link/0044386128750/", "View Product")</f>
        <v/>
      </c>
    </row>
    <row r="1305">
      <c r="A1305" t="inlineStr">
        <is>
          <t>0044386412507</t>
        </is>
      </c>
      <c r="B1305" t="inlineStr">
        <is>
          <t>Physicians Formula Butter Glow Corrector Lightweight Concealer with Dual-Ended Applicator Infused with Illuminating and Moisture Boosting Ingredients Peach</t>
        </is>
      </c>
      <c r="C1305" t="inlineStr">
        <is>
          <t>Concealer</t>
        </is>
      </c>
      <c r="D1305" t="inlineStr">
        <is>
          <t>Physicians Formula</t>
        </is>
      </c>
      <c r="E1305" t="n">
        <v>6.53</v>
      </c>
      <c r="F1305" t="n">
        <v>1</v>
      </c>
      <c r="G1305" t="n">
        <v>5</v>
      </c>
      <c r="H1305" s="5">
        <f>HYPERLINK("https://api.qogita.com/variants/link/0044386412507/", "View Product")</f>
        <v/>
      </c>
    </row>
    <row r="1306">
      <c r="A1306" t="inlineStr">
        <is>
          <t>0044386412545</t>
        </is>
      </c>
      <c r="B1306" t="inlineStr">
        <is>
          <t>Physicians Formula Mineral Wear Diamond Perfector BB Cream with Diamond Extract and Vitamin E Lightweight Coverage Luminous Finish Fair to Light</t>
        </is>
      </c>
      <c r="C1306" t="inlineStr">
        <is>
          <t>Bb Cream &amp; Cc Cream</t>
        </is>
      </c>
      <c r="D1306" t="inlineStr">
        <is>
          <t>Physicians Formula</t>
        </is>
      </c>
      <c r="E1306" t="n">
        <v>7.57</v>
      </c>
      <c r="F1306" t="n">
        <v>1</v>
      </c>
      <c r="G1306" t="n">
        <v>5</v>
      </c>
      <c r="H1306" s="5">
        <f>HYPERLINK("https://api.qogita.com/variants/link/0044386412545/", "View Product")</f>
        <v/>
      </c>
    </row>
    <row r="1307">
      <c r="A1307" t="inlineStr">
        <is>
          <t>0044386412583</t>
        </is>
      </c>
      <c r="B1307" t="inlineStr">
        <is>
          <t>Physicians Formula Mineral Wear Diamond Filler Cheek and Lip Color Lip and Cheek Tint with Serum-to-Cream Multi-Use Plumping Formula Enriched with Vitamin E Brilliant Peach</t>
        </is>
      </c>
      <c r="C1307" t="inlineStr">
        <is>
          <t>Blush</t>
        </is>
      </c>
      <c r="D1307" t="inlineStr">
        <is>
          <t>Physicians Formula</t>
        </is>
      </c>
      <c r="E1307" t="n">
        <v>7.43</v>
      </c>
      <c r="F1307" t="n">
        <v>1</v>
      </c>
      <c r="G1307" t="n">
        <v>5</v>
      </c>
      <c r="H1307" s="5">
        <f>HYPERLINK("https://api.qogita.com/variants/link/0044386412583/", "View Product")</f>
        <v/>
      </c>
    </row>
    <row r="1308">
      <c r="A1308" t="inlineStr">
        <is>
          <t>0044386412590</t>
        </is>
      </c>
      <c r="B1308" t="inlineStr">
        <is>
          <t>Physicians Formula Mineral Wear Diamond Filler Cheek and Lip Color Lip and Cheek Tint with Serum-to-Cream Multi-Use Plumping Formula Enriched with Vitamin E Radiant Pink</t>
        </is>
      </c>
      <c r="C1308" t="inlineStr">
        <is>
          <t>Blush</t>
        </is>
      </c>
      <c r="D1308" t="inlineStr">
        <is>
          <t>Physicians Formula</t>
        </is>
      </c>
      <c r="E1308" t="n">
        <v>7.43</v>
      </c>
      <c r="F1308" t="n">
        <v>1</v>
      </c>
      <c r="G1308" t="n">
        <v>5</v>
      </c>
      <c r="H1308" s="5">
        <f>HYPERLINK("https://api.qogita.com/variants/link/0044386412590/", "View Product")</f>
        <v/>
      </c>
    </row>
    <row r="1309">
      <c r="A1309" t="inlineStr">
        <is>
          <t>0044386412606</t>
        </is>
      </c>
      <c r="B1309" t="inlineStr">
        <is>
          <t>Physicians Formula Mineral Wear Diamond Bronzer with Vitamin E Powder and Serum Hybrid Bronze Gem</t>
        </is>
      </c>
      <c r="C1309" t="inlineStr">
        <is>
          <t>Bronzer</t>
        </is>
      </c>
      <c r="D1309" t="inlineStr">
        <is>
          <t>Physicians Formula</t>
        </is>
      </c>
      <c r="E1309" t="n">
        <v>7.76</v>
      </c>
      <c r="F1309" t="n">
        <v>1</v>
      </c>
      <c r="G1309" t="n">
        <v>5</v>
      </c>
      <c r="H1309" s="5">
        <f>HYPERLINK("https://api.qogita.com/variants/link/0044386412606/", "View Product")</f>
        <v/>
      </c>
    </row>
    <row r="1310">
      <c r="A1310" t="inlineStr">
        <is>
          <t>0044386412613</t>
        </is>
      </c>
      <c r="B1310" t="inlineStr">
        <is>
          <t>Physicians Formula Mineral Wear Diamond Dust Translucent Face Powder with Illuminating Minerals and Vitamin E Luminous Gleam</t>
        </is>
      </c>
      <c r="C1310" t="inlineStr">
        <is>
          <t>Powder</t>
        </is>
      </c>
      <c r="D1310" t="inlineStr">
        <is>
          <t>Physicians Formula</t>
        </is>
      </c>
      <c r="E1310" t="n">
        <v>7.36</v>
      </c>
      <c r="F1310" t="n">
        <v>1</v>
      </c>
      <c r="G1310" t="n">
        <v>5</v>
      </c>
      <c r="H1310" s="5">
        <f>HYPERLINK("https://api.qogita.com/variants/link/0044386412613/", "View Product")</f>
        <v/>
      </c>
    </row>
    <row r="1311">
      <c r="A1311" t="inlineStr">
        <is>
          <t>0054402730249</t>
        </is>
      </c>
      <c r="B1311" t="inlineStr">
        <is>
          <t>ALOE COCO Sunscreen Body Protector SPF50 177 ml</t>
        </is>
      </c>
      <c r="C1311" t="inlineStr">
        <is>
          <t>Body Sun Protection</t>
        </is>
      </c>
      <c r="D1311" t="inlineStr">
        <is>
          <t>Aloe Cöco</t>
        </is>
      </c>
      <c r="E1311" t="n">
        <v>14.35</v>
      </c>
      <c r="F1311" t="n">
        <v>1</v>
      </c>
      <c r="G1311" t="n">
        <v>10</v>
      </c>
      <c r="H1311" s="5">
        <f>HYPERLINK("https://api.qogita.com/variants/link/0054402730249/", "View Product")</f>
        <v/>
      </c>
    </row>
    <row r="1312">
      <c r="A1312" t="inlineStr">
        <is>
          <t>0074170451856</t>
        </is>
      </c>
      <c r="B1312" t="inlineStr">
        <is>
          <t>Sally Hansen Miracle Gel Nail Polish Shade Leaf Me Be #762 0.5 Fl Oz</t>
        </is>
      </c>
      <c r="C1312" t="inlineStr">
        <is>
          <t>Nail Polish</t>
        </is>
      </c>
      <c r="D1312" t="inlineStr">
        <is>
          <t>Sally Hansen</t>
        </is>
      </c>
      <c r="E1312" t="n">
        <v>4.93</v>
      </c>
      <c r="F1312" t="n">
        <v>1</v>
      </c>
      <c r="G1312" t="n">
        <v>5</v>
      </c>
      <c r="H1312" s="5">
        <f>HYPERLINK("https://api.qogita.com/variants/link/0074170451856/", "View Product")</f>
        <v/>
      </c>
    </row>
    <row r="1313">
      <c r="A1313" t="inlineStr">
        <is>
          <t>0074170457827</t>
        </is>
      </c>
      <c r="B1313" t="inlineStr">
        <is>
          <t>Sally Hansen Good Kind Pure Vegan Nail Polish Pomegranate Punch 11ml</t>
        </is>
      </c>
      <c r="C1313" t="inlineStr">
        <is>
          <t>Nail Polish</t>
        </is>
      </c>
      <c r="D1313" t="inlineStr">
        <is>
          <t>Sally Hansen</t>
        </is>
      </c>
      <c r="E1313" t="n">
        <v>4.19</v>
      </c>
      <c r="F1313" t="n">
        <v>1</v>
      </c>
      <c r="G1313" t="n">
        <v>2</v>
      </c>
      <c r="H1313" s="5">
        <f>HYPERLINK("https://api.qogita.com/variants/link/0074170457827/", "View Product")</f>
        <v/>
      </c>
    </row>
    <row r="1314">
      <c r="A1314" t="inlineStr">
        <is>
          <t>0074170463798</t>
        </is>
      </c>
      <c r="B1314" t="inlineStr">
        <is>
          <t>Sally Hansen Insta-Dri 1 Stroke-1 Coat-Done Nail Polish 9.17ml Jet Setter</t>
        </is>
      </c>
      <c r="C1314" t="inlineStr">
        <is>
          <t>Nail Polish</t>
        </is>
      </c>
      <c r="D1314" t="inlineStr">
        <is>
          <t>Sally Hansen</t>
        </is>
      </c>
      <c r="E1314" t="n">
        <v>1.93</v>
      </c>
      <c r="F1314" t="n">
        <v>1</v>
      </c>
      <c r="G1314" t="n">
        <v>3</v>
      </c>
      <c r="H1314" s="5">
        <f>HYPERLINK("https://api.qogita.com/variants/link/0074170463798/", "View Product")</f>
        <v/>
      </c>
    </row>
    <row r="1315">
      <c r="A1315" t="inlineStr">
        <is>
          <t>0074170472400</t>
        </is>
      </c>
      <c r="B1315" t="inlineStr">
        <is>
          <t>Sally Hansen Good Kind Pure Vegan Nail Polish Mint Refresh 10ml</t>
        </is>
      </c>
      <c r="C1315" t="inlineStr">
        <is>
          <t>Nail Polish</t>
        </is>
      </c>
      <c r="D1315" t="inlineStr">
        <is>
          <t>Sally Hansen</t>
        </is>
      </c>
      <c r="E1315" t="n">
        <v>3.29</v>
      </c>
      <c r="F1315" t="n">
        <v>1</v>
      </c>
      <c r="G1315" t="n">
        <v>6</v>
      </c>
      <c r="H1315" s="5">
        <f>HYPERLINK("https://api.qogita.com/variants/link/0074170472400/", "View Product")</f>
        <v/>
      </c>
    </row>
    <row r="1316">
      <c r="A1316" t="inlineStr">
        <is>
          <t>0074469509145</t>
        </is>
      </c>
      <c r="B1316" t="inlineStr">
        <is>
          <t>Joico Defy Damage Protective Conditioner 1000ml</t>
        </is>
      </c>
      <c r="C1316" t="inlineStr">
        <is>
          <t>Conditioner</t>
        </is>
      </c>
      <c r="D1316" t="inlineStr">
        <is>
          <t>Joico</t>
        </is>
      </c>
      <c r="E1316" t="n">
        <v>30.84</v>
      </c>
      <c r="F1316" t="n">
        <v>1</v>
      </c>
      <c r="G1316" t="n">
        <v>7</v>
      </c>
      <c r="H1316" s="5">
        <f>HYPERLINK("https://api.qogita.com/variants/link/0074469509145/", "View Product")</f>
        <v/>
      </c>
    </row>
    <row r="1317">
      <c r="A1317" t="inlineStr">
        <is>
          <t>0074469512367</t>
        </is>
      </c>
      <c r="B1317" t="inlineStr">
        <is>
          <t>Joico JoiFULL Volumizing Conditioner for Fine Thin Hair 8.5 Fl Oz</t>
        </is>
      </c>
      <c r="C1317" t="inlineStr">
        <is>
          <t>Conditioner</t>
        </is>
      </c>
      <c r="D1317" t="inlineStr">
        <is>
          <t>Joico</t>
        </is>
      </c>
      <c r="E1317" t="n">
        <v>10.57</v>
      </c>
      <c r="F1317" t="n">
        <v>1</v>
      </c>
      <c r="G1317" t="n">
        <v>11</v>
      </c>
      <c r="H1317" s="5">
        <f>HYPERLINK("https://api.qogita.com/variants/link/0074469512367/", "View Product")</f>
        <v/>
      </c>
    </row>
    <row r="1318">
      <c r="A1318" t="inlineStr">
        <is>
          <t>0074469513203</t>
        </is>
      </c>
      <c r="B1318" t="inlineStr">
        <is>
          <t>Joico Blonde Life Brightening Conditioner 250ml</t>
        </is>
      </c>
      <c r="C1318" t="inlineStr">
        <is>
          <t>Conditioner</t>
        </is>
      </c>
      <c r="D1318" t="inlineStr">
        <is>
          <t>Joico</t>
        </is>
      </c>
      <c r="E1318" t="n">
        <v>10.99</v>
      </c>
      <c r="F1318" t="n">
        <v>1</v>
      </c>
      <c r="G1318" t="n">
        <v>5</v>
      </c>
      <c r="H1318" s="5">
        <f>HYPERLINK("https://api.qogita.com/variants/link/0074469513203/", "View Product")</f>
        <v/>
      </c>
    </row>
    <row r="1319">
      <c r="A1319" t="inlineStr">
        <is>
          <t>0074469523967</t>
        </is>
      </c>
      <c r="B1319" t="inlineStr">
        <is>
          <t>Joico Youthlock Conditioner For Mature Hair</t>
        </is>
      </c>
      <c r="C1319" t="inlineStr">
        <is>
          <t>Conditioner</t>
        </is>
      </c>
      <c r="D1319" t="inlineStr">
        <is>
          <t>Joico</t>
        </is>
      </c>
      <c r="E1319" t="n">
        <v>30.46</v>
      </c>
      <c r="F1319" t="n">
        <v>1</v>
      </c>
      <c r="G1319" t="n">
        <v>67</v>
      </c>
      <c r="H1319" s="5">
        <f>HYPERLINK("https://api.qogita.com/variants/link/0074469523967/", "View Product")</f>
        <v/>
      </c>
    </row>
    <row r="1320">
      <c r="A1320" t="inlineStr">
        <is>
          <t>0074469547178</t>
        </is>
      </c>
      <c r="B1320" t="inlineStr">
        <is>
          <t>Joico InnerJoi Sea Salt Spray Styling For All Hair Types Sulfate &amp; Paraben Free Naturally-Derived Vegan Formula 5.1 Fl Oz</t>
        </is>
      </c>
      <c r="C1320" t="inlineStr">
        <is>
          <t>Styling Sprays</t>
        </is>
      </c>
      <c r="D1320" t="inlineStr">
        <is>
          <t>Joico</t>
        </is>
      </c>
      <c r="E1320" t="n">
        <v>14.19</v>
      </c>
      <c r="F1320" t="n">
        <v>1</v>
      </c>
      <c r="G1320" t="n">
        <v>9</v>
      </c>
      <c r="H1320" s="5">
        <f>HYPERLINK("https://api.qogita.com/variants/link/0074469547178/", "View Product")</f>
        <v/>
      </c>
    </row>
    <row r="1321">
      <c r="A1321" t="inlineStr">
        <is>
          <t>0074469562065</t>
        </is>
      </c>
      <c r="B1321" t="inlineStr">
        <is>
          <t>Joico Defy Damage Detox Shampoo - Removes Chlorine, Hard Water Residue, and Product Build-Up</t>
        </is>
      </c>
      <c r="C1321" t="inlineStr">
        <is>
          <t>Shampoo</t>
        </is>
      </c>
      <c r="D1321" t="inlineStr">
        <is>
          <t>Joico</t>
        </is>
      </c>
      <c r="E1321" t="n">
        <v>24.1</v>
      </c>
      <c r="F1321" t="n">
        <v>1</v>
      </c>
      <c r="G1321" t="n">
        <v>1</v>
      </c>
      <c r="H1321" s="5">
        <f>HYPERLINK("https://api.qogita.com/variants/link/0074469562065/", "View Product")</f>
        <v/>
      </c>
    </row>
    <row r="1322">
      <c r="A1322" t="inlineStr">
        <is>
          <t>0074469563055</t>
        </is>
      </c>
      <c r="B1322" t="inlineStr">
        <is>
          <t>Joico K-PAK Clarifying Shampoo 300ml</t>
        </is>
      </c>
      <c r="C1322" t="inlineStr">
        <is>
          <t>Shampoo</t>
        </is>
      </c>
      <c r="D1322" t="inlineStr">
        <is>
          <t>Joico</t>
        </is>
      </c>
      <c r="E1322" t="n">
        <v>9.49</v>
      </c>
      <c r="F1322" t="n">
        <v>1</v>
      </c>
      <c r="G1322" t="n">
        <v>5</v>
      </c>
      <c r="H1322" s="5">
        <f>HYPERLINK("https://api.qogita.com/variants/link/0074469563055/", "View Product")</f>
        <v/>
      </c>
    </row>
    <row r="1323">
      <c r="A1323" t="inlineStr">
        <is>
          <t>0074764302311</t>
        </is>
      </c>
      <c r="B1323" t="inlineStr">
        <is>
          <t>ARDELL LashTite Black Permanent Individual Eyelash Adhesive 3.5g</t>
        </is>
      </c>
      <c r="C1323" t="inlineStr">
        <is>
          <t>False Eyelashes</t>
        </is>
      </c>
      <c r="D1323" t="inlineStr">
        <is>
          <t>Ardell</t>
        </is>
      </c>
      <c r="E1323" t="n">
        <v>3.56</v>
      </c>
      <c r="F1323" t="n">
        <v>1</v>
      </c>
      <c r="G1323" t="n">
        <v>4</v>
      </c>
      <c r="H1323" s="5">
        <f>HYPERLINK("https://api.qogita.com/variants/link/0074764302311/", "View Product")</f>
        <v/>
      </c>
    </row>
    <row r="1324">
      <c r="A1324" t="inlineStr">
        <is>
          <t>0074764373502</t>
        </is>
      </c>
      <c r="B1324" t="inlineStr">
        <is>
          <t>Ardell Strong Hold Lash Glue Black - Lepidlo Na Rasy</t>
        </is>
      </c>
      <c r="C1324" t="inlineStr">
        <is>
          <t>False Eyelashes</t>
        </is>
      </c>
      <c r="D1324" t="inlineStr">
        <is>
          <t>Ardell</t>
        </is>
      </c>
      <c r="E1324" t="n">
        <v>4.15</v>
      </c>
      <c r="F1324" t="n">
        <v>1</v>
      </c>
      <c r="G1324" t="n">
        <v>5</v>
      </c>
      <c r="H1324" s="5">
        <f>HYPERLINK("https://api.qogita.com/variants/link/0074764373502/", "View Product")</f>
        <v/>
      </c>
    </row>
    <row r="1325">
      <c r="A1325" t="inlineStr">
        <is>
          <t>0074764616050</t>
        </is>
      </c>
      <c r="B1325" t="inlineStr">
        <is>
          <t>Ardell Soft Touch Tapered Tip Lashes 152</t>
        </is>
      </c>
      <c r="C1325" t="inlineStr">
        <is>
          <t>False Eyelashes</t>
        </is>
      </c>
      <c r="D1325" t="inlineStr">
        <is>
          <t>Ardell</t>
        </is>
      </c>
      <c r="E1325" t="n">
        <v>4.21</v>
      </c>
      <c r="F1325" t="n">
        <v>1</v>
      </c>
      <c r="G1325" t="n">
        <v>3</v>
      </c>
      <c r="H1325" s="5">
        <f>HYPERLINK("https://api.qogita.com/variants/link/0074764616050/", "View Product")</f>
        <v/>
      </c>
    </row>
    <row r="1326">
      <c r="A1326" t="inlineStr">
        <is>
          <t>0074764631831</t>
        </is>
      </c>
      <c r="B1326" t="inlineStr">
        <is>
          <t>Ardell Deluxe Pack - Set For False Eyelashes Black</t>
        </is>
      </c>
      <c r="C1326" t="inlineStr">
        <is>
          <t>False Eyelashes</t>
        </is>
      </c>
      <c r="D1326" t="inlineStr">
        <is>
          <t>Ardell</t>
        </is>
      </c>
      <c r="E1326" t="n">
        <v>7.74</v>
      </c>
      <c r="F1326" t="n">
        <v>1</v>
      </c>
      <c r="G1326" t="n">
        <v>3</v>
      </c>
      <c r="H1326" s="5">
        <f>HYPERLINK("https://api.qogita.com/variants/link/0074764631831/", "View Product")</f>
        <v/>
      </c>
    </row>
    <row r="1327">
      <c r="A1327" t="inlineStr">
        <is>
          <t>0074764652324</t>
        </is>
      </c>
      <c r="B1327" t="inlineStr">
        <is>
          <t>Ardell False Eyelashes Baby Demi Wispies Black</t>
        </is>
      </c>
      <c r="C1327" t="inlineStr">
        <is>
          <t>False Eyelashes</t>
        </is>
      </c>
      <c r="D1327" t="inlineStr">
        <is>
          <t>Ardell</t>
        </is>
      </c>
      <c r="E1327" t="n">
        <v>3.56</v>
      </c>
      <c r="F1327" t="n">
        <v>1</v>
      </c>
      <c r="G1327" t="n">
        <v>3</v>
      </c>
      <c r="H1327" s="5">
        <f>HYPERLINK("https://api.qogita.com/variants/link/0074764652324/", "View Product")</f>
        <v/>
      </c>
    </row>
    <row r="1328">
      <c r="A1328" t="inlineStr">
        <is>
          <t>0074764658500</t>
        </is>
      </c>
      <c r="B1328" t="inlineStr">
        <is>
          <t>Ardell False Eyelashes Wispies Black Medium Volume Long Length Rounded Lash Style Crisscross Feathering Curl Invisiband Comfortable Wear Vegan-Friendly Cruelty-Free Eyelashes 5 Pair</t>
        </is>
      </c>
      <c r="C1328" t="inlineStr">
        <is>
          <t>False Eyelashes</t>
        </is>
      </c>
      <c r="D1328" t="inlineStr">
        <is>
          <t>Ardell</t>
        </is>
      </c>
      <c r="E1328" t="n">
        <v>20.79</v>
      </c>
      <c r="F1328" t="n">
        <v>1</v>
      </c>
      <c r="G1328" t="n">
        <v>3</v>
      </c>
      <c r="H1328" s="5">
        <f>HYPERLINK("https://api.qogita.com/variants/link/0074764658500/", "View Product")</f>
        <v/>
      </c>
    </row>
    <row r="1329">
      <c r="A1329" t="inlineStr">
        <is>
          <t>0074764704757</t>
        </is>
      </c>
      <c r="B1329" t="inlineStr">
        <is>
          <t>ARDELL Naked Lashes Real Hair Eyelashes Original Style 420 - Without Eyelash Glue</t>
        </is>
      </c>
      <c r="C1329" t="inlineStr">
        <is>
          <t>False Eyelashes</t>
        </is>
      </c>
      <c r="D1329" t="inlineStr">
        <is>
          <t>Ardell</t>
        </is>
      </c>
      <c r="E1329" t="n">
        <v>3.56</v>
      </c>
      <c r="F1329" t="n">
        <v>1</v>
      </c>
      <c r="G1329" t="n">
        <v>3</v>
      </c>
      <c r="H1329" s="5">
        <f>HYPERLINK("https://api.qogita.com/variants/link/0074764704757/", "View Product")</f>
        <v/>
      </c>
    </row>
    <row r="1330">
      <c r="A1330" t="inlineStr">
        <is>
          <t>0074764704788</t>
        </is>
      </c>
      <c r="B1330" t="inlineStr">
        <is>
          <t>Ardell Naked Lashes Real Hair Eyelashes Original Unmistakable Look Style 423</t>
        </is>
      </c>
      <c r="C1330" t="inlineStr">
        <is>
          <t>False Eyelashes</t>
        </is>
      </c>
      <c r="D1330" t="inlineStr">
        <is>
          <t>Ardell</t>
        </is>
      </c>
      <c r="E1330" t="n">
        <v>3.56</v>
      </c>
      <c r="F1330" t="n">
        <v>1</v>
      </c>
      <c r="G1330" t="n">
        <v>3</v>
      </c>
      <c r="H1330" s="5">
        <f>HYPERLINK("https://api.qogita.com/variants/link/0074764704788/", "View Product")</f>
        <v/>
      </c>
    </row>
    <row r="1331">
      <c r="A1331" t="inlineStr">
        <is>
          <t>0074764711458</t>
        </is>
      </c>
      <c r="B1331" t="inlineStr">
        <is>
          <t>Ardell Duo Lash Adhesive for Perfect Hold of False Lashes 7g Dark Tube</t>
        </is>
      </c>
      <c r="C1331" t="inlineStr">
        <is>
          <t>False Eyelashes</t>
        </is>
      </c>
      <c r="D1331" t="inlineStr">
        <is>
          <t>Ardell</t>
        </is>
      </c>
      <c r="E1331" t="n">
        <v>7.47</v>
      </c>
      <c r="F1331" t="n">
        <v>1</v>
      </c>
      <c r="G1331" t="n">
        <v>5</v>
      </c>
      <c r="H1331" s="5">
        <f>HYPERLINK("https://api.qogita.com/variants/link/0074764711458/", "View Product")</f>
        <v/>
      </c>
    </row>
    <row r="1332">
      <c r="A1332" t="inlineStr">
        <is>
          <t>0078729119105</t>
        </is>
      </c>
      <c r="B1332" t="inlineStr">
        <is>
          <t>Hot Tools Professional CurlBar 32mm</t>
        </is>
      </c>
      <c r="C1332" t="inlineStr">
        <is>
          <t>Curling Irons</t>
        </is>
      </c>
      <c r="D1332" t="inlineStr">
        <is>
          <t>Hot Tools</t>
        </is>
      </c>
      <c r="E1332" t="n">
        <v>125.1</v>
      </c>
      <c r="F1332" t="n">
        <v>1</v>
      </c>
      <c r="G1332" t="n">
        <v>4</v>
      </c>
      <c r="H1332" s="5">
        <f>HYPERLINK("https://api.qogita.com/variants/link/0078729119105/", "View Product")</f>
        <v/>
      </c>
    </row>
    <row r="1333">
      <c r="A1333" t="inlineStr">
        <is>
          <t>0079625014921</t>
        </is>
      </c>
      <c r="B1333" t="inlineStr">
        <is>
          <t>REAL TECHNIQUES Mini Miracle Complexion Sponges 4 Mini Sponges</t>
        </is>
      </c>
      <c r="C1333" t="inlineStr">
        <is>
          <t>Makeup Sponges</t>
        </is>
      </c>
      <c r="D1333" t="inlineStr">
        <is>
          <t>Real Techniques</t>
        </is>
      </c>
      <c r="E1333" t="n">
        <v>5.93</v>
      </c>
      <c r="F1333" t="n">
        <v>1</v>
      </c>
      <c r="G1333" t="n">
        <v>11</v>
      </c>
      <c r="H1333" s="5">
        <f>HYPERLINK("https://api.qogita.com/variants/link/0079625014921/", "View Product")</f>
        <v/>
      </c>
    </row>
    <row r="1334">
      <c r="A1334" t="inlineStr">
        <is>
          <t>0079625017861</t>
        </is>
      </c>
      <c r="B1334" t="inlineStr">
        <is>
          <t>Real Techniques Everyday Essentials Makeup Brush Complete Face Set</t>
        </is>
      </c>
      <c r="C1334" t="inlineStr">
        <is>
          <t>Brush Sets</t>
        </is>
      </c>
      <c r="D1334" t="inlineStr">
        <is>
          <t>Real Techniques</t>
        </is>
      </c>
      <c r="E1334" t="n">
        <v>14.86</v>
      </c>
      <c r="F1334" t="n">
        <v>1</v>
      </c>
      <c r="G1334" t="n">
        <v>195</v>
      </c>
      <c r="H1334" s="5">
        <f>HYPERLINK("https://api.qogita.com/variants/link/0079625017861/", "View Product")</f>
        <v/>
      </c>
    </row>
    <row r="1335">
      <c r="A1335" t="inlineStr">
        <is>
          <t>0079625042221</t>
        </is>
      </c>
      <c r="B1335" t="inlineStr">
        <is>
          <t>Miracle Pore Sponge: REAL TECHNIQUES Exfoliating Sponge with Probiotics 4222</t>
        </is>
      </c>
      <c r="C1335" t="inlineStr">
        <is>
          <t>Facial Cleansing Tools</t>
        </is>
      </c>
      <c r="D1335" t="inlineStr">
        <is>
          <t>Real Techniques</t>
        </is>
      </c>
      <c r="E1335" t="n">
        <v>5.86</v>
      </c>
      <c r="F1335" t="n">
        <v>1</v>
      </c>
      <c r="G1335" t="n">
        <v>6</v>
      </c>
      <c r="H1335" s="5">
        <f>HYPERLINK("https://api.qogita.com/variants/link/0079625042221/", "View Product")</f>
        <v/>
      </c>
    </row>
    <row r="1336">
      <c r="A1336" t="inlineStr">
        <is>
          <t>0079625042238</t>
        </is>
      </c>
      <c r="B1336" t="inlineStr">
        <is>
          <t>Real Techniques Miracle Multi-Functional Skincare Sponge for Cleansing</t>
        </is>
      </c>
      <c r="C1336" t="inlineStr">
        <is>
          <t>Facial Cleansing Tools</t>
        </is>
      </c>
      <c r="D1336" t="inlineStr">
        <is>
          <t>Real Techniques</t>
        </is>
      </c>
      <c r="E1336" t="n">
        <v>6.2</v>
      </c>
      <c r="F1336" t="n">
        <v>1</v>
      </c>
      <c r="G1336" t="n">
        <v>3</v>
      </c>
      <c r="H1336" s="5">
        <f>HYPERLINK("https://api.qogita.com/variants/link/0079625042238/", "View Product")</f>
        <v/>
      </c>
    </row>
    <row r="1337">
      <c r="A1337" t="inlineStr">
        <is>
          <t>0079625042245</t>
        </is>
      </c>
      <c r="B1337" t="inlineStr">
        <is>
          <t>Miracle Airblend Sponge Makeup Sponge REAL TECHNIQUES 4224</t>
        </is>
      </c>
      <c r="C1337" t="inlineStr">
        <is>
          <t>Makeup Sponges</t>
        </is>
      </c>
      <c r="D1337" t="inlineStr">
        <is>
          <t>Real Techniques</t>
        </is>
      </c>
      <c r="E1337" t="n">
        <v>4.28</v>
      </c>
      <c r="F1337" t="n">
        <v>1</v>
      </c>
      <c r="G1337" t="n">
        <v>12</v>
      </c>
      <c r="H1337" s="5">
        <f>HYPERLINK("https://api.qogita.com/variants/link/0079625042245/", "View Product")</f>
        <v/>
      </c>
    </row>
    <row r="1338">
      <c r="A1338" t="inlineStr">
        <is>
          <t>0079625042450</t>
        </is>
      </c>
      <c r="B1338" t="inlineStr">
        <is>
          <t>REAL TECHNIQUES Sponge+ Beauty Makeup Blenders for Facial Cleanser, Foundation and Setting Powder Probiotic Infused</t>
        </is>
      </c>
      <c r="C1338" t="inlineStr">
        <is>
          <t>Makeup Sponges</t>
        </is>
      </c>
      <c r="D1338" t="inlineStr">
        <is>
          <t>Real Techniques</t>
        </is>
      </c>
      <c r="E1338" t="n">
        <v>11.74</v>
      </c>
      <c r="F1338" t="n">
        <v>1</v>
      </c>
      <c r="G1338" t="n">
        <v>4</v>
      </c>
      <c r="H1338" s="5">
        <f>HYPERLINK("https://api.qogita.com/variants/link/0079625042450/", "View Product")</f>
        <v/>
      </c>
    </row>
    <row r="1339">
      <c r="A1339" t="inlineStr">
        <is>
          <t>0079625042573</t>
        </is>
      </c>
      <c r="B1339" t="inlineStr">
        <is>
          <t>Real Techniques Everything Face Makeup Brush for Flawless Finish Streak Free</t>
        </is>
      </c>
      <c r="C1339" t="inlineStr">
        <is>
          <t>Brush Sets</t>
        </is>
      </c>
      <c r="D1339" t="inlineStr">
        <is>
          <t>Real Techniques</t>
        </is>
      </c>
      <c r="E1339" t="n">
        <v>7.62</v>
      </c>
      <c r="F1339" t="n">
        <v>1</v>
      </c>
      <c r="G1339" t="n">
        <v>11</v>
      </c>
      <c r="H1339" s="5">
        <f>HYPERLINK("https://api.qogita.com/variants/link/0079625042573/", "View Product")</f>
        <v/>
      </c>
    </row>
    <row r="1340">
      <c r="A1340" t="inlineStr">
        <is>
          <t>0079625042634</t>
        </is>
      </c>
      <c r="B1340" t="inlineStr">
        <is>
          <t>REAL TECHNIQUES Naturally Beautiful Eye Makeup Brush Kit 5 Piece Set Pink</t>
        </is>
      </c>
      <c r="C1340" t="inlineStr">
        <is>
          <t>Brush Sets</t>
        </is>
      </c>
      <c r="D1340" t="inlineStr">
        <is>
          <t>Real Techniques</t>
        </is>
      </c>
      <c r="E1340" t="n">
        <v>11.82</v>
      </c>
      <c r="F1340" t="n">
        <v>1</v>
      </c>
      <c r="G1340" t="n">
        <v>11</v>
      </c>
      <c r="H1340" s="5">
        <f>HYPERLINK("https://api.qogita.com/variants/link/0079625042634/", "View Product")</f>
        <v/>
      </c>
    </row>
    <row r="1341">
      <c r="A1341" t="inlineStr">
        <is>
          <t>0079625042702</t>
        </is>
      </c>
      <c r="B1341" t="inlineStr">
        <is>
          <t>Real Techniques Skincare Brush Duo for Hands Free Application of Serums, Creams, and Toners - 2 Piece Set Pink</t>
        </is>
      </c>
      <c r="C1341" t="inlineStr">
        <is>
          <t>Facial Cleansing Brushes</t>
        </is>
      </c>
      <c r="D1341" t="inlineStr">
        <is>
          <t>Real Techniques</t>
        </is>
      </c>
      <c r="E1341" t="n">
        <v>8.609999999999999</v>
      </c>
      <c r="F1341" t="n">
        <v>1</v>
      </c>
      <c r="G1341" t="n">
        <v>5</v>
      </c>
      <c r="H1341" s="5">
        <f>HYPERLINK("https://api.qogita.com/variants/link/0079625042702/", "View Product")</f>
        <v/>
      </c>
    </row>
    <row r="1342">
      <c r="A1342" t="inlineStr">
        <is>
          <t>0079625042764</t>
        </is>
      </c>
      <c r="B1342" t="inlineStr">
        <is>
          <t>Real Techniques Prism Glo Perfect Blend Sponge Trio</t>
        </is>
      </c>
      <c r="C1342" t="inlineStr">
        <is>
          <t>Makeup Sponges</t>
        </is>
      </c>
      <c r="D1342" t="inlineStr">
        <is>
          <t>Real Techniques</t>
        </is>
      </c>
      <c r="E1342" t="n">
        <v>8.85</v>
      </c>
      <c r="F1342" t="n">
        <v>1</v>
      </c>
      <c r="G1342" t="n">
        <v>9</v>
      </c>
      <c r="H1342" s="5">
        <f>HYPERLINK("https://api.qogita.com/variants/link/0079625042764/", "View Product")</f>
        <v/>
      </c>
    </row>
    <row r="1343">
      <c r="A1343" t="inlineStr">
        <is>
          <t>0079625043181</t>
        </is>
      </c>
      <c r="B1343" t="inlineStr">
        <is>
          <t>Miracle Airblend Makeup Sponge REAL TECHNIQUES</t>
        </is>
      </c>
      <c r="C1343" t="inlineStr">
        <is>
          <t>Makeup Sponges</t>
        </is>
      </c>
      <c r="D1343" t="inlineStr">
        <is>
          <t>Real Techniques</t>
        </is>
      </c>
      <c r="E1343" t="n">
        <v>10.12</v>
      </c>
      <c r="F1343" t="n">
        <v>1</v>
      </c>
      <c r="G1343" t="n">
        <v>3</v>
      </c>
      <c r="H1343" s="5">
        <f>HYPERLINK("https://api.qogita.com/variants/link/0079625043181/", "View Product")</f>
        <v/>
      </c>
    </row>
    <row r="1344">
      <c r="A1344" t="inlineStr">
        <is>
          <t>0079625439038</t>
        </is>
      </c>
      <c r="B1344" t="inlineStr">
        <is>
          <t>Real Techniques Confirm Pop Brush Duo</t>
        </is>
      </c>
      <c r="C1344" t="inlineStr">
        <is>
          <t>Brush Sets</t>
        </is>
      </c>
      <c r="D1344" t="inlineStr">
        <is>
          <t>Real Techniques</t>
        </is>
      </c>
      <c r="E1344" t="n">
        <v>8.529999999999999</v>
      </c>
      <c r="F1344" t="n">
        <v>1</v>
      </c>
      <c r="G1344" t="n">
        <v>2</v>
      </c>
      <c r="H1344" s="5">
        <f>HYPERLINK("https://api.qogita.com/variants/link/0079625439038/", "View Product")</f>
        <v/>
      </c>
    </row>
    <row r="1345">
      <c r="A1345" t="inlineStr">
        <is>
          <t>0079625439113</t>
        </is>
      </c>
      <c r="B1345" t="inlineStr">
        <is>
          <t>Real Techniques Midi Moment Brush and Sponge Kit</t>
        </is>
      </c>
      <c r="C1345" t="inlineStr">
        <is>
          <t>Brush Sets</t>
        </is>
      </c>
      <c r="D1345" t="inlineStr">
        <is>
          <t>Real Techniques</t>
        </is>
      </c>
      <c r="E1345" t="n">
        <v>14.27</v>
      </c>
      <c r="F1345" t="n">
        <v>1</v>
      </c>
      <c r="G1345" t="n">
        <v>10</v>
      </c>
      <c r="H1345" s="5">
        <f>HYPERLINK("https://api.qogita.com/variants/link/0079625439113/", "View Product")</f>
        <v/>
      </c>
    </row>
    <row r="1346">
      <c r="A1346" t="inlineStr">
        <is>
          <t>0079625439229</t>
        </is>
      </c>
      <c r="B1346" t="inlineStr">
        <is>
          <t>Real Techniques Nectar Pop Dewy Tin Sponge Set</t>
        </is>
      </c>
      <c r="C1346" t="inlineStr">
        <is>
          <t>Makeup Sponges</t>
        </is>
      </c>
      <c r="D1346" t="inlineStr">
        <is>
          <t>Real Techniques</t>
        </is>
      </c>
      <c r="E1346" t="n">
        <v>5.42</v>
      </c>
      <c r="F1346" t="n">
        <v>1</v>
      </c>
      <c r="G1346" t="n">
        <v>9</v>
      </c>
      <c r="H1346" s="5">
        <f>HYPERLINK("https://api.qogita.com/variants/link/0079625439229/", "View Product")</f>
        <v/>
      </c>
    </row>
    <row r="1347">
      <c r="A1347" t="inlineStr">
        <is>
          <t>0079625439380</t>
        </is>
      </c>
      <c r="B1347" t="inlineStr">
        <is>
          <t>Real Techniques Miracle Concealer Sponge for Blending Makeup</t>
        </is>
      </c>
      <c r="C1347" t="inlineStr">
        <is>
          <t>Makeup Sponges</t>
        </is>
      </c>
      <c r="D1347" t="inlineStr">
        <is>
          <t>Real Techniques</t>
        </is>
      </c>
      <c r="E1347" t="n">
        <v>5.4</v>
      </c>
      <c r="F1347" t="n">
        <v>1</v>
      </c>
      <c r="G1347" t="n">
        <v>12</v>
      </c>
      <c r="H1347" s="5">
        <f>HYPERLINK("https://api.qogita.com/variants/link/0079625439380/", "View Product")</f>
        <v/>
      </c>
    </row>
    <row r="1348">
      <c r="A1348" t="inlineStr">
        <is>
          <t>0079625439397</t>
        </is>
      </c>
      <c r="B1348" t="inlineStr">
        <is>
          <t>Real Techniques Miracle Concealer Sponge - Elongated Shape for Precision</t>
        </is>
      </c>
      <c r="C1348" t="inlineStr">
        <is>
          <t>Makeup Sponges</t>
        </is>
      </c>
      <c r="D1348" t="inlineStr">
        <is>
          <t>Real Techniques</t>
        </is>
      </c>
      <c r="E1348" t="n">
        <v>9.4</v>
      </c>
      <c r="F1348" t="n">
        <v>1</v>
      </c>
      <c r="G1348" t="n">
        <v>12</v>
      </c>
      <c r="H1348" s="5">
        <f>HYPERLINK("https://api.qogita.com/variants/link/0079625439397/", "View Product")</f>
        <v/>
      </c>
    </row>
    <row r="1349">
      <c r="A1349" t="inlineStr">
        <is>
          <t>0079625440874</t>
        </is>
      </c>
      <c r="B1349" t="inlineStr">
        <is>
          <t>Real Techniques Mini Miracle Concealer Puff Trio Small Makeup Puff for Liquid Cream Foundation Targeted Concealing Travel Friendly Reusable Vegan Cruelty Free Mini Powder Puff</t>
        </is>
      </c>
      <c r="C1349" t="inlineStr">
        <is>
          <t>Makeup Sponges</t>
        </is>
      </c>
      <c r="D1349" t="inlineStr">
        <is>
          <t>Real Techniques</t>
        </is>
      </c>
      <c r="E1349" t="n">
        <v>5.4</v>
      </c>
      <c r="F1349" t="n">
        <v>1</v>
      </c>
      <c r="G1349" t="n">
        <v>32</v>
      </c>
      <c r="H1349" s="5">
        <f>HYPERLINK("https://api.qogita.com/variants/link/0079625440874/", "View Product")</f>
        <v/>
      </c>
    </row>
    <row r="1350">
      <c r="A1350" t="inlineStr">
        <is>
          <t>0079625440881</t>
        </is>
      </c>
      <c r="B1350" t="inlineStr">
        <is>
          <t>Real Techniques Miracle 2-In-1 Powder Puff Dual-Sided Full-Size Makeup Blending Puff Reversible Elastic Band Precision Tip Makeup Sponge &amp; Powder Puff For Liquid Cream &amp; Powder</t>
        </is>
      </c>
      <c r="C1350" t="inlineStr">
        <is>
          <t>Makeup Sponges</t>
        </is>
      </c>
      <c r="D1350" t="inlineStr">
        <is>
          <t>Real Techniques</t>
        </is>
      </c>
      <c r="E1350" t="n">
        <v>9.68</v>
      </c>
      <c r="F1350" t="n">
        <v>1</v>
      </c>
      <c r="G1350" t="n">
        <v>18</v>
      </c>
      <c r="H1350" s="5">
        <f>HYPERLINK("https://api.qogita.com/variants/link/0079625440881/", "View Product")</f>
        <v/>
      </c>
    </row>
    <row r="1351">
      <c r="A1351" t="inlineStr">
        <is>
          <t>0079625440898</t>
        </is>
      </c>
      <c r="B1351" t="inlineStr">
        <is>
          <t>Real Techniques Miracle 2-In-1 Powder Puff + Travel Case Dual-Sided Makeup Blending Puff Elastic Band Precision Makeup Sponge and Powder Puff For Liquid Cream and Powders Travel Case</t>
        </is>
      </c>
      <c r="C1351" t="inlineStr">
        <is>
          <t>Makeup Sponges</t>
        </is>
      </c>
      <c r="D1351" t="inlineStr">
        <is>
          <t>Real Techniques</t>
        </is>
      </c>
      <c r="E1351" t="n">
        <v>6.83</v>
      </c>
      <c r="F1351" t="n">
        <v>1</v>
      </c>
      <c r="G1351" t="n">
        <v>10</v>
      </c>
      <c r="H1351" s="5">
        <f>HYPERLINK("https://api.qogita.com/variants/link/0079625440898/", "View Product")</f>
        <v/>
      </c>
    </row>
    <row r="1352">
      <c r="A1352" t="inlineStr">
        <is>
          <t>0079625452419</t>
        </is>
      </c>
      <c r="B1352" t="inlineStr">
        <is>
          <t>Real Techniques Everything Blending Duo 2 Pieces Makeup Brushes</t>
        </is>
      </c>
      <c r="C1352" t="inlineStr">
        <is>
          <t>Brush Sets</t>
        </is>
      </c>
      <c r="D1352" t="inlineStr">
        <is>
          <t>Real Techniques</t>
        </is>
      </c>
      <c r="E1352" t="n">
        <v>11.2</v>
      </c>
      <c r="F1352" t="n">
        <v>1</v>
      </c>
      <c r="G1352" t="n">
        <v>11</v>
      </c>
      <c r="H1352" s="5">
        <f>HYPERLINK("https://api.qogita.com/variants/link/0079625452419/", "View Product")</f>
        <v/>
      </c>
    </row>
    <row r="1353">
      <c r="A1353" t="inlineStr">
        <is>
          <t>0079625452495</t>
        </is>
      </c>
      <c r="B1353" t="inlineStr">
        <is>
          <t>Real Techniques Mini Travel Duo - Perfect For On-The-Go Makeup Application</t>
        </is>
      </c>
      <c r="C1353" t="inlineStr">
        <is>
          <t>Brush Sets</t>
        </is>
      </c>
      <c r="D1353" t="inlineStr">
        <is>
          <t>Real Techniques</t>
        </is>
      </c>
      <c r="E1353" t="n">
        <v>8.199999999999999</v>
      </c>
      <c r="F1353" t="n">
        <v>1</v>
      </c>
      <c r="G1353" t="n">
        <v>10</v>
      </c>
      <c r="H1353" s="5">
        <f>HYPERLINK("https://api.qogita.com/variants/link/0079625452495/", "View Product")</f>
        <v/>
      </c>
    </row>
    <row r="1354">
      <c r="A1354" t="inlineStr">
        <is>
          <t>0085715003720</t>
        </is>
      </c>
      <c r="B1354" t="inlineStr">
        <is>
          <t>Fcuk Fcuk Him Eau De Toilette 100 Ml</t>
        </is>
      </c>
      <c r="C1354" t="inlineStr">
        <is>
          <t>Eau De Toilette</t>
        </is>
      </c>
      <c r="D1354" t="inlineStr">
        <is>
          <t>Fcuk</t>
        </is>
      </c>
      <c r="E1354" t="n">
        <v>11.68</v>
      </c>
      <c r="F1354" t="n">
        <v>1</v>
      </c>
      <c r="G1354" t="n">
        <v>5</v>
      </c>
      <c r="H1354" s="5">
        <f>HYPERLINK("https://api.qogita.com/variants/link/0085715003720/", "View Product")</f>
        <v/>
      </c>
    </row>
    <row r="1355">
      <c r="A1355" t="inlineStr">
        <is>
          <t>0085715082015</t>
        </is>
      </c>
      <c r="B1355" t="inlineStr">
        <is>
          <t>Anna Sui Flight of Fancy EDT Spray 50ml</t>
        </is>
      </c>
      <c r="C1355" t="inlineStr">
        <is>
          <t>Eau De Toilette</t>
        </is>
      </c>
      <c r="D1355" t="inlineStr">
        <is>
          <t>Anna Sui</t>
        </is>
      </c>
      <c r="E1355" t="n">
        <v>15.91</v>
      </c>
      <c r="F1355" t="n">
        <v>1</v>
      </c>
      <c r="G1355" t="n">
        <v>44</v>
      </c>
      <c r="H1355" s="5">
        <f>HYPERLINK("https://api.qogita.com/variants/link/0085715082015/", "View Product")</f>
        <v/>
      </c>
    </row>
    <row r="1356">
      <c r="A1356" t="inlineStr">
        <is>
          <t>0085715151209</t>
        </is>
      </c>
      <c r="B1356" t="inlineStr">
        <is>
          <t>MCM ONYX Eau de Parfum 2.5 Fl Oz</t>
        </is>
      </c>
      <c r="C1356" t="inlineStr">
        <is>
          <t>Eau De Parfum</t>
        </is>
      </c>
      <c r="D1356" t="inlineStr">
        <is>
          <t>Mcm</t>
        </is>
      </c>
      <c r="E1356" t="n">
        <v>42.98</v>
      </c>
      <c r="F1356" t="n">
        <v>1</v>
      </c>
      <c r="G1356" t="n">
        <v>19</v>
      </c>
      <c r="H1356" s="5">
        <f>HYPERLINK("https://api.qogita.com/variants/link/0085715151209/", "View Product")</f>
        <v/>
      </c>
    </row>
    <row r="1357">
      <c r="A1357" t="inlineStr">
        <is>
          <t>0085715151216</t>
        </is>
      </c>
      <c r="B1357" t="inlineStr">
        <is>
          <t>Mcm Onyx Eau De Parfum 1.7 Fl Oz</t>
        </is>
      </c>
      <c r="C1357" t="inlineStr">
        <is>
          <t>Eau De Parfum</t>
        </is>
      </c>
      <c r="D1357" t="inlineStr">
        <is>
          <t>Mcm</t>
        </is>
      </c>
      <c r="E1357" t="n">
        <v>26.61</v>
      </c>
      <c r="F1357" t="n">
        <v>1</v>
      </c>
      <c r="G1357" t="n">
        <v>33</v>
      </c>
      <c r="H1357" s="5">
        <f>HYPERLINK("https://api.qogita.com/variants/link/0085715151216/", "View Product")</f>
        <v/>
      </c>
    </row>
    <row r="1358">
      <c r="A1358" t="inlineStr">
        <is>
          <t>0085715163172</t>
        </is>
      </c>
      <c r="B1358" t="inlineStr">
        <is>
          <t>Abercrombie &amp; Fitch Women's Perfume Water 50ml Eau de Parfum</t>
        </is>
      </c>
      <c r="C1358" t="inlineStr">
        <is>
          <t>Eau De Parfum</t>
        </is>
      </c>
      <c r="D1358" t="inlineStr">
        <is>
          <t>Abercrombie &amp; Fitch</t>
        </is>
      </c>
      <c r="E1358" t="n">
        <v>16.33</v>
      </c>
      <c r="F1358" t="n">
        <v>1</v>
      </c>
      <c r="G1358" t="n">
        <v>136</v>
      </c>
      <c r="H1358" s="5">
        <f>HYPERLINK("https://api.qogita.com/variants/link/0085715163172/", "View Product")</f>
        <v/>
      </c>
    </row>
    <row r="1359">
      <c r="A1359" t="inlineStr">
        <is>
          <t>0085715163189</t>
        </is>
      </c>
      <c r="B1359" t="inlineStr">
        <is>
          <t>Abercrombie &amp; Fitch Instinct Woman Eau de Parfum 30ml</t>
        </is>
      </c>
      <c r="C1359" t="inlineStr">
        <is>
          <t>Eau De Parfum</t>
        </is>
      </c>
      <c r="D1359" t="inlineStr">
        <is>
          <t>Abercrombie &amp; Fitch</t>
        </is>
      </c>
      <c r="E1359" t="n">
        <v>18.33</v>
      </c>
      <c r="F1359" t="n">
        <v>1</v>
      </c>
      <c r="G1359" t="n">
        <v>15</v>
      </c>
      <c r="H1359" s="5">
        <f>HYPERLINK("https://api.qogita.com/variants/link/0085715163189/", "View Product")</f>
        <v/>
      </c>
    </row>
    <row r="1360">
      <c r="A1360" t="inlineStr">
        <is>
          <t>0085715167507</t>
        </is>
      </c>
      <c r="B1360" t="inlineStr">
        <is>
          <t>Abercrombie &amp; Fitch First Instinct Extreme Eau De Parfum Spray 100ml</t>
        </is>
      </c>
      <c r="C1360" t="inlineStr">
        <is>
          <t>Eau De Parfum</t>
        </is>
      </c>
      <c r="D1360" t="inlineStr">
        <is>
          <t>Abercrombie &amp; Fitch</t>
        </is>
      </c>
      <c r="E1360" t="n">
        <v>26.03</v>
      </c>
      <c r="F1360" t="n">
        <v>1</v>
      </c>
      <c r="G1360" t="n">
        <v>42</v>
      </c>
      <c r="H1360" s="5">
        <f>HYPERLINK("https://api.qogita.com/variants/link/0085715167507/", "View Product")</f>
        <v/>
      </c>
    </row>
    <row r="1361">
      <c r="A1361" t="inlineStr">
        <is>
          <t>0085715167583</t>
        </is>
      </c>
      <c r="B1361" t="inlineStr">
        <is>
          <t>Abercrombie &amp; Fitch First Instinct Together For Her EDP Spray 2.857kg</t>
        </is>
      </c>
      <c r="C1361" t="inlineStr">
        <is>
          <t>Eau De Parfum</t>
        </is>
      </c>
      <c r="D1361" t="inlineStr">
        <is>
          <t>Abercrombie &amp; Fitch</t>
        </is>
      </c>
      <c r="E1361" t="n">
        <v>23.16</v>
      </c>
      <c r="F1361" t="n">
        <v>1</v>
      </c>
      <c r="G1361" t="n">
        <v>4</v>
      </c>
      <c r="H1361" s="5">
        <f>HYPERLINK("https://api.qogita.com/variants/link/0085715167583/", "View Product")</f>
        <v/>
      </c>
    </row>
    <row r="1362">
      <c r="A1362" t="inlineStr">
        <is>
          <t>0085715167613</t>
        </is>
      </c>
      <c r="B1362" t="inlineStr">
        <is>
          <t>Abercrombie &amp; Fitch First Instinct Sheer Eau De Parfum 100ml</t>
        </is>
      </c>
      <c r="C1362" t="inlineStr">
        <is>
          <t>Eau De Parfum</t>
        </is>
      </c>
      <c r="D1362" t="inlineStr">
        <is>
          <t>Abercrombie &amp; Fitch</t>
        </is>
      </c>
      <c r="E1362" t="n">
        <v>19.02</v>
      </c>
      <c r="F1362" t="n">
        <v>1</v>
      </c>
      <c r="G1362" t="n">
        <v>2</v>
      </c>
      <c r="H1362" s="5">
        <f>HYPERLINK("https://api.qogita.com/variants/link/0085715167613/", "View Product")</f>
        <v/>
      </c>
    </row>
    <row r="1363">
      <c r="A1363" t="inlineStr">
        <is>
          <t>0085715169013</t>
        </is>
      </c>
      <c r="B1363" t="inlineStr">
        <is>
          <t>Authentic Night Abercrombie and Fitch For Women 1.7oz EDP Spray</t>
        </is>
      </c>
      <c r="C1363" t="inlineStr">
        <is>
          <t>Eau De Parfum</t>
        </is>
      </c>
      <c r="D1363" t="inlineStr">
        <is>
          <t>Abercrombie &amp; Fitch</t>
        </is>
      </c>
      <c r="E1363" t="n">
        <v>18.79</v>
      </c>
      <c r="F1363" t="n">
        <v>1</v>
      </c>
      <c r="G1363" t="n">
        <v>314</v>
      </c>
      <c r="H1363" s="5">
        <f>HYPERLINK("https://api.qogita.com/variants/link/0085715169013/", "View Product")</f>
        <v/>
      </c>
    </row>
    <row r="1364">
      <c r="A1364" t="inlineStr">
        <is>
          <t>0085715169310</t>
        </is>
      </c>
      <c r="B1364" t="inlineStr">
        <is>
          <t>Away Tonight Man EDT by Away</t>
        </is>
      </c>
      <c r="C1364" t="inlineStr">
        <is>
          <t>Eau De Toilette</t>
        </is>
      </c>
      <c r="D1364" t="inlineStr">
        <is>
          <t>Abercrombie &amp; Fitch</t>
        </is>
      </c>
      <c r="E1364" t="n">
        <v>16.36</v>
      </c>
      <c r="F1364" t="n">
        <v>1</v>
      </c>
      <c r="G1364" t="n">
        <v>2</v>
      </c>
      <c r="H1364" s="5">
        <f>HYPERLINK("https://api.qogita.com/variants/link/0085715169310/", "View Product")</f>
        <v/>
      </c>
    </row>
    <row r="1365">
      <c r="A1365" t="inlineStr">
        <is>
          <t>0085715169426</t>
        </is>
      </c>
      <c r="B1365" t="inlineStr">
        <is>
          <t>Abercrombie &amp; Fitch Away Weekend Men Edt 30 Ml</t>
        </is>
      </c>
      <c r="C1365" t="inlineStr">
        <is>
          <t>Eau De Toilette</t>
        </is>
      </c>
      <c r="D1365" t="inlineStr">
        <is>
          <t>Abercrombie &amp; Fitch</t>
        </is>
      </c>
      <c r="E1365" t="n">
        <v>13.03</v>
      </c>
      <c r="F1365" t="n">
        <v>1</v>
      </c>
      <c r="G1365" t="n">
        <v>9</v>
      </c>
      <c r="H1365" s="5">
        <f>HYPERLINK("https://api.qogita.com/variants/link/0085715169426/", "View Product")</f>
        <v/>
      </c>
    </row>
    <row r="1366">
      <c r="A1366" t="inlineStr">
        <is>
          <t>0085715169563</t>
        </is>
      </c>
      <c r="B1366" t="inlineStr">
        <is>
          <t>Abercrombie &amp; Fitch Fierce Cologne Men Edc Spray</t>
        </is>
      </c>
      <c r="C1366" t="inlineStr">
        <is>
          <t>Eau De Cologne</t>
        </is>
      </c>
      <c r="D1366" t="inlineStr">
        <is>
          <t>Abercrombie &amp; Fitch</t>
        </is>
      </c>
      <c r="E1366" t="n">
        <v>27.12</v>
      </c>
      <c r="F1366" t="n">
        <v>1</v>
      </c>
      <c r="G1366" t="n">
        <v>56</v>
      </c>
      <c r="H1366" s="5">
        <f>HYPERLINK("https://api.qogita.com/variants/link/0085715169563/", "View Product")</f>
        <v/>
      </c>
    </row>
    <row r="1367">
      <c r="A1367" t="inlineStr">
        <is>
          <t>0085715169815</t>
        </is>
      </c>
      <c r="B1367" t="inlineStr">
        <is>
          <t>Abercrombie &amp; Fitch First Away EDP 50ml</t>
        </is>
      </c>
      <c r="C1367" t="inlineStr">
        <is>
          <t>Eau De Parfum</t>
        </is>
      </c>
      <c r="D1367" t="inlineStr">
        <is>
          <t>Abercrombie &amp; Fitch</t>
        </is>
      </c>
      <c r="E1367" t="n">
        <v>23.86</v>
      </c>
      <c r="F1367" t="n">
        <v>1</v>
      </c>
      <c r="G1367" t="n">
        <v>5</v>
      </c>
      <c r="H1367" s="5">
        <f>HYPERLINK("https://api.qogita.com/variants/link/0085715169815/", "View Product")</f>
        <v/>
      </c>
    </row>
    <row r="1368">
      <c r="A1368" t="inlineStr">
        <is>
          <t>0085715169914</t>
        </is>
      </c>
      <c r="B1368" t="inlineStr">
        <is>
          <t>Abercrombie &amp; Fitch Away Tonight Woman Edp</t>
        </is>
      </c>
      <c r="C1368" t="inlineStr">
        <is>
          <t>Eau De Parfum</t>
        </is>
      </c>
      <c r="D1368" t="inlineStr">
        <is>
          <t>Abercrombie &amp; Fitch</t>
        </is>
      </c>
      <c r="E1368" t="n">
        <v>21.24</v>
      </c>
      <c r="F1368" t="n">
        <v>1</v>
      </c>
      <c r="G1368" t="n">
        <v>13</v>
      </c>
      <c r="H1368" s="5">
        <f>HYPERLINK("https://api.qogita.com/variants/link/0085715169914/", "View Product")</f>
        <v/>
      </c>
    </row>
    <row r="1369">
      <c r="A1369" t="inlineStr">
        <is>
          <t>0085715169952</t>
        </is>
      </c>
      <c r="B1369" t="inlineStr">
        <is>
          <t>Abercrombie &amp; Fitch Away Weekend Eau De Parfum Spray 100ml</t>
        </is>
      </c>
      <c r="C1369" t="inlineStr">
        <is>
          <t>Eau De Parfum</t>
        </is>
      </c>
      <c r="D1369" t="inlineStr">
        <is>
          <t>Abercrombie &amp; Fitch</t>
        </is>
      </c>
      <c r="E1369" t="n">
        <v>23.72</v>
      </c>
      <c r="F1369" t="n">
        <v>1</v>
      </c>
      <c r="G1369" t="n">
        <v>10</v>
      </c>
      <c r="H1369" s="5">
        <f>HYPERLINK("https://api.qogita.com/variants/link/0085715169952/", "View Product")</f>
        <v/>
      </c>
    </row>
    <row r="1370">
      <c r="A1370" t="inlineStr">
        <is>
          <t>0085715261014</t>
        </is>
      </c>
      <c r="B1370" t="inlineStr">
        <is>
          <t>Hollister Wave For Her Eau De Parfum 100ml</t>
        </is>
      </c>
      <c r="C1370" t="inlineStr">
        <is>
          <t>Eau De Parfum</t>
        </is>
      </c>
      <c r="D1370" t="inlineStr">
        <is>
          <t>Hollister</t>
        </is>
      </c>
      <c r="E1370" t="n">
        <v>15.28</v>
      </c>
      <c r="F1370" t="n">
        <v>1</v>
      </c>
      <c r="G1370" t="n">
        <v>11</v>
      </c>
      <c r="H1370" s="5">
        <f>HYPERLINK("https://api.qogita.com/variants/link/0085715261014/", "View Product")</f>
        <v/>
      </c>
    </row>
    <row r="1371">
      <c r="A1371" t="inlineStr">
        <is>
          <t>0085715261038</t>
        </is>
      </c>
      <c r="B1371" t="inlineStr">
        <is>
          <t>Hollister Wave Eau De Parfum for Her 50ml</t>
        </is>
      </c>
      <c r="C1371" t="inlineStr">
        <is>
          <t>Eau De Parfum</t>
        </is>
      </c>
      <c r="D1371" t="inlineStr">
        <is>
          <t>Hollister</t>
        </is>
      </c>
      <c r="E1371" t="n">
        <v>11.04</v>
      </c>
      <c r="F1371" t="n">
        <v>1</v>
      </c>
      <c r="G1371" t="n">
        <v>31</v>
      </c>
      <c r="H1371" s="5">
        <f>HYPERLINK("https://api.qogita.com/variants/link/0085715261038/", "View Product")</f>
        <v/>
      </c>
    </row>
    <row r="1372">
      <c r="A1372" t="inlineStr">
        <is>
          <t>0085715267030</t>
        </is>
      </c>
      <c r="B1372" t="inlineStr">
        <is>
          <t>Hollister Canyon Escape For Him Eau De Toilette 100ml</t>
        </is>
      </c>
      <c r="C1372" t="inlineStr">
        <is>
          <t>Eau De Toilette</t>
        </is>
      </c>
      <c r="D1372" t="inlineStr">
        <is>
          <t>Hollister</t>
        </is>
      </c>
      <c r="E1372" t="n">
        <v>15.56</v>
      </c>
      <c r="F1372" t="n">
        <v>1</v>
      </c>
      <c r="G1372" t="n">
        <v>6</v>
      </c>
      <c r="H1372" s="5">
        <f>HYPERLINK("https://api.qogita.com/variants/link/0085715267030/", "View Product")</f>
        <v/>
      </c>
    </row>
    <row r="1373">
      <c r="A1373" t="inlineStr">
        <is>
          <t>0085715267146</t>
        </is>
      </c>
      <c r="B1373" t="inlineStr">
        <is>
          <t>Hollister Canyon Sky for Him Eau de Toilette 100ml</t>
        </is>
      </c>
      <c r="C1373" t="inlineStr">
        <is>
          <t>Eau De Toilette</t>
        </is>
      </c>
      <c r="D1373" t="inlineStr">
        <is>
          <t>Hollister</t>
        </is>
      </c>
      <c r="E1373" t="n">
        <v>15.01</v>
      </c>
      <c r="F1373" t="n">
        <v>1</v>
      </c>
      <c r="G1373" t="n">
        <v>4</v>
      </c>
      <c r="H1373" s="5">
        <f>HYPERLINK("https://api.qogita.com/variants/link/0085715267146/", "View Product")</f>
        <v/>
      </c>
    </row>
    <row r="1374">
      <c r="A1374" t="inlineStr">
        <is>
          <t>0085715267153</t>
        </is>
      </c>
      <c r="B1374" t="inlineStr">
        <is>
          <t>Hollister Men's Toiletry Water Ideal for Men</t>
        </is>
      </c>
      <c r="C1374" t="inlineStr">
        <is>
          <t>Eau De Toilette</t>
        </is>
      </c>
      <c r="D1374" t="inlineStr">
        <is>
          <t>Hollister</t>
        </is>
      </c>
      <c r="E1374" t="n">
        <v>13.53</v>
      </c>
      <c r="F1374" t="n">
        <v>1</v>
      </c>
      <c r="G1374" t="n">
        <v>2</v>
      </c>
      <c r="H1374" s="5">
        <f>HYPERLINK("https://api.qogita.com/variants/link/0085715267153/", "View Product")</f>
        <v/>
      </c>
    </row>
    <row r="1375">
      <c r="A1375" t="inlineStr">
        <is>
          <t>0085715267245</t>
        </is>
      </c>
      <c r="B1375" t="inlineStr">
        <is>
          <t>Hollister Canyon Sky for Her Eau de Parfum 100ml</t>
        </is>
      </c>
      <c r="C1375" t="inlineStr">
        <is>
          <t>Eau De Parfum</t>
        </is>
      </c>
      <c r="D1375" t="inlineStr">
        <is>
          <t>Hollister</t>
        </is>
      </c>
      <c r="E1375" t="n">
        <v>14.39</v>
      </c>
      <c r="F1375" t="n">
        <v>1</v>
      </c>
      <c r="G1375" t="n">
        <v>5</v>
      </c>
      <c r="H1375" s="5">
        <f>HYPERLINK("https://api.qogita.com/variants/link/0085715267245/", "View Product")</f>
        <v/>
      </c>
    </row>
    <row r="1376">
      <c r="A1376" t="inlineStr">
        <is>
          <t>0085715267252</t>
        </is>
      </c>
      <c r="B1376" t="inlineStr">
        <is>
          <t>Hollister Canyon Sky For Her - Eau De Parfum</t>
        </is>
      </c>
      <c r="C1376" t="inlineStr">
        <is>
          <t>Eau De Parfum</t>
        </is>
      </c>
      <c r="D1376" t="inlineStr">
        <is>
          <t>Hollister</t>
        </is>
      </c>
      <c r="E1376" t="n">
        <v>10.99</v>
      </c>
      <c r="F1376" t="n">
        <v>1</v>
      </c>
      <c r="G1376" t="n">
        <v>5</v>
      </c>
      <c r="H1376" s="5">
        <f>HYPERLINK("https://api.qogita.com/variants/link/0085715267252/", "View Product")</f>
        <v/>
      </c>
    </row>
    <row r="1377">
      <c r="A1377" t="inlineStr">
        <is>
          <t>0085715267528</t>
        </is>
      </c>
      <c r="B1377" t="inlineStr">
        <is>
          <t>Hollister Canyon Rush For Her Eau De Perfume Spray 30ml</t>
        </is>
      </c>
      <c r="C1377" t="inlineStr">
        <is>
          <t>Eau De Parfum</t>
        </is>
      </c>
      <c r="D1377" t="inlineStr">
        <is>
          <t>Hollister</t>
        </is>
      </c>
      <c r="E1377" t="n">
        <v>11.14</v>
      </c>
      <c r="F1377" t="n">
        <v>1</v>
      </c>
      <c r="G1377" t="n">
        <v>11</v>
      </c>
      <c r="H1377" s="5">
        <f>HYPERLINK("https://api.qogita.com/variants/link/0085715267528/", "View Product")</f>
        <v/>
      </c>
    </row>
    <row r="1378">
      <c r="A1378" t="inlineStr">
        <is>
          <t>0085715267702</t>
        </is>
      </c>
      <c r="B1378" t="inlineStr">
        <is>
          <t>Hollister Wave X For Him Edt</t>
        </is>
      </c>
      <c r="C1378" t="inlineStr">
        <is>
          <t>Eau De Toilette</t>
        </is>
      </c>
      <c r="D1378" t="inlineStr">
        <is>
          <t>Hollister</t>
        </is>
      </c>
      <c r="E1378" t="n">
        <v>16</v>
      </c>
      <c r="F1378" t="n">
        <v>1</v>
      </c>
      <c r="G1378" t="n">
        <v>7</v>
      </c>
      <c r="H1378" s="5">
        <f>HYPERLINK("https://api.qogita.com/variants/link/0085715267702/", "View Product")</f>
        <v/>
      </c>
    </row>
    <row r="1379">
      <c r="A1379" t="inlineStr">
        <is>
          <t>0085715268112</t>
        </is>
      </c>
      <c r="B1379" t="inlineStr">
        <is>
          <t>Hollister Festival Nite For Her Eau de Parfum 100ml</t>
        </is>
      </c>
      <c r="C1379" t="inlineStr">
        <is>
          <t>Eau De Parfum</t>
        </is>
      </c>
      <c r="D1379" t="inlineStr">
        <is>
          <t>Hollister</t>
        </is>
      </c>
      <c r="E1379" t="n">
        <v>15.48</v>
      </c>
      <c r="F1379" t="n">
        <v>1</v>
      </c>
      <c r="G1379" t="n">
        <v>12</v>
      </c>
      <c r="H1379" s="5">
        <f>HYPERLINK("https://api.qogita.com/variants/link/0085715268112/", "View Product")</f>
        <v/>
      </c>
    </row>
    <row r="1380">
      <c r="A1380" t="inlineStr">
        <is>
          <t>0085715268518</t>
        </is>
      </c>
      <c r="B1380" t="inlineStr">
        <is>
          <t>Hollister Festival Vibes For Him Eau de Toilette 100ml</t>
        </is>
      </c>
      <c r="C1380" t="inlineStr">
        <is>
          <t>Eau De Toilette</t>
        </is>
      </c>
      <c r="D1380" t="inlineStr">
        <is>
          <t>Hollister</t>
        </is>
      </c>
      <c r="E1380" t="n">
        <v>15.75</v>
      </c>
      <c r="F1380" t="n">
        <v>1</v>
      </c>
      <c r="G1380" t="n">
        <v>14</v>
      </c>
      <c r="H1380" s="5">
        <f>HYPERLINK("https://api.qogita.com/variants/link/0085715268518/", "View Product")</f>
        <v/>
      </c>
    </row>
    <row r="1381">
      <c r="A1381" t="inlineStr">
        <is>
          <t>0085715269508</t>
        </is>
      </c>
      <c r="B1381" t="inlineStr">
        <is>
          <t>Hollister Hibiscus Cooler Body Mist Fragrance 125ml</t>
        </is>
      </c>
      <c r="C1381" t="inlineStr">
        <is>
          <t>Eau De Toilette</t>
        </is>
      </c>
      <c r="D1381" t="inlineStr">
        <is>
          <t>Hollister</t>
        </is>
      </c>
      <c r="E1381" t="n">
        <v>6.47</v>
      </c>
      <c r="F1381" t="n">
        <v>1</v>
      </c>
      <c r="G1381" t="n">
        <v>4</v>
      </c>
      <c r="H1381" s="5">
        <f>HYPERLINK("https://api.qogita.com/variants/link/0085715269508/", "View Product")</f>
        <v/>
      </c>
    </row>
    <row r="1382">
      <c r="A1382" t="inlineStr">
        <is>
          <t>0085715320117</t>
        </is>
      </c>
      <c r="B1382" t="inlineStr">
        <is>
          <t>Guess Seductive Eau De Toilette for Women Floral-Fruity Sensual Fragrance</t>
        </is>
      </c>
      <c r="C1382" t="inlineStr">
        <is>
          <t>Eau De Toilette</t>
        </is>
      </c>
      <c r="D1382" t="inlineStr">
        <is>
          <t>Guess</t>
        </is>
      </c>
      <c r="E1382" t="n">
        <v>14</v>
      </c>
      <c r="F1382" t="n">
        <v>1</v>
      </c>
      <c r="G1382" t="n">
        <v>5269</v>
      </c>
      <c r="H1382" s="5">
        <f>HYPERLINK("https://api.qogita.com/variants/link/0085715320117/", "View Product")</f>
        <v/>
      </c>
    </row>
    <row r="1383">
      <c r="A1383" t="inlineStr">
        <is>
          <t>0085715320216</t>
        </is>
      </c>
      <c r="B1383" t="inlineStr">
        <is>
          <t>Seductive Noir 75ml</t>
        </is>
      </c>
      <c r="C1383" t="inlineStr">
        <is>
          <t>Eau De Parfum</t>
        </is>
      </c>
      <c r="D1383" t="inlineStr">
        <is>
          <t>Guess</t>
        </is>
      </c>
      <c r="E1383" t="n">
        <v>14.3</v>
      </c>
      <c r="F1383" t="n">
        <v>1</v>
      </c>
      <c r="G1383" t="n">
        <v>5967</v>
      </c>
      <c r="H1383" s="5">
        <f>HYPERLINK("https://api.qogita.com/variants/link/0085715320216/", "View Product")</f>
        <v/>
      </c>
    </row>
    <row r="1384">
      <c r="A1384" t="inlineStr">
        <is>
          <t>0085715320711</t>
        </is>
      </c>
      <c r="B1384" t="inlineStr">
        <is>
          <t>Guess M EDT Perfume Spray 75ml</t>
        </is>
      </c>
      <c r="C1384" t="inlineStr">
        <is>
          <t>Eau De Toilette</t>
        </is>
      </c>
      <c r="D1384" t="inlineStr">
        <is>
          <t>Guess</t>
        </is>
      </c>
      <c r="E1384" t="n">
        <v>16.23</v>
      </c>
      <c r="F1384" t="n">
        <v>1</v>
      </c>
      <c r="G1384" t="n">
        <v>6</v>
      </c>
      <c r="H1384" s="5">
        <f>HYPERLINK("https://api.qogita.com/variants/link/0085715320711/", "View Product")</f>
        <v/>
      </c>
    </row>
    <row r="1385">
      <c r="A1385" t="inlineStr">
        <is>
          <t>0085715320919</t>
        </is>
      </c>
      <c r="B1385" t="inlineStr">
        <is>
          <t>Guess Dare Eau De Toilette Spray for Women 100ml</t>
        </is>
      </c>
      <c r="C1385" t="inlineStr">
        <is>
          <t>Eau De Toilette</t>
        </is>
      </c>
      <c r="D1385" t="inlineStr">
        <is>
          <t>Guess</t>
        </is>
      </c>
      <c r="E1385" t="n">
        <v>15.32</v>
      </c>
      <c r="F1385" t="n">
        <v>1</v>
      </c>
      <c r="G1385" t="n">
        <v>343</v>
      </c>
      <c r="H1385" s="5">
        <f>HYPERLINK("https://api.qogita.com/variants/link/0085715320919/", "View Product")</f>
        <v/>
      </c>
    </row>
    <row r="1386">
      <c r="A1386" t="inlineStr">
        <is>
          <t>0085715321817</t>
        </is>
      </c>
      <c r="B1386" t="inlineStr">
        <is>
          <t>Guess 1981 For Men Eau De Toilette 100ml Spray</t>
        </is>
      </c>
      <c r="C1386" t="inlineStr">
        <is>
          <t>Eau De Toilette</t>
        </is>
      </c>
      <c r="D1386" t="inlineStr">
        <is>
          <t>Guess</t>
        </is>
      </c>
      <c r="E1386" t="n">
        <v>18.26</v>
      </c>
      <c r="F1386" t="n">
        <v>1</v>
      </c>
      <c r="G1386" t="n">
        <v>5</v>
      </c>
      <c r="H1386" s="5">
        <f>HYPERLINK("https://api.qogita.com/variants/link/0085715321817/", "View Product")</f>
        <v/>
      </c>
    </row>
    <row r="1387">
      <c r="A1387" t="inlineStr">
        <is>
          <t>0085715321961</t>
        </is>
      </c>
      <c r="B1387" t="inlineStr">
        <is>
          <t>Guess 1981 Indigo For Men EDT M 30 ml - Guess</t>
        </is>
      </c>
      <c r="C1387" t="inlineStr">
        <is>
          <t>Eau De Toilette</t>
        </is>
      </c>
      <c r="D1387" t="inlineStr">
        <is>
          <t>Guess</t>
        </is>
      </c>
      <c r="E1387" t="n">
        <v>9.16</v>
      </c>
      <c r="F1387" t="n">
        <v>1</v>
      </c>
      <c r="G1387" t="n">
        <v>2</v>
      </c>
      <c r="H1387" s="5">
        <f>HYPERLINK("https://api.qogita.com/variants/link/0085715321961/", "View Product")</f>
        <v/>
      </c>
    </row>
    <row r="1388">
      <c r="A1388" t="inlineStr">
        <is>
          <t>0085715321985</t>
        </is>
      </c>
      <c r="B1388" t="inlineStr">
        <is>
          <t>Guess 1981 Indigo for Men 3.4 Oz EDT Spray</t>
        </is>
      </c>
      <c r="C1388" t="inlineStr">
        <is>
          <t>Eau De Toilette</t>
        </is>
      </c>
      <c r="D1388" t="inlineStr">
        <is>
          <t>Guess</t>
        </is>
      </c>
      <c r="E1388" t="n">
        <v>17.56</v>
      </c>
      <c r="F1388" t="n">
        <v>1</v>
      </c>
      <c r="G1388" t="n">
        <v>32</v>
      </c>
      <c r="H1388" s="5">
        <f>HYPERLINK("https://api.qogita.com/variants/link/0085715321985/", "View Product")</f>
        <v/>
      </c>
    </row>
    <row r="1389">
      <c r="A1389" t="inlineStr">
        <is>
          <t>0085715322159</t>
        </is>
      </c>
      <c r="B1389" t="inlineStr">
        <is>
          <t>Guess 1981 Los Angeles Deodorizing Body Spray for Men 6.0 Oz</t>
        </is>
      </c>
      <c r="C1389" t="inlineStr">
        <is>
          <t>Deodorant &amp; Anti-Perspirant</t>
        </is>
      </c>
      <c r="D1389" t="inlineStr">
        <is>
          <t>Guess</t>
        </is>
      </c>
      <c r="E1389" t="n">
        <v>6.86</v>
      </c>
      <c r="F1389" t="n">
        <v>1</v>
      </c>
      <c r="G1389" t="n">
        <v>4</v>
      </c>
      <c r="H1389" s="5">
        <f>HYPERLINK("https://api.qogita.com/variants/link/0085715322159/", "View Product")</f>
        <v/>
      </c>
    </row>
    <row r="1390">
      <c r="A1390" t="inlineStr">
        <is>
          <t>0085715322210</t>
        </is>
      </c>
      <c r="B1390" t="inlineStr">
        <is>
          <t>Guess 1981 Los Angeles Eau de Toilette Spray for Women 3.4 Oz</t>
        </is>
      </c>
      <c r="C1390" t="inlineStr">
        <is>
          <t>Eau De Toilette</t>
        </is>
      </c>
      <c r="D1390" t="inlineStr">
        <is>
          <t>Guess</t>
        </is>
      </c>
      <c r="E1390" t="n">
        <v>18.03</v>
      </c>
      <c r="F1390" t="n">
        <v>1</v>
      </c>
      <c r="G1390" t="n">
        <v>35</v>
      </c>
      <c r="H1390" s="5">
        <f>HYPERLINK("https://api.qogita.com/variants/link/0085715322210/", "View Product")</f>
        <v/>
      </c>
    </row>
    <row r="1391">
      <c r="A1391" t="inlineStr">
        <is>
          <t>0085715323200</t>
        </is>
      </c>
      <c r="B1391" t="inlineStr">
        <is>
          <t>Guess Originals Type 2 Red Currant and Balsam by Guess for Unisex 3.4 Oz EDP</t>
        </is>
      </c>
      <c r="C1391" t="inlineStr">
        <is>
          <t>Eau De Parfum</t>
        </is>
      </c>
      <c r="D1391" t="inlineStr">
        <is>
          <t>Guess</t>
        </is>
      </c>
      <c r="E1391" t="n">
        <v>21.29</v>
      </c>
      <c r="F1391" t="n">
        <v>1</v>
      </c>
      <c r="G1391" t="n">
        <v>5</v>
      </c>
      <c r="H1391" s="5">
        <f>HYPERLINK("https://api.qogita.com/variants/link/0085715323200/", "View Product")</f>
        <v/>
      </c>
    </row>
    <row r="1392">
      <c r="A1392" t="inlineStr">
        <is>
          <t>0085715323521</t>
        </is>
      </c>
      <c r="B1392" t="inlineStr">
        <is>
          <t>Guess Pink BOR W 125 ml Women's Fragrance</t>
        </is>
      </c>
      <c r="C1392" t="inlineStr">
        <is>
          <t>Eau De Toilette</t>
        </is>
      </c>
      <c r="D1392" t="inlineStr">
        <is>
          <t>Guess</t>
        </is>
      </c>
      <c r="E1392" t="n">
        <v>9.49</v>
      </c>
      <c r="F1392" t="n">
        <v>1</v>
      </c>
      <c r="G1392" t="n">
        <v>4</v>
      </c>
      <c r="H1392" s="5">
        <f>HYPERLINK("https://api.qogita.com/variants/link/0085715323521/", "View Product")</f>
        <v/>
      </c>
    </row>
    <row r="1393">
      <c r="A1393" t="inlineStr">
        <is>
          <t>0085715323576</t>
        </is>
      </c>
      <c r="B1393" t="inlineStr">
        <is>
          <t>GUESS Amore Portofino Eau de Toilette for Women and Men Genderless Unisex Perfume Spray 3.4 Fl. Oz.</t>
        </is>
      </c>
      <c r="C1393" t="inlineStr">
        <is>
          <t>Eau De Toilette</t>
        </is>
      </c>
      <c r="D1393" t="inlineStr">
        <is>
          <t>Guess</t>
        </is>
      </c>
      <c r="E1393" t="n">
        <v>22.83</v>
      </c>
      <c r="F1393" t="n">
        <v>1</v>
      </c>
      <c r="G1393" t="n">
        <v>2</v>
      </c>
      <c r="H1393" s="5">
        <f>HYPERLINK("https://api.qogita.com/variants/link/0085715323576/", "View Product")</f>
        <v/>
      </c>
    </row>
    <row r="1394">
      <c r="A1394" t="inlineStr">
        <is>
          <t>0085715326638</t>
        </is>
      </c>
      <c r="B1394" t="inlineStr">
        <is>
          <t>Guess Uomo Deodorizing Body Spray for Men 6.0 Oz</t>
        </is>
      </c>
      <c r="C1394" t="inlineStr">
        <is>
          <t>Eau De Toilette</t>
        </is>
      </c>
      <c r="D1394" t="inlineStr">
        <is>
          <t>Guess</t>
        </is>
      </c>
      <c r="E1394" t="n">
        <v>6.66</v>
      </c>
      <c r="F1394" t="n">
        <v>1</v>
      </c>
      <c r="G1394" t="n">
        <v>3</v>
      </c>
      <c r="H1394" s="5">
        <f>HYPERLINK("https://api.qogita.com/variants/link/0085715326638/", "View Product")</f>
        <v/>
      </c>
    </row>
    <row r="1395">
      <c r="A1395" t="inlineStr">
        <is>
          <t>0085715327116</t>
        </is>
      </c>
      <c r="B1395" t="inlineStr">
        <is>
          <t>Guess Destination Ibiza Shimmer Mist 250ml</t>
        </is>
      </c>
      <c r="C1395" t="inlineStr">
        <is>
          <t>Body Mist</t>
        </is>
      </c>
      <c r="D1395" t="inlineStr">
        <is>
          <t>Guess</t>
        </is>
      </c>
      <c r="E1395" t="n">
        <v>7.37</v>
      </c>
      <c r="F1395" t="n">
        <v>1</v>
      </c>
      <c r="G1395" t="n">
        <v>4</v>
      </c>
      <c r="H1395" s="5">
        <f>HYPERLINK("https://api.qogita.com/variants/link/0085715327116/", "View Product")</f>
        <v/>
      </c>
    </row>
    <row r="1396">
      <c r="A1396" t="inlineStr">
        <is>
          <t>0085715327802</t>
        </is>
      </c>
      <c r="B1396" t="inlineStr">
        <is>
          <t>Guess Forever by Guess for Men 2.5 Oz EDT Spray</t>
        </is>
      </c>
      <c r="C1396" t="inlineStr">
        <is>
          <t>Eau De Toilette</t>
        </is>
      </c>
      <c r="D1396" t="inlineStr">
        <is>
          <t>Guess</t>
        </is>
      </c>
      <c r="E1396" t="n">
        <v>18.55</v>
      </c>
      <c r="F1396" t="n">
        <v>1</v>
      </c>
      <c r="G1396" t="n">
        <v>14</v>
      </c>
      <c r="H1396" s="5">
        <f>HYPERLINK("https://api.qogita.com/variants/link/0085715327802/", "View Product")</f>
        <v/>
      </c>
    </row>
    <row r="1397">
      <c r="A1397" t="inlineStr">
        <is>
          <t>0085715327901</t>
        </is>
      </c>
      <c r="B1397" t="inlineStr">
        <is>
          <t>Guess Forever by Guess</t>
        </is>
      </c>
      <c r="C1397" t="inlineStr">
        <is>
          <t>Eau De Toilette</t>
        </is>
      </c>
      <c r="D1397" t="inlineStr">
        <is>
          <t>Guess</t>
        </is>
      </c>
      <c r="E1397" t="n">
        <v>18.7</v>
      </c>
      <c r="F1397" t="n">
        <v>1</v>
      </c>
      <c r="G1397" t="n">
        <v>3</v>
      </c>
      <c r="H1397" s="5">
        <f>HYPERLINK("https://api.qogita.com/variants/link/0085715327901/", "View Product")</f>
        <v/>
      </c>
    </row>
    <row r="1398">
      <c r="A1398" t="inlineStr">
        <is>
          <t>0085715564016</t>
        </is>
      </c>
      <c r="B1398" t="inlineStr">
        <is>
          <t>OSCAR DE LA RENTA Bella Blanca EDP Citrus 50ml</t>
        </is>
      </c>
      <c r="C1398" t="inlineStr">
        <is>
          <t>Eau De Parfum</t>
        </is>
      </c>
      <c r="D1398" t="inlineStr">
        <is>
          <t>Oscar De La Renta</t>
        </is>
      </c>
      <c r="E1398" t="n">
        <v>22.54</v>
      </c>
      <c r="F1398" t="n">
        <v>1</v>
      </c>
      <c r="G1398" t="n">
        <v>4</v>
      </c>
      <c r="H1398" s="5">
        <f>HYPERLINK("https://api.qogita.com/variants/link/0085715564016/", "View Product")</f>
        <v/>
      </c>
    </row>
    <row r="1399">
      <c r="A1399" t="inlineStr">
        <is>
          <t>0085715564214</t>
        </is>
      </c>
      <c r="B1399" t="inlineStr">
        <is>
          <t>Oscar De La Renta Bella Rosa Eau De Parfum 50ml</t>
        </is>
      </c>
      <c r="C1399" t="inlineStr">
        <is>
          <t>Eau De Parfum</t>
        </is>
      </c>
      <c r="D1399" t="inlineStr">
        <is>
          <t>Oscar De La Renta</t>
        </is>
      </c>
      <c r="E1399" t="n">
        <v>28.88</v>
      </c>
      <c r="F1399" t="n">
        <v>1</v>
      </c>
      <c r="G1399" t="n">
        <v>5</v>
      </c>
      <c r="H1399" s="5">
        <f>HYPERLINK("https://api.qogita.com/variants/link/0085715564214/", "View Product")</f>
        <v/>
      </c>
    </row>
    <row r="1400">
      <c r="A1400" t="inlineStr">
        <is>
          <t>0085715566010</t>
        </is>
      </c>
      <c r="B1400" t="inlineStr">
        <is>
          <t>Oscar De La Renta Alibi Eau De Parfum 50ml</t>
        </is>
      </c>
      <c r="C1400" t="inlineStr">
        <is>
          <t>Eau De Parfum</t>
        </is>
      </c>
      <c r="D1400" t="inlineStr">
        <is>
          <t>Oscar De La Renta</t>
        </is>
      </c>
      <c r="E1400" t="n">
        <v>27</v>
      </c>
      <c r="F1400" t="n">
        <v>1</v>
      </c>
      <c r="G1400" t="n">
        <v>5</v>
      </c>
      <c r="H1400" s="5">
        <f>HYPERLINK("https://api.qogita.com/variants/link/0085715566010/", "View Product")</f>
        <v/>
      </c>
    </row>
    <row r="1401">
      <c r="A1401" t="inlineStr">
        <is>
          <t>0085715567000</t>
        </is>
      </c>
      <c r="B1401" t="inlineStr">
        <is>
          <t>Oscar De La Renta Eau de Toilette Spray 30ml</t>
        </is>
      </c>
      <c r="C1401" t="inlineStr">
        <is>
          <t>Eau De Toilette</t>
        </is>
      </c>
      <c r="D1401" t="inlineStr">
        <is>
          <t>Oscar De La Renta</t>
        </is>
      </c>
      <c r="E1401" t="n">
        <v>16.95</v>
      </c>
      <c r="F1401" t="n">
        <v>1</v>
      </c>
      <c r="G1401" t="n">
        <v>13</v>
      </c>
      <c r="H1401" s="5">
        <f>HYPERLINK("https://api.qogita.com/variants/link/0085715567000/", "View Product")</f>
        <v/>
      </c>
    </row>
    <row r="1402">
      <c r="A1402" t="inlineStr">
        <is>
          <t>0085715568298</t>
        </is>
      </c>
      <c r="B1402" t="inlineStr">
        <is>
          <t>Oscar De La Renta New York Eau De Parfum 50 Ml</t>
        </is>
      </c>
      <c r="C1402" t="inlineStr">
        <is>
          <t>Eau De Parfum</t>
        </is>
      </c>
      <c r="D1402" t="inlineStr">
        <is>
          <t>Oscar De La Renta</t>
        </is>
      </c>
      <c r="E1402" t="n">
        <v>27.71</v>
      </c>
      <c r="F1402" t="n">
        <v>1</v>
      </c>
      <c r="G1402" t="n">
        <v>27</v>
      </c>
      <c r="H1402" s="5">
        <f>HYPERLINK("https://api.qogita.com/variants/link/0085715568298/", "View Product")</f>
        <v/>
      </c>
    </row>
    <row r="1403">
      <c r="A1403" t="inlineStr">
        <is>
          <t>0085715569103</t>
        </is>
      </c>
      <c r="B1403" t="inlineStr">
        <is>
          <t>Bella Tropicale by Oscar De La Renta for Women 3.4 Oz EDP Spray</t>
        </is>
      </c>
      <c r="C1403" t="inlineStr">
        <is>
          <t>Eau De Parfum</t>
        </is>
      </c>
      <c r="D1403" t="inlineStr">
        <is>
          <t>Oscar De La Renta</t>
        </is>
      </c>
      <c r="E1403" t="n">
        <v>21.91</v>
      </c>
      <c r="F1403" t="n">
        <v>1</v>
      </c>
      <c r="G1403" t="n">
        <v>23</v>
      </c>
      <c r="H1403" s="5">
        <f>HYPERLINK("https://api.qogita.com/variants/link/0085715569103/", "View Product")</f>
        <v/>
      </c>
    </row>
    <row r="1404">
      <c r="A1404" t="inlineStr">
        <is>
          <t>0085715671400</t>
        </is>
      </c>
      <c r="B1404" t="inlineStr">
        <is>
          <t>Fcuk Forever by French Connection UK for Men 3.4 Oz EDT Spray 100ml</t>
        </is>
      </c>
      <c r="C1404" t="inlineStr">
        <is>
          <t>Eau De Toilette</t>
        </is>
      </c>
      <c r="D1404" t="inlineStr">
        <is>
          <t>French Connection</t>
        </is>
      </c>
      <c r="E1404" t="n">
        <v>15.1</v>
      </c>
      <c r="F1404" t="n">
        <v>1</v>
      </c>
      <c r="G1404" t="n">
        <v>5</v>
      </c>
      <c r="H1404" s="5">
        <f>HYPERLINK("https://api.qogita.com/variants/link/0085715671400/", "View Product")</f>
        <v/>
      </c>
    </row>
    <row r="1405">
      <c r="A1405" t="inlineStr">
        <is>
          <t>0085715801128</t>
        </is>
      </c>
      <c r="B1405" t="inlineStr">
        <is>
          <t>Dunhill Desire Red For Men Eau de Toilette 150ml</t>
        </is>
      </c>
      <c r="C1405" t="inlineStr">
        <is>
          <t>Eau De Toilette</t>
        </is>
      </c>
      <c r="D1405" t="inlineStr">
        <is>
          <t>Dunhill</t>
        </is>
      </c>
      <c r="E1405" t="n">
        <v>26.49</v>
      </c>
      <c r="F1405" t="n">
        <v>1</v>
      </c>
      <c r="G1405" t="n">
        <v>19</v>
      </c>
      <c r="H1405" s="5">
        <f>HYPERLINK("https://api.qogita.com/variants/link/0085715801128/", "View Product")</f>
        <v/>
      </c>
    </row>
    <row r="1406">
      <c r="A1406" t="inlineStr">
        <is>
          <t>0085715801982</t>
        </is>
      </c>
      <c r="B1406" t="inlineStr">
        <is>
          <t>Dunhill Desire Bronze EDT M 100 ml - Men's Fragrances</t>
        </is>
      </c>
      <c r="C1406" t="inlineStr">
        <is>
          <t>Eau De Toilette</t>
        </is>
      </c>
      <c r="D1406" t="inlineStr">
        <is>
          <t>Dunhill</t>
        </is>
      </c>
      <c r="E1406" t="n">
        <v>21.76</v>
      </c>
      <c r="F1406" t="n">
        <v>1</v>
      </c>
      <c r="G1406" t="n">
        <v>5</v>
      </c>
      <c r="H1406" s="5">
        <f>HYPERLINK("https://api.qogita.com/variants/link/0085715801982/", "View Product")</f>
        <v/>
      </c>
    </row>
    <row r="1407">
      <c r="A1407" t="inlineStr">
        <is>
          <t>0085715806406</t>
        </is>
      </c>
      <c r="B1407" t="inlineStr">
        <is>
          <t>Fcuk Friction For Her Eau De Parfum Spray 100ml</t>
        </is>
      </c>
      <c r="C1407" t="inlineStr">
        <is>
          <t>Eau De Parfum</t>
        </is>
      </c>
      <c r="D1407" t="inlineStr">
        <is>
          <t>Fcuk</t>
        </is>
      </c>
      <c r="E1407" t="n">
        <v>28.73</v>
      </c>
      <c r="F1407" t="n">
        <v>1</v>
      </c>
      <c r="G1407" t="n">
        <v>30</v>
      </c>
      <c r="H1407" s="5">
        <f>HYPERLINK("https://api.qogita.com/variants/link/0085715806406/", "View Product")</f>
        <v/>
      </c>
    </row>
    <row r="1408">
      <c r="A1408" t="inlineStr">
        <is>
          <t>0085715806413</t>
        </is>
      </c>
      <c r="B1408" t="inlineStr">
        <is>
          <t>Dunhill Icon Racing Eau De Parfum for Men 50ml</t>
        </is>
      </c>
      <c r="C1408" t="inlineStr">
        <is>
          <t>Eau De Parfum</t>
        </is>
      </c>
      <c r="D1408" t="inlineStr">
        <is>
          <t>Dunhill</t>
        </is>
      </c>
      <c r="E1408" t="n">
        <v>16.38</v>
      </c>
      <c r="F1408" t="n">
        <v>1</v>
      </c>
      <c r="G1408" t="n">
        <v>2</v>
      </c>
      <c r="H1408" s="5">
        <f>HYPERLINK("https://api.qogita.com/variants/link/0085715806413/", "View Product")</f>
        <v/>
      </c>
    </row>
    <row r="1409">
      <c r="A1409" t="inlineStr">
        <is>
          <t>0085715806611</t>
        </is>
      </c>
      <c r="B1409" t="inlineStr">
        <is>
          <t>Dunhill Arabian Desert Eau De Parfum  100ml</t>
        </is>
      </c>
      <c r="C1409" t="inlineStr">
        <is>
          <t>Eau De Parfum</t>
        </is>
      </c>
      <c r="D1409" t="inlineStr">
        <is>
          <t>Alfred Dunhill</t>
        </is>
      </c>
      <c r="E1409" t="n">
        <v>47.4</v>
      </c>
      <c r="F1409" t="n">
        <v>1</v>
      </c>
      <c r="G1409" t="n">
        <v>8</v>
      </c>
      <c r="H1409" s="5">
        <f>HYPERLINK("https://api.qogita.com/variants/link/0085715806611/", "View Product")</f>
        <v/>
      </c>
    </row>
    <row r="1410">
      <c r="A1410" t="inlineStr">
        <is>
          <t>0085715807588</t>
        </is>
      </c>
      <c r="B1410" t="inlineStr">
        <is>
          <t>Dunhill Signature Collection Nordic Fougere Eau de Parfum 100ml</t>
        </is>
      </c>
      <c r="C1410" t="inlineStr">
        <is>
          <t>Eau De Parfum</t>
        </is>
      </c>
      <c r="D1410" t="inlineStr">
        <is>
          <t>Alfred Dunhill</t>
        </is>
      </c>
      <c r="E1410" t="n">
        <v>43.96</v>
      </c>
      <c r="F1410" t="n">
        <v>1</v>
      </c>
      <c r="G1410" t="n">
        <v>3</v>
      </c>
      <c r="H1410" s="5">
        <f>HYPERLINK("https://api.qogita.com/variants/link/0085715807588/", "View Product")</f>
        <v/>
      </c>
    </row>
    <row r="1411">
      <c r="A1411" t="inlineStr">
        <is>
          <t>0085715807625</t>
        </is>
      </c>
      <c r="B1411" t="inlineStr">
        <is>
          <t>Dunhill Signature Collection Valensole Lavender Eau De Parfum Atomizer</t>
        </is>
      </c>
      <c r="C1411" t="inlineStr">
        <is>
          <t>Eau De Parfum</t>
        </is>
      </c>
      <c r="D1411" t="inlineStr">
        <is>
          <t>Dunhill</t>
        </is>
      </c>
      <c r="E1411" t="n">
        <v>43.17</v>
      </c>
      <c r="F1411" t="n">
        <v>1</v>
      </c>
      <c r="G1411" t="n">
        <v>5</v>
      </c>
      <c r="H1411" s="5">
        <f>HYPERLINK("https://api.qogita.com/variants/link/0085715807625/", "View Product")</f>
        <v/>
      </c>
    </row>
    <row r="1412">
      <c r="A1412" t="inlineStr">
        <is>
          <t>0085715807632</t>
        </is>
      </c>
      <c r="B1412" t="inlineStr">
        <is>
          <t>Dunhill Signature Collection Eau de Parfum Cologne Spray for Men 3.4 Fl. Oz. Amalfi Citrus</t>
        </is>
      </c>
      <c r="C1412" t="inlineStr">
        <is>
          <t>Eau De Parfum</t>
        </is>
      </c>
      <c r="D1412" t="inlineStr">
        <is>
          <t>Dunhill</t>
        </is>
      </c>
      <c r="E1412" t="n">
        <v>44.01</v>
      </c>
      <c r="F1412" t="n">
        <v>1</v>
      </c>
      <c r="G1412" t="n">
        <v>6</v>
      </c>
      <c r="H1412" s="5">
        <f>HYPERLINK("https://api.qogita.com/variants/link/0085715807632/", "View Product")</f>
        <v/>
      </c>
    </row>
    <row r="1413">
      <c r="A1413" t="inlineStr">
        <is>
          <t>0085715950116</t>
        </is>
      </c>
      <c r="B1413" t="inlineStr">
        <is>
          <t>DKNY Golden Delicious Eau De Parfum 100ml</t>
        </is>
      </c>
      <c r="C1413" t="inlineStr">
        <is>
          <t>Eau De Parfum</t>
        </is>
      </c>
      <c r="D1413" t="inlineStr">
        <is>
          <t>DKNY</t>
        </is>
      </c>
      <c r="E1413" t="n">
        <v>24.64</v>
      </c>
      <c r="F1413" t="n">
        <v>1</v>
      </c>
      <c r="G1413" t="n">
        <v>50</v>
      </c>
      <c r="H1413" s="5">
        <f>HYPERLINK("https://api.qogita.com/variants/link/0085715950116/", "View Product")</f>
        <v/>
      </c>
    </row>
    <row r="1414">
      <c r="A1414" t="inlineStr">
        <is>
          <t>0085715950178</t>
        </is>
      </c>
      <c r="B1414" t="inlineStr">
        <is>
          <t>DKNY Be Tempted Eau De Parfum 100ml</t>
        </is>
      </c>
      <c r="C1414" t="inlineStr">
        <is>
          <t>Eau De Parfum</t>
        </is>
      </c>
      <c r="D1414" t="inlineStr">
        <is>
          <t>DKNY</t>
        </is>
      </c>
      <c r="E1414" t="n">
        <v>24.04</v>
      </c>
      <c r="F1414" t="n">
        <v>1</v>
      </c>
      <c r="G1414" t="n">
        <v>39</v>
      </c>
      <c r="H1414" s="5">
        <f>HYPERLINK("https://api.qogita.com/variants/link/0085715950178/", "View Product")</f>
        <v/>
      </c>
    </row>
    <row r="1415">
      <c r="A1415" t="inlineStr">
        <is>
          <t>0085715950208</t>
        </is>
      </c>
      <c r="B1415" t="inlineStr">
        <is>
          <t>DKNY Be Tempted Eau So Blush Eau De Parfum 100ml</t>
        </is>
      </c>
      <c r="C1415" t="inlineStr">
        <is>
          <t>Eau De Parfum</t>
        </is>
      </c>
      <c r="D1415" t="inlineStr">
        <is>
          <t>DKNY</t>
        </is>
      </c>
      <c r="E1415" t="n">
        <v>27.66</v>
      </c>
      <c r="F1415" t="n">
        <v>1</v>
      </c>
      <c r="G1415" t="n">
        <v>34</v>
      </c>
      <c r="H1415" s="5">
        <f>HYPERLINK("https://api.qogita.com/variants/link/0085715950208/", "View Product")</f>
        <v/>
      </c>
    </row>
    <row r="1416">
      <c r="A1416" t="inlineStr">
        <is>
          <t>0085715950222</t>
        </is>
      </c>
      <c r="B1416" t="inlineStr">
        <is>
          <t>DKNY Nectar Love Eau De Parfum 100ml</t>
        </is>
      </c>
      <c r="C1416" t="inlineStr">
        <is>
          <t>Eau De Parfum</t>
        </is>
      </c>
      <c r="D1416" t="inlineStr">
        <is>
          <t>DKNY</t>
        </is>
      </c>
      <c r="E1416" t="n">
        <v>23.9</v>
      </c>
      <c r="F1416" t="n">
        <v>1</v>
      </c>
      <c r="G1416" t="n">
        <v>71</v>
      </c>
      <c r="H1416" s="5">
        <f>HYPERLINK("https://api.qogita.com/variants/link/0085715950222/", "View Product")</f>
        <v/>
      </c>
    </row>
    <row r="1417">
      <c r="A1417" t="inlineStr">
        <is>
          <t>0085715950277</t>
        </is>
      </c>
      <c r="B1417" t="inlineStr">
        <is>
          <t>DKNY Women Eau de Parfum 30ml</t>
        </is>
      </c>
      <c r="C1417" t="inlineStr">
        <is>
          <t>Eau De Parfum</t>
        </is>
      </c>
      <c r="D1417" t="inlineStr">
        <is>
          <t>DKNY</t>
        </is>
      </c>
      <c r="E1417" t="n">
        <v>20.08</v>
      </c>
      <c r="F1417" t="n">
        <v>1</v>
      </c>
      <c r="G1417" t="n">
        <v>119</v>
      </c>
      <c r="H1417" s="5">
        <f>HYPERLINK("https://api.qogita.com/variants/link/0085715950277/", "View Product")</f>
        <v/>
      </c>
    </row>
    <row r="1418">
      <c r="A1418" t="inlineStr">
        <is>
          <t>0085715950307</t>
        </is>
      </c>
      <c r="B1418" t="inlineStr">
        <is>
          <t>DKNY Women Eau de Toilette 30ml</t>
        </is>
      </c>
      <c r="C1418" t="inlineStr">
        <is>
          <t>Eau De Toilette</t>
        </is>
      </c>
      <c r="D1418" t="inlineStr">
        <is>
          <t>DKNY</t>
        </is>
      </c>
      <c r="E1418" t="n">
        <v>14.58</v>
      </c>
      <c r="F1418" t="n">
        <v>1</v>
      </c>
      <c r="G1418" t="n">
        <v>11</v>
      </c>
      <c r="H1418" s="5">
        <f>HYPERLINK("https://api.qogita.com/variants/link/0085715950307/", "View Product")</f>
        <v/>
      </c>
    </row>
    <row r="1419">
      <c r="A1419" t="inlineStr">
        <is>
          <t>0085715950321</t>
        </is>
      </c>
      <c r="B1419" t="inlineStr">
        <is>
          <t>DKNY Men Eau de Toilette 100ml</t>
        </is>
      </c>
      <c r="C1419" t="inlineStr">
        <is>
          <t>Eau De Toilette</t>
        </is>
      </c>
      <c r="D1419" t="inlineStr">
        <is>
          <t>DKNY</t>
        </is>
      </c>
      <c r="E1419" t="n">
        <v>23.86</v>
      </c>
      <c r="F1419" t="n">
        <v>1</v>
      </c>
      <c r="G1419" t="n">
        <v>8</v>
      </c>
      <c r="H1419" s="5">
        <f>HYPERLINK("https://api.qogita.com/variants/link/0085715950321/", "View Product")</f>
        <v/>
      </c>
    </row>
    <row r="1420">
      <c r="A1420" t="inlineStr">
        <is>
          <t>0085715950352</t>
        </is>
      </c>
      <c r="B1420" t="inlineStr">
        <is>
          <t>DKNY Be Delicious Pool Party Eau de Toilette Perfume Spray For Women Mai Tai 1.7 Fl. Oz. Amber Wood</t>
        </is>
      </c>
      <c r="C1420" t="inlineStr">
        <is>
          <t>Eau De Toilette</t>
        </is>
      </c>
      <c r="D1420" t="inlineStr">
        <is>
          <t>DKNY</t>
        </is>
      </c>
      <c r="E1420" t="n">
        <v>16.49</v>
      </c>
      <c r="F1420" t="n">
        <v>1</v>
      </c>
      <c r="G1420" t="n">
        <v>43</v>
      </c>
      <c r="H1420" s="5">
        <f>HYPERLINK("https://api.qogita.com/variants/link/0085715950352/", "View Product")</f>
        <v/>
      </c>
    </row>
    <row r="1421">
      <c r="A1421" t="inlineStr">
        <is>
          <t>0085715950437</t>
        </is>
      </c>
      <c r="B1421" t="inlineStr">
        <is>
          <t>DKNY Be Delicious Orchard St. Eau de Parfum 30ml</t>
        </is>
      </c>
      <c r="C1421" t="inlineStr">
        <is>
          <t>Eau De Parfum</t>
        </is>
      </c>
      <c r="D1421" t="inlineStr">
        <is>
          <t>DKNY</t>
        </is>
      </c>
      <c r="E1421" t="n">
        <v>19.02</v>
      </c>
      <c r="F1421" t="n">
        <v>1</v>
      </c>
      <c r="G1421" t="n">
        <v>32</v>
      </c>
      <c r="H1421" s="5">
        <f>HYPERLINK("https://api.qogita.com/variants/link/0085715950437/", "View Product")</f>
        <v/>
      </c>
    </row>
    <row r="1422">
      <c r="A1422" t="inlineStr">
        <is>
          <t>0085715950529</t>
        </is>
      </c>
      <c r="B1422" t="inlineStr">
        <is>
          <t>DKNY Golden Delicious Fragrance Mist For Women 8.4 fl oz</t>
        </is>
      </c>
      <c r="C1422" t="inlineStr">
        <is>
          <t>Eau De Toilette</t>
        </is>
      </c>
      <c r="D1422" t="inlineStr">
        <is>
          <t>DKNY</t>
        </is>
      </c>
      <c r="E1422" t="n">
        <v>10.23</v>
      </c>
      <c r="F1422" t="n">
        <v>1</v>
      </c>
      <c r="G1422" t="n">
        <v>62</v>
      </c>
      <c r="H1422" s="5">
        <f>HYPERLINK("https://api.qogita.com/variants/link/0085715950529/", "View Product")</f>
        <v/>
      </c>
    </row>
    <row r="1423">
      <c r="A1423" t="inlineStr">
        <is>
          <t>0085715952172</t>
        </is>
      </c>
      <c r="B1423" t="inlineStr">
        <is>
          <t>DKNY Be Delicious Gift Set 30ml Be Delicious EDP 30ml Fresh Blossom EDP</t>
        </is>
      </c>
      <c r="C1423" t="inlineStr">
        <is>
          <t>Fragrance Sets</t>
        </is>
      </c>
      <c r="D1423" t="inlineStr">
        <is>
          <t>DKNY</t>
        </is>
      </c>
      <c r="E1423" t="n">
        <v>40.19</v>
      </c>
      <c r="F1423" t="n">
        <v>1</v>
      </c>
      <c r="G1423" t="n">
        <v>15</v>
      </c>
      <c r="H1423" s="5">
        <f>HYPERLINK("https://api.qogita.com/variants/link/0085715952172/", "View Product")</f>
        <v/>
      </c>
    </row>
    <row r="1424">
      <c r="A1424" t="inlineStr">
        <is>
          <t>0085715952400</t>
        </is>
      </c>
      <c r="B1424" t="inlineStr">
        <is>
          <t>DKNY Be Delicious Ice Pop Eau De Parfum Spray for Women - Berry Bliss</t>
        </is>
      </c>
      <c r="C1424" t="inlineStr">
        <is>
          <t>Eau De Parfum</t>
        </is>
      </c>
      <c r="D1424" t="inlineStr">
        <is>
          <t>DKNY</t>
        </is>
      </c>
      <c r="E1424" t="n">
        <v>28.59</v>
      </c>
      <c r="F1424" t="n">
        <v>1</v>
      </c>
      <c r="G1424" t="n">
        <v>12</v>
      </c>
      <c r="H1424" s="5">
        <f>HYPERLINK("https://api.qogita.com/variants/link/0085715952400/", "View Product")</f>
        <v/>
      </c>
    </row>
    <row r="1425">
      <c r="A1425" t="inlineStr">
        <is>
          <t>0085715962096</t>
        </is>
      </c>
      <c r="B1425" t="inlineStr">
        <is>
          <t>Donna Karan Be Delicious Ice Pop Very Cherry Fragrance Mist 250ml</t>
        </is>
      </c>
      <c r="C1425" t="inlineStr">
        <is>
          <t>Eau De Toilette</t>
        </is>
      </c>
      <c r="D1425" t="inlineStr">
        <is>
          <t>DKNY</t>
        </is>
      </c>
      <c r="E1425" t="n">
        <v>10.23</v>
      </c>
      <c r="F1425" t="n">
        <v>1</v>
      </c>
      <c r="G1425" t="n">
        <v>32</v>
      </c>
      <c r="H1425" s="5">
        <f>HYPERLINK("https://api.qogita.com/variants/link/0085715962096/", "View Product")</f>
        <v/>
      </c>
    </row>
    <row r="1426">
      <c r="A1426" t="inlineStr">
        <is>
          <t>0085805029852</t>
        </is>
      </c>
      <c r="B1426" t="inlineStr">
        <is>
          <t>Elizabeth Arden Honey Drops Body Cream Green Tea 384g</t>
        </is>
      </c>
      <c r="C1426" t="inlineStr">
        <is>
          <t>Body Lotion</t>
        </is>
      </c>
      <c r="D1426" t="inlineStr">
        <is>
          <t>Elizabeth Arden</t>
        </is>
      </c>
      <c r="E1426" t="n">
        <v>10.67</v>
      </c>
      <c r="F1426" t="n">
        <v>1</v>
      </c>
      <c r="G1426" t="n">
        <v>154</v>
      </c>
      <c r="H1426" s="5">
        <f>HYPERLINK("https://api.qogita.com/variants/link/0085805029852/", "View Product")</f>
        <v/>
      </c>
    </row>
    <row r="1427">
      <c r="A1427" t="inlineStr">
        <is>
          <t>0085805032999</t>
        </is>
      </c>
      <c r="B1427" t="inlineStr">
        <is>
          <t>Elizabeth Arden Eight Hour Cream Intensive Moisturizing Hand Treatment 75ml</t>
        </is>
      </c>
      <c r="C1427" t="inlineStr">
        <is>
          <t>Hand Cream</t>
        </is>
      </c>
      <c r="D1427" t="inlineStr">
        <is>
          <t>Elizabeth Arden</t>
        </is>
      </c>
      <c r="E1427" t="n">
        <v>11.63</v>
      </c>
      <c r="F1427" t="n">
        <v>1</v>
      </c>
      <c r="G1427" t="n">
        <v>5</v>
      </c>
      <c r="H1427" s="5">
        <f>HYPERLINK("https://api.qogita.com/variants/link/0085805032999/", "View Product")</f>
        <v/>
      </c>
    </row>
    <row r="1428">
      <c r="A1428" t="inlineStr">
        <is>
          <t>0085805069308</t>
        </is>
      </c>
      <c r="B1428" t="inlineStr">
        <is>
          <t>Elizabeth Arden Green Tea Tropical Eau De Toilette Spray 100ml 3.3oz</t>
        </is>
      </c>
      <c r="C1428" t="inlineStr">
        <is>
          <t>Eau De Toilette</t>
        </is>
      </c>
      <c r="D1428" t="inlineStr">
        <is>
          <t>Elizabeth Arden</t>
        </is>
      </c>
      <c r="E1428" t="n">
        <v>9.43</v>
      </c>
      <c r="F1428" t="n">
        <v>1</v>
      </c>
      <c r="G1428" t="n">
        <v>13</v>
      </c>
      <c r="H1428" s="5">
        <f>HYPERLINK("https://api.qogita.com/variants/link/0085805069308/", "View Product")</f>
        <v/>
      </c>
    </row>
    <row r="1429">
      <c r="A1429" t="inlineStr">
        <is>
          <t>0085805071370</t>
        </is>
      </c>
      <c r="B1429" t="inlineStr">
        <is>
          <t>Elizabeth Arden Green Tea Refreshing Body Lotion 500ml</t>
        </is>
      </c>
      <c r="C1429" t="inlineStr">
        <is>
          <t>Body Lotion</t>
        </is>
      </c>
      <c r="D1429" t="inlineStr">
        <is>
          <t>Elizabeth Arden</t>
        </is>
      </c>
      <c r="E1429" t="n">
        <v>9.27</v>
      </c>
      <c r="F1429" t="n">
        <v>1</v>
      </c>
      <c r="G1429" t="n">
        <v>131</v>
      </c>
      <c r="H1429" s="5">
        <f>HYPERLINK("https://api.qogita.com/variants/link/0085805071370/", "View Product")</f>
        <v/>
      </c>
    </row>
    <row r="1430">
      <c r="A1430" t="inlineStr">
        <is>
          <t>0085805127107</t>
        </is>
      </c>
      <c r="B1430" t="inlineStr">
        <is>
          <t>Elizabeth Arden 50Ml Ceramide Premiere Intense Moisture And Renewal Overnight</t>
        </is>
      </c>
      <c r="C1430" t="inlineStr">
        <is>
          <t>Night Cream</t>
        </is>
      </c>
      <c r="D1430" t="inlineStr">
        <is>
          <t>Elizabeth Arden</t>
        </is>
      </c>
      <c r="E1430" t="n">
        <v>49.36</v>
      </c>
      <c r="F1430" t="n">
        <v>1</v>
      </c>
      <c r="G1430" t="n">
        <v>15</v>
      </c>
      <c r="H1430" s="5">
        <f>HYPERLINK("https://api.qogita.com/variants/link/0085805127107/", "View Product")</f>
        <v/>
      </c>
    </row>
    <row r="1431">
      <c r="A1431" t="inlineStr">
        <is>
          <t>0085805151768</t>
        </is>
      </c>
      <c r="B1431" t="inlineStr">
        <is>
          <t>Elizabeth Arden Prevage Eyelash and Eyebrow Serum 4ml</t>
        </is>
      </c>
      <c r="C1431" t="inlineStr">
        <is>
          <t>Eyelash Serum &amp; Eyebrow Serum</t>
        </is>
      </c>
      <c r="D1431" t="inlineStr">
        <is>
          <t>Elizabeth Arden</t>
        </is>
      </c>
      <c r="E1431" t="n">
        <v>45.56</v>
      </c>
      <c r="F1431" t="n">
        <v>1</v>
      </c>
      <c r="G1431" t="n">
        <v>8</v>
      </c>
      <c r="H1431" s="5">
        <f>HYPERLINK("https://api.qogita.com/variants/link/0085805151768/", "View Product")</f>
        <v/>
      </c>
    </row>
    <row r="1432">
      <c r="A1432" t="inlineStr">
        <is>
          <t>0085805152147</t>
        </is>
      </c>
      <c r="B1432" t="inlineStr">
        <is>
          <t>Elizabeth Arden Eight Hour Cream Nourishing Lip Balm Spf 20 14.8ml</t>
        </is>
      </c>
      <c r="C1432" t="inlineStr">
        <is>
          <t>Lip Balm</t>
        </is>
      </c>
      <c r="D1432" t="inlineStr">
        <is>
          <t>Elizabeth Arden</t>
        </is>
      </c>
      <c r="E1432" t="n">
        <v>11.29</v>
      </c>
      <c r="F1432" t="n">
        <v>1</v>
      </c>
      <c r="G1432" t="n">
        <v>29</v>
      </c>
      <c r="H1432" s="5">
        <f>HYPERLINK("https://api.qogita.com/variants/link/0085805152147/", "View Product")</f>
        <v/>
      </c>
    </row>
    <row r="1433">
      <c r="A1433" t="inlineStr">
        <is>
          <t>0085805188016</t>
        </is>
      </c>
      <c r="B1433" t="inlineStr">
        <is>
          <t>Elizabeth Arden Eau De Toilette for Women 100ml</t>
        </is>
      </c>
      <c r="C1433" t="inlineStr">
        <is>
          <t>Eau De Toilette</t>
        </is>
      </c>
      <c r="D1433" t="inlineStr">
        <is>
          <t>Elizabeth Arden</t>
        </is>
      </c>
      <c r="E1433" t="n">
        <v>10.07</v>
      </c>
      <c r="F1433" t="n">
        <v>1</v>
      </c>
      <c r="G1433" t="n">
        <v>5</v>
      </c>
      <c r="H1433" s="5">
        <f>HYPERLINK("https://api.qogita.com/variants/link/0085805188016/", "View Product")</f>
        <v/>
      </c>
    </row>
    <row r="1434">
      <c r="A1434" t="inlineStr">
        <is>
          <t>0085805195984</t>
        </is>
      </c>
      <c r="B1434" t="inlineStr">
        <is>
          <t>Elizabeth Arden Visible Difference Special Moisture Formula for Body Care</t>
        </is>
      </c>
      <c r="C1434" t="inlineStr">
        <is>
          <t>Body Lotion</t>
        </is>
      </c>
      <c r="D1434" t="inlineStr">
        <is>
          <t>Elizabeth Arden</t>
        </is>
      </c>
      <c r="E1434" t="n">
        <v>13.62</v>
      </c>
      <c r="F1434" t="n">
        <v>1</v>
      </c>
      <c r="G1434" t="n">
        <v>18</v>
      </c>
      <c r="H1434" s="5">
        <f>HYPERLINK("https://api.qogita.com/variants/link/0085805195984/", "View Product")</f>
        <v/>
      </c>
    </row>
    <row r="1435">
      <c r="A1435" t="inlineStr">
        <is>
          <t>0085805210465</t>
        </is>
      </c>
      <c r="B1435" t="inlineStr">
        <is>
          <t>Elizabeth Arden White Tea Eau de Parfum 50ml</t>
        </is>
      </c>
      <c r="C1435" t="inlineStr">
        <is>
          <t>Eau De Parfum</t>
        </is>
      </c>
      <c r="D1435" t="inlineStr">
        <is>
          <t>Elizabeth Arden</t>
        </is>
      </c>
      <c r="E1435" t="n">
        <v>17.6</v>
      </c>
      <c r="F1435" t="n">
        <v>1</v>
      </c>
      <c r="G1435" t="n">
        <v>23</v>
      </c>
      <c r="H1435" s="5">
        <f>HYPERLINK("https://api.qogita.com/variants/link/0085805210465/", "View Product")</f>
        <v/>
      </c>
    </row>
    <row r="1436">
      <c r="A1436" t="inlineStr">
        <is>
          <t>0085805210472</t>
        </is>
      </c>
      <c r="B1436" t="inlineStr">
        <is>
          <t>Elizabeth Arden White Tea Eau De Parfum 30ml</t>
        </is>
      </c>
      <c r="C1436" t="inlineStr">
        <is>
          <t>Eau De Parfum</t>
        </is>
      </c>
      <c r="D1436" t="inlineStr">
        <is>
          <t>Elizabeth Arden</t>
        </is>
      </c>
      <c r="E1436" t="n">
        <v>14.98</v>
      </c>
      <c r="F1436" t="n">
        <v>1</v>
      </c>
      <c r="G1436" t="n">
        <v>6</v>
      </c>
      <c r="H1436" s="5">
        <f>HYPERLINK("https://api.qogita.com/variants/link/0085805210472/", "View Product")</f>
        <v/>
      </c>
    </row>
    <row r="1437">
      <c r="A1437" t="inlineStr">
        <is>
          <t>0085805211554</t>
        </is>
      </c>
      <c r="B1437" t="inlineStr">
        <is>
          <t>Elizabeth Arden Advanced Ceramide Capsules Strengthening &amp; Refining Serum 30 pcs</t>
        </is>
      </c>
      <c r="C1437" t="inlineStr">
        <is>
          <t>Anti-Aging Serum</t>
        </is>
      </c>
      <c r="D1437" t="inlineStr">
        <is>
          <t>Elizabeth Arden</t>
        </is>
      </c>
      <c r="E1437" t="n">
        <v>21.81</v>
      </c>
      <c r="F1437" t="n">
        <v>1</v>
      </c>
      <c r="G1437" t="n">
        <v>48</v>
      </c>
      <c r="H1437" s="5">
        <f>HYPERLINK("https://api.qogita.com/variants/link/0085805211554/", "View Product")</f>
        <v/>
      </c>
    </row>
    <row r="1438">
      <c r="A1438" t="inlineStr">
        <is>
          <t>0085805213312</t>
        </is>
      </c>
      <c r="B1438" t="inlineStr">
        <is>
          <t>Elizabeth Arden Flawless Start instant perfecting primer Foundation makeup</t>
        </is>
      </c>
      <c r="C1438" t="inlineStr">
        <is>
          <t>Primer</t>
        </is>
      </c>
      <c r="D1438" t="inlineStr">
        <is>
          <t>Elizabeth Arden</t>
        </is>
      </c>
      <c r="E1438" t="n">
        <v>13.6</v>
      </c>
      <c r="F1438" t="n">
        <v>1</v>
      </c>
      <c r="G1438" t="n">
        <v>14</v>
      </c>
      <c r="H1438" s="5">
        <f>HYPERLINK("https://api.qogita.com/variants/link/0085805213312/", "View Product")</f>
        <v/>
      </c>
    </row>
    <row r="1439">
      <c r="A1439" t="inlineStr">
        <is>
          <t>0085805220778</t>
        </is>
      </c>
      <c r="B1439" t="inlineStr">
        <is>
          <t>Elizabeth Arden Visible Difference HydraGel Moisturizer Cream 100ml - NEW</t>
        </is>
      </c>
      <c r="C1439" t="inlineStr">
        <is>
          <t>Face Cream</t>
        </is>
      </c>
      <c r="D1439" t="inlineStr">
        <is>
          <t>Elizabeth Arden</t>
        </is>
      </c>
      <c r="E1439" t="n">
        <v>20.22</v>
      </c>
      <c r="F1439" t="n">
        <v>1</v>
      </c>
      <c r="G1439" t="n">
        <v>2</v>
      </c>
      <c r="H1439" s="5">
        <f>HYPERLINK("https://api.qogita.com/variants/link/0085805220778/", "View Product")</f>
        <v/>
      </c>
    </row>
    <row r="1440">
      <c r="A1440" t="inlineStr">
        <is>
          <t>0085805224769</t>
        </is>
      </c>
      <c r="B1440" t="inlineStr">
        <is>
          <t>Elizabeth Arden Green Tea Women's Eau de Toilette</t>
        </is>
      </c>
      <c r="C1440" t="inlineStr">
        <is>
          <t>Eau De Toilette</t>
        </is>
      </c>
      <c r="D1440" t="inlineStr">
        <is>
          <t>Elizabeth Arden</t>
        </is>
      </c>
      <c r="E1440" t="n">
        <v>19.42</v>
      </c>
      <c r="F1440" t="n">
        <v>1</v>
      </c>
      <c r="G1440" t="n">
        <v>3</v>
      </c>
      <c r="H1440" s="5">
        <f>HYPERLINK("https://api.qogita.com/variants/link/0085805224769/", "View Product")</f>
        <v/>
      </c>
    </row>
    <row r="1441">
      <c r="A1441" t="inlineStr">
        <is>
          <t>0085805232030</t>
        </is>
      </c>
      <c r="B1441" t="inlineStr">
        <is>
          <t>Elizabeth Arden Hyaluronic Acid Ceramide Capsules Hydra-Plumping Serum 30</t>
        </is>
      </c>
      <c r="C1441" t="inlineStr">
        <is>
          <t>Hyaluronic Acid Serum</t>
        </is>
      </c>
      <c r="D1441" t="inlineStr">
        <is>
          <t>Elizabeth Arden</t>
        </is>
      </c>
      <c r="E1441" t="n">
        <v>23.64</v>
      </c>
      <c r="F1441" t="n">
        <v>1</v>
      </c>
      <c r="G1441" t="n">
        <v>16</v>
      </c>
      <c r="H1441" s="5">
        <f>HYPERLINK("https://api.qogita.com/variants/link/0085805232030/", "View Product")</f>
        <v/>
      </c>
    </row>
    <row r="1442">
      <c r="A1442" t="inlineStr">
        <is>
          <t>0085805238421</t>
        </is>
      </c>
      <c r="B1442" t="inlineStr">
        <is>
          <t>Elizabeth Arden Ceramide Micro Capsule Skin Replenishing Essence 90ml</t>
        </is>
      </c>
      <c r="C1442" t="inlineStr">
        <is>
          <t>Hydrating Serum</t>
        </is>
      </c>
      <c r="D1442" t="inlineStr">
        <is>
          <t>Elizabeth Arden</t>
        </is>
      </c>
      <c r="E1442" t="n">
        <v>28.33</v>
      </c>
      <c r="F1442" t="n">
        <v>1</v>
      </c>
      <c r="G1442" t="n">
        <v>2</v>
      </c>
      <c r="H1442" s="5">
        <f>HYPERLINK("https://api.qogita.com/variants/link/0085805238421/", "View Product")</f>
        <v/>
      </c>
    </row>
    <row r="1443">
      <c r="A1443" t="inlineStr">
        <is>
          <t>0085805239411</t>
        </is>
      </c>
      <c r="B1443" t="inlineStr">
        <is>
          <t>Elizabeth Arden Advanced Ceramide Capsules Face And Eye Care Gift Set For Mature Skin</t>
        </is>
      </c>
      <c r="C1443" t="inlineStr">
        <is>
          <t>Facial Care Sets</t>
        </is>
      </c>
      <c r="D1443" t="inlineStr">
        <is>
          <t>Elizabeth Arden</t>
        </is>
      </c>
      <c r="E1443" t="n">
        <v>48.39</v>
      </c>
      <c r="F1443" t="n">
        <v>1</v>
      </c>
      <c r="G1443" t="n">
        <v>7</v>
      </c>
      <c r="H1443" s="5">
        <f>HYPERLINK("https://api.qogita.com/variants/link/0085805239411/", "View Product")</f>
        <v/>
      </c>
    </row>
    <row r="1444">
      <c r="A1444" t="inlineStr">
        <is>
          <t>0085805242893</t>
        </is>
      </c>
      <c r="B1444" t="inlineStr">
        <is>
          <t>White Tea Skin Solutions Brightening Eye Gel 15ml</t>
        </is>
      </c>
      <c r="C1444" t="inlineStr">
        <is>
          <t>Eye Gel</t>
        </is>
      </c>
      <c r="D1444" t="inlineStr">
        <is>
          <t>Elizabeth Arden</t>
        </is>
      </c>
      <c r="E1444" t="n">
        <v>9.99</v>
      </c>
      <c r="F1444" t="n">
        <v>1</v>
      </c>
      <c r="G1444" t="n">
        <v>46</v>
      </c>
      <c r="H1444" s="5">
        <f>HYPERLINK("https://api.qogita.com/variants/link/0085805242893/", "View Product")</f>
        <v/>
      </c>
    </row>
    <row r="1445">
      <c r="A1445" t="inlineStr">
        <is>
          <t>0085805251642</t>
        </is>
      </c>
      <c r="B1445" t="inlineStr">
        <is>
          <t>Elizabeth Arden Red Door Perfumed Body Lotion 200ml</t>
        </is>
      </c>
      <c r="C1445" t="inlineStr">
        <is>
          <t>Body Lotion</t>
        </is>
      </c>
      <c r="D1445" t="inlineStr">
        <is>
          <t>Elizabeth Arden</t>
        </is>
      </c>
      <c r="E1445" t="n">
        <v>12.9</v>
      </c>
      <c r="F1445" t="n">
        <v>1</v>
      </c>
      <c r="G1445" t="n">
        <v>14</v>
      </c>
      <c r="H1445" s="5">
        <f>HYPERLINK("https://api.qogita.com/variants/link/0085805251642/", "View Product")</f>
        <v/>
      </c>
    </row>
    <row r="1446">
      <c r="A1446" t="inlineStr">
        <is>
          <t>0085805254476</t>
        </is>
      </c>
      <c r="B1446" t="inlineStr">
        <is>
          <t>Elizabeth Arden Green Tea Citron Freesia Eau de Toilette Spray 100ml</t>
        </is>
      </c>
      <c r="C1446" t="inlineStr">
        <is>
          <t>Eau De Toilette</t>
        </is>
      </c>
      <c r="D1446" t="inlineStr">
        <is>
          <t>Elizabeth Arden</t>
        </is>
      </c>
      <c r="E1446" t="n">
        <v>9.050000000000001</v>
      </c>
      <c r="F1446" t="n">
        <v>1</v>
      </c>
      <c r="G1446" t="n">
        <v>17</v>
      </c>
      <c r="H1446" s="5">
        <f>HYPERLINK("https://api.qogita.com/variants/link/0085805254476/", "View Product")</f>
        <v/>
      </c>
    </row>
    <row r="1447">
      <c r="A1447" t="inlineStr">
        <is>
          <t>0085805255657</t>
        </is>
      </c>
      <c r="B1447" t="inlineStr">
        <is>
          <t>Elizabeth Arden Eight Hour HydraPlay Skin Perfecting Hydrating Face Daily Moisturizer 1.5 oz</t>
        </is>
      </c>
      <c r="C1447" t="inlineStr">
        <is>
          <t>Day Cream</t>
        </is>
      </c>
      <c r="D1447" t="inlineStr">
        <is>
          <t>Elizabeth Arden</t>
        </is>
      </c>
      <c r="E1447" t="n">
        <v>22.93</v>
      </c>
      <c r="F1447" t="n">
        <v>1</v>
      </c>
      <c r="G1447" t="n">
        <v>13</v>
      </c>
      <c r="H1447" s="5">
        <f>HYPERLINK("https://api.qogita.com/variants/link/0085805255657/", "View Product")</f>
        <v/>
      </c>
    </row>
    <row r="1448">
      <c r="A1448" t="inlineStr">
        <is>
          <t>0085805256388</t>
        </is>
      </c>
      <c r="B1448" t="inlineStr">
        <is>
          <t>Elizabeth Arden 5th Avenue NYC Pulse Eau De Parfum Spray 75ml Floral</t>
        </is>
      </c>
      <c r="C1448" t="inlineStr">
        <is>
          <t>Eau De Parfum</t>
        </is>
      </c>
      <c r="D1448" t="inlineStr">
        <is>
          <t>Elizabeth Arden</t>
        </is>
      </c>
      <c r="E1448" t="n">
        <v>9.34</v>
      </c>
      <c r="F1448" t="n">
        <v>1</v>
      </c>
      <c r="G1448" t="n">
        <v>948</v>
      </c>
      <c r="H1448" s="5">
        <f>HYPERLINK("https://api.qogita.com/variants/link/0085805256388/", "View Product")</f>
        <v/>
      </c>
    </row>
    <row r="1449">
      <c r="A1449" t="inlineStr">
        <is>
          <t>0085805259198</t>
        </is>
      </c>
      <c r="B1449" t="inlineStr">
        <is>
          <t>Elizabeth Arden Eight Hour Daily Hydrating Body Lotion 12.85 Fl Oz</t>
        </is>
      </c>
      <c r="C1449" t="inlineStr">
        <is>
          <t>Body Lotion</t>
        </is>
      </c>
      <c r="D1449" t="inlineStr">
        <is>
          <t>Elizabeth Arden</t>
        </is>
      </c>
      <c r="E1449" t="n">
        <v>14.06</v>
      </c>
      <c r="F1449" t="n">
        <v>1</v>
      </c>
      <c r="G1449" t="n">
        <v>21</v>
      </c>
      <c r="H1449" s="5">
        <f>HYPERLINK("https://api.qogita.com/variants/link/0085805259198/", "View Product")</f>
        <v/>
      </c>
    </row>
    <row r="1450">
      <c r="A1450" t="inlineStr">
        <is>
          <t>0085805261085</t>
        </is>
      </c>
      <c r="B1450" t="inlineStr">
        <is>
          <t>Elizabeth Arden Always Red Femme Eau de Toilette 100ml Floral Fragrance Luxury Perfume for Women</t>
        </is>
      </c>
      <c r="C1450" t="inlineStr">
        <is>
          <t>Eau De Toilette</t>
        </is>
      </c>
      <c r="D1450" t="inlineStr">
        <is>
          <t>Elizabeth Arden</t>
        </is>
      </c>
      <c r="E1450" t="n">
        <v>20.34</v>
      </c>
      <c r="F1450" t="n">
        <v>1</v>
      </c>
      <c r="G1450" t="n">
        <v>14</v>
      </c>
      <c r="H1450" s="5">
        <f>HYPERLINK("https://api.qogita.com/variants/link/0085805261085/", "View Product")</f>
        <v/>
      </c>
    </row>
    <row r="1451">
      <c r="A1451" t="inlineStr">
        <is>
          <t>0085805304706</t>
        </is>
      </c>
      <c r="B1451" t="inlineStr">
        <is>
          <t>Elizabeth Arden Ceramide Purifying Toner 200ml</t>
        </is>
      </c>
      <c r="C1451" t="inlineStr">
        <is>
          <t>Facial Cleansing Sets</t>
        </is>
      </c>
      <c r="D1451" t="inlineStr">
        <is>
          <t>Elizabeth Arden</t>
        </is>
      </c>
      <c r="E1451" t="n">
        <v>20.28</v>
      </c>
      <c r="F1451" t="n">
        <v>1</v>
      </c>
      <c r="G1451" t="n">
        <v>18</v>
      </c>
      <c r="H1451" s="5">
        <f>HYPERLINK("https://api.qogita.com/variants/link/0085805304706/", "View Product")</f>
        <v/>
      </c>
    </row>
    <row r="1452">
      <c r="A1452" t="inlineStr">
        <is>
          <t>0085805375003</t>
        </is>
      </c>
      <c r="B1452" t="inlineStr">
        <is>
          <t>Elizabeth Arden POWER IN NUMBERS Prevage 2.0 Anti-Aging Daily Serum - Worth £241.35</t>
        </is>
      </c>
      <c r="C1452" t="inlineStr">
        <is>
          <t>Anti-Aging Serum</t>
        </is>
      </c>
      <c r="D1452" t="inlineStr">
        <is>
          <t>Elizabeth Arden</t>
        </is>
      </c>
      <c r="E1452" t="n">
        <v>131.18</v>
      </c>
      <c r="F1452" t="n">
        <v>1</v>
      </c>
      <c r="G1452" t="n">
        <v>5</v>
      </c>
      <c r="H1452" s="5">
        <f>HYPERLINK("https://api.qogita.com/variants/link/0085805375003/", "View Product")</f>
        <v/>
      </c>
    </row>
    <row r="1453">
      <c r="A1453" t="inlineStr">
        <is>
          <t>0085805378639</t>
        </is>
      </c>
      <c r="B1453" t="inlineStr">
        <is>
          <t>Elizabeth Arden 5th Avenue NYC Love 125ml Eau de Parfum for Women</t>
        </is>
      </c>
      <c r="C1453" t="inlineStr">
        <is>
          <t>Eau De Parfum</t>
        </is>
      </c>
      <c r="D1453" t="inlineStr">
        <is>
          <t>Elizabeth Arden</t>
        </is>
      </c>
      <c r="E1453" t="n">
        <v>12.84</v>
      </c>
      <c r="F1453" t="n">
        <v>1</v>
      </c>
      <c r="G1453" t="n">
        <v>22</v>
      </c>
      <c r="H1453" s="5">
        <f>HYPERLINK("https://api.qogita.com/variants/link/0085805378639/", "View Product")</f>
        <v/>
      </c>
    </row>
    <row r="1454">
      <c r="A1454" t="inlineStr">
        <is>
          <t>0085805390402</t>
        </is>
      </c>
      <c r="B1454" t="inlineStr">
        <is>
          <t>Elizabeth Arden Fifth Avenue Eau De Parfum Spray 30ml</t>
        </is>
      </c>
      <c r="C1454" t="inlineStr">
        <is>
          <t>Eau De Parfum</t>
        </is>
      </c>
      <c r="D1454" t="inlineStr">
        <is>
          <t>Elizabeth Arden</t>
        </is>
      </c>
      <c r="E1454" t="n">
        <v>9.07</v>
      </c>
      <c r="F1454" t="n">
        <v>1</v>
      </c>
      <c r="G1454" t="n">
        <v>378</v>
      </c>
      <c r="H1454" s="5">
        <f>HYPERLINK("https://api.qogita.com/variants/link/0085805390402/", "View Product")</f>
        <v/>
      </c>
    </row>
    <row r="1455">
      <c r="A1455" t="inlineStr">
        <is>
          <t>0085805410995</t>
        </is>
      </c>
      <c r="B1455" t="inlineStr">
        <is>
          <t>Elizabeth Arden Advanced Ceramide Lift and Firm Eye Cream 15ml</t>
        </is>
      </c>
      <c r="C1455" t="inlineStr">
        <is>
          <t>Eye Cream</t>
        </is>
      </c>
      <c r="D1455" t="inlineStr">
        <is>
          <t>Elizabeth Arden</t>
        </is>
      </c>
      <c r="E1455" t="n">
        <v>27.77</v>
      </c>
      <c r="F1455" t="n">
        <v>1</v>
      </c>
      <c r="G1455" t="n">
        <v>2</v>
      </c>
      <c r="H1455" s="5">
        <f>HYPERLINK("https://api.qogita.com/variants/link/0085805410995/", "View Product")</f>
        <v/>
      </c>
    </row>
    <row r="1456">
      <c r="A1456" t="inlineStr">
        <is>
          <t>0085805516529</t>
        </is>
      </c>
      <c r="B1456" t="inlineStr">
        <is>
          <t>Elizabeth Arden Eight Hour Targeted Sun Defense Stick SPF50 Sun Protection 7ml</t>
        </is>
      </c>
      <c r="C1456" t="inlineStr">
        <is>
          <t>Body Sun Protection</t>
        </is>
      </c>
      <c r="D1456" t="inlineStr">
        <is>
          <t>Elizabeth Arden</t>
        </is>
      </c>
      <c r="E1456" t="n">
        <v>14.54</v>
      </c>
      <c r="F1456" t="n">
        <v>1</v>
      </c>
      <c r="G1456" t="n">
        <v>2</v>
      </c>
      <c r="H1456" s="5">
        <f>HYPERLINK("https://api.qogita.com/variants/link/0085805516529/", "View Product")</f>
        <v/>
      </c>
    </row>
    <row r="1457">
      <c r="A1457" t="inlineStr">
        <is>
          <t>0085805525255</t>
        </is>
      </c>
      <c r="B1457" t="inlineStr">
        <is>
          <t>Elizabeth Arden Retinol HPR Ceramide Capsules Serum Accelerated Regeneration</t>
        </is>
      </c>
      <c r="C1457" t="inlineStr">
        <is>
          <t>Anti-Aging Serum</t>
        </is>
      </c>
      <c r="D1457" t="inlineStr">
        <is>
          <t>Elizabeth Arden</t>
        </is>
      </c>
      <c r="E1457" t="n">
        <v>55.73</v>
      </c>
      <c r="F1457" t="n">
        <v>1</v>
      </c>
      <c r="G1457" t="n">
        <v>26</v>
      </c>
      <c r="H1457" s="5">
        <f>HYPERLINK("https://api.qogita.com/variants/link/0085805525255/", "View Product")</f>
        <v/>
      </c>
    </row>
    <row r="1458">
      <c r="A1458" t="inlineStr">
        <is>
          <t>0085805525279</t>
        </is>
      </c>
      <c r="B1458" t="inlineStr">
        <is>
          <t>Elizabeth Arden Retinol + HPR, Ceramide and Retinol Serum Capsules Reduce Expression Lines and Wrinkles Improve Skin Firmness Single Dose</t>
        </is>
      </c>
      <c r="C1458" t="inlineStr">
        <is>
          <t>Anti-Aging Serum</t>
        </is>
      </c>
      <c r="D1458" t="inlineStr">
        <is>
          <t>Elizabeth Arden</t>
        </is>
      </c>
      <c r="E1458" t="n">
        <v>61.96</v>
      </c>
      <c r="F1458" t="n">
        <v>1</v>
      </c>
      <c r="G1458" t="n">
        <v>10</v>
      </c>
      <c r="H1458" s="5">
        <f>HYPERLINK("https://api.qogita.com/variants/link/0085805525279/", "View Product")</f>
        <v/>
      </c>
    </row>
    <row r="1459">
      <c r="A1459" t="inlineStr">
        <is>
          <t>0085805530129</t>
        </is>
      </c>
      <c r="B1459" t="inlineStr">
        <is>
          <t>Elizabeth Arden Eight Hour Cream Lip Protect Trio Lip Balm Set</t>
        </is>
      </c>
      <c r="C1459" t="inlineStr">
        <is>
          <t>Medicated Treatments</t>
        </is>
      </c>
      <c r="D1459" t="inlineStr">
        <is>
          <t>Elizabeth Arden</t>
        </is>
      </c>
      <c r="E1459" t="n">
        <v>30.5</v>
      </c>
      <c r="F1459" t="n">
        <v>1</v>
      </c>
      <c r="G1459" t="n">
        <v>6</v>
      </c>
      <c r="H1459" s="5">
        <f>HYPERLINK("https://api.qogita.com/variants/link/0085805530129/", "View Product")</f>
        <v/>
      </c>
    </row>
    <row r="1460">
      <c r="A1460" t="inlineStr">
        <is>
          <t>0085805534400</t>
        </is>
      </c>
      <c r="B1460" t="inlineStr">
        <is>
          <t>Elizabeth Arden Sunflowers Summerbloom Eau de Toilette 100ml</t>
        </is>
      </c>
      <c r="C1460" t="inlineStr">
        <is>
          <t>Eau De Toilette</t>
        </is>
      </c>
      <c r="D1460" t="inlineStr">
        <is>
          <t>Elizabeth Arden</t>
        </is>
      </c>
      <c r="E1460" t="n">
        <v>9.609999999999999</v>
      </c>
      <c r="F1460" t="n">
        <v>1</v>
      </c>
      <c r="G1460" t="n">
        <v>46</v>
      </c>
      <c r="H1460" s="5">
        <f>HYPERLINK("https://api.qogita.com/variants/link/0085805534400/", "View Product")</f>
        <v/>
      </c>
    </row>
    <row r="1461">
      <c r="A1461" t="inlineStr">
        <is>
          <t>0085805535599</t>
        </is>
      </c>
      <c r="B1461" t="inlineStr">
        <is>
          <t>Prevage Anti-Aging Neck Decollete Firm And Repair Cream 50ml</t>
        </is>
      </c>
      <c r="C1461" t="inlineStr">
        <is>
          <t>Neck &amp; Decollete</t>
        </is>
      </c>
      <c r="D1461" t="inlineStr">
        <is>
          <t>Elizabeth Arden</t>
        </is>
      </c>
      <c r="E1461" t="n">
        <v>63.19</v>
      </c>
      <c r="F1461" t="n">
        <v>1</v>
      </c>
      <c r="G1461" t="n">
        <v>6</v>
      </c>
      <c r="H1461" s="5">
        <f>HYPERLINK("https://api.qogita.com/variants/link/0085805535599/", "View Product")</f>
        <v/>
      </c>
    </row>
    <row r="1462">
      <c r="A1462" t="inlineStr">
        <is>
          <t>0085805557324</t>
        </is>
      </c>
      <c r="B1462" t="inlineStr">
        <is>
          <t>Elizabeth Arden White Tea Eau De Toilette Spray 50ml</t>
        </is>
      </c>
      <c r="C1462" t="inlineStr">
        <is>
          <t>Eau De Toilette</t>
        </is>
      </c>
      <c r="D1462" t="inlineStr">
        <is>
          <t>Elizabeth Arden</t>
        </is>
      </c>
      <c r="E1462" t="n">
        <v>14.96</v>
      </c>
      <c r="F1462" t="n">
        <v>1</v>
      </c>
      <c r="G1462" t="n">
        <v>32</v>
      </c>
      <c r="H1462" s="5">
        <f>HYPERLINK("https://api.qogita.com/variants/link/0085805557324/", "View Product")</f>
        <v/>
      </c>
    </row>
    <row r="1463">
      <c r="A1463" t="inlineStr">
        <is>
          <t>0085805558321</t>
        </is>
      </c>
      <c r="B1463" t="inlineStr">
        <is>
          <t>Elizabeth Arden Red Door Eau De Toilette Spray 50ml Floral Woody Perfume</t>
        </is>
      </c>
      <c r="C1463" t="inlineStr">
        <is>
          <t>Eau De Toilette</t>
        </is>
      </c>
      <c r="D1463" t="inlineStr">
        <is>
          <t>Elizabeth Arden</t>
        </is>
      </c>
      <c r="E1463" t="n">
        <v>19.46</v>
      </c>
      <c r="F1463" t="n">
        <v>1</v>
      </c>
      <c r="G1463" t="n">
        <v>7</v>
      </c>
      <c r="H1463" s="5">
        <f>HYPERLINK("https://api.qogita.com/variants/link/0085805558321/", "View Product")</f>
        <v/>
      </c>
    </row>
    <row r="1464">
      <c r="A1464" t="inlineStr">
        <is>
          <t>0085805559090</t>
        </is>
      </c>
      <c r="B1464" t="inlineStr">
        <is>
          <t>Elizabeth Arden Advanced Ceramide Daily Youth Eye Serum 60 Capsules 10.5ml</t>
        </is>
      </c>
      <c r="C1464" t="inlineStr">
        <is>
          <t>Eye Serum</t>
        </is>
      </c>
      <c r="D1464" t="inlineStr">
        <is>
          <t>Elizabeth Arden</t>
        </is>
      </c>
      <c r="E1464" t="n">
        <v>32.77</v>
      </c>
      <c r="F1464" t="n">
        <v>1</v>
      </c>
      <c r="G1464" t="n">
        <v>27</v>
      </c>
      <c r="H1464" s="5">
        <f>HYPERLINK("https://api.qogita.com/variants/link/0085805559090/", "View Product")</f>
        <v/>
      </c>
    </row>
    <row r="1465">
      <c r="A1465" t="inlineStr">
        <is>
          <t>0085805559120</t>
        </is>
      </c>
      <c r="B1465" t="inlineStr">
        <is>
          <t>Elizabeth Arden Ceramide Capsules Daily Youth Restoring Serum - NEW</t>
        </is>
      </c>
      <c r="C1465" t="inlineStr">
        <is>
          <t>Anti-Aging Serum</t>
        </is>
      </c>
      <c r="D1465" t="inlineStr">
        <is>
          <t>Elizabeth Arden</t>
        </is>
      </c>
      <c r="E1465" t="n">
        <v>55.73</v>
      </c>
      <c r="F1465" t="n">
        <v>1</v>
      </c>
      <c r="G1465" t="n">
        <v>15</v>
      </c>
      <c r="H1465" s="5">
        <f>HYPERLINK("https://api.qogita.com/variants/link/0085805559120/", "View Product")</f>
        <v/>
      </c>
    </row>
    <row r="1466">
      <c r="A1466" t="inlineStr">
        <is>
          <t>0085805574048</t>
        </is>
      </c>
      <c r="B1466" t="inlineStr">
        <is>
          <t>Elizabeth Arden White Tea Mandarin Blossom EDT 30ml</t>
        </is>
      </c>
      <c r="C1466" t="inlineStr">
        <is>
          <t>Eau De Toilette</t>
        </is>
      </c>
      <c r="D1466" t="inlineStr">
        <is>
          <t>Elizabeth Arden</t>
        </is>
      </c>
      <c r="E1466" t="n">
        <v>11.01</v>
      </c>
      <c r="F1466" t="n">
        <v>1</v>
      </c>
      <c r="G1466" t="n">
        <v>15</v>
      </c>
      <c r="H1466" s="5">
        <f>HYPERLINK("https://api.qogita.com/variants/link/0085805574048/", "View Product")</f>
        <v/>
      </c>
    </row>
    <row r="1467">
      <c r="A1467" t="inlineStr">
        <is>
          <t>0085805574109</t>
        </is>
      </c>
      <c r="B1467" t="inlineStr">
        <is>
          <t>Elizabeth Arden White Tea Eau De Toilette Gingerlily 100ml</t>
        </is>
      </c>
      <c r="C1467" t="inlineStr">
        <is>
          <t>Eau De Toilette</t>
        </is>
      </c>
      <c r="D1467" t="inlineStr">
        <is>
          <t>Elizabeth Arden</t>
        </is>
      </c>
      <c r="E1467" t="n">
        <v>17.15</v>
      </c>
      <c r="F1467" t="n">
        <v>1</v>
      </c>
      <c r="G1467" t="n">
        <v>5</v>
      </c>
      <c r="H1467" s="5">
        <f>HYPERLINK("https://api.qogita.com/variants/link/0085805574109/", "View Product")</f>
        <v/>
      </c>
    </row>
    <row r="1468">
      <c r="A1468" t="inlineStr">
        <is>
          <t>0085805577407</t>
        </is>
      </c>
      <c r="B1468" t="inlineStr">
        <is>
          <t>Elizabeth Arden White Tea Cream Deodorant Roll On 40ml</t>
        </is>
      </c>
      <c r="C1468" t="inlineStr">
        <is>
          <t>Deodorant &amp; Anti-Perspirant</t>
        </is>
      </c>
      <c r="D1468" t="inlineStr">
        <is>
          <t>Elizabeth Arden</t>
        </is>
      </c>
      <c r="E1468" t="n">
        <v>8.82</v>
      </c>
      <c r="F1468" t="n">
        <v>1</v>
      </c>
      <c r="G1468" t="n">
        <v>4</v>
      </c>
      <c r="H1468" s="5">
        <f>HYPERLINK("https://api.qogita.com/variants/link/0085805577407/", "View Product")</f>
        <v/>
      </c>
    </row>
    <row r="1469">
      <c r="A1469" t="inlineStr">
        <is>
          <t>0085805757847</t>
        </is>
      </c>
      <c r="B1469" t="inlineStr">
        <is>
          <t>Elizabeth Arden Sunflowers Eau De Toilette Floral Perfume 50ml</t>
        </is>
      </c>
      <c r="C1469" t="inlineStr">
        <is>
          <t>Eau De Toilette</t>
        </is>
      </c>
      <c r="D1469" t="inlineStr">
        <is>
          <t>Elizabeth Arden</t>
        </is>
      </c>
      <c r="E1469" t="n">
        <v>7.75</v>
      </c>
      <c r="F1469" t="n">
        <v>1</v>
      </c>
      <c r="G1469" t="n">
        <v>6</v>
      </c>
      <c r="H1469" s="5">
        <f>HYPERLINK("https://api.qogita.com/variants/link/0085805757847/", "View Product")</f>
        <v/>
      </c>
    </row>
    <row r="1470">
      <c r="A1470" t="inlineStr">
        <is>
          <t>0085805763749</t>
        </is>
      </c>
      <c r="B1470" t="inlineStr">
        <is>
          <t>Elizabeth Arden Green Tea Scent Spray 30ml</t>
        </is>
      </c>
      <c r="C1470" t="inlineStr">
        <is>
          <t>Eau De Toilette</t>
        </is>
      </c>
      <c r="D1470" t="inlineStr">
        <is>
          <t>Elizabeth Arden</t>
        </is>
      </c>
      <c r="E1470" t="n">
        <v>6.07</v>
      </c>
      <c r="F1470" t="n">
        <v>1</v>
      </c>
      <c r="G1470" t="n">
        <v>142</v>
      </c>
      <c r="H1470" s="5">
        <f>HYPERLINK("https://api.qogita.com/variants/link/0085805763749/", "View Product")</f>
        <v/>
      </c>
    </row>
    <row r="1471">
      <c r="A1471" t="inlineStr">
        <is>
          <t>0085805785345</t>
        </is>
      </c>
      <c r="B1471" t="inlineStr">
        <is>
          <t>Elizabeth Arden 5th Avenue Eau De Parfum Spray 100ml</t>
        </is>
      </c>
      <c r="C1471" t="inlineStr">
        <is>
          <t>Eau De Parfum</t>
        </is>
      </c>
      <c r="D1471" t="inlineStr">
        <is>
          <t>Elizabeth Arden</t>
        </is>
      </c>
      <c r="E1471" t="n">
        <v>11.93</v>
      </c>
      <c r="F1471" t="n">
        <v>1</v>
      </c>
      <c r="G1471" t="n">
        <v>66</v>
      </c>
      <c r="H1471" s="5">
        <f>HYPERLINK("https://api.qogita.com/variants/link/0085805785345/", "View Product")</f>
        <v/>
      </c>
    </row>
    <row r="1472">
      <c r="A1472" t="inlineStr">
        <is>
          <t>0088300107438</t>
        </is>
      </c>
      <c r="B1472" t="inlineStr">
        <is>
          <t>Calvin Klein CK One Eau De Toilette Unisex Spray 200ml</t>
        </is>
      </c>
      <c r="C1472" t="inlineStr">
        <is>
          <t>Eau De Toilette</t>
        </is>
      </c>
      <c r="D1472" t="inlineStr">
        <is>
          <t>Calvin Klein</t>
        </is>
      </c>
      <c r="E1472" t="n">
        <v>25.59</v>
      </c>
      <c r="F1472" t="n">
        <v>1</v>
      </c>
      <c r="G1472" t="n">
        <v>811</v>
      </c>
      <c r="H1472" s="5">
        <f>HYPERLINK("https://api.qogita.com/variants/link/0088300107438/", "View Product")</f>
        <v/>
      </c>
    </row>
    <row r="1473">
      <c r="A1473" t="inlineStr">
        <is>
          <t>0088300150410</t>
        </is>
      </c>
      <c r="B1473" t="inlineStr">
        <is>
          <t>Calvin Klein Obsession Night Parfum Spray 100ml</t>
        </is>
      </c>
      <c r="C1473" t="inlineStr">
        <is>
          <t>Eau De Parfum</t>
        </is>
      </c>
      <c r="D1473" t="inlineStr">
        <is>
          <t>Calvin Klein</t>
        </is>
      </c>
      <c r="E1473" t="n">
        <v>17.24</v>
      </c>
      <c r="F1473" t="n">
        <v>1</v>
      </c>
      <c r="G1473" t="n">
        <v>113</v>
      </c>
      <c r="H1473" s="5">
        <f>HYPERLINK("https://api.qogita.com/variants/link/0088300150410/", "View Product")</f>
        <v/>
      </c>
    </row>
    <row r="1474">
      <c r="A1474" t="inlineStr">
        <is>
          <t>0088300162543</t>
        </is>
      </c>
      <c r="B1474" t="inlineStr">
        <is>
          <t>Calvin Klein Euphoria Eau de Parfum Spray 50ml</t>
        </is>
      </c>
      <c r="C1474" t="inlineStr">
        <is>
          <t>Eau De Parfum</t>
        </is>
      </c>
      <c r="D1474" t="inlineStr">
        <is>
          <t>Calvin Klein</t>
        </is>
      </c>
      <c r="E1474" t="n">
        <v>26.42</v>
      </c>
      <c r="F1474" t="n">
        <v>1</v>
      </c>
      <c r="G1474" t="n">
        <v>190</v>
      </c>
      <c r="H1474" s="5">
        <f>HYPERLINK("https://api.qogita.com/variants/link/0088300162543/", "View Product")</f>
        <v/>
      </c>
    </row>
    <row r="1475">
      <c r="A1475" t="inlineStr">
        <is>
          <t>0088300196852</t>
        </is>
      </c>
      <c r="B1475" t="inlineStr">
        <is>
          <t>CALVIN KLEIN ck IN2U Eau de Toilette for Her Floral-Fruity Women's Fragrance 50ml</t>
        </is>
      </c>
      <c r="C1475" t="inlineStr">
        <is>
          <t>Eau De Toilette</t>
        </is>
      </c>
      <c r="D1475" t="inlineStr">
        <is>
          <t>Calvin Klein</t>
        </is>
      </c>
      <c r="E1475" t="n">
        <v>12.1</v>
      </c>
      <c r="F1475" t="n">
        <v>1</v>
      </c>
      <c r="G1475" t="n">
        <v>370</v>
      </c>
      <c r="H1475" s="5">
        <f>HYPERLINK("https://api.qogita.com/variants/link/0088300196852/", "View Product")</f>
        <v/>
      </c>
    </row>
    <row r="1476">
      <c r="A1476" t="inlineStr">
        <is>
          <t>0088300196876</t>
        </is>
      </c>
      <c r="B1476" t="inlineStr">
        <is>
          <t>Calvin Klein Ck In2u Her Eau de Toilette Spray 150ml</t>
        </is>
      </c>
      <c r="C1476" t="inlineStr">
        <is>
          <t>Eau De Toilette</t>
        </is>
      </c>
      <c r="D1476" t="inlineStr">
        <is>
          <t>Calvin Klein</t>
        </is>
      </c>
      <c r="E1476" t="n">
        <v>19.14</v>
      </c>
      <c r="F1476" t="n">
        <v>1</v>
      </c>
      <c r="G1476" t="n">
        <v>21</v>
      </c>
      <c r="H1476" s="5">
        <f>HYPERLINK("https://api.qogita.com/variants/link/0088300196876/", "View Product")</f>
        <v/>
      </c>
    </row>
    <row r="1477">
      <c r="A1477" t="inlineStr">
        <is>
          <t>0088300196944</t>
        </is>
      </c>
      <c r="B1477" t="inlineStr">
        <is>
          <t>Calvin Klein CKIN2U For Him Eau de Toilette 150ml</t>
        </is>
      </c>
      <c r="C1477" t="inlineStr">
        <is>
          <t>Eau De Toilette</t>
        </is>
      </c>
      <c r="D1477" t="inlineStr">
        <is>
          <t>Calvin Klein</t>
        </is>
      </c>
      <c r="E1477" t="n">
        <v>19.66</v>
      </c>
      <c r="F1477" t="n">
        <v>1</v>
      </c>
      <c r="G1477" t="n">
        <v>458</v>
      </c>
      <c r="H1477" s="5">
        <f>HYPERLINK("https://api.qogita.com/variants/link/0088300196944/", "View Product")</f>
        <v/>
      </c>
    </row>
    <row r="1478">
      <c r="A1478" t="inlineStr">
        <is>
          <t>0088300605385</t>
        </is>
      </c>
      <c r="B1478" t="inlineStr">
        <is>
          <t>Calvin Klein Eternity for Men Eau De Toilette Spray 30ml</t>
        </is>
      </c>
      <c r="C1478" t="inlineStr">
        <is>
          <t>Eau De Toilette</t>
        </is>
      </c>
      <c r="D1478" t="inlineStr">
        <is>
          <t>Calvin Klein</t>
        </is>
      </c>
      <c r="E1478" t="n">
        <v>17.16</v>
      </c>
      <c r="F1478" t="n">
        <v>1</v>
      </c>
      <c r="G1478" t="n">
        <v>83</v>
      </c>
      <c r="H1478" s="5">
        <f>HYPERLINK("https://api.qogita.com/variants/link/0088300605385/", "View Product")</f>
        <v/>
      </c>
    </row>
    <row r="1479">
      <c r="A1479" t="inlineStr">
        <is>
          <t>0088300605514</t>
        </is>
      </c>
      <c r="B1479" t="inlineStr">
        <is>
          <t>Calvin Klein Eternity For Men Eau de Toilette 100ml</t>
        </is>
      </c>
      <c r="C1479" t="inlineStr">
        <is>
          <t>Eau De Toilette</t>
        </is>
      </c>
      <c r="D1479" t="inlineStr">
        <is>
          <t>Calvin Klein</t>
        </is>
      </c>
      <c r="E1479" t="n">
        <v>27.28</v>
      </c>
      <c r="F1479" t="n">
        <v>1</v>
      </c>
      <c r="G1479" t="n">
        <v>49</v>
      </c>
      <c r="H1479" s="5">
        <f>HYPERLINK("https://api.qogita.com/variants/link/0088300605514/", "View Product")</f>
        <v/>
      </c>
    </row>
    <row r="1480">
      <c r="A1480" t="inlineStr">
        <is>
          <t>0088300605538</t>
        </is>
      </c>
      <c r="B1480" t="inlineStr">
        <is>
          <t>CALVIN KLEIN Eternity After Shave for Men Woody-Aromatic Fragrance 100ml</t>
        </is>
      </c>
      <c r="C1480" t="inlineStr">
        <is>
          <t>Aftershave</t>
        </is>
      </c>
      <c r="D1480" t="inlineStr">
        <is>
          <t>Calvin Klein</t>
        </is>
      </c>
      <c r="E1480" t="n">
        <v>13</v>
      </c>
      <c r="F1480" t="n">
        <v>1</v>
      </c>
      <c r="G1480" t="n">
        <v>1177</v>
      </c>
      <c r="H1480" s="5">
        <f>HYPERLINK("https://api.qogita.com/variants/link/0088300605538/", "View Product")</f>
        <v/>
      </c>
    </row>
    <row r="1481">
      <c r="A1481" t="inlineStr">
        <is>
          <t>0094100001678</t>
        </is>
      </c>
      <c r="B1481" t="inlineStr">
        <is>
          <t>OPI Nail Lacquer Suzi Shops &amp; Island Hops Pink Nail Polish Hawaii Collection 0.5 fl oz</t>
        </is>
      </c>
      <c r="C1481" t="inlineStr">
        <is>
          <t>Nail Polish</t>
        </is>
      </c>
      <c r="D1481" t="inlineStr">
        <is>
          <t>OPI</t>
        </is>
      </c>
      <c r="E1481" t="n">
        <v>9.380000000000001</v>
      </c>
      <c r="F1481" t="n">
        <v>1</v>
      </c>
      <c r="G1481" t="n">
        <v>3</v>
      </c>
      <c r="H1481" s="5">
        <f>HYPERLINK("https://api.qogita.com/variants/link/0094100001678/", "View Product")</f>
        <v/>
      </c>
    </row>
    <row r="1482">
      <c r="A1482" t="inlineStr">
        <is>
          <t>0094100005423</t>
        </is>
      </c>
      <c r="B1482" t="inlineStr">
        <is>
          <t>OPI Nail Lacquer My Private Jet Black Nail Polish 0.5 fl oz</t>
        </is>
      </c>
      <c r="C1482" t="inlineStr">
        <is>
          <t>Nail Polish</t>
        </is>
      </c>
      <c r="D1482" t="inlineStr">
        <is>
          <t>OPI</t>
        </is>
      </c>
      <c r="E1482" t="n">
        <v>9.51</v>
      </c>
      <c r="F1482" t="n">
        <v>1</v>
      </c>
      <c r="G1482" t="n">
        <v>3</v>
      </c>
      <c r="H1482" s="5">
        <f>HYPERLINK("https://api.qogita.com/variants/link/0094100005423/", "View Product")</f>
        <v/>
      </c>
    </row>
    <row r="1483">
      <c r="A1483" t="inlineStr">
        <is>
          <t>0094922794536</t>
        </is>
      </c>
      <c r="B1483" t="inlineStr">
        <is>
          <t>Ed Hardy Women Eau de Parfum 100ml</t>
        </is>
      </c>
      <c r="C1483" t="inlineStr">
        <is>
          <t>Eau De Parfum</t>
        </is>
      </c>
      <c r="D1483" t="inlineStr">
        <is>
          <t>Ed Hardy</t>
        </is>
      </c>
      <c r="E1483" t="n">
        <v>20.37</v>
      </c>
      <c r="F1483" t="n">
        <v>1</v>
      </c>
      <c r="G1483" t="n">
        <v>48</v>
      </c>
      <c r="H1483" s="5">
        <f>HYPERLINK("https://api.qogita.com/variants/link/0094922794536/", "View Product")</f>
        <v/>
      </c>
    </row>
    <row r="1484">
      <c r="A1484" t="inlineStr">
        <is>
          <t>0094922794772</t>
        </is>
      </c>
      <c r="B1484" t="inlineStr">
        <is>
          <t>Ed Hardy Men Eau de Toilette 30ml</t>
        </is>
      </c>
      <c r="C1484" t="inlineStr">
        <is>
          <t>Eau De Toilette</t>
        </is>
      </c>
      <c r="D1484" t="inlineStr">
        <is>
          <t>Ed Hardy</t>
        </is>
      </c>
      <c r="E1484" t="n">
        <v>11.22</v>
      </c>
      <c r="F1484" t="n">
        <v>1</v>
      </c>
      <c r="G1484" t="n">
        <v>3</v>
      </c>
      <c r="H1484" s="5">
        <f>HYPERLINK("https://api.qogita.com/variants/link/0094922794772/", "View Product")</f>
        <v/>
      </c>
    </row>
    <row r="1485">
      <c r="A1485" t="inlineStr">
        <is>
          <t>0098132004034</t>
        </is>
      </c>
      <c r="B1485" t="inlineStr">
        <is>
          <t>bareMinerals Single Loose Mineral Eyeshadow Creamy Shimmer Loose Powder Eyeshadow Talc-Free Vegan Nude Beach 0.02 Ounce</t>
        </is>
      </c>
      <c r="C1485" t="inlineStr">
        <is>
          <t>Eyeshadow</t>
        </is>
      </c>
      <c r="D1485" t="inlineStr">
        <is>
          <t>Bareminerals</t>
        </is>
      </c>
      <c r="E1485" t="n">
        <v>15.26</v>
      </c>
      <c r="F1485" t="n">
        <v>1</v>
      </c>
      <c r="G1485" t="n">
        <v>2</v>
      </c>
      <c r="H1485" s="5">
        <f>HYPERLINK("https://api.qogita.com/variants/link/0098132004034/", "View Product")</f>
        <v/>
      </c>
    </row>
    <row r="1486">
      <c r="A1486" t="inlineStr">
        <is>
          <t>0098691021701</t>
        </is>
      </c>
      <c r="B1486" t="inlineStr">
        <is>
          <t>Bora Bora by Liz Claiborne</t>
        </is>
      </c>
      <c r="C1486" t="inlineStr">
        <is>
          <t>Eau De Parfum</t>
        </is>
      </c>
      <c r="D1486" t="inlineStr">
        <is>
          <t>Liz Claiborne</t>
        </is>
      </c>
      <c r="E1486" t="n">
        <v>14.51</v>
      </c>
      <c r="F1486" t="n">
        <v>1</v>
      </c>
      <c r="G1486" t="n">
        <v>6</v>
      </c>
      <c r="H1486" s="5">
        <f>HYPERLINK("https://api.qogita.com/variants/link/0098691021701/", "View Product")</f>
        <v/>
      </c>
    </row>
    <row r="1487">
      <c r="A1487" t="inlineStr">
        <is>
          <t>0098691047718</t>
        </is>
      </c>
      <c r="B1487" t="inlineStr">
        <is>
          <t>Juicy Couture Viva La Juicy 100 ml - Eau de Parfum - Women's perfume</t>
        </is>
      </c>
      <c r="C1487" t="inlineStr">
        <is>
          <t>Eau De Parfum</t>
        </is>
      </c>
      <c r="D1487" t="inlineStr">
        <is>
          <t>Juicy Couture</t>
        </is>
      </c>
      <c r="E1487" t="n">
        <v>40.95</v>
      </c>
      <c r="F1487" t="n">
        <v>1</v>
      </c>
      <c r="G1487" t="n">
        <v>206</v>
      </c>
      <c r="H1487" s="5">
        <f>HYPERLINK("https://api.qogita.com/variants/link/0098691047718/", "View Product")</f>
        <v/>
      </c>
    </row>
    <row r="1488">
      <c r="A1488" t="inlineStr">
        <is>
          <t>0192333027219</t>
        </is>
      </c>
      <c r="B1488" t="inlineStr">
        <is>
          <t>Clinique Even Better Clinical Dark Spot Corrector Plus Interrupter Brightening Corrector 1 oz</t>
        </is>
      </c>
      <c r="C1488" t="inlineStr">
        <is>
          <t>Anti-Pigmentation Spot Cream</t>
        </is>
      </c>
      <c r="D1488" t="inlineStr">
        <is>
          <t>Clinique</t>
        </is>
      </c>
      <c r="E1488" t="n">
        <v>44.09</v>
      </c>
      <c r="F1488" t="n">
        <v>1</v>
      </c>
      <c r="G1488" t="n">
        <v>2</v>
      </c>
      <c r="H1488" s="5">
        <f>HYPERLINK("https://api.qogita.com/variants/link/0192333027219/", "View Product")</f>
        <v/>
      </c>
    </row>
    <row r="1489">
      <c r="A1489" t="inlineStr">
        <is>
          <t>0192333039267</t>
        </is>
      </c>
      <c r="B1489" t="inlineStr">
        <is>
          <t>Clinique Makeup Set</t>
        </is>
      </c>
      <c r="C1489" t="inlineStr">
        <is>
          <t>Complexion Sets &amp; Pallets</t>
        </is>
      </c>
      <c r="D1489" t="inlineStr">
        <is>
          <t>Clinique</t>
        </is>
      </c>
      <c r="E1489" t="n">
        <v>30.06</v>
      </c>
      <c r="F1489" t="n">
        <v>1</v>
      </c>
      <c r="G1489" t="n">
        <v>2</v>
      </c>
      <c r="H1489" s="5">
        <f>HYPERLINK("https://api.qogita.com/variants/link/0192333039267/", "View Product")</f>
        <v/>
      </c>
    </row>
    <row r="1490">
      <c r="A1490" t="inlineStr">
        <is>
          <t>0192333054802</t>
        </is>
      </c>
      <c r="B1490" t="inlineStr">
        <is>
          <t>Smart Night Clinical Multi-Dimensional Repair Treatment Retinol by Clinique</t>
        </is>
      </c>
      <c r="C1490" t="inlineStr">
        <is>
          <t>Anti-Aging Serum</t>
        </is>
      </c>
      <c r="D1490" t="inlineStr">
        <is>
          <t>Clinique</t>
        </is>
      </c>
      <c r="E1490" t="n">
        <v>50.47</v>
      </c>
      <c r="F1490" t="n">
        <v>1</v>
      </c>
      <c r="G1490" t="n">
        <v>4</v>
      </c>
      <c r="H1490" s="5">
        <f>HYPERLINK("https://api.qogita.com/variants/link/0192333054802/", "View Product")</f>
        <v/>
      </c>
    </row>
    <row r="1491">
      <c r="A1491" t="inlineStr">
        <is>
          <t>0192333074626</t>
        </is>
      </c>
      <c r="B1491" t="inlineStr">
        <is>
          <t>Clinique Superbalanced Makeup Foundation No.07 Neutral 30ml</t>
        </is>
      </c>
      <c r="C1491" t="inlineStr">
        <is>
          <t>Foundation</t>
        </is>
      </c>
      <c r="D1491" t="inlineStr">
        <is>
          <t>Clinique</t>
        </is>
      </c>
      <c r="E1491" t="n">
        <v>24.27</v>
      </c>
      <c r="F1491" t="n">
        <v>1</v>
      </c>
      <c r="G1491" t="n">
        <v>5</v>
      </c>
      <c r="H1491" s="5">
        <f>HYPERLINK("https://api.qogita.com/variants/link/0192333074626/", "View Product")</f>
        <v/>
      </c>
    </row>
    <row r="1492">
      <c r="A1492" t="inlineStr">
        <is>
          <t>0192333078303</t>
        </is>
      </c>
      <c r="B1492" t="inlineStr">
        <is>
          <t>Clinique Even Better Clinical Serum Foundation SPF20 WN 38 Stone 30ml</t>
        </is>
      </c>
      <c r="C1492" t="inlineStr">
        <is>
          <t>Foundation</t>
        </is>
      </c>
      <c r="D1492" t="inlineStr">
        <is>
          <t>Clinique</t>
        </is>
      </c>
      <c r="E1492" t="n">
        <v>30.86</v>
      </c>
      <c r="F1492" t="n">
        <v>1</v>
      </c>
      <c r="G1492" t="n">
        <v>3</v>
      </c>
      <c r="H1492" s="5">
        <f>HYPERLINK("https://api.qogita.com/variants/link/0192333078303/", "View Product")</f>
        <v/>
      </c>
    </row>
    <row r="1493">
      <c r="A1493" t="inlineStr">
        <is>
          <t>0192333100936</t>
        </is>
      </c>
      <c r="B1493" t="inlineStr">
        <is>
          <t>Clinique Quickliner For Eyes Intense 05 Charcoal 0.025 g</t>
        </is>
      </c>
      <c r="C1493" t="inlineStr">
        <is>
          <t>Eyeliner</t>
        </is>
      </c>
      <c r="D1493" t="inlineStr">
        <is>
          <t>Clinique</t>
        </is>
      </c>
      <c r="E1493" t="n">
        <v>15.48</v>
      </c>
      <c r="F1493" t="n">
        <v>1</v>
      </c>
      <c r="G1493" t="n">
        <v>8</v>
      </c>
      <c r="H1493" s="5">
        <f>HYPERLINK("https://api.qogita.com/variants/link/0192333100936/", "View Product")</f>
        <v/>
      </c>
    </row>
    <row r="1494">
      <c r="A1494" t="inlineStr">
        <is>
          <t>0192333100950</t>
        </is>
      </c>
      <c r="B1494" t="inlineStr">
        <is>
          <t>Clinique Quickliner For Eyes Intense 0.25g Eyeliner pencil</t>
        </is>
      </c>
      <c r="C1494" t="inlineStr">
        <is>
          <t>Eyeliner</t>
        </is>
      </c>
      <c r="D1494" t="inlineStr">
        <is>
          <t>Clinique</t>
        </is>
      </c>
      <c r="E1494" t="n">
        <v>15.66</v>
      </c>
      <c r="F1494" t="n">
        <v>1</v>
      </c>
      <c r="G1494" t="n">
        <v>4</v>
      </c>
      <c r="H1494" s="5">
        <f>HYPERLINK("https://api.qogita.com/variants/link/0192333100950/", "View Product")</f>
        <v/>
      </c>
    </row>
    <row r="1495">
      <c r="A1495" t="inlineStr">
        <is>
          <t>0192333102749</t>
        </is>
      </c>
      <c r="B1495" t="inlineStr">
        <is>
          <t>Smart Clinical Repair Eye Cream 15ml Almond 72g</t>
        </is>
      </c>
      <c r="C1495" t="inlineStr">
        <is>
          <t>Eye Cream</t>
        </is>
      </c>
      <c r="D1495" t="inlineStr">
        <is>
          <t>Clinique</t>
        </is>
      </c>
      <c r="E1495" t="n">
        <v>34.18</v>
      </c>
      <c r="F1495" t="n">
        <v>1</v>
      </c>
      <c r="G1495" t="n">
        <v>5</v>
      </c>
      <c r="H1495" s="5">
        <f>HYPERLINK("https://api.qogita.com/variants/link/0192333102749/", "View Product")</f>
        <v/>
      </c>
    </row>
    <row r="1496">
      <c r="A1496" t="inlineStr">
        <is>
          <t>0192333127070</t>
        </is>
      </c>
      <c r="B1496" t="inlineStr">
        <is>
          <t>Clinique Set Of Make-Up Remover Balms Take The Day Off Duo</t>
        </is>
      </c>
      <c r="C1496" t="inlineStr">
        <is>
          <t>Makeup Remover</t>
        </is>
      </c>
      <c r="D1496" t="inlineStr">
        <is>
          <t>Clinique</t>
        </is>
      </c>
      <c r="E1496" t="n">
        <v>41</v>
      </c>
      <c r="F1496" t="n">
        <v>1</v>
      </c>
      <c r="G1496" t="n">
        <v>6</v>
      </c>
      <c r="H1496" s="5">
        <f>HYPERLINK("https://api.qogita.com/variants/link/0192333127070/", "View Product")</f>
        <v/>
      </c>
    </row>
    <row r="1497">
      <c r="A1497" t="inlineStr">
        <is>
          <t>0192333142905</t>
        </is>
      </c>
      <c r="B1497" t="inlineStr">
        <is>
          <t>CLINIQUE Pop Plush Creamy Lip Gloss in Rosewater</t>
        </is>
      </c>
      <c r="C1497" t="inlineStr">
        <is>
          <t>Lip Gloss</t>
        </is>
      </c>
      <c r="D1497" t="inlineStr">
        <is>
          <t>Clinique</t>
        </is>
      </c>
      <c r="E1497" t="n">
        <v>16.04</v>
      </c>
      <c r="F1497" t="n">
        <v>1</v>
      </c>
      <c r="G1497" t="n">
        <v>3</v>
      </c>
      <c r="H1497" s="5">
        <f>HYPERLINK("https://api.qogita.com/variants/link/0192333142905/", "View Product")</f>
        <v/>
      </c>
    </row>
    <row r="1498">
      <c r="A1498" t="inlineStr">
        <is>
          <t>0192333148181</t>
        </is>
      </c>
      <c r="B1498" t="inlineStr">
        <is>
          <t>Clinique Clinique Pop Longwear Matte Lipstick Blushing Pop 39g</t>
        </is>
      </c>
      <c r="C1498" t="inlineStr">
        <is>
          <t>Lipstick</t>
        </is>
      </c>
      <c r="D1498" t="inlineStr">
        <is>
          <t>Clinique</t>
        </is>
      </c>
      <c r="E1498" t="n">
        <v>16.74</v>
      </c>
      <c r="F1498" t="n">
        <v>1</v>
      </c>
      <c r="G1498" t="n">
        <v>5</v>
      </c>
      <c r="H1498" s="5">
        <f>HYPERLINK("https://api.qogita.com/variants/link/0192333148181/", "View Product")</f>
        <v/>
      </c>
    </row>
    <row r="1499">
      <c r="A1499" t="inlineStr">
        <is>
          <t>0192333148259</t>
        </is>
      </c>
      <c r="B1499" t="inlineStr">
        <is>
          <t>Clinique Clinique Pop Longwear Matte Lipstick Bold Pop 39g</t>
        </is>
      </c>
      <c r="C1499" t="inlineStr">
        <is>
          <t>Lipstick</t>
        </is>
      </c>
      <c r="D1499" t="inlineStr">
        <is>
          <t>Clinique</t>
        </is>
      </c>
      <c r="E1499" t="n">
        <v>16.4</v>
      </c>
      <c r="F1499" t="n">
        <v>1</v>
      </c>
      <c r="G1499" t="n">
        <v>4</v>
      </c>
      <c r="H1499" s="5">
        <f>HYPERLINK("https://api.qogita.com/variants/link/0192333148259/", "View Product")</f>
        <v/>
      </c>
    </row>
    <row r="1500">
      <c r="A1500" t="inlineStr">
        <is>
          <t>0192333148365</t>
        </is>
      </c>
      <c r="B1500" t="inlineStr">
        <is>
          <t>Clinique Even Better Light Reflecting Primer 1 fl oz 30 mL</t>
        </is>
      </c>
      <c r="C1500" t="inlineStr">
        <is>
          <t>Face Cream</t>
        </is>
      </c>
      <c r="D1500" t="inlineStr">
        <is>
          <t>Clinique</t>
        </is>
      </c>
      <c r="E1500" t="n">
        <v>20.09</v>
      </c>
      <c r="F1500" t="n">
        <v>1</v>
      </c>
      <c r="G1500" t="n">
        <v>14</v>
      </c>
      <c r="H1500" s="5">
        <f>HYPERLINK("https://api.qogita.com/variants/link/0192333148365/", "View Product")</f>
        <v/>
      </c>
    </row>
    <row r="1501">
      <c r="A1501" t="inlineStr">
        <is>
          <t>0192333148372</t>
        </is>
      </c>
      <c r="B1501" t="inlineStr">
        <is>
          <t>Hazy No.09 Sugarplum Pop</t>
        </is>
      </c>
      <c r="C1501" t="inlineStr">
        <is>
          <t>Blush</t>
        </is>
      </c>
      <c r="D1501" t="inlineStr">
        <is>
          <t>Clinique</t>
        </is>
      </c>
      <c r="E1501" t="n">
        <v>16.41</v>
      </c>
      <c r="F1501" t="n">
        <v>1</v>
      </c>
      <c r="G1501" t="n">
        <v>5</v>
      </c>
      <c r="H1501" s="5">
        <f>HYPERLINK("https://api.qogita.com/variants/link/0192333148372/", "View Product")</f>
        <v/>
      </c>
    </row>
    <row r="1502">
      <c r="A1502" t="inlineStr">
        <is>
          <t>0192333158371</t>
        </is>
      </c>
      <c r="B1502" t="inlineStr">
        <is>
          <t>Clinique Even Better Pore Defying Primer 1 fl oz 30 mL</t>
        </is>
      </c>
      <c r="C1502" t="inlineStr">
        <is>
          <t>Face Cream</t>
        </is>
      </c>
      <c r="D1502" t="inlineStr">
        <is>
          <t>Clinique</t>
        </is>
      </c>
      <c r="E1502" t="n">
        <v>21.17</v>
      </c>
      <c r="F1502" t="n">
        <v>1</v>
      </c>
      <c r="G1502" t="n">
        <v>11</v>
      </c>
      <c r="H1502" s="5">
        <f>HYPERLINK("https://api.qogita.com/variants/link/0192333158371/", "View Product")</f>
        <v/>
      </c>
    </row>
    <row r="1503">
      <c r="A1503" t="inlineStr">
        <is>
          <t>0192333164587</t>
        </is>
      </c>
      <c r="B1503" t="inlineStr">
        <is>
          <t>Clinique High Impact High-Fi Full Volume Mascara 10ml</t>
        </is>
      </c>
      <c r="C1503" t="inlineStr">
        <is>
          <t>Mascara</t>
        </is>
      </c>
      <c r="D1503" t="inlineStr">
        <is>
          <t>Clinique</t>
        </is>
      </c>
      <c r="E1503" t="n">
        <v>18.38</v>
      </c>
      <c r="F1503" t="n">
        <v>1</v>
      </c>
      <c r="G1503" t="n">
        <v>14</v>
      </c>
      <c r="H1503" s="5">
        <f>HYPERLINK("https://api.qogita.com/variants/link/0192333164587/", "View Product")</f>
        <v/>
      </c>
    </row>
    <row r="1504">
      <c r="A1504" t="inlineStr">
        <is>
          <t>0192333168899</t>
        </is>
      </c>
      <c r="B1504" t="inlineStr">
        <is>
          <t>Clinique Smart Clinical Anti-Wrinkle Cream Spf 30 75ml</t>
        </is>
      </c>
      <c r="C1504" t="inlineStr">
        <is>
          <t>Day Cream</t>
        </is>
      </c>
      <c r="D1504" t="inlineStr">
        <is>
          <t>Clinique</t>
        </is>
      </c>
      <c r="E1504" t="n">
        <v>78.56999999999999</v>
      </c>
      <c r="F1504" t="n">
        <v>1</v>
      </c>
      <c r="G1504" t="n">
        <v>2</v>
      </c>
      <c r="H1504" s="5">
        <f>HYPERLINK("https://api.qogita.com/variants/link/0192333168899/", "View Product")</f>
        <v/>
      </c>
    </row>
    <row r="1505">
      <c r="A1505" t="inlineStr">
        <is>
          <t>0192333171943</t>
        </is>
      </c>
      <c r="B1505" t="inlineStr">
        <is>
          <t>Clinique Quickliner for Lips Lipblush 0.3g</t>
        </is>
      </c>
      <c r="C1505" t="inlineStr">
        <is>
          <t>Lip Liner</t>
        </is>
      </c>
      <c r="D1505" t="inlineStr">
        <is>
          <t>Clinique</t>
        </is>
      </c>
      <c r="E1505" t="n">
        <v>15.14</v>
      </c>
      <c r="F1505" t="n">
        <v>1</v>
      </c>
      <c r="G1505" t="n">
        <v>7</v>
      </c>
      <c r="H1505" s="5">
        <f>HYPERLINK("https://api.qogita.com/variants/link/0192333171943/", "View Product")</f>
        <v/>
      </c>
    </row>
    <row r="1506">
      <c r="A1506" t="inlineStr">
        <is>
          <t>0192333175255</t>
        </is>
      </c>
      <c r="B1506" t="inlineStr">
        <is>
          <t>Clinique Quickliner for Lips Soft Nude 0.3g</t>
        </is>
      </c>
      <c r="C1506" t="inlineStr">
        <is>
          <t>Lip Liner</t>
        </is>
      </c>
      <c r="D1506" t="inlineStr">
        <is>
          <t>Clinique</t>
        </is>
      </c>
      <c r="E1506" t="n">
        <v>15.03</v>
      </c>
      <c r="F1506" t="n">
        <v>1</v>
      </c>
      <c r="G1506" t="n">
        <v>2</v>
      </c>
      <c r="H1506" s="5">
        <f>HYPERLINK("https://api.qogita.com/variants/link/0192333175255/", "View Product")</f>
        <v/>
      </c>
    </row>
    <row r="1507">
      <c r="A1507" t="inlineStr">
        <is>
          <t>0192333175781</t>
        </is>
      </c>
      <c r="B1507" t="inlineStr">
        <is>
          <t>Clinique High Impact Shadow Play Shadow And Definer - Ocni Stiny V Tuzce 19 G Mixed Greens</t>
        </is>
      </c>
      <c r="C1507" t="inlineStr">
        <is>
          <t>Eyeshadow</t>
        </is>
      </c>
      <c r="D1507" t="inlineStr">
        <is>
          <t>Clinique</t>
        </is>
      </c>
      <c r="E1507" t="n">
        <v>21.59</v>
      </c>
      <c r="F1507" t="n">
        <v>1</v>
      </c>
      <c r="G1507" t="n">
        <v>2</v>
      </c>
      <c r="H1507" s="5">
        <f>HYPERLINK("https://api.qogita.com/variants/link/0192333175781/", "View Product")</f>
        <v/>
      </c>
    </row>
    <row r="1508">
      <c r="A1508" t="inlineStr">
        <is>
          <t>0192333192160</t>
        </is>
      </c>
      <c r="B1508" t="inlineStr">
        <is>
          <t>Clinique Pop Longwear Shine Lipstick Love Pop - 39g</t>
        </is>
      </c>
      <c r="C1508" t="inlineStr">
        <is>
          <t>Lipstick</t>
        </is>
      </c>
      <c r="D1508" t="inlineStr">
        <is>
          <t>Clinique</t>
        </is>
      </c>
      <c r="E1508" t="n">
        <v>17.35</v>
      </c>
      <c r="F1508" t="n">
        <v>1</v>
      </c>
      <c r="G1508" t="n">
        <v>4</v>
      </c>
      <c r="H1508" s="5">
        <f>HYPERLINK("https://api.qogita.com/variants/link/0192333192160/", "View Product")</f>
        <v/>
      </c>
    </row>
    <row r="1509">
      <c r="A1509" t="inlineStr">
        <is>
          <t>0192333192238</t>
        </is>
      </c>
      <c r="B1509" t="inlineStr">
        <is>
          <t>Clinique Pop Lipstick Satin Mocha Pop - 4 G</t>
        </is>
      </c>
      <c r="C1509" t="inlineStr">
        <is>
          <t>Lipstick</t>
        </is>
      </c>
      <c r="D1509" t="inlineStr">
        <is>
          <t>Clinique</t>
        </is>
      </c>
      <c r="E1509" t="n">
        <v>16.74</v>
      </c>
      <c r="F1509" t="n">
        <v>1</v>
      </c>
      <c r="G1509" t="n">
        <v>3</v>
      </c>
      <c r="H1509" s="5">
        <f>HYPERLINK("https://api.qogita.com/variants/link/0192333192238/", "View Product")</f>
        <v/>
      </c>
    </row>
    <row r="1510">
      <c r="A1510" t="inlineStr">
        <is>
          <t>0192333192337</t>
        </is>
      </c>
      <c r="B1510" t="inlineStr">
        <is>
          <t>Clinique Pop Longwear Matte Lipstick Peony Pop 39g</t>
        </is>
      </c>
      <c r="C1510" t="inlineStr">
        <is>
          <t>Lipstick</t>
        </is>
      </c>
      <c r="D1510" t="inlineStr">
        <is>
          <t>Clinique</t>
        </is>
      </c>
      <c r="E1510" t="n">
        <v>16.89</v>
      </c>
      <c r="F1510" t="n">
        <v>1</v>
      </c>
      <c r="G1510" t="n">
        <v>6</v>
      </c>
      <c r="H1510" s="5">
        <f>HYPERLINK("https://api.qogita.com/variants/link/0192333192337/", "View Product")</f>
        <v/>
      </c>
    </row>
    <row r="1511">
      <c r="A1511" t="inlineStr">
        <is>
          <t>0192333201565</t>
        </is>
      </c>
      <c r="B1511" t="inlineStr">
        <is>
          <t>Clinique Hi Shadow Play Eye Shadow Definer Royal Couble - 4ml</t>
        </is>
      </c>
      <c r="C1511" t="inlineStr">
        <is>
          <t>Eyeshadow</t>
        </is>
      </c>
      <c r="D1511" t="inlineStr">
        <is>
          <t>Clinique</t>
        </is>
      </c>
      <c r="E1511" t="n">
        <v>22.07</v>
      </c>
      <c r="F1511" t="n">
        <v>1</v>
      </c>
      <c r="G1511" t="n">
        <v>2</v>
      </c>
      <c r="H1511" s="5">
        <f>HYPERLINK("https://api.qogita.com/variants/link/0192333201565/", "View Product")</f>
        <v/>
      </c>
    </row>
    <row r="1512">
      <c r="A1512" t="inlineStr">
        <is>
          <t>0192333227688</t>
        </is>
      </c>
      <c r="B1512" t="inlineStr">
        <is>
          <t>CLQ Smart Clinical Repair Serum 75ml</t>
        </is>
      </c>
      <c r="C1512" t="inlineStr">
        <is>
          <t>Hydrating Serum</t>
        </is>
      </c>
      <c r="D1512" t="inlineStr">
        <is>
          <t>Smart</t>
        </is>
      </c>
      <c r="E1512" t="n">
        <v>75.19</v>
      </c>
      <c r="F1512" t="n">
        <v>1</v>
      </c>
      <c r="G1512" t="n">
        <v>5</v>
      </c>
      <c r="H1512" s="5">
        <f>HYPERLINK("https://api.qogita.com/variants/link/0192333227688/", "View Product")</f>
        <v/>
      </c>
    </row>
    <row r="1513">
      <c r="A1513" t="inlineStr">
        <is>
          <t>0192333235362</t>
        </is>
      </c>
      <c r="B1513" t="inlineStr">
        <is>
          <t>Clinique Moisture Surge Body Hydrator with Aloe Bioferment and Hyaluronic Acid</t>
        </is>
      </c>
      <c r="C1513" t="inlineStr">
        <is>
          <t>Body Lotion</t>
        </is>
      </c>
      <c r="D1513" t="inlineStr">
        <is>
          <t>Clinique</t>
        </is>
      </c>
      <c r="E1513" t="n">
        <v>19.91</v>
      </c>
      <c r="F1513" t="n">
        <v>1</v>
      </c>
      <c r="G1513" t="n">
        <v>3</v>
      </c>
      <c r="H1513" s="5">
        <f>HYPERLINK("https://api.qogita.com/variants/link/0192333235362/", "View Product")</f>
        <v/>
      </c>
    </row>
    <row r="1514">
      <c r="A1514" t="inlineStr">
        <is>
          <t>0192333254981</t>
        </is>
      </c>
      <c r="B1514" t="inlineStr">
        <is>
          <t>Clinique Even Better Clinical Vitamin Makeup SPF 50 Foundation Light Warm</t>
        </is>
      </c>
      <c r="C1514" t="inlineStr">
        <is>
          <t>Foundation</t>
        </is>
      </c>
      <c r="D1514" t="inlineStr">
        <is>
          <t>Clinique</t>
        </is>
      </c>
      <c r="E1514" t="n">
        <v>31.53</v>
      </c>
      <c r="F1514" t="n">
        <v>1</v>
      </c>
      <c r="G1514" t="n">
        <v>3</v>
      </c>
      <c r="H1514" s="5">
        <f>HYPERLINK("https://api.qogita.com/variants/link/0192333254981/", "View Product")</f>
        <v/>
      </c>
    </row>
    <row r="1515">
      <c r="A1515" t="inlineStr">
        <is>
          <t>0192333255131</t>
        </is>
      </c>
      <c r="B1515" t="inlineStr">
        <is>
          <t>Clinique Liquid Make-Up Spf 50 Even Better Clinical Vitamin Make-Up - 30 Ml</t>
        </is>
      </c>
      <c r="C1515" t="inlineStr">
        <is>
          <t>Foundation</t>
        </is>
      </c>
      <c r="D1515" t="inlineStr">
        <is>
          <t>Clinique</t>
        </is>
      </c>
      <c r="E1515" t="n">
        <v>31.28</v>
      </c>
      <c r="F1515" t="n">
        <v>1</v>
      </c>
      <c r="G1515" t="n">
        <v>6</v>
      </c>
      <c r="H1515" s="5">
        <f>HYPERLINK("https://api.qogita.com/variants/link/0192333255131/", "View Product")</f>
        <v/>
      </c>
    </row>
    <row r="1516">
      <c r="A1516" t="inlineStr">
        <is>
          <t>0192333255155</t>
        </is>
      </c>
      <c r="B1516" t="inlineStr">
        <is>
          <t>Clinique Liquid Make-Up Spf 50 Even Better Clinical Vitamin Make-Up - 30 Ml</t>
        </is>
      </c>
      <c r="C1516" t="inlineStr">
        <is>
          <t>Foundation</t>
        </is>
      </c>
      <c r="D1516" t="inlineStr">
        <is>
          <t>Clinique</t>
        </is>
      </c>
      <c r="E1516" t="n">
        <v>31.28</v>
      </c>
      <c r="F1516" t="n">
        <v>1</v>
      </c>
      <c r="G1516" t="n">
        <v>7</v>
      </c>
      <c r="H1516" s="5">
        <f>HYPERLINK("https://api.qogita.com/variants/link/0192333255155/", "View Product")</f>
        <v/>
      </c>
    </row>
    <row r="1517">
      <c r="A1517" t="inlineStr">
        <is>
          <t>0192333277966</t>
        </is>
      </c>
      <c r="B1517" t="inlineStr">
        <is>
          <t>Clinique Smart Clinical Repair Anti-Wrinkle Cream Set 4 Pieces</t>
        </is>
      </c>
      <c r="C1517" t="inlineStr">
        <is>
          <t>Facial Care Sets</t>
        </is>
      </c>
      <c r="D1517" t="inlineStr">
        <is>
          <t>Clinique</t>
        </is>
      </c>
      <c r="E1517" t="n">
        <v>60.76</v>
      </c>
      <c r="F1517" t="n">
        <v>1</v>
      </c>
      <c r="G1517" t="n">
        <v>5</v>
      </c>
      <c r="H1517" s="5">
        <f>HYPERLINK("https://api.qogita.com/variants/link/0192333277966/", "View Product")</f>
        <v/>
      </c>
    </row>
    <row r="1518">
      <c r="A1518" t="inlineStr">
        <is>
          <t>0192333278567</t>
        </is>
      </c>
      <c r="B1518" t="inlineStr">
        <is>
          <t>Clinique Double Cleansing Set</t>
        </is>
      </c>
      <c r="C1518" t="inlineStr">
        <is>
          <t>Facial Cleansing Sets</t>
        </is>
      </c>
      <c r="D1518" t="inlineStr">
        <is>
          <t>Clinique</t>
        </is>
      </c>
      <c r="E1518" t="n">
        <v>30.01</v>
      </c>
      <c r="F1518" t="n">
        <v>1</v>
      </c>
      <c r="G1518" t="n">
        <v>17</v>
      </c>
      <c r="H1518" s="5">
        <f>HYPERLINK("https://api.qogita.com/variants/link/0192333278567/", "View Product")</f>
        <v/>
      </c>
    </row>
    <row r="1519">
      <c r="A1519" t="inlineStr">
        <is>
          <t>0194248063054</t>
        </is>
      </c>
      <c r="B1519" t="inlineStr">
        <is>
          <t>Bareminerals Bare Pro 24-Hour Matte Comfort Liquid Foundation - 30 Ml</t>
        </is>
      </c>
      <c r="C1519" t="inlineStr">
        <is>
          <t>Foundation</t>
        </is>
      </c>
      <c r="D1519" t="inlineStr">
        <is>
          <t>Bareminerals</t>
        </is>
      </c>
      <c r="E1519" t="n">
        <v>30.63</v>
      </c>
      <c r="F1519" t="n">
        <v>1</v>
      </c>
      <c r="G1519" t="n">
        <v>3</v>
      </c>
      <c r="H1519" s="5">
        <f>HYPERLINK("https://api.qogita.com/variants/link/0194248063054/", "View Product")</f>
        <v/>
      </c>
    </row>
    <row r="1520">
      <c r="A1520" t="inlineStr">
        <is>
          <t>0194248095352</t>
        </is>
      </c>
      <c r="B1520" t="inlineStr">
        <is>
          <t>bareMinerals Strength &amp; Length Serum-Infused Brow Gel with Plant-Based Strengthening Serum Vegan Chestnut</t>
        </is>
      </c>
      <c r="C1520" t="inlineStr">
        <is>
          <t>Eyebrow Gel</t>
        </is>
      </c>
      <c r="D1520" t="inlineStr">
        <is>
          <t>Bareminerals</t>
        </is>
      </c>
      <c r="E1520" t="n">
        <v>16.65</v>
      </c>
      <c r="F1520" t="n">
        <v>1</v>
      </c>
      <c r="G1520" t="n">
        <v>3</v>
      </c>
      <c r="H1520" s="5">
        <f>HYPERLINK("https://api.qogita.com/variants/link/0194248095352/", "View Product")</f>
        <v/>
      </c>
    </row>
    <row r="1521">
      <c r="A1521" t="inlineStr">
        <is>
          <t>0194250000146</t>
        </is>
      </c>
      <c r="B1521" t="inlineStr">
        <is>
          <t>Laura Mercier Secret Camouflage Concealer Duo Stick 1W Light with Warm Undertones 0.06 oz</t>
        </is>
      </c>
      <c r="C1521" t="inlineStr">
        <is>
          <t>Concealer</t>
        </is>
      </c>
      <c r="D1521" t="inlineStr">
        <is>
          <t>Laura Mercier</t>
        </is>
      </c>
      <c r="E1521" t="n">
        <v>24.8</v>
      </c>
      <c r="F1521" t="n">
        <v>1</v>
      </c>
      <c r="G1521" t="n">
        <v>5</v>
      </c>
      <c r="H1521" s="5">
        <f>HYPERLINK("https://api.qogita.com/variants/link/0194250000146/", "View Product")</f>
        <v/>
      </c>
    </row>
    <row r="1522">
      <c r="A1522" t="inlineStr">
        <is>
          <t>0194250000221</t>
        </is>
      </c>
      <c r="B1522" t="inlineStr">
        <is>
          <t>Laura Mercier Secret Camouflage Concealer Duo Stick 2W Light with Warm Undertones 0.3oz</t>
        </is>
      </c>
      <c r="C1522" t="inlineStr">
        <is>
          <t>Concealer</t>
        </is>
      </c>
      <c r="D1522" t="inlineStr">
        <is>
          <t>Laura Mercier</t>
        </is>
      </c>
      <c r="E1522" t="n">
        <v>28.72</v>
      </c>
      <c r="F1522" t="n">
        <v>1</v>
      </c>
      <c r="G1522" t="n">
        <v>5</v>
      </c>
      <c r="H1522" s="5">
        <f>HYPERLINK("https://api.qogita.com/variants/link/0194250000221/", "View Product")</f>
        <v/>
      </c>
    </row>
    <row r="1523">
      <c r="A1523" t="inlineStr">
        <is>
          <t>0194250000429</t>
        </is>
      </c>
      <c r="B1523" t="inlineStr">
        <is>
          <t>Secret Camouflage Concealer Duo 5N</t>
        </is>
      </c>
      <c r="C1523" t="inlineStr">
        <is>
          <t>Concealer</t>
        </is>
      </c>
      <c r="D1523" t="inlineStr">
        <is>
          <t>Laura Mercier</t>
        </is>
      </c>
      <c r="E1523" t="n">
        <v>24.8</v>
      </c>
      <c r="F1523" t="n">
        <v>1</v>
      </c>
      <c r="G1523" t="n">
        <v>3</v>
      </c>
      <c r="H1523" s="5">
        <f>HYPERLINK("https://api.qogita.com/variants/link/0194250000429/", "View Product")</f>
        <v/>
      </c>
    </row>
    <row r="1524">
      <c r="A1524" t="inlineStr">
        <is>
          <t>0194250001815</t>
        </is>
      </c>
      <c r="B1524" t="inlineStr">
        <is>
          <t>Oil Free Natural Skin Perfector Tinted Moisturizer 50 ml Shade 2C1 Blush</t>
        </is>
      </c>
      <c r="C1524" t="inlineStr">
        <is>
          <t>Bb Cream &amp; Cc Cream</t>
        </is>
      </c>
      <c r="D1524" t="inlineStr">
        <is>
          <t>Laura Mercier</t>
        </is>
      </c>
      <c r="E1524" t="n">
        <v>36.3</v>
      </c>
      <c r="F1524" t="n">
        <v>1</v>
      </c>
      <c r="G1524" t="n">
        <v>6</v>
      </c>
      <c r="H1524" s="5">
        <f>HYPERLINK("https://api.qogita.com/variants/link/0194250001815/", "View Product")</f>
        <v/>
      </c>
    </row>
    <row r="1525">
      <c r="A1525" t="inlineStr">
        <is>
          <t>0194250002171</t>
        </is>
      </c>
      <c r="B1525" t="inlineStr">
        <is>
          <t>Laura Mercier Tinted Moisturizer Oil Free SPF20 50ml</t>
        </is>
      </c>
      <c r="C1525" t="inlineStr">
        <is>
          <t>Tinted Day Cream</t>
        </is>
      </c>
      <c r="D1525" t="inlineStr">
        <is>
          <t>Laura Mercier</t>
        </is>
      </c>
      <c r="E1525" t="n">
        <v>31.71</v>
      </c>
      <c r="F1525" t="n">
        <v>1</v>
      </c>
      <c r="G1525" t="n">
        <v>5</v>
      </c>
      <c r="H1525" s="5">
        <f>HYPERLINK("https://api.qogita.com/variants/link/0194250002171/", "View Product")</f>
        <v/>
      </c>
    </row>
    <row r="1526">
      <c r="A1526" t="inlineStr">
        <is>
          <t>0194250002591</t>
        </is>
      </c>
      <c r="B1526" t="inlineStr">
        <is>
          <t>Laura Mercier Tinted Moisturizer Oil Free Natural Skin Perfector Spf 20 - 50 Ml In 6n1 Mocha</t>
        </is>
      </c>
      <c r="C1526" t="inlineStr">
        <is>
          <t>Foundation</t>
        </is>
      </c>
      <c r="D1526" t="inlineStr">
        <is>
          <t>Laura Mercier</t>
        </is>
      </c>
      <c r="E1526" t="n">
        <v>36.26</v>
      </c>
      <c r="F1526" t="n">
        <v>1</v>
      </c>
      <c r="G1526" t="n">
        <v>3</v>
      </c>
      <c r="H1526" s="5">
        <f>HYPERLINK("https://api.qogita.com/variants/link/0194250002591/", "View Product")</f>
        <v/>
      </c>
    </row>
    <row r="1527">
      <c r="A1527" t="inlineStr">
        <is>
          <t>0194250010350</t>
        </is>
      </c>
      <c r="B1527" t="inlineStr">
        <is>
          <t>Laura Mercier Real Flawless Weightless Perfecting Foundation 1C2 Chiffon</t>
        </is>
      </c>
      <c r="C1527" t="inlineStr">
        <is>
          <t>Foundation</t>
        </is>
      </c>
      <c r="D1527" t="inlineStr">
        <is>
          <t>Laura Mercier</t>
        </is>
      </c>
      <c r="E1527" t="n">
        <v>36.23</v>
      </c>
      <c r="F1527" t="n">
        <v>1</v>
      </c>
      <c r="G1527" t="n">
        <v>4</v>
      </c>
      <c r="H1527" s="5">
        <f>HYPERLINK("https://api.qogita.com/variants/link/0194250010350/", "View Product")</f>
        <v/>
      </c>
    </row>
    <row r="1528">
      <c r="A1528" t="inlineStr">
        <is>
          <t>0194250010619</t>
        </is>
      </c>
      <c r="B1528" t="inlineStr">
        <is>
          <t>Laura Mercier True Flawless Weightless Perfecting Foundation 3N1 BUFF</t>
        </is>
      </c>
      <c r="C1528" t="inlineStr">
        <is>
          <t>Foundation</t>
        </is>
      </c>
      <c r="D1528" t="inlineStr">
        <is>
          <t>Laura Mercier</t>
        </is>
      </c>
      <c r="E1528" t="n">
        <v>36.23</v>
      </c>
      <c r="F1528" t="n">
        <v>1</v>
      </c>
      <c r="G1528" t="n">
        <v>5</v>
      </c>
      <c r="H1528" s="5">
        <f>HYPERLINK("https://api.qogita.com/variants/link/0194250010619/", "View Product")</f>
        <v/>
      </c>
    </row>
    <row r="1529">
      <c r="A1529" t="inlineStr">
        <is>
          <t>0194250010695</t>
        </is>
      </c>
      <c r="B1529" t="inlineStr">
        <is>
          <t>Laura Mercier Real Flawless Foundation - 30 Ml</t>
        </is>
      </c>
      <c r="C1529" t="inlineStr">
        <is>
          <t>Foundation</t>
        </is>
      </c>
      <c r="D1529" t="inlineStr">
        <is>
          <t>Laura Mercier</t>
        </is>
      </c>
      <c r="E1529" t="n">
        <v>36.23</v>
      </c>
      <c r="F1529" t="n">
        <v>1</v>
      </c>
      <c r="G1529" t="n">
        <v>3</v>
      </c>
      <c r="H1529" s="5">
        <f>HYPERLINK("https://api.qogita.com/variants/link/0194250010695/", "View Product")</f>
        <v/>
      </c>
    </row>
    <row r="1530">
      <c r="A1530" t="inlineStr">
        <is>
          <t>0194250018486</t>
        </is>
      </c>
      <c r="B1530" t="inlineStr">
        <is>
          <t>Laura Mercier Women's Tinted Moisturizer Blush Southbound Pink 15ml 0.5 FL OZ LIQ US</t>
        </is>
      </c>
      <c r="C1530" t="inlineStr">
        <is>
          <t>Blush</t>
        </is>
      </c>
      <c r="D1530" t="inlineStr">
        <is>
          <t>Laura Mercier</t>
        </is>
      </c>
      <c r="E1530" t="n">
        <v>24.64</v>
      </c>
      <c r="F1530" t="n">
        <v>1</v>
      </c>
      <c r="G1530" t="n">
        <v>5</v>
      </c>
      <c r="H1530" s="5">
        <f>HYPERLINK("https://api.qogita.com/variants/link/0194250018486/", "View Product")</f>
        <v/>
      </c>
    </row>
    <row r="1531">
      <c r="A1531" t="inlineStr">
        <is>
          <t>0194250018509</t>
        </is>
      </c>
      <c r="B1531" t="inlineStr">
        <is>
          <t>Laura Mercier Women's Tinted Moisturizer Blush Provence Pink 0.5 oz 15 mL</t>
        </is>
      </c>
      <c r="C1531" t="inlineStr">
        <is>
          <t>Blush</t>
        </is>
      </c>
      <c r="D1531" t="inlineStr">
        <is>
          <t>Laura Mercier</t>
        </is>
      </c>
      <c r="E1531" t="n">
        <v>24.64</v>
      </c>
      <c r="F1531" t="n">
        <v>1</v>
      </c>
      <c r="G1531" t="n">
        <v>15</v>
      </c>
      <c r="H1531" s="5">
        <f>HYPERLINK("https://api.qogita.com/variants/link/0194250018509/", "View Product")</f>
        <v/>
      </c>
    </row>
    <row r="1532">
      <c r="A1532" t="inlineStr">
        <is>
          <t>0194250018608</t>
        </is>
      </c>
      <c r="B1532" t="inlineStr">
        <is>
          <t>Laura Mercier Women's Tinted Moisturizer Blush Coastline Pink 0.5 Fl Oz</t>
        </is>
      </c>
      <c r="C1532" t="inlineStr">
        <is>
          <t>Blush</t>
        </is>
      </c>
      <c r="D1532" t="inlineStr">
        <is>
          <t>Laura Mercier</t>
        </is>
      </c>
      <c r="E1532" t="n">
        <v>19.77</v>
      </c>
      <c r="F1532" t="n">
        <v>1</v>
      </c>
      <c r="G1532" t="n">
        <v>4</v>
      </c>
      <c r="H1532" s="5">
        <f>HYPERLINK("https://api.qogita.com/variants/link/0194250018608/", "View Product")</f>
        <v/>
      </c>
    </row>
    <row r="1533">
      <c r="A1533" t="inlineStr">
        <is>
          <t>0194250022193</t>
        </is>
      </c>
      <c r="B1533" t="inlineStr">
        <is>
          <t>Laura Mercier Lip Glace 110 Macaron for Women 0.15 oz Lip Gloss 4.25g</t>
        </is>
      </c>
      <c r="C1533" t="inlineStr">
        <is>
          <t>Lip Gloss</t>
        </is>
      </c>
      <c r="D1533" t="inlineStr">
        <is>
          <t>Laura Mercier</t>
        </is>
      </c>
      <c r="E1533" t="n">
        <v>22.87</v>
      </c>
      <c r="F1533" t="n">
        <v>1</v>
      </c>
      <c r="G1533" t="n">
        <v>5</v>
      </c>
      <c r="H1533" s="5">
        <f>HYPERLINK("https://api.qogita.com/variants/link/0194250022193/", "View Product")</f>
        <v/>
      </c>
    </row>
    <row r="1534">
      <c r="A1534" t="inlineStr">
        <is>
          <t>0194250033809</t>
        </is>
      </c>
      <c r="B1534" t="inlineStr">
        <is>
          <t>Laura Mercier Medium Velour Puff 2 Pack</t>
        </is>
      </c>
      <c r="C1534" t="inlineStr">
        <is>
          <t>Makeup Sponges</t>
        </is>
      </c>
      <c r="D1534" t="inlineStr">
        <is>
          <t>Laura Mercier</t>
        </is>
      </c>
      <c r="E1534" t="n">
        <v>15.26</v>
      </c>
      <c r="F1534" t="n">
        <v>1</v>
      </c>
      <c r="G1534" t="n">
        <v>9</v>
      </c>
      <c r="H1534" s="5">
        <f>HYPERLINK("https://api.qogita.com/variants/link/0194250033809/", "View Product")</f>
        <v/>
      </c>
    </row>
    <row r="1535">
      <c r="A1535" t="inlineStr">
        <is>
          <t>0194250039511</t>
        </is>
      </c>
      <c r="B1535" t="inlineStr">
        <is>
          <t>Tinted Moisturizing Skin Cream (Tinted Moisturizer Light Revealer) 50 ml Shade 0W1 Pearl</t>
        </is>
      </c>
      <c r="C1535" t="inlineStr">
        <is>
          <t>Bb Cream &amp; Cc Cream</t>
        </is>
      </c>
      <c r="D1535" t="inlineStr">
        <is>
          <t>Laura Mercier</t>
        </is>
      </c>
      <c r="E1535" t="n">
        <v>32.73</v>
      </c>
      <c r="F1535" t="n">
        <v>1</v>
      </c>
      <c r="G1535" t="n">
        <v>2</v>
      </c>
      <c r="H1535" s="5">
        <f>HYPERLINK("https://api.qogita.com/variants/link/0194250039511/", "View Product")</f>
        <v/>
      </c>
    </row>
    <row r="1536">
      <c r="A1536" t="inlineStr">
        <is>
          <t>0194250040418</t>
        </is>
      </c>
      <c r="B1536" t="inlineStr">
        <is>
          <t>Laura Mercier Tinted Moisturizer Light Revealer - Tonovany Hydratacni Pletovy Krem 50 Ml 5w1 Tan</t>
        </is>
      </c>
      <c r="C1536" t="inlineStr">
        <is>
          <t>Bb Cream &amp; Cc Cream</t>
        </is>
      </c>
      <c r="D1536" t="inlineStr">
        <is>
          <t>Laura Mercier</t>
        </is>
      </c>
      <c r="E1536" t="n">
        <v>32.17</v>
      </c>
      <c r="F1536" t="n">
        <v>1</v>
      </c>
      <c r="G1536" t="n">
        <v>5</v>
      </c>
      <c r="H1536" s="5">
        <f>HYPERLINK("https://api.qogita.com/variants/link/0194250040418/", "View Product")</f>
        <v/>
      </c>
    </row>
    <row r="1537">
      <c r="A1537" t="inlineStr">
        <is>
          <t>0194250043068</t>
        </is>
      </c>
      <c r="B1537" t="inlineStr">
        <is>
          <t>Laura Mercier Women's Tinted Moisturizer Blush Croisette Pink 0.5 oz 15 mL</t>
        </is>
      </c>
      <c r="C1537" t="inlineStr">
        <is>
          <t>Blush</t>
        </is>
      </c>
      <c r="D1537" t="inlineStr">
        <is>
          <t>Laura Mercier</t>
        </is>
      </c>
      <c r="E1537" t="n">
        <v>19.77</v>
      </c>
      <c r="F1537" t="n">
        <v>1</v>
      </c>
      <c r="G1537" t="n">
        <v>5</v>
      </c>
      <c r="H1537" s="5">
        <f>HYPERLINK("https://api.qogita.com/variants/link/0194250043068/", "View Product")</f>
        <v/>
      </c>
    </row>
    <row r="1538">
      <c r="A1538" t="inlineStr">
        <is>
          <t>0194250050554</t>
        </is>
      </c>
      <c r="B1538" t="inlineStr">
        <is>
          <t>High Vibe Lip Color 2g Shade 103 Peek</t>
        </is>
      </c>
      <c r="C1538" t="inlineStr">
        <is>
          <t>Lipstick</t>
        </is>
      </c>
      <c r="D1538" t="inlineStr">
        <is>
          <t>Laura Mercier</t>
        </is>
      </c>
      <c r="E1538" t="n">
        <v>21.83</v>
      </c>
      <c r="F1538" t="n">
        <v>1</v>
      </c>
      <c r="G1538" t="n">
        <v>5</v>
      </c>
      <c r="H1538" s="5">
        <f>HYPERLINK("https://api.qogita.com/variants/link/0194250050554/", "View Product")</f>
        <v/>
      </c>
    </row>
    <row r="1539">
      <c r="A1539" t="inlineStr">
        <is>
          <t>0194250050714</t>
        </is>
      </c>
      <c r="B1539" t="inlineStr">
        <is>
          <t>Tinted Moisturizer Bronzer 15 ml Shade Sunshine</t>
        </is>
      </c>
      <c r="C1539" t="inlineStr">
        <is>
          <t>Bronzer</t>
        </is>
      </c>
      <c r="D1539" t="inlineStr">
        <is>
          <t>Laura Mercier</t>
        </is>
      </c>
      <c r="E1539" t="n">
        <v>19.77</v>
      </c>
      <c r="F1539" t="n">
        <v>1</v>
      </c>
      <c r="G1539" t="n">
        <v>4</v>
      </c>
      <c r="H1539" s="5">
        <f>HYPERLINK("https://api.qogita.com/variants/link/0194250050714/", "View Product")</f>
        <v/>
      </c>
    </row>
    <row r="1540">
      <c r="A1540" t="inlineStr">
        <is>
          <t>0194250050813</t>
        </is>
      </c>
      <c r="B1540" t="inlineStr">
        <is>
          <t>Tinted Moisturizer Bronzer 15 ml Shade Sunspell</t>
        </is>
      </c>
      <c r="C1540" t="inlineStr">
        <is>
          <t>Bronzer</t>
        </is>
      </c>
      <c r="D1540" t="inlineStr">
        <is>
          <t>Laura Mercier</t>
        </is>
      </c>
      <c r="E1540" t="n">
        <v>19.77</v>
      </c>
      <c r="F1540" t="n">
        <v>1</v>
      </c>
      <c r="G1540" t="n">
        <v>5</v>
      </c>
      <c r="H1540" s="5">
        <f>HYPERLINK("https://api.qogita.com/variants/link/0194250050813/", "View Product")</f>
        <v/>
      </c>
    </row>
    <row r="1541">
      <c r="A1541" t="inlineStr">
        <is>
          <t>0194250051551</t>
        </is>
      </c>
      <c r="B1541" t="inlineStr">
        <is>
          <t>Caviar Tightline Eyeliner 1.2 g Shade Tuxedo</t>
        </is>
      </c>
      <c r="C1541" t="inlineStr">
        <is>
          <t>Eyeliner</t>
        </is>
      </c>
      <c r="D1541" t="inlineStr">
        <is>
          <t>Laura Mercier</t>
        </is>
      </c>
      <c r="E1541" t="n">
        <v>20.88</v>
      </c>
      <c r="F1541" t="n">
        <v>1</v>
      </c>
      <c r="G1541" t="n">
        <v>5</v>
      </c>
      <c r="H1541" s="5">
        <f>HYPERLINK("https://api.qogita.com/variants/link/0194250051551/", "View Product")</f>
        <v/>
      </c>
    </row>
    <row r="1542">
      <c r="A1542" t="inlineStr">
        <is>
          <t>0194250058666</t>
        </is>
      </c>
      <c r="B1542" t="inlineStr">
        <is>
          <t>Laura Mercier Caviar Stick Eye Shadow</t>
        </is>
      </c>
      <c r="C1542" t="inlineStr">
        <is>
          <t>Eyeshadow</t>
        </is>
      </c>
      <c r="D1542" t="inlineStr">
        <is>
          <t>Laura Mercier</t>
        </is>
      </c>
      <c r="E1542" t="n">
        <v>23.25</v>
      </c>
      <c r="F1542" t="n">
        <v>1</v>
      </c>
      <c r="G1542" t="n">
        <v>7</v>
      </c>
      <c r="H1542" s="5">
        <f>HYPERLINK("https://api.qogita.com/variants/link/0194250058666/", "View Product")</f>
        <v/>
      </c>
    </row>
    <row r="1543">
      <c r="A1543" t="inlineStr">
        <is>
          <t>0194250058703</t>
        </is>
      </c>
      <c r="B1543" t="inlineStr">
        <is>
          <t>Laura Mercier Caviar Stick Matte Eye Shadow Au Naturel</t>
        </is>
      </c>
      <c r="C1543" t="inlineStr">
        <is>
          <t>Eyeshadow</t>
        </is>
      </c>
      <c r="D1543" t="inlineStr">
        <is>
          <t>Laura Mercier</t>
        </is>
      </c>
      <c r="E1543" t="n">
        <v>25.01</v>
      </c>
      <c r="F1543" t="n">
        <v>1</v>
      </c>
      <c r="G1543" t="n">
        <v>14</v>
      </c>
      <c r="H1543" s="5">
        <f>HYPERLINK("https://api.qogita.com/variants/link/0194250058703/", "View Product")</f>
        <v/>
      </c>
    </row>
    <row r="1544">
      <c r="A1544" t="inlineStr">
        <is>
          <t>0194250059328</t>
        </is>
      </c>
      <c r="B1544" t="inlineStr">
        <is>
          <t>Liquid Corrector (Real Flawless Concealer) 5.4 ml Shade 0N1</t>
        </is>
      </c>
      <c r="C1544" t="inlineStr">
        <is>
          <t>Concealer</t>
        </is>
      </c>
      <c r="D1544" t="inlineStr">
        <is>
          <t>Laura Mercier</t>
        </is>
      </c>
      <c r="E1544" t="n">
        <v>21.55</v>
      </c>
      <c r="F1544" t="n">
        <v>1</v>
      </c>
      <c r="G1544" t="n">
        <v>5</v>
      </c>
      <c r="H1544" s="5">
        <f>HYPERLINK("https://api.qogita.com/variants/link/0194250059328/", "View Product")</f>
        <v/>
      </c>
    </row>
    <row r="1545">
      <c r="A1545" t="inlineStr">
        <is>
          <t>0194250059342</t>
        </is>
      </c>
      <c r="B1545" t="inlineStr">
        <is>
          <t>Liquid Corrector (Real Flawless Concealer) 5.4 ml Shade 0W1</t>
        </is>
      </c>
      <c r="C1545" t="inlineStr">
        <is>
          <t>Concealer</t>
        </is>
      </c>
      <c r="D1545" t="inlineStr">
        <is>
          <t>Laura Mercier</t>
        </is>
      </c>
      <c r="E1545" t="n">
        <v>21.55</v>
      </c>
      <c r="F1545" t="n">
        <v>1</v>
      </c>
      <c r="G1545" t="n">
        <v>6</v>
      </c>
      <c r="H1545" s="5">
        <f>HYPERLINK("https://api.qogita.com/variants/link/0194250059342/", "View Product")</f>
        <v/>
      </c>
    </row>
    <row r="1546">
      <c r="A1546" t="inlineStr">
        <is>
          <t>0194250059427</t>
        </is>
      </c>
      <c r="B1546" t="inlineStr">
        <is>
          <t>Liquid Corrector (Real Flawless Concealer) 5.4 ml Shade 2C1</t>
        </is>
      </c>
      <c r="C1546" t="inlineStr">
        <is>
          <t>Concealer</t>
        </is>
      </c>
      <c r="D1546" t="inlineStr">
        <is>
          <t>Laura Mercier</t>
        </is>
      </c>
      <c r="E1546" t="n">
        <v>21.51</v>
      </c>
      <c r="F1546" t="n">
        <v>1</v>
      </c>
      <c r="G1546" t="n">
        <v>7</v>
      </c>
      <c r="H1546" s="5">
        <f>HYPERLINK("https://api.qogita.com/variants/link/0194250059427/", "View Product")</f>
        <v/>
      </c>
    </row>
    <row r="1547">
      <c r="A1547" t="inlineStr">
        <is>
          <t>0194250059441</t>
        </is>
      </c>
      <c r="B1547" t="inlineStr">
        <is>
          <t>Liquid Corrector (Real Flawless Concealer) 5.4 ml Shade 2C2</t>
        </is>
      </c>
      <c r="C1547" t="inlineStr">
        <is>
          <t>Concealer</t>
        </is>
      </c>
      <c r="D1547" t="inlineStr">
        <is>
          <t>Laura Mercier</t>
        </is>
      </c>
      <c r="E1547" t="n">
        <v>21.55</v>
      </c>
      <c r="F1547" t="n">
        <v>1</v>
      </c>
      <c r="G1547" t="n">
        <v>6</v>
      </c>
      <c r="H1547" s="5">
        <f>HYPERLINK("https://api.qogita.com/variants/link/0194250059441/", "View Product")</f>
        <v/>
      </c>
    </row>
    <row r="1548">
      <c r="A1548" t="inlineStr">
        <is>
          <t>0194250059465</t>
        </is>
      </c>
      <c r="B1548" t="inlineStr">
        <is>
          <t>Liquid Corrector (Real Flawless Concealer) 5.4 ml Shade 2N1</t>
        </is>
      </c>
      <c r="C1548" t="inlineStr">
        <is>
          <t>Concealer</t>
        </is>
      </c>
      <c r="D1548" t="inlineStr">
        <is>
          <t>Laura Mercier</t>
        </is>
      </c>
      <c r="E1548" t="n">
        <v>24.95</v>
      </c>
      <c r="F1548" t="n">
        <v>1</v>
      </c>
      <c r="G1548" t="n">
        <v>4</v>
      </c>
      <c r="H1548" s="5">
        <f>HYPERLINK("https://api.qogita.com/variants/link/0194250059465/", "View Product")</f>
        <v/>
      </c>
    </row>
    <row r="1549">
      <c r="A1549" t="inlineStr">
        <is>
          <t>0194250059489</t>
        </is>
      </c>
      <c r="B1549" t="inlineStr">
        <is>
          <t>Liquid Corrector (Real Flawless Concealer) 5.4 ml Shade 2W1</t>
        </is>
      </c>
      <c r="C1549" t="inlineStr">
        <is>
          <t>Concealer</t>
        </is>
      </c>
      <c r="D1549" t="inlineStr">
        <is>
          <t>Laura Mercier</t>
        </is>
      </c>
      <c r="E1549" t="n">
        <v>24.31</v>
      </c>
      <c r="F1549" t="n">
        <v>1</v>
      </c>
      <c r="G1549" t="n">
        <v>5</v>
      </c>
      <c r="H1549" s="5">
        <f>HYPERLINK("https://api.qogita.com/variants/link/0194250059489/", "View Product")</f>
        <v/>
      </c>
    </row>
    <row r="1550">
      <c r="A1550" t="inlineStr">
        <is>
          <t>0194250059502</t>
        </is>
      </c>
      <c r="B1550" t="inlineStr">
        <is>
          <t>Liquid Corrector (Real Flawless Concealer) 5.4 ml Shade 3N1</t>
        </is>
      </c>
      <c r="C1550" t="inlineStr">
        <is>
          <t>Concealer</t>
        </is>
      </c>
      <c r="D1550" t="inlineStr">
        <is>
          <t>Laura Mercier</t>
        </is>
      </c>
      <c r="E1550" t="n">
        <v>21.55</v>
      </c>
      <c r="F1550" t="n">
        <v>1</v>
      </c>
      <c r="G1550" t="n">
        <v>5</v>
      </c>
      <c r="H1550" s="5">
        <f>HYPERLINK("https://api.qogita.com/variants/link/0194250059502/", "View Product")</f>
        <v/>
      </c>
    </row>
    <row r="1551">
      <c r="A1551" t="inlineStr">
        <is>
          <t>0194250059540</t>
        </is>
      </c>
      <c r="B1551" t="inlineStr">
        <is>
          <t>Liquid Corrector (Real Flawless Concealer) 5.4 ml Shade 3W2</t>
        </is>
      </c>
      <c r="C1551" t="inlineStr">
        <is>
          <t>Concealer</t>
        </is>
      </c>
      <c r="D1551" t="inlineStr">
        <is>
          <t>Laura Mercier</t>
        </is>
      </c>
      <c r="E1551" t="n">
        <v>21.55</v>
      </c>
      <c r="F1551" t="n">
        <v>1</v>
      </c>
      <c r="G1551" t="n">
        <v>7</v>
      </c>
      <c r="H1551" s="5">
        <f>HYPERLINK("https://api.qogita.com/variants/link/0194250059540/", "View Product")</f>
        <v/>
      </c>
    </row>
    <row r="1552">
      <c r="A1552" t="inlineStr">
        <is>
          <t>0194250059564</t>
        </is>
      </c>
      <c r="B1552" t="inlineStr">
        <is>
          <t>Liquid Corrector (Real Flawless Concealer) 5.4 ml Shade 4C0</t>
        </is>
      </c>
      <c r="C1552" t="inlineStr">
        <is>
          <t>Concealer</t>
        </is>
      </c>
      <c r="D1552" t="inlineStr">
        <is>
          <t>Laura Mercier</t>
        </is>
      </c>
      <c r="E1552" t="n">
        <v>21.55</v>
      </c>
      <c r="F1552" t="n">
        <v>1</v>
      </c>
      <c r="G1552" t="n">
        <v>7</v>
      </c>
      <c r="H1552" s="5">
        <f>HYPERLINK("https://api.qogita.com/variants/link/0194250059564/", "View Product")</f>
        <v/>
      </c>
    </row>
    <row r="1553">
      <c r="A1553" t="inlineStr">
        <is>
          <t>0194250059687</t>
        </is>
      </c>
      <c r="B1553" t="inlineStr">
        <is>
          <t>Laura Mercier Real Flawless Concealer - 5.4 Ml</t>
        </is>
      </c>
      <c r="C1553" t="inlineStr">
        <is>
          <t>Concealer</t>
        </is>
      </c>
      <c r="D1553" t="inlineStr">
        <is>
          <t>Laura Mercier</t>
        </is>
      </c>
      <c r="E1553" t="n">
        <v>24.51</v>
      </c>
      <c r="F1553" t="n">
        <v>1</v>
      </c>
      <c r="G1553" t="n">
        <v>5</v>
      </c>
      <c r="H1553" s="5">
        <f>HYPERLINK("https://api.qogita.com/variants/link/0194250059687/", "View Product")</f>
        <v/>
      </c>
    </row>
    <row r="1554">
      <c r="A1554" t="inlineStr">
        <is>
          <t>0194250066593</t>
        </is>
      </c>
      <c r="B1554" t="inlineStr">
        <is>
          <t>Laura Mercier Caviar Smoothing Matte Lipstick Refill - 3.8 G</t>
        </is>
      </c>
      <c r="C1554" t="inlineStr">
        <is>
          <t>Lipstick</t>
        </is>
      </c>
      <c r="D1554" t="inlineStr">
        <is>
          <t>Laura Mercier</t>
        </is>
      </c>
      <c r="E1554" t="n">
        <v>20.52</v>
      </c>
      <c r="F1554" t="n">
        <v>1</v>
      </c>
      <c r="G1554" t="n">
        <v>3</v>
      </c>
      <c r="H1554" s="5">
        <f>HYPERLINK("https://api.qogita.com/variants/link/0194250066593/", "View Product")</f>
        <v/>
      </c>
    </row>
    <row r="1555">
      <c r="A1555" t="inlineStr">
        <is>
          <t>0194250066654</t>
        </is>
      </c>
      <c r="B1555" t="inlineStr">
        <is>
          <t>Laura Mercier Caviar Smoothing Matte Lipstick Refill - 3.8 G</t>
        </is>
      </c>
      <c r="C1555" t="inlineStr">
        <is>
          <t>Lipstick</t>
        </is>
      </c>
      <c r="D1555" t="inlineStr">
        <is>
          <t>Laura Mercier</t>
        </is>
      </c>
      <c r="E1555" t="n">
        <v>20.52</v>
      </c>
      <c r="F1555" t="n">
        <v>1</v>
      </c>
      <c r="G1555" t="n">
        <v>5</v>
      </c>
      <c r="H1555" s="5">
        <f>HYPERLINK("https://api.qogita.com/variants/link/0194250066654/", "View Product")</f>
        <v/>
      </c>
    </row>
    <row r="1556">
      <c r="A1556" t="inlineStr">
        <is>
          <t>0194250066678</t>
        </is>
      </c>
      <c r="B1556" t="inlineStr">
        <is>
          <t>Laura Mercier Caviar Smoothing Matte Lipstick Refill - 3.8 G</t>
        </is>
      </c>
      <c r="C1556" t="inlineStr">
        <is>
          <t>Lipstick</t>
        </is>
      </c>
      <c r="D1556" t="inlineStr">
        <is>
          <t>Laura Mercier</t>
        </is>
      </c>
      <c r="E1556" t="n">
        <v>20.52</v>
      </c>
      <c r="F1556" t="n">
        <v>1</v>
      </c>
      <c r="G1556" t="n">
        <v>4</v>
      </c>
      <c r="H1556" s="5">
        <f>HYPERLINK("https://api.qogita.com/variants/link/0194250066678/", "View Product")</f>
        <v/>
      </c>
    </row>
    <row r="1557">
      <c r="A1557" t="inlineStr">
        <is>
          <t>0194250066715</t>
        </is>
      </c>
      <c r="B1557" t="inlineStr">
        <is>
          <t>Laura Mercier Caviar Smoothing Matte Lipstick Refill - 3.8 G</t>
        </is>
      </c>
      <c r="C1557" t="inlineStr">
        <is>
          <t>Lipstick</t>
        </is>
      </c>
      <c r="D1557" t="inlineStr">
        <is>
          <t>Laura Mercier</t>
        </is>
      </c>
      <c r="E1557" t="n">
        <v>20.52</v>
      </c>
      <c r="F1557" t="n">
        <v>1</v>
      </c>
      <c r="G1557" t="n">
        <v>4</v>
      </c>
      <c r="H1557" s="5">
        <f>HYPERLINK("https://api.qogita.com/variants/link/0194250066715/", "View Product")</f>
        <v/>
      </c>
    </row>
    <row r="1558">
      <c r="A1558" t="inlineStr">
        <is>
          <t>0194250066753</t>
        </is>
      </c>
      <c r="B1558" t="inlineStr">
        <is>
          <t>Laura Mercier Caviar Smoothing Matte Lipstick Refill - 3.8 G</t>
        </is>
      </c>
      <c r="C1558" t="inlineStr">
        <is>
          <t>Lipstick</t>
        </is>
      </c>
      <c r="D1558" t="inlineStr">
        <is>
          <t>Laura Mercier</t>
        </is>
      </c>
      <c r="E1558" t="n">
        <v>20.52</v>
      </c>
      <c r="F1558" t="n">
        <v>1</v>
      </c>
      <c r="G1558" t="n">
        <v>4</v>
      </c>
      <c r="H1558" s="5">
        <f>HYPERLINK("https://api.qogita.com/variants/link/0194250066753/", "View Product")</f>
        <v/>
      </c>
    </row>
    <row r="1559">
      <c r="A1559" t="inlineStr">
        <is>
          <t>0194250066845</t>
        </is>
      </c>
      <c r="B1559" t="inlineStr">
        <is>
          <t>Laura Mercier Caviar Perfecting Lip Liner - 1.1 Grams</t>
        </is>
      </c>
      <c r="C1559" t="inlineStr">
        <is>
          <t>Lip Liner</t>
        </is>
      </c>
      <c r="D1559" t="inlineStr">
        <is>
          <t>Laura Mercier</t>
        </is>
      </c>
      <c r="E1559" t="n">
        <v>20.52</v>
      </c>
      <c r="F1559" t="n">
        <v>1</v>
      </c>
      <c r="G1559" t="n">
        <v>3</v>
      </c>
      <c r="H1559" s="5">
        <f>HYPERLINK("https://api.qogita.com/variants/link/0194250066845/", "View Product")</f>
        <v/>
      </c>
    </row>
    <row r="1560">
      <c r="A1560" t="inlineStr">
        <is>
          <t>0194250066876</t>
        </is>
      </c>
      <c r="B1560" t="inlineStr">
        <is>
          <t>Laura Mercier Caviar Perfecting Lip Liner 1.1 G</t>
        </is>
      </c>
      <c r="C1560" t="inlineStr">
        <is>
          <t>Lip Liner</t>
        </is>
      </c>
      <c r="D1560" t="inlineStr">
        <is>
          <t>Laura Mercier</t>
        </is>
      </c>
      <c r="E1560" t="n">
        <v>20.52</v>
      </c>
      <c r="F1560" t="n">
        <v>1</v>
      </c>
      <c r="G1560" t="n">
        <v>3</v>
      </c>
      <c r="H1560" s="5">
        <f>HYPERLINK("https://api.qogita.com/variants/link/0194250066876/", "View Product")</f>
        <v/>
      </c>
    </row>
    <row r="1561">
      <c r="A1561" t="inlineStr">
        <is>
          <t>0194250066944</t>
        </is>
      </c>
      <c r="B1561" t="inlineStr">
        <is>
          <t>Laura Mercier Caviar Smoothing Matte Lipstick - 3.8 G</t>
        </is>
      </c>
      <c r="C1561" t="inlineStr">
        <is>
          <t>Lipstick</t>
        </is>
      </c>
      <c r="D1561" t="inlineStr">
        <is>
          <t>Laura Mercier</t>
        </is>
      </c>
      <c r="E1561" t="n">
        <v>32.15</v>
      </c>
      <c r="F1561" t="n">
        <v>1</v>
      </c>
      <c r="G1561" t="n">
        <v>5</v>
      </c>
      <c r="H1561" s="5">
        <f>HYPERLINK("https://api.qogita.com/variants/link/0194250066944/", "View Product")</f>
        <v/>
      </c>
    </row>
    <row r="1562">
      <c r="A1562" t="inlineStr">
        <is>
          <t>0194250066951</t>
        </is>
      </c>
      <c r="B1562" t="inlineStr">
        <is>
          <t>Laura Mercier Caviar Smoothing Matte Lipstick - 3.8 G</t>
        </is>
      </c>
      <c r="C1562" t="inlineStr">
        <is>
          <t>Lipstick</t>
        </is>
      </c>
      <c r="D1562" t="inlineStr">
        <is>
          <t>Laura Mercier</t>
        </is>
      </c>
      <c r="E1562" t="n">
        <v>32.15</v>
      </c>
      <c r="F1562" t="n">
        <v>1</v>
      </c>
      <c r="G1562" t="n">
        <v>3</v>
      </c>
      <c r="H1562" s="5">
        <f>HYPERLINK("https://api.qogita.com/variants/link/0194250066951/", "View Product")</f>
        <v/>
      </c>
    </row>
    <row r="1563">
      <c r="A1563" t="inlineStr">
        <is>
          <t>0194250066968</t>
        </is>
      </c>
      <c r="B1563" t="inlineStr">
        <is>
          <t>Laura Mercier Caviar Smoothing Matte Lipstick - 3.8 Grams</t>
        </is>
      </c>
      <c r="C1563" t="inlineStr">
        <is>
          <t>Lipstick</t>
        </is>
      </c>
      <c r="D1563" t="inlineStr">
        <is>
          <t>Laura Mercier</t>
        </is>
      </c>
      <c r="E1563" t="n">
        <v>32.15</v>
      </c>
      <c r="F1563" t="n">
        <v>1</v>
      </c>
      <c r="G1563" t="n">
        <v>5</v>
      </c>
      <c r="H1563" s="5">
        <f>HYPERLINK("https://api.qogita.com/variants/link/0194250066968/", "View Product")</f>
        <v/>
      </c>
    </row>
    <row r="1564">
      <c r="A1564" t="inlineStr">
        <is>
          <t>0194250067033</t>
        </is>
      </c>
      <c r="B1564" t="inlineStr">
        <is>
          <t>Laura Mercier Caviar Smoothing Matte Lipstick - 3.8 G</t>
        </is>
      </c>
      <c r="C1564" t="inlineStr">
        <is>
          <t>Lipstick</t>
        </is>
      </c>
      <c r="D1564" t="inlineStr">
        <is>
          <t>Laura Mercier</t>
        </is>
      </c>
      <c r="E1564" t="n">
        <v>33.36</v>
      </c>
      <c r="F1564" t="n">
        <v>1</v>
      </c>
      <c r="G1564" t="n">
        <v>4</v>
      </c>
      <c r="H1564" s="5">
        <f>HYPERLINK("https://api.qogita.com/variants/link/0194250067033/", "View Product")</f>
        <v/>
      </c>
    </row>
    <row r="1565">
      <c r="A1565" t="inlineStr">
        <is>
          <t>0194250078640</t>
        </is>
      </c>
      <c r="B1565" t="inlineStr">
        <is>
          <t>Laura Mercier Caviar Stick Eye Shadow - Shimmer Eye Shadow 1.64 G</t>
        </is>
      </c>
      <c r="C1565" t="inlineStr">
        <is>
          <t>Eyeshadow</t>
        </is>
      </c>
      <c r="D1565" t="inlineStr">
        <is>
          <t>Laura Mercier</t>
        </is>
      </c>
      <c r="E1565" t="n">
        <v>27.89</v>
      </c>
      <c r="F1565" t="n">
        <v>1</v>
      </c>
      <c r="G1565" t="n">
        <v>10</v>
      </c>
      <c r="H1565" s="5">
        <f>HYPERLINK("https://api.qogita.com/variants/link/0194250078640/", "View Product")</f>
        <v/>
      </c>
    </row>
    <row r="1566">
      <c r="A1566" t="inlineStr">
        <is>
          <t>0194250078749</t>
        </is>
      </c>
      <c r="B1566" t="inlineStr">
        <is>
          <t>Laura Mercier Caviar Stick Eye Shadow - Shimmer Eye Shadow 1.64 G</t>
        </is>
      </c>
      <c r="C1566" t="inlineStr">
        <is>
          <t>Eyeshadow</t>
        </is>
      </c>
      <c r="D1566" t="inlineStr">
        <is>
          <t>Laura Mercier</t>
        </is>
      </c>
      <c r="E1566" t="n">
        <v>27.89</v>
      </c>
      <c r="F1566" t="n">
        <v>1</v>
      </c>
      <c r="G1566" t="n">
        <v>7</v>
      </c>
      <c r="H1566" s="5">
        <f>HYPERLINK("https://api.qogita.com/variants/link/0194250078749/", "View Product")</f>
        <v/>
      </c>
    </row>
    <row r="1567">
      <c r="A1567" t="inlineStr">
        <is>
          <t>0194250086782</t>
        </is>
      </c>
      <c r="B1567" t="inlineStr">
        <is>
          <t>Laura Mercier Caviar Extravagant Volumizing And Lengthening Mascara Mini Mascara 4.5 Ml</t>
        </is>
      </c>
      <c r="C1567" t="inlineStr">
        <is>
          <t>Mascara</t>
        </is>
      </c>
      <c r="D1567" t="inlineStr">
        <is>
          <t>Laura Mercier</t>
        </is>
      </c>
      <c r="E1567" t="n">
        <v>12.4</v>
      </c>
      <c r="F1567" t="n">
        <v>1</v>
      </c>
      <c r="G1567" t="n">
        <v>5</v>
      </c>
      <c r="H1567" s="5">
        <f>HYPERLINK("https://api.qogita.com/variants/link/0194250086782/", "View Product")</f>
        <v/>
      </c>
    </row>
    <row r="1568">
      <c r="A1568" t="inlineStr">
        <is>
          <t>0309974677035</t>
        </is>
      </c>
      <c r="B1568" t="inlineStr">
        <is>
          <t>Revlon Colorstay Makeup 30ml 180 Sand Beige for Normal/Dry Skin</t>
        </is>
      </c>
      <c r="C1568" t="inlineStr">
        <is>
          <t>Foundation</t>
        </is>
      </c>
      <c r="D1568" t="inlineStr">
        <is>
          <t>Revlon</t>
        </is>
      </c>
      <c r="E1568" t="n">
        <v>5.14</v>
      </c>
      <c r="F1568" t="n">
        <v>1</v>
      </c>
      <c r="G1568" t="n">
        <v>3</v>
      </c>
      <c r="H1568" s="5">
        <f>HYPERLINK("https://api.qogita.com/variants/link/0309974677035/", "View Product")</f>
        <v/>
      </c>
    </row>
    <row r="1569">
      <c r="A1569" t="inlineStr">
        <is>
          <t>0309974677059</t>
        </is>
      </c>
      <c r="B1569" t="inlineStr">
        <is>
          <t>Revlon Colorstay Liquid Foundation Makeup for Normal/Dry Skin SPF 20</t>
        </is>
      </c>
      <c r="C1569" t="inlineStr">
        <is>
          <t>Foundation</t>
        </is>
      </c>
      <c r="D1569" t="inlineStr">
        <is>
          <t>Revlon</t>
        </is>
      </c>
      <c r="E1569" t="n">
        <v>5.02</v>
      </c>
      <c r="F1569" t="n">
        <v>1</v>
      </c>
      <c r="G1569" t="n">
        <v>7</v>
      </c>
      <c r="H1569" s="5">
        <f>HYPERLINK("https://api.qogita.com/variants/link/0309974677059/", "View Product")</f>
        <v/>
      </c>
    </row>
    <row r="1570">
      <c r="A1570" t="inlineStr">
        <is>
          <t>0309974677080</t>
        </is>
      </c>
      <c r="B1570" t="inlineStr">
        <is>
          <t>Revlon Finishers 320 True Beige 30ml</t>
        </is>
      </c>
      <c r="C1570" t="inlineStr">
        <is>
          <t>Foundation</t>
        </is>
      </c>
      <c r="D1570" t="inlineStr">
        <is>
          <t>Revlon</t>
        </is>
      </c>
      <c r="E1570" t="n">
        <v>4.79</v>
      </c>
      <c r="F1570" t="n">
        <v>1</v>
      </c>
      <c r="G1570" t="n">
        <v>11</v>
      </c>
      <c r="H1570" s="5">
        <f>HYPERLINK("https://api.qogita.com/variants/link/0309974677080/", "View Product")</f>
        <v/>
      </c>
    </row>
    <row r="1571">
      <c r="A1571" t="inlineStr">
        <is>
          <t>0309974700016</t>
        </is>
      </c>
      <c r="B1571" t="inlineStr">
        <is>
          <t>Revlon PROFESSIONAL Colorstay Makeup Combination/oily Skin #110 SPF15 Ivory 30g</t>
        </is>
      </c>
      <c r="C1571" t="inlineStr">
        <is>
          <t>Foundation</t>
        </is>
      </c>
      <c r="D1571" t="inlineStr">
        <is>
          <t>Revlon</t>
        </is>
      </c>
      <c r="E1571" t="n">
        <v>4.78</v>
      </c>
      <c r="F1571" t="n">
        <v>1</v>
      </c>
      <c r="G1571" t="n">
        <v>11</v>
      </c>
      <c r="H1571" s="5">
        <f>HYPERLINK("https://api.qogita.com/variants/link/0309974700016/", "View Product")</f>
        <v/>
      </c>
    </row>
    <row r="1572">
      <c r="A1572" t="inlineStr">
        <is>
          <t>0309974700108</t>
        </is>
      </c>
      <c r="B1572" t="inlineStr">
        <is>
          <t>Revlon Colorstay Liquid Foundation Makeup for Combination/Oily Skin SPF 15</t>
        </is>
      </c>
      <c r="C1572" t="inlineStr">
        <is>
          <t>Foundation</t>
        </is>
      </c>
      <c r="D1572" t="inlineStr">
        <is>
          <t>Revlon</t>
        </is>
      </c>
      <c r="E1572" t="n">
        <v>5.02</v>
      </c>
      <c r="F1572" t="n">
        <v>1</v>
      </c>
      <c r="G1572" t="n">
        <v>4</v>
      </c>
      <c r="H1572" s="5">
        <f>HYPERLINK("https://api.qogita.com/variants/link/0309974700108/", "View Product")</f>
        <v/>
      </c>
    </row>
    <row r="1573">
      <c r="A1573" t="inlineStr">
        <is>
          <t>0309974700115</t>
        </is>
      </c>
      <c r="B1573" t="inlineStr">
        <is>
          <t>Revlon Colorstay Liquid Foundation Makeup for Combination/Oily Skin SPF 15</t>
        </is>
      </c>
      <c r="C1573" t="inlineStr">
        <is>
          <t>Foundation</t>
        </is>
      </c>
      <c r="D1573" t="inlineStr">
        <is>
          <t>Revlon</t>
        </is>
      </c>
      <c r="E1573" t="n">
        <v>4.79</v>
      </c>
      <c r="F1573" t="n">
        <v>1</v>
      </c>
      <c r="G1573" t="n">
        <v>8</v>
      </c>
      <c r="H1573" s="5">
        <f>HYPERLINK("https://api.qogita.com/variants/link/0309974700115/", "View Product")</f>
        <v/>
      </c>
    </row>
    <row r="1574">
      <c r="A1574" t="inlineStr">
        <is>
          <t>0309974700153</t>
        </is>
      </c>
      <c r="B1574" t="inlineStr">
        <is>
          <t>Revlon Colorstay Liquid Foundation Makeup for Combination/Oily Skin SPF 15 Medium-Full Coverage with Matte Finish 30ml 370 Toast</t>
        </is>
      </c>
      <c r="C1574" t="inlineStr">
        <is>
          <t>Foundation</t>
        </is>
      </c>
      <c r="D1574" t="inlineStr">
        <is>
          <t>Revlon</t>
        </is>
      </c>
      <c r="E1574" t="n">
        <v>5.21</v>
      </c>
      <c r="F1574" t="n">
        <v>1</v>
      </c>
      <c r="G1574" t="n">
        <v>15</v>
      </c>
      <c r="H1574" s="5">
        <f>HYPERLINK("https://api.qogita.com/variants/link/0309974700153/", "View Product")</f>
        <v/>
      </c>
    </row>
    <row r="1575">
      <c r="A1575" t="inlineStr">
        <is>
          <t>0309974700177</t>
        </is>
      </c>
      <c r="B1575" t="inlineStr">
        <is>
          <t>Revlon Colorstay Liquid Foundation Makeup for Combination/Oily Skin SPF 15 - Longwear</t>
        </is>
      </c>
      <c r="C1575" t="inlineStr">
        <is>
          <t>Foundation</t>
        </is>
      </c>
      <c r="D1575" t="inlineStr">
        <is>
          <t>Revlon</t>
        </is>
      </c>
      <c r="E1575" t="n">
        <v>4.74</v>
      </c>
      <c r="F1575" t="n">
        <v>1</v>
      </c>
      <c r="G1575" t="n">
        <v>4</v>
      </c>
      <c r="H1575" s="5">
        <f>HYPERLINK("https://api.qogita.com/variants/link/0309974700177/", "View Product")</f>
        <v/>
      </c>
    </row>
    <row r="1576">
      <c r="A1576" t="inlineStr">
        <is>
          <t>0603531630014</t>
        </is>
      </c>
      <c r="B1576" t="inlineStr">
        <is>
          <t>Bijan Women Eau De Toilette Spray Perfume Cologne Fragrance for Her 75ml/2.5oz</t>
        </is>
      </c>
      <c r="C1576" t="inlineStr">
        <is>
          <t>Eau De Toilette</t>
        </is>
      </c>
      <c r="D1576" t="inlineStr">
        <is>
          <t>Bijan</t>
        </is>
      </c>
      <c r="E1576" t="n">
        <v>33.63</v>
      </c>
      <c r="F1576" t="n">
        <v>1</v>
      </c>
      <c r="G1576" t="n">
        <v>9</v>
      </c>
      <c r="H1576" s="5">
        <f>HYPERLINK("https://api.qogita.com/variants/link/0603531630014/", "View Product")</f>
        <v/>
      </c>
    </row>
    <row r="1577">
      <c r="A1577" t="inlineStr">
        <is>
          <t>0604565814364</t>
        </is>
      </c>
      <c r="B1577" t="inlineStr">
        <is>
          <t>Niacinamide Facial Cleansing Soap (Facial Cleansing Bar) 100g</t>
        </is>
      </c>
      <c r="C1577" t="inlineStr">
        <is>
          <t>Facial Soap</t>
        </is>
      </c>
      <c r="D1577" t="inlineStr">
        <is>
          <t>Carbon Theory</t>
        </is>
      </c>
      <c r="E1577" t="n">
        <v>6.64</v>
      </c>
      <c r="F1577" t="n">
        <v>1</v>
      </c>
      <c r="G1577" t="n">
        <v>5</v>
      </c>
      <c r="H1577" s="5">
        <f>HYPERLINK("https://api.qogita.com/variants/link/0604565814364/", "View Product")</f>
        <v/>
      </c>
    </row>
    <row r="1578">
      <c r="A1578" t="inlineStr">
        <is>
          <t>0607710002289</t>
        </is>
      </c>
      <c r="B1578" t="inlineStr">
        <is>
          <t>Smashbox Halo Healthy Glow 4-In-1 Perfecting Pen - 35 Ml</t>
        </is>
      </c>
      <c r="C1578" t="inlineStr">
        <is>
          <t>Bb Cream &amp; Cc Cream</t>
        </is>
      </c>
      <c r="D1578" t="inlineStr">
        <is>
          <t>Smashbox</t>
        </is>
      </c>
      <c r="E1578" t="n">
        <v>20.96</v>
      </c>
      <c r="F1578" t="n">
        <v>1</v>
      </c>
      <c r="G1578" t="n">
        <v>3</v>
      </c>
      <c r="H1578" s="5">
        <f>HYPERLINK("https://api.qogita.com/variants/link/0607710002289/", "View Product")</f>
        <v/>
      </c>
    </row>
    <row r="1579">
      <c r="A1579" t="inlineStr">
        <is>
          <t>0607710011052</t>
        </is>
      </c>
      <c r="B1579" t="inlineStr">
        <is>
          <t>Smashbox Shimmering Skin Perfector Highlighter - 7 Grams</t>
        </is>
      </c>
      <c r="C1579" t="inlineStr">
        <is>
          <t>Highlighter</t>
        </is>
      </c>
      <c r="D1579" t="inlineStr">
        <is>
          <t>Smashbox</t>
        </is>
      </c>
      <c r="E1579" t="n">
        <v>29.97</v>
      </c>
      <c r="F1579" t="n">
        <v>1</v>
      </c>
      <c r="G1579" t="n">
        <v>10</v>
      </c>
      <c r="H1579" s="5">
        <f>HYPERLINK("https://api.qogita.com/variants/link/0607710011052/", "View Product")</f>
        <v/>
      </c>
    </row>
    <row r="1580">
      <c r="A1580" t="inlineStr">
        <is>
          <t>0607710081932</t>
        </is>
      </c>
      <c r="B1580" t="inlineStr">
        <is>
          <t>Smashbox Studio Skin Flawless 24 Hour Concealer Light Medium Warm Golden 0.27 fl oz</t>
        </is>
      </c>
      <c r="C1580" t="inlineStr">
        <is>
          <t>Concealer</t>
        </is>
      </c>
      <c r="D1580" t="inlineStr">
        <is>
          <t>Smashbox</t>
        </is>
      </c>
      <c r="E1580" t="n">
        <v>18.61</v>
      </c>
      <c r="F1580" t="n">
        <v>1</v>
      </c>
      <c r="G1580" t="n">
        <v>18</v>
      </c>
      <c r="H1580" s="5">
        <f>HYPERLINK("https://api.qogita.com/variants/link/0607710081932/", "View Product")</f>
        <v/>
      </c>
    </row>
    <row r="1581">
      <c r="A1581" t="inlineStr">
        <is>
          <t>0607710086258</t>
        </is>
      </c>
      <c r="B1581" t="inlineStr">
        <is>
          <t>Smashbox Always On Skin-Balancing Foundation - 30 Ml</t>
        </is>
      </c>
      <c r="C1581" t="inlineStr">
        <is>
          <t>Foundation</t>
        </is>
      </c>
      <c r="D1581" t="inlineStr">
        <is>
          <t>Smashbox</t>
        </is>
      </c>
      <c r="E1581" t="n">
        <v>31.46</v>
      </c>
      <c r="F1581" t="n">
        <v>1</v>
      </c>
      <c r="G1581" t="n">
        <v>9</v>
      </c>
      <c r="H1581" s="5">
        <f>HYPERLINK("https://api.qogita.com/variants/link/0607710086258/", "View Product")</f>
        <v/>
      </c>
    </row>
    <row r="1582">
      <c r="A1582" t="inlineStr">
        <is>
          <t>0607710086371</t>
        </is>
      </c>
      <c r="B1582" t="inlineStr">
        <is>
          <t>Smashbox Always On Skin-Balancing Foundation - 30 Ml</t>
        </is>
      </c>
      <c r="C1582" t="inlineStr">
        <is>
          <t>Foundation</t>
        </is>
      </c>
      <c r="D1582" t="inlineStr">
        <is>
          <t>Smashbox</t>
        </is>
      </c>
      <c r="E1582" t="n">
        <v>32.1</v>
      </c>
      <c r="F1582" t="n">
        <v>1</v>
      </c>
      <c r="G1582" t="n">
        <v>9</v>
      </c>
      <c r="H1582" s="5">
        <f>HYPERLINK("https://api.qogita.com/variants/link/0607710086371/", "View Product")</f>
        <v/>
      </c>
    </row>
    <row r="1583">
      <c r="A1583" t="inlineStr">
        <is>
          <t>0607710086395</t>
        </is>
      </c>
      <c r="B1583" t="inlineStr">
        <is>
          <t>Smashbox Always On Skin-Balancing Foundation - 30 Ml</t>
        </is>
      </c>
      <c r="C1583" t="inlineStr">
        <is>
          <t>Foundation</t>
        </is>
      </c>
      <c r="D1583" t="inlineStr">
        <is>
          <t>Smashbox</t>
        </is>
      </c>
      <c r="E1583" t="n">
        <v>33.43</v>
      </c>
      <c r="F1583" t="n">
        <v>1</v>
      </c>
      <c r="G1583" t="n">
        <v>10</v>
      </c>
      <c r="H1583" s="5">
        <f>HYPERLINK("https://api.qogita.com/variants/link/0607710086395/", "View Product")</f>
        <v/>
      </c>
    </row>
    <row r="1584">
      <c r="A1584" t="inlineStr">
        <is>
          <t>0607710098725</t>
        </is>
      </c>
      <c r="B1584" t="inlineStr">
        <is>
          <t>Smashbox Be Legendary Line &amp; Prime Precise Lip Liner Pencil Medium Pink Rose</t>
        </is>
      </c>
      <c r="C1584" t="inlineStr">
        <is>
          <t>Lip Liner</t>
        </is>
      </c>
      <c r="D1584" t="inlineStr">
        <is>
          <t>Smashbox</t>
        </is>
      </c>
      <c r="E1584" t="n">
        <v>16.79</v>
      </c>
      <c r="F1584" t="n">
        <v>1</v>
      </c>
      <c r="G1584" t="n">
        <v>5</v>
      </c>
      <c r="H1584" s="5">
        <f>HYPERLINK("https://api.qogita.com/variants/link/0607710098725/", "View Product")</f>
        <v/>
      </c>
    </row>
    <row r="1585">
      <c r="A1585" t="inlineStr">
        <is>
          <t>0607710099166</t>
        </is>
      </c>
      <c r="B1585" t="inlineStr">
        <is>
          <t>Smashbox Be Legendary Line &amp; Prime Precise Lip Liner Pencil Cranberry</t>
        </is>
      </c>
      <c r="C1585" t="inlineStr">
        <is>
          <t>Lip Liner</t>
        </is>
      </c>
      <c r="D1585" t="inlineStr">
        <is>
          <t>Smashbox</t>
        </is>
      </c>
      <c r="E1585" t="n">
        <v>16.79</v>
      </c>
      <c r="F1585" t="n">
        <v>1</v>
      </c>
      <c r="G1585" t="n">
        <v>11</v>
      </c>
      <c r="H1585" s="5">
        <f>HYPERLINK("https://api.qogita.com/variants/link/0607710099166/", "View Product")</f>
        <v/>
      </c>
    </row>
    <row r="1586">
      <c r="A1586" t="inlineStr">
        <is>
          <t>0608940533369</t>
        </is>
      </c>
      <c r="B1586" t="inlineStr">
        <is>
          <t>Paris Hilton Can Can Eau De Parfum Spray 100ml</t>
        </is>
      </c>
      <c r="C1586" t="inlineStr">
        <is>
          <t>Eau De Parfum</t>
        </is>
      </c>
      <c r="D1586" t="inlineStr">
        <is>
          <t>Paris Hilton</t>
        </is>
      </c>
      <c r="E1586" t="n">
        <v>22.36</v>
      </c>
      <c r="F1586" t="n">
        <v>1</v>
      </c>
      <c r="G1586" t="n">
        <v>6</v>
      </c>
      <c r="H1586" s="5">
        <f>HYPERLINK("https://api.qogita.com/variants/link/0608940533369/", "View Product")</f>
        <v/>
      </c>
    </row>
    <row r="1587">
      <c r="A1587" t="inlineStr">
        <is>
          <t>0608940540060</t>
        </is>
      </c>
      <c r="B1587" t="inlineStr">
        <is>
          <t>Jessica Simpson Fancy Love EDP Spray 100ml</t>
        </is>
      </c>
      <c r="C1587" t="inlineStr">
        <is>
          <t>Eau De Parfum</t>
        </is>
      </c>
      <c r="D1587" t="inlineStr">
        <is>
          <t>Jessica Simpson</t>
        </is>
      </c>
      <c r="E1587" t="n">
        <v>26.76</v>
      </c>
      <c r="F1587" t="n">
        <v>1</v>
      </c>
      <c r="G1587" t="n">
        <v>3</v>
      </c>
      <c r="H1587" s="5">
        <f>HYPERLINK("https://api.qogita.com/variants/link/0608940540060/", "View Product")</f>
        <v/>
      </c>
    </row>
    <row r="1588">
      <c r="A1588" t="inlineStr">
        <is>
          <t>0608940540251</t>
        </is>
      </c>
      <c r="B1588" t="inlineStr">
        <is>
          <t>Siren Eau De Parfum Spray 3.4 oz for Women</t>
        </is>
      </c>
      <c r="C1588" t="inlineStr">
        <is>
          <t>Eau De Parfum</t>
        </is>
      </c>
      <c r="D1588" t="inlineStr">
        <is>
          <t>Paris Hilton</t>
        </is>
      </c>
      <c r="E1588" t="n">
        <v>18.48</v>
      </c>
      <c r="F1588" t="n">
        <v>1</v>
      </c>
      <c r="G1588" t="n">
        <v>14</v>
      </c>
      <c r="H1588" s="5">
        <f>HYPERLINK("https://api.qogita.com/variants/link/0608940540251/", "View Product")</f>
        <v/>
      </c>
    </row>
    <row r="1589">
      <c r="A1589" t="inlineStr">
        <is>
          <t>0608940540800</t>
        </is>
      </c>
      <c r="B1589" t="inlineStr">
        <is>
          <t>Marc Ecko Ecko Toilet Spray for Men 96ml</t>
        </is>
      </c>
      <c r="C1589" t="inlineStr">
        <is>
          <t>Eau De Toilette</t>
        </is>
      </c>
      <c r="D1589" t="inlineStr">
        <is>
          <t>Marc Ecko</t>
        </is>
      </c>
      <c r="E1589" t="n">
        <v>16.15</v>
      </c>
      <c r="F1589" t="n">
        <v>1</v>
      </c>
      <c r="G1589" t="n">
        <v>4</v>
      </c>
      <c r="H1589" s="5">
        <f>HYPERLINK("https://api.qogita.com/variants/link/0608940540800/", "View Product")</f>
        <v/>
      </c>
    </row>
    <row r="1590">
      <c r="A1590" t="inlineStr">
        <is>
          <t>0608940575741</t>
        </is>
      </c>
      <c r="B1590" t="inlineStr">
        <is>
          <t>Vince Camuto Divina Eau De Parfum Spray 100ml</t>
        </is>
      </c>
      <c r="C1590" t="inlineStr">
        <is>
          <t>Eau De Parfum</t>
        </is>
      </c>
      <c r="D1590" t="inlineStr">
        <is>
          <t>Vince Camuto</t>
        </is>
      </c>
      <c r="E1590" t="n">
        <v>18.74</v>
      </c>
      <c r="F1590" t="n">
        <v>1</v>
      </c>
      <c r="G1590" t="n">
        <v>4</v>
      </c>
      <c r="H1590" s="5">
        <f>HYPERLINK("https://api.qogita.com/variants/link/0608940575741/", "View Product")</f>
        <v/>
      </c>
    </row>
    <row r="1591">
      <c r="A1591" t="inlineStr">
        <is>
          <t>0608940578827</t>
        </is>
      </c>
      <c r="B1591" t="inlineStr">
        <is>
          <t>Kenneth Cole Mankind Legacy EDT 100ml</t>
        </is>
      </c>
      <c r="C1591" t="inlineStr">
        <is>
          <t>Eau De Toilette</t>
        </is>
      </c>
      <c r="D1591" t="inlineStr">
        <is>
          <t>Kenneth Cole</t>
        </is>
      </c>
      <c r="E1591" t="n">
        <v>22.49</v>
      </c>
      <c r="F1591" t="n">
        <v>1</v>
      </c>
      <c r="G1591" t="n">
        <v>5</v>
      </c>
      <c r="H1591" s="5">
        <f>HYPERLINK("https://api.qogita.com/variants/link/0608940578827/", "View Product")</f>
        <v/>
      </c>
    </row>
    <row r="1592">
      <c r="A1592" t="inlineStr">
        <is>
          <t>0608940578834</t>
        </is>
      </c>
      <c r="B1592" t="inlineStr">
        <is>
          <t>Kenneth Cole Mankind Legacy Eau De Toilette Spray Cologne For Men 1.7 Fl Oz</t>
        </is>
      </c>
      <c r="C1592" t="inlineStr">
        <is>
          <t>Eau De Toilette</t>
        </is>
      </c>
      <c r="D1592" t="inlineStr">
        <is>
          <t>Kenneth Cole</t>
        </is>
      </c>
      <c r="E1592" t="n">
        <v>20.86</v>
      </c>
      <c r="F1592" t="n">
        <v>1</v>
      </c>
      <c r="G1592" t="n">
        <v>4</v>
      </c>
      <c r="H1592" s="5">
        <f>HYPERLINK("https://api.qogita.com/variants/link/0608940578834/", "View Product")</f>
        <v/>
      </c>
    </row>
    <row r="1593">
      <c r="A1593" t="inlineStr">
        <is>
          <t>0608940580479</t>
        </is>
      </c>
      <c r="B1593" t="inlineStr">
        <is>
          <t>Cooper Black by Kenneth Cole for Men 1.7 oz EDT Spray</t>
        </is>
      </c>
      <c r="C1593" t="inlineStr">
        <is>
          <t>Eau De Toilette</t>
        </is>
      </c>
      <c r="D1593" t="inlineStr">
        <is>
          <t>Kenneth Cole</t>
        </is>
      </c>
      <c r="E1593" t="n">
        <v>24.22</v>
      </c>
      <c r="F1593" t="n">
        <v>1</v>
      </c>
      <c r="G1593" t="n">
        <v>5</v>
      </c>
      <c r="H1593" s="5">
        <f>HYPERLINK("https://api.qogita.com/variants/link/0608940580479/", "View Product")</f>
        <v/>
      </c>
    </row>
    <row r="1594">
      <c r="A1594" t="inlineStr">
        <is>
          <t>0608940580929</t>
        </is>
      </c>
      <c r="B1594" t="inlineStr">
        <is>
          <t>Kenneth Cole Copper Black Eau De Toilette Cologne for Men 3.40 Fl Oz</t>
        </is>
      </c>
      <c r="C1594" t="inlineStr">
        <is>
          <t>Eau De Toilette</t>
        </is>
      </c>
      <c r="D1594" t="inlineStr">
        <is>
          <t>Kenneth Cole</t>
        </is>
      </c>
      <c r="E1594" t="n">
        <v>24.83</v>
      </c>
      <c r="F1594" t="n">
        <v>1</v>
      </c>
      <c r="G1594" t="n">
        <v>4</v>
      </c>
      <c r="H1594" s="5">
        <f>HYPERLINK("https://api.qogita.com/variants/link/0608940580929/", "View Product")</f>
        <v/>
      </c>
    </row>
    <row r="1595">
      <c r="A1595" t="inlineStr">
        <is>
          <t>0608940581148</t>
        </is>
      </c>
      <c r="B1595" t="inlineStr">
        <is>
          <t>Vince Camuto Brilliante 3.4 Fl. oz.</t>
        </is>
      </c>
      <c r="C1595" t="inlineStr">
        <is>
          <t>Eau De Parfum</t>
        </is>
      </c>
      <c r="D1595" t="inlineStr">
        <is>
          <t>Vince Camuto</t>
        </is>
      </c>
      <c r="E1595" t="n">
        <v>26.29</v>
      </c>
      <c r="F1595" t="n">
        <v>1</v>
      </c>
      <c r="G1595" t="n">
        <v>5</v>
      </c>
      <c r="H1595" s="5">
        <f>HYPERLINK("https://api.qogita.com/variants/link/0608940581148/", "View Product")</f>
        <v/>
      </c>
    </row>
    <row r="1596">
      <c r="A1596" t="inlineStr">
        <is>
          <t>0608940581391</t>
        </is>
      </c>
      <c r="B1596" t="inlineStr">
        <is>
          <t>Ruby Rush Paris Hilton EDP Spray 3.4oz 100ml for Women</t>
        </is>
      </c>
      <c r="C1596" t="inlineStr">
        <is>
          <t>Eau De Parfum</t>
        </is>
      </c>
      <c r="D1596" t="inlineStr">
        <is>
          <t>Paris Hilton</t>
        </is>
      </c>
      <c r="E1596" t="n">
        <v>21.05</v>
      </c>
      <c r="F1596" t="n">
        <v>1</v>
      </c>
      <c r="G1596" t="n">
        <v>5</v>
      </c>
      <c r="H1596" s="5">
        <f>HYPERLINK("https://api.qogita.com/variants/link/0608940581391/", "View Product")</f>
        <v/>
      </c>
    </row>
    <row r="1597">
      <c r="A1597" t="inlineStr">
        <is>
          <t>0608940582107</t>
        </is>
      </c>
      <c r="B1597" t="inlineStr">
        <is>
          <t>Vince Camuto Floreale Eau de Parfum Spray for Women 3.4 Oz 102ml</t>
        </is>
      </c>
      <c r="C1597" t="inlineStr">
        <is>
          <t>Eau De Parfum</t>
        </is>
      </c>
      <c r="D1597" t="inlineStr">
        <is>
          <t>Vince Camuto</t>
        </is>
      </c>
      <c r="E1597" t="n">
        <v>23.79</v>
      </c>
      <c r="F1597" t="n">
        <v>1</v>
      </c>
      <c r="G1597" t="n">
        <v>8</v>
      </c>
      <c r="H1597" s="5">
        <f>HYPERLINK("https://api.qogita.com/variants/link/0608940582107/", "View Product")</f>
        <v/>
      </c>
    </row>
    <row r="1598">
      <c r="A1598" t="inlineStr">
        <is>
          <t>0608940582350</t>
        </is>
      </c>
      <c r="B1598" t="inlineStr">
        <is>
          <t>Kenneth Cole Blush Eau De Parfum 3.4 Fl Oz</t>
        </is>
      </c>
      <c r="C1598" t="inlineStr">
        <is>
          <t>Eau De Parfum</t>
        </is>
      </c>
      <c r="D1598" t="inlineStr">
        <is>
          <t>Kenneth Cole</t>
        </is>
      </c>
      <c r="E1598" t="n">
        <v>21.06</v>
      </c>
      <c r="F1598" t="n">
        <v>1</v>
      </c>
      <c r="G1598" t="n">
        <v>23</v>
      </c>
      <c r="H1598" s="5">
        <f>HYPERLINK("https://api.qogita.com/variants/link/0608940582350/", "View Product")</f>
        <v/>
      </c>
    </row>
    <row r="1599">
      <c r="A1599" t="inlineStr">
        <is>
          <t>0608940583760</t>
        </is>
      </c>
      <c r="B1599" t="inlineStr">
        <is>
          <t>Billie Eilish No 2 Women's Perfume Spray 50ml</t>
        </is>
      </c>
      <c r="C1599" t="inlineStr">
        <is>
          <t>Eau De Parfum</t>
        </is>
      </c>
      <c r="D1599" t="inlineStr">
        <is>
          <t>Billie Eilish</t>
        </is>
      </c>
      <c r="E1599" t="n">
        <v>42.43</v>
      </c>
      <c r="F1599" t="n">
        <v>1</v>
      </c>
      <c r="G1599" t="n">
        <v>5</v>
      </c>
      <c r="H1599" s="5">
        <f>HYPERLINK("https://api.qogita.com/variants/link/0608940583760/", "View Product")</f>
        <v/>
      </c>
    </row>
    <row r="1600">
      <c r="A1600" t="inlineStr">
        <is>
          <t>0608940583784</t>
        </is>
      </c>
      <c r="B1600" t="inlineStr">
        <is>
          <t>Billie Eilish No. 2 Eau de Parfum Perfume for Women Woody Floral Fragrance 0.33 Fl Oz</t>
        </is>
      </c>
      <c r="C1600" t="inlineStr">
        <is>
          <t>Eau De Parfum</t>
        </is>
      </c>
      <c r="D1600" t="inlineStr">
        <is>
          <t>Billie Eilish</t>
        </is>
      </c>
      <c r="E1600" t="n">
        <v>14.9</v>
      </c>
      <c r="F1600" t="n">
        <v>1</v>
      </c>
      <c r="G1600" t="n">
        <v>201</v>
      </c>
      <c r="H1600" s="5">
        <f>HYPERLINK("https://api.qogita.com/variants/link/0608940583784/", "View Product")</f>
        <v/>
      </c>
    </row>
    <row r="1601">
      <c r="A1601" t="inlineStr">
        <is>
          <t>0608940584354</t>
        </is>
      </c>
      <c r="B1601" t="inlineStr">
        <is>
          <t>Vince Camuto Bella Notte Eau De Parfum Intense Spray 3.4 oz Floral</t>
        </is>
      </c>
      <c r="C1601" t="inlineStr">
        <is>
          <t>Eau De Parfum</t>
        </is>
      </c>
      <c r="D1601" t="inlineStr">
        <is>
          <t>Vince Camuto</t>
        </is>
      </c>
      <c r="E1601" t="n">
        <v>27.97</v>
      </c>
      <c r="F1601" t="n">
        <v>1</v>
      </c>
      <c r="G1601" t="n">
        <v>4</v>
      </c>
      <c r="H1601" s="5">
        <f>HYPERLINK("https://api.qogita.com/variants/link/0608940584354/", "View Product")</f>
        <v/>
      </c>
    </row>
    <row r="1602">
      <c r="A1602" t="inlineStr">
        <is>
          <t>0608940585818</t>
        </is>
      </c>
      <c r="B1602" t="inlineStr">
        <is>
          <t>Billie Eilish Your Turn Eau De Parfum - 100ml</t>
        </is>
      </c>
      <c r="C1602" t="inlineStr">
        <is>
          <t>Eau De Parfum</t>
        </is>
      </c>
      <c r="D1602" t="inlineStr">
        <is>
          <t>Billie Eilish</t>
        </is>
      </c>
      <c r="E1602" t="n">
        <v>53.27</v>
      </c>
      <c r="F1602" t="n">
        <v>1</v>
      </c>
      <c r="G1602" t="n">
        <v>88</v>
      </c>
      <c r="H1602" s="5">
        <f>HYPERLINK("https://api.qogita.com/variants/link/0608940585818/", "View Product")</f>
        <v/>
      </c>
    </row>
    <row r="1603">
      <c r="A1603" t="inlineStr">
        <is>
          <t>0608940587607</t>
        </is>
      </c>
      <c r="B1603" t="inlineStr">
        <is>
          <t>Armani Billie Eilish Eilish Eau De Parfum Set For Women</t>
        </is>
      </c>
      <c r="C1603" t="inlineStr">
        <is>
          <t>Fragrance Sets</t>
        </is>
      </c>
      <c r="D1603" t="inlineStr">
        <is>
          <t>Armani</t>
        </is>
      </c>
      <c r="E1603" t="n">
        <v>55.99</v>
      </c>
      <c r="F1603" t="n">
        <v>1</v>
      </c>
      <c r="G1603" t="n">
        <v>155</v>
      </c>
      <c r="H1603" s="5">
        <f>HYPERLINK("https://api.qogita.com/variants/link/0608940587607/", "View Product")</f>
        <v/>
      </c>
    </row>
    <row r="1604">
      <c r="A1604" t="inlineStr">
        <is>
          <t>0614514109014</t>
        </is>
      </c>
      <c r="B1604" t="inlineStr">
        <is>
          <t>Oudh Al Abiyad EAU De Parfum</t>
        </is>
      </c>
      <c r="C1604" t="inlineStr">
        <is>
          <t>Eau De Parfum</t>
        </is>
      </c>
      <c r="D1604" t="inlineStr">
        <is>
          <t>Rasasi</t>
        </is>
      </c>
      <c r="E1604" t="n">
        <v>12.08</v>
      </c>
      <c r="F1604" t="n">
        <v>1</v>
      </c>
      <c r="G1604" t="n">
        <v>8</v>
      </c>
      <c r="H1604" s="5">
        <f>HYPERLINK("https://api.qogita.com/variants/link/0614514109014/", "View Product")</f>
        <v/>
      </c>
    </row>
    <row r="1605">
      <c r="A1605" t="inlineStr">
        <is>
          <t>0614514161012</t>
        </is>
      </c>
      <c r="B1605" t="inlineStr">
        <is>
          <t>Mukhallat Oudh Al Mubakhar by Rasasi</t>
        </is>
      </c>
      <c r="C1605" t="inlineStr">
        <is>
          <t>Eau De Parfum</t>
        </is>
      </c>
      <c r="D1605" t="inlineStr">
        <is>
          <t>Rasasi</t>
        </is>
      </c>
      <c r="E1605" t="n">
        <v>8.33</v>
      </c>
      <c r="F1605" t="n">
        <v>1</v>
      </c>
      <c r="G1605" t="n">
        <v>10</v>
      </c>
      <c r="H1605" s="5">
        <f>HYPERLINK("https://api.qogita.com/variants/link/0614514161012/", "View Product")</f>
        <v/>
      </c>
    </row>
    <row r="1606">
      <c r="A1606" t="inlineStr">
        <is>
          <t>0614514165010</t>
        </is>
      </c>
      <c r="B1606" t="inlineStr">
        <is>
          <t>Egra Women Rasasi EDP 100ml</t>
        </is>
      </c>
      <c r="C1606" t="inlineStr">
        <is>
          <t>Eau De Parfum</t>
        </is>
      </c>
      <c r="D1606" t="inlineStr">
        <is>
          <t>Rasasi</t>
        </is>
      </c>
      <c r="E1606" t="n">
        <v>11.35</v>
      </c>
      <c r="F1606" t="n">
        <v>1</v>
      </c>
      <c r="G1606" t="n">
        <v>5</v>
      </c>
      <c r="H1606" s="5">
        <f>HYPERLINK("https://api.qogita.com/variants/link/0614514165010/", "View Product")</f>
        <v/>
      </c>
    </row>
    <row r="1607">
      <c r="A1607" t="inlineStr">
        <is>
          <t>0614514229064</t>
        </is>
      </c>
      <c r="B1607" t="inlineStr">
        <is>
          <t>Rumz Al Rasasi 9453 50ml Women</t>
        </is>
      </c>
      <c r="C1607" t="inlineStr">
        <is>
          <t>Eau De Parfum</t>
        </is>
      </c>
      <c r="D1607" t="inlineStr">
        <is>
          <t>Rasasi</t>
        </is>
      </c>
      <c r="E1607" t="n">
        <v>25.82</v>
      </c>
      <c r="F1607" t="n">
        <v>1</v>
      </c>
      <c r="G1607" t="n">
        <v>5</v>
      </c>
      <c r="H1607" s="5">
        <f>HYPERLINK("https://api.qogita.com/variants/link/0614514229064/", "View Product")</f>
        <v/>
      </c>
    </row>
    <row r="1608">
      <c r="A1608" t="inlineStr">
        <is>
          <t>0614514261019</t>
        </is>
      </c>
      <c r="B1608" t="inlineStr">
        <is>
          <t>Rasasi Soryani for Men 3.38 oz EDP Spray</t>
        </is>
      </c>
      <c r="C1608" t="inlineStr">
        <is>
          <t>Eau De Parfum</t>
        </is>
      </c>
      <c r="D1608" t="inlineStr">
        <is>
          <t>Rasasi</t>
        </is>
      </c>
      <c r="E1608" t="n">
        <v>13.87</v>
      </c>
      <c r="F1608" t="n">
        <v>1</v>
      </c>
      <c r="G1608" t="n">
        <v>20</v>
      </c>
      <c r="H1608" s="5">
        <f>HYPERLINK("https://api.qogita.com/variants/link/0614514261019/", "View Product")</f>
        <v/>
      </c>
    </row>
    <row r="1609">
      <c r="A1609" t="inlineStr">
        <is>
          <t>0614514261026</t>
        </is>
      </c>
      <c r="B1609" t="inlineStr">
        <is>
          <t>Rasasi Soryani Pour Femme EDP 100ml</t>
        </is>
      </c>
      <c r="C1609" t="inlineStr">
        <is>
          <t>Eau De Parfum</t>
        </is>
      </c>
      <c r="D1609" t="inlineStr">
        <is>
          <t>Rasasi</t>
        </is>
      </c>
      <c r="E1609" t="n">
        <v>13.54</v>
      </c>
      <c r="F1609" t="n">
        <v>1</v>
      </c>
      <c r="G1609" t="n">
        <v>3</v>
      </c>
      <c r="H1609" s="5">
        <f>HYPERLINK("https://api.qogita.com/variants/link/0614514261026/", "View Product")</f>
        <v/>
      </c>
    </row>
    <row r="1610">
      <c r="A1610" t="inlineStr">
        <is>
          <t>0614514261040</t>
        </is>
      </c>
      <c r="B1610" t="inlineStr">
        <is>
          <t>Rasasi Aiyara Pour Femme Edp</t>
        </is>
      </c>
      <c r="C1610" t="inlineStr">
        <is>
          <t>Eau De Parfum</t>
        </is>
      </c>
      <c r="D1610" t="inlineStr">
        <is>
          <t>Rasasi</t>
        </is>
      </c>
      <c r="E1610" t="n">
        <v>14.39</v>
      </c>
      <c r="F1610" t="n">
        <v>1</v>
      </c>
      <c r="G1610" t="n">
        <v>29</v>
      </c>
      <c r="H1610" s="5">
        <f>HYPERLINK("https://api.qogita.com/variants/link/0614514261040/", "View Product")</f>
        <v/>
      </c>
    </row>
    <row r="1611">
      <c r="A1611" t="inlineStr">
        <is>
          <t>0614514261064</t>
        </is>
      </c>
      <c r="B1611" t="inlineStr">
        <is>
          <t>Rasasi Marha for Women 3.38 oz EDP Spray</t>
        </is>
      </c>
      <c r="C1611" t="inlineStr">
        <is>
          <t>Eau De Parfum</t>
        </is>
      </c>
      <c r="D1611" t="inlineStr">
        <is>
          <t>Rasasi</t>
        </is>
      </c>
      <c r="E1611" t="n">
        <v>16.9</v>
      </c>
      <c r="F1611" t="n">
        <v>1</v>
      </c>
      <c r="G1611" t="n">
        <v>7</v>
      </c>
      <c r="H1611" s="5">
        <f>HYPERLINK("https://api.qogita.com/variants/link/0614514261064/", "View Product")</f>
        <v/>
      </c>
    </row>
    <row r="1612">
      <c r="A1612" t="inlineStr">
        <is>
          <t>0614514261071</t>
        </is>
      </c>
      <c r="B1612" t="inlineStr">
        <is>
          <t>Rasasi Wojdan Eau De Parfum</t>
        </is>
      </c>
      <c r="C1612" t="inlineStr">
        <is>
          <t>Eau De Parfum</t>
        </is>
      </c>
      <c r="D1612" t="inlineStr">
        <is>
          <t>Rasasi</t>
        </is>
      </c>
      <c r="E1612" t="n">
        <v>22.89</v>
      </c>
      <c r="F1612" t="n">
        <v>1</v>
      </c>
      <c r="G1612" t="n">
        <v>13</v>
      </c>
      <c r="H1612" s="5">
        <f>HYPERLINK("https://api.qogita.com/variants/link/0614514261071/", "View Product")</f>
        <v/>
      </c>
    </row>
    <row r="1613">
      <c r="A1613" t="inlineStr">
        <is>
          <t>0614514331026</t>
        </is>
      </c>
      <c r="B1613" t="inlineStr">
        <is>
          <t>RASASI Hawas for Him Eau De Parfum 100ml - Cinnamon, Orange, Amber, Woody, Italian Citrus, Fruity, Sandal, Cedar, Musk, Ambergris</t>
        </is>
      </c>
      <c r="C1613" t="inlineStr">
        <is>
          <t>Eau De Parfum</t>
        </is>
      </c>
      <c r="D1613" t="inlineStr">
        <is>
          <t>Rasasi</t>
        </is>
      </c>
      <c r="E1613" t="n">
        <v>18.49</v>
      </c>
      <c r="F1613" t="n">
        <v>1</v>
      </c>
      <c r="G1613" t="n">
        <v>1972</v>
      </c>
      <c r="H1613" s="5">
        <f>HYPERLINK("https://api.qogita.com/variants/link/0614514331026/", "View Product")</f>
        <v/>
      </c>
    </row>
    <row r="1614">
      <c r="A1614" t="inlineStr">
        <is>
          <t>0614514331040</t>
        </is>
      </c>
      <c r="B1614" t="inlineStr">
        <is>
          <t>RASASI Hawas Ice For Men EDP 100ml</t>
        </is>
      </c>
      <c r="C1614" t="inlineStr">
        <is>
          <t>Eau De Parfum</t>
        </is>
      </c>
      <c r="D1614" t="inlineStr">
        <is>
          <t>Rasasi</t>
        </is>
      </c>
      <c r="E1614" t="n">
        <v>25.96</v>
      </c>
      <c r="F1614" t="n">
        <v>1</v>
      </c>
      <c r="G1614" t="n">
        <v>2251</v>
      </c>
      <c r="H1614" s="5">
        <f>HYPERLINK("https://api.qogita.com/variants/link/0614514331040/", "View Product")</f>
        <v/>
      </c>
    </row>
    <row r="1615">
      <c r="A1615" t="inlineStr">
        <is>
          <t>0614514402016</t>
        </is>
      </c>
      <c r="B1615" t="inlineStr">
        <is>
          <t>Rasasi Fattan Pour Homme Eau De Parfum Spray 1.67oz 49ml for Men</t>
        </is>
      </c>
      <c r="C1615" t="inlineStr">
        <is>
          <t>Eau De Parfum</t>
        </is>
      </c>
      <c r="D1615" t="inlineStr">
        <is>
          <t>Rasasi</t>
        </is>
      </c>
      <c r="E1615" t="n">
        <v>9.66</v>
      </c>
      <c r="F1615" t="n">
        <v>1</v>
      </c>
      <c r="G1615" t="n">
        <v>864</v>
      </c>
      <c r="H1615" s="5">
        <f>HYPERLINK("https://api.qogita.com/variants/link/0614514402016/", "View Product")</f>
        <v/>
      </c>
    </row>
    <row r="1616">
      <c r="A1616" t="inlineStr">
        <is>
          <t>0614514402023</t>
        </is>
      </c>
      <c r="B1616" t="inlineStr">
        <is>
          <t>Rasasi Fattan Pour Femme Eau De Parfum Spray 49ml</t>
        </is>
      </c>
      <c r="C1616" t="inlineStr">
        <is>
          <t>Eau De Parfum</t>
        </is>
      </c>
      <c r="D1616" t="inlineStr">
        <is>
          <t>Rasasi</t>
        </is>
      </c>
      <c r="E1616" t="n">
        <v>11.22</v>
      </c>
      <c r="F1616" t="n">
        <v>1</v>
      </c>
      <c r="G1616" t="n">
        <v>5</v>
      </c>
      <c r="H1616" s="5">
        <f>HYPERLINK("https://api.qogita.com/variants/link/0614514402023/", "View Product")</f>
        <v/>
      </c>
    </row>
    <row r="1617">
      <c r="A1617" t="inlineStr">
        <is>
          <t>0614514402030</t>
        </is>
      </c>
      <c r="B1617" t="inlineStr">
        <is>
          <t>Nafaeis Al SHAGHAF EDP Spray for Men 100ml</t>
        </is>
      </c>
      <c r="C1617" t="inlineStr">
        <is>
          <t>Eau De Parfum</t>
        </is>
      </c>
      <c r="D1617" t="inlineStr">
        <is>
          <t>Rasasi</t>
        </is>
      </c>
      <c r="E1617" t="n">
        <v>18.96</v>
      </c>
      <c r="F1617" t="n">
        <v>1</v>
      </c>
      <c r="G1617" t="n">
        <v>21</v>
      </c>
      <c r="H1617" s="5">
        <f>HYPERLINK("https://api.qogita.com/variants/link/0614514402030/", "View Product")</f>
        <v/>
      </c>
    </row>
    <row r="1618">
      <c r="A1618" t="inlineStr">
        <is>
          <t>0614514426050</t>
        </is>
      </c>
      <c r="B1618" t="inlineStr">
        <is>
          <t>Rasasi Arabian Prive Saada Edp</t>
        </is>
      </c>
      <c r="C1618" t="inlineStr">
        <is>
          <t>Eau De Parfum</t>
        </is>
      </c>
      <c r="D1618" t="inlineStr">
        <is>
          <t>Rasasi</t>
        </is>
      </c>
      <c r="E1618" t="n">
        <v>185.48</v>
      </c>
      <c r="F1618" t="n">
        <v>1</v>
      </c>
      <c r="G1618" t="n">
        <v>9</v>
      </c>
      <c r="H1618" s="5">
        <f>HYPERLINK("https://api.qogita.com/variants/link/0614514426050/", "View Product")</f>
        <v/>
      </c>
    </row>
    <row r="1619">
      <c r="A1619" t="inlineStr">
        <is>
          <t>0614514438039</t>
        </is>
      </c>
      <c r="B1619" t="inlineStr">
        <is>
          <t>Yumn Pour Homme Eau De Parfum 100ml Fragrance for Men by Rasasi</t>
        </is>
      </c>
      <c r="C1619" t="inlineStr">
        <is>
          <t>Eau De Parfum</t>
        </is>
      </c>
      <c r="D1619" t="inlineStr">
        <is>
          <t>Rasasi</t>
        </is>
      </c>
      <c r="E1619" t="n">
        <v>15.01</v>
      </c>
      <c r="F1619" t="n">
        <v>1</v>
      </c>
      <c r="G1619" t="n">
        <v>24</v>
      </c>
      <c r="H1619" s="5">
        <f>HYPERLINK("https://api.qogita.com/variants/link/0614514438039/", "View Product")</f>
        <v/>
      </c>
    </row>
    <row r="1620">
      <c r="A1620" t="inlineStr">
        <is>
          <t>0614514438077</t>
        </is>
      </c>
      <c r="B1620" t="inlineStr">
        <is>
          <t>Ibreez Pour Homme Eau De Parfum 100ml Fragrance for Men by Rasasi</t>
        </is>
      </c>
      <c r="C1620" t="inlineStr">
        <is>
          <t>Eau De Parfum</t>
        </is>
      </c>
      <c r="D1620" t="inlineStr">
        <is>
          <t>Rasasi</t>
        </is>
      </c>
      <c r="E1620" t="n">
        <v>13.57</v>
      </c>
      <c r="F1620" t="n">
        <v>1</v>
      </c>
      <c r="G1620" t="n">
        <v>12</v>
      </c>
      <c r="H1620" s="5">
        <f>HYPERLINK("https://api.qogita.com/variants/link/0614514438077/", "View Product")</f>
        <v/>
      </c>
    </row>
    <row r="1621">
      <c r="A1621" t="inlineStr">
        <is>
          <t>0614514449059</t>
        </is>
      </c>
      <c r="B1621" t="inlineStr">
        <is>
          <t>Rasasi Fresh Waves For Men 100ml Eau De Parfum</t>
        </is>
      </c>
      <c r="C1621" t="inlineStr">
        <is>
          <t>Eau De Parfum</t>
        </is>
      </c>
      <c r="D1621" t="inlineStr">
        <is>
          <t>Rasasi</t>
        </is>
      </c>
      <c r="E1621" t="n">
        <v>12.91</v>
      </c>
      <c r="F1621" t="n">
        <v>1</v>
      </c>
      <c r="G1621" t="n">
        <v>21</v>
      </c>
      <c r="H1621" s="5">
        <f>HYPERLINK("https://api.qogita.com/variants/link/0614514449059/", "View Product")</f>
        <v/>
      </c>
    </row>
    <row r="1622">
      <c r="A1622" t="inlineStr">
        <is>
          <t>0614514480137</t>
        </is>
      </c>
      <c r="B1622" t="inlineStr">
        <is>
          <t>Rasasi Blue for Men Eau de Toilette 100ml</t>
        </is>
      </c>
      <c r="C1622" t="inlineStr">
        <is>
          <t>Eau De Toilette</t>
        </is>
      </c>
      <c r="D1622" t="inlineStr">
        <is>
          <t>Rasasi</t>
        </is>
      </c>
      <c r="E1622" t="n">
        <v>17.52</v>
      </c>
      <c r="F1622" t="n">
        <v>1</v>
      </c>
      <c r="G1622" t="n">
        <v>8</v>
      </c>
      <c r="H1622" s="5">
        <f>HYPERLINK("https://api.qogita.com/variants/link/0614514480137/", "View Product")</f>
        <v/>
      </c>
    </row>
    <row r="1623">
      <c r="A1623" t="inlineStr">
        <is>
          <t>0614514644010</t>
        </is>
      </c>
      <c r="B1623" t="inlineStr">
        <is>
          <t>Rasasi Nebras Al Ishq Wajah Perfume Oil 6ml</t>
        </is>
      </c>
      <c r="C1623" t="inlineStr">
        <is>
          <t>Extrait De Parfum</t>
        </is>
      </c>
      <c r="D1623" t="inlineStr">
        <is>
          <t>Rasasi</t>
        </is>
      </c>
      <c r="E1623" t="n">
        <v>41.37</v>
      </c>
      <c r="F1623" t="n">
        <v>1</v>
      </c>
      <c r="G1623" t="n">
        <v>4</v>
      </c>
      <c r="H1623" s="5">
        <f>HYPERLINK("https://api.qogita.com/variants/link/0614514644010/", "View Product")</f>
        <v/>
      </c>
    </row>
    <row r="1624">
      <c r="A1624" t="inlineStr">
        <is>
          <t>0615908424676</t>
        </is>
      </c>
      <c r="B1624" t="inlineStr">
        <is>
          <t>TIGI Bed Head Men Clean Up Peppermint Conditioner 6.76 Ounce</t>
        </is>
      </c>
      <c r="C1624" t="inlineStr">
        <is>
          <t>Conditioner</t>
        </is>
      </c>
      <c r="D1624" t="inlineStr">
        <is>
          <t>Tigi Bed Head</t>
        </is>
      </c>
      <c r="E1624" t="n">
        <v>5.88</v>
      </c>
      <c r="F1624" t="n">
        <v>1</v>
      </c>
      <c r="G1624" t="n">
        <v>6</v>
      </c>
      <c r="H1624" s="5">
        <f>HYPERLINK("https://api.qogita.com/variants/link/0615908424676/", "View Product")</f>
        <v/>
      </c>
    </row>
    <row r="1625">
      <c r="A1625" t="inlineStr">
        <is>
          <t>0615908425826</t>
        </is>
      </c>
      <c r="B1625" t="inlineStr">
        <is>
          <t>TIGI Bed Head for Men Power Play Firm Finish Gel 6.76 Fluid Ounce</t>
        </is>
      </c>
      <c r="C1625" t="inlineStr">
        <is>
          <t>Gel</t>
        </is>
      </c>
      <c r="D1625" t="inlineStr">
        <is>
          <t>Tigi</t>
        </is>
      </c>
      <c r="E1625" t="n">
        <v>4.36</v>
      </c>
      <c r="F1625" t="n">
        <v>1</v>
      </c>
      <c r="G1625" t="n">
        <v>39</v>
      </c>
      <c r="H1625" s="5">
        <f>HYPERLINK("https://api.qogita.com/variants/link/0615908425826/", "View Product")</f>
        <v/>
      </c>
    </row>
    <row r="1626">
      <c r="A1626" t="inlineStr">
        <is>
          <t>0615908426496</t>
        </is>
      </c>
      <c r="B1626" t="inlineStr">
        <is>
          <t>Bed Head by Tigi Control Freak Anti-Frizz Hair Serum for Smooth Shiny Hair</t>
        </is>
      </c>
      <c r="C1626" t="inlineStr">
        <is>
          <t>Hair Oil &amp; Hair Serum</t>
        </is>
      </c>
      <c r="D1626" t="inlineStr">
        <is>
          <t>Tigi</t>
        </is>
      </c>
      <c r="E1626" t="n">
        <v>7.71</v>
      </c>
      <c r="F1626" t="n">
        <v>1</v>
      </c>
      <c r="G1626" t="n">
        <v>14</v>
      </c>
      <c r="H1626" s="5">
        <f>HYPERLINK("https://api.qogita.com/variants/link/0615908426496/", "View Product")</f>
        <v/>
      </c>
    </row>
    <row r="1627">
      <c r="A1627" t="inlineStr">
        <is>
          <t>0615908426601</t>
        </is>
      </c>
      <c r="B1627" t="inlineStr">
        <is>
          <t>Catwalk by Tigi Oatmeal &amp; Honey Nourish Shampoo for Damaged Hair 750ml</t>
        </is>
      </c>
      <c r="C1627" t="inlineStr">
        <is>
          <t>Shampoo</t>
        </is>
      </c>
      <c r="D1627" t="inlineStr">
        <is>
          <t>Catwalk</t>
        </is>
      </c>
      <c r="E1627" t="n">
        <v>12.43</v>
      </c>
      <c r="F1627" t="n">
        <v>1</v>
      </c>
      <c r="G1627" t="n">
        <v>20</v>
      </c>
      <c r="H1627" s="5">
        <f>HYPERLINK("https://api.qogita.com/variants/link/0615908426601/", "View Product")</f>
        <v/>
      </c>
    </row>
    <row r="1628">
      <c r="A1628" t="inlineStr">
        <is>
          <t>0615908426694</t>
        </is>
      </c>
      <c r="B1628" t="inlineStr">
        <is>
          <t>Bed Head by Tigi Urban Antidotes Recovery Moisturising Conditioner</t>
        </is>
      </c>
      <c r="C1628" t="inlineStr">
        <is>
          <t>Conditioner</t>
        </is>
      </c>
      <c r="D1628" t="inlineStr">
        <is>
          <t>Tigi</t>
        </is>
      </c>
      <c r="E1628" t="n">
        <v>8.699999999999999</v>
      </c>
      <c r="F1628" t="n">
        <v>1</v>
      </c>
      <c r="G1628" t="n">
        <v>12</v>
      </c>
      <c r="H1628" s="5">
        <f>HYPERLINK("https://api.qogita.com/variants/link/0615908426694/", "View Product")</f>
        <v/>
      </c>
    </row>
    <row r="1629">
      <c r="A1629" t="inlineStr">
        <is>
          <t>0615908428209</t>
        </is>
      </c>
      <c r="B1629" t="inlineStr">
        <is>
          <t>Bed Head by Tigi Pure Texture Hair Paste Professional Firm Hold Hair Styling</t>
        </is>
      </c>
      <c r="C1629" t="inlineStr">
        <is>
          <t>Styling Creams</t>
        </is>
      </c>
      <c r="D1629" t="inlineStr">
        <is>
          <t>Tigi</t>
        </is>
      </c>
      <c r="E1629" t="n">
        <v>6.74</v>
      </c>
      <c r="F1629" t="n">
        <v>1</v>
      </c>
      <c r="G1629" t="n">
        <v>16</v>
      </c>
      <c r="H1629" s="5">
        <f>HYPERLINK("https://api.qogita.com/variants/link/0615908428209/", "View Product")</f>
        <v/>
      </c>
    </row>
    <row r="1630">
      <c r="A1630" t="inlineStr">
        <is>
          <t>0615908429831</t>
        </is>
      </c>
      <c r="B1630" t="inlineStr">
        <is>
          <t>Bed Head by Tigi Dumb Blonde Conditioner Hair 750ml</t>
        </is>
      </c>
      <c r="C1630" t="inlineStr">
        <is>
          <t>Conditioner</t>
        </is>
      </c>
      <c r="D1630" t="inlineStr">
        <is>
          <t>Tigi Bed Head</t>
        </is>
      </c>
      <c r="E1630" t="n">
        <v>6.94</v>
      </c>
      <c r="F1630" t="n">
        <v>1</v>
      </c>
      <c r="G1630" t="n">
        <v>14</v>
      </c>
      <c r="H1630" s="5">
        <f>HYPERLINK("https://api.qogita.com/variants/link/0615908429831/", "View Product")</f>
        <v/>
      </c>
    </row>
    <row r="1631">
      <c r="A1631" t="inlineStr">
        <is>
          <t>0615908430073</t>
        </is>
      </c>
      <c r="B1631" t="inlineStr">
        <is>
          <t>Tigi Split-End Repair Cream 90ml Copyright Custom Care for Damaged Hair and Split Ends</t>
        </is>
      </c>
      <c r="C1631" t="inlineStr">
        <is>
          <t>Leave-In Conditioner</t>
        </is>
      </c>
      <c r="D1631" t="inlineStr">
        <is>
          <t>Tigi</t>
        </is>
      </c>
      <c r="E1631" t="n">
        <v>3.73</v>
      </c>
      <c r="F1631" t="n">
        <v>1</v>
      </c>
      <c r="G1631" t="n">
        <v>175</v>
      </c>
      <c r="H1631" s="5">
        <f>HYPERLINK("https://api.qogita.com/variants/link/0615908430073/", "View Product")</f>
        <v/>
      </c>
    </row>
    <row r="1632">
      <c r="A1632" t="inlineStr">
        <is>
          <t>0615908431469</t>
        </is>
      </c>
      <c r="B1632" t="inlineStr">
        <is>
          <t>Bed Head By Tigi Headrush Shine Hair Spray for Smooth Shiny Hair 200ml</t>
        </is>
      </c>
      <c r="C1632" t="inlineStr">
        <is>
          <t>Hairspray</t>
        </is>
      </c>
      <c r="D1632" t="inlineStr">
        <is>
          <t>Tigi</t>
        </is>
      </c>
      <c r="E1632" t="n">
        <v>10.33</v>
      </c>
      <c r="F1632" t="n">
        <v>1</v>
      </c>
      <c r="G1632" t="n">
        <v>5</v>
      </c>
      <c r="H1632" s="5">
        <f>HYPERLINK("https://api.qogita.com/variants/link/0615908431469/", "View Product")</f>
        <v/>
      </c>
    </row>
    <row r="1633">
      <c r="A1633" t="inlineStr">
        <is>
          <t>4045787999655</t>
        </is>
      </c>
      <c r="B1633" t="inlineStr">
        <is>
          <t>Schwarzkopf Professional Flatliner+ Heat Protection Spray - 200ml</t>
        </is>
      </c>
      <c r="C1633" t="inlineStr">
        <is>
          <t>Heat Protection</t>
        </is>
      </c>
      <c r="D1633" t="inlineStr">
        <is>
          <t>Schwarzkopf</t>
        </is>
      </c>
      <c r="E1633" t="n">
        <v>7.44</v>
      </c>
      <c r="F1633" t="n">
        <v>1</v>
      </c>
      <c r="G1633" t="n">
        <v>177</v>
      </c>
      <c r="H1633" s="5">
        <f>HYPERLINK("https://api.qogita.com/variants/link/4045787999655/", "View Product")</f>
        <v/>
      </c>
    </row>
    <row r="1634">
      <c r="A1634" t="inlineStr">
        <is>
          <t>4045787999792</t>
        </is>
      </c>
      <c r="B1634" t="inlineStr">
        <is>
          <t>Schwarzkopf Professional Osis+ Soft Dust Hair Powder - 10g</t>
        </is>
      </c>
      <c r="C1634" t="inlineStr">
        <is>
          <t>Volume Powder</t>
        </is>
      </c>
      <c r="D1634" t="inlineStr">
        <is>
          <t>Schwarzkopf</t>
        </is>
      </c>
      <c r="E1634" t="n">
        <v>9.039999999999999</v>
      </c>
      <c r="F1634" t="n">
        <v>1</v>
      </c>
      <c r="G1634" t="n">
        <v>77</v>
      </c>
      <c r="H1634" s="5">
        <f>HYPERLINK("https://api.qogita.com/variants/link/4045787999792/", "View Product")</f>
        <v/>
      </c>
    </row>
    <row r="1635">
      <c r="A1635" t="inlineStr">
        <is>
          <t>4045787999815</t>
        </is>
      </c>
      <c r="B1635" t="inlineStr">
        <is>
          <t>Schwarzkopf Professional Osis+ Upload Filling Cream For Hair 200ml</t>
        </is>
      </c>
      <c r="C1635" t="inlineStr">
        <is>
          <t>Hair Care Sets</t>
        </is>
      </c>
      <c r="D1635" t="inlineStr">
        <is>
          <t>Schwarzkopf</t>
        </is>
      </c>
      <c r="E1635" t="n">
        <v>7.54</v>
      </c>
      <c r="F1635" t="n">
        <v>1</v>
      </c>
      <c r="G1635" t="n">
        <v>14</v>
      </c>
      <c r="H1635" s="5">
        <f>HYPERLINK("https://api.qogita.com/variants/link/4045787999815/", "View Product")</f>
        <v/>
      </c>
    </row>
    <row r="1636">
      <c r="A1636" t="inlineStr">
        <is>
          <t>4051395402173</t>
        </is>
      </c>
      <c r="B1636" t="inlineStr">
        <is>
          <t>Bugatti Signature Blue Eau De Toilette</t>
        </is>
      </c>
      <c r="C1636" t="inlineStr">
        <is>
          <t>Eau De Toilette</t>
        </is>
      </c>
      <c r="D1636" t="inlineStr">
        <is>
          <t>Bugatti</t>
        </is>
      </c>
      <c r="E1636" t="n">
        <v>18.19</v>
      </c>
      <c r="F1636" t="n">
        <v>1</v>
      </c>
      <c r="G1636" t="n">
        <v>22</v>
      </c>
      <c r="H1636" s="5">
        <f>HYPERLINK("https://api.qogita.com/variants/link/4051395402173/", "View Product")</f>
        <v/>
      </c>
    </row>
    <row r="1637">
      <c r="A1637" t="inlineStr">
        <is>
          <t>4051395412165</t>
        </is>
      </c>
      <c r="B1637" t="inlineStr">
        <is>
          <t>BUGATTI Dynamic Move Amber Eau de Toilette 100ml</t>
        </is>
      </c>
      <c r="C1637" t="inlineStr">
        <is>
          <t>Eau De Toilette</t>
        </is>
      </c>
      <c r="D1637" t="inlineStr">
        <is>
          <t>Bugatti</t>
        </is>
      </c>
      <c r="E1637" t="n">
        <v>18.19</v>
      </c>
      <c r="F1637" t="n">
        <v>1</v>
      </c>
      <c r="G1637" t="n">
        <v>22</v>
      </c>
      <c r="H1637" s="5">
        <f>HYPERLINK("https://api.qogita.com/variants/link/4051395412165/", "View Product")</f>
        <v/>
      </c>
    </row>
    <row r="1638">
      <c r="A1638" t="inlineStr">
        <is>
          <t>4051395412172</t>
        </is>
      </c>
      <c r="B1638" t="inlineStr">
        <is>
          <t>BUGATTI Dynamic Move Blue Eau de Toilette 100ml</t>
        </is>
      </c>
      <c r="C1638" t="inlineStr">
        <is>
          <t>Eau De Toilette</t>
        </is>
      </c>
      <c r="D1638" t="inlineStr">
        <is>
          <t>Bugatti</t>
        </is>
      </c>
      <c r="E1638" t="n">
        <v>17.79</v>
      </c>
      <c r="F1638" t="n">
        <v>1</v>
      </c>
      <c r="G1638" t="n">
        <v>5</v>
      </c>
      <c r="H1638" s="5">
        <f>HYPERLINK("https://api.qogita.com/variants/link/4051395412172/", "View Product")</f>
        <v/>
      </c>
    </row>
    <row r="1639">
      <c r="A1639" t="inlineStr">
        <is>
          <t>4051395412189</t>
        </is>
      </c>
      <c r="B1639" t="inlineStr">
        <is>
          <t>Bugatti Dynamic Move Black Men's Perfume 100ml - Oriental Woody Eau de Toilette - Sensual and Strong Combination of Cashmere Wood, Musk, and Lychee - Fruity, Fresh, and Woody-Warm</t>
        </is>
      </c>
      <c r="C1639" t="inlineStr">
        <is>
          <t>Eau De Toilette</t>
        </is>
      </c>
      <c r="D1639" t="inlineStr">
        <is>
          <t>Bugatti</t>
        </is>
      </c>
      <c r="E1639" t="n">
        <v>17.63</v>
      </c>
      <c r="F1639" t="n">
        <v>1</v>
      </c>
      <c r="G1639" t="n">
        <v>18</v>
      </c>
      <c r="H1639" s="5">
        <f>HYPERLINK("https://api.qogita.com/variants/link/4051395412189/", "View Product")</f>
        <v/>
      </c>
    </row>
    <row r="1640">
      <c r="A1640" t="inlineStr">
        <is>
          <t>4052136004106</t>
        </is>
      </c>
      <c r="B1640" t="inlineStr">
        <is>
          <t>Artdeco Hydra Lip Booster Care 6ml</t>
        </is>
      </c>
      <c r="C1640" t="inlineStr">
        <is>
          <t>Lip Serum</t>
        </is>
      </c>
      <c r="D1640" t="inlineStr">
        <is>
          <t>Artdeco</t>
        </is>
      </c>
      <c r="E1640" t="n">
        <v>8.460000000000001</v>
      </c>
      <c r="F1640" t="n">
        <v>1</v>
      </c>
      <c r="G1640" t="n">
        <v>2</v>
      </c>
      <c r="H1640" s="5">
        <f>HYPERLINK("https://api.qogita.com/variants/link/4052136004106/", "View Product")</f>
        <v/>
      </c>
    </row>
    <row r="1641">
      <c r="A1641" t="inlineStr">
        <is>
          <t>4052136005660</t>
        </is>
      </c>
      <c r="B1641" t="inlineStr">
        <is>
          <t>Artdeco Skin Perfecting Make Up Base 15ml</t>
        </is>
      </c>
      <c r="C1641" t="inlineStr">
        <is>
          <t>Primer</t>
        </is>
      </c>
      <c r="D1641" t="inlineStr">
        <is>
          <t>Artdeco</t>
        </is>
      </c>
      <c r="E1641" t="n">
        <v>11.89</v>
      </c>
      <c r="F1641" t="n">
        <v>1</v>
      </c>
      <c r="G1641" t="n">
        <v>7</v>
      </c>
      <c r="H1641" s="5">
        <f>HYPERLINK("https://api.qogita.com/variants/link/4052136005660/", "View Product")</f>
        <v/>
      </c>
    </row>
    <row r="1642">
      <c r="A1642" t="inlineStr">
        <is>
          <t>4052136005714</t>
        </is>
      </c>
      <c r="B1642" t="inlineStr">
        <is>
          <t>Artdeco High Definition Compact Powder 02 Light Ivory Refill</t>
        </is>
      </c>
      <c r="C1642" t="inlineStr">
        <is>
          <t>Powder</t>
        </is>
      </c>
      <c r="D1642" t="inlineStr">
        <is>
          <t>Artdeco</t>
        </is>
      </c>
      <c r="E1642" t="n">
        <v>8.130000000000001</v>
      </c>
      <c r="F1642" t="n">
        <v>1</v>
      </c>
      <c r="G1642" t="n">
        <v>5</v>
      </c>
      <c r="H1642" s="5">
        <f>HYPERLINK("https://api.qogita.com/variants/link/4052136005714/", "View Product")</f>
        <v/>
      </c>
    </row>
    <row r="1643">
      <c r="A1643" t="inlineStr">
        <is>
          <t>4052136046069</t>
        </is>
      </c>
      <c r="B1643" t="inlineStr">
        <is>
          <t>Artdeco Concealer &amp; Camouflage Brush</t>
        </is>
      </c>
      <c r="C1643" t="inlineStr">
        <is>
          <t>Concealer Brushes</t>
        </is>
      </c>
      <c r="D1643" t="inlineStr">
        <is>
          <t>Artdeco</t>
        </is>
      </c>
      <c r="E1643" t="n">
        <v>7.46</v>
      </c>
      <c r="F1643" t="n">
        <v>1</v>
      </c>
      <c r="G1643" t="n">
        <v>3</v>
      </c>
      <c r="H1643" s="5">
        <f>HYPERLINK("https://api.qogita.com/variants/link/4052136046069/", "View Product")</f>
        <v/>
      </c>
    </row>
    <row r="1644">
      <c r="A1644" t="inlineStr">
        <is>
          <t>4052136055979</t>
        </is>
      </c>
      <c r="B1644" t="inlineStr">
        <is>
          <t>Artdeco Bronzing Powder Compact Refill 30 Terracotta</t>
        </is>
      </c>
      <c r="C1644" t="inlineStr">
        <is>
          <t>Bronzer</t>
        </is>
      </c>
      <c r="D1644" t="inlineStr">
        <is>
          <t>Artdeco</t>
        </is>
      </c>
      <c r="E1644" t="n">
        <v>8.359999999999999</v>
      </c>
      <c r="F1644" t="n">
        <v>1</v>
      </c>
      <c r="G1644" t="n">
        <v>7</v>
      </c>
      <c r="H1644" s="5">
        <f>HYPERLINK("https://api.qogita.com/variants/link/4052136055979/", "View Product")</f>
        <v/>
      </c>
    </row>
    <row r="1645">
      <c r="A1645" t="inlineStr">
        <is>
          <t>4052136059151</t>
        </is>
      </c>
      <c r="B1645" t="inlineStr">
        <is>
          <t>Artdeco Long Wear Concealer Waterproof 22 Soft Olive 7 Ml</t>
        </is>
      </c>
      <c r="C1645" t="inlineStr">
        <is>
          <t>Concealer</t>
        </is>
      </c>
      <c r="D1645" t="inlineStr">
        <is>
          <t>Artdeco</t>
        </is>
      </c>
      <c r="E1645" t="n">
        <v>8.539999999999999</v>
      </c>
      <c r="F1645" t="n">
        <v>1</v>
      </c>
      <c r="G1645" t="n">
        <v>3</v>
      </c>
      <c r="H1645" s="5">
        <f>HYPERLINK("https://api.qogita.com/variants/link/4052136059151/", "View Product")</f>
        <v/>
      </c>
    </row>
    <row r="1646">
      <c r="A1646" t="inlineStr">
        <is>
          <t>4052136071504</t>
        </is>
      </c>
      <c r="B1646" t="inlineStr">
        <is>
          <t>Artdeco Ultra Fine Brow Liner 21ash Brown Perfect For Precise Eyebrow Definition</t>
        </is>
      </c>
      <c r="C1646" t="inlineStr">
        <is>
          <t>Eyebrow Pencil</t>
        </is>
      </c>
      <c r="D1646" t="inlineStr">
        <is>
          <t>Artdeco</t>
        </is>
      </c>
      <c r="E1646" t="n">
        <v>6.94</v>
      </c>
      <c r="F1646" t="n">
        <v>1</v>
      </c>
      <c r="G1646" t="n">
        <v>5</v>
      </c>
      <c r="H1646" s="5">
        <f>HYPERLINK("https://api.qogita.com/variants/link/4052136071504/", "View Product")</f>
        <v/>
      </c>
    </row>
    <row r="1647">
      <c r="A1647" t="inlineStr">
        <is>
          <t>4052136071641</t>
        </is>
      </c>
      <c r="B1647" t="inlineStr">
        <is>
          <t>Artdeco Brow Filler Defining Gel With Fibers 03 Brown 7ml</t>
        </is>
      </c>
      <c r="C1647" t="inlineStr">
        <is>
          <t>Eyebrow Gel</t>
        </is>
      </c>
      <c r="D1647" t="inlineStr">
        <is>
          <t>Artdeco</t>
        </is>
      </c>
      <c r="E1647" t="n">
        <v>6.51</v>
      </c>
      <c r="F1647" t="n">
        <v>1</v>
      </c>
      <c r="G1647" t="n">
        <v>5</v>
      </c>
      <c r="H1647" s="5">
        <f>HYPERLINK("https://api.qogita.com/variants/link/4052136071641/", "View Product")</f>
        <v/>
      </c>
    </row>
    <row r="1648">
      <c r="A1648" t="inlineStr">
        <is>
          <t>4052136084313</t>
        </is>
      </c>
      <c r="B1648" t="inlineStr">
        <is>
          <t>Artdeco Smoothing Base Coat Nail Care for Strong Nails 10ml</t>
        </is>
      </c>
      <c r="C1648" t="inlineStr">
        <is>
          <t>Nail Care Sets</t>
        </is>
      </c>
      <c r="D1648" t="inlineStr">
        <is>
          <t>Artdeco</t>
        </is>
      </c>
      <c r="E1648" t="n">
        <v>5.64</v>
      </c>
      <c r="F1648" t="n">
        <v>1</v>
      </c>
      <c r="G1648" t="n">
        <v>6</v>
      </c>
      <c r="H1648" s="5">
        <f>HYPERLINK("https://api.qogita.com/variants/link/4052136084313/", "View Product")</f>
        <v/>
      </c>
    </row>
    <row r="1649">
      <c r="A1649" t="inlineStr">
        <is>
          <t>4052136094367</t>
        </is>
      </c>
      <c r="B1649" t="inlineStr">
        <is>
          <t>Artdeco Eyebrow Filler Gel 06 7ml</t>
        </is>
      </c>
      <c r="C1649" t="inlineStr">
        <is>
          <t>Eyebrow Gel</t>
        </is>
      </c>
      <c r="D1649" t="inlineStr">
        <is>
          <t>Artdeco</t>
        </is>
      </c>
      <c r="E1649" t="n">
        <v>5.99</v>
      </c>
      <c r="F1649" t="n">
        <v>1</v>
      </c>
      <c r="G1649" t="n">
        <v>4</v>
      </c>
      <c r="H1649" s="5">
        <f>HYPERLINK("https://api.qogita.com/variants/link/4052136094367/", "View Product")</f>
        <v/>
      </c>
    </row>
    <row r="1650">
      <c r="A1650" t="inlineStr">
        <is>
          <t>4052136095241</t>
        </is>
      </c>
      <c r="B1650" t="inlineStr">
        <is>
          <t>Artdeco Perfect Teint Foundation Long-Lasting Concealing Foundation 16 Light Bisque 20ml</t>
        </is>
      </c>
      <c r="C1650" t="inlineStr">
        <is>
          <t>Foundation</t>
        </is>
      </c>
      <c r="D1650" t="inlineStr">
        <is>
          <t>Artdeco</t>
        </is>
      </c>
      <c r="E1650" t="n">
        <v>12.69</v>
      </c>
      <c r="F1650" t="n">
        <v>1</v>
      </c>
      <c r="G1650" t="n">
        <v>4</v>
      </c>
      <c r="H1650" s="5">
        <f>HYPERLINK("https://api.qogita.com/variants/link/4052136095241/", "View Product")</f>
        <v/>
      </c>
    </row>
    <row r="1651">
      <c r="A1651" t="inlineStr">
        <is>
          <t>4052136096187</t>
        </is>
      </c>
      <c r="B1651" t="inlineStr">
        <is>
          <t>Artdeco Perfect Teint Concealer Brightening Concealer In Brush 12 Neutral Light 1.8ml</t>
        </is>
      </c>
      <c r="C1651" t="inlineStr">
        <is>
          <t>Concealer</t>
        </is>
      </c>
      <c r="D1651" t="inlineStr">
        <is>
          <t>Artdeco</t>
        </is>
      </c>
      <c r="E1651" t="n">
        <v>9.02</v>
      </c>
      <c r="F1651" t="n">
        <v>1</v>
      </c>
      <c r="G1651" t="n">
        <v>13</v>
      </c>
      <c r="H1651" s="5">
        <f>HYPERLINK("https://api.qogita.com/variants/link/4052136096187/", "View Product")</f>
        <v/>
      </c>
    </row>
    <row r="1652">
      <c r="A1652" t="inlineStr">
        <is>
          <t>4052136149067</t>
        </is>
      </c>
      <c r="B1652" t="inlineStr">
        <is>
          <t>Artdeco High Performance Stylo Eyeshadow 14 G</t>
        </is>
      </c>
      <c r="C1652" t="inlineStr">
        <is>
          <t>Eyeshadow</t>
        </is>
      </c>
      <c r="D1652" t="inlineStr">
        <is>
          <t>Artdeco</t>
        </is>
      </c>
      <c r="E1652" t="n">
        <v>7.42</v>
      </c>
      <c r="F1652" t="n">
        <v>1</v>
      </c>
      <c r="G1652" t="n">
        <v>11</v>
      </c>
      <c r="H1652" s="5">
        <f>HYPERLINK("https://api.qogita.com/variants/link/4052136149067/", "View Product")</f>
        <v/>
      </c>
    </row>
    <row r="1653">
      <c r="A1653" t="inlineStr">
        <is>
          <t>4052136151985</t>
        </is>
      </c>
      <c r="B1653" t="inlineStr">
        <is>
          <t>ARTDECO Quick Dry Nail Lacquer Vegan Nail Polish 10ml 82 Delicate Romance</t>
        </is>
      </c>
      <c r="C1653" t="inlineStr">
        <is>
          <t>Nail Polish</t>
        </is>
      </c>
      <c r="D1653" t="inlineStr">
        <is>
          <t>Artdeco</t>
        </is>
      </c>
      <c r="E1653" t="n">
        <v>5.64</v>
      </c>
      <c r="F1653" t="n">
        <v>1</v>
      </c>
      <c r="G1653" t="n">
        <v>4</v>
      </c>
      <c r="H1653" s="5">
        <f>HYPERLINK("https://api.qogita.com/variants/link/4052136151985/", "View Product")</f>
        <v/>
      </c>
    </row>
    <row r="1654">
      <c r="A1654" t="inlineStr">
        <is>
          <t>4052136159219</t>
        </is>
      </c>
      <c r="B1654" t="inlineStr">
        <is>
          <t>Artdeco Pearlescent Eyeshadow Eyeshadow Pearl 08 G</t>
        </is>
      </c>
      <c r="C1654" t="inlineStr">
        <is>
          <t>Eyeshadow</t>
        </is>
      </c>
      <c r="D1654" t="inlineStr">
        <is>
          <t>Artdeco</t>
        </is>
      </c>
      <c r="E1654" t="n">
        <v>4.41</v>
      </c>
      <c r="F1654" t="n">
        <v>1</v>
      </c>
      <c r="G1654" t="n">
        <v>22</v>
      </c>
      <c r="H1654" s="5">
        <f>HYPERLINK("https://api.qogita.com/variants/link/4052136159219/", "View Product")</f>
        <v/>
      </c>
    </row>
    <row r="1655">
      <c r="A1655" t="inlineStr">
        <is>
          <t>4052136161724</t>
        </is>
      </c>
      <c r="B1655" t="inlineStr">
        <is>
          <t>Artdeco Translucent Loose Powder 8 G</t>
        </is>
      </c>
      <c r="C1655" t="inlineStr">
        <is>
          <t>Powder</t>
        </is>
      </c>
      <c r="D1655" t="inlineStr">
        <is>
          <t>Artdeco</t>
        </is>
      </c>
      <c r="E1655" t="n">
        <v>10.28</v>
      </c>
      <c r="F1655" t="n">
        <v>1</v>
      </c>
      <c r="G1655" t="n">
        <v>6</v>
      </c>
      <c r="H1655" s="5">
        <f>HYPERLINK("https://api.qogita.com/variants/link/4052136161724/", "View Product")</f>
        <v/>
      </c>
    </row>
    <row r="1656">
      <c r="A1656" t="inlineStr">
        <is>
          <t>4052136169553</t>
        </is>
      </c>
      <c r="B1656" t="inlineStr">
        <is>
          <t>ARTDECO Translucent Loose Powder Refill 05 Translucent Medium</t>
        </is>
      </c>
      <c r="C1656" t="inlineStr">
        <is>
          <t>Powder</t>
        </is>
      </c>
      <c r="D1656" t="inlineStr">
        <is>
          <t>Artdeco</t>
        </is>
      </c>
      <c r="E1656" t="n">
        <v>8.619999999999999</v>
      </c>
      <c r="F1656" t="n">
        <v>1</v>
      </c>
      <c r="G1656" t="n">
        <v>14</v>
      </c>
      <c r="H1656" s="5">
        <f>HYPERLINK("https://api.qogita.com/variants/link/4052136169553/", "View Product")</f>
        <v/>
      </c>
    </row>
    <row r="1657">
      <c r="A1657" t="inlineStr">
        <is>
          <t>4052136222968</t>
        </is>
      </c>
      <c r="B1657" t="inlineStr">
        <is>
          <t>ARTDECO Pure Care Shower Milk</t>
        </is>
      </c>
      <c r="C1657" t="inlineStr">
        <is>
          <t>Bath Oil &amp; Bath Milk</t>
        </is>
      </c>
      <c r="D1657" t="inlineStr">
        <is>
          <t>Artdeco</t>
        </is>
      </c>
      <c r="E1657" t="n">
        <v>6.59</v>
      </c>
      <c r="F1657" t="n">
        <v>1</v>
      </c>
      <c r="G1657" t="n">
        <v>5</v>
      </c>
      <c r="H1657" s="5">
        <f>HYPERLINK("https://api.qogita.com/variants/link/4052136222968/", "View Product")</f>
        <v/>
      </c>
    </row>
    <row r="1658">
      <c r="A1658" t="inlineStr">
        <is>
          <t>4052136226263</t>
        </is>
      </c>
      <c r="B1658" t="inlineStr">
        <is>
          <t>Artdeco Mat Passion Lip Fluid 42boho Red 3ml</t>
        </is>
      </c>
      <c r="C1658" t="inlineStr">
        <is>
          <t>Lipstick</t>
        </is>
      </c>
      <c r="D1658" t="inlineStr">
        <is>
          <t>Artdeco</t>
        </is>
      </c>
      <c r="E1658" t="n">
        <v>6.85</v>
      </c>
      <c r="F1658" t="n">
        <v>1</v>
      </c>
      <c r="G1658" t="n">
        <v>11</v>
      </c>
      <c r="H1658" s="5">
        <f>HYPERLINK("https://api.qogita.com/variants/link/4052136226263/", "View Product")</f>
        <v/>
      </c>
    </row>
    <row r="1659">
      <c r="A1659" t="inlineStr">
        <is>
          <t>4052136228298</t>
        </is>
      </c>
      <c r="B1659" t="inlineStr">
        <is>
          <t>Artdeco Light Luminous Foundation 20 Soft Caramel</t>
        </is>
      </c>
      <c r="C1659" t="inlineStr">
        <is>
          <t>Foundation</t>
        </is>
      </c>
      <c r="D1659" t="inlineStr">
        <is>
          <t>Artdeco</t>
        </is>
      </c>
      <c r="E1659" t="n">
        <v>11.44</v>
      </c>
      <c r="F1659" t="n">
        <v>1</v>
      </c>
      <c r="G1659" t="n">
        <v>8</v>
      </c>
      <c r="H1659" s="5">
        <f>HYPERLINK("https://api.qogita.com/variants/link/4052136228298/", "View Product")</f>
        <v/>
      </c>
    </row>
    <row r="1660">
      <c r="A1660" t="inlineStr">
        <is>
          <t>4052136242515</t>
        </is>
      </c>
      <c r="B1660" t="inlineStr">
        <is>
          <t>Artdeco Bi-Phase Makeup Remover for Waterproof Makeup 150ml</t>
        </is>
      </c>
      <c r="C1660" t="inlineStr">
        <is>
          <t>Eye Makeup Remover</t>
        </is>
      </c>
      <c r="D1660" t="inlineStr">
        <is>
          <t>Artdeco</t>
        </is>
      </c>
      <c r="E1660" t="n">
        <v>7.72</v>
      </c>
      <c r="F1660" t="n">
        <v>1</v>
      </c>
      <c r="G1660" t="n">
        <v>5</v>
      </c>
      <c r="H1660" s="5">
        <f>HYPERLINK("https://api.qogita.com/variants/link/4052136242515/", "View Product")</f>
        <v/>
      </c>
    </row>
    <row r="1661">
      <c r="A1661" t="inlineStr">
        <is>
          <t>4052136242560</t>
        </is>
      </c>
      <c r="B1661" t="inlineStr">
        <is>
          <t>Artdeco Fluid Camouflage Base 45neutralnatural Camel 20ml</t>
        </is>
      </c>
      <c r="C1661" t="inlineStr">
        <is>
          <t>Camouflage Makeup</t>
        </is>
      </c>
      <c r="D1661" t="inlineStr">
        <is>
          <t>Artdeco</t>
        </is>
      </c>
      <c r="E1661" t="n">
        <v>16.5</v>
      </c>
      <c r="F1661" t="n">
        <v>1</v>
      </c>
      <c r="G1661" t="n">
        <v>3</v>
      </c>
      <c r="H1661" s="5">
        <f>HYPERLINK("https://api.qogita.com/variants/link/4052136242560/", "View Product")</f>
        <v/>
      </c>
    </row>
    <row r="1662">
      <c r="A1662" t="inlineStr">
        <is>
          <t>4053700288205</t>
        </is>
      </c>
      <c r="B1662" t="inlineStr">
        <is>
          <t>Veet Depilatory Cream For Sensitive Skin 100 Ml</t>
        </is>
      </c>
      <c r="C1662" t="inlineStr">
        <is>
          <t>Razors &amp; Hair Removal Tools</t>
        </is>
      </c>
      <c r="D1662" t="inlineStr">
        <is>
          <t>Veet</t>
        </is>
      </c>
      <c r="E1662" t="n">
        <v>6.35</v>
      </c>
      <c r="F1662" t="n">
        <v>1</v>
      </c>
      <c r="G1662" t="n">
        <v>18</v>
      </c>
      <c r="H1662" s="5">
        <f>HYPERLINK("https://api.qogita.com/variants/link/4053700288205/", "View Product")</f>
        <v/>
      </c>
    </row>
    <row r="1663">
      <c r="A1663" t="inlineStr">
        <is>
          <t>4056800071265</t>
        </is>
      </c>
      <c r="B1663" t="inlineStr">
        <is>
          <t>Londa Professional Permanent Wave For Chemically Treated Or Weakened Hair Curl Colored Hair Perm Lotion</t>
        </is>
      </c>
      <c r="C1663" t="inlineStr">
        <is>
          <t>Hair Care Sets</t>
        </is>
      </c>
      <c r="D1663" t="inlineStr">
        <is>
          <t>Londa Professional</t>
        </is>
      </c>
      <c r="E1663" t="n">
        <v>29.5</v>
      </c>
      <c r="F1663" t="n">
        <v>1</v>
      </c>
      <c r="G1663" t="n">
        <v>10</v>
      </c>
      <c r="H1663" s="5">
        <f>HYPERLINK("https://api.qogita.com/variants/link/4056800071265/", "View Product")</f>
        <v/>
      </c>
    </row>
    <row r="1664">
      <c r="A1664" t="inlineStr">
        <is>
          <t>4059729030559</t>
        </is>
      </c>
      <c r="B1664" t="inlineStr">
        <is>
          <t>Eye Crown Eye Brow Stylist Pencil With Brush 035 Brown - 1.4g</t>
        </is>
      </c>
      <c r="C1664" t="inlineStr">
        <is>
          <t>Eyebrow Pencil</t>
        </is>
      </c>
      <c r="D1664" t="inlineStr">
        <is>
          <t>Eye Crown</t>
        </is>
      </c>
      <c r="E1664" t="n">
        <v>3.92</v>
      </c>
      <c r="F1664" t="n">
        <v>1</v>
      </c>
      <c r="G1664" t="n">
        <v>2</v>
      </c>
      <c r="H1664" s="5">
        <f>HYPERLINK("https://api.qogita.com/variants/link/4059729030559/", "View Product")</f>
        <v/>
      </c>
    </row>
    <row r="1665">
      <c r="A1665" t="inlineStr">
        <is>
          <t>4059729268235</t>
        </is>
      </c>
      <c r="B1665" t="inlineStr">
        <is>
          <t>Catrice More Than Glow Highlighter 010 Ultimate Platinum Glaze 59 G</t>
        </is>
      </c>
      <c r="C1665" t="inlineStr">
        <is>
          <t>Highlighter</t>
        </is>
      </c>
      <c r="D1665" t="inlineStr">
        <is>
          <t>Catrice</t>
        </is>
      </c>
      <c r="E1665" t="n">
        <v>4.76</v>
      </c>
      <c r="F1665" t="n">
        <v>1</v>
      </c>
      <c r="G1665" t="n">
        <v>3</v>
      </c>
      <c r="H1665" s="5">
        <f>HYPERLINK("https://api.qogita.com/variants/link/4059729268235/", "View Product")</f>
        <v/>
      </c>
    </row>
    <row r="1666">
      <c r="A1666" t="inlineStr">
        <is>
          <t>4059729358004</t>
        </is>
      </c>
      <c r="B1666" t="inlineStr">
        <is>
          <t>Catrice The Perfector Poreless Blur Primer 30ml</t>
        </is>
      </c>
      <c r="C1666" t="inlineStr">
        <is>
          <t>Primer</t>
        </is>
      </c>
      <c r="D1666" t="inlineStr">
        <is>
          <t>Catrice</t>
        </is>
      </c>
      <c r="E1666" t="n">
        <v>5.88</v>
      </c>
      <c r="F1666" t="n">
        <v>1</v>
      </c>
      <c r="G1666" t="n">
        <v>2</v>
      </c>
      <c r="H1666" s="5">
        <f>HYPERLINK("https://api.qogita.com/variants/link/4059729358004/", "View Product")</f>
        <v/>
      </c>
    </row>
    <row r="1667">
      <c r="A1667" t="inlineStr">
        <is>
          <t>4059729419255</t>
        </is>
      </c>
      <c r="B1667" t="inlineStr">
        <is>
          <t>Catrice Melted Sun Cream Bronzer 030 Pretty Tanned</t>
        </is>
      </c>
      <c r="C1667" t="inlineStr">
        <is>
          <t>Bronzer</t>
        </is>
      </c>
      <c r="D1667" t="inlineStr">
        <is>
          <t>Catrice</t>
        </is>
      </c>
      <c r="E1667" t="n">
        <v>5.13</v>
      </c>
      <c r="F1667" t="n">
        <v>1</v>
      </c>
      <c r="G1667" t="n">
        <v>6</v>
      </c>
      <c r="H1667" s="5">
        <f>HYPERLINK("https://api.qogita.com/variants/link/4059729419255/", "View Product")</f>
        <v/>
      </c>
    </row>
    <row r="1668">
      <c r="A1668" t="inlineStr">
        <is>
          <t>4059729421401</t>
        </is>
      </c>
      <c r="B1668" t="inlineStr">
        <is>
          <t>Essence Cosmetics Bright Eyes Undereye Stick 55 Ml 01 Soft Rose</t>
        </is>
      </c>
      <c r="C1668" t="inlineStr">
        <is>
          <t>Eye Sets &amp; Pallets</t>
        </is>
      </c>
      <c r="D1668" t="inlineStr">
        <is>
          <t>Essence</t>
        </is>
      </c>
      <c r="E1668" t="n">
        <v>3.22</v>
      </c>
      <c r="F1668" t="n">
        <v>1</v>
      </c>
      <c r="G1668" t="n">
        <v>40</v>
      </c>
      <c r="H1668" s="5">
        <f>HYPERLINK("https://api.qogita.com/variants/link/4059729421401/", "View Product")</f>
        <v/>
      </c>
    </row>
    <row r="1669">
      <c r="A1669" t="inlineStr">
        <is>
          <t>4059729488657</t>
        </is>
      </c>
      <c r="B1669" t="inlineStr">
        <is>
          <t>Catrice Blush Affair Cream Powder Palette - Stunning Strawberry, 6 Grams</t>
        </is>
      </c>
      <c r="C1669" t="inlineStr">
        <is>
          <t>Blush</t>
        </is>
      </c>
      <c r="D1669" t="inlineStr">
        <is>
          <t>Catrice</t>
        </is>
      </c>
      <c r="E1669" t="n">
        <v>5.71</v>
      </c>
      <c r="F1669" t="n">
        <v>1</v>
      </c>
      <c r="G1669" t="n">
        <v>2</v>
      </c>
      <c r="H1669" s="5">
        <f>HYPERLINK("https://api.qogita.com/variants/link/4059729488657/", "View Product")</f>
        <v/>
      </c>
    </row>
    <row r="1670">
      <c r="A1670" t="inlineStr">
        <is>
          <t>4059729515070</t>
        </is>
      </c>
      <c r="B1670" t="inlineStr">
        <is>
          <t>Catrice Melted Sun Liquid Bronzer - Long Lasting, Enhances The Eye, High Quality</t>
        </is>
      </c>
      <c r="C1670" t="inlineStr">
        <is>
          <t>Bronzer</t>
        </is>
      </c>
      <c r="D1670" t="inlineStr">
        <is>
          <t>Catrice</t>
        </is>
      </c>
      <c r="E1670" t="n">
        <v>5.88</v>
      </c>
      <c r="F1670" t="n">
        <v>1</v>
      </c>
      <c r="G1670" t="n">
        <v>2</v>
      </c>
      <c r="H1670" s="5">
        <f>HYPERLINK("https://api.qogita.com/variants/link/4059729515070/", "View Product")</f>
        <v/>
      </c>
    </row>
    <row r="1671">
      <c r="A1671" t="inlineStr">
        <is>
          <t>4063528000439</t>
        </is>
      </c>
      <c r="B1671" t="inlineStr">
        <is>
          <t>Natucain Mkms24 Hair Activator Serum 100 Ml</t>
        </is>
      </c>
      <c r="C1671" t="inlineStr">
        <is>
          <t>Hair Oil &amp; Hair Serum</t>
        </is>
      </c>
      <c r="D1671" t="inlineStr">
        <is>
          <t>Natucain</t>
        </is>
      </c>
      <c r="E1671" t="n">
        <v>75.48999999999999</v>
      </c>
      <c r="F1671" t="n">
        <v>1</v>
      </c>
      <c r="G1671" t="n">
        <v>5</v>
      </c>
      <c r="H1671" s="5">
        <f>HYPERLINK("https://api.qogita.com/variants/link/4063528000439/", "View Product")</f>
        <v/>
      </c>
    </row>
    <row r="1672">
      <c r="A1672" t="inlineStr">
        <is>
          <t>4063528004529</t>
        </is>
      </c>
      <c r="B1672" t="inlineStr">
        <is>
          <t>Bowtique Nordic Breeze Hair Ties Lemming Go - 2 Pieces</t>
        </is>
      </c>
      <c r="C1672" t="inlineStr">
        <is>
          <t>Hair Elastics</t>
        </is>
      </c>
      <c r="D1672" t="inlineStr">
        <is>
          <t>Bowtique</t>
        </is>
      </c>
      <c r="E1672" t="n">
        <v>8.84</v>
      </c>
      <c r="F1672" t="n">
        <v>1</v>
      </c>
      <c r="G1672" t="n">
        <v>3</v>
      </c>
      <c r="H1672" s="5">
        <f>HYPERLINK("https://api.qogita.com/variants/link/4063528004529/", "View Product")</f>
        <v/>
      </c>
    </row>
    <row r="1673">
      <c r="A1673" t="inlineStr">
        <is>
          <t>4063528009753</t>
        </is>
      </c>
      <c r="B1673" t="inlineStr">
        <is>
          <t>FOAMIE Coconut Shampoo Bar for Normal Hair - Plastic-Free pH-Balanced Soap-Free No Sulphates or Parabens - Made in the UK</t>
        </is>
      </c>
      <c r="C1673" t="inlineStr">
        <is>
          <t>Shampoo</t>
        </is>
      </c>
      <c r="D1673" t="inlineStr">
        <is>
          <t>Foamie</t>
        </is>
      </c>
      <c r="E1673" t="n">
        <v>5.31</v>
      </c>
      <c r="F1673" t="n">
        <v>1</v>
      </c>
      <c r="G1673" t="n">
        <v>5</v>
      </c>
      <c r="H1673" s="5">
        <f>HYPERLINK("https://api.qogita.com/variants/link/4063528009753/", "View Product")</f>
        <v/>
      </c>
    </row>
    <row r="1674">
      <c r="A1674" t="inlineStr">
        <is>
          <t>4063528010353</t>
        </is>
      </c>
      <c r="B1674" t="inlineStr">
        <is>
          <t>FOAMIE Acai Shampoo Bar for Volume - Plastic-Free pH-Balanced Soap-Free No Sulphates or Parabens - Made in the UK</t>
        </is>
      </c>
      <c r="C1674" t="inlineStr">
        <is>
          <t>Shampoo</t>
        </is>
      </c>
      <c r="D1674" t="inlineStr">
        <is>
          <t>Foamie</t>
        </is>
      </c>
      <c r="E1674" t="n">
        <v>5.31</v>
      </c>
      <c r="F1674" t="n">
        <v>1</v>
      </c>
      <c r="G1674" t="n">
        <v>15</v>
      </c>
      <c r="H1674" s="5">
        <f>HYPERLINK("https://api.qogita.com/variants/link/4063528010353/", "View Product")</f>
        <v/>
      </c>
    </row>
    <row r="1675">
      <c r="A1675" t="inlineStr">
        <is>
          <t>4063528010414</t>
        </is>
      </c>
      <c r="B1675" t="inlineStr">
        <is>
          <t>FOAMIE Argan Oil Shampoo Bar for Dry &amp; Frizzy Hair - Plastic-Free, pH-Balanced, Soap-Free - Made in the UK</t>
        </is>
      </c>
      <c r="C1675" t="inlineStr">
        <is>
          <t>Shampoo</t>
        </is>
      </c>
      <c r="D1675" t="inlineStr">
        <is>
          <t>Foamie</t>
        </is>
      </c>
      <c r="E1675" t="n">
        <v>5.31</v>
      </c>
      <c r="F1675" t="n">
        <v>1</v>
      </c>
      <c r="G1675" t="n">
        <v>11</v>
      </c>
      <c r="H1675" s="5">
        <f>HYPERLINK("https://api.qogita.com/variants/link/4063528010414/", "View Product")</f>
        <v/>
      </c>
    </row>
    <row r="1676">
      <c r="A1676" t="inlineStr">
        <is>
          <t>4063528047540</t>
        </is>
      </c>
      <c r="B1676" t="inlineStr">
        <is>
          <t>Natucain Brow Serum 62 Ml For Eyebrow Growth</t>
        </is>
      </c>
      <c r="C1676" t="inlineStr">
        <is>
          <t>Other</t>
        </is>
      </c>
      <c r="D1676" t="inlineStr">
        <is>
          <t>Natucain</t>
        </is>
      </c>
      <c r="E1676" t="n">
        <v>41.96</v>
      </c>
      <c r="F1676" t="n">
        <v>1</v>
      </c>
      <c r="G1676" t="n">
        <v>12</v>
      </c>
      <c r="H1676" s="5">
        <f>HYPERLINK("https://api.qogita.com/variants/link/4063528047540/", "View Product")</f>
        <v/>
      </c>
    </row>
    <row r="1677">
      <c r="A1677" t="inlineStr">
        <is>
          <t>4063528058768</t>
        </is>
      </c>
      <c r="B1677" t="inlineStr">
        <is>
          <t>Invisibobble Original True Black Hair Band 3 Pieces</t>
        </is>
      </c>
      <c r="C1677" t="inlineStr">
        <is>
          <t>Hair Elastics</t>
        </is>
      </c>
      <c r="D1677" t="inlineStr">
        <is>
          <t>Invisibobble</t>
        </is>
      </c>
      <c r="E1677" t="n">
        <v>5.71</v>
      </c>
      <c r="F1677" t="n">
        <v>1</v>
      </c>
      <c r="G1677" t="n">
        <v>3</v>
      </c>
      <c r="H1677" s="5">
        <f>HYPERLINK("https://api.qogita.com/variants/link/4063528058768/", "View Product")</f>
        <v/>
      </c>
    </row>
    <row r="1678">
      <c r="A1678" t="inlineStr">
        <is>
          <t>4063528058881</t>
        </is>
      </c>
      <c r="B1678" t="inlineStr">
        <is>
          <t>Invisibobble Spiral Hair Ties Transparent Black Brown Original - Transparent Hair Ties for Women</t>
        </is>
      </c>
      <c r="C1678" t="inlineStr">
        <is>
          <t>Hair Elastics</t>
        </is>
      </c>
      <c r="D1678" t="inlineStr">
        <is>
          <t>Invisibobble</t>
        </is>
      </c>
      <c r="E1678" t="n">
        <v>8.18</v>
      </c>
      <c r="F1678" t="n">
        <v>1</v>
      </c>
      <c r="G1678" t="n">
        <v>5</v>
      </c>
      <c r="H1678" s="5">
        <f>HYPERLINK("https://api.qogita.com/variants/link/4063528058881/", "View Product")</f>
        <v/>
      </c>
    </row>
    <row r="1679">
      <c r="A1679" t="inlineStr">
        <is>
          <t>4063528059062</t>
        </is>
      </c>
      <c r="B1679" t="inlineStr">
        <is>
          <t>invisibobble Extra Care Hair Ties Mini Crystal Clear</t>
        </is>
      </c>
      <c r="C1679" t="inlineStr">
        <is>
          <t>Hair Elastics</t>
        </is>
      </c>
      <c r="D1679" t="inlineStr">
        <is>
          <t>Invisibobble</t>
        </is>
      </c>
      <c r="E1679" t="n">
        <v>5.71</v>
      </c>
      <c r="F1679" t="n">
        <v>1</v>
      </c>
      <c r="G1679" t="n">
        <v>5</v>
      </c>
      <c r="H1679" s="5">
        <f>HYPERLINK("https://api.qogita.com/variants/link/4063528059062/", "View Product")</f>
        <v/>
      </c>
    </row>
    <row r="1680">
      <c r="A1680" t="inlineStr">
        <is>
          <t>4063528061249</t>
        </is>
      </c>
      <c r="B1680" t="inlineStr">
        <is>
          <t>Invisibobble Sprunchie Slim True Golden Hair Bands 2 Pieces</t>
        </is>
      </c>
      <c r="C1680" t="inlineStr">
        <is>
          <t>Hair Elastics</t>
        </is>
      </c>
      <c r="D1680" t="inlineStr">
        <is>
          <t>Invisibobble</t>
        </is>
      </c>
      <c r="E1680" t="n">
        <v>8.18</v>
      </c>
      <c r="F1680" t="n">
        <v>1</v>
      </c>
      <c r="G1680" t="n">
        <v>7</v>
      </c>
      <c r="H1680" s="5">
        <f>HYPERLINK("https://api.qogita.com/variants/link/4063528061249/", "View Product")</f>
        <v/>
      </c>
    </row>
    <row r="1681">
      <c r="A1681" t="inlineStr">
        <is>
          <t>4063528063366</t>
        </is>
      </c>
      <c r="B1681" t="inlineStr">
        <is>
          <t>Invisibobble Clipstar Eclipse 2 Piece Claw Clip Set - Large Claw Clips for Thick, Curly, Textured Hair Types - Strong Hold for All Day Wear</t>
        </is>
      </c>
      <c r="C1681" t="inlineStr">
        <is>
          <t>Hair Clips &amp; Hair Clamps</t>
        </is>
      </c>
      <c r="D1681" t="inlineStr">
        <is>
          <t>Invisibobble</t>
        </is>
      </c>
      <c r="E1681" t="n">
        <v>14.46</v>
      </c>
      <c r="F1681" t="n">
        <v>1</v>
      </c>
      <c r="G1681" t="n">
        <v>11</v>
      </c>
      <c r="H1681" s="5">
        <f>HYPERLINK("https://api.qogita.com/variants/link/4063528063366/", "View Product")</f>
        <v/>
      </c>
    </row>
    <row r="1682">
      <c r="A1682" t="inlineStr">
        <is>
          <t>4063528066367</t>
        </is>
      </c>
      <c r="B1682" t="inlineStr">
        <is>
          <t>Face Wash Powder to Milk (Face Wash Magic Clean se) 40 g</t>
        </is>
      </c>
      <c r="C1682" t="inlineStr">
        <is>
          <t>Cleansing Milk</t>
        </is>
      </c>
      <c r="D1682" t="inlineStr">
        <is>
          <t>Foamie</t>
        </is>
      </c>
      <c r="E1682" t="n">
        <v>8.300000000000001</v>
      </c>
      <c r="F1682" t="n">
        <v>1</v>
      </c>
      <c r="G1682" t="n">
        <v>31</v>
      </c>
      <c r="H1682" s="5">
        <f>HYPERLINK("https://api.qogita.com/variants/link/4063528066367/", "View Product")</f>
        <v/>
      </c>
    </row>
    <row r="1683">
      <c r="A1683" t="inlineStr">
        <is>
          <t>4063528067074</t>
        </is>
      </c>
      <c r="B1683" t="inlineStr">
        <is>
          <t>Invisibobble Slim Premium True Black Hair Band 3 Pieces</t>
        </is>
      </c>
      <c r="C1683" t="inlineStr">
        <is>
          <t>Hair Elastics</t>
        </is>
      </c>
      <c r="D1683" t="inlineStr">
        <is>
          <t>Invisibobble</t>
        </is>
      </c>
      <c r="E1683" t="n">
        <v>5.71</v>
      </c>
      <c r="F1683" t="n">
        <v>1</v>
      </c>
      <c r="G1683" t="n">
        <v>3</v>
      </c>
      <c r="H1683" s="5">
        <f>HYPERLINK("https://api.qogita.com/variants/link/4063528067074/", "View Product")</f>
        <v/>
      </c>
    </row>
    <row r="1684">
      <c r="A1684" t="inlineStr">
        <is>
          <t>4063528071668</t>
        </is>
      </c>
      <c r="B1684" t="inlineStr">
        <is>
          <t>INVISIBOBBLE Cloud Pop Hair Ties 7pz</t>
        </is>
      </c>
      <c r="C1684" t="inlineStr">
        <is>
          <t>Hair Elastics</t>
        </is>
      </c>
      <c r="D1684" t="inlineStr">
        <is>
          <t>Invisibobble</t>
        </is>
      </c>
      <c r="E1684" t="n">
        <v>8.84</v>
      </c>
      <c r="F1684" t="n">
        <v>1</v>
      </c>
      <c r="G1684" t="n">
        <v>6</v>
      </c>
      <c r="H1684" s="5">
        <f>HYPERLINK("https://api.qogita.com/variants/link/4063528071668/", "View Product")</f>
        <v/>
      </c>
    </row>
    <row r="1685">
      <c r="A1685" t="inlineStr">
        <is>
          <t>4063528072061</t>
        </is>
      </c>
      <c r="B1685" t="inlineStr">
        <is>
          <t>Invisibobble Hair Tie Mocha 5 Pieces</t>
        </is>
      </c>
      <c r="C1685" t="inlineStr">
        <is>
          <t>Hair Elastics</t>
        </is>
      </c>
      <c r="D1685" t="inlineStr">
        <is>
          <t>Invisibobble</t>
        </is>
      </c>
      <c r="E1685" t="n">
        <v>5.71</v>
      </c>
      <c r="F1685" t="n">
        <v>1</v>
      </c>
      <c r="G1685" t="n">
        <v>21</v>
      </c>
      <c r="H1685" s="5">
        <f>HYPERLINK("https://api.qogita.com/variants/link/4063528072061/", "View Product")</f>
        <v/>
      </c>
    </row>
    <row r="1686">
      <c r="A1686" t="inlineStr">
        <is>
          <t>4063528072665</t>
        </is>
      </c>
      <c r="B1686" t="inlineStr">
        <is>
          <t>Invisibobble Clipstar - Clawdia Tortoise Hair Clip</t>
        </is>
      </c>
      <c r="C1686" t="inlineStr">
        <is>
          <t>Hair Clips &amp; Hair Clamps</t>
        </is>
      </c>
      <c r="D1686" t="inlineStr">
        <is>
          <t>Invisibobble</t>
        </is>
      </c>
      <c r="E1686" t="n">
        <v>6.96</v>
      </c>
      <c r="F1686" t="n">
        <v>1</v>
      </c>
      <c r="G1686" t="n">
        <v>5</v>
      </c>
      <c r="H1686" s="5">
        <f>HYPERLINK("https://api.qogita.com/variants/link/4063528072665/", "View Product")</f>
        <v/>
      </c>
    </row>
    <row r="1687">
      <c r="A1687" t="inlineStr">
        <is>
          <t>4063528073129</t>
        </is>
      </c>
      <c r="B1687" t="inlineStr">
        <is>
          <t>Invisibobble Set Of Apres Ski Golden Glamor Hair Accessories</t>
        </is>
      </c>
      <c r="C1687" t="inlineStr">
        <is>
          <t>Hair Accessories</t>
        </is>
      </c>
      <c r="D1687" t="inlineStr">
        <is>
          <t>Invisibobble</t>
        </is>
      </c>
      <c r="E1687" t="n">
        <v>5.91</v>
      </c>
      <c r="F1687" t="n">
        <v>1</v>
      </c>
      <c r="G1687" t="n">
        <v>13</v>
      </c>
      <c r="H1687" s="5">
        <f>HYPERLINK("https://api.qogita.com/variants/link/4063528073129/", "View Product")</f>
        <v/>
      </c>
    </row>
    <row r="1688">
      <c r="A1688" t="inlineStr">
        <is>
          <t>4063528078193</t>
        </is>
      </c>
      <c r="B1688" t="inlineStr">
        <is>
          <t>NEQI Repair Reveal Shampoo Repairs Deep Hair Damage Sulfate-Free Professional Care at Home 330ml</t>
        </is>
      </c>
      <c r="C1688" t="inlineStr">
        <is>
          <t>Shampoo</t>
        </is>
      </c>
      <c r="D1688" t="inlineStr">
        <is>
          <t>Neqi</t>
        </is>
      </c>
      <c r="E1688" t="n">
        <v>8.710000000000001</v>
      </c>
      <c r="F1688" t="n">
        <v>1</v>
      </c>
      <c r="G1688" t="n">
        <v>7</v>
      </c>
      <c r="H1688" s="5">
        <f>HYPERLINK("https://api.qogita.com/variants/link/4063528078193/", "View Product")</f>
        <v/>
      </c>
    </row>
    <row r="1689">
      <c r="A1689" t="inlineStr">
        <is>
          <t>4063528078520</t>
        </is>
      </c>
      <c r="B1689" t="inlineStr">
        <is>
          <t>NEQI Treatment Treasure Opulent Oil Serum Deep Care Weightless for Damaged Hair 75ml</t>
        </is>
      </c>
      <c r="C1689" t="inlineStr">
        <is>
          <t>Hair Oil &amp; Hair Serum</t>
        </is>
      </c>
      <c r="D1689" t="inlineStr">
        <is>
          <t>Neqi</t>
        </is>
      </c>
      <c r="E1689" t="n">
        <v>8.51</v>
      </c>
      <c r="F1689" t="n">
        <v>1</v>
      </c>
      <c r="G1689" t="n">
        <v>7</v>
      </c>
      <c r="H1689" s="5">
        <f>HYPERLINK("https://api.qogita.com/variants/link/4063528078520/", "View Product")</f>
        <v/>
      </c>
    </row>
    <row r="1690">
      <c r="A1690" t="inlineStr">
        <is>
          <t>4063528078582</t>
        </is>
      </c>
      <c r="B1690" t="inlineStr">
        <is>
          <t>Invisibobble Power Hold Hairspray Extra Strong Hold UV Protection</t>
        </is>
      </c>
      <c r="C1690" t="inlineStr">
        <is>
          <t>Hairspray</t>
        </is>
      </c>
      <c r="D1690" t="inlineStr">
        <is>
          <t>Invisibobble</t>
        </is>
      </c>
      <c r="E1690" t="n">
        <v>5.84</v>
      </c>
      <c r="F1690" t="n">
        <v>1</v>
      </c>
      <c r="G1690" t="n">
        <v>3</v>
      </c>
      <c r="H1690" s="5">
        <f>HYPERLINK("https://api.qogita.com/variants/link/4063528078582/", "View Product")</f>
        <v/>
      </c>
    </row>
    <row r="1691">
      <c r="A1691" t="inlineStr">
        <is>
          <t>4063528078674</t>
        </is>
      </c>
      <c r="B1691" t="inlineStr">
        <is>
          <t>Invisibobble Invisible Refresh Dry Shampoo 200ml</t>
        </is>
      </c>
      <c r="C1691" t="inlineStr">
        <is>
          <t>Dry Shampoo</t>
        </is>
      </c>
      <c r="D1691" t="inlineStr">
        <is>
          <t>Invisibobble</t>
        </is>
      </c>
      <c r="E1691" t="n">
        <v>5.84</v>
      </c>
      <c r="F1691" t="n">
        <v>1</v>
      </c>
      <c r="G1691" t="n">
        <v>3</v>
      </c>
      <c r="H1691" s="5">
        <f>HYPERLINK("https://api.qogita.com/variants/link/4063528078674/", "View Product")</f>
        <v/>
      </c>
    </row>
    <row r="1692">
      <c r="A1692" t="inlineStr">
        <is>
          <t>4063528078704</t>
        </is>
      </c>
      <c r="B1692" t="inlineStr">
        <is>
          <t>Invisibobble 5-in-1 Styling Cream with Heat Protection, UV Protection, and Frizz Control</t>
        </is>
      </c>
      <c r="C1692" t="inlineStr">
        <is>
          <t>Styling Creams</t>
        </is>
      </c>
      <c r="D1692" t="inlineStr">
        <is>
          <t>Invisibobble</t>
        </is>
      </c>
      <c r="E1692" t="n">
        <v>6.92</v>
      </c>
      <c r="F1692" t="n">
        <v>1</v>
      </c>
      <c r="G1692" t="n">
        <v>9</v>
      </c>
      <c r="H1692" s="5">
        <f>HYPERLINK("https://api.qogita.com/variants/link/4063528078704/", "View Product")</f>
        <v/>
      </c>
    </row>
    <row r="1693">
      <c r="A1693" t="inlineStr">
        <is>
          <t>4063528079640</t>
        </is>
      </c>
      <c r="B1693" t="inlineStr">
        <is>
          <t>Invisibobble Twistar Classical Braids Hair Accessory 3 Pieces</t>
        </is>
      </c>
      <c r="C1693" t="inlineStr">
        <is>
          <t>Hair Elastics</t>
        </is>
      </c>
      <c r="D1693" t="inlineStr">
        <is>
          <t>Invisibobble</t>
        </is>
      </c>
      <c r="E1693" t="n">
        <v>6.96</v>
      </c>
      <c r="F1693" t="n">
        <v>1</v>
      </c>
      <c r="G1693" t="n">
        <v>3</v>
      </c>
      <c r="H1693" s="5">
        <f>HYPERLINK("https://api.qogita.com/variants/link/4063528079640/", "View Product")</f>
        <v/>
      </c>
    </row>
    <row r="1694">
      <c r="A1694" t="inlineStr">
        <is>
          <t>4063528080455</t>
        </is>
      </c>
      <c r="B1694" t="inlineStr">
        <is>
          <t>Invisibobble Clipstar Gold Luxe Hair Clip</t>
        </is>
      </c>
      <c r="C1694" t="inlineStr">
        <is>
          <t>Hair Clips &amp; Hair Clamps</t>
        </is>
      </c>
      <c r="D1694" t="inlineStr">
        <is>
          <t>Invisibobble</t>
        </is>
      </c>
      <c r="E1694" t="n">
        <v>8.18</v>
      </c>
      <c r="F1694" t="n">
        <v>1</v>
      </c>
      <c r="G1694" t="n">
        <v>5</v>
      </c>
      <c r="H1694" s="5">
        <f>HYPERLINK("https://api.qogita.com/variants/link/4063528080455/", "View Product")</f>
        <v/>
      </c>
    </row>
    <row r="1695">
      <c r="A1695" t="inlineStr">
        <is>
          <t>4063528080868</t>
        </is>
      </c>
      <c r="B1695" t="inlineStr">
        <is>
          <t>Invisibobble Gift Set Baby Curl S</t>
        </is>
      </c>
      <c r="C1695" t="inlineStr">
        <is>
          <t>Hair Elastics</t>
        </is>
      </c>
      <c r="D1695" t="inlineStr">
        <is>
          <t>Invisibobble</t>
        </is>
      </c>
      <c r="E1695" t="n">
        <v>13.89</v>
      </c>
      <c r="F1695" t="n">
        <v>1</v>
      </c>
      <c r="G1695" t="n">
        <v>4</v>
      </c>
      <c r="H1695" s="5">
        <f>HYPERLINK("https://api.qogita.com/variants/link/4063528080868/", "View Product")</f>
        <v/>
      </c>
    </row>
    <row r="1696">
      <c r="A1696" t="inlineStr">
        <is>
          <t>4063528082602</t>
        </is>
      </c>
      <c r="B1696" t="inlineStr">
        <is>
          <t>Foamie Berry Fresh Dry Shampoo</t>
        </is>
      </c>
      <c r="C1696" t="inlineStr">
        <is>
          <t>Dry Shampoo</t>
        </is>
      </c>
      <c r="D1696" t="inlineStr">
        <is>
          <t>Foamie</t>
        </is>
      </c>
      <c r="E1696" t="n">
        <v>5.31</v>
      </c>
      <c r="F1696" t="n">
        <v>1</v>
      </c>
      <c r="G1696" t="n">
        <v>3</v>
      </c>
      <c r="H1696" s="5">
        <f>HYPERLINK("https://api.qogita.com/variants/link/4063528082602/", "View Product")</f>
        <v/>
      </c>
    </row>
    <row r="1697">
      <c r="A1697" t="inlineStr">
        <is>
          <t>4063528082770</t>
        </is>
      </c>
      <c r="B1697" t="inlineStr">
        <is>
          <t>Invisibobble Clipstar Glow Happy Flower Hair Clips - 2 Pieces</t>
        </is>
      </c>
      <c r="C1697" t="inlineStr">
        <is>
          <t>Hair Clips &amp; Hair Clamps</t>
        </is>
      </c>
      <c r="D1697" t="inlineStr">
        <is>
          <t>Invisibobble</t>
        </is>
      </c>
      <c r="E1697" t="n">
        <v>3.2</v>
      </c>
      <c r="F1697" t="n">
        <v>1</v>
      </c>
      <c r="G1697" t="n">
        <v>11</v>
      </c>
      <c r="H1697" s="5">
        <f>HYPERLINK("https://api.qogita.com/variants/link/4063528082770/", "View Product")</f>
        <v/>
      </c>
    </row>
    <row r="1698">
      <c r="A1698" t="inlineStr">
        <is>
          <t>4063528083432</t>
        </is>
      </c>
      <c r="B1698" t="inlineStr">
        <is>
          <t>Invisibobble Clipstar L Heartbeat Hair Clip</t>
        </is>
      </c>
      <c r="C1698" t="inlineStr">
        <is>
          <t>Hair Clips &amp; Hair Clamps</t>
        </is>
      </c>
      <c r="D1698" t="inlineStr">
        <is>
          <t>Invisibobble</t>
        </is>
      </c>
      <c r="E1698" t="n">
        <v>7.6</v>
      </c>
      <c r="F1698" t="n">
        <v>1</v>
      </c>
      <c r="G1698" t="n">
        <v>3</v>
      </c>
      <c r="H1698" s="5">
        <f>HYPERLINK("https://api.qogita.com/variants/link/4063528083432/", "View Product")</f>
        <v/>
      </c>
    </row>
    <row r="1699">
      <c r="A1699" t="inlineStr">
        <is>
          <t>4063528083807</t>
        </is>
      </c>
      <c r="B1699" t="inlineStr">
        <is>
          <t>Invisibobble Clipstar Gym Buddy Hair Clip Set - 2 Small Non-Slip Hair Claws</t>
        </is>
      </c>
      <c r="C1699" t="inlineStr">
        <is>
          <t>Hair Clips &amp; Hair Clamps</t>
        </is>
      </c>
      <c r="D1699" t="inlineStr">
        <is>
          <t>Invisibobble</t>
        </is>
      </c>
      <c r="E1699" t="n">
        <v>5.71</v>
      </c>
      <c r="F1699" t="n">
        <v>1</v>
      </c>
      <c r="G1699" t="n">
        <v>3</v>
      </c>
      <c r="H1699" s="5">
        <f>HYPERLINK("https://api.qogita.com/variants/link/4063528083807/", "View Product")</f>
        <v/>
      </c>
    </row>
    <row r="1700">
      <c r="A1700" t="inlineStr">
        <is>
          <t>4063528084866</t>
        </is>
      </c>
      <c r="B1700" t="inlineStr">
        <is>
          <t>Invisibobble Sprunchie Oasis Rabbit Fuzz Soft Scrunchie</t>
        </is>
      </c>
      <c r="C1700" t="inlineStr">
        <is>
          <t>Hair Elastics</t>
        </is>
      </c>
      <c r="D1700" t="inlineStr">
        <is>
          <t>Invisibobble</t>
        </is>
      </c>
      <c r="E1700" t="n">
        <v>6.33</v>
      </c>
      <c r="F1700" t="n">
        <v>1</v>
      </c>
      <c r="G1700" t="n">
        <v>5</v>
      </c>
      <c r="H1700" s="5">
        <f>HYPERLINK("https://api.qogita.com/variants/link/4063528084866/", "View Product")</f>
        <v/>
      </c>
    </row>
    <row r="1701">
      <c r="A1701" t="inlineStr">
        <is>
          <t>4063528086280</t>
        </is>
      </c>
      <c r="B1701" t="inlineStr">
        <is>
          <t>Neqi Hair Oil Rosemary Oil Reviver Oil 75 Ml</t>
        </is>
      </c>
      <c r="C1701" t="inlineStr">
        <is>
          <t>Hair Oil &amp; Hair Serum</t>
        </is>
      </c>
      <c r="D1701" t="inlineStr">
        <is>
          <t>Neqi</t>
        </is>
      </c>
      <c r="E1701" t="n">
        <v>8.710000000000001</v>
      </c>
      <c r="F1701" t="n">
        <v>1</v>
      </c>
      <c r="G1701" t="n">
        <v>16</v>
      </c>
      <c r="H1701" s="5">
        <f>HYPERLINK("https://api.qogita.com/variants/link/4063528086280/", "View Product")</f>
        <v/>
      </c>
    </row>
    <row r="1702">
      <c r="A1702" t="inlineStr">
        <is>
          <t>4064665019605</t>
        </is>
      </c>
      <c r="B1702" t="inlineStr">
        <is>
          <t>Opi Nature Strong Shore Is Something Nail Polish 15ml</t>
        </is>
      </c>
      <c r="C1702" t="inlineStr">
        <is>
          <t>Nail Polish</t>
        </is>
      </c>
      <c r="D1702" t="inlineStr">
        <is>
          <t>OPI</t>
        </is>
      </c>
      <c r="E1702" t="n">
        <v>11.24</v>
      </c>
      <c r="F1702" t="n">
        <v>1</v>
      </c>
      <c r="G1702" t="n">
        <v>5</v>
      </c>
      <c r="H1702" s="5">
        <f>HYPERLINK("https://api.qogita.com/variants/link/4064665019605/", "View Product")</f>
        <v/>
      </c>
    </row>
    <row r="1703">
      <c r="A1703" t="inlineStr">
        <is>
          <t>4064665019773</t>
        </is>
      </c>
      <c r="B1703" t="inlineStr">
        <is>
          <t>Opi Nature Strong Natural Origin Lacquer Raindrop Expectations 15 Ml Nail Polish</t>
        </is>
      </c>
      <c r="C1703" t="inlineStr">
        <is>
          <t>Nail Polish</t>
        </is>
      </c>
      <c r="D1703" t="inlineStr">
        <is>
          <t>OPI</t>
        </is>
      </c>
      <c r="E1703" t="n">
        <v>9.82</v>
      </c>
      <c r="F1703" t="n">
        <v>1</v>
      </c>
      <c r="G1703" t="n">
        <v>5</v>
      </c>
      <c r="H1703" s="5">
        <f>HYPERLINK("https://api.qogita.com/variants/link/4064665019773/", "View Product")</f>
        <v/>
      </c>
    </row>
    <row r="1704">
      <c r="A1704" t="inlineStr">
        <is>
          <t>4064665019841</t>
        </is>
      </c>
      <c r="B1704" t="inlineStr">
        <is>
          <t>Opi Nature Strong Natural Origin Lacquer It's Ashually Opi 15 Ml Nail Polish</t>
        </is>
      </c>
      <c r="C1704" t="inlineStr">
        <is>
          <t>Nail Polish</t>
        </is>
      </c>
      <c r="D1704" t="inlineStr">
        <is>
          <t>OPI</t>
        </is>
      </c>
      <c r="E1704" t="n">
        <v>9.82</v>
      </c>
      <c r="F1704" t="n">
        <v>1</v>
      </c>
      <c r="G1704" t="n">
        <v>5</v>
      </c>
      <c r="H1704" s="5">
        <f>HYPERLINK("https://api.qogita.com/variants/link/4064665019841/", "View Product")</f>
        <v/>
      </c>
    </row>
    <row r="1705">
      <c r="A1705" t="inlineStr">
        <is>
          <t>4064665019872</t>
        </is>
      </c>
      <c r="B1705" t="inlineStr">
        <is>
          <t>Opi Nature Strong Make My Daisy Nail Polish 15ml</t>
        </is>
      </c>
      <c r="C1705" t="inlineStr">
        <is>
          <t>Nail Polish</t>
        </is>
      </c>
      <c r="D1705" t="inlineStr">
        <is>
          <t>OPI</t>
        </is>
      </c>
      <c r="E1705" t="n">
        <v>11.24</v>
      </c>
      <c r="F1705" t="n">
        <v>1</v>
      </c>
      <c r="G1705" t="n">
        <v>4</v>
      </c>
      <c r="H1705" s="5">
        <f>HYPERLINK("https://api.qogita.com/variants/link/4064665019872/", "View Product")</f>
        <v/>
      </c>
    </row>
    <row r="1706">
      <c r="A1706" t="inlineStr">
        <is>
          <t>4064665105544</t>
        </is>
      </c>
      <c r="B1706" t="inlineStr">
        <is>
          <t>OPI Infinite Shine Long-Wear Dark Crème Finish Opaque Purple Nail Polish 0.5 fl oz</t>
        </is>
      </c>
      <c r="C1706" t="inlineStr">
        <is>
          <t>Nail Polish</t>
        </is>
      </c>
      <c r="D1706" t="inlineStr">
        <is>
          <t>OPI</t>
        </is>
      </c>
      <c r="E1706" t="n">
        <v>11.13</v>
      </c>
      <c r="F1706" t="n">
        <v>1</v>
      </c>
      <c r="G1706" t="n">
        <v>4</v>
      </c>
      <c r="H1706" s="5">
        <f>HYPERLINK("https://api.qogita.com/variants/link/4064665105544/", "View Product")</f>
        <v/>
      </c>
    </row>
    <row r="1707">
      <c r="A1707" t="inlineStr">
        <is>
          <t>4064665105568</t>
        </is>
      </c>
      <c r="B1707" t="inlineStr">
        <is>
          <t>Opi Infinite Shine Gellike Lacquer Never Leavin Blue 15 Ml</t>
        </is>
      </c>
      <c r="C1707" t="inlineStr">
        <is>
          <t>Nail Polish</t>
        </is>
      </c>
      <c r="D1707" t="inlineStr">
        <is>
          <t>OPI</t>
        </is>
      </c>
      <c r="E1707" t="n">
        <v>11.13</v>
      </c>
      <c r="F1707" t="n">
        <v>1</v>
      </c>
      <c r="G1707" t="n">
        <v>4</v>
      </c>
      <c r="H1707" s="5">
        <f>HYPERLINK("https://api.qogita.com/variants/link/4064665105568/", "View Product")</f>
        <v/>
      </c>
    </row>
    <row r="1708">
      <c r="A1708" t="inlineStr">
        <is>
          <t>4064665105612</t>
        </is>
      </c>
      <c r="B1708" t="inlineStr">
        <is>
          <t>OPI Infinite Shine Long-Wear Dark Crème Finish Opaque Coral Nail Polish 0.5 fl oz</t>
        </is>
      </c>
      <c r="C1708" t="inlineStr">
        <is>
          <t>Nail Polish</t>
        </is>
      </c>
      <c r="D1708" t="inlineStr">
        <is>
          <t>OPI</t>
        </is>
      </c>
      <c r="E1708" t="n">
        <v>11.13</v>
      </c>
      <c r="F1708" t="n">
        <v>1</v>
      </c>
      <c r="G1708" t="n">
        <v>5</v>
      </c>
      <c r="H1708" s="5">
        <f>HYPERLINK("https://api.qogita.com/variants/link/4064665105612/", "View Product")</f>
        <v/>
      </c>
    </row>
    <row r="1709">
      <c r="A1709" t="inlineStr">
        <is>
          <t>4064665105643</t>
        </is>
      </c>
      <c r="B1709" t="inlineStr">
        <is>
          <t>OPI Infinite Shine Long-Wear Dark Crème Finish Opaque Purple Nail Polish 0.5 fl oz</t>
        </is>
      </c>
      <c r="C1709" t="inlineStr">
        <is>
          <t>Nail Polish</t>
        </is>
      </c>
      <c r="D1709" t="inlineStr">
        <is>
          <t>OPI</t>
        </is>
      </c>
      <c r="E1709" t="n">
        <v>11.13</v>
      </c>
      <c r="F1709" t="n">
        <v>1</v>
      </c>
      <c r="G1709" t="n">
        <v>5</v>
      </c>
      <c r="H1709" s="5">
        <f>HYPERLINK("https://api.qogita.com/variants/link/4064665105643/", "View Product")</f>
        <v/>
      </c>
    </row>
    <row r="1710">
      <c r="A1710" t="inlineStr">
        <is>
          <t>4064665105667</t>
        </is>
      </c>
      <c r="B1710" t="inlineStr">
        <is>
          <t>OPI Infinite Shine Long-Wear Bright Crème Finish Opaque Blue Nail Polish 0.5 fl oz</t>
        </is>
      </c>
      <c r="C1710" t="inlineStr">
        <is>
          <t>Nail Polish</t>
        </is>
      </c>
      <c r="D1710" t="inlineStr">
        <is>
          <t>OPI</t>
        </is>
      </c>
      <c r="E1710" t="n">
        <v>11.13</v>
      </c>
      <c r="F1710" t="n">
        <v>1</v>
      </c>
      <c r="G1710" t="n">
        <v>5</v>
      </c>
      <c r="H1710" s="5">
        <f>HYPERLINK("https://api.qogita.com/variants/link/4064665105667/", "View Product")</f>
        <v/>
      </c>
    </row>
    <row r="1711">
      <c r="A1711" t="inlineStr">
        <is>
          <t>4064665105742</t>
        </is>
      </c>
      <c r="B1711" t="inlineStr">
        <is>
          <t>Opi Infinite Shine Gellike Lacquer You Don't Know Jacques 15 Ml</t>
        </is>
      </c>
      <c r="C1711" t="inlineStr">
        <is>
          <t>Nail Oil</t>
        </is>
      </c>
      <c r="D1711" t="inlineStr">
        <is>
          <t>OPI</t>
        </is>
      </c>
      <c r="E1711" t="n">
        <v>11.13</v>
      </c>
      <c r="F1711" t="n">
        <v>1</v>
      </c>
      <c r="G1711" t="n">
        <v>2</v>
      </c>
      <c r="H1711" s="5">
        <f>HYPERLINK("https://api.qogita.com/variants/link/4064665105742/", "View Product")</f>
        <v/>
      </c>
    </row>
    <row r="1712">
      <c r="A1712" t="inlineStr">
        <is>
          <t>4064665105766</t>
        </is>
      </c>
      <c r="B1712" t="inlineStr">
        <is>
          <t>Opi Infinite Shine Gellike Lacquer I'M Not Really A Waitress 15 Ml</t>
        </is>
      </c>
      <c r="C1712" t="inlineStr">
        <is>
          <t>Nail Polish</t>
        </is>
      </c>
      <c r="D1712" t="inlineStr">
        <is>
          <t>OPI</t>
        </is>
      </c>
      <c r="E1712" t="n">
        <v>11.13</v>
      </c>
      <c r="F1712" t="n">
        <v>1</v>
      </c>
      <c r="G1712" t="n">
        <v>4</v>
      </c>
      <c r="H1712" s="5">
        <f>HYPERLINK("https://api.qogita.com/variants/link/4064665105766/", "View Product")</f>
        <v/>
      </c>
    </row>
    <row r="1713">
      <c r="A1713" t="inlineStr">
        <is>
          <t>4064665105797</t>
        </is>
      </c>
      <c r="B1713" t="inlineStr">
        <is>
          <t>OPI Nail Polish Infinite Shine Long-wear System 2nd Step Gel-Like Nail Varnish Big Apple Red 15ml Cajun Shrimp</t>
        </is>
      </c>
      <c r="C1713" t="inlineStr">
        <is>
          <t>Nail Polish</t>
        </is>
      </c>
      <c r="D1713" t="inlineStr">
        <is>
          <t>OPI</t>
        </is>
      </c>
      <c r="E1713" t="n">
        <v>13.63</v>
      </c>
      <c r="F1713" t="n">
        <v>1</v>
      </c>
      <c r="G1713" t="n">
        <v>5</v>
      </c>
      <c r="H1713" s="5">
        <f>HYPERLINK("https://api.qogita.com/variants/link/4064665105797/", "View Product")</f>
        <v/>
      </c>
    </row>
    <row r="1714">
      <c r="A1714" t="inlineStr">
        <is>
          <t>4064665105803</t>
        </is>
      </c>
      <c r="B1714" t="inlineStr">
        <is>
          <t>OPI Nail Polish Infinite Shine Long-wear System 2nd Step Gel-Like Nail Varnish - Werkin' Shine to Five 15ml Strawberry Margarita</t>
        </is>
      </c>
      <c r="C1714" t="inlineStr">
        <is>
          <t>Nail Polish</t>
        </is>
      </c>
      <c r="D1714" t="inlineStr">
        <is>
          <t>OPI</t>
        </is>
      </c>
      <c r="E1714" t="n">
        <v>13.63</v>
      </c>
      <c r="F1714" t="n">
        <v>1</v>
      </c>
      <c r="G1714" t="n">
        <v>4</v>
      </c>
      <c r="H1714" s="5">
        <f>HYPERLINK("https://api.qogita.com/variants/link/4064665105803/", "View Product")</f>
        <v/>
      </c>
    </row>
    <row r="1715">
      <c r="A1715" t="inlineStr">
        <is>
          <t>4064665105919</t>
        </is>
      </c>
      <c r="B1715" t="inlineStr">
        <is>
          <t>OPI Nail Lacquer Bright Sheer Glitter Finish Orange Nail Polish 0.5 fl oz - Spring '24 Your Way Collection</t>
        </is>
      </c>
      <c r="C1715" t="inlineStr">
        <is>
          <t>Nail Polish</t>
        </is>
      </c>
      <c r="D1715" t="inlineStr">
        <is>
          <t>OPI</t>
        </is>
      </c>
      <c r="E1715" t="n">
        <v>9.380000000000001</v>
      </c>
      <c r="F1715" t="n">
        <v>1</v>
      </c>
      <c r="G1715" t="n">
        <v>5</v>
      </c>
      <c r="H1715" s="5">
        <f>HYPERLINK("https://api.qogita.com/variants/link/4064665105919/", "View Product")</f>
        <v/>
      </c>
    </row>
    <row r="1716">
      <c r="A1716" t="inlineStr">
        <is>
          <t>4064665114775</t>
        </is>
      </c>
      <c r="B1716" t="inlineStr">
        <is>
          <t>OPI Nail Polish Infinite Shine Long-wear System 2nd Step Gel-Like Nail Varnish Alpine Snow 15ml Funny Bunny 15ml</t>
        </is>
      </c>
      <c r="C1716" t="inlineStr">
        <is>
          <t>Nail Polish</t>
        </is>
      </c>
      <c r="D1716" t="inlineStr">
        <is>
          <t>OPI</t>
        </is>
      </c>
      <c r="E1716" t="n">
        <v>13.63</v>
      </c>
      <c r="F1716" t="n">
        <v>1</v>
      </c>
      <c r="G1716" t="n">
        <v>3</v>
      </c>
      <c r="H1716" s="5">
        <f>HYPERLINK("https://api.qogita.com/variants/link/4064665114775/", "View Product")</f>
        <v/>
      </c>
    </row>
    <row r="1717">
      <c r="A1717" t="inlineStr">
        <is>
          <t>4064665114836</t>
        </is>
      </c>
      <c r="B1717" t="inlineStr">
        <is>
          <t>OPI Infinite Shine Long-Wear Soft Shimmer Finish Sheer White Nail Polish 0.5 fl oz</t>
        </is>
      </c>
      <c r="C1717" t="inlineStr">
        <is>
          <t>Nail Polish</t>
        </is>
      </c>
      <c r="D1717" t="inlineStr">
        <is>
          <t>OPI</t>
        </is>
      </c>
      <c r="E1717" t="n">
        <v>13.63</v>
      </c>
      <c r="F1717" t="n">
        <v>1</v>
      </c>
      <c r="G1717" t="n">
        <v>5</v>
      </c>
      <c r="H1717" s="5">
        <f>HYPERLINK("https://api.qogita.com/variants/link/4064665114836/", "View Product")</f>
        <v/>
      </c>
    </row>
    <row r="1718">
      <c r="A1718" t="inlineStr">
        <is>
          <t>4064665114898</t>
        </is>
      </c>
      <c r="B1718" t="inlineStr">
        <is>
          <t>OPI Infinite Shine - Dutch Tulips 15 ml Nail Polish</t>
        </is>
      </c>
      <c r="C1718" t="inlineStr">
        <is>
          <t>Nail Polish</t>
        </is>
      </c>
      <c r="D1718" t="inlineStr">
        <is>
          <t>OPI</t>
        </is>
      </c>
      <c r="E1718" t="n">
        <v>13.63</v>
      </c>
      <c r="F1718" t="n">
        <v>1</v>
      </c>
      <c r="G1718" t="n">
        <v>5</v>
      </c>
      <c r="H1718" s="5">
        <f>HYPERLINK("https://api.qogita.com/variants/link/4064665114898/", "View Product")</f>
        <v/>
      </c>
    </row>
    <row r="1719">
      <c r="A1719" t="inlineStr">
        <is>
          <t>4064665115451</t>
        </is>
      </c>
      <c r="B1719" t="inlineStr">
        <is>
          <t>Opi Gelcolor Gel Nail Polish 15 Ml</t>
        </is>
      </c>
      <c r="C1719" t="inlineStr">
        <is>
          <t>Gel Polish</t>
        </is>
      </c>
      <c r="D1719" t="inlineStr">
        <is>
          <t>OPI</t>
        </is>
      </c>
      <c r="E1719" t="n">
        <v>25.11</v>
      </c>
      <c r="F1719" t="n">
        <v>1</v>
      </c>
      <c r="G1719" t="n">
        <v>3</v>
      </c>
      <c r="H1719" s="5">
        <f>HYPERLINK("https://api.qogita.com/variants/link/4064665115451/", "View Product")</f>
        <v/>
      </c>
    </row>
    <row r="1720">
      <c r="A1720" t="inlineStr">
        <is>
          <t>4064665116762</t>
        </is>
      </c>
      <c r="B1720" t="inlineStr">
        <is>
          <t>OPI GelColor Gel Nail Polish Opaque Soft Blue Creme UV Cure</t>
        </is>
      </c>
      <c r="C1720" t="inlineStr">
        <is>
          <t>Gel Polish</t>
        </is>
      </c>
      <c r="D1720" t="inlineStr">
        <is>
          <t>OPI</t>
        </is>
      </c>
      <c r="E1720" t="n">
        <v>25.11</v>
      </c>
      <c r="F1720" t="n">
        <v>1</v>
      </c>
      <c r="G1720" t="n">
        <v>2</v>
      </c>
      <c r="H1720" s="5">
        <f>HYPERLINK("https://api.qogita.com/variants/link/4064665116762/", "View Product")</f>
        <v/>
      </c>
    </row>
    <row r="1721">
      <c r="A1721" t="inlineStr">
        <is>
          <t>4064665116861</t>
        </is>
      </c>
      <c r="B1721" t="inlineStr">
        <is>
          <t>Opi Gelcolor Gel Nail Polish 15 Ml</t>
        </is>
      </c>
      <c r="C1721" t="inlineStr">
        <is>
          <t>Gel Polish</t>
        </is>
      </c>
      <c r="D1721" t="inlineStr">
        <is>
          <t>OPI</t>
        </is>
      </c>
      <c r="E1721" t="n">
        <v>25.11</v>
      </c>
      <c r="F1721" t="n">
        <v>1</v>
      </c>
      <c r="G1721" t="n">
        <v>3</v>
      </c>
      <c r="H1721" s="5">
        <f>HYPERLINK("https://api.qogita.com/variants/link/4064665116861/", "View Product")</f>
        <v/>
      </c>
    </row>
    <row r="1722">
      <c r="A1722" t="inlineStr">
        <is>
          <t>4064665118599</t>
        </is>
      </c>
      <c r="B1722" t="inlineStr">
        <is>
          <t>Opi Gelcolor Gel Nail Polish - 15 Ml</t>
        </is>
      </c>
      <c r="C1722" t="inlineStr">
        <is>
          <t>Gel Polish</t>
        </is>
      </c>
      <c r="D1722" t="inlineStr">
        <is>
          <t>OPI</t>
        </is>
      </c>
      <c r="E1722" t="n">
        <v>25.11</v>
      </c>
      <c r="F1722" t="n">
        <v>1</v>
      </c>
      <c r="G1722" t="n">
        <v>3</v>
      </c>
      <c r="H1722" s="5">
        <f>HYPERLINK("https://api.qogita.com/variants/link/4064665118599/", "View Product")</f>
        <v/>
      </c>
    </row>
    <row r="1723">
      <c r="A1723" t="inlineStr">
        <is>
          <t>4064665124613</t>
        </is>
      </c>
      <c r="B1723" t="inlineStr">
        <is>
          <t>Opi Infinite Shine Gellike Lacquer Work From Chrome 15 Ml</t>
        </is>
      </c>
      <c r="C1723" t="inlineStr">
        <is>
          <t>Nail Care Sets</t>
        </is>
      </c>
      <c r="D1723" t="inlineStr">
        <is>
          <t>OPI</t>
        </is>
      </c>
      <c r="E1723" t="n">
        <v>11.13</v>
      </c>
      <c r="F1723" t="n">
        <v>1</v>
      </c>
      <c r="G1723" t="n">
        <v>5</v>
      </c>
      <c r="H1723" s="5">
        <f>HYPERLINK("https://api.qogita.com/variants/link/4064665124613/", "View Product")</f>
        <v/>
      </c>
    </row>
    <row r="1724">
      <c r="A1724" t="inlineStr">
        <is>
          <t>4064665124668</t>
        </is>
      </c>
      <c r="B1724" t="inlineStr">
        <is>
          <t>Opi Infinite Shine Gellike Lacquer 15 Ml</t>
        </is>
      </c>
      <c r="C1724" t="inlineStr">
        <is>
          <t>Nail Care Sets</t>
        </is>
      </c>
      <c r="D1724" t="inlineStr">
        <is>
          <t>OPI</t>
        </is>
      </c>
      <c r="E1724" t="n">
        <v>11.13</v>
      </c>
      <c r="F1724" t="n">
        <v>1</v>
      </c>
      <c r="G1724" t="n">
        <v>5</v>
      </c>
      <c r="H1724" s="5">
        <f>HYPERLINK("https://api.qogita.com/variants/link/4064665124668/", "View Product")</f>
        <v/>
      </c>
    </row>
    <row r="1725">
      <c r="A1725" t="inlineStr">
        <is>
          <t>4064665124729</t>
        </is>
      </c>
      <c r="B1725" t="inlineStr">
        <is>
          <t>Opi Infinite Shine Gellike Lacquer 15 Ml</t>
        </is>
      </c>
      <c r="C1725" t="inlineStr">
        <is>
          <t>Nail Care Sets</t>
        </is>
      </c>
      <c r="D1725" t="inlineStr">
        <is>
          <t>OPI</t>
        </is>
      </c>
      <c r="E1725" t="n">
        <v>11.13</v>
      </c>
      <c r="F1725" t="n">
        <v>1</v>
      </c>
      <c r="G1725" t="n">
        <v>2</v>
      </c>
      <c r="H1725" s="5">
        <f>HYPERLINK("https://api.qogita.com/variants/link/4064665124729/", "View Product")</f>
        <v/>
      </c>
    </row>
    <row r="1726">
      <c r="A1726" t="inlineStr">
        <is>
          <t>4064665124736</t>
        </is>
      </c>
      <c r="B1726" t="inlineStr">
        <is>
          <t>OPI Infinite Shine Long-Wear Dark Crème Finish Opaque Brown Nail Polish 0.5 fl oz</t>
        </is>
      </c>
      <c r="C1726" t="inlineStr">
        <is>
          <t>Nail Polish</t>
        </is>
      </c>
      <c r="D1726" t="inlineStr">
        <is>
          <t>OPI</t>
        </is>
      </c>
      <c r="E1726" t="n">
        <v>11.13</v>
      </c>
      <c r="F1726" t="n">
        <v>1</v>
      </c>
      <c r="G1726" t="n">
        <v>2</v>
      </c>
      <c r="H1726" s="5">
        <f>HYPERLINK("https://api.qogita.com/variants/link/4064665124736/", "View Product")</f>
        <v/>
      </c>
    </row>
    <row r="1727">
      <c r="A1727" t="inlineStr">
        <is>
          <t>4064665140620</t>
        </is>
      </c>
      <c r="B1727" t="inlineStr">
        <is>
          <t>Opi Gelcolor Gel Nail Polish 15 Ml</t>
        </is>
      </c>
      <c r="C1727" t="inlineStr">
        <is>
          <t>Gel Polish</t>
        </is>
      </c>
      <c r="D1727" t="inlineStr">
        <is>
          <t>OPI</t>
        </is>
      </c>
      <c r="E1727" t="n">
        <v>25.11</v>
      </c>
      <c r="F1727" t="n">
        <v>1</v>
      </c>
      <c r="G1727" t="n">
        <v>2</v>
      </c>
      <c r="H1727" s="5">
        <f>HYPERLINK("https://api.qogita.com/variants/link/4064665140620/", "View Product")</f>
        <v/>
      </c>
    </row>
    <row r="1728">
      <c r="A1728" t="inlineStr">
        <is>
          <t>4064665140712</t>
        </is>
      </c>
      <c r="B1728" t="inlineStr">
        <is>
          <t>OPI GelColor Gel Nail Polish Opaque Nude Neutral Cream UV Cure</t>
        </is>
      </c>
      <c r="C1728" t="inlineStr">
        <is>
          <t>Gel Polish</t>
        </is>
      </c>
      <c r="D1728" t="inlineStr">
        <is>
          <t>OPI</t>
        </is>
      </c>
      <c r="E1728" t="n">
        <v>25.11</v>
      </c>
      <c r="F1728" t="n">
        <v>1</v>
      </c>
      <c r="G1728" t="n">
        <v>3</v>
      </c>
      <c r="H1728" s="5">
        <f>HYPERLINK("https://api.qogita.com/variants/link/4064665140712/", "View Product")</f>
        <v/>
      </c>
    </row>
    <row r="1729">
      <c r="A1729" t="inlineStr">
        <is>
          <t>4064665140750</t>
        </is>
      </c>
      <c r="B1729" t="inlineStr">
        <is>
          <t>Opi Gelcolor Gel Nail Polish 15 Ml</t>
        </is>
      </c>
      <c r="C1729" t="inlineStr">
        <is>
          <t>Gel Polish</t>
        </is>
      </c>
      <c r="D1729" t="inlineStr">
        <is>
          <t>OPI</t>
        </is>
      </c>
      <c r="E1729" t="n">
        <v>25.11</v>
      </c>
      <c r="F1729" t="n">
        <v>1</v>
      </c>
      <c r="G1729" t="n">
        <v>3</v>
      </c>
      <c r="H1729" s="5">
        <f>HYPERLINK("https://api.qogita.com/variants/link/4064665140750/", "View Product")</f>
        <v/>
      </c>
    </row>
    <row r="1730">
      <c r="A1730" t="inlineStr">
        <is>
          <t>4064665140767</t>
        </is>
      </c>
      <c r="B1730" t="inlineStr">
        <is>
          <t>Opi Gelcolor Gel Nail Polish 15 Ml</t>
        </is>
      </c>
      <c r="C1730" t="inlineStr">
        <is>
          <t>Gel Polish</t>
        </is>
      </c>
      <c r="D1730" t="inlineStr">
        <is>
          <t>OPI</t>
        </is>
      </c>
      <c r="E1730" t="n">
        <v>25.11</v>
      </c>
      <c r="F1730" t="n">
        <v>1</v>
      </c>
      <c r="G1730" t="n">
        <v>2</v>
      </c>
      <c r="H1730" s="5">
        <f>HYPERLINK("https://api.qogita.com/variants/link/4064665140767/", "View Product")</f>
        <v/>
      </c>
    </row>
    <row r="1731">
      <c r="A1731" t="inlineStr">
        <is>
          <t>4064665140774</t>
        </is>
      </c>
      <c r="B1731" t="inlineStr">
        <is>
          <t>Opi Gelcolor Gel Nail Polish 15 Ml</t>
        </is>
      </c>
      <c r="C1731" t="inlineStr">
        <is>
          <t>Gel Polish</t>
        </is>
      </c>
      <c r="D1731" t="inlineStr">
        <is>
          <t>OPI</t>
        </is>
      </c>
      <c r="E1731" t="n">
        <v>25.11</v>
      </c>
      <c r="F1731" t="n">
        <v>1</v>
      </c>
      <c r="G1731" t="n">
        <v>2</v>
      </c>
      <c r="H1731" s="5">
        <f>HYPERLINK("https://api.qogita.com/variants/link/4064665140774/", "View Product")</f>
        <v/>
      </c>
    </row>
    <row r="1732">
      <c r="A1732" t="inlineStr">
        <is>
          <t>4064665140910</t>
        </is>
      </c>
      <c r="B1732" t="inlineStr">
        <is>
          <t>Opi Gelcolor Gel Nail Polish 15 Ml</t>
        </is>
      </c>
      <c r="C1732" t="inlineStr">
        <is>
          <t>Gel Polish</t>
        </is>
      </c>
      <c r="D1732" t="inlineStr">
        <is>
          <t>OPI</t>
        </is>
      </c>
      <c r="E1732" t="n">
        <v>25.11</v>
      </c>
      <c r="F1732" t="n">
        <v>1</v>
      </c>
      <c r="G1732" t="n">
        <v>2</v>
      </c>
      <c r="H1732" s="5">
        <f>HYPERLINK("https://api.qogita.com/variants/link/4064665140910/", "View Product")</f>
        <v/>
      </c>
    </row>
    <row r="1733">
      <c r="A1733" t="inlineStr">
        <is>
          <t>4064665140941</t>
        </is>
      </c>
      <c r="B1733" t="inlineStr">
        <is>
          <t>Opi Gelcolor Opaque Bright Creme UV Cure Gel Nail Polish</t>
        </is>
      </c>
      <c r="C1733" t="inlineStr">
        <is>
          <t>Gel Polish</t>
        </is>
      </c>
      <c r="D1733" t="inlineStr">
        <is>
          <t>OPI</t>
        </is>
      </c>
      <c r="E1733" t="n">
        <v>25.11</v>
      </c>
      <c r="F1733" t="n">
        <v>1</v>
      </c>
      <c r="G1733" t="n">
        <v>3</v>
      </c>
      <c r="H1733" s="5">
        <f>HYPERLINK("https://api.qogita.com/variants/link/4064665140941/", "View Product")</f>
        <v/>
      </c>
    </row>
    <row r="1734">
      <c r="A1734" t="inlineStr">
        <is>
          <t>4064665140958</t>
        </is>
      </c>
      <c r="B1734" t="inlineStr">
        <is>
          <t>Opi Gelcolor Gel Nail Polish 15 Ml</t>
        </is>
      </c>
      <c r="C1734" t="inlineStr">
        <is>
          <t>Gel Polish</t>
        </is>
      </c>
      <c r="D1734" t="inlineStr">
        <is>
          <t>OPI</t>
        </is>
      </c>
      <c r="E1734" t="n">
        <v>25.11</v>
      </c>
      <c r="F1734" t="n">
        <v>1</v>
      </c>
      <c r="G1734" t="n">
        <v>3</v>
      </c>
      <c r="H1734" s="5">
        <f>HYPERLINK("https://api.qogita.com/variants/link/4064665140958/", "View Product")</f>
        <v/>
      </c>
    </row>
    <row r="1735">
      <c r="A1735" t="inlineStr">
        <is>
          <t>4064665153477</t>
        </is>
      </c>
      <c r="B1735" t="inlineStr">
        <is>
          <t>Opi Gelcolor Gel Nail Polish 15 Ml</t>
        </is>
      </c>
      <c r="C1735" t="inlineStr">
        <is>
          <t>Gel Polish</t>
        </is>
      </c>
      <c r="D1735" t="inlineStr">
        <is>
          <t>OPI</t>
        </is>
      </c>
      <c r="E1735" t="n">
        <v>25.11</v>
      </c>
      <c r="F1735" t="n">
        <v>1</v>
      </c>
      <c r="G1735" t="n">
        <v>2</v>
      </c>
      <c r="H1735" s="5">
        <f>HYPERLINK("https://api.qogita.com/variants/link/4064665153477/", "View Product")</f>
        <v/>
      </c>
    </row>
    <row r="1736">
      <c r="A1736" t="inlineStr">
        <is>
          <t>4064665160260</t>
        </is>
      </c>
      <c r="B1736" t="inlineStr">
        <is>
          <t>Opi Gelcolor Opaque Bright Creme UV Cure Gel Nail Polish</t>
        </is>
      </c>
      <c r="C1736" t="inlineStr">
        <is>
          <t>Gel Polish</t>
        </is>
      </c>
      <c r="D1736" t="inlineStr">
        <is>
          <t>OPI</t>
        </is>
      </c>
      <c r="E1736" t="n">
        <v>25.11</v>
      </c>
      <c r="F1736" t="n">
        <v>1</v>
      </c>
      <c r="G1736" t="n">
        <v>3</v>
      </c>
      <c r="H1736" s="5">
        <f>HYPERLINK("https://api.qogita.com/variants/link/4064665160260/", "View Product")</f>
        <v/>
      </c>
    </row>
    <row r="1737">
      <c r="A1737" t="inlineStr">
        <is>
          <t>4064665161243</t>
        </is>
      </c>
      <c r="B1737" t="inlineStr">
        <is>
          <t>Opi Nail Lacquer - Wicked Collection - Defying Gravity, 15ml</t>
        </is>
      </c>
      <c r="C1737" t="inlineStr">
        <is>
          <t>Nail Polish</t>
        </is>
      </c>
      <c r="D1737" t="inlineStr">
        <is>
          <t>OPI</t>
        </is>
      </c>
      <c r="E1737" t="n">
        <v>4.41</v>
      </c>
      <c r="F1737" t="n">
        <v>1</v>
      </c>
      <c r="G1737" t="n">
        <v>9</v>
      </c>
      <c r="H1737" s="5">
        <f>HYPERLINK("https://api.qogita.com/variants/link/4064665161243/", "View Product")</f>
        <v/>
      </c>
    </row>
    <row r="1738">
      <c r="A1738" t="inlineStr">
        <is>
          <t>4064665161274</t>
        </is>
      </c>
      <c r="B1738" t="inlineStr">
        <is>
          <t>Wicked Collection Love You So Munchkin Nail Lacquer - Lasts Up To 7 Days, 15 Ml</t>
        </is>
      </c>
      <c r="C1738" t="inlineStr">
        <is>
          <t>Nail Polish</t>
        </is>
      </c>
      <c r="D1738" t="inlineStr">
        <is>
          <t>Wicked Colors</t>
        </is>
      </c>
      <c r="E1738" t="n">
        <v>4.24</v>
      </c>
      <c r="F1738" t="n">
        <v>1</v>
      </c>
      <c r="G1738" t="n">
        <v>13</v>
      </c>
      <c r="H1738" s="5">
        <f>HYPERLINK("https://api.qogita.com/variants/link/4064665161274/", "View Product")</f>
        <v/>
      </c>
    </row>
    <row r="1739">
      <c r="A1739" t="inlineStr">
        <is>
          <t>4064665202618</t>
        </is>
      </c>
      <c r="B1739" t="inlineStr">
        <is>
          <t>Opi Nail Envy Nail Strengthener 15 Ml Powerful Pink</t>
        </is>
      </c>
      <c r="C1739" t="inlineStr">
        <is>
          <t>Nail Care Sets</t>
        </is>
      </c>
      <c r="D1739" t="inlineStr">
        <is>
          <t>OPI</t>
        </is>
      </c>
      <c r="E1739" t="n">
        <v>14.72</v>
      </c>
      <c r="F1739" t="n">
        <v>1</v>
      </c>
      <c r="G1739" t="n">
        <v>2</v>
      </c>
      <c r="H1739" s="5">
        <f>HYPERLINK("https://api.qogita.com/variants/link/4064665202618/", "View Product")</f>
        <v/>
      </c>
    </row>
    <row r="1740">
      <c r="A1740" t="inlineStr">
        <is>
          <t>4064666003276</t>
        </is>
      </c>
      <c r="B1740" t="inlineStr">
        <is>
          <t>Wella System Professional Hydrate Mask H3 400ml</t>
        </is>
      </c>
      <c r="C1740" t="inlineStr">
        <is>
          <t>Hair Masks</t>
        </is>
      </c>
      <c r="D1740" t="inlineStr">
        <is>
          <t>Wella</t>
        </is>
      </c>
      <c r="E1740" t="n">
        <v>33.93</v>
      </c>
      <c r="F1740" t="n">
        <v>1</v>
      </c>
      <c r="G1740" t="n">
        <v>7</v>
      </c>
      <c r="H1740" s="5">
        <f>HYPERLINK("https://api.qogita.com/variants/link/4064666003276/", "View Product")</f>
        <v/>
      </c>
    </row>
    <row r="1741">
      <c r="A1741" t="inlineStr">
        <is>
          <t>4064666007199</t>
        </is>
      </c>
      <c r="B1741" t="inlineStr">
        <is>
          <t>P5 Lotion 125ml</t>
        </is>
      </c>
      <c r="C1741" t="inlineStr">
        <is>
          <t>Body Lotion</t>
        </is>
      </c>
      <c r="D1741" t="inlineStr">
        <is>
          <t>System Professional</t>
        </is>
      </c>
      <c r="E1741" t="n">
        <v>19.11</v>
      </c>
      <c r="F1741" t="n">
        <v>1</v>
      </c>
      <c r="G1741" t="n">
        <v>7</v>
      </c>
      <c r="H1741" s="5">
        <f>HYPERLINK("https://api.qogita.com/variants/link/4064666007199/", "View Product")</f>
        <v/>
      </c>
    </row>
    <row r="1742">
      <c r="A1742" t="inlineStr">
        <is>
          <t>4064666035666</t>
        </is>
      </c>
      <c r="B1742" t="inlineStr">
        <is>
          <t>Wella Professionals Apaisant Calming Elements Hair Serum 100ml</t>
        </is>
      </c>
      <c r="C1742" t="inlineStr">
        <is>
          <t>Hair Oil &amp; Hair Serum</t>
        </is>
      </c>
      <c r="D1742" t="inlineStr">
        <is>
          <t>Wella Professionals</t>
        </is>
      </c>
      <c r="E1742" t="n">
        <v>23.74</v>
      </c>
      <c r="F1742" t="n">
        <v>1</v>
      </c>
      <c r="G1742" t="n">
        <v>4</v>
      </c>
      <c r="H1742" s="5">
        <f>HYPERLINK("https://api.qogita.com/variants/link/4064666035666/", "View Product")</f>
        <v/>
      </c>
    </row>
    <row r="1743">
      <c r="A1743" t="inlineStr">
        <is>
          <t>4064666036052</t>
        </is>
      </c>
      <c r="B1743" t="inlineStr">
        <is>
          <t>Wella Professionals Elements Renewing Conditioner 1000 Ml Lightweight And Paraben Free</t>
        </is>
      </c>
      <c r="C1743" t="inlineStr">
        <is>
          <t>Conditioner</t>
        </is>
      </c>
      <c r="D1743" t="inlineStr">
        <is>
          <t>Wella Professionals</t>
        </is>
      </c>
      <c r="E1743" t="n">
        <v>26.37</v>
      </c>
      <c r="F1743" t="n">
        <v>1</v>
      </c>
      <c r="G1743" t="n">
        <v>37</v>
      </c>
      <c r="H1743" s="5">
        <f>HYPERLINK("https://api.qogita.com/variants/link/4064666036052/", "View Product")</f>
        <v/>
      </c>
    </row>
    <row r="1744">
      <c r="A1744" t="inlineStr">
        <is>
          <t>4064666036137</t>
        </is>
      </c>
      <c r="B1744" t="inlineStr">
        <is>
          <t>Wella Professionals Elements Calming Shampoo 500ml</t>
        </is>
      </c>
      <c r="C1744" t="inlineStr">
        <is>
          <t>Shampoo</t>
        </is>
      </c>
      <c r="D1744" t="inlineStr">
        <is>
          <t>Wella Professionals</t>
        </is>
      </c>
      <c r="E1744" t="n">
        <v>12.52</v>
      </c>
      <c r="F1744" t="n">
        <v>1</v>
      </c>
      <c r="G1744" t="n">
        <v>6</v>
      </c>
      <c r="H1744" s="5">
        <f>HYPERLINK("https://api.qogita.com/variants/link/4064666036137/", "View Product")</f>
        <v/>
      </c>
    </row>
    <row r="1745">
      <c r="A1745" t="inlineStr">
        <is>
          <t>4064666041001</t>
        </is>
      </c>
      <c r="B1745" t="inlineStr">
        <is>
          <t>Wella Professionals Nutricurls Shampoo For Waves 1000ml Moisturizing Shampoo For Wavy And Curly Hair</t>
        </is>
      </c>
      <c r="C1745" t="inlineStr">
        <is>
          <t>Shampoo</t>
        </is>
      </c>
      <c r="D1745" t="inlineStr">
        <is>
          <t>Wella Professionals</t>
        </is>
      </c>
      <c r="E1745" t="n">
        <v>22.41</v>
      </c>
      <c r="F1745" t="n">
        <v>1</v>
      </c>
      <c r="G1745" t="n">
        <v>5</v>
      </c>
      <c r="H1745" s="5">
        <f>HYPERLINK("https://api.qogita.com/variants/link/4064666041001/", "View Product")</f>
        <v/>
      </c>
    </row>
    <row r="1746">
      <c r="A1746" t="inlineStr">
        <is>
          <t>4064666041575</t>
        </is>
      </c>
      <c r="B1746" t="inlineStr">
        <is>
          <t>Wella Professionals Nutricurls Nourishing Spray For Waves Leavein Treatment For Wavy Hair 150ml</t>
        </is>
      </c>
      <c r="C1746" t="inlineStr">
        <is>
          <t>Leave-In Conditioner</t>
        </is>
      </c>
      <c r="D1746" t="inlineStr">
        <is>
          <t>Wella Professionals</t>
        </is>
      </c>
      <c r="E1746" t="n">
        <v>13.71</v>
      </c>
      <c r="F1746" t="n">
        <v>1</v>
      </c>
      <c r="G1746" t="n">
        <v>7</v>
      </c>
      <c r="H1746" s="5">
        <f>HYPERLINK("https://api.qogita.com/variants/link/4064666041575/", "View Product")</f>
        <v/>
      </c>
    </row>
    <row r="1747">
      <c r="A1747" t="inlineStr">
        <is>
          <t>4064666043388</t>
        </is>
      </c>
      <c r="B1747" t="inlineStr">
        <is>
          <t>Wella SP Repair Shampoo for Damaged Hair 1000ml 33.8oz</t>
        </is>
      </c>
      <c r="C1747" t="inlineStr">
        <is>
          <t>Shampoo</t>
        </is>
      </c>
      <c r="D1747" t="inlineStr">
        <is>
          <t>Wella</t>
        </is>
      </c>
      <c r="E1747" t="n">
        <v>15.01</v>
      </c>
      <c r="F1747" t="n">
        <v>1</v>
      </c>
      <c r="G1747" t="n">
        <v>81</v>
      </c>
      <c r="H1747" s="5">
        <f>HYPERLINK("https://api.qogita.com/variants/link/4064666043388/", "View Product")</f>
        <v/>
      </c>
    </row>
    <row r="1748">
      <c r="A1748" t="inlineStr">
        <is>
          <t>4064666043432</t>
        </is>
      </c>
      <c r="B1748" t="inlineStr">
        <is>
          <t>Wella Professionals Balance Scalp Shampoo Soothing Shampoo For Sensitive Scalp 250 Ml</t>
        </is>
      </c>
      <c r="C1748" t="inlineStr">
        <is>
          <t>Shampoo</t>
        </is>
      </c>
      <c r="D1748" t="inlineStr">
        <is>
          <t>Wella Professionals</t>
        </is>
      </c>
      <c r="E1748" t="n">
        <v>15.47</v>
      </c>
      <c r="F1748" t="n">
        <v>1</v>
      </c>
      <c r="G1748" t="n">
        <v>248</v>
      </c>
      <c r="H1748" s="5">
        <f>HYPERLINK("https://api.qogita.com/variants/link/4064666043432/", "View Product")</f>
        <v/>
      </c>
    </row>
    <row r="1749">
      <c r="A1749" t="inlineStr">
        <is>
          <t>4064666043777</t>
        </is>
      </c>
      <c r="B1749" t="inlineStr">
        <is>
          <t>Wella Professionals Invigo Volume Boost Crystal Mask - 500ml</t>
        </is>
      </c>
      <c r="C1749" t="inlineStr">
        <is>
          <t>Hair Masks</t>
        </is>
      </c>
      <c r="D1749" t="inlineStr">
        <is>
          <t>Wella Professionals</t>
        </is>
      </c>
      <c r="E1749" t="n">
        <v>17.31</v>
      </c>
      <c r="F1749" t="n">
        <v>1</v>
      </c>
      <c r="G1749" t="n">
        <v>20</v>
      </c>
      <c r="H1749" s="5">
        <f>HYPERLINK("https://api.qogita.com/variants/link/4064666043777/", "View Product")</f>
        <v/>
      </c>
    </row>
    <row r="1750">
      <c r="A1750" t="inlineStr">
        <is>
          <t>4064666043890</t>
        </is>
      </c>
      <c r="B1750" t="inlineStr">
        <is>
          <t>Sebastian Professional Twisted Shampoo For Wavy And Curly Hair 250ml</t>
        </is>
      </c>
      <c r="C1750" t="inlineStr">
        <is>
          <t>Shampoo</t>
        </is>
      </c>
      <c r="D1750" t="inlineStr">
        <is>
          <t>Sebastian Professional</t>
        </is>
      </c>
      <c r="E1750" t="n">
        <v>11.29</v>
      </c>
      <c r="F1750" t="n">
        <v>1</v>
      </c>
      <c r="G1750" t="n">
        <v>3</v>
      </c>
      <c r="H1750" s="5">
        <f>HYPERLINK("https://api.qogita.com/variants/link/4064666043890/", "View Product")</f>
        <v/>
      </c>
    </row>
    <row r="1751">
      <c r="A1751" t="inlineStr">
        <is>
          <t>4064666044217</t>
        </is>
      </c>
      <c r="B1751" t="inlineStr">
        <is>
          <t>Sebastian Professional Dark Oil Hair Care Smooths and Nourishes Hair Weightlessly for All Hair Types 90ml</t>
        </is>
      </c>
      <c r="C1751" t="inlineStr">
        <is>
          <t>Hair Oil &amp; Hair Serum</t>
        </is>
      </c>
      <c r="D1751" t="inlineStr">
        <is>
          <t>Sebastian Professional</t>
        </is>
      </c>
      <c r="E1751" t="n">
        <v>16.14</v>
      </c>
      <c r="F1751" t="n">
        <v>1</v>
      </c>
      <c r="G1751" t="n">
        <v>41</v>
      </c>
      <c r="H1751" s="5">
        <f>HYPERLINK("https://api.qogita.com/variants/link/4064666044217/", "View Product")</f>
        <v/>
      </c>
    </row>
    <row r="1752">
      <c r="A1752" t="inlineStr">
        <is>
          <t>4064666044255</t>
        </is>
      </c>
      <c r="B1752" t="inlineStr">
        <is>
          <t>Sebastian Professional Penetraitt Shampoo 1000ml Regenerating Shampoo</t>
        </is>
      </c>
      <c r="C1752" t="inlineStr">
        <is>
          <t>Shampoo</t>
        </is>
      </c>
      <c r="D1752" t="inlineStr">
        <is>
          <t>Sebastian Professional</t>
        </is>
      </c>
      <c r="E1752" t="n">
        <v>33.49</v>
      </c>
      <c r="F1752" t="n">
        <v>1</v>
      </c>
      <c r="G1752" t="n">
        <v>3</v>
      </c>
      <c r="H1752" s="5">
        <f>HYPERLINK("https://api.qogita.com/variants/link/4064666044255/", "View Product")</f>
        <v/>
      </c>
    </row>
    <row r="1753">
      <c r="A1753" t="inlineStr">
        <is>
          <t>4064666044293</t>
        </is>
      </c>
      <c r="B1753" t="inlineStr">
        <is>
          <t>Sebastian Professional Hydre Shampoo 1000ml For Hair Hydration</t>
        </is>
      </c>
      <c r="C1753" t="inlineStr">
        <is>
          <t>Shampoo</t>
        </is>
      </c>
      <c r="D1753" t="inlineStr">
        <is>
          <t>Sebastian Professional</t>
        </is>
      </c>
      <c r="E1753" t="n">
        <v>32.66</v>
      </c>
      <c r="F1753" t="n">
        <v>1</v>
      </c>
      <c r="G1753" t="n">
        <v>3</v>
      </c>
      <c r="H1753" s="5">
        <f>HYPERLINK("https://api.qogita.com/variants/link/4064666044293/", "View Product")</f>
        <v/>
      </c>
    </row>
    <row r="1754">
      <c r="A1754" t="inlineStr">
        <is>
          <t>4064666044354</t>
        </is>
      </c>
      <c r="B1754" t="inlineStr">
        <is>
          <t>Sebastian Professional Potion 9 Wearable-Styling Treatment 150 ml</t>
        </is>
      </c>
      <c r="C1754" t="inlineStr">
        <is>
          <t>Leave-In Conditioner</t>
        </is>
      </c>
      <c r="D1754" t="inlineStr">
        <is>
          <t>Sebastian Professional</t>
        </is>
      </c>
      <c r="E1754" t="n">
        <v>16.91</v>
      </c>
      <c r="F1754" t="n">
        <v>1</v>
      </c>
      <c r="G1754" t="n">
        <v>9</v>
      </c>
      <c r="H1754" s="5">
        <f>HYPERLINK("https://api.qogita.com/variants/link/4064666044354/", "View Product")</f>
        <v/>
      </c>
    </row>
    <row r="1755">
      <c r="A1755" t="inlineStr">
        <is>
          <t>4064666052724</t>
        </is>
      </c>
      <c r="B1755" t="inlineStr">
        <is>
          <t>Wella Elements Renewing Conditioner 1000ml Refill</t>
        </is>
      </c>
      <c r="C1755" t="inlineStr">
        <is>
          <t>Conditioner</t>
        </is>
      </c>
      <c r="D1755" t="inlineStr">
        <is>
          <t>Wella</t>
        </is>
      </c>
      <c r="E1755" t="n">
        <v>29.54</v>
      </c>
      <c r="F1755" t="n">
        <v>1</v>
      </c>
      <c r="G1755" t="n">
        <v>11</v>
      </c>
      <c r="H1755" s="5">
        <f>HYPERLINK("https://api.qogita.com/variants/link/4064666052724/", "View Product")</f>
        <v/>
      </c>
    </row>
    <row r="1756">
      <c r="A1756" t="inlineStr">
        <is>
          <t>4064666058085</t>
        </is>
      </c>
      <c r="B1756" t="inlineStr">
        <is>
          <t>Wella Shinefinity Zero Lift Glaze 60ml</t>
        </is>
      </c>
      <c r="C1756" t="inlineStr">
        <is>
          <t>Hair Care Sets</t>
        </is>
      </c>
      <c r="D1756" t="inlineStr">
        <is>
          <t>Wella</t>
        </is>
      </c>
      <c r="E1756" t="n">
        <v>7.46</v>
      </c>
      <c r="F1756" t="n">
        <v>1</v>
      </c>
      <c r="G1756" t="n">
        <v>2</v>
      </c>
      <c r="H1756" s="5">
        <f>HYPERLINK("https://api.qogita.com/variants/link/4064666058085/", "View Product")</f>
        <v/>
      </c>
    </row>
    <row r="1757">
      <c r="A1757" t="inlineStr">
        <is>
          <t>4064666058238</t>
        </is>
      </c>
      <c r="B1757" t="inlineStr">
        <is>
          <t>Wella Shinefinity Zero Lift Glaze 60ml 07/75</t>
        </is>
      </c>
      <c r="C1757" t="inlineStr">
        <is>
          <t>Hair Dye</t>
        </is>
      </c>
      <c r="D1757" t="inlineStr">
        <is>
          <t>Wella</t>
        </is>
      </c>
      <c r="E1757" t="n">
        <v>7.02</v>
      </c>
      <c r="F1757" t="n">
        <v>1</v>
      </c>
      <c r="G1757" t="n">
        <v>3</v>
      </c>
      <c r="H1757" s="5">
        <f>HYPERLINK("https://api.qogita.com/variants/link/4064666058238/", "View Product")</f>
        <v/>
      </c>
    </row>
    <row r="1758">
      <c r="A1758" t="inlineStr">
        <is>
          <t>4064666066882</t>
        </is>
      </c>
      <c r="B1758" t="inlineStr">
        <is>
          <t>Nioxin Thinning 4 Scalp Treatment 100ml</t>
        </is>
      </c>
      <c r="C1758" t="inlineStr">
        <is>
          <t>Scalp Care</t>
        </is>
      </c>
      <c r="D1758" t="inlineStr">
        <is>
          <t>Nioxin</t>
        </is>
      </c>
      <c r="E1758" t="n">
        <v>10.99</v>
      </c>
      <c r="F1758" t="n">
        <v>1</v>
      </c>
      <c r="G1758" t="n">
        <v>14</v>
      </c>
      <c r="H1758" s="5">
        <f>HYPERLINK("https://api.qogita.com/variants/link/4064666066882/", "View Product")</f>
        <v/>
      </c>
    </row>
    <row r="1759">
      <c r="A1759" t="inlineStr">
        <is>
          <t>4064666085791</t>
        </is>
      </c>
      <c r="B1759" t="inlineStr">
        <is>
          <t>Wella Blondor Multi Blonde 400g</t>
        </is>
      </c>
      <c r="C1759" t="inlineStr">
        <is>
          <t>Bleaching</t>
        </is>
      </c>
      <c r="D1759" t="inlineStr">
        <is>
          <t>Wella</t>
        </is>
      </c>
      <c r="E1759" t="n">
        <v>16.8</v>
      </c>
      <c r="F1759" t="n">
        <v>1</v>
      </c>
      <c r="G1759" t="n">
        <v>15</v>
      </c>
      <c r="H1759" s="5">
        <f>HYPERLINK("https://api.qogita.com/variants/link/4064666085791/", "View Product")</f>
        <v/>
      </c>
    </row>
    <row r="1760">
      <c r="A1760" t="inlineStr">
        <is>
          <t>4064666097480</t>
        </is>
      </c>
      <c r="B1760" t="inlineStr">
        <is>
          <t>Wella Professionals Sp Color Save Shampoo For Colored Hair 250ml</t>
        </is>
      </c>
      <c r="C1760" t="inlineStr">
        <is>
          <t>Shampoo</t>
        </is>
      </c>
      <c r="D1760" t="inlineStr">
        <is>
          <t>Wella Professionals</t>
        </is>
      </c>
      <c r="E1760" t="n">
        <v>5.94</v>
      </c>
      <c r="F1760" t="n">
        <v>1</v>
      </c>
      <c r="G1760" t="n">
        <v>15</v>
      </c>
      <c r="H1760" s="5">
        <f>HYPERLINK("https://api.qogita.com/variants/link/4064666097480/", "View Product")</f>
        <v/>
      </c>
    </row>
    <row r="1761">
      <c r="A1761" t="inlineStr">
        <is>
          <t>4064666097503</t>
        </is>
      </c>
      <c r="B1761" t="inlineStr">
        <is>
          <t>Sp Color Save Mask For Colored Hair 400ml</t>
        </is>
      </c>
      <c r="C1761" t="inlineStr">
        <is>
          <t>Hair Masks</t>
        </is>
      </c>
      <c r="D1761" t="inlineStr">
        <is>
          <t>Sp</t>
        </is>
      </c>
      <c r="E1761" t="n">
        <v>12.6</v>
      </c>
      <c r="F1761" t="n">
        <v>1</v>
      </c>
      <c r="G1761" t="n">
        <v>30</v>
      </c>
      <c r="H1761" s="5">
        <f>HYPERLINK("https://api.qogita.com/variants/link/4064666097503/", "View Product")</f>
        <v/>
      </c>
    </row>
    <row r="1762">
      <c r="A1762" t="inlineStr">
        <is>
          <t>4064666102245</t>
        </is>
      </c>
      <c r="B1762" t="inlineStr">
        <is>
          <t>Nioxin System 2 Scalp Therapy Revitalising Conditioner For Significantly Thinning Natural Hair, 1000ml</t>
        </is>
      </c>
      <c r="C1762" t="inlineStr">
        <is>
          <t>Conditioner</t>
        </is>
      </c>
      <c r="D1762" t="inlineStr">
        <is>
          <t>Nioxin</t>
        </is>
      </c>
      <c r="E1762" t="n">
        <v>26.01</v>
      </c>
      <c r="F1762" t="n">
        <v>1</v>
      </c>
      <c r="G1762" t="n">
        <v>13</v>
      </c>
      <c r="H1762" s="5">
        <f>HYPERLINK("https://api.qogita.com/variants/link/4064666102245/", "View Product")</f>
        <v/>
      </c>
    </row>
    <row r="1763">
      <c r="A1763" t="inlineStr">
        <is>
          <t>4064666102528</t>
        </is>
      </c>
      <c r="B1763" t="inlineStr">
        <is>
          <t>Sebastian Professional Volupt Conditioner 1000ml</t>
        </is>
      </c>
      <c r="C1763" t="inlineStr">
        <is>
          <t>Conditioner</t>
        </is>
      </c>
      <c r="D1763" t="inlineStr">
        <is>
          <t>Sebastian Professional</t>
        </is>
      </c>
      <c r="E1763" t="n">
        <v>32.98</v>
      </c>
      <c r="F1763" t="n">
        <v>1</v>
      </c>
      <c r="G1763" t="n">
        <v>7</v>
      </c>
      <c r="H1763" s="5">
        <f>HYPERLINK("https://api.qogita.com/variants/link/4064666102528/", "View Product")</f>
        <v/>
      </c>
    </row>
    <row r="1764">
      <c r="A1764" t="inlineStr">
        <is>
          <t>4064666102610</t>
        </is>
      </c>
      <c r="B1764" t="inlineStr">
        <is>
          <t>Wella Professionals Sp Luxe Oil Keratin Restore Mask - 400ml</t>
        </is>
      </c>
      <c r="C1764" t="inlineStr">
        <is>
          <t>Hair Masks</t>
        </is>
      </c>
      <c r="D1764" t="inlineStr">
        <is>
          <t>Wella Professionals</t>
        </is>
      </c>
      <c r="E1764" t="n">
        <v>13.66</v>
      </c>
      <c r="F1764" t="n">
        <v>1</v>
      </c>
      <c r="G1764" t="n">
        <v>50</v>
      </c>
      <c r="H1764" s="5">
        <f>HYPERLINK("https://api.qogita.com/variants/link/4064666102610/", "View Product")</f>
        <v/>
      </c>
    </row>
    <row r="1765">
      <c r="A1765" t="inlineStr">
        <is>
          <t>4064666102726</t>
        </is>
      </c>
      <c r="B1765" t="inlineStr">
        <is>
          <t>Wella Professionals Elements Renewing Mask Nourishing Hydrating Hair Mask 150 Ml</t>
        </is>
      </c>
      <c r="C1765" t="inlineStr">
        <is>
          <t>Hair Masks</t>
        </is>
      </c>
      <c r="D1765" t="inlineStr">
        <is>
          <t>Wella Professionals</t>
        </is>
      </c>
      <c r="E1765" t="n">
        <v>10.36</v>
      </c>
      <c r="F1765" t="n">
        <v>1</v>
      </c>
      <c r="G1765" t="n">
        <v>15</v>
      </c>
      <c r="H1765" s="5">
        <f>HYPERLINK("https://api.qogita.com/variants/link/4064666102726/", "View Product")</f>
        <v/>
      </c>
    </row>
    <row r="1766">
      <c r="A1766" t="inlineStr">
        <is>
          <t>4064666111544</t>
        </is>
      </c>
      <c r="B1766" t="inlineStr">
        <is>
          <t>Wella Professionals Activation Emulsion 12 40 Vol Welloxon Perfect Cream Developer 60ml</t>
        </is>
      </c>
      <c r="C1766" t="inlineStr">
        <is>
          <t>Hair Dye</t>
        </is>
      </c>
      <c r="D1766" t="inlineStr">
        <is>
          <t>Wella Professionals</t>
        </is>
      </c>
      <c r="E1766" t="n">
        <v>0.84</v>
      </c>
      <c r="F1766" t="n">
        <v>1</v>
      </c>
      <c r="G1766" t="n">
        <v>14</v>
      </c>
      <c r="H1766" s="5">
        <f>HYPERLINK("https://api.qogita.com/variants/link/4064666111544/", "View Product")</f>
        <v/>
      </c>
    </row>
    <row r="1767">
      <c r="A1767" t="inlineStr">
        <is>
          <t>4064666178929</t>
        </is>
      </c>
      <c r="B1767" t="inlineStr">
        <is>
          <t>Londa Professional Permanent Color Extra Rich Creme Permanent Cream Hair Color 065</t>
        </is>
      </c>
      <c r="C1767" t="inlineStr">
        <is>
          <t>Hair Dye</t>
        </is>
      </c>
      <c r="D1767" t="inlineStr">
        <is>
          <t>Londa Professional</t>
        </is>
      </c>
      <c r="E1767" t="n">
        <v>3.2</v>
      </c>
      <c r="F1767" t="n">
        <v>1</v>
      </c>
      <c r="G1767" t="n">
        <v>4</v>
      </c>
      <c r="H1767" s="5">
        <f>HYPERLINK("https://api.qogita.com/variants/link/4064666178929/", "View Product")</f>
        <v/>
      </c>
    </row>
    <row r="1768">
      <c r="A1768" t="inlineStr">
        <is>
          <t>4064666179001</t>
        </is>
      </c>
      <c r="B1768" t="inlineStr">
        <is>
          <t>Londa Professional Calm Sensitive Soothing Shampoo 250ml</t>
        </is>
      </c>
      <c r="C1768" t="inlineStr">
        <is>
          <t>Shampoo</t>
        </is>
      </c>
      <c r="D1768" t="inlineStr">
        <is>
          <t>Londa Professional</t>
        </is>
      </c>
      <c r="E1768" t="n">
        <v>4.51</v>
      </c>
      <c r="F1768" t="n">
        <v>1</v>
      </c>
      <c r="G1768" t="n">
        <v>8</v>
      </c>
      <c r="H1768" s="5">
        <f>HYPERLINK("https://api.qogita.com/variants/link/4064666179001/", "View Product")</f>
        <v/>
      </c>
    </row>
    <row r="1769">
      <c r="A1769" t="inlineStr">
        <is>
          <t>4064666180205</t>
        </is>
      </c>
      <c r="B1769" t="inlineStr">
        <is>
          <t>Londa Professional Permanent Color Extra Rich Creme Permanent Cream Hair Color 716</t>
        </is>
      </c>
      <c r="C1769" t="inlineStr">
        <is>
          <t>Hair Dye</t>
        </is>
      </c>
      <c r="D1769" t="inlineStr">
        <is>
          <t>Londa Professional</t>
        </is>
      </c>
      <c r="E1769" t="n">
        <v>3.16</v>
      </c>
      <c r="F1769" t="n">
        <v>1</v>
      </c>
      <c r="G1769" t="n">
        <v>4</v>
      </c>
      <c r="H1769" s="5">
        <f>HYPERLINK("https://api.qogita.com/variants/link/4064666180205/", "View Product")</f>
        <v/>
      </c>
    </row>
    <row r="1770">
      <c r="A1770" t="inlineStr">
        <is>
          <t>4064666211251</t>
        </is>
      </c>
      <c r="B1770" t="inlineStr">
        <is>
          <t>Sebastian Professional Color Fresh Color Depositing Mask Chocolate Touch 150 Ml</t>
        </is>
      </c>
      <c r="C1770" t="inlineStr">
        <is>
          <t>Hair Masks</t>
        </is>
      </c>
      <c r="D1770" t="inlineStr">
        <is>
          <t>Sebastian Professional</t>
        </is>
      </c>
      <c r="E1770" t="n">
        <v>7.58</v>
      </c>
      <c r="F1770" t="n">
        <v>1</v>
      </c>
      <c r="G1770" t="n">
        <v>14</v>
      </c>
      <c r="H1770" s="5">
        <f>HYPERLINK("https://api.qogita.com/variants/link/4064666211251/", "View Product")</f>
        <v/>
      </c>
    </row>
    <row r="1771">
      <c r="A1771" t="inlineStr">
        <is>
          <t>4064666211756</t>
        </is>
      </c>
      <c r="B1771" t="inlineStr">
        <is>
          <t>SEB MAN The Joker Dry Shampoo</t>
        </is>
      </c>
      <c r="C1771" t="inlineStr">
        <is>
          <t>Dry Shampoo</t>
        </is>
      </c>
      <c r="D1771" t="inlineStr">
        <is>
          <t>Sebastian</t>
        </is>
      </c>
      <c r="E1771" t="n">
        <v>8.85</v>
      </c>
      <c r="F1771" t="n">
        <v>1</v>
      </c>
      <c r="G1771" t="n">
        <v>15</v>
      </c>
      <c r="H1771" s="5">
        <f>HYPERLINK("https://api.qogita.com/variants/link/4064666211756/", "View Product")</f>
        <v/>
      </c>
    </row>
    <row r="1772">
      <c r="A1772" t="inlineStr">
        <is>
          <t>4064666212043</t>
        </is>
      </c>
      <c r="B1772" t="inlineStr">
        <is>
          <t>Wella Welloxon Perfect 4% 13 Vol Creme Developer 1.101kg</t>
        </is>
      </c>
      <c r="C1772" t="inlineStr">
        <is>
          <t>Hair Dye</t>
        </is>
      </c>
      <c r="D1772" t="inlineStr">
        <is>
          <t>Wella</t>
        </is>
      </c>
      <c r="E1772" t="n">
        <v>6.95</v>
      </c>
      <c r="F1772" t="n">
        <v>1</v>
      </c>
      <c r="G1772" t="n">
        <v>14</v>
      </c>
      <c r="H1772" s="5">
        <f>HYPERLINK("https://api.qogita.com/variants/link/4064666212043/", "View Product")</f>
        <v/>
      </c>
    </row>
    <row r="1773">
      <c r="A1773" t="inlineStr">
        <is>
          <t>4064666212203</t>
        </is>
      </c>
      <c r="B1773" t="inlineStr">
        <is>
          <t>Wella Koleston Welloxon Lotion 1000ml Developer</t>
        </is>
      </c>
      <c r="C1773" t="inlineStr">
        <is>
          <t>Hair Dye</t>
        </is>
      </c>
      <c r="D1773" t="inlineStr">
        <is>
          <t>Wella</t>
        </is>
      </c>
      <c r="E1773" t="n">
        <v>6.91</v>
      </c>
      <c r="F1773" t="n">
        <v>1</v>
      </c>
      <c r="G1773" t="n">
        <v>18</v>
      </c>
      <c r="H1773" s="5">
        <f>HYPERLINK("https://api.qogita.com/variants/link/4064666212203/", "View Product")</f>
        <v/>
      </c>
    </row>
    <row r="1774">
      <c r="A1774" t="inlineStr">
        <is>
          <t>4064666213019</t>
        </is>
      </c>
      <c r="B1774" t="inlineStr">
        <is>
          <t>Wella Professional Nutricurls Curlixir Balm Nourishing Balm For Curly Hair</t>
        </is>
      </c>
      <c r="C1774" t="inlineStr">
        <is>
          <t>Conditioner</t>
        </is>
      </c>
      <c r="D1774" t="inlineStr">
        <is>
          <t>Wella Professionals</t>
        </is>
      </c>
      <c r="E1774" t="n">
        <v>11.66</v>
      </c>
      <c r="F1774" t="n">
        <v>1</v>
      </c>
      <c r="G1774" t="n">
        <v>2</v>
      </c>
      <c r="H1774" s="5">
        <f>HYPERLINK("https://api.qogita.com/variants/link/4064666213019/", "View Product")</f>
        <v/>
      </c>
    </row>
    <row r="1775">
      <c r="A1775" t="inlineStr">
        <is>
          <t>4064666213255</t>
        </is>
      </c>
      <c r="B1775" t="inlineStr">
        <is>
          <t>Wella Oil Reflections Light Luminous Reflective Oil 100ml for Fine to Normal Hair</t>
        </is>
      </c>
      <c r="C1775" t="inlineStr">
        <is>
          <t>Hair Oil &amp; Hair Serum</t>
        </is>
      </c>
      <c r="D1775" t="inlineStr">
        <is>
          <t>Wella</t>
        </is>
      </c>
      <c r="E1775" t="n">
        <v>11.64</v>
      </c>
      <c r="F1775" t="n">
        <v>1</v>
      </c>
      <c r="G1775" t="n">
        <v>36</v>
      </c>
      <c r="H1775" s="5">
        <f>HYPERLINK("https://api.qogita.com/variants/link/4064666213255/", "View Product")</f>
        <v/>
      </c>
    </row>
    <row r="1776">
      <c r="A1776" t="inlineStr">
        <is>
          <t>4064666213712</t>
        </is>
      </c>
      <c r="B1776" t="inlineStr">
        <is>
          <t>Wella SP Balance Scalp Energy Serum 100ml</t>
        </is>
      </c>
      <c r="C1776" t="inlineStr">
        <is>
          <t>Scalp Care</t>
        </is>
      </c>
      <c r="D1776" t="inlineStr">
        <is>
          <t>Wella</t>
        </is>
      </c>
      <c r="E1776" t="n">
        <v>10.48</v>
      </c>
      <c r="F1776" t="n">
        <v>1</v>
      </c>
      <c r="G1776" t="n">
        <v>203</v>
      </c>
      <c r="H1776" s="5">
        <f>HYPERLINK("https://api.qogita.com/variants/link/4064666213712/", "View Product")</f>
        <v/>
      </c>
    </row>
    <row r="1777">
      <c r="A1777" t="inlineStr">
        <is>
          <t>4064666213781</t>
        </is>
      </c>
      <c r="B1777" t="inlineStr">
        <is>
          <t>Sebastian Seb Man The Fixer Hair Spray 200ml</t>
        </is>
      </c>
      <c r="C1777" t="inlineStr">
        <is>
          <t>Hairspray</t>
        </is>
      </c>
      <c r="D1777" t="inlineStr">
        <is>
          <t>Sebastian</t>
        </is>
      </c>
      <c r="E1777" t="n">
        <v>10.56</v>
      </c>
      <c r="F1777" t="n">
        <v>1</v>
      </c>
      <c r="G1777" t="n">
        <v>18</v>
      </c>
      <c r="H1777" s="5">
        <f>HYPERLINK("https://api.qogita.com/variants/link/4064666213781/", "View Product")</f>
        <v/>
      </c>
    </row>
    <row r="1778">
      <c r="A1778" t="inlineStr">
        <is>
          <t>4064666216263</t>
        </is>
      </c>
      <c r="B1778" t="inlineStr">
        <is>
          <t>Londa Cream Hair Colour 60ml Coloration</t>
        </is>
      </c>
      <c r="C1778" t="inlineStr">
        <is>
          <t>Hair Dye</t>
        </is>
      </c>
      <c r="D1778" t="inlineStr">
        <is>
          <t>Londa</t>
        </is>
      </c>
      <c r="E1778" t="n">
        <v>3.16</v>
      </c>
      <c r="F1778" t="n">
        <v>1</v>
      </c>
      <c r="G1778" t="n">
        <v>2</v>
      </c>
      <c r="H1778" s="5">
        <f>HYPERLINK("https://api.qogita.com/variants/link/4064666216263/", "View Product")</f>
        <v/>
      </c>
    </row>
    <row r="1779">
      <c r="A1779" t="inlineStr">
        <is>
          <t>4064666216508</t>
        </is>
      </c>
      <c r="B1779" t="inlineStr">
        <is>
          <t>Londa Professional Permanent Color Extra Rich Creme Permanent Cream Hair Color 407</t>
        </is>
      </c>
      <c r="C1779" t="inlineStr">
        <is>
          <t>Hair Dye</t>
        </is>
      </c>
      <c r="D1779" t="inlineStr">
        <is>
          <t>Londa Professional</t>
        </is>
      </c>
      <c r="E1779" t="n">
        <v>3.41</v>
      </c>
      <c r="F1779" t="n">
        <v>1</v>
      </c>
      <c r="G1779" t="n">
        <v>8</v>
      </c>
      <c r="H1779" s="5">
        <f>HYPERLINK("https://api.qogita.com/variants/link/4064666216508/", "View Product")</f>
        <v/>
      </c>
    </row>
    <row r="1780">
      <c r="A1780" t="inlineStr">
        <is>
          <t>4064666218298</t>
        </is>
      </c>
      <c r="B1780" t="inlineStr">
        <is>
          <t>Wella SP Liquid Hair 100ml</t>
        </is>
      </c>
      <c r="C1780" t="inlineStr">
        <is>
          <t>Hair Oil &amp; Hair Serum</t>
        </is>
      </c>
      <c r="D1780" t="inlineStr">
        <is>
          <t>Wella Professionals</t>
        </is>
      </c>
      <c r="E1780" t="n">
        <v>15.36</v>
      </c>
      <c r="F1780" t="n">
        <v>1</v>
      </c>
      <c r="G1780" t="n">
        <v>454</v>
      </c>
      <c r="H1780" s="5">
        <f>HYPERLINK("https://api.qogita.com/variants/link/4064666218298/", "View Product")</f>
        <v/>
      </c>
    </row>
    <row r="1781">
      <c r="A1781" t="inlineStr">
        <is>
          <t>4064666219677</t>
        </is>
      </c>
      <c r="B1781" t="inlineStr">
        <is>
          <t>Conditioner 1000ml</t>
        </is>
      </c>
      <c r="C1781" t="inlineStr">
        <is>
          <t>Conditioner</t>
        </is>
      </c>
      <c r="D1781" t="inlineStr">
        <is>
          <t>Londa</t>
        </is>
      </c>
      <c r="E1781" t="n">
        <v>14.1</v>
      </c>
      <c r="F1781" t="n">
        <v>1</v>
      </c>
      <c r="G1781" t="n">
        <v>18</v>
      </c>
      <c r="H1781" s="5">
        <f>HYPERLINK("https://api.qogita.com/variants/link/4064666219677/", "View Product")</f>
        <v/>
      </c>
    </row>
    <row r="1782">
      <c r="A1782" t="inlineStr">
        <is>
          <t>4064666225265</t>
        </is>
      </c>
      <c r="B1782" t="inlineStr">
        <is>
          <t>Potion 9 Lite Lightweight Wearable Treatment Style 150ml</t>
        </is>
      </c>
      <c r="C1782" t="inlineStr">
        <is>
          <t>Leave-In Conditioner</t>
        </is>
      </c>
      <c r="D1782" t="inlineStr">
        <is>
          <t>Sebastian</t>
        </is>
      </c>
      <c r="E1782" t="n">
        <v>16.04</v>
      </c>
      <c r="F1782" t="n">
        <v>1</v>
      </c>
      <c r="G1782" t="n">
        <v>32</v>
      </c>
      <c r="H1782" s="5">
        <f>HYPERLINK("https://api.qogita.com/variants/link/4064666225265/", "View Product")</f>
        <v/>
      </c>
    </row>
    <row r="1783">
      <c r="A1783" t="inlineStr">
        <is>
          <t>4064666225456</t>
        </is>
      </c>
      <c r="B1783" t="inlineStr">
        <is>
          <t>Sebastian Professional Taming Elixir Cream Serum 140ml For Smoothing Hair</t>
        </is>
      </c>
      <c r="C1783" t="inlineStr">
        <is>
          <t>Hair Oil &amp; Hair Serum</t>
        </is>
      </c>
      <c r="D1783" t="inlineStr">
        <is>
          <t>Sebastian Professional</t>
        </is>
      </c>
      <c r="E1783" t="n">
        <v>16.61</v>
      </c>
      <c r="F1783" t="n">
        <v>1</v>
      </c>
      <c r="G1783" t="n">
        <v>3</v>
      </c>
      <c r="H1783" s="5">
        <f>HYPERLINK("https://api.qogita.com/variants/link/4064666225456/", "View Product")</f>
        <v/>
      </c>
    </row>
    <row r="1784">
      <c r="A1784" t="inlineStr">
        <is>
          <t>4064666244495</t>
        </is>
      </c>
      <c r="B1784" t="inlineStr">
        <is>
          <t>Londa Professional Hair Conditioner With Velvet Oil - 250ml</t>
        </is>
      </c>
      <c r="C1784" t="inlineStr">
        <is>
          <t>Conditioner</t>
        </is>
      </c>
      <c r="D1784" t="inlineStr">
        <is>
          <t>Londa Professional</t>
        </is>
      </c>
      <c r="E1784" t="n">
        <v>7.67</v>
      </c>
      <c r="F1784" t="n">
        <v>1</v>
      </c>
      <c r="G1784" t="n">
        <v>26</v>
      </c>
      <c r="H1784" s="5">
        <f>HYPERLINK("https://api.qogita.com/variants/link/4064666244495/", "View Product")</f>
        <v/>
      </c>
    </row>
    <row r="1785">
      <c r="A1785" t="inlineStr">
        <is>
          <t>4064666301983</t>
        </is>
      </c>
      <c r="B1785" t="inlineStr">
        <is>
          <t>Londa Professional Fiber Infusion Reconstructing Shampoo 250ml</t>
        </is>
      </c>
      <c r="C1785" t="inlineStr">
        <is>
          <t>Shampoo</t>
        </is>
      </c>
      <c r="D1785" t="inlineStr">
        <is>
          <t>Londa Professional</t>
        </is>
      </c>
      <c r="E1785" t="n">
        <v>4.17</v>
      </c>
      <c r="F1785" t="n">
        <v>1</v>
      </c>
      <c r="G1785" t="n">
        <v>38</v>
      </c>
      <c r="H1785" s="5">
        <f>HYPERLINK("https://api.qogita.com/variants/link/4064666301983/", "View Product")</f>
        <v/>
      </c>
    </row>
    <row r="1786">
      <c r="A1786" t="inlineStr">
        <is>
          <t>4064666302096</t>
        </is>
      </c>
      <c r="B1786" t="inlineStr">
        <is>
          <t>Londa Professional Deep Moisture Shampoo 1000ml</t>
        </is>
      </c>
      <c r="C1786" t="inlineStr">
        <is>
          <t>Shampoo</t>
        </is>
      </c>
      <c r="D1786" t="inlineStr">
        <is>
          <t>Londa</t>
        </is>
      </c>
      <c r="E1786" t="n">
        <v>8.460000000000001</v>
      </c>
      <c r="F1786" t="n">
        <v>1</v>
      </c>
      <c r="G1786" t="n">
        <v>11</v>
      </c>
      <c r="H1786" s="5">
        <f>HYPERLINK("https://api.qogita.com/variants/link/4064666302096/", "View Product")</f>
        <v/>
      </c>
    </row>
    <row r="1787">
      <c r="A1787" t="inlineStr">
        <is>
          <t>4064666302119</t>
        </is>
      </c>
      <c r="B1787" t="inlineStr">
        <is>
          <t>Londa Professional Color Radiance Shampoo For Colored Hair 250ml</t>
        </is>
      </c>
      <c r="C1787" t="inlineStr">
        <is>
          <t>Shampoo</t>
        </is>
      </c>
      <c r="D1787" t="inlineStr">
        <is>
          <t>Londa Professional</t>
        </is>
      </c>
      <c r="E1787" t="n">
        <v>3.96</v>
      </c>
      <c r="F1787" t="n">
        <v>1</v>
      </c>
      <c r="G1787" t="n">
        <v>6</v>
      </c>
      <c r="H1787" s="5">
        <f>HYPERLINK("https://api.qogita.com/variants/link/4064666302119/", "View Product")</f>
        <v/>
      </c>
    </row>
    <row r="1788">
      <c r="A1788" t="inlineStr">
        <is>
          <t>4064666302942</t>
        </is>
      </c>
      <c r="B1788" t="inlineStr">
        <is>
          <t>Wella Professional Soothing Moisturizing Shampoo For Hair With Invigo Clean Scalp Anti Dandruff Shampoo</t>
        </is>
      </c>
      <c r="C1788" t="inlineStr">
        <is>
          <t>Shampoo</t>
        </is>
      </c>
      <c r="D1788" t="inlineStr">
        <is>
          <t>Wella Professionals</t>
        </is>
      </c>
      <c r="E1788" t="n">
        <v>5.06</v>
      </c>
      <c r="F1788" t="n">
        <v>1</v>
      </c>
      <c r="G1788" t="n">
        <v>86</v>
      </c>
      <c r="H1788" s="5">
        <f>HYPERLINK("https://api.qogita.com/variants/link/4064666302942/", "View Product")</f>
        <v/>
      </c>
    </row>
    <row r="1789">
      <c r="A1789" t="inlineStr">
        <is>
          <t>4064666305233</t>
        </is>
      </c>
      <c r="B1789" t="inlineStr">
        <is>
          <t>Nioxin System 2 Scalp Therapy Revitalising Conditioner For Fine And Thinning Hair</t>
        </is>
      </c>
      <c r="C1789" t="inlineStr">
        <is>
          <t>Conditioner</t>
        </is>
      </c>
      <c r="D1789" t="inlineStr">
        <is>
          <t>Nioxin</t>
        </is>
      </c>
      <c r="E1789" t="n">
        <v>10.07</v>
      </c>
      <c r="F1789" t="n">
        <v>1</v>
      </c>
      <c r="G1789" t="n">
        <v>23</v>
      </c>
      <c r="H1789" s="5">
        <f>HYPERLINK("https://api.qogita.com/variants/link/4064666305233/", "View Product")</f>
        <v/>
      </c>
    </row>
    <row r="1790">
      <c r="A1790" t="inlineStr">
        <is>
          <t>4064666306988</t>
        </is>
      </c>
      <c r="B1790" t="inlineStr">
        <is>
          <t>Sebastian Volupt Conditioner</t>
        </is>
      </c>
      <c r="C1790" t="inlineStr">
        <is>
          <t>Conditioner</t>
        </is>
      </c>
      <c r="D1790" t="inlineStr">
        <is>
          <t>Sebastian Professional</t>
        </is>
      </c>
      <c r="E1790" t="n">
        <v>12.95</v>
      </c>
      <c r="F1790" t="n">
        <v>1</v>
      </c>
      <c r="G1790" t="n">
        <v>10</v>
      </c>
      <c r="H1790" s="5">
        <f>HYPERLINK("https://api.qogita.com/variants/link/4064666306988/", "View Product")</f>
        <v/>
      </c>
    </row>
    <row r="1791">
      <c r="A1791" t="inlineStr">
        <is>
          <t>4064666310145</t>
        </is>
      </c>
      <c r="B1791" t="inlineStr">
        <is>
          <t>Sebastian Professional Sebastian Craft Clay 50ml Hair Clay With Matte Effect For Natural Fixation</t>
        </is>
      </c>
      <c r="C1791" t="inlineStr">
        <is>
          <t>Wax</t>
        </is>
      </c>
      <c r="D1791" t="inlineStr">
        <is>
          <t>Sebastian Professional</t>
        </is>
      </c>
      <c r="E1791" t="n">
        <v>13.84</v>
      </c>
      <c r="F1791" t="n">
        <v>1</v>
      </c>
      <c r="G1791" t="n">
        <v>4</v>
      </c>
      <c r="H1791" s="5">
        <f>HYPERLINK("https://api.qogita.com/variants/link/4064666310145/", "View Product")</f>
        <v/>
      </c>
    </row>
    <row r="1792">
      <c r="A1792" t="inlineStr">
        <is>
          <t>4064666314419</t>
        </is>
      </c>
      <c r="B1792" t="inlineStr">
        <is>
          <t>Sebastian Professional Dark Oil Spray</t>
        </is>
      </c>
      <c r="C1792" t="inlineStr">
        <is>
          <t>Hair Oil &amp; Hair Serum</t>
        </is>
      </c>
      <c r="D1792" t="inlineStr">
        <is>
          <t>Sebastian</t>
        </is>
      </c>
      <c r="E1792" t="n">
        <v>15.03</v>
      </c>
      <c r="F1792" t="n">
        <v>1</v>
      </c>
      <c r="G1792" t="n">
        <v>5</v>
      </c>
      <c r="H1792" s="5">
        <f>HYPERLINK("https://api.qogita.com/variants/link/4064666314419/", "View Product")</f>
        <v/>
      </c>
    </row>
    <row r="1793">
      <c r="A1793" t="inlineStr">
        <is>
          <t>4064666314532</t>
        </is>
      </c>
      <c r="B1793" t="inlineStr">
        <is>
          <t>Wella Eimi Glam Mist 200ml Hair Styling Product</t>
        </is>
      </c>
      <c r="C1793" t="inlineStr">
        <is>
          <t>Styling Sprays</t>
        </is>
      </c>
      <c r="D1793" t="inlineStr">
        <is>
          <t>Wella</t>
        </is>
      </c>
      <c r="E1793" t="n">
        <v>9.19</v>
      </c>
      <c r="F1793" t="n">
        <v>1</v>
      </c>
      <c r="G1793" t="n">
        <v>23</v>
      </c>
      <c r="H1793" s="5">
        <f>HYPERLINK("https://api.qogita.com/variants/link/4064666314532/", "View Product")</f>
        <v/>
      </c>
    </row>
    <row r="1794">
      <c r="A1794" t="inlineStr">
        <is>
          <t>4064666316208</t>
        </is>
      </c>
      <c r="B1794" t="inlineStr">
        <is>
          <t>Wella Professionals Fusion Repair Mask 150ml</t>
        </is>
      </c>
      <c r="C1794" t="inlineStr">
        <is>
          <t>Hair Masks</t>
        </is>
      </c>
      <c r="D1794" t="inlineStr">
        <is>
          <t>Wella Professionals</t>
        </is>
      </c>
      <c r="E1794" t="n">
        <v>12.08</v>
      </c>
      <c r="F1794" t="n">
        <v>1</v>
      </c>
      <c r="G1794" t="n">
        <v>4</v>
      </c>
      <c r="H1794" s="5">
        <f>HYPERLINK("https://api.qogita.com/variants/link/4064666316208/", "View Product")</f>
        <v/>
      </c>
    </row>
    <row r="1795">
      <c r="A1795" t="inlineStr">
        <is>
          <t>4064666317434</t>
        </is>
      </c>
      <c r="B1795" t="inlineStr">
        <is>
          <t>Sebastian Conditioner Hydre 250ml - Sebastian Hair Care</t>
        </is>
      </c>
      <c r="C1795" t="inlineStr">
        <is>
          <t>Conditioner</t>
        </is>
      </c>
      <c r="D1795" t="inlineStr">
        <is>
          <t>Sebastian</t>
        </is>
      </c>
      <c r="E1795" t="n">
        <v>12.59</v>
      </c>
      <c r="F1795" t="n">
        <v>1</v>
      </c>
      <c r="G1795" t="n">
        <v>11</v>
      </c>
      <c r="H1795" s="5">
        <f>HYPERLINK("https://api.qogita.com/variants/link/4064666317434/", "View Product")</f>
        <v/>
      </c>
    </row>
    <row r="1796">
      <c r="A1796" t="inlineStr">
        <is>
          <t>4064666317663</t>
        </is>
      </c>
      <c r="B1796" t="inlineStr">
        <is>
          <t>Sebastian Professional Penetraitt Conditioner Strengthening and Repairing Active Regenerating System for Damaged Hair 250ml</t>
        </is>
      </c>
      <c r="C1796" t="inlineStr">
        <is>
          <t>Conditioner</t>
        </is>
      </c>
      <c r="D1796" t="inlineStr">
        <is>
          <t>Sebastian</t>
        </is>
      </c>
      <c r="E1796" t="n">
        <v>12.51</v>
      </c>
      <c r="F1796" t="n">
        <v>1</v>
      </c>
      <c r="G1796" t="n">
        <v>4</v>
      </c>
      <c r="H1796" s="5">
        <f>HYPERLINK("https://api.qogita.com/variants/link/4064666317663/", "View Product")</f>
        <v/>
      </c>
    </row>
    <row r="1797">
      <c r="A1797" t="inlineStr">
        <is>
          <t>4064666318011</t>
        </is>
      </c>
      <c r="B1797" t="inlineStr">
        <is>
          <t>Londa Professional Visible Repair Conditioner For Damaged Hair - 250ml</t>
        </is>
      </c>
      <c r="C1797" t="inlineStr">
        <is>
          <t>Conditioner</t>
        </is>
      </c>
      <c r="D1797" t="inlineStr">
        <is>
          <t>Londa Professional</t>
        </is>
      </c>
      <c r="E1797" t="n">
        <v>5.58</v>
      </c>
      <c r="F1797" t="n">
        <v>1</v>
      </c>
      <c r="G1797" t="n">
        <v>16</v>
      </c>
      <c r="H1797" s="5">
        <f>HYPERLINK("https://api.qogita.com/variants/link/4064666318011/", "View Product")</f>
        <v/>
      </c>
    </row>
    <row r="1798">
      <c r="A1798" t="inlineStr">
        <is>
          <t>4064666318264</t>
        </is>
      </c>
      <c r="B1798" t="inlineStr">
        <is>
          <t>Wella Professionals Fusion Intense Repair Conditioner 1000ml</t>
        </is>
      </c>
      <c r="C1798" t="inlineStr">
        <is>
          <t>Conditioner</t>
        </is>
      </c>
      <c r="D1798" t="inlineStr">
        <is>
          <t>Wella Professionals</t>
        </is>
      </c>
      <c r="E1798" t="n">
        <v>29.41</v>
      </c>
      <c r="F1798" t="n">
        <v>1</v>
      </c>
      <c r="G1798" t="n">
        <v>12</v>
      </c>
      <c r="H1798" s="5">
        <f>HYPERLINK("https://api.qogita.com/variants/link/4064666318264/", "View Product")</f>
        <v/>
      </c>
    </row>
    <row r="1799">
      <c r="A1799" t="inlineStr">
        <is>
          <t>4064666324807</t>
        </is>
      </c>
      <c r="B1799" t="inlineStr">
        <is>
          <t>Wella Professionals Color Fresh Mask Coloring Mask For All Hair Types Peach Blush 150ml</t>
        </is>
      </c>
      <c r="C1799" t="inlineStr">
        <is>
          <t>Hair Masks</t>
        </is>
      </c>
      <c r="D1799" t="inlineStr">
        <is>
          <t>Wella Professionals</t>
        </is>
      </c>
      <c r="E1799" t="n">
        <v>10.24</v>
      </c>
      <c r="F1799" t="n">
        <v>1</v>
      </c>
      <c r="G1799" t="n">
        <v>5</v>
      </c>
      <c r="H1799" s="5">
        <f>HYPERLINK("https://api.qogita.com/variants/link/4064666324807/", "View Product")</f>
        <v/>
      </c>
    </row>
    <row r="1800">
      <c r="A1800" t="inlineStr">
        <is>
          <t>4064666329673</t>
        </is>
      </c>
      <c r="B1800" t="inlineStr">
        <is>
          <t>Wella Shinefinity Zero Lift Glaze 60ml</t>
        </is>
      </c>
      <c r="C1800" t="inlineStr">
        <is>
          <t>Hair Care Sets</t>
        </is>
      </c>
      <c r="D1800" t="inlineStr">
        <is>
          <t>Wella</t>
        </is>
      </c>
      <c r="E1800" t="n">
        <v>7.46</v>
      </c>
      <c r="F1800" t="n">
        <v>1</v>
      </c>
      <c r="G1800" t="n">
        <v>2</v>
      </c>
      <c r="H1800" s="5">
        <f>HYPERLINK("https://api.qogita.com/variants/link/4064666329673/", "View Product")</f>
        <v/>
      </c>
    </row>
    <row r="1801">
      <c r="A1801" t="inlineStr">
        <is>
          <t>4064666337593</t>
        </is>
      </c>
      <c r="B1801" t="inlineStr">
        <is>
          <t>Wella Professionals Color Motion Shampoo 1000ml</t>
        </is>
      </c>
      <c r="C1801" t="inlineStr">
        <is>
          <t>Shampoo</t>
        </is>
      </c>
      <c r="D1801" t="inlineStr">
        <is>
          <t>Wella Professionals</t>
        </is>
      </c>
      <c r="E1801" t="n">
        <v>22.73</v>
      </c>
      <c r="F1801" t="n">
        <v>1</v>
      </c>
      <c r="G1801" t="n">
        <v>19</v>
      </c>
      <c r="H1801" s="5">
        <f>HYPERLINK("https://api.qogita.com/variants/link/4064666337593/", "View Product")</f>
        <v/>
      </c>
    </row>
    <row r="1802">
      <c r="A1802" t="inlineStr">
        <is>
          <t>4064666337784</t>
        </is>
      </c>
      <c r="B1802" t="inlineStr">
        <is>
          <t>Wella ELEMENTS Renewing Shampoo 1000ml NEW</t>
        </is>
      </c>
      <c r="C1802" t="inlineStr">
        <is>
          <t>Shampoo</t>
        </is>
      </c>
      <c r="D1802" t="inlineStr">
        <is>
          <t>Wella</t>
        </is>
      </c>
      <c r="E1802" t="n">
        <v>21.2</v>
      </c>
      <c r="F1802" t="n">
        <v>1</v>
      </c>
      <c r="G1802" t="n">
        <v>5</v>
      </c>
      <c r="H1802" s="5">
        <f>HYPERLINK("https://api.qogita.com/variants/link/4064666337784/", "View Product")</f>
        <v/>
      </c>
    </row>
    <row r="1803">
      <c r="A1803" t="inlineStr">
        <is>
          <t>4064666337883</t>
        </is>
      </c>
      <c r="B1803" t="inlineStr">
        <is>
          <t>Wella Professional Elements Renewing Mask Nourishing Hydrating Hair Mask</t>
        </is>
      </c>
      <c r="C1803" t="inlineStr">
        <is>
          <t>Hair Masks</t>
        </is>
      </c>
      <c r="D1803" t="inlineStr">
        <is>
          <t>Wella Professionals</t>
        </is>
      </c>
      <c r="E1803" t="n">
        <v>8.4</v>
      </c>
      <c r="F1803" t="n">
        <v>1</v>
      </c>
      <c r="G1803" t="n">
        <v>5</v>
      </c>
      <c r="H1803" s="5">
        <f>HYPERLINK("https://api.qogita.com/variants/link/4064666337883/", "View Product")</f>
        <v/>
      </c>
    </row>
    <row r="1804">
      <c r="A1804" t="inlineStr">
        <is>
          <t>4064666338842</t>
        </is>
      </c>
      <c r="B1804" t="inlineStr">
        <is>
          <t>Wella Professionals Color Service Pre-Colour Treatment 185ml</t>
        </is>
      </c>
      <c r="C1804" t="inlineStr">
        <is>
          <t>Hair Dye</t>
        </is>
      </c>
      <c r="D1804" t="inlineStr">
        <is>
          <t>Wella</t>
        </is>
      </c>
      <c r="E1804" t="n">
        <v>17.89</v>
      </c>
      <c r="F1804" t="n">
        <v>1</v>
      </c>
      <c r="G1804" t="n">
        <v>4</v>
      </c>
      <c r="H1804" s="5">
        <f>HYPERLINK("https://api.qogita.com/variants/link/4064666338842/", "View Product")</f>
        <v/>
      </c>
    </row>
    <row r="1805">
      <c r="A1805" t="inlineStr">
        <is>
          <t>4064666338934</t>
        </is>
      </c>
      <c r="B1805" t="inlineStr">
        <is>
          <t>Wella Invigo Sun Care UV Protecting Spray 150ml</t>
        </is>
      </c>
      <c r="C1805" t="inlineStr">
        <is>
          <t>Body Sun Protection</t>
        </is>
      </c>
      <c r="D1805" t="inlineStr">
        <is>
          <t>Wella</t>
        </is>
      </c>
      <c r="E1805" t="n">
        <v>13.59</v>
      </c>
      <c r="F1805" t="n">
        <v>1</v>
      </c>
      <c r="G1805" t="n">
        <v>28</v>
      </c>
      <c r="H1805" s="5">
        <f>HYPERLINK("https://api.qogita.com/variants/link/4064666338934/", "View Product")</f>
        <v/>
      </c>
    </row>
    <row r="1806">
      <c r="A1806" t="inlineStr">
        <is>
          <t>4064666339016</t>
        </is>
      </c>
      <c r="B1806" t="inlineStr">
        <is>
          <t>Wella Professionals Invigo Blonde Recharge Cool Color Refreshing Conditioner 200ml</t>
        </is>
      </c>
      <c r="C1806" t="inlineStr">
        <is>
          <t>Conditioner</t>
        </is>
      </c>
      <c r="D1806" t="inlineStr">
        <is>
          <t>Wella Professionals</t>
        </is>
      </c>
      <c r="E1806" t="n">
        <v>7.41</v>
      </c>
      <c r="F1806" t="n">
        <v>1</v>
      </c>
      <c r="G1806" t="n">
        <v>17</v>
      </c>
      <c r="H1806" s="5">
        <f>HYPERLINK("https://api.qogita.com/variants/link/4064666339016/", "View Product")</f>
        <v/>
      </c>
    </row>
    <row r="1807">
      <c r="A1807" t="inlineStr">
        <is>
          <t>4064666339054</t>
        </is>
      </c>
      <c r="B1807" t="inlineStr">
        <is>
          <t>Wella Professionals Invigo Blonde Recharge Cool Blonde Shampoo 300ml</t>
        </is>
      </c>
      <c r="C1807" t="inlineStr">
        <is>
          <t>Shampoo</t>
        </is>
      </c>
      <c r="D1807" t="inlineStr">
        <is>
          <t>Wella</t>
        </is>
      </c>
      <c r="E1807" t="n">
        <v>9.09</v>
      </c>
      <c r="F1807" t="n">
        <v>1</v>
      </c>
      <c r="G1807" t="n">
        <v>18</v>
      </c>
      <c r="H1807" s="5">
        <f>HYPERLINK("https://api.qogita.com/variants/link/4064666339054/", "View Product")</f>
        <v/>
      </c>
    </row>
    <row r="1808">
      <c r="A1808" t="inlineStr">
        <is>
          <t>4064666339108</t>
        </is>
      </c>
      <c r="B1808" t="inlineStr">
        <is>
          <t>Wella Professionals Invigo Nutrienrich Deep Nourishing Shampoo For Dry And Damaged Hair 100ml</t>
        </is>
      </c>
      <c r="C1808" t="inlineStr">
        <is>
          <t>Shampoo</t>
        </is>
      </c>
      <c r="D1808" t="inlineStr">
        <is>
          <t>Wella Professionals</t>
        </is>
      </c>
      <c r="E1808" t="n">
        <v>4.29</v>
      </c>
      <c r="F1808" t="n">
        <v>1</v>
      </c>
      <c r="G1808" t="n">
        <v>7</v>
      </c>
      <c r="H1808" s="5">
        <f>HYPERLINK("https://api.qogita.com/variants/link/4064666339108/", "View Product")</f>
        <v/>
      </c>
    </row>
    <row r="1809">
      <c r="A1809" t="inlineStr">
        <is>
          <t>4064666339207</t>
        </is>
      </c>
      <c r="B1809" t="inlineStr">
        <is>
          <t>Wella Invigo Color Brilliance Shampoo Fine Hair 500ml Professional Shampoo For Colored Hair</t>
        </is>
      </c>
      <c r="C1809" t="inlineStr">
        <is>
          <t>Shampoo</t>
        </is>
      </c>
      <c r="D1809" t="inlineStr">
        <is>
          <t>Wella</t>
        </is>
      </c>
      <c r="E1809" t="n">
        <v>9.82</v>
      </c>
      <c r="F1809" t="n">
        <v>1</v>
      </c>
      <c r="G1809" t="n">
        <v>5</v>
      </c>
      <c r="H1809" s="5">
        <f>HYPERLINK("https://api.qogita.com/variants/link/4064666339207/", "View Product")</f>
        <v/>
      </c>
    </row>
    <row r="1810">
      <c r="A1810" t="inlineStr">
        <is>
          <t>4064666339221</t>
        </is>
      </c>
      <c r="B1810" t="inlineStr">
        <is>
          <t>Wella Professionals Invigo Color Brilliance Shampoo For Fine To Medium Colored Hair 300ml</t>
        </is>
      </c>
      <c r="C1810" t="inlineStr">
        <is>
          <t>Shampoo</t>
        </is>
      </c>
      <c r="D1810" t="inlineStr">
        <is>
          <t>Wella Professionals</t>
        </is>
      </c>
      <c r="E1810" t="n">
        <v>7.84</v>
      </c>
      <c r="F1810" t="n">
        <v>1</v>
      </c>
      <c r="G1810" t="n">
        <v>7</v>
      </c>
      <c r="H1810" s="5">
        <f>HYPERLINK("https://api.qogita.com/variants/link/4064666339221/", "View Product")</f>
        <v/>
      </c>
    </row>
    <row r="1811">
      <c r="A1811" t="inlineStr">
        <is>
          <t>4064666339283</t>
        </is>
      </c>
      <c r="B1811" t="inlineStr">
        <is>
          <t>Wella Professionals Invigo Color Brilliance Color Protection Shampoo For Fine And Normal Hair 1000ml</t>
        </is>
      </c>
      <c r="C1811" t="inlineStr">
        <is>
          <t>Shampoo</t>
        </is>
      </c>
      <c r="D1811" t="inlineStr">
        <is>
          <t>Wella Professionals</t>
        </is>
      </c>
      <c r="E1811" t="n">
        <v>17.23</v>
      </c>
      <c r="F1811" t="n">
        <v>1</v>
      </c>
      <c r="G1811" t="n">
        <v>18</v>
      </c>
      <c r="H1811" s="5">
        <f>HYPERLINK("https://api.qogita.com/variants/link/4064666339283/", "View Product")</f>
        <v/>
      </c>
    </row>
    <row r="1812">
      <c r="A1812" t="inlineStr">
        <is>
          <t>4064666339313</t>
        </is>
      </c>
      <c r="B1812" t="inlineStr">
        <is>
          <t>Wella Professionals Invigo Color Brilliance Conditioner For Coarse Hair 1000ml</t>
        </is>
      </c>
      <c r="C1812" t="inlineStr">
        <is>
          <t>Conditioner</t>
        </is>
      </c>
      <c r="D1812" t="inlineStr">
        <is>
          <t>Wella Professionals</t>
        </is>
      </c>
      <c r="E1812" t="n">
        <v>16.7</v>
      </c>
      <c r="F1812" t="n">
        <v>1</v>
      </c>
      <c r="G1812" t="n">
        <v>110</v>
      </c>
      <c r="H1812" s="5">
        <f>HYPERLINK("https://api.qogita.com/variants/link/4064666339313/", "View Product")</f>
        <v/>
      </c>
    </row>
    <row r="1813">
      <c r="A1813" t="inlineStr">
        <is>
          <t>4064666578316</t>
        </is>
      </c>
      <c r="B1813" t="inlineStr">
        <is>
          <t>Wella Professionals Blondor Multi Blonde 7 Powder Bleaching Powder 800g</t>
        </is>
      </c>
      <c r="C1813" t="inlineStr">
        <is>
          <t>Bleaching</t>
        </is>
      </c>
      <c r="D1813" t="inlineStr">
        <is>
          <t>Wella</t>
        </is>
      </c>
      <c r="E1813" t="n">
        <v>20.72</v>
      </c>
      <c r="F1813" t="n">
        <v>1</v>
      </c>
      <c r="G1813" t="n">
        <v>62</v>
      </c>
      <c r="H1813" s="5">
        <f>HYPERLINK("https://api.qogita.com/variants/link/4064666578316/", "View Product")</f>
        <v/>
      </c>
    </row>
    <row r="1814">
      <c r="A1814" t="inlineStr">
        <is>
          <t>4064666579061</t>
        </is>
      </c>
      <c r="B1814" t="inlineStr">
        <is>
          <t>System Professional LuxeOil L1 Keratin Protecting Shampoo 100ml</t>
        </is>
      </c>
      <c r="C1814" t="inlineStr">
        <is>
          <t>Shampoo</t>
        </is>
      </c>
      <c r="D1814" t="inlineStr">
        <is>
          <t>System Professional</t>
        </is>
      </c>
      <c r="E1814" t="n">
        <v>9.199999999999999</v>
      </c>
      <c r="F1814" t="n">
        <v>1</v>
      </c>
      <c r="G1814" t="n">
        <v>6</v>
      </c>
      <c r="H1814" s="5">
        <f>HYPERLINK("https://api.qogita.com/variants/link/4064666579061/", "View Product")</f>
        <v/>
      </c>
    </row>
    <row r="1815">
      <c r="A1815" t="inlineStr">
        <is>
          <t>4064666579092</t>
        </is>
      </c>
      <c r="B1815" t="inlineStr">
        <is>
          <t>System Professional Lipidcode Hydrate Shampoo H1 100ml</t>
        </is>
      </c>
      <c r="C1815" t="inlineStr">
        <is>
          <t>Shampoo</t>
        </is>
      </c>
      <c r="D1815" t="inlineStr">
        <is>
          <t>System Professional</t>
        </is>
      </c>
      <c r="E1815" t="n">
        <v>9.140000000000001</v>
      </c>
      <c r="F1815" t="n">
        <v>1</v>
      </c>
      <c r="G1815" t="n">
        <v>8</v>
      </c>
      <c r="H1815" s="5">
        <f>HYPERLINK("https://api.qogita.com/variants/link/4064666579092/", "View Product")</f>
        <v/>
      </c>
    </row>
    <row r="1816">
      <c r="A1816" t="inlineStr">
        <is>
          <t>4064666579917</t>
        </is>
      </c>
      <c r="B1816" t="inlineStr">
        <is>
          <t>Wella Professionals Ultimate Repair Shampoo Lightweight Cream Shampoo for Damaged Hair 8.4oz</t>
        </is>
      </c>
      <c r="C1816" t="inlineStr">
        <is>
          <t>Shampoo</t>
        </is>
      </c>
      <c r="D1816" t="inlineStr">
        <is>
          <t>Wella Professionals</t>
        </is>
      </c>
      <c r="E1816" t="n">
        <v>13.23</v>
      </c>
      <c r="F1816" t="n">
        <v>1</v>
      </c>
      <c r="G1816" t="n">
        <v>4</v>
      </c>
      <c r="H1816" s="5">
        <f>HYPERLINK("https://api.qogita.com/variants/link/4064666579917/", "View Product")</f>
        <v/>
      </c>
    </row>
    <row r="1817">
      <c r="A1817" t="inlineStr">
        <is>
          <t>4064666583037</t>
        </is>
      </c>
      <c r="B1817" t="inlineStr">
        <is>
          <t>Wella Professionals Fusion Hair Mask 75ml</t>
        </is>
      </c>
      <c r="C1817" t="inlineStr">
        <is>
          <t>Hair Masks</t>
        </is>
      </c>
      <c r="D1817" t="inlineStr">
        <is>
          <t>Wella</t>
        </is>
      </c>
      <c r="E1817" t="n">
        <v>7.3</v>
      </c>
      <c r="F1817" t="n">
        <v>1</v>
      </c>
      <c r="G1817" t="n">
        <v>5</v>
      </c>
      <c r="H1817" s="5">
        <f>HYPERLINK("https://api.qogita.com/variants/link/4064666583037/", "View Product")</f>
        <v/>
      </c>
    </row>
    <row r="1818">
      <c r="A1818" t="inlineStr">
        <is>
          <t>4064666583198</t>
        </is>
      </c>
      <c r="B1818" t="inlineStr">
        <is>
          <t>Wella Professional Oil Reflections Luminous Reveal Shampoo 1000ml</t>
        </is>
      </c>
      <c r="C1818" t="inlineStr">
        <is>
          <t>Shampoo</t>
        </is>
      </c>
      <c r="D1818" t="inlineStr">
        <is>
          <t>Wella Professionals</t>
        </is>
      </c>
      <c r="E1818" t="n">
        <v>21.94</v>
      </c>
      <c r="F1818" t="n">
        <v>1</v>
      </c>
      <c r="G1818" t="n">
        <v>18</v>
      </c>
      <c r="H1818" s="5">
        <f>HYPERLINK("https://api.qogita.com/variants/link/4064666583198/", "View Product")</f>
        <v/>
      </c>
    </row>
    <row r="1819">
      <c r="A1819" t="inlineStr">
        <is>
          <t>4064666583266</t>
        </is>
      </c>
      <c r="B1819" t="inlineStr">
        <is>
          <t>Wella Professionals Oil Reflections Shampoo 500ml</t>
        </is>
      </c>
      <c r="C1819" t="inlineStr">
        <is>
          <t>Shampoo</t>
        </is>
      </c>
      <c r="D1819" t="inlineStr">
        <is>
          <t>Wella Professionals</t>
        </is>
      </c>
      <c r="E1819" t="n">
        <v>12.95</v>
      </c>
      <c r="F1819" t="n">
        <v>1</v>
      </c>
      <c r="G1819" t="n">
        <v>5</v>
      </c>
      <c r="H1819" s="5">
        <f>HYPERLINK("https://api.qogita.com/variants/link/4064666583266/", "View Product")</f>
        <v/>
      </c>
    </row>
    <row r="1820">
      <c r="A1820" t="inlineStr">
        <is>
          <t>4064666583655</t>
        </is>
      </c>
      <c r="B1820" t="inlineStr">
        <is>
          <t>Wella New Elements Calm Shampoo 250ml</t>
        </is>
      </c>
      <c r="C1820" t="inlineStr">
        <is>
          <t>Shampoo</t>
        </is>
      </c>
      <c r="D1820" t="inlineStr">
        <is>
          <t>Wella</t>
        </is>
      </c>
      <c r="E1820" t="n">
        <v>7.49</v>
      </c>
      <c r="F1820" t="n">
        <v>1</v>
      </c>
      <c r="G1820" t="n">
        <v>6</v>
      </c>
      <c r="H1820" s="5">
        <f>HYPERLINK("https://api.qogita.com/variants/link/4064666583655/", "View Product")</f>
        <v/>
      </c>
    </row>
    <row r="1821">
      <c r="A1821" t="inlineStr">
        <is>
          <t>4064666585246</t>
        </is>
      </c>
      <c r="B1821" t="inlineStr">
        <is>
          <t>Wella Professionals Invigo Balance Shampoo For Oily Scalp 300ml</t>
        </is>
      </c>
      <c r="C1821" t="inlineStr">
        <is>
          <t>Shampoo</t>
        </is>
      </c>
      <c r="D1821" t="inlineStr">
        <is>
          <t>Wella Professionals</t>
        </is>
      </c>
      <c r="E1821" t="n">
        <v>7.43</v>
      </c>
      <c r="F1821" t="n">
        <v>1</v>
      </c>
      <c r="G1821" t="n">
        <v>2</v>
      </c>
      <c r="H1821" s="5">
        <f>HYPERLINK("https://api.qogita.com/variants/link/4064666585246/", "View Product")</f>
        <v/>
      </c>
    </row>
    <row r="1822">
      <c r="A1822" t="inlineStr">
        <is>
          <t>4064666585253</t>
        </is>
      </c>
      <c r="B1822" t="inlineStr">
        <is>
          <t>Wella Professionals Invigo Senso Calm Sensitive Shampoo 300ml</t>
        </is>
      </c>
      <c r="C1822" t="inlineStr">
        <is>
          <t>Shampoo</t>
        </is>
      </c>
      <c r="D1822" t="inlineStr">
        <is>
          <t>Wella Professionals</t>
        </is>
      </c>
      <c r="E1822" t="n">
        <v>8.050000000000001</v>
      </c>
      <c r="F1822" t="n">
        <v>1</v>
      </c>
      <c r="G1822" t="n">
        <v>1</v>
      </c>
      <c r="H1822" s="5">
        <f>HYPERLINK("https://api.qogita.com/variants/link/4064666585253/", "View Product")</f>
        <v/>
      </c>
    </row>
    <row r="1823">
      <c r="A1823" t="inlineStr">
        <is>
          <t>4064666585390</t>
        </is>
      </c>
      <c r="B1823" t="inlineStr">
        <is>
          <t>Wella Invigo Volume Boost Uplifting Care Spray 150ml</t>
        </is>
      </c>
      <c r="C1823" t="inlineStr">
        <is>
          <t>Styling Sprays</t>
        </is>
      </c>
      <c r="D1823" t="inlineStr">
        <is>
          <t>Wella</t>
        </is>
      </c>
      <c r="E1823" t="n">
        <v>11.01</v>
      </c>
      <c r="F1823" t="n">
        <v>1</v>
      </c>
      <c r="G1823" t="n">
        <v>34</v>
      </c>
      <c r="H1823" s="5">
        <f>HYPERLINK("https://api.qogita.com/variants/link/4064666585390/", "View Product")</f>
        <v/>
      </c>
    </row>
    <row r="1824">
      <c r="A1824" t="inlineStr">
        <is>
          <t>4064666585680</t>
        </is>
      </c>
      <c r="B1824" t="inlineStr">
        <is>
          <t>Wella Professionals Invigo Color Brilliance Conditioning Mousse 200ml</t>
        </is>
      </c>
      <c r="C1824" t="inlineStr">
        <is>
          <t>Conditioner</t>
        </is>
      </c>
      <c r="D1824" t="inlineStr">
        <is>
          <t>Wella Professionals</t>
        </is>
      </c>
      <c r="E1824" t="n">
        <v>10.81</v>
      </c>
      <c r="F1824" t="n">
        <v>1</v>
      </c>
      <c r="G1824" t="n">
        <v>3</v>
      </c>
      <c r="H1824" s="5">
        <f>HYPERLINK("https://api.qogita.com/variants/link/4064666585680/", "View Product")</f>
        <v/>
      </c>
    </row>
    <row r="1825">
      <c r="A1825" t="inlineStr">
        <is>
          <t>4064666585703</t>
        </is>
      </c>
      <c r="B1825" t="inlineStr">
        <is>
          <t>Wella Professionals Color Service Express Post Colour Treatment 500ml</t>
        </is>
      </c>
      <c r="C1825" t="inlineStr">
        <is>
          <t>Conditioner</t>
        </is>
      </c>
      <c r="D1825" t="inlineStr">
        <is>
          <t>Wella Professionals</t>
        </is>
      </c>
      <c r="E1825" t="n">
        <v>18.05</v>
      </c>
      <c r="F1825" t="n">
        <v>1</v>
      </c>
      <c r="G1825" t="n">
        <v>5</v>
      </c>
      <c r="H1825" s="5">
        <f>HYPERLINK("https://api.qogita.com/variants/link/4064666585703/", "View Product")</f>
        <v/>
      </c>
    </row>
    <row r="1826">
      <c r="A1826" t="inlineStr">
        <is>
          <t>4064666599540</t>
        </is>
      </c>
      <c r="B1826" t="inlineStr">
        <is>
          <t>Wella Professionals Ultimate Repair Deep Repair Mask for Damaged Hair 75ml</t>
        </is>
      </c>
      <c r="C1826" t="inlineStr">
        <is>
          <t>Hair Masks</t>
        </is>
      </c>
      <c r="D1826" t="inlineStr">
        <is>
          <t>Wella Professionals</t>
        </is>
      </c>
      <c r="E1826" t="n">
        <v>9.35</v>
      </c>
      <c r="F1826" t="n">
        <v>1</v>
      </c>
      <c r="G1826" t="n">
        <v>7</v>
      </c>
      <c r="H1826" s="5">
        <f>HYPERLINK("https://api.qogita.com/variants/link/4064666599540/", "View Product")</f>
        <v/>
      </c>
    </row>
    <row r="1827">
      <c r="A1827" t="inlineStr">
        <is>
          <t>4064666758343</t>
        </is>
      </c>
      <c r="B1827" t="inlineStr">
        <is>
          <t>System Professional Luxeblond Mask - Regenerating Mask For Blonde Hair</t>
        </is>
      </c>
      <c r="C1827" t="inlineStr">
        <is>
          <t>Hair Masks</t>
        </is>
      </c>
      <c r="D1827" t="inlineStr">
        <is>
          <t>System Professional</t>
        </is>
      </c>
      <c r="E1827" t="n">
        <v>26.12</v>
      </c>
      <c r="F1827" t="n">
        <v>1</v>
      </c>
      <c r="G1827" t="n">
        <v>2</v>
      </c>
      <c r="H1827" s="5">
        <f>HYPERLINK("https://api.qogita.com/variants/link/4064666758343/", "View Product")</f>
        <v/>
      </c>
    </row>
    <row r="1828">
      <c r="A1828" t="inlineStr">
        <is>
          <t>4064666792835</t>
        </is>
      </c>
      <c r="B1828" t="inlineStr">
        <is>
          <t>Londa Professional Lift It Root Mousse Hair Foam 200ml</t>
        </is>
      </c>
      <c r="C1828" t="inlineStr">
        <is>
          <t>Mousse</t>
        </is>
      </c>
      <c r="D1828" t="inlineStr">
        <is>
          <t>Londa Professional</t>
        </is>
      </c>
      <c r="E1828" t="n">
        <v>5.95</v>
      </c>
      <c r="F1828" t="n">
        <v>1</v>
      </c>
      <c r="G1828" t="n">
        <v>5</v>
      </c>
      <c r="H1828" s="5">
        <f>HYPERLINK("https://api.qogita.com/variants/link/4064666792835/", "View Product")</f>
        <v/>
      </c>
    </row>
    <row r="1829">
      <c r="A1829" t="inlineStr">
        <is>
          <t>4064666806327</t>
        </is>
      </c>
      <c r="B1829" t="inlineStr">
        <is>
          <t>Wella Professionals Smoothing And Regenerating Hair Emulsion Fusion Intense Repair &amp; Smoothness - 50 Ml</t>
        </is>
      </c>
      <c r="C1829" t="inlineStr">
        <is>
          <t>Hair Masks</t>
        </is>
      </c>
      <c r="D1829" t="inlineStr">
        <is>
          <t>Wella Professionals</t>
        </is>
      </c>
      <c r="E1829" t="n">
        <v>10.47</v>
      </c>
      <c r="F1829" t="n">
        <v>1</v>
      </c>
      <c r="G1829" t="n">
        <v>10</v>
      </c>
      <c r="H1829" s="5">
        <f>HYPERLINK("https://api.qogita.com/variants/link/4064666806327/", "View Product")</f>
        <v/>
      </c>
    </row>
    <row r="1830">
      <c r="A1830" t="inlineStr">
        <is>
          <t>4064666842622</t>
        </is>
      </c>
      <c r="B1830" t="inlineStr">
        <is>
          <t>Nioxin Niox Scalp Recovery Cleanser 200 Ml Antidandruff Shampoo For Dry And Itchy Scalp</t>
        </is>
      </c>
      <c r="C1830" t="inlineStr">
        <is>
          <t>Shampoo</t>
        </is>
      </c>
      <c r="D1830" t="inlineStr">
        <is>
          <t>Nioxin</t>
        </is>
      </c>
      <c r="E1830" t="n">
        <v>13.24</v>
      </c>
      <c r="F1830" t="n">
        <v>1</v>
      </c>
      <c r="G1830" t="n">
        <v>13</v>
      </c>
      <c r="H1830" s="5">
        <f>HYPERLINK("https://api.qogita.com/variants/link/4064666842622/", "View Product")</f>
        <v/>
      </c>
    </row>
    <row r="1831">
      <c r="A1831" t="inlineStr">
        <is>
          <t>4064666842752</t>
        </is>
      </c>
      <c r="B1831" t="inlineStr">
        <is>
          <t>Nioxin Diaboost - Intensive Treatment To Increase Thickness And Protect Against Breakage 100ml</t>
        </is>
      </c>
      <c r="C1831" t="inlineStr">
        <is>
          <t>Hair Tonic</t>
        </is>
      </c>
      <c r="D1831" t="inlineStr">
        <is>
          <t>Nioxin</t>
        </is>
      </c>
      <c r="E1831" t="n">
        <v>39.04</v>
      </c>
      <c r="F1831" t="n">
        <v>1</v>
      </c>
      <c r="G1831" t="n">
        <v>2</v>
      </c>
      <c r="H1831" s="5">
        <f>HYPERLINK("https://api.qogita.com/variants/link/4064666842752/", "View Product")</f>
        <v/>
      </c>
    </row>
    <row r="1832">
      <c r="A1832" t="inlineStr">
        <is>
          <t>4064666842806</t>
        </is>
      </c>
      <c r="B1832" t="inlineStr">
        <is>
          <t>Nioxin Nioxin System 2 Shampoo - Natural Hair With Advanced Thinning 300ml</t>
        </is>
      </c>
      <c r="C1832" t="inlineStr">
        <is>
          <t>Shampoo</t>
        </is>
      </c>
      <c r="D1832" t="inlineStr">
        <is>
          <t>Nioxin</t>
        </is>
      </c>
      <c r="E1832" t="n">
        <v>14.1</v>
      </c>
      <c r="F1832" t="n">
        <v>1</v>
      </c>
      <c r="G1832" t="n">
        <v>20</v>
      </c>
      <c r="H1832" s="5">
        <f>HYPERLINK("https://api.qogita.com/variants/link/4064666842806/", "View Product")</f>
        <v/>
      </c>
    </row>
    <row r="1833">
      <c r="A1833" t="inlineStr">
        <is>
          <t>4064666843070</t>
        </is>
      </c>
      <c r="B1833" t="inlineStr">
        <is>
          <t>Nioxin Nioxin Scalp Recovery Conditioner For Dry And Itchy Scalp 1000ml</t>
        </is>
      </c>
      <c r="C1833" t="inlineStr">
        <is>
          <t>Conditioner</t>
        </is>
      </c>
      <c r="D1833" t="inlineStr">
        <is>
          <t>Nioxin</t>
        </is>
      </c>
      <c r="E1833" t="n">
        <v>23.73</v>
      </c>
      <c r="F1833" t="n">
        <v>1</v>
      </c>
      <c r="G1833" t="n">
        <v>14</v>
      </c>
      <c r="H1833" s="5">
        <f>HYPERLINK("https://api.qogita.com/variants/link/4064666843070/", "View Product")</f>
        <v/>
      </c>
    </row>
    <row r="1834">
      <c r="A1834" t="inlineStr">
        <is>
          <t>4064666843094</t>
        </is>
      </c>
      <c r="B1834" t="inlineStr">
        <is>
          <t>Nioxin Scalp Purifying Exfoliator Deep Cleansing &amp; Refreshing Scalp Scrub with Shea Butter &amp; Peppermint Oil 50ml</t>
        </is>
      </c>
      <c r="C1834" t="inlineStr">
        <is>
          <t>Scalp Care</t>
        </is>
      </c>
      <c r="D1834" t="inlineStr">
        <is>
          <t>Nioxin</t>
        </is>
      </c>
      <c r="E1834" t="n">
        <v>17.55</v>
      </c>
      <c r="F1834" t="n">
        <v>1</v>
      </c>
      <c r="G1834" t="n">
        <v>10</v>
      </c>
      <c r="H1834" s="5">
        <f>HYPERLINK("https://api.qogita.com/variants/link/4064666843094/", "View Product")</f>
        <v/>
      </c>
    </row>
    <row r="1835">
      <c r="A1835" t="inlineStr">
        <is>
          <t>4064666843162</t>
        </is>
      </c>
      <c r="B1835" t="inlineStr">
        <is>
          <t>Nioxin Niox Sys 1 Cleanser Shampoo 1000 Ml Cleansing Shampoo For Fine Natural Hair Thinning Slightly</t>
        </is>
      </c>
      <c r="C1835" t="inlineStr">
        <is>
          <t>Shampoo</t>
        </is>
      </c>
      <c r="D1835" t="inlineStr">
        <is>
          <t>Nioxin</t>
        </is>
      </c>
      <c r="E1835" t="n">
        <v>30.64</v>
      </c>
      <c r="F1835" t="n">
        <v>1</v>
      </c>
      <c r="G1835" t="n">
        <v>7</v>
      </c>
      <c r="H1835" s="5">
        <f>HYPERLINK("https://api.qogita.com/variants/link/4064666843162/", "View Product")</f>
        <v/>
      </c>
    </row>
    <row r="1836">
      <c r="A1836" t="inlineStr">
        <is>
          <t>4064666843179</t>
        </is>
      </c>
      <c r="B1836" t="inlineStr">
        <is>
          <t>Nioxin System 1 Revitalizing Conditioner 300 Ml For Fine Slight Thinning Natural Hair</t>
        </is>
      </c>
      <c r="C1836" t="inlineStr">
        <is>
          <t>Conditioner</t>
        </is>
      </c>
      <c r="D1836" t="inlineStr">
        <is>
          <t>Nioxin</t>
        </is>
      </c>
      <c r="E1836" t="n">
        <v>13.24</v>
      </c>
      <c r="F1836" t="n">
        <v>1</v>
      </c>
      <c r="G1836" t="n">
        <v>20</v>
      </c>
      <c r="H1836" s="5">
        <f>HYPERLINK("https://api.qogita.com/variants/link/4064666843179/", "View Product")</f>
        <v/>
      </c>
    </row>
    <row r="1837">
      <c r="A1837" t="inlineStr">
        <is>
          <t>4064666843735</t>
        </is>
      </c>
      <c r="B1837" t="inlineStr">
        <is>
          <t>Sebastian Professional Nobreaker Rebalancing Bonding Preshampoo Cream 1000ml</t>
        </is>
      </c>
      <c r="C1837" t="inlineStr">
        <is>
          <t>Shampoo</t>
        </is>
      </c>
      <c r="D1837" t="inlineStr">
        <is>
          <t>Sebastian Professional</t>
        </is>
      </c>
      <c r="E1837" t="n">
        <v>28.98</v>
      </c>
      <c r="F1837" t="n">
        <v>1</v>
      </c>
      <c r="G1837" t="n">
        <v>15</v>
      </c>
      <c r="H1837" s="5">
        <f>HYPERLINK("https://api.qogita.com/variants/link/4064666843735/", "View Product")</f>
        <v/>
      </c>
    </row>
    <row r="1838">
      <c r="A1838" t="inlineStr">
        <is>
          <t>4064666844169</t>
        </is>
      </c>
      <c r="B1838" t="inlineStr">
        <is>
          <t>Nioxin Scalp Recovery Anti-Dandruff Kit - Flaky And Itchy Scalp 3 Units</t>
        </is>
      </c>
      <c r="C1838" t="inlineStr">
        <is>
          <t>Scalp Care</t>
        </is>
      </c>
      <c r="D1838" t="inlineStr">
        <is>
          <t>Nioxin</t>
        </is>
      </c>
      <c r="E1838" t="n">
        <v>36.93</v>
      </c>
      <c r="F1838" t="n">
        <v>1</v>
      </c>
      <c r="G1838" t="n">
        <v>11</v>
      </c>
      <c r="H1838" s="5">
        <f>HYPERLINK("https://api.qogita.com/variants/link/4064666844169/", "View Product")</f>
        <v/>
      </c>
    </row>
    <row r="1839">
      <c r="A1839" t="inlineStr">
        <is>
          <t>4064666844954</t>
        </is>
      </c>
      <c r="B1839" t="inlineStr">
        <is>
          <t>Sebastian Professional Nobreaker Bonding Shampoo For Damaged Hair 1000ml</t>
        </is>
      </c>
      <c r="C1839" t="inlineStr">
        <is>
          <t>Shampoo</t>
        </is>
      </c>
      <c r="D1839" t="inlineStr">
        <is>
          <t>Sebastian Professional</t>
        </is>
      </c>
      <c r="E1839" t="n">
        <v>29.66</v>
      </c>
      <c r="F1839" t="n">
        <v>1</v>
      </c>
      <c r="G1839" t="n">
        <v>5</v>
      </c>
      <c r="H1839" s="5">
        <f>HYPERLINK("https://api.qogita.com/variants/link/4064666844954/", "View Product")</f>
        <v/>
      </c>
    </row>
    <row r="1840">
      <c r="A1840" t="inlineStr">
        <is>
          <t>4064666897882</t>
        </is>
      </c>
      <c r="B1840" t="inlineStr">
        <is>
          <t>Nioxin Nioxin Scalp Recovery Soothing Serum For Dry And Itchy Scalp 100ml</t>
        </is>
      </c>
      <c r="C1840" t="inlineStr">
        <is>
          <t>Scalp Care</t>
        </is>
      </c>
      <c r="D1840" t="inlineStr">
        <is>
          <t>Nioxin</t>
        </is>
      </c>
      <c r="E1840" t="n">
        <v>14.86</v>
      </c>
      <c r="F1840" t="n">
        <v>1</v>
      </c>
      <c r="G1840" t="n">
        <v>21</v>
      </c>
      <c r="H1840" s="5">
        <f>HYPERLINK("https://api.qogita.com/variants/link/4064666897882/", "View Product")</f>
        <v/>
      </c>
    </row>
    <row r="1841">
      <c r="A1841" t="inlineStr">
        <is>
          <t>4064666898001</t>
        </is>
      </c>
      <c r="B1841" t="inlineStr">
        <is>
          <t>Nioxin Density Defend Gel 140ml Hair Thickening And Volumizing Treatment</t>
        </is>
      </c>
      <c r="C1841" t="inlineStr">
        <is>
          <t>Gel</t>
        </is>
      </c>
      <c r="D1841" t="inlineStr">
        <is>
          <t>Nioxin</t>
        </is>
      </c>
      <c r="E1841" t="n">
        <v>15.19</v>
      </c>
      <c r="F1841" t="n">
        <v>1</v>
      </c>
      <c r="G1841" t="n">
        <v>9</v>
      </c>
      <c r="H1841" s="5">
        <f>HYPERLINK("https://api.qogita.com/variants/link/4064666898001/", "View Product")</f>
        <v/>
      </c>
    </row>
    <row r="1842">
      <c r="A1842" t="inlineStr">
        <is>
          <t>4064666898070</t>
        </is>
      </c>
      <c r="B1842" t="inlineStr">
        <is>
          <t>Nioxin System 1 Scalp Treatment 100ml For Fine Slightly Thinning Natural Hair</t>
        </is>
      </c>
      <c r="C1842" t="inlineStr">
        <is>
          <t>Scalp Care</t>
        </is>
      </c>
      <c r="D1842" t="inlineStr">
        <is>
          <t>Nioxin</t>
        </is>
      </c>
      <c r="E1842" t="n">
        <v>12.28</v>
      </c>
      <c r="F1842" t="n">
        <v>1</v>
      </c>
      <c r="G1842" t="n">
        <v>5</v>
      </c>
      <c r="H1842" s="5">
        <f>HYPERLINK("https://api.qogita.com/variants/link/4064666898070/", "View Product")</f>
        <v/>
      </c>
    </row>
    <row r="1843">
      <c r="A1843" t="inlineStr">
        <is>
          <t>4064666898193</t>
        </is>
      </c>
      <c r="B1843" t="inlineStr">
        <is>
          <t>Nioxin Density Defend - Breakage Defense And Strengthening Mask 500ml</t>
        </is>
      </c>
      <c r="C1843" t="inlineStr">
        <is>
          <t>Hair Masks</t>
        </is>
      </c>
      <c r="D1843" t="inlineStr">
        <is>
          <t>Nioxin</t>
        </is>
      </c>
      <c r="E1843" t="n">
        <v>29.66</v>
      </c>
      <c r="F1843" t="n">
        <v>1</v>
      </c>
      <c r="G1843" t="n">
        <v>7</v>
      </c>
      <c r="H1843" s="5">
        <f>HYPERLINK("https://api.qogita.com/variants/link/4064666898193/", "View Product")</f>
        <v/>
      </c>
    </row>
    <row r="1844">
      <c r="A1844" t="inlineStr">
        <is>
          <t>4064666898698</t>
        </is>
      </c>
      <c r="B1844" t="inlineStr">
        <is>
          <t>Sebastian Professional No Breaker Mask 500ml Bonding Melting Mask For Damaged Hair</t>
        </is>
      </c>
      <c r="C1844" t="inlineStr">
        <is>
          <t>Hair Masks</t>
        </is>
      </c>
      <c r="D1844" t="inlineStr">
        <is>
          <t>Sebastian Professional</t>
        </is>
      </c>
      <c r="E1844" t="n">
        <v>35.45</v>
      </c>
      <c r="F1844" t="n">
        <v>1</v>
      </c>
      <c r="G1844" t="n">
        <v>14</v>
      </c>
      <c r="H1844" s="5">
        <f>HYPERLINK("https://api.qogita.com/variants/link/4064666898698/", "View Product")</f>
        <v/>
      </c>
    </row>
    <row r="1845">
      <c r="A1845" t="inlineStr">
        <is>
          <t>4064666940564</t>
        </is>
      </c>
      <c r="B1845" t="inlineStr">
        <is>
          <t>Sebastian Professional Shaper Zero Gravity Spray Lightweight Styling Spray 300ml</t>
        </is>
      </c>
      <c r="C1845" t="inlineStr">
        <is>
          <t>Styling Sprays</t>
        </is>
      </c>
      <c r="D1845" t="inlineStr">
        <is>
          <t>Sebastian Professional</t>
        </is>
      </c>
      <c r="E1845" t="n">
        <v>12.31</v>
      </c>
      <c r="F1845" t="n">
        <v>1</v>
      </c>
      <c r="G1845" t="n">
        <v>31</v>
      </c>
      <c r="H1845" s="5">
        <f>HYPERLINK("https://api.qogita.com/variants/link/4064666940564/", "View Product")</f>
        <v/>
      </c>
    </row>
    <row r="1846">
      <c r="A1846" t="inlineStr">
        <is>
          <t>4064941006787</t>
        </is>
      </c>
      <c r="B1846" t="inlineStr">
        <is>
          <t>Kylie Cosmetics Matte Lip Kit 503 Bad Lil Thing for Women 0.10 Oz</t>
        </is>
      </c>
      <c r="C1846" t="inlineStr">
        <is>
          <t>Lip Sets</t>
        </is>
      </c>
      <c r="D1846" t="inlineStr">
        <is>
          <t>Kylie Cosmetics</t>
        </is>
      </c>
      <c r="E1846" t="n">
        <v>30.34</v>
      </c>
      <c r="F1846" t="n">
        <v>1</v>
      </c>
      <c r="G1846" t="n">
        <v>7</v>
      </c>
      <c r="H1846" s="5">
        <f>HYPERLINK("https://api.qogita.com/variants/link/4064941006787/", "View Product")</f>
        <v/>
      </c>
    </row>
    <row r="1847">
      <c r="A1847" t="inlineStr">
        <is>
          <t>4064941008170</t>
        </is>
      </c>
      <c r="B1847" t="inlineStr">
        <is>
          <t>Kylie Cosmetics Kylighter Pressed Illuminating Powder 8 G</t>
        </is>
      </c>
      <c r="C1847" t="inlineStr">
        <is>
          <t>Highlighter</t>
        </is>
      </c>
      <c r="D1847" t="inlineStr">
        <is>
          <t>Kylie Cosmetics</t>
        </is>
      </c>
      <c r="E1847" t="n">
        <v>21.4</v>
      </c>
      <c r="F1847" t="n">
        <v>1</v>
      </c>
      <c r="G1847" t="n">
        <v>3</v>
      </c>
      <c r="H1847" s="5">
        <f>HYPERLINK("https://api.qogita.com/variants/link/4064941008170/", "View Product")</f>
        <v/>
      </c>
    </row>
    <row r="1848">
      <c r="A1848" t="inlineStr">
        <is>
          <t>4064941008200</t>
        </is>
      </c>
      <c r="B1848" t="inlineStr">
        <is>
          <t>Kylie Cosmetics Kylighter Pressed Illuminating Powder - 8 G</t>
        </is>
      </c>
      <c r="C1848" t="inlineStr">
        <is>
          <t>Highlighter</t>
        </is>
      </c>
      <c r="D1848" t="inlineStr">
        <is>
          <t>Kylie Cosmetics</t>
        </is>
      </c>
      <c r="E1848" t="n">
        <v>21.4</v>
      </c>
      <c r="F1848" t="n">
        <v>1</v>
      </c>
      <c r="G1848" t="n">
        <v>2</v>
      </c>
      <c r="H1848" s="5">
        <f>HYPERLINK("https://api.qogita.com/variants/link/4064941008200/", "View Product")</f>
        <v/>
      </c>
    </row>
    <row r="1849">
      <c r="A1849" t="inlineStr">
        <is>
          <t>4064941008552</t>
        </is>
      </c>
      <c r="B1849" t="inlineStr">
        <is>
          <t>Kylie Cosmetics Matte Lip Kit 403 Bite Me for Women 0.10 Oz</t>
        </is>
      </c>
      <c r="C1849" t="inlineStr">
        <is>
          <t>Lip Sets</t>
        </is>
      </c>
      <c r="D1849" t="inlineStr">
        <is>
          <t>Kylie Cosmetics</t>
        </is>
      </c>
      <c r="E1849" t="n">
        <v>30.34</v>
      </c>
      <c r="F1849" t="n">
        <v>1</v>
      </c>
      <c r="G1849" t="n">
        <v>11</v>
      </c>
      <c r="H1849" s="5">
        <f>HYPERLINK("https://api.qogita.com/variants/link/4064941008552/", "View Product")</f>
        <v/>
      </c>
    </row>
    <row r="1850">
      <c r="A1850" t="inlineStr">
        <is>
          <t>4064941008606</t>
        </is>
      </c>
      <c r="B1850" t="inlineStr">
        <is>
          <t>Kylie Cosmetics Set Velvet Liquid Lipstick And Lip Liner</t>
        </is>
      </c>
      <c r="C1850" t="inlineStr">
        <is>
          <t>Lip Sets</t>
        </is>
      </c>
      <c r="D1850" t="inlineStr">
        <is>
          <t>Kylie Cosmetics</t>
        </is>
      </c>
      <c r="E1850" t="n">
        <v>30.56</v>
      </c>
      <c r="F1850" t="n">
        <v>1</v>
      </c>
      <c r="G1850" t="n">
        <v>5</v>
      </c>
      <c r="H1850" s="5">
        <f>HYPERLINK("https://api.qogita.com/variants/link/4064941008606/", "View Product")</f>
        <v/>
      </c>
    </row>
    <row r="1851">
      <c r="A1851" t="inlineStr">
        <is>
          <t>4064941008613</t>
        </is>
      </c>
      <c r="B1851" t="inlineStr">
        <is>
          <t>Kylie Cosmetics Set Velvet Liquid Lipstick + Lip Liner</t>
        </is>
      </c>
      <c r="C1851" t="inlineStr">
        <is>
          <t>Lip Sets</t>
        </is>
      </c>
      <c r="D1851" t="inlineStr">
        <is>
          <t>Kylie Cosmetics</t>
        </is>
      </c>
      <c r="E1851" t="n">
        <v>29.9</v>
      </c>
      <c r="F1851" t="n">
        <v>1</v>
      </c>
      <c r="G1851" t="n">
        <v>9</v>
      </c>
      <c r="H1851" s="5">
        <f>HYPERLINK("https://api.qogita.com/variants/link/4064941008613/", "View Product")</f>
        <v/>
      </c>
    </row>
    <row r="1852">
      <c r="A1852" t="inlineStr">
        <is>
          <t>4064941008774</t>
        </is>
      </c>
      <c r="B1852" t="inlineStr">
        <is>
          <t>Kylie Cosmetics Creme Lipstick 3.5 G</t>
        </is>
      </c>
      <c r="C1852" t="inlineStr">
        <is>
          <t>Lipstick</t>
        </is>
      </c>
      <c r="D1852" t="inlineStr">
        <is>
          <t>Kylie Cosmetics</t>
        </is>
      </c>
      <c r="E1852" t="n">
        <v>19</v>
      </c>
      <c r="F1852" t="n">
        <v>1</v>
      </c>
      <c r="G1852" t="n">
        <v>11</v>
      </c>
      <c r="H1852" s="5">
        <f>HYPERLINK("https://api.qogita.com/variants/link/4064941008774/", "View Product")</f>
        <v/>
      </c>
    </row>
    <row r="1853">
      <c r="A1853" t="inlineStr">
        <is>
          <t>4064941008828</t>
        </is>
      </c>
      <c r="B1853" t="inlineStr">
        <is>
          <t>Kylie Cosmetics Creme Lipstick 3.5 G</t>
        </is>
      </c>
      <c r="C1853" t="inlineStr">
        <is>
          <t>Lipstick</t>
        </is>
      </c>
      <c r="D1853" t="inlineStr">
        <is>
          <t>Kylie Cosmetics</t>
        </is>
      </c>
      <c r="E1853" t="n">
        <v>19</v>
      </c>
      <c r="F1853" t="n">
        <v>1</v>
      </c>
      <c r="G1853" t="n">
        <v>41</v>
      </c>
      <c r="H1853" s="5">
        <f>HYPERLINK("https://api.qogita.com/variants/link/4064941008828/", "View Product")</f>
        <v/>
      </c>
    </row>
    <row r="1854">
      <c r="A1854" t="inlineStr">
        <is>
          <t>4064941009146</t>
        </is>
      </c>
      <c r="B1854" t="inlineStr">
        <is>
          <t>Kylie Cosmetics Sugar Lip Scrub - 10 G</t>
        </is>
      </c>
      <c r="C1854" t="inlineStr">
        <is>
          <t>Lip Balm</t>
        </is>
      </c>
      <c r="D1854" t="inlineStr">
        <is>
          <t>Kylie Cosmetics</t>
        </is>
      </c>
      <c r="E1854" t="n">
        <v>19.65</v>
      </c>
      <c r="F1854" t="n">
        <v>1</v>
      </c>
      <c r="G1854" t="n">
        <v>2</v>
      </c>
      <c r="H1854" s="5">
        <f>HYPERLINK("https://api.qogita.com/variants/link/4064941009146/", "View Product")</f>
        <v/>
      </c>
    </row>
    <row r="1855">
      <c r="A1855" t="inlineStr">
        <is>
          <t>4064941009191</t>
        </is>
      </c>
      <c r="B1855" t="inlineStr">
        <is>
          <t>Kylie Cosmetics Kyliner Gel Eyeliner Pencil 0.042 oz Grey Shimmer For Women</t>
        </is>
      </c>
      <c r="C1855" t="inlineStr">
        <is>
          <t>Eyeliner</t>
        </is>
      </c>
      <c r="D1855" t="inlineStr">
        <is>
          <t>Kylie Cosmetics</t>
        </is>
      </c>
      <c r="E1855" t="n">
        <v>15.31</v>
      </c>
      <c r="F1855" t="n">
        <v>1</v>
      </c>
      <c r="G1855" t="n">
        <v>2</v>
      </c>
      <c r="H1855" s="5">
        <f>HYPERLINK("https://api.qogita.com/variants/link/4064941009191/", "View Product")</f>
        <v/>
      </c>
    </row>
    <row r="1856">
      <c r="A1856" t="inlineStr">
        <is>
          <t>4064941009702</t>
        </is>
      </c>
      <c r="B1856" t="inlineStr">
        <is>
          <t>Kylie Cosmetics Power Plush Longwear Foundation 30 Ml</t>
        </is>
      </c>
      <c r="C1856" t="inlineStr">
        <is>
          <t>Foundation</t>
        </is>
      </c>
      <c r="D1856" t="inlineStr">
        <is>
          <t>Kylie Cosmetics</t>
        </is>
      </c>
      <c r="E1856" t="n">
        <v>28.77</v>
      </c>
      <c r="F1856" t="n">
        <v>1</v>
      </c>
      <c r="G1856" t="n">
        <v>3</v>
      </c>
      <c r="H1856" s="5">
        <f>HYPERLINK("https://api.qogita.com/variants/link/4064941009702/", "View Product")</f>
        <v/>
      </c>
    </row>
    <row r="1857">
      <c r="A1857" t="inlineStr">
        <is>
          <t>4064941009764</t>
        </is>
      </c>
      <c r="B1857" t="inlineStr">
        <is>
          <t>Kylie Cosmetics Matte Lipstick - 3.5 G</t>
        </is>
      </c>
      <c r="C1857" t="inlineStr">
        <is>
          <t>Lipstick</t>
        </is>
      </c>
      <c r="D1857" t="inlineStr">
        <is>
          <t>Kylie Cosmetics</t>
        </is>
      </c>
      <c r="E1857" t="n">
        <v>20.21</v>
      </c>
      <c r="F1857" t="n">
        <v>1</v>
      </c>
      <c r="G1857" t="n">
        <v>11</v>
      </c>
      <c r="H1857" s="5">
        <f>HYPERLINK("https://api.qogita.com/variants/link/4064941009764/", "View Product")</f>
        <v/>
      </c>
    </row>
    <row r="1858">
      <c r="A1858" t="inlineStr">
        <is>
          <t>4064941009818</t>
        </is>
      </c>
      <c r="B1858" t="inlineStr">
        <is>
          <t>Kylie Cosmetics Matte Lipstick - 3.5 G</t>
        </is>
      </c>
      <c r="C1858" t="inlineStr">
        <is>
          <t>Lipstick</t>
        </is>
      </c>
      <c r="D1858" t="inlineStr">
        <is>
          <t>Kylie Cosmetics</t>
        </is>
      </c>
      <c r="E1858" t="n">
        <v>20.26</v>
      </c>
      <c r="F1858" t="n">
        <v>1</v>
      </c>
      <c r="G1858" t="n">
        <v>5</v>
      </c>
      <c r="H1858" s="5">
        <f>HYPERLINK("https://api.qogita.com/variants/link/4064941009818/", "View Product")</f>
        <v/>
      </c>
    </row>
    <row r="1859">
      <c r="A1859" t="inlineStr">
        <is>
          <t>4064941010432</t>
        </is>
      </c>
      <c r="B1859" t="inlineStr">
        <is>
          <t>Kylie Cosmetics Power Plush Longwear Foundation 30 Ml</t>
        </is>
      </c>
      <c r="C1859" t="inlineStr">
        <is>
          <t>Foundation</t>
        </is>
      </c>
      <c r="D1859" t="inlineStr">
        <is>
          <t>Kylie Cosmetics</t>
        </is>
      </c>
      <c r="E1859" t="n">
        <v>28.77</v>
      </c>
      <c r="F1859" t="n">
        <v>1</v>
      </c>
      <c r="G1859" t="n">
        <v>3</v>
      </c>
      <c r="H1859" s="5">
        <f>HYPERLINK("https://api.qogita.com/variants/link/4064941010432/", "View Product")</f>
        <v/>
      </c>
    </row>
    <row r="1860">
      <c r="A1860" t="inlineStr">
        <is>
          <t>4064941010449</t>
        </is>
      </c>
      <c r="B1860" t="inlineStr">
        <is>
          <t>Kylie Cosmetics Power Plush Longwear Foundation 30 Ml</t>
        </is>
      </c>
      <c r="C1860" t="inlineStr">
        <is>
          <t>Foundation</t>
        </is>
      </c>
      <c r="D1860" t="inlineStr">
        <is>
          <t>Kylie Cosmetics</t>
        </is>
      </c>
      <c r="E1860" t="n">
        <v>28.77</v>
      </c>
      <c r="F1860" t="n">
        <v>1</v>
      </c>
      <c r="G1860" t="n">
        <v>3</v>
      </c>
      <c r="H1860" s="5">
        <f>HYPERLINK("https://api.qogita.com/variants/link/4064941010449/", "View Product")</f>
        <v/>
      </c>
    </row>
    <row r="1861">
      <c r="A1861" t="inlineStr">
        <is>
          <t>4064941010494</t>
        </is>
      </c>
      <c r="B1861" t="inlineStr">
        <is>
          <t>Kylie Cosmetics Power Plush Longwear Foundation 30 Ml</t>
        </is>
      </c>
      <c r="C1861" t="inlineStr">
        <is>
          <t>Foundation</t>
        </is>
      </c>
      <c r="D1861" t="inlineStr">
        <is>
          <t>Kylie Cosmetics</t>
        </is>
      </c>
      <c r="E1861" t="n">
        <v>28.77</v>
      </c>
      <c r="F1861" t="n">
        <v>1</v>
      </c>
      <c r="G1861" t="n">
        <v>3</v>
      </c>
      <c r="H1861" s="5">
        <f>HYPERLINK("https://api.qogita.com/variants/link/4064941010494/", "View Product")</f>
        <v/>
      </c>
    </row>
    <row r="1862">
      <c r="A1862" t="inlineStr">
        <is>
          <t>4064941011118</t>
        </is>
      </c>
      <c r="B1862" t="inlineStr">
        <is>
          <t>Kylie By Kylie Jenner High Gloss #324 Damn Gina 3.3ml 0.11oz</t>
        </is>
      </c>
      <c r="C1862" t="inlineStr">
        <is>
          <t>Lip Gloss</t>
        </is>
      </c>
      <c r="D1862" t="inlineStr">
        <is>
          <t>Kylie Cosmetics</t>
        </is>
      </c>
      <c r="E1862" t="n">
        <v>17.06</v>
      </c>
      <c r="F1862" t="n">
        <v>1</v>
      </c>
      <c r="G1862" t="n">
        <v>2</v>
      </c>
      <c r="H1862" s="5">
        <f>HYPERLINK("https://api.qogita.com/variants/link/4064941011118/", "View Product")</f>
        <v/>
      </c>
    </row>
    <row r="1863">
      <c r="A1863" t="inlineStr">
        <is>
          <t>4064941011613</t>
        </is>
      </c>
      <c r="B1863" t="inlineStr">
        <is>
          <t>Kylie Cosmetics Power Plush Longwear Foundation 30 Ml</t>
        </is>
      </c>
      <c r="C1863" t="inlineStr">
        <is>
          <t>Foundation</t>
        </is>
      </c>
      <c r="D1863" t="inlineStr">
        <is>
          <t>Kylie Cosmetics</t>
        </is>
      </c>
      <c r="E1863" t="n">
        <v>28.77</v>
      </c>
      <c r="F1863" t="n">
        <v>1</v>
      </c>
      <c r="G1863" t="n">
        <v>3</v>
      </c>
      <c r="H1863" s="5">
        <f>HYPERLINK("https://api.qogita.com/variants/link/4064941011613/", "View Product")</f>
        <v/>
      </c>
    </row>
    <row r="1864">
      <c r="A1864" t="inlineStr">
        <is>
          <t>4064941033561</t>
        </is>
      </c>
      <c r="B1864" t="inlineStr">
        <is>
          <t>Kylie Cosmetics Loose Powder - 5 G</t>
        </is>
      </c>
      <c r="C1864" t="inlineStr">
        <is>
          <t>Powder</t>
        </is>
      </c>
      <c r="D1864" t="inlineStr">
        <is>
          <t>Kylie Cosmetics</t>
        </is>
      </c>
      <c r="E1864" t="n">
        <v>22.99</v>
      </c>
      <c r="F1864" t="n">
        <v>1</v>
      </c>
      <c r="G1864" t="n">
        <v>3</v>
      </c>
      <c r="H1864" s="5">
        <f>HYPERLINK("https://api.qogita.com/variants/link/4064941033561/", "View Product")</f>
        <v/>
      </c>
    </row>
    <row r="1865">
      <c r="A1865" t="inlineStr">
        <is>
          <t>4064941049104</t>
        </is>
      </c>
      <c r="B1865" t="inlineStr">
        <is>
          <t>Kylie Cosmetics Power Plush Longwear Concealer - 5 Ml</t>
        </is>
      </c>
      <c r="C1865" t="inlineStr">
        <is>
          <t>Concealer</t>
        </is>
      </c>
      <c r="D1865" t="inlineStr">
        <is>
          <t>Kylie Cosmetics</t>
        </is>
      </c>
      <c r="E1865" t="n">
        <v>23.46</v>
      </c>
      <c r="F1865" t="n">
        <v>1</v>
      </c>
      <c r="G1865" t="n">
        <v>2</v>
      </c>
      <c r="H1865" s="5">
        <f>HYPERLINK("https://api.qogita.com/variants/link/4064941049104/", "View Product")</f>
        <v/>
      </c>
    </row>
    <row r="1866">
      <c r="A1866" t="inlineStr">
        <is>
          <t>4064941049128</t>
        </is>
      </c>
      <c r="B1866" t="inlineStr">
        <is>
          <t>Kylie Cosmetics Power Plush Longwear Concealer - 5 Ml</t>
        </is>
      </c>
      <c r="C1866" t="inlineStr">
        <is>
          <t>Concealer</t>
        </is>
      </c>
      <c r="D1866" t="inlineStr">
        <is>
          <t>Kylie Cosmetics</t>
        </is>
      </c>
      <c r="E1866" t="n">
        <v>23.46</v>
      </c>
      <c r="F1866" t="n">
        <v>1</v>
      </c>
      <c r="G1866" t="n">
        <v>2</v>
      </c>
      <c r="H1866" s="5">
        <f>HYPERLINK("https://api.qogita.com/variants/link/4064941049128/", "View Product")</f>
        <v/>
      </c>
    </row>
    <row r="1867">
      <c r="A1867" t="inlineStr">
        <is>
          <t>4064941117223</t>
        </is>
      </c>
      <c r="B1867" t="inlineStr">
        <is>
          <t>Kylie Cosmetics Lip Gloss High Gloss 3.3 G</t>
        </is>
      </c>
      <c r="C1867" t="inlineStr">
        <is>
          <t>Lip Gloss</t>
        </is>
      </c>
      <c r="D1867" t="inlineStr">
        <is>
          <t>Kylie Cosmetics</t>
        </is>
      </c>
      <c r="E1867" t="n">
        <v>17.06</v>
      </c>
      <c r="F1867" t="n">
        <v>1</v>
      </c>
      <c r="G1867" t="n">
        <v>3</v>
      </c>
      <c r="H1867" s="5">
        <f>HYPERLINK("https://api.qogita.com/variants/link/4064941117223/", "View Product")</f>
        <v/>
      </c>
    </row>
    <row r="1868">
      <c r="A1868" t="inlineStr">
        <is>
          <t>4064941130680</t>
        </is>
      </c>
      <c r="B1868" t="inlineStr">
        <is>
          <t>Kylie Cosmetics Supple Kiss Lip Gloss Lip Glaze - 3 Ml</t>
        </is>
      </c>
      <c r="C1868" t="inlineStr">
        <is>
          <t>Lip Gloss</t>
        </is>
      </c>
      <c r="D1868" t="inlineStr">
        <is>
          <t>Kylie Cosmetics</t>
        </is>
      </c>
      <c r="E1868" t="n">
        <v>16.95</v>
      </c>
      <c r="F1868" t="n">
        <v>1</v>
      </c>
      <c r="G1868" t="n">
        <v>5</v>
      </c>
      <c r="H1868" s="5">
        <f>HYPERLINK("https://api.qogita.com/variants/link/4064941130680/", "View Product")</f>
        <v/>
      </c>
    </row>
    <row r="1869">
      <c r="A1869" t="inlineStr">
        <is>
          <t>4064941130727</t>
        </is>
      </c>
      <c r="B1869" t="inlineStr">
        <is>
          <t>Kylie Cosmetics Supple Kiss Lip Gloss Lip Glaze - 3 Ml</t>
        </is>
      </c>
      <c r="C1869" t="inlineStr">
        <is>
          <t>Lip Gloss</t>
        </is>
      </c>
      <c r="D1869" t="inlineStr">
        <is>
          <t>Kylie Cosmetics</t>
        </is>
      </c>
      <c r="E1869" t="n">
        <v>16.95</v>
      </c>
      <c r="F1869" t="n">
        <v>1</v>
      </c>
      <c r="G1869" t="n">
        <v>3</v>
      </c>
      <c r="H1869" s="5">
        <f>HYPERLINK("https://api.qogita.com/variants/link/4064941130727/", "View Product")</f>
        <v/>
      </c>
    </row>
    <row r="1870">
      <c r="A1870" t="inlineStr">
        <is>
          <t>4068359080902</t>
        </is>
      </c>
      <c r="B1870" t="inlineStr">
        <is>
          <t>Wella Ultimate Repair Hair Care Set</t>
        </is>
      </c>
      <c r="C1870" t="inlineStr">
        <is>
          <t>Hair Care Sets</t>
        </is>
      </c>
      <c r="D1870" t="inlineStr">
        <is>
          <t>Wella</t>
        </is>
      </c>
      <c r="E1870" t="n">
        <v>37.18</v>
      </c>
      <c r="F1870" t="n">
        <v>1</v>
      </c>
      <c r="G1870" t="n">
        <v>25</v>
      </c>
      <c r="H1870" s="5">
        <f>HYPERLINK("https://api.qogita.com/variants/link/4068359080902/", "View Product")</f>
        <v/>
      </c>
    </row>
    <row r="1871">
      <c r="A1871" t="inlineStr">
        <is>
          <t>4084500750029</t>
        </is>
      </c>
      <c r="B1871" t="inlineStr">
        <is>
          <t>SP Energy Code Smoothen Mask 200ml</t>
        </is>
      </c>
      <c r="C1871" t="inlineStr">
        <is>
          <t>Hair Masks</t>
        </is>
      </c>
      <c r="D1871" t="inlineStr">
        <is>
          <t>Wella</t>
        </is>
      </c>
      <c r="E1871" t="n">
        <v>24.31</v>
      </c>
      <c r="F1871" t="n">
        <v>1</v>
      </c>
      <c r="G1871" t="n">
        <v>10</v>
      </c>
      <c r="H1871" s="5">
        <f>HYPERLINK("https://api.qogita.com/variants/link/4084500750029/", "View Product")</f>
        <v/>
      </c>
    </row>
    <row r="1872">
      <c r="A1872" t="inlineStr">
        <is>
          <t>4085400191509</t>
        </is>
      </c>
      <c r="B1872" t="inlineStr">
        <is>
          <t>Plus Plus Feminine 75ml EDT Spray Retail Boxed Sealed</t>
        </is>
      </c>
      <c r="C1872" t="inlineStr">
        <is>
          <t>Eau De Toilette</t>
        </is>
      </c>
      <c r="D1872" t="inlineStr">
        <is>
          <t>Diesel</t>
        </is>
      </c>
      <c r="E1872" t="n">
        <v>11.74</v>
      </c>
      <c r="F1872" t="n">
        <v>1</v>
      </c>
      <c r="G1872" t="n">
        <v>109</v>
      </c>
      <c r="H1872" s="5">
        <f>HYPERLINK("https://api.qogita.com/variants/link/4085400191509/", "View Product")</f>
        <v/>
      </c>
    </row>
    <row r="1873">
      <c r="A1873" t="inlineStr">
        <is>
          <t>4085400291001</t>
        </is>
      </c>
      <c r="B1873" t="inlineStr">
        <is>
          <t>Diesel Plus Plus Masculine Eau De Toilette</t>
        </is>
      </c>
      <c r="C1873" t="inlineStr">
        <is>
          <t>Eau De Toilette</t>
        </is>
      </c>
      <c r="D1873" t="inlineStr">
        <is>
          <t>Diesel</t>
        </is>
      </c>
      <c r="E1873" t="n">
        <v>12</v>
      </c>
      <c r="F1873" t="n">
        <v>1</v>
      </c>
      <c r="G1873" t="n">
        <v>1814</v>
      </c>
      <c r="H1873" s="5">
        <f>HYPERLINK("https://api.qogita.com/variants/link/4085400291001/", "View Product")</f>
        <v/>
      </c>
    </row>
    <row r="1874">
      <c r="A1874" t="inlineStr">
        <is>
          <t>4086900102118</t>
        </is>
      </c>
      <c r="B1874" t="inlineStr">
        <is>
          <t>PRIMAVERA Organic Pine Needle Essential Oil 5ml - Aromatherapy Oil for Vitality - Vegan</t>
        </is>
      </c>
      <c r="C1874" t="inlineStr">
        <is>
          <t>Aromatherapy &amp; Essential Oils</t>
        </is>
      </c>
      <c r="D1874" t="inlineStr">
        <is>
          <t>Primavera</t>
        </is>
      </c>
      <c r="E1874" t="n">
        <v>9.07</v>
      </c>
      <c r="F1874" t="n">
        <v>1</v>
      </c>
      <c r="G1874" t="n">
        <v>4</v>
      </c>
      <c r="H1874" s="5">
        <f>HYPERLINK("https://api.qogita.com/variants/link/4086900102118/", "View Product")</f>
        <v/>
      </c>
    </row>
    <row r="1875">
      <c r="A1875" t="inlineStr">
        <is>
          <t>4086900111387</t>
        </is>
      </c>
      <c r="B1875" t="inlineStr">
        <is>
          <t>PRIMAVERA Bulgarian Rose Essential Oil 10% 5ml - Aromatherapy Oil for Harmonizing, Uplifting, and Strengthening - Vegan</t>
        </is>
      </c>
      <c r="C1875" t="inlineStr">
        <is>
          <t>Aromatherapy &amp; Essential Oils</t>
        </is>
      </c>
      <c r="D1875" t="inlineStr">
        <is>
          <t>Primavera</t>
        </is>
      </c>
      <c r="E1875" t="n">
        <v>29.74</v>
      </c>
      <c r="F1875" t="n">
        <v>1</v>
      </c>
      <c r="G1875" t="n">
        <v>5</v>
      </c>
      <c r="H1875" s="5">
        <f>HYPERLINK("https://api.qogita.com/variants/link/4086900111387/", "View Product")</f>
        <v/>
      </c>
    </row>
    <row r="1876">
      <c r="A1876" t="inlineStr">
        <is>
          <t>4086900185074</t>
        </is>
      </c>
      <c r="B1876" t="inlineStr">
        <is>
          <t>PRIMAVERA Glücksgefühle Aromatherapy Essential Oil Blend 5ml - Mandarin, Grapefruit and Tonka - Vegan Mood Booster</t>
        </is>
      </c>
      <c r="C1876" t="inlineStr">
        <is>
          <t>Incense</t>
        </is>
      </c>
      <c r="D1876" t="inlineStr">
        <is>
          <t>Primavera</t>
        </is>
      </c>
      <c r="E1876" t="n">
        <v>10.53</v>
      </c>
      <c r="F1876" t="n">
        <v>1</v>
      </c>
      <c r="G1876" t="n">
        <v>3</v>
      </c>
      <c r="H1876" s="5">
        <f>HYPERLINK("https://api.qogita.com/variants/link/4086900185074/", "View Product")</f>
        <v/>
      </c>
    </row>
    <row r="1877">
      <c r="A1877" t="inlineStr">
        <is>
          <t>4086900186019</t>
        </is>
      </c>
      <c r="B1877" t="inlineStr">
        <is>
          <t>Primavera Kids Dream Sweet Scent Mixture 5 Ml - Aroma Oil, Fragrance Oil, Essential Oil</t>
        </is>
      </c>
      <c r="C1877" t="inlineStr">
        <is>
          <t>Incense</t>
        </is>
      </c>
      <c r="D1877" t="inlineStr">
        <is>
          <t>Primavera</t>
        </is>
      </c>
      <c r="E1877" t="n">
        <v>10.53</v>
      </c>
      <c r="F1877" t="n">
        <v>1</v>
      </c>
      <c r="G1877" t="n">
        <v>2</v>
      </c>
      <c r="H1877" s="5">
        <f>HYPERLINK("https://api.qogita.com/variants/link/4086900186019/", "View Product")</f>
        <v/>
      </c>
    </row>
    <row r="1878">
      <c r="A1878" t="inlineStr">
        <is>
          <t>4086900196001</t>
        </is>
      </c>
      <c r="B1878" t="inlineStr">
        <is>
          <t>Primavera Kids Room Spray Easier Learning Bio 50 Ml - Aroma Diffuser</t>
        </is>
      </c>
      <c r="C1878" t="inlineStr">
        <is>
          <t>Diffusers</t>
        </is>
      </c>
      <c r="D1878" t="inlineStr">
        <is>
          <t>Primavera</t>
        </is>
      </c>
      <c r="E1878" t="n">
        <v>15.32</v>
      </c>
      <c r="F1878" t="n">
        <v>1</v>
      </c>
      <c r="G1878" t="n">
        <v>3</v>
      </c>
      <c r="H1878" s="5">
        <f>HYPERLINK("https://api.qogita.com/variants/link/4086900196001/", "View Product")</f>
        <v/>
      </c>
    </row>
    <row r="1879">
      <c r="A1879" t="inlineStr">
        <is>
          <t>4086900216204</t>
        </is>
      </c>
      <c r="B1879" t="inlineStr">
        <is>
          <t>PRIMAVERA Schlafwohl Kissenspray Bio 30ml with Lavender, Vanilla, and Neroli - Calming Aromatherapy Textile and Room Fragrance - Vegan</t>
        </is>
      </c>
      <c r="C1879" t="inlineStr">
        <is>
          <t>Diffusers</t>
        </is>
      </c>
      <c r="D1879" t="inlineStr">
        <is>
          <t>Primavera</t>
        </is>
      </c>
      <c r="E1879" t="n">
        <v>12.26</v>
      </c>
      <c r="F1879" t="n">
        <v>1</v>
      </c>
      <c r="G1879" t="n">
        <v>2</v>
      </c>
      <c r="H1879" s="5">
        <f>HYPERLINK("https://api.qogita.com/variants/link/4086900216204/", "View Product")</f>
        <v/>
      </c>
    </row>
    <row r="1880">
      <c r="A1880" t="inlineStr">
        <is>
          <t>4086900265301</t>
        </is>
      </c>
      <c r="B1880" t="inlineStr">
        <is>
          <t>PRIMAVERA Pure Relaxation Cream Shower 200ml Lavender Vanilla Scented Natural Cosmetics</t>
        </is>
      </c>
      <c r="C1880" t="inlineStr">
        <is>
          <t>Shower Gel</t>
        </is>
      </c>
      <c r="D1880" t="inlineStr">
        <is>
          <t>Primavera</t>
        </is>
      </c>
      <c r="E1880" t="n">
        <v>10.16</v>
      </c>
      <c r="F1880" t="n">
        <v>1</v>
      </c>
      <c r="G1880" t="n">
        <v>5</v>
      </c>
      <c r="H1880" s="5">
        <f>HYPERLINK("https://api.qogita.com/variants/link/4086900265301/", "View Product")</f>
        <v/>
      </c>
    </row>
    <row r="1881">
      <c r="A1881" t="inlineStr">
        <is>
          <t>4086900269309</t>
        </is>
      </c>
      <c r="B1881" t="inlineStr">
        <is>
          <t>Primavera Cream Shower Gel Forest Walk 200 Ml</t>
        </is>
      </c>
      <c r="C1881" t="inlineStr">
        <is>
          <t>Shower Gel</t>
        </is>
      </c>
      <c r="D1881" t="inlineStr">
        <is>
          <t>Primavera</t>
        </is>
      </c>
      <c r="E1881" t="n">
        <v>10.16</v>
      </c>
      <c r="F1881" t="n">
        <v>1</v>
      </c>
      <c r="G1881" t="n">
        <v>2</v>
      </c>
      <c r="H1881" s="5">
        <f>HYPERLINK("https://api.qogita.com/variants/link/4086900269309/", "View Product")</f>
        <v/>
      </c>
    </row>
    <row r="1882">
      <c r="A1882" t="inlineStr">
        <is>
          <t>4086900420304</t>
        </is>
      </c>
      <c r="B1882" t="inlineStr">
        <is>
          <t>Primavera Aroma Fan Flower - Colorful Fragrance Magic For Larger Rooms</t>
        </is>
      </c>
      <c r="C1882" t="inlineStr">
        <is>
          <t>Diffusers</t>
        </is>
      </c>
      <c r="D1882" t="inlineStr">
        <is>
          <t>Primavera</t>
        </is>
      </c>
      <c r="E1882" t="n">
        <v>53.87</v>
      </c>
      <c r="F1882" t="n">
        <v>1</v>
      </c>
      <c r="G1882" t="n">
        <v>2</v>
      </c>
      <c r="H1882" s="5">
        <f>HYPERLINK("https://api.qogita.com/variants/link/4086900420304/", "View Product")</f>
        <v/>
      </c>
    </row>
    <row r="1883">
      <c r="A1883" t="inlineStr">
        <is>
          <t>4086900743571</t>
        </is>
      </c>
      <c r="B1883" t="inlineStr">
        <is>
          <t>PRIMAVERA Organic Jojoba Oil 100ml Glass Bottle - Aromatherapy Body Oil Vegan Skin Care - Firms and Improves Elasticity</t>
        </is>
      </c>
      <c r="C1883" t="inlineStr">
        <is>
          <t>Body Oil</t>
        </is>
      </c>
      <c r="D1883" t="inlineStr">
        <is>
          <t>Primavera</t>
        </is>
      </c>
      <c r="E1883" t="n">
        <v>19.09</v>
      </c>
      <c r="F1883" t="n">
        <v>1</v>
      </c>
      <c r="G1883" t="n">
        <v>2</v>
      </c>
      <c r="H1883" s="5">
        <f>HYPERLINK("https://api.qogita.com/variants/link/4086900743571/", "View Product")</f>
        <v/>
      </c>
    </row>
    <row r="1884">
      <c r="A1884" t="inlineStr">
        <is>
          <t>4086900743588</t>
        </is>
      </c>
      <c r="B1884" t="inlineStr">
        <is>
          <t>Primavera Care Organic Almond Oil 100ml Pure Natural Plant Power Glass Bottle</t>
        </is>
      </c>
      <c r="C1884" t="inlineStr">
        <is>
          <t>Body Oil</t>
        </is>
      </c>
      <c r="D1884" t="inlineStr">
        <is>
          <t>Primavera</t>
        </is>
      </c>
      <c r="E1884" t="n">
        <v>16.04</v>
      </c>
      <c r="F1884" t="n">
        <v>1</v>
      </c>
      <c r="G1884" t="n">
        <v>4</v>
      </c>
      <c r="H1884" s="5">
        <f>HYPERLINK("https://api.qogita.com/variants/link/4086900743588/", "View Product")</f>
        <v/>
      </c>
    </row>
    <row r="1885">
      <c r="A1885" t="inlineStr">
        <is>
          <t>4086900752528</t>
        </is>
      </c>
      <c r="B1885" t="inlineStr">
        <is>
          <t>PRIMAVERA Atemkraft Aroma Sauna Bio 100ml - Refreshing Clear Mint Aromatherapy Sauna Oil - Vegan</t>
        </is>
      </c>
      <c r="C1885" t="inlineStr">
        <is>
          <t>Diffusers</t>
        </is>
      </c>
      <c r="D1885" t="inlineStr">
        <is>
          <t>Primavera</t>
        </is>
      </c>
      <c r="E1885" t="n">
        <v>18.07</v>
      </c>
      <c r="F1885" t="n">
        <v>1</v>
      </c>
      <c r="G1885" t="n">
        <v>2</v>
      </c>
      <c r="H1885" s="5">
        <f>HYPERLINK("https://api.qogita.com/variants/link/4086900752528/", "View Product")</f>
        <v/>
      </c>
    </row>
    <row r="1886">
      <c r="A1886" t="inlineStr">
        <is>
          <t>4103040004932</t>
        </is>
      </c>
      <c r="B1886" t="inlineStr">
        <is>
          <t>Sebamed Clear Face Gentle Scrub 150ml</t>
        </is>
      </c>
      <c r="C1886" t="inlineStr">
        <is>
          <t>Facial Scrub &amp; Peeling</t>
        </is>
      </c>
      <c r="D1886" t="inlineStr">
        <is>
          <t>Sebamed</t>
        </is>
      </c>
      <c r="E1886" t="n">
        <v>8.42</v>
      </c>
      <c r="F1886" t="n">
        <v>1</v>
      </c>
      <c r="G1886" t="n">
        <v>10</v>
      </c>
      <c r="H1886" s="5">
        <f>HYPERLINK("https://api.qogita.com/variants/link/4103040004932/", "View Product")</f>
        <v/>
      </c>
    </row>
    <row r="1887">
      <c r="A1887" t="inlineStr">
        <is>
          <t>4103040017758</t>
        </is>
      </c>
      <c r="B1887" t="inlineStr">
        <is>
          <t>Sebamed Shower Gel And Shampoo 2 In 1 For Men Energizing Hair &amp; Body Wash 200 Ml</t>
        </is>
      </c>
      <c r="C1887" t="inlineStr">
        <is>
          <t>Shower Gel</t>
        </is>
      </c>
      <c r="D1887" t="inlineStr">
        <is>
          <t>Sebamed</t>
        </is>
      </c>
      <c r="E1887" t="n">
        <v>5.25</v>
      </c>
      <c r="F1887" t="n">
        <v>1</v>
      </c>
      <c r="G1887" t="n">
        <v>7</v>
      </c>
      <c r="H1887" s="5">
        <f>HYPERLINK("https://api.qogita.com/variants/link/4103040017758/", "View Product")</f>
        <v/>
      </c>
    </row>
    <row r="1888">
      <c r="A1888" t="inlineStr">
        <is>
          <t>4103040049711</t>
        </is>
      </c>
      <c r="B1888" t="inlineStr">
        <is>
          <t>Sebamed Anti-Redness Day Cream</t>
        </is>
      </c>
      <c r="C1888" t="inlineStr">
        <is>
          <t>Day Cream</t>
        </is>
      </c>
      <c r="D1888" t="inlineStr">
        <is>
          <t>Sebamed</t>
        </is>
      </c>
      <c r="E1888" t="n">
        <v>9.77</v>
      </c>
      <c r="F1888" t="n">
        <v>1</v>
      </c>
      <c r="G1888" t="n">
        <v>10</v>
      </c>
      <c r="H1888" s="5">
        <f>HYPERLINK("https://api.qogita.com/variants/link/4103040049711/", "View Product")</f>
        <v/>
      </c>
    </row>
    <row r="1889">
      <c r="A1889" t="inlineStr">
        <is>
          <t>4103040102744</t>
        </is>
      </c>
      <c r="B1889" t="inlineStr">
        <is>
          <t>Sebamed Sensitive Skin Shower Oil 200 Ml</t>
        </is>
      </c>
      <c r="C1889" t="inlineStr">
        <is>
          <t>Shower Oil</t>
        </is>
      </c>
      <c r="D1889" t="inlineStr">
        <is>
          <t>Sebamed</t>
        </is>
      </c>
      <c r="E1889" t="n">
        <v>5.99</v>
      </c>
      <c r="F1889" t="n">
        <v>1</v>
      </c>
      <c r="G1889" t="n">
        <v>3</v>
      </c>
      <c r="H1889" s="5">
        <f>HYPERLINK("https://api.qogita.com/variants/link/4103040102744/", "View Product")</f>
        <v/>
      </c>
    </row>
    <row r="1890">
      <c r="A1890" t="inlineStr">
        <is>
          <t>4103040141330</t>
        </is>
      </c>
      <c r="B1890" t="inlineStr">
        <is>
          <t>Sebamed Sensitive Balsam Deo Roll-On 50ml</t>
        </is>
      </c>
      <c r="C1890" t="inlineStr">
        <is>
          <t>Deodorant &amp; Anti-Perspirant</t>
        </is>
      </c>
      <c r="D1890" t="inlineStr">
        <is>
          <t>Sebamed</t>
        </is>
      </c>
      <c r="E1890" t="n">
        <v>4.88</v>
      </c>
      <c r="F1890" t="n">
        <v>1</v>
      </c>
      <c r="G1890" t="n">
        <v>10</v>
      </c>
      <c r="H1890" s="5">
        <f>HYPERLINK("https://api.qogita.com/variants/link/4103040141330/", "View Product")</f>
        <v/>
      </c>
    </row>
    <row r="1891">
      <c r="A1891" t="inlineStr">
        <is>
          <t>4103040186775</t>
        </is>
      </c>
      <c r="B1891" t="inlineStr">
        <is>
          <t>Sebamed Baby Lip Balm 4.8g</t>
        </is>
      </c>
      <c r="C1891" t="inlineStr">
        <is>
          <t>Baby &amp; Child</t>
        </is>
      </c>
      <c r="D1891" t="inlineStr">
        <is>
          <t>Sebamed</t>
        </is>
      </c>
      <c r="E1891" t="n">
        <v>4.55</v>
      </c>
      <c r="F1891" t="n">
        <v>1</v>
      </c>
      <c r="G1891" t="n">
        <v>8</v>
      </c>
      <c r="H1891" s="5">
        <f>HYPERLINK("https://api.qogita.com/variants/link/4103040186775/", "View Product")</f>
        <v/>
      </c>
    </row>
    <row r="1892">
      <c r="A1892" t="inlineStr">
        <is>
          <t>4103040898388</t>
        </is>
      </c>
      <c r="B1892" t="inlineStr">
        <is>
          <t>Sebamed Baby Sun SPF30 lotion for children - 200ml</t>
        </is>
      </c>
      <c r="C1892" t="inlineStr">
        <is>
          <t>Baby &amp; Child</t>
        </is>
      </c>
      <c r="D1892" t="inlineStr">
        <is>
          <t>Sebamed</t>
        </is>
      </c>
      <c r="E1892" t="n">
        <v>9.880000000000001</v>
      </c>
      <c r="F1892" t="n">
        <v>1</v>
      </c>
      <c r="G1892" t="n">
        <v>9</v>
      </c>
      <c r="H1892" s="5">
        <f>HYPERLINK("https://api.qogita.com/variants/link/4103040898388/", "View Product")</f>
        <v/>
      </c>
    </row>
    <row r="1893">
      <c r="A1893" t="inlineStr">
        <is>
          <t>4103040900210</t>
        </is>
      </c>
      <c r="B1893" t="inlineStr">
        <is>
          <t>Sebamed Sunscreen Without Perfume Of 50+ Baby Multi Protect Sun Cream 75 Ml</t>
        </is>
      </c>
      <c r="C1893" t="inlineStr">
        <is>
          <t>Sun Protection For Children</t>
        </is>
      </c>
      <c r="D1893" t="inlineStr">
        <is>
          <t>Sebamed</t>
        </is>
      </c>
      <c r="E1893" t="n">
        <v>9.390000000000001</v>
      </c>
      <c r="F1893" t="n">
        <v>1</v>
      </c>
      <c r="G1893" t="n">
        <v>9</v>
      </c>
      <c r="H1893" s="5">
        <f>HYPERLINK("https://api.qogita.com/variants/link/4103040900210/", "View Product")</f>
        <v/>
      </c>
    </row>
    <row r="1894">
      <c r="A1894" t="inlineStr">
        <is>
          <t>4103040914071</t>
        </is>
      </c>
      <c r="B1894" t="inlineStr">
        <is>
          <t>Sebamed Extreme Dry Skin Repair Lotion 10% Urea - 200ml</t>
        </is>
      </c>
      <c r="C1894" t="inlineStr">
        <is>
          <t>Body Lotion</t>
        </is>
      </c>
      <c r="D1894" t="inlineStr">
        <is>
          <t>Sebamed</t>
        </is>
      </c>
      <c r="E1894" t="n">
        <v>8.42</v>
      </c>
      <c r="F1894" t="n">
        <v>1</v>
      </c>
      <c r="G1894" t="n">
        <v>14</v>
      </c>
      <c r="H1894" s="5">
        <f>HYPERLINK("https://api.qogita.com/variants/link/4103040914071/", "View Product")</f>
        <v/>
      </c>
    </row>
    <row r="1895">
      <c r="A1895" t="inlineStr">
        <is>
          <t>4103040920010</t>
        </is>
      </c>
      <c r="B1895" t="inlineStr">
        <is>
          <t>SEBAMED Extreme Dry Skin Relief Treatment Shampoo with 5% Urea for Dry Itchy Scalp 200mL</t>
        </is>
      </c>
      <c r="C1895" t="inlineStr">
        <is>
          <t>Shampoo</t>
        </is>
      </c>
      <c r="D1895" t="inlineStr">
        <is>
          <t>Sebamed</t>
        </is>
      </c>
      <c r="E1895" t="n">
        <v>8.26</v>
      </c>
      <c r="F1895" t="n">
        <v>1</v>
      </c>
      <c r="G1895" t="n">
        <v>3</v>
      </c>
      <c r="H1895" s="5">
        <f>HYPERLINK("https://api.qogita.com/variants/link/4103040920010/", "View Product")</f>
        <v/>
      </c>
    </row>
    <row r="1896">
      <c r="A1896" t="inlineStr">
        <is>
          <t>4210201217909</t>
        </is>
      </c>
      <c r="B1896" t="inlineStr">
        <is>
          <t>Oral B Cross Action Eb50 Black Replacement Brush Heads</t>
        </is>
      </c>
      <c r="C1896" t="inlineStr">
        <is>
          <t>Electric Toothbrushes</t>
        </is>
      </c>
      <c r="D1896" t="inlineStr">
        <is>
          <t>Oral-B</t>
        </is>
      </c>
      <c r="E1896" t="n">
        <v>22.47</v>
      </c>
      <c r="F1896" t="n">
        <v>1</v>
      </c>
      <c r="G1896" t="n">
        <v>3</v>
      </c>
      <c r="H1896" s="5">
        <f>HYPERLINK("https://api.qogita.com/variants/link/4210201217909/", "View Product")</f>
        <v/>
      </c>
    </row>
    <row r="1897">
      <c r="A1897" t="inlineStr">
        <is>
          <t>4210201381686</t>
        </is>
      </c>
      <c r="B1897" t="inlineStr">
        <is>
          <t>Oralb Electric Toothbrush Series Io 6 Grey Opal</t>
        </is>
      </c>
      <c r="C1897" t="inlineStr">
        <is>
          <t>Electric Toothbrushes</t>
        </is>
      </c>
      <c r="D1897" t="inlineStr">
        <is>
          <t>Oral-B</t>
        </is>
      </c>
      <c r="E1897" t="n">
        <v>138.45</v>
      </c>
      <c r="F1897" t="n">
        <v>1</v>
      </c>
      <c r="G1897" t="n">
        <v>2</v>
      </c>
      <c r="H1897" s="5">
        <f>HYPERLINK("https://api.qogita.com/variants/link/4210201381686/", "View Product")</f>
        <v/>
      </c>
    </row>
    <row r="1898">
      <c r="A1898" t="inlineStr">
        <is>
          <t>4210201409199</t>
        </is>
      </c>
      <c r="B1898" t="inlineStr">
        <is>
          <t>Oral B Electric Toothbrush Series Io 6 Black Onyx</t>
        </is>
      </c>
      <c r="C1898" t="inlineStr">
        <is>
          <t>Electric Toothbrushes</t>
        </is>
      </c>
      <c r="D1898" t="inlineStr">
        <is>
          <t>Oral-B</t>
        </is>
      </c>
      <c r="E1898" t="n">
        <v>138.45</v>
      </c>
      <c r="F1898" t="n">
        <v>1</v>
      </c>
      <c r="G1898" t="n">
        <v>2</v>
      </c>
      <c r="H1898" s="5">
        <f>HYPERLINK("https://api.qogita.com/variants/link/4210201409199/", "View Product")</f>
        <v/>
      </c>
    </row>
    <row r="1899">
      <c r="A1899" t="inlineStr">
        <is>
          <t>4211125100346</t>
        </is>
      </c>
      <c r="B1899" t="inlineStr">
        <is>
          <t>Beurer La 35 Aroma Diffuser With 3 Years Warranty</t>
        </is>
      </c>
      <c r="C1899" t="inlineStr">
        <is>
          <t>Diffusers</t>
        </is>
      </c>
      <c r="D1899" t="inlineStr">
        <is>
          <t>Beurer</t>
        </is>
      </c>
      <c r="E1899" t="n">
        <v>45.48</v>
      </c>
      <c r="F1899" t="n">
        <v>1</v>
      </c>
      <c r="G1899" t="n">
        <v>2</v>
      </c>
      <c r="H1899" s="5">
        <f>HYPERLINK("https://api.qogita.com/variants/link/4211125100346/", "View Product")</f>
        <v/>
      </c>
    </row>
    <row r="1900">
      <c r="A1900" t="inlineStr">
        <is>
          <t>4211125591199</t>
        </is>
      </c>
      <c r="B1900" t="inlineStr">
        <is>
          <t>Beurer HT 80 Rotating Hot Air Brush</t>
        </is>
      </c>
      <c r="C1900" t="inlineStr">
        <is>
          <t>Hot Air Brushes</t>
        </is>
      </c>
      <c r="D1900" t="inlineStr">
        <is>
          <t>Beurer</t>
        </is>
      </c>
      <c r="E1900" t="n">
        <v>50.6</v>
      </c>
      <c r="F1900" t="n">
        <v>1</v>
      </c>
      <c r="G1900" t="n">
        <v>3</v>
      </c>
      <c r="H1900" s="5">
        <f>HYPERLINK("https://api.qogita.com/variants/link/4211125591199/", "View Product")</f>
        <v/>
      </c>
    </row>
    <row r="1901">
      <c r="A1901" t="inlineStr">
        <is>
          <t>4211125593315</t>
        </is>
      </c>
      <c r="B1901" t="inlineStr">
        <is>
          <t>Beurer HS20 Cordless Rechargeable Hair Straightener with USB Charging Cable 3 Fast-Heating Temperature Settings and Heat-Resistant Cover</t>
        </is>
      </c>
      <c r="C1901" t="inlineStr">
        <is>
          <t>Hair Straighteners</t>
        </is>
      </c>
      <c r="D1901" t="inlineStr">
        <is>
          <t>Beurer</t>
        </is>
      </c>
      <c r="E1901" t="n">
        <v>52.86</v>
      </c>
      <c r="F1901" t="n">
        <v>1</v>
      </c>
      <c r="G1901" t="n">
        <v>2</v>
      </c>
      <c r="H1901" s="5">
        <f>HYPERLINK("https://api.qogita.com/variants/link/4211125593315/", "View Product")</f>
        <v/>
      </c>
    </row>
    <row r="1902">
      <c r="A1902" t="inlineStr">
        <is>
          <t>4250120710778</t>
        </is>
      </c>
      <c r="B1902" t="inlineStr">
        <is>
          <t>Vivian Gray 1077 Wild Flowers Luxury Perfume 10ml</t>
        </is>
      </c>
      <c r="C1902" t="inlineStr">
        <is>
          <t>Eau De Parfum</t>
        </is>
      </c>
      <c r="D1902" t="inlineStr">
        <is>
          <t>Vivian Gray</t>
        </is>
      </c>
      <c r="E1902" t="n">
        <v>3.53</v>
      </c>
      <c r="F1902" t="n">
        <v>1</v>
      </c>
      <c r="G1902" t="n">
        <v>16</v>
      </c>
      <c r="H1902" s="5">
        <f>HYPERLINK("https://api.qogita.com/variants/link/4250120710778/", "View Product")</f>
        <v/>
      </c>
    </row>
    <row r="1903">
      <c r="A1903" t="inlineStr">
        <is>
          <t>4250120713038</t>
        </is>
      </c>
      <c r="B1903" t="inlineStr">
        <is>
          <t>Vivian Gray 1303 Naturals Hand Lotion 30ml Pink</t>
        </is>
      </c>
      <c r="C1903" t="inlineStr">
        <is>
          <t>Body Lotion</t>
        </is>
      </c>
      <c r="D1903" t="inlineStr">
        <is>
          <t>Vivian Gray</t>
        </is>
      </c>
      <c r="E1903" t="n">
        <v>2.76</v>
      </c>
      <c r="F1903" t="n">
        <v>1</v>
      </c>
      <c r="G1903" t="n">
        <v>82</v>
      </c>
      <c r="H1903" s="5">
        <f>HYPERLINK("https://api.qogita.com/variants/link/4250120713038/", "View Product")</f>
        <v/>
      </c>
    </row>
    <row r="1904">
      <c r="A1904" t="inlineStr">
        <is>
          <t>4250120713106</t>
        </is>
      </c>
      <c r="B1904" t="inlineStr">
        <is>
          <t>Vivian Gray 1310 Naturals Green Tea Cream Soap Dispenser 250ml</t>
        </is>
      </c>
      <c r="C1904" t="inlineStr">
        <is>
          <t>Soap</t>
        </is>
      </c>
      <c r="D1904" t="inlineStr">
        <is>
          <t>Vivian Gray</t>
        </is>
      </c>
      <c r="E1904" t="n">
        <v>3.6</v>
      </c>
      <c r="F1904" t="n">
        <v>1</v>
      </c>
      <c r="G1904" t="n">
        <v>10</v>
      </c>
      <c r="H1904" s="5">
        <f>HYPERLINK("https://api.qogita.com/variants/link/4250120713106/", "View Product")</f>
        <v/>
      </c>
    </row>
    <row r="1905">
      <c r="A1905" t="inlineStr">
        <is>
          <t>4250120713113</t>
        </is>
      </c>
      <c r="B1905" t="inlineStr">
        <is>
          <t>Vivian Gray Shower Gel Green Tea 250 Ml</t>
        </is>
      </c>
      <c r="C1905" t="inlineStr">
        <is>
          <t>Shower Gel</t>
        </is>
      </c>
      <c r="D1905" t="inlineStr">
        <is>
          <t>Vivian Gray</t>
        </is>
      </c>
      <c r="E1905" t="n">
        <v>3.39</v>
      </c>
      <c r="F1905" t="n">
        <v>1</v>
      </c>
      <c r="G1905" t="n">
        <v>5</v>
      </c>
      <c r="H1905" s="5">
        <f>HYPERLINK("https://api.qogita.com/variants/link/4250120713113/", "View Product")</f>
        <v/>
      </c>
    </row>
    <row r="1906">
      <c r="A1906" t="inlineStr">
        <is>
          <t>4250120713205</t>
        </is>
      </c>
      <c r="B1906" t="inlineStr">
        <is>
          <t>Vivian Gray 1320 Natural Orange Blossom Cream Soap Dispenser 250ml</t>
        </is>
      </c>
      <c r="C1906" t="inlineStr">
        <is>
          <t>Soap &amp; Lotion Dispensers</t>
        </is>
      </c>
      <c r="D1906" t="inlineStr">
        <is>
          <t>Vivian Gray</t>
        </is>
      </c>
      <c r="E1906" t="n">
        <v>3.61</v>
      </c>
      <c r="F1906" t="n">
        <v>1</v>
      </c>
      <c r="G1906" t="n">
        <v>9</v>
      </c>
      <c r="H1906" s="5">
        <f>HYPERLINK("https://api.qogita.com/variants/link/4250120713205/", "View Product")</f>
        <v/>
      </c>
    </row>
    <row r="1907">
      <c r="A1907" t="inlineStr">
        <is>
          <t>4250120713236</t>
        </is>
      </c>
      <c r="B1907" t="inlineStr">
        <is>
          <t>Vivian Gray 1323 Naturals Hand Lotion Orange 30ml</t>
        </is>
      </c>
      <c r="C1907" t="inlineStr">
        <is>
          <t>Body Lotion</t>
        </is>
      </c>
      <c r="D1907" t="inlineStr">
        <is>
          <t>Vivian Gray</t>
        </is>
      </c>
      <c r="E1907" t="n">
        <v>2.8</v>
      </c>
      <c r="F1907" t="n">
        <v>1</v>
      </c>
      <c r="G1907" t="n">
        <v>23</v>
      </c>
      <c r="H1907" s="5">
        <f>HYPERLINK("https://api.qogita.com/variants/link/4250120713236/", "View Product")</f>
        <v/>
      </c>
    </row>
    <row r="1908">
      <c r="A1908" t="inlineStr">
        <is>
          <t>4250120720210</t>
        </is>
      </c>
      <c r="B1908" t="inlineStr">
        <is>
          <t>Vivian Gray 2021 Aroma Selection Amber &amp; Cedar Shower Gel 500ml</t>
        </is>
      </c>
      <c r="C1908" t="inlineStr">
        <is>
          <t>Shower Gel</t>
        </is>
      </c>
      <c r="D1908" t="inlineStr">
        <is>
          <t>Vivian Gray</t>
        </is>
      </c>
      <c r="E1908" t="n">
        <v>4.78</v>
      </c>
      <c r="F1908" t="n">
        <v>1</v>
      </c>
      <c r="G1908" t="n">
        <v>4</v>
      </c>
      <c r="H1908" s="5">
        <f>HYPERLINK("https://api.qogita.com/variants/link/4250120720210/", "View Product")</f>
        <v/>
      </c>
    </row>
    <row r="1909">
      <c r="A1909" t="inlineStr">
        <is>
          <t>4250120721002</t>
        </is>
      </c>
      <c r="B1909" t="inlineStr">
        <is>
          <t>Vivian Gray Velvet Touch Luxury Cream Soap 400 Ml</t>
        </is>
      </c>
      <c r="C1909" t="inlineStr">
        <is>
          <t>Soap</t>
        </is>
      </c>
      <c r="D1909" t="inlineStr">
        <is>
          <t>Vivian Gray</t>
        </is>
      </c>
      <c r="E1909" t="n">
        <v>4.43</v>
      </c>
      <c r="F1909" t="n">
        <v>1</v>
      </c>
      <c r="G1909" t="n">
        <v>6</v>
      </c>
      <c r="H1909" s="5">
        <f>HYPERLINK("https://api.qogita.com/variants/link/4250120721002/", "View Product")</f>
        <v/>
      </c>
    </row>
    <row r="1910">
      <c r="A1910" t="inlineStr">
        <is>
          <t>4250120721088</t>
        </is>
      </c>
      <c r="B1910" t="inlineStr">
        <is>
          <t>Vivian Gray Velvet Touch Body Care Gift Set</t>
        </is>
      </c>
      <c r="C1910" t="inlineStr">
        <is>
          <t>Body Care Sets</t>
        </is>
      </c>
      <c r="D1910" t="inlineStr">
        <is>
          <t>Vivian Gray</t>
        </is>
      </c>
      <c r="E1910" t="n">
        <v>10.8</v>
      </c>
      <c r="F1910" t="n">
        <v>1</v>
      </c>
      <c r="G1910" t="n">
        <v>5</v>
      </c>
      <c r="H1910" s="5">
        <f>HYPERLINK("https://api.qogita.com/variants/link/4250120721088/", "View Product")</f>
        <v/>
      </c>
    </row>
    <row r="1911">
      <c r="A1911" t="inlineStr">
        <is>
          <t>4250120730882</t>
        </is>
      </c>
      <c r="B1911" t="inlineStr">
        <is>
          <t>Vivian Gray Creamy Liquid Hand Soap Glamor In Black 250 Ml</t>
        </is>
      </c>
      <c r="C1911" t="inlineStr">
        <is>
          <t>Hand Soap</t>
        </is>
      </c>
      <c r="D1911" t="inlineStr">
        <is>
          <t>Vivian Gray</t>
        </is>
      </c>
      <c r="E1911" t="n">
        <v>7.04</v>
      </c>
      <c r="F1911" t="n">
        <v>1</v>
      </c>
      <c r="G1911" t="n">
        <v>10</v>
      </c>
      <c r="H1911" s="5">
        <f>HYPERLINK("https://api.qogita.com/variants/link/4250120730882/", "View Product")</f>
        <v/>
      </c>
    </row>
    <row r="1912">
      <c r="A1912" t="inlineStr">
        <is>
          <t>4250120735122</t>
        </is>
      </c>
      <c r="B1912" t="inlineStr">
        <is>
          <t>Vivian Gray 3512 Gemstone Jasmine &amp; Patchouli Shower Gel 300ml Blue</t>
        </is>
      </c>
      <c r="C1912" t="inlineStr">
        <is>
          <t>Shower Gel</t>
        </is>
      </c>
      <c r="D1912" t="inlineStr">
        <is>
          <t>Vivian Gray</t>
        </is>
      </c>
      <c r="E1912" t="n">
        <v>4.57</v>
      </c>
      <c r="F1912" t="n">
        <v>1</v>
      </c>
      <c r="G1912" t="n">
        <v>5</v>
      </c>
      <c r="H1912" s="5">
        <f>HYPERLINK("https://api.qogita.com/variants/link/4250120735122/", "View Product")</f>
        <v/>
      </c>
    </row>
    <row r="1913">
      <c r="A1913" t="inlineStr">
        <is>
          <t>4250120735382</t>
        </is>
      </c>
      <c r="B1913" t="inlineStr">
        <is>
          <t>Vivian Gray Gemstone White Musc &amp; Ananas Gift Set - Hand Care</t>
        </is>
      </c>
      <c r="C1913" t="inlineStr">
        <is>
          <t>Hand Care Sets</t>
        </is>
      </c>
      <c r="D1913" t="inlineStr">
        <is>
          <t>Vivian Gray</t>
        </is>
      </c>
      <c r="E1913" t="n">
        <v>7.95</v>
      </c>
      <c r="F1913" t="n">
        <v>1</v>
      </c>
      <c r="G1913" t="n">
        <v>32</v>
      </c>
      <c r="H1913" s="5">
        <f>HYPERLINK("https://api.qogita.com/variants/link/4250120735382/", "View Product")</f>
        <v/>
      </c>
    </row>
    <row r="1914">
      <c r="A1914" t="inlineStr">
        <is>
          <t>4250120735405</t>
        </is>
      </c>
      <c r="B1914" t="inlineStr">
        <is>
          <t>Vivian Gray Gemstone Bergamot &amp; Lemongrass Cream Soap - 300 ml</t>
        </is>
      </c>
      <c r="C1914" t="inlineStr">
        <is>
          <t>Soap</t>
        </is>
      </c>
      <c r="D1914" t="inlineStr">
        <is>
          <t>Vivian Gray</t>
        </is>
      </c>
      <c r="E1914" t="n">
        <v>6.02</v>
      </c>
      <c r="F1914" t="n">
        <v>1</v>
      </c>
      <c r="G1914" t="n">
        <v>11</v>
      </c>
      <c r="H1914" s="5">
        <f>HYPERLINK("https://api.qogita.com/variants/link/4250120735405/", "View Product")</f>
        <v/>
      </c>
    </row>
    <row r="1915">
      <c r="A1915" t="inlineStr">
        <is>
          <t>4250120780207</t>
        </is>
      </c>
      <c r="B1915" t="inlineStr">
        <is>
          <t>VIVANEL 8020 Vanilla &amp; Patchouli Eau de Toilette 100ml</t>
        </is>
      </c>
      <c r="C1915" t="inlineStr">
        <is>
          <t>Eau De Toilette</t>
        </is>
      </c>
      <c r="D1915" t="inlineStr">
        <is>
          <t>Vivenel</t>
        </is>
      </c>
      <c r="E1915" t="n">
        <v>10.8</v>
      </c>
      <c r="F1915" t="n">
        <v>1</v>
      </c>
      <c r="G1915" t="n">
        <v>5</v>
      </c>
      <c r="H1915" s="5">
        <f>HYPERLINK("https://api.qogita.com/variants/link/4250120780207/", "View Product")</f>
        <v/>
      </c>
    </row>
    <row r="1916">
      <c r="A1916" t="inlineStr">
        <is>
          <t>4250120780634</t>
        </is>
      </c>
      <c r="B1916" t="inlineStr">
        <is>
          <t>Vivanel 8063 Soap Dispenser With Neroli &amp; Ginger Cream Soap, Black/Gold 350</t>
        </is>
      </c>
      <c r="C1916" t="inlineStr">
        <is>
          <t>Soap &amp; Lotion Dispensers</t>
        </is>
      </c>
      <c r="D1916" t="inlineStr">
        <is>
          <t>Vivenel</t>
        </is>
      </c>
      <c r="E1916" t="n">
        <v>4.83</v>
      </c>
      <c r="F1916" t="n">
        <v>1</v>
      </c>
      <c r="G1916" t="n">
        <v>7</v>
      </c>
      <c r="H1916" s="5">
        <f>HYPERLINK("https://api.qogita.com/variants/link/4250120780634/", "View Product")</f>
        <v/>
      </c>
    </row>
    <row r="1917">
      <c r="A1917" t="inlineStr">
        <is>
          <t>4250120790015</t>
        </is>
      </c>
      <c r="B1917" t="inlineStr">
        <is>
          <t>Vivian Gray True Nature Citrus &amp; Bergamot Cream Soap - 300 ml</t>
        </is>
      </c>
      <c r="C1917" t="inlineStr">
        <is>
          <t>Soap</t>
        </is>
      </c>
      <c r="D1917" t="inlineStr">
        <is>
          <t>Vivian Gray</t>
        </is>
      </c>
      <c r="E1917" t="n">
        <v>5.67</v>
      </c>
      <c r="F1917" t="n">
        <v>1</v>
      </c>
      <c r="G1917" t="n">
        <v>9</v>
      </c>
      <c r="H1917" s="5">
        <f>HYPERLINK("https://api.qogita.com/variants/link/4250120790015/", "View Product")</f>
        <v/>
      </c>
    </row>
    <row r="1918">
      <c r="A1918" t="inlineStr">
        <is>
          <t>4250120790121</t>
        </is>
      </c>
      <c r="B1918" t="inlineStr">
        <is>
          <t>Vivian Gray True Nature Ylang &amp; Orange Refreshing Shower Gel - 300 ml</t>
        </is>
      </c>
      <c r="C1918" t="inlineStr">
        <is>
          <t>Shower Gel</t>
        </is>
      </c>
      <c r="D1918" t="inlineStr">
        <is>
          <t>Vivian Gray</t>
        </is>
      </c>
      <c r="E1918" t="n">
        <v>5.67</v>
      </c>
      <c r="F1918" t="n">
        <v>1</v>
      </c>
      <c r="G1918" t="n">
        <v>5</v>
      </c>
      <c r="H1918" s="5">
        <f>HYPERLINK("https://api.qogita.com/variants/link/4250120790121/", "View Product")</f>
        <v/>
      </c>
    </row>
    <row r="1919">
      <c r="A1919" t="inlineStr">
        <is>
          <t>4250120790312</t>
        </is>
      </c>
      <c r="B1919" t="inlineStr">
        <is>
          <t>Vivian Gray Cedar &amp; Patchouli Nourishing Cream Soap - 300 ml</t>
        </is>
      </c>
      <c r="C1919" t="inlineStr">
        <is>
          <t>Soap</t>
        </is>
      </c>
      <c r="D1919" t="inlineStr">
        <is>
          <t>Vivian Gray</t>
        </is>
      </c>
      <c r="E1919" t="n">
        <v>5.67</v>
      </c>
      <c r="F1919" t="n">
        <v>1</v>
      </c>
      <c r="G1919" t="n">
        <v>7</v>
      </c>
      <c r="H1919" s="5">
        <f>HYPERLINK("https://api.qogita.com/variants/link/4250120790312/", "View Product")</f>
        <v/>
      </c>
    </row>
    <row r="1920">
      <c r="A1920" t="inlineStr">
        <is>
          <t>4250120790329</t>
        </is>
      </c>
      <c r="B1920" t="inlineStr">
        <is>
          <t>Vivian Gray Cedar &amp; Patchouli Refreshing Shower Gel - 300 ml</t>
        </is>
      </c>
      <c r="C1920" t="inlineStr">
        <is>
          <t>Shower Gel</t>
        </is>
      </c>
      <c r="D1920" t="inlineStr">
        <is>
          <t>Vivian Gray</t>
        </is>
      </c>
      <c r="E1920" t="n">
        <v>5.67</v>
      </c>
      <c r="F1920" t="n">
        <v>1</v>
      </c>
      <c r="G1920" t="n">
        <v>9</v>
      </c>
      <c r="H1920" s="5">
        <f>HYPERLINK("https://api.qogita.com/variants/link/4250120790329/", "View Product")</f>
        <v/>
      </c>
    </row>
    <row r="1921">
      <c r="A1921" t="inlineStr">
        <is>
          <t>4250947598283</t>
        </is>
      </c>
      <c r="B1921" t="inlineStr">
        <is>
          <t>Catrice Hd Liquid Coverage Foundation 010 Light Beige 30ml</t>
        </is>
      </c>
      <c r="C1921" t="inlineStr">
        <is>
          <t>Foundation</t>
        </is>
      </c>
      <c r="D1921" t="inlineStr">
        <is>
          <t>Catrice</t>
        </is>
      </c>
      <c r="E1921" t="n">
        <v>7.57</v>
      </c>
      <c r="F1921" t="n">
        <v>1</v>
      </c>
      <c r="G1921" t="n">
        <v>2</v>
      </c>
      <c r="H1921" s="5">
        <f>HYPERLINK("https://api.qogita.com/variants/link/4250947598283/", "View Product")</f>
        <v/>
      </c>
    </row>
    <row r="1922">
      <c r="A1922" t="inlineStr">
        <is>
          <t>4260180213027</t>
        </is>
      </c>
      <c r="B1922" t="inlineStr">
        <is>
          <t>M2 Beaute Ultra Pure Oil-Free Makeup Remover 150ml</t>
        </is>
      </c>
      <c r="C1922" t="inlineStr">
        <is>
          <t>Makeup Remover</t>
        </is>
      </c>
      <c r="D1922" t="inlineStr">
        <is>
          <t>M2 Beauté</t>
        </is>
      </c>
      <c r="E1922" t="n">
        <v>15.63</v>
      </c>
      <c r="F1922" t="n">
        <v>1</v>
      </c>
      <c r="G1922" t="n">
        <v>3</v>
      </c>
      <c r="H1922" s="5">
        <f>HYPERLINK("https://api.qogita.com/variants/link/4260180213027/", "View Product")</f>
        <v/>
      </c>
    </row>
    <row r="1923">
      <c r="A1923" t="inlineStr">
        <is>
          <t>4260285396908</t>
        </is>
      </c>
      <c r="B1923" t="inlineStr">
        <is>
          <t>Foamie Travel Buddy Ecological Travel Packaging For Solid Shampoo And Conditioner</t>
        </is>
      </c>
      <c r="C1923" t="inlineStr">
        <is>
          <t>Hair Care Sets</t>
        </is>
      </c>
      <c r="D1923" t="inlineStr">
        <is>
          <t>Foamie</t>
        </is>
      </c>
      <c r="E1923" t="n">
        <v>5.31</v>
      </c>
      <c r="F1923" t="n">
        <v>1</v>
      </c>
      <c r="G1923" t="n">
        <v>7</v>
      </c>
      <c r="H1923" s="5">
        <f>HYPERLINK("https://api.qogita.com/variants/link/4260285396908/", "View Product")</f>
        <v/>
      </c>
    </row>
    <row r="1924">
      <c r="A1924" t="inlineStr">
        <is>
          <t>4260393770126</t>
        </is>
      </c>
      <c r="B1924" t="inlineStr">
        <is>
          <t>MAGICSTRIPES Lifting Collagen Mask V Line Mask Double Chin Reducer Slimming Facial Mask 1 Mask</t>
        </is>
      </c>
      <c r="C1924" t="inlineStr">
        <is>
          <t>Sheet Mask</t>
        </is>
      </c>
      <c r="D1924" t="inlineStr">
        <is>
          <t>Magicstripes</t>
        </is>
      </c>
      <c r="E1924" t="n">
        <v>8.67</v>
      </c>
      <c r="F1924" t="n">
        <v>1</v>
      </c>
      <c r="G1924" t="n">
        <v>5</v>
      </c>
      <c r="H1924" s="5">
        <f>HYPERLINK("https://api.qogita.com/variants/link/4260393770126/", "View Product")</f>
        <v/>
      </c>
    </row>
    <row r="1925">
      <c r="A1925" t="inlineStr">
        <is>
          <t>4260521262905</t>
        </is>
      </c>
      <c r="B1925" t="inlineStr">
        <is>
          <t>Dr. Barbara Sturm Clarifying Mask kit</t>
        </is>
      </c>
      <c r="C1925" t="inlineStr">
        <is>
          <t>Purifying Mask</t>
        </is>
      </c>
      <c r="D1925" t="inlineStr">
        <is>
          <t>Dr. Barbara Sturm</t>
        </is>
      </c>
      <c r="E1925" t="n">
        <v>111.31</v>
      </c>
      <c r="F1925" t="n">
        <v>1</v>
      </c>
      <c r="G1925" t="n">
        <v>2</v>
      </c>
      <c r="H1925" s="5">
        <f>HYPERLINK("https://api.qogita.com/variants/link/4260521262905/", "View Product")</f>
        <v/>
      </c>
    </row>
    <row r="1926">
      <c r="A1926" t="inlineStr">
        <is>
          <t>4260588890431</t>
        </is>
      </c>
      <c r="B1926" t="inlineStr">
        <is>
          <t>Tolure Cosmetics Lipscrub Mango Sugar Lip Scrub 15 G</t>
        </is>
      </c>
      <c r="C1926" t="inlineStr">
        <is>
          <t>Lip Scrub</t>
        </is>
      </c>
      <c r="D1926" t="inlineStr">
        <is>
          <t>Toluére Cosmetics</t>
        </is>
      </c>
      <c r="E1926" t="n">
        <v>16.04</v>
      </c>
      <c r="F1926" t="n">
        <v>1</v>
      </c>
      <c r="G1926" t="n">
        <v>3</v>
      </c>
      <c r="H1926" s="5">
        <f>HYPERLINK("https://api.qogita.com/variants/link/4260588890431/", "View Product")</f>
        <v/>
      </c>
    </row>
    <row r="1927">
      <c r="A1927" t="inlineStr">
        <is>
          <t>4260588891346</t>
        </is>
      </c>
      <c r="B1927" t="inlineStr">
        <is>
          <t>Tolure Cosmetics Lipboost Plumped-Up Effect Lip Gloss</t>
        </is>
      </c>
      <c r="C1927" t="inlineStr">
        <is>
          <t>Lip Gloss</t>
        </is>
      </c>
      <c r="D1927" t="inlineStr">
        <is>
          <t>Toluére Cosmetics</t>
        </is>
      </c>
      <c r="E1927" t="n">
        <v>19.36</v>
      </c>
      <c r="F1927" t="n">
        <v>1</v>
      </c>
      <c r="G1927" t="n">
        <v>4</v>
      </c>
      <c r="H1927" s="5">
        <f>HYPERLINK("https://api.qogita.com/variants/link/4260588891346/", "View Product")</f>
        <v/>
      </c>
    </row>
    <row r="1928">
      <c r="A1928" t="inlineStr">
        <is>
          <t>4744183010277</t>
        </is>
      </c>
      <c r="B1928" t="inlineStr">
        <is>
          <t>Siberica Professional Oblepikha Scalp Scrub For All Hair Types - 200ml</t>
        </is>
      </c>
      <c r="C1928" t="inlineStr">
        <is>
          <t>Scalp Care</t>
        </is>
      </c>
      <c r="D1928" t="inlineStr">
        <is>
          <t>Siberica</t>
        </is>
      </c>
      <c r="E1928" t="n">
        <v>7.28</v>
      </c>
      <c r="F1928" t="n">
        <v>1</v>
      </c>
      <c r="G1928" t="n">
        <v>11</v>
      </c>
      <c r="H1928" s="5">
        <f>HYPERLINK("https://api.qogita.com/variants/link/4744183010277/", "View Product")</f>
        <v/>
      </c>
    </row>
    <row r="1929">
      <c r="A1929" t="inlineStr">
        <is>
          <t>4744183010369</t>
        </is>
      </c>
      <c r="B1929" t="inlineStr">
        <is>
          <t>Natura Siberica Royal Caviar Collagen Wrinkle Filler 50ml</t>
        </is>
      </c>
      <c r="C1929" t="inlineStr">
        <is>
          <t>Anti-Aging Facial Care</t>
        </is>
      </c>
      <c r="D1929" t="inlineStr">
        <is>
          <t>Natura Siberica</t>
        </is>
      </c>
      <c r="E1929" t="n">
        <v>21.29</v>
      </c>
      <c r="F1929" t="n">
        <v>1</v>
      </c>
      <c r="G1929" t="n">
        <v>8</v>
      </c>
      <c r="H1929" s="5">
        <f>HYPERLINK("https://api.qogita.com/variants/link/4744183010369/", "View Product")</f>
        <v/>
      </c>
    </row>
    <row r="1930">
      <c r="A1930" t="inlineStr">
        <is>
          <t>4744183010383</t>
        </is>
      </c>
      <c r="B1930" t="inlineStr">
        <is>
          <t>Royal Caviar Revitalizing Face Serum 30ml</t>
        </is>
      </c>
      <c r="C1930" t="inlineStr">
        <is>
          <t>Anti-Aging Serum</t>
        </is>
      </c>
      <c r="D1930" t="inlineStr">
        <is>
          <t>Royal Caviar</t>
        </is>
      </c>
      <c r="E1930" t="n">
        <v>19.65</v>
      </c>
      <c r="F1930" t="n">
        <v>1</v>
      </c>
      <c r="G1930" t="n">
        <v>5</v>
      </c>
      <c r="H1930" s="5">
        <f>HYPERLINK("https://api.qogita.com/variants/link/4744183010383/", "View Product")</f>
        <v/>
      </c>
    </row>
    <row r="1931">
      <c r="A1931" t="inlineStr">
        <is>
          <t>4744183012943</t>
        </is>
      </c>
      <c r="B1931" t="inlineStr">
        <is>
          <t>Siberica Professional Men Anti-Dandruff Shampoo - 250ml</t>
        </is>
      </c>
      <c r="C1931" t="inlineStr">
        <is>
          <t>Shampoo</t>
        </is>
      </c>
      <c r="D1931" t="inlineStr">
        <is>
          <t>Siberica</t>
        </is>
      </c>
      <c r="E1931" t="n">
        <v>6.5</v>
      </c>
      <c r="F1931" t="n">
        <v>1</v>
      </c>
      <c r="G1931" t="n">
        <v>13</v>
      </c>
      <c r="H1931" s="5">
        <f>HYPERLINK("https://api.qogita.com/variants/link/4744183012943/", "View Product")</f>
        <v/>
      </c>
    </row>
    <row r="1932">
      <c r="A1932" t="inlineStr">
        <is>
          <t>4770001003206</t>
        </is>
      </c>
      <c r="B1932" t="inlineStr">
        <is>
          <t>Ecodenta Omyadent Sensitive Whitening Toothpaste Whitening Paste For Sensitive Teeth And Gums</t>
        </is>
      </c>
      <c r="C1932" t="inlineStr">
        <is>
          <t>Toothpaste</t>
        </is>
      </c>
      <c r="D1932" t="inlineStr">
        <is>
          <t>Ecodenta</t>
        </is>
      </c>
      <c r="E1932" t="n">
        <v>3.44</v>
      </c>
      <c r="F1932" t="n">
        <v>1</v>
      </c>
      <c r="G1932" t="n">
        <v>216</v>
      </c>
      <c r="H1932" s="5">
        <f>HYPERLINK("https://api.qogita.com/variants/link/4770001003206/", "View Product")</f>
        <v/>
      </c>
    </row>
    <row r="1933">
      <c r="A1933" t="inlineStr">
        <is>
          <t>4770001334591</t>
        </is>
      </c>
      <c r="B1933" t="inlineStr">
        <is>
          <t>Ecodenta Kids Toothpaste Wild Strawberry Flavored Children's Toothpaste 75ml</t>
        </is>
      </c>
      <c r="C1933" t="inlineStr">
        <is>
          <t>Dental Care For Children</t>
        </is>
      </c>
      <c r="D1933" t="inlineStr">
        <is>
          <t>Ecodenta</t>
        </is>
      </c>
      <c r="E1933" t="n">
        <v>2.82</v>
      </c>
      <c r="F1933" t="n">
        <v>1</v>
      </c>
      <c r="G1933" t="n">
        <v>162</v>
      </c>
      <c r="H1933" s="5">
        <f>HYPERLINK("https://api.qogita.com/variants/link/4770001334591/", "View Product")</f>
        <v/>
      </c>
    </row>
    <row r="1934">
      <c r="A1934" t="inlineStr">
        <is>
          <t>4820121590404</t>
        </is>
      </c>
      <c r="B1934" t="inlineStr">
        <is>
          <t>Staleks Professional Ingrown Nail Nippers Expert 61 16 Mm</t>
        </is>
      </c>
      <c r="C1934" t="inlineStr">
        <is>
          <t>Nail Clippers &amp; Tools</t>
        </is>
      </c>
      <c r="D1934" t="inlineStr">
        <is>
          <t>Staleks</t>
        </is>
      </c>
      <c r="E1934" t="n">
        <v>27.86</v>
      </c>
      <c r="F1934" t="n">
        <v>1</v>
      </c>
      <c r="G1934" t="n">
        <v>10</v>
      </c>
      <c r="H1934" s="5">
        <f>HYPERLINK("https://api.qogita.com/variants/link/4820121590404/", "View Product")</f>
        <v/>
      </c>
    </row>
    <row r="1935">
      <c r="A1935" t="inlineStr">
        <is>
          <t>4820121590596</t>
        </is>
      </c>
      <c r="B1935" t="inlineStr">
        <is>
          <t>Staleks Expert 20 Type 1 Beauty Care Doubleended Tool</t>
        </is>
      </c>
      <c r="C1935" t="inlineStr">
        <is>
          <t>Tweezers</t>
        </is>
      </c>
      <c r="D1935" t="inlineStr">
        <is>
          <t>Staleks</t>
        </is>
      </c>
      <c r="E1935" t="n">
        <v>10.8</v>
      </c>
      <c r="F1935" t="n">
        <v>1</v>
      </c>
      <c r="G1935" t="n">
        <v>14</v>
      </c>
      <c r="H1935" s="5">
        <f>HYPERLINK("https://api.qogita.com/variants/link/4820121590596/", "View Product")</f>
        <v/>
      </c>
    </row>
    <row r="1936">
      <c r="A1936" t="inlineStr">
        <is>
          <t>4820121590992</t>
        </is>
      </c>
      <c r="B1936" t="inlineStr">
        <is>
          <t>Staleks Professional Cuticle Nippers Smart 50 7 Mm</t>
        </is>
      </c>
      <c r="C1936" t="inlineStr">
        <is>
          <t>Nail Clippers &amp; Tools</t>
        </is>
      </c>
      <c r="D1936" t="inlineStr">
        <is>
          <t>Staleks</t>
        </is>
      </c>
      <c r="E1936" t="n">
        <v>17.35</v>
      </c>
      <c r="F1936" t="n">
        <v>1</v>
      </c>
      <c r="G1936" t="n">
        <v>8</v>
      </c>
      <c r="H1936" s="5">
        <f>HYPERLINK("https://api.qogita.com/variants/link/4820121590992/", "View Product")</f>
        <v/>
      </c>
    </row>
    <row r="1937">
      <c r="A1937" t="inlineStr">
        <is>
          <t>4820121592590</t>
        </is>
      </c>
      <c r="B1937" t="inlineStr">
        <is>
          <t>Staleks Expert 20 Type 4 Narrow Beveled Tip Eyebrow Tweezers</t>
        </is>
      </c>
      <c r="C1937" t="inlineStr">
        <is>
          <t>Other</t>
        </is>
      </c>
      <c r="D1937" t="inlineStr">
        <is>
          <t>Staleks</t>
        </is>
      </c>
      <c r="E1937" t="n">
        <v>7.57</v>
      </c>
      <c r="F1937" t="n">
        <v>1</v>
      </c>
      <c r="G1937" t="n">
        <v>3</v>
      </c>
      <c r="H1937" s="5">
        <f>HYPERLINK("https://api.qogita.com/variants/link/4820121592590/", "View Product")</f>
        <v/>
      </c>
    </row>
    <row r="1938">
      <c r="A1938" t="inlineStr">
        <is>
          <t>4820121595966</t>
        </is>
      </c>
      <c r="B1938" t="inlineStr">
        <is>
          <t>Staleks Pro Smart 80 Full Jaw 7mm Professional Level Cuticle Nippers</t>
        </is>
      </c>
      <c r="C1938" t="inlineStr">
        <is>
          <t>Nail Clippers &amp; Tools</t>
        </is>
      </c>
      <c r="D1938" t="inlineStr">
        <is>
          <t>Staleks Pro</t>
        </is>
      </c>
      <c r="E1938" t="n">
        <v>17.35</v>
      </c>
      <c r="F1938" t="n">
        <v>1</v>
      </c>
      <c r="G1938" t="n">
        <v>3</v>
      </c>
      <c r="H1938" s="5">
        <f>HYPERLINK("https://api.qogita.com/variants/link/4820121595966/", "View Product")</f>
        <v/>
      </c>
    </row>
    <row r="1939">
      <c r="A1939" t="inlineStr">
        <is>
          <t>4820121596000</t>
        </is>
      </c>
      <c r="B1939" t="inlineStr">
        <is>
          <t>Staleks Pro Professional Cuticle Nippers Smart 80 Half Jaw 5mm Blade</t>
        </is>
      </c>
      <c r="C1939" t="inlineStr">
        <is>
          <t>Nail Clippers &amp; Tools</t>
        </is>
      </c>
      <c r="D1939" t="inlineStr">
        <is>
          <t>Staleks Pro</t>
        </is>
      </c>
      <c r="E1939" t="n">
        <v>17.35</v>
      </c>
      <c r="F1939" t="n">
        <v>1</v>
      </c>
      <c r="G1939" t="n">
        <v>3</v>
      </c>
      <c r="H1939" s="5">
        <f>HYPERLINK("https://api.qogita.com/variants/link/4820121596000/", "View Product")</f>
        <v/>
      </c>
    </row>
    <row r="1940">
      <c r="A1940" t="inlineStr">
        <is>
          <t>4820121599407</t>
        </is>
      </c>
      <c r="B1940" t="inlineStr">
        <is>
          <t>Staleks Pro Professional Expert Cuticle Nippers 9mm</t>
        </is>
      </c>
      <c r="C1940" t="inlineStr">
        <is>
          <t>Nail Clippers &amp; Tools</t>
        </is>
      </c>
      <c r="D1940" t="inlineStr">
        <is>
          <t>Staleks Pro</t>
        </is>
      </c>
      <c r="E1940" t="n">
        <v>25.87</v>
      </c>
      <c r="F1940" t="n">
        <v>1</v>
      </c>
      <c r="G1940" t="n">
        <v>3</v>
      </c>
      <c r="H1940" s="5">
        <f>HYPERLINK("https://api.qogita.com/variants/link/4820121599407/", "View Product")</f>
        <v/>
      </c>
    </row>
    <row r="1941">
      <c r="A1941" t="inlineStr">
        <is>
          <t>4820121599483</t>
        </is>
      </c>
      <c r="B1941" t="inlineStr">
        <is>
          <t>Staleks Pododisc Expert L Pedicure Disc</t>
        </is>
      </c>
      <c r="C1941" t="inlineStr">
        <is>
          <t>Nail Clippers &amp; Tools</t>
        </is>
      </c>
      <c r="D1941" t="inlineStr">
        <is>
          <t>Staleks</t>
        </is>
      </c>
      <c r="E1941" t="n">
        <v>13.1</v>
      </c>
      <c r="F1941" t="n">
        <v>1</v>
      </c>
      <c r="G1941" t="n">
        <v>25</v>
      </c>
      <c r="H1941" s="5">
        <f>HYPERLINK("https://api.qogita.com/variants/link/4820121599483/", "View Product")</f>
        <v/>
      </c>
    </row>
    <row r="1942">
      <c r="A1942" t="inlineStr">
        <is>
          <t>4820121599490</t>
        </is>
      </c>
      <c r="B1942" t="inlineStr">
        <is>
          <t>Staleks Pododisc Expert M Pedicure Disc</t>
        </is>
      </c>
      <c r="C1942" t="inlineStr">
        <is>
          <t>Nail Clippers &amp; Tools</t>
        </is>
      </c>
      <c r="D1942" t="inlineStr">
        <is>
          <t>Staleks</t>
        </is>
      </c>
      <c r="E1942" t="n">
        <v>11.32</v>
      </c>
      <c r="F1942" t="n">
        <v>1</v>
      </c>
      <c r="G1942" t="n">
        <v>12</v>
      </c>
      <c r="H1942" s="5">
        <f>HYPERLINK("https://api.qogita.com/variants/link/4820121599490/", "View Product")</f>
        <v/>
      </c>
    </row>
    <row r="1943">
      <c r="A1943" t="inlineStr">
        <is>
          <t>4820121599827</t>
        </is>
      </c>
      <c r="B1943" t="inlineStr">
        <is>
          <t>Staleks Pododisc Expert L Elongate Pedicure Disc Professional Elongated Pedicure Disc</t>
        </is>
      </c>
      <c r="C1943" t="inlineStr">
        <is>
          <t>Callus Remover</t>
        </is>
      </c>
      <c r="D1943" t="inlineStr">
        <is>
          <t>Staleks</t>
        </is>
      </c>
      <c r="E1943" t="n">
        <v>13.1</v>
      </c>
      <c r="F1943" t="n">
        <v>1</v>
      </c>
      <c r="G1943" t="n">
        <v>8</v>
      </c>
      <c r="H1943" s="5">
        <f>HYPERLINK("https://api.qogita.com/variants/link/4820121599827/", "View Product")</f>
        <v/>
      </c>
    </row>
    <row r="1944">
      <c r="A1944" t="inlineStr">
        <is>
          <t>4820241060122</t>
        </is>
      </c>
      <c r="B1944" t="inlineStr">
        <is>
          <t>Staleks Smart 51 Type 2 Manicure Pusher Essential Tool For Nail Care</t>
        </is>
      </c>
      <c r="C1944" t="inlineStr">
        <is>
          <t>Nail Clippers &amp; Tools</t>
        </is>
      </c>
      <c r="D1944" t="inlineStr">
        <is>
          <t>Staleks</t>
        </is>
      </c>
      <c r="E1944" t="n">
        <v>5.51</v>
      </c>
      <c r="F1944" t="n">
        <v>1</v>
      </c>
      <c r="G1944" t="n">
        <v>11</v>
      </c>
      <c r="H1944" s="5">
        <f>HYPERLINK("https://api.qogita.com/variants/link/4820241060122/", "View Product")</f>
        <v/>
      </c>
    </row>
    <row r="1945">
      <c r="A1945" t="inlineStr">
        <is>
          <t>4820241061136</t>
        </is>
      </c>
      <c r="B1945" t="inlineStr">
        <is>
          <t>Staleks Disposable Wooden Nail File Base For Am Expert 20 50 Pieces</t>
        </is>
      </c>
      <c r="C1945" t="inlineStr">
        <is>
          <t>Nail Clippers &amp; Tools</t>
        </is>
      </c>
      <c r="D1945" t="inlineStr">
        <is>
          <t>Staleks</t>
        </is>
      </c>
      <c r="E1945" t="n">
        <v>4.45</v>
      </c>
      <c r="F1945" t="n">
        <v>1</v>
      </c>
      <c r="G1945" t="n">
        <v>2</v>
      </c>
      <c r="H1945" s="5">
        <f>HYPERLINK("https://api.qogita.com/variants/link/4820241061136/", "View Product")</f>
        <v/>
      </c>
    </row>
    <row r="1946">
      <c r="A1946" t="inlineStr">
        <is>
          <t>4820241062898</t>
        </is>
      </c>
      <c r="B1946" t="inlineStr">
        <is>
          <t>Staleks Expert 20s Straight Metal Nail File Base Metal Handle For Disposable Nail Files</t>
        </is>
      </c>
      <c r="C1946" t="inlineStr">
        <is>
          <t>Nail Clippers &amp; Tools</t>
        </is>
      </c>
      <c r="D1946" t="inlineStr">
        <is>
          <t>Staleks</t>
        </is>
      </c>
      <c r="E1946" t="n">
        <v>4.92</v>
      </c>
      <c r="F1946" t="n">
        <v>1</v>
      </c>
      <c r="G1946" t="n">
        <v>3</v>
      </c>
      <c r="H1946" s="5">
        <f>HYPERLINK("https://api.qogita.com/variants/link/4820241062898/", "View Product")</f>
        <v/>
      </c>
    </row>
    <row r="1947">
      <c r="A1947" t="inlineStr">
        <is>
          <t>4820241063260</t>
        </is>
      </c>
      <c r="B1947" t="inlineStr">
        <is>
          <t>Staleks Professional Cuticle Nippers Exclusive 20 8 Mm Magnolia</t>
        </is>
      </c>
      <c r="C1947" t="inlineStr">
        <is>
          <t>Nail Clippers &amp; Tools</t>
        </is>
      </c>
      <c r="D1947" t="inlineStr">
        <is>
          <t>Staleks</t>
        </is>
      </c>
      <c r="E1947" t="n">
        <v>42.6</v>
      </c>
      <c r="F1947" t="n">
        <v>1</v>
      </c>
      <c r="G1947" t="n">
        <v>4</v>
      </c>
      <c r="H1947" s="5">
        <f>HYPERLINK("https://api.qogita.com/variants/link/4820241063260/", "View Product")</f>
        <v/>
      </c>
    </row>
    <row r="1948">
      <c r="A1948" t="inlineStr">
        <is>
          <t>4820241063376</t>
        </is>
      </c>
      <c r="B1948" t="inlineStr">
        <is>
          <t>STALEKS PRO EXCLUSIVE Professional Cuticle Scissors Magnolia Pattern</t>
        </is>
      </c>
      <c r="C1948" t="inlineStr">
        <is>
          <t>Nail Clippers &amp; Tools</t>
        </is>
      </c>
      <c r="D1948" t="inlineStr">
        <is>
          <t>Staleks Pro</t>
        </is>
      </c>
      <c r="E1948" t="n">
        <v>27.53</v>
      </c>
      <c r="F1948" t="n">
        <v>1</v>
      </c>
      <c r="G1948" t="n">
        <v>2</v>
      </c>
      <c r="H1948" s="5">
        <f>HYPERLINK("https://api.qogita.com/variants/link/4820241063376/", "View Product")</f>
        <v/>
      </c>
    </row>
    <row r="1949">
      <c r="A1949" t="inlineStr">
        <is>
          <t>4820241063543</t>
        </is>
      </c>
      <c r="B1949" t="inlineStr">
        <is>
          <t>Staleks Pro M Disposable Filessponges For Pedicure Disc 25 Pcs</t>
        </is>
      </c>
      <c r="C1949" t="inlineStr">
        <is>
          <t>Foot Care Sets</t>
        </is>
      </c>
      <c r="D1949" t="inlineStr">
        <is>
          <t>Staleks</t>
        </is>
      </c>
      <c r="E1949" t="n">
        <v>4.12</v>
      </c>
      <c r="F1949" t="n">
        <v>1</v>
      </c>
      <c r="G1949" t="n">
        <v>9</v>
      </c>
      <c r="H1949" s="5">
        <f>HYPERLINK("https://api.qogita.com/variants/link/4820241063543/", "View Product")</f>
        <v/>
      </c>
    </row>
    <row r="1950">
      <c r="A1950" t="inlineStr">
        <is>
          <t>4820241064212</t>
        </is>
      </c>
      <c r="B1950" t="inlineStr">
        <is>
          <t>Staleks Cuticle Scissors With A Curved Tip Smart 41 Type 3 Professional Cuticle Scissors With Hook</t>
        </is>
      </c>
      <c r="C1950" t="inlineStr">
        <is>
          <t>Nail Clippers &amp; Tools</t>
        </is>
      </c>
      <c r="D1950" t="inlineStr">
        <is>
          <t>Staleks</t>
        </is>
      </c>
      <c r="E1950" t="n">
        <v>14.06</v>
      </c>
      <c r="F1950" t="n">
        <v>1</v>
      </c>
      <c r="G1950" t="n">
        <v>14</v>
      </c>
      <c r="H1950" s="5">
        <f>HYPERLINK("https://api.qogita.com/variants/link/4820241064212/", "View Product")</f>
        <v/>
      </c>
    </row>
    <row r="1951">
      <c r="A1951" t="inlineStr">
        <is>
          <t>4820241065448</t>
        </is>
      </c>
      <c r="B1951" t="inlineStr">
        <is>
          <t>Staleks Replacement Sanding Paper Expert 40 Grit 100 White Disposable Files For Crescent Nail File - 30 Pieces</t>
        </is>
      </c>
      <c r="C1951" t="inlineStr">
        <is>
          <t>Nail Clippers &amp; Tools</t>
        </is>
      </c>
      <c r="D1951" t="inlineStr">
        <is>
          <t>Staleks</t>
        </is>
      </c>
      <c r="E1951" t="n">
        <v>6.65</v>
      </c>
      <c r="F1951" t="n">
        <v>1</v>
      </c>
      <c r="G1951" t="n">
        <v>5</v>
      </c>
      <c r="H1951" s="5">
        <f>HYPERLINK("https://api.qogita.com/variants/link/4820241065448/", "View Product")</f>
        <v/>
      </c>
    </row>
    <row r="1952">
      <c r="A1952" t="inlineStr">
        <is>
          <t>4820241065523</t>
        </is>
      </c>
      <c r="B1952" t="inlineStr">
        <is>
          <t>Staleks Replacement Sandpaper For Pedicure Disc Pro L Grit 80 50 Pieces</t>
        </is>
      </c>
      <c r="C1952" t="inlineStr">
        <is>
          <t>Nail Clippers &amp; Tools</t>
        </is>
      </c>
      <c r="D1952" t="inlineStr">
        <is>
          <t>Staleks</t>
        </is>
      </c>
      <c r="E1952" t="n">
        <v>5.47</v>
      </c>
      <c r="F1952" t="n">
        <v>1</v>
      </c>
      <c r="G1952" t="n">
        <v>7</v>
      </c>
      <c r="H1952" s="5">
        <f>HYPERLINK("https://api.qogita.com/variants/link/4820241065523/", "View Product")</f>
        <v/>
      </c>
    </row>
    <row r="1953">
      <c r="A1953" t="inlineStr">
        <is>
          <t>4820241065578</t>
        </is>
      </c>
      <c r="B1953" t="inlineStr">
        <is>
          <t>Staleks Pododisc Pro M Replacement Discs 80 50 Pieces</t>
        </is>
      </c>
      <c r="C1953" t="inlineStr">
        <is>
          <t>Nail Clippers &amp; Tools</t>
        </is>
      </c>
      <c r="D1953" t="inlineStr">
        <is>
          <t>Staleks</t>
        </is>
      </c>
      <c r="E1953" t="n">
        <v>4.24</v>
      </c>
      <c r="F1953" t="n">
        <v>1</v>
      </c>
      <c r="G1953" t="n">
        <v>5</v>
      </c>
      <c r="H1953" s="5">
        <f>HYPERLINK("https://api.qogita.com/variants/link/4820241065578/", "View Product")</f>
        <v/>
      </c>
    </row>
    <row r="1954">
      <c r="A1954" t="inlineStr">
        <is>
          <t>4820241065585</t>
        </is>
      </c>
      <c r="B1954" t="inlineStr">
        <is>
          <t>Staleks Pododisc Pro M Replacement Discs 100 50 Pieces</t>
        </is>
      </c>
      <c r="C1954" t="inlineStr">
        <is>
          <t>Nail Clippers &amp; Tools</t>
        </is>
      </c>
      <c r="D1954" t="inlineStr">
        <is>
          <t>Staleks</t>
        </is>
      </c>
      <c r="E1954" t="n">
        <v>4.28</v>
      </c>
      <c r="F1954" t="n">
        <v>1</v>
      </c>
      <c r="G1954" t="n">
        <v>5</v>
      </c>
      <c r="H1954" s="5">
        <f>HYPERLINK("https://api.qogita.com/variants/link/4820241065585/", "View Product")</f>
        <v/>
      </c>
    </row>
    <row r="1955">
      <c r="A1955" t="inlineStr">
        <is>
          <t>4820241066995</t>
        </is>
      </c>
      <c r="B1955" t="inlineStr">
        <is>
          <t>Staleks Orange Expert Manicure Sticks Wooden Stick 150 Mm</t>
        </is>
      </c>
      <c r="C1955" t="inlineStr">
        <is>
          <t>Nail Clippers &amp; Tools</t>
        </is>
      </c>
      <c r="D1955" t="inlineStr">
        <is>
          <t>Staleks</t>
        </is>
      </c>
      <c r="E1955" t="n">
        <v>3.41</v>
      </c>
      <c r="F1955" t="n">
        <v>1</v>
      </c>
      <c r="G1955" t="n">
        <v>7</v>
      </c>
      <c r="H1955" s="5">
        <f>HYPERLINK("https://api.qogita.com/variants/link/4820241066995/", "View Product")</f>
        <v/>
      </c>
    </row>
    <row r="1956">
      <c r="A1956" t="inlineStr">
        <is>
          <t>4820241067329</t>
        </is>
      </c>
      <c r="B1956" t="inlineStr">
        <is>
          <t>Pro Expert Set Of Replacement Nail File Tips 180/240 50 Pieces</t>
        </is>
      </c>
      <c r="C1956" t="inlineStr">
        <is>
          <t>Nail Clippers &amp; Tools</t>
        </is>
      </c>
      <c r="D1956" t="inlineStr">
        <is>
          <t>Pro-Expert</t>
        </is>
      </c>
      <c r="E1956" t="n">
        <v>11.44</v>
      </c>
      <c r="F1956" t="n">
        <v>1</v>
      </c>
      <c r="G1956" t="n">
        <v>9</v>
      </c>
      <c r="H1956" s="5">
        <f>HYPERLINK("https://api.qogita.com/variants/link/4820241067329/", "View Product")</f>
        <v/>
      </c>
    </row>
    <row r="1957">
      <c r="A1957" t="inlineStr">
        <is>
          <t>4820241067633</t>
        </is>
      </c>
      <c r="B1957" t="inlineStr">
        <is>
          <t>Staleks Ballerina Uniq 10 Type 4 Professional Cuticle Scissors</t>
        </is>
      </c>
      <c r="C1957" t="inlineStr">
        <is>
          <t>Nail Clippers &amp; Tools</t>
        </is>
      </c>
      <c r="D1957" t="inlineStr">
        <is>
          <t>Staleks</t>
        </is>
      </c>
      <c r="E1957" t="n">
        <v>15.06</v>
      </c>
      <c r="F1957" t="n">
        <v>1</v>
      </c>
      <c r="G1957" t="n">
        <v>9</v>
      </c>
      <c r="H1957" s="5">
        <f>HYPERLINK("https://api.qogita.com/variants/link/4820241067633/", "View Product")</f>
        <v/>
      </c>
    </row>
    <row r="1958">
      <c r="A1958" t="inlineStr">
        <is>
          <t>4820241067664</t>
        </is>
      </c>
      <c r="B1958" t="inlineStr">
        <is>
          <t>Staleks Asymmetric Uniq 30 Type 4 Professional Cuticle Scissors</t>
        </is>
      </c>
      <c r="C1958" t="inlineStr">
        <is>
          <t>Nail Clippers &amp; Tools</t>
        </is>
      </c>
      <c r="D1958" t="inlineStr">
        <is>
          <t>Staleks</t>
        </is>
      </c>
      <c r="E1958" t="n">
        <v>15.06</v>
      </c>
      <c r="F1958" t="n">
        <v>1</v>
      </c>
      <c r="G1958" t="n">
        <v>10</v>
      </c>
      <c r="H1958" s="5">
        <f>HYPERLINK("https://api.qogita.com/variants/link/4820241067664/", "View Product")</f>
        <v/>
      </c>
    </row>
    <row r="1959">
      <c r="A1959" t="inlineStr">
        <is>
          <t>4820241069200</t>
        </is>
      </c>
      <c r="B1959" t="inlineStr">
        <is>
          <t>Staleks Manicure Spatula Gummy Uniq 10 Type 3 Manicure Pusher</t>
        </is>
      </c>
      <c r="C1959" t="inlineStr">
        <is>
          <t>Nail Clippers &amp; Tools</t>
        </is>
      </c>
      <c r="D1959" t="inlineStr">
        <is>
          <t>Staleks</t>
        </is>
      </c>
      <c r="E1959" t="n">
        <v>6.22</v>
      </c>
      <c r="F1959" t="n">
        <v>1</v>
      </c>
      <c r="G1959" t="n">
        <v>5</v>
      </c>
      <c r="H1959" s="5">
        <f>HYPERLINK("https://api.qogita.com/variants/link/4820241069200/", "View Product")</f>
        <v/>
      </c>
    </row>
    <row r="1960">
      <c r="A1960" t="inlineStr">
        <is>
          <t>4823126600710</t>
        </is>
      </c>
      <c r="B1960" t="inlineStr">
        <is>
          <t>Staleks Manicure Attachment Combo Uniq 11 Loop Push</t>
        </is>
      </c>
      <c r="C1960" t="inlineStr">
        <is>
          <t>Nail Clippers &amp; Tools</t>
        </is>
      </c>
      <c r="D1960" t="inlineStr">
        <is>
          <t>Staleks</t>
        </is>
      </c>
      <c r="E1960" t="n">
        <v>4.38</v>
      </c>
      <c r="F1960" t="n">
        <v>1</v>
      </c>
      <c r="G1960" t="n">
        <v>3</v>
      </c>
      <c r="H1960" s="5">
        <f>HYPERLINK("https://api.qogita.com/variants/link/4823126600710/", "View Product")</f>
        <v/>
      </c>
    </row>
    <row r="1961">
      <c r="A1961" t="inlineStr">
        <is>
          <t>4823126600727</t>
        </is>
      </c>
      <c r="B1961" t="inlineStr">
        <is>
          <t>Staleks Manicure Attachment Combo Uniq 12 Beveled Pusher</t>
        </is>
      </c>
      <c r="C1961" t="inlineStr">
        <is>
          <t>Nail Clippers &amp; Tools</t>
        </is>
      </c>
      <c r="D1961" t="inlineStr">
        <is>
          <t>Staleks</t>
        </is>
      </c>
      <c r="E1961" t="n">
        <v>4.07</v>
      </c>
      <c r="F1961" t="n">
        <v>1</v>
      </c>
      <c r="G1961" t="n">
        <v>4</v>
      </c>
      <c r="H1961" s="5">
        <f>HYPERLINK("https://api.qogita.com/variants/link/4823126600727/", "View Product")</f>
        <v/>
      </c>
    </row>
    <row r="1962">
      <c r="A1962" t="inlineStr">
        <is>
          <t>4823126600864</t>
        </is>
      </c>
      <c r="B1962" t="inlineStr">
        <is>
          <t>Staleks Manicure Attachment Combo Uniq 16 Rounded Narrow Pusher</t>
        </is>
      </c>
      <c r="C1962" t="inlineStr">
        <is>
          <t>Nail Clippers &amp; Tools</t>
        </is>
      </c>
      <c r="D1962" t="inlineStr">
        <is>
          <t>Staleks</t>
        </is>
      </c>
      <c r="E1962" t="n">
        <v>4.07</v>
      </c>
      <c r="F1962" t="n">
        <v>1</v>
      </c>
      <c r="G1962" t="n">
        <v>5</v>
      </c>
      <c r="H1962" s="5">
        <f>HYPERLINK("https://api.qogita.com/variants/link/4823126600864/", "View Product")</f>
        <v/>
      </c>
    </row>
    <row r="1963">
      <c r="A1963" t="inlineStr">
        <is>
          <t>4897028690759</t>
        </is>
      </c>
      <c r="B1963" t="inlineStr">
        <is>
          <t>Travalo Classic Set Silver</t>
        </is>
      </c>
      <c r="C1963" t="inlineStr">
        <is>
          <t>Refillable Fragrances &amp; Refills</t>
        </is>
      </c>
      <c r="D1963" t="inlineStr">
        <is>
          <t>Travalo</t>
        </is>
      </c>
      <c r="E1963" t="n">
        <v>14.09</v>
      </c>
      <c r="F1963" t="n">
        <v>1</v>
      </c>
      <c r="G1963" t="n">
        <v>10</v>
      </c>
      <c r="H1963" s="5">
        <f>HYPERLINK("https://api.qogita.com/variants/link/4897028690759/", "View Product")</f>
        <v/>
      </c>
    </row>
    <row r="1964">
      <c r="A1964" t="inlineStr">
        <is>
          <t>4897028693552</t>
        </is>
      </c>
      <c r="B1964" t="inlineStr">
        <is>
          <t>Travalo Traval Bijoux Silver Refillable Perfume Sprayer</t>
        </is>
      </c>
      <c r="C1964" t="inlineStr">
        <is>
          <t>Refillable Fragrances &amp; Refills</t>
        </is>
      </c>
      <c r="D1964" t="inlineStr">
        <is>
          <t>Travalo</t>
        </is>
      </c>
      <c r="E1964" t="n">
        <v>11.84</v>
      </c>
      <c r="F1964" t="n">
        <v>1</v>
      </c>
      <c r="G1964" t="n">
        <v>5</v>
      </c>
      <c r="H1964" s="5">
        <f>HYPERLINK("https://api.qogita.com/variants/link/4897028693552/", "View Product")</f>
        <v/>
      </c>
    </row>
    <row r="1965">
      <c r="A1965" t="inlineStr">
        <is>
          <t>4897028694801</t>
        </is>
      </c>
      <c r="B1965" t="inlineStr">
        <is>
          <t>Travalo Perfume Atomizer Classic HD Rosegold</t>
        </is>
      </c>
      <c r="C1965" t="inlineStr">
        <is>
          <t>Refillable Fragrances &amp; Refills</t>
        </is>
      </c>
      <c r="D1965" t="inlineStr">
        <is>
          <t>Travalo</t>
        </is>
      </c>
      <c r="E1965" t="n">
        <v>7.15</v>
      </c>
      <c r="F1965" t="n">
        <v>1</v>
      </c>
      <c r="G1965" t="n">
        <v>148</v>
      </c>
      <c r="H1965" s="5">
        <f>HYPERLINK("https://api.qogita.com/variants/link/4897028694801/", "View Product")</f>
        <v/>
      </c>
    </row>
    <row r="1966">
      <c r="A1966" t="inlineStr">
        <is>
          <t>4935421740692</t>
        </is>
      </c>
      <c r="B1966" t="inlineStr">
        <is>
          <t>Kiehl's DS Line Milk Peel Toner 6.8 Ounce</t>
        </is>
      </c>
      <c r="C1966" t="inlineStr">
        <is>
          <t>Facial Scrub &amp; Peeling</t>
        </is>
      </c>
      <c r="D1966" t="inlineStr">
        <is>
          <t>Kiehl's</t>
        </is>
      </c>
      <c r="E1966" t="n">
        <v>55.74</v>
      </c>
      <c r="F1966" t="n">
        <v>1</v>
      </c>
      <c r="G1966" t="n">
        <v>10</v>
      </c>
      <c r="H1966" s="5">
        <f>HYPERLINK("https://api.qogita.com/variants/link/4935421740692/", "View Product")</f>
        <v/>
      </c>
    </row>
    <row r="1967">
      <c r="A1967" t="inlineStr">
        <is>
          <t>4935421761758</t>
        </is>
      </c>
      <c r="B1967" t="inlineStr">
        <is>
          <t>Yves Saint Laurent Loveshine Candyglaze Lip Gloss 04 Nude Pleasure 32 G</t>
        </is>
      </c>
      <c r="C1967" t="inlineStr">
        <is>
          <t>Lip Gloss</t>
        </is>
      </c>
      <c r="D1967" t="inlineStr">
        <is>
          <t>Yves Saint Laurent</t>
        </is>
      </c>
      <c r="E1967" t="n">
        <v>30.86</v>
      </c>
      <c r="F1967" t="n">
        <v>1</v>
      </c>
      <c r="G1967" t="n">
        <v>3</v>
      </c>
      <c r="H1967" s="5">
        <f>HYPERLINK("https://api.qogita.com/variants/link/4935421761758/", "View Product")</f>
        <v/>
      </c>
    </row>
    <row r="1968">
      <c r="A1968" t="inlineStr">
        <is>
          <t>4936968827433</t>
        </is>
      </c>
      <c r="B1968" t="inlineStr">
        <is>
          <t>Kiehl's Ultra Facial Barrier Balm 9 G</t>
        </is>
      </c>
      <c r="C1968" t="inlineStr">
        <is>
          <t>Face Cream</t>
        </is>
      </c>
      <c r="D1968" t="inlineStr">
        <is>
          <t>Kiehl's</t>
        </is>
      </c>
      <c r="E1968" t="n">
        <v>28.64</v>
      </c>
      <c r="F1968" t="n">
        <v>1</v>
      </c>
      <c r="G1968" t="n">
        <v>3</v>
      </c>
      <c r="H1968" s="5">
        <f>HYPERLINK("https://api.qogita.com/variants/link/4936968827433/", "View Product")</f>
        <v/>
      </c>
    </row>
    <row r="1969">
      <c r="A1969" t="inlineStr">
        <is>
          <t>4973167020326</t>
        </is>
      </c>
      <c r="B1969" t="inlineStr">
        <is>
          <t>Sensai Absolute Silk Illuminative Cream 40ml</t>
        </is>
      </c>
      <c r="C1969" t="inlineStr">
        <is>
          <t>Face Cream</t>
        </is>
      </c>
      <c r="D1969" t="inlineStr">
        <is>
          <t>Sensai</t>
        </is>
      </c>
      <c r="E1969" t="n">
        <v>144.73</v>
      </c>
      <c r="F1969" t="n">
        <v>1</v>
      </c>
      <c r="G1969" t="n">
        <v>4</v>
      </c>
      <c r="H1969" s="5">
        <f>HYPERLINK("https://api.qogita.com/variants/link/4973167020326/", "View Product")</f>
        <v/>
      </c>
    </row>
    <row r="1970">
      <c r="A1970" t="inlineStr">
        <is>
          <t>4973167257296</t>
        </is>
      </c>
      <c r="B1970" t="inlineStr">
        <is>
          <t>Sensai Sensai Cellular Performance Wrinkle Repair Essence 40ml Antiwrinkle Serum</t>
        </is>
      </c>
      <c r="C1970" t="inlineStr">
        <is>
          <t>Anti-Aging Serum</t>
        </is>
      </c>
      <c r="D1970" t="inlineStr">
        <is>
          <t>Sensai</t>
        </is>
      </c>
      <c r="E1970" t="n">
        <v>150.78</v>
      </c>
      <c r="F1970" t="n">
        <v>1</v>
      </c>
      <c r="G1970" t="n">
        <v>4</v>
      </c>
      <c r="H1970" s="5">
        <f>HYPERLINK("https://api.qogita.com/variants/link/4973167257296/", "View Product")</f>
        <v/>
      </c>
    </row>
    <row r="1971">
      <c r="A1971" t="inlineStr">
        <is>
          <t>4973167257500</t>
        </is>
      </c>
      <c r="B1971" t="inlineStr">
        <is>
          <t>Sensai Highlighting Concealer 35 Ml Luminous Ivory</t>
        </is>
      </c>
      <c r="C1971" t="inlineStr">
        <is>
          <t>Concealer</t>
        </is>
      </c>
      <c r="D1971" t="inlineStr">
        <is>
          <t>Sensai</t>
        </is>
      </c>
      <c r="E1971" t="n">
        <v>30.5</v>
      </c>
      <c r="F1971" t="n">
        <v>1</v>
      </c>
      <c r="G1971" t="n">
        <v>5</v>
      </c>
      <c r="H1971" s="5">
        <f>HYPERLINK("https://api.qogita.com/variants/link/4973167257500/", "View Product")</f>
        <v/>
      </c>
    </row>
    <row r="1972">
      <c r="A1972" t="inlineStr">
        <is>
          <t>4973167343586</t>
        </is>
      </c>
      <c r="B1972" t="inlineStr">
        <is>
          <t>Sensai The Lipstick 08 Satsuki Pink 34 G</t>
        </is>
      </c>
      <c r="C1972" t="inlineStr">
        <is>
          <t>Lipstick</t>
        </is>
      </c>
      <c r="D1972" t="inlineStr">
        <is>
          <t>Sensai</t>
        </is>
      </c>
      <c r="E1972" t="n">
        <v>44.49</v>
      </c>
      <c r="F1972" t="n">
        <v>1</v>
      </c>
      <c r="G1972" t="n">
        <v>3</v>
      </c>
      <c r="H1972" s="5">
        <f>HYPERLINK("https://api.qogita.com/variants/link/4973167343586/", "View Product")</f>
        <v/>
      </c>
    </row>
    <row r="1973">
      <c r="A1973" t="inlineStr">
        <is>
          <t>4973167525470</t>
        </is>
      </c>
      <c r="B1973" t="inlineStr">
        <is>
          <t>Sensai Protective Face Cream Spf 50 Silky Bronze 50 Ml</t>
        </is>
      </c>
      <c r="C1973" t="inlineStr">
        <is>
          <t>Face Sun Protection</t>
        </is>
      </c>
      <c r="D1973" t="inlineStr">
        <is>
          <t>Sensai</t>
        </is>
      </c>
      <c r="E1973" t="n">
        <v>88.09999999999999</v>
      </c>
      <c r="F1973" t="n">
        <v>1</v>
      </c>
      <c r="G1973" t="n">
        <v>12</v>
      </c>
      <c r="H1973" s="5">
        <f>HYPERLINK("https://api.qogita.com/variants/link/4973167525470/", "View Product")</f>
        <v/>
      </c>
    </row>
    <row r="1974">
      <c r="A1974" t="inlineStr">
        <is>
          <t>4973167525517</t>
        </is>
      </c>
      <c r="B1974" t="inlineStr">
        <is>
          <t>SENSAI Bronze Protection Cream for Body P50</t>
        </is>
      </c>
      <c r="C1974" t="inlineStr">
        <is>
          <t>Body Sun Protection</t>
        </is>
      </c>
      <c r="D1974" t="inlineStr">
        <is>
          <t>Sensai</t>
        </is>
      </c>
      <c r="E1974" t="n">
        <v>76.56</v>
      </c>
      <c r="F1974" t="n">
        <v>1</v>
      </c>
      <c r="G1974" t="n">
        <v>3</v>
      </c>
      <c r="H1974" s="5">
        <f>HYPERLINK("https://api.qogita.com/variants/link/4973167525517/", "View Product")</f>
        <v/>
      </c>
    </row>
    <row r="1975">
      <c r="A1975" t="inlineStr">
        <is>
          <t>4973167556023</t>
        </is>
      </c>
      <c r="B1975" t="inlineStr">
        <is>
          <t>Sensai Expert Items Total Lip Treatment Lip Care Set - 10 Ml</t>
        </is>
      </c>
      <c r="C1975" t="inlineStr">
        <is>
          <t>Medicated Treatments</t>
        </is>
      </c>
      <c r="D1975" t="inlineStr">
        <is>
          <t>Sensai</t>
        </is>
      </c>
      <c r="E1975" t="n">
        <v>94.95999999999999</v>
      </c>
      <c r="F1975" t="n">
        <v>1</v>
      </c>
      <c r="G1975" t="n">
        <v>6</v>
      </c>
      <c r="H1975" s="5">
        <f>HYPERLINK("https://api.qogita.com/variants/link/4973167556023/", "View Product")</f>
        <v/>
      </c>
    </row>
    <row r="1976">
      <c r="A1976" t="inlineStr">
        <is>
          <t>4973167815267</t>
        </is>
      </c>
      <c r="B1976" t="inlineStr">
        <is>
          <t>Sensai Sensai Colours Eye Colour Palette 02 Night Sparkle</t>
        </is>
      </c>
      <c r="C1976" t="inlineStr">
        <is>
          <t>Eye Sets &amp; Pallets</t>
        </is>
      </c>
      <c r="D1976" t="inlineStr">
        <is>
          <t>Sensai</t>
        </is>
      </c>
      <c r="E1976" t="n">
        <v>48.84</v>
      </c>
      <c r="F1976" t="n">
        <v>1</v>
      </c>
      <c r="G1976" t="n">
        <v>3</v>
      </c>
      <c r="H1976" s="5">
        <f>HYPERLINK("https://api.qogita.com/variants/link/4973167815267/", "View Product")</f>
        <v/>
      </c>
    </row>
    <row r="1977">
      <c r="A1977" t="inlineStr">
        <is>
          <t>4973167816035</t>
        </is>
      </c>
      <c r="B1977" t="inlineStr">
        <is>
          <t>Sensai Lasting Eyeliner Pencil 02 Deep Brown 01 G Gel Eyeliner</t>
        </is>
      </c>
      <c r="C1977" t="inlineStr">
        <is>
          <t>Eyeliner</t>
        </is>
      </c>
      <c r="D1977" t="inlineStr">
        <is>
          <t>Sensai</t>
        </is>
      </c>
      <c r="E1977" t="n">
        <v>27.11</v>
      </c>
      <c r="F1977" t="n">
        <v>1</v>
      </c>
      <c r="G1977" t="n">
        <v>2</v>
      </c>
      <c r="H1977" s="5">
        <f>HYPERLINK("https://api.qogita.com/variants/link/4973167816035/", "View Product")</f>
        <v/>
      </c>
    </row>
    <row r="1978">
      <c r="A1978" t="inlineStr">
        <is>
          <t>4973167816295</t>
        </is>
      </c>
      <c r="B1978" t="inlineStr">
        <is>
          <t>Sensai Design Liquid Eyeliner Refill 01 Black 6ml</t>
        </is>
      </c>
      <c r="C1978" t="inlineStr">
        <is>
          <t>Eyeliner</t>
        </is>
      </c>
      <c r="D1978" t="inlineStr">
        <is>
          <t>Sensai</t>
        </is>
      </c>
      <c r="E1978" t="n">
        <v>19.66</v>
      </c>
      <c r="F1978" t="n">
        <v>1</v>
      </c>
      <c r="G1978" t="n">
        <v>4</v>
      </c>
      <c r="H1978" s="5">
        <f>HYPERLINK("https://api.qogita.com/variants/link/4973167816295/", "View Product")</f>
        <v/>
      </c>
    </row>
    <row r="1979">
      <c r="A1979" t="inlineStr">
        <is>
          <t>4973167840849</t>
        </is>
      </c>
      <c r="B1979" t="inlineStr">
        <is>
          <t>Sensai Sensai Flawless Satin Foundation Base Fluid Fs202 Cochineal Beige 30ml</t>
        </is>
      </c>
      <c r="C1979" t="inlineStr">
        <is>
          <t>Foundation</t>
        </is>
      </c>
      <c r="D1979" t="inlineStr">
        <is>
          <t>Sensai</t>
        </is>
      </c>
      <c r="E1979" t="n">
        <v>39.88</v>
      </c>
      <c r="F1979" t="n">
        <v>1</v>
      </c>
      <c r="G1979" t="n">
        <v>10</v>
      </c>
      <c r="H1979" s="5">
        <f>HYPERLINK("https://api.qogita.com/variants/link/4973167840849/", "View Product")</f>
        <v/>
      </c>
    </row>
    <row r="1980">
      <c r="A1980" t="inlineStr">
        <is>
          <t>4973167840863</t>
        </is>
      </c>
      <c r="B1980" t="inlineStr">
        <is>
          <t>Sensai Flawless Satin Moisture Foundation Spf 25 Honey Beige 30ml</t>
        </is>
      </c>
      <c r="C1980" t="inlineStr">
        <is>
          <t>Foundation</t>
        </is>
      </c>
      <c r="D1980" t="inlineStr">
        <is>
          <t>Sensai</t>
        </is>
      </c>
      <c r="E1980" t="n">
        <v>39.81</v>
      </c>
      <c r="F1980" t="n">
        <v>1</v>
      </c>
      <c r="G1980" t="n">
        <v>14</v>
      </c>
      <c r="H1980" s="5">
        <f>HYPERLINK("https://api.qogita.com/variants/link/4973167840863/", "View Product")</f>
        <v/>
      </c>
    </row>
    <row r="1981">
      <c r="A1981" t="inlineStr">
        <is>
          <t>4973167903704</t>
        </is>
      </c>
      <c r="B1981" t="inlineStr">
        <is>
          <t>Sensai Gentle Makeup Remover Eye &amp; Lip 100ml</t>
        </is>
      </c>
      <c r="C1981" t="inlineStr">
        <is>
          <t>Eye Makeup Remover</t>
        </is>
      </c>
      <c r="D1981" t="inlineStr">
        <is>
          <t>Sensai</t>
        </is>
      </c>
      <c r="E1981" t="n">
        <v>25.54</v>
      </c>
      <c r="F1981" t="n">
        <v>1</v>
      </c>
      <c r="G1981" t="n">
        <v>10</v>
      </c>
      <c r="H1981" s="5">
        <f>HYPERLINK("https://api.qogita.com/variants/link/4973167903704/", "View Product")</f>
        <v/>
      </c>
    </row>
    <row r="1982">
      <c r="A1982" t="inlineStr">
        <is>
          <t>4973167903728</t>
        </is>
      </c>
      <c r="B1982" t="inlineStr">
        <is>
          <t>Sensai Silky Purifying Creamy Soap 125ml A Luxurious Cleansing Soap For Your Face</t>
        </is>
      </c>
      <c r="C1982" t="inlineStr">
        <is>
          <t>Facial Soap</t>
        </is>
      </c>
      <c r="D1982" t="inlineStr">
        <is>
          <t>Sensai</t>
        </is>
      </c>
      <c r="E1982" t="n">
        <v>39.11</v>
      </c>
      <c r="F1982" t="n">
        <v>1</v>
      </c>
      <c r="G1982" t="n">
        <v>19</v>
      </c>
      <c r="H1982" s="5">
        <f>HYPERLINK("https://api.qogita.com/variants/link/4973167903728/", "View Product")</f>
        <v/>
      </c>
    </row>
    <row r="1983">
      <c r="A1983" t="inlineStr">
        <is>
          <t>4973167912850</t>
        </is>
      </c>
      <c r="B1983" t="inlineStr">
        <is>
          <t>Sensai Kanebo Cellular Performance Body Firming Emulsion 200ml</t>
        </is>
      </c>
      <c r="C1983" t="inlineStr">
        <is>
          <t>Body Lotion</t>
        </is>
      </c>
      <c r="D1983" t="inlineStr">
        <is>
          <t>Sensai</t>
        </is>
      </c>
      <c r="E1983" t="n">
        <v>79.26000000000001</v>
      </c>
      <c r="F1983" t="n">
        <v>1</v>
      </c>
      <c r="G1983" t="n">
        <v>5</v>
      </c>
      <c r="H1983" s="5">
        <f>HYPERLINK("https://api.qogita.com/variants/link/4973167912850/", "View Product")</f>
        <v/>
      </c>
    </row>
    <row r="1984">
      <c r="A1984" t="inlineStr">
        <is>
          <t>4973167943427</t>
        </is>
      </c>
      <c r="B1984" t="inlineStr">
        <is>
          <t>Sensai Total Lip Gloss In Akebono Red 45 Ml</t>
        </is>
      </c>
      <c r="C1984" t="inlineStr">
        <is>
          <t>Lip Gloss</t>
        </is>
      </c>
      <c r="D1984" t="inlineStr">
        <is>
          <t>Sensai</t>
        </is>
      </c>
      <c r="E1984" t="n">
        <v>34.18</v>
      </c>
      <c r="F1984" t="n">
        <v>1</v>
      </c>
      <c r="G1984" t="n">
        <v>7</v>
      </c>
      <c r="H1984" s="5">
        <f>HYPERLINK("https://api.qogita.com/variants/link/4973167943427/", "View Product")</f>
        <v/>
      </c>
    </row>
    <row r="1985">
      <c r="A1985" t="inlineStr">
        <is>
          <t>4973167943526</t>
        </is>
      </c>
      <c r="B1985" t="inlineStr">
        <is>
          <t>Sensai Kanebo Silky Bronze Sun Protective Compact Sc02 Natural 85g</t>
        </is>
      </c>
      <c r="C1985" t="inlineStr">
        <is>
          <t>Face Sun Protection</t>
        </is>
      </c>
      <c r="D1985" t="inlineStr">
        <is>
          <t>Sensai</t>
        </is>
      </c>
      <c r="E1985" t="n">
        <v>39.21</v>
      </c>
      <c r="F1985" t="n">
        <v>1</v>
      </c>
      <c r="G1985" t="n">
        <v>2</v>
      </c>
      <c r="H1985" s="5">
        <f>HYPERLINK("https://api.qogita.com/variants/link/4973167943526/", "View Product")</f>
        <v/>
      </c>
    </row>
    <row r="1986">
      <c r="A1986" t="inlineStr">
        <is>
          <t>4973167943540</t>
        </is>
      </c>
      <c r="B1986" t="inlineStr">
        <is>
          <t>Sensai Kanebo Silky Bronze Sun Protective Compact Sc04 Dark 85g</t>
        </is>
      </c>
      <c r="C1986" t="inlineStr">
        <is>
          <t>Face Sun Protection</t>
        </is>
      </c>
      <c r="D1986" t="inlineStr">
        <is>
          <t>Sensai</t>
        </is>
      </c>
      <c r="E1986" t="n">
        <v>38.61</v>
      </c>
      <c r="F1986" t="n">
        <v>1</v>
      </c>
      <c r="G1986" t="n">
        <v>3</v>
      </c>
      <c r="H1986" s="5">
        <f>HYPERLINK("https://api.qogita.com/variants/link/4973167943540/", "View Product")</f>
        <v/>
      </c>
    </row>
    <row r="1987">
      <c r="A1987" t="inlineStr">
        <is>
          <t>4973167954393</t>
        </is>
      </c>
      <c r="B1987" t="inlineStr">
        <is>
          <t>Sensai Cellular Performance Lift Remodelling Eye Cream 15ml</t>
        </is>
      </c>
      <c r="C1987" t="inlineStr">
        <is>
          <t>Eye Cream</t>
        </is>
      </c>
      <c r="D1987" t="inlineStr">
        <is>
          <t>Sensai</t>
        </is>
      </c>
      <c r="E1987" t="n">
        <v>132.19</v>
      </c>
      <c r="F1987" t="n">
        <v>1</v>
      </c>
      <c r="G1987" t="n">
        <v>6</v>
      </c>
      <c r="H1987" s="5">
        <f>HYPERLINK("https://api.qogita.com/variants/link/4973167954393/", "View Product")</f>
        <v/>
      </c>
    </row>
    <row r="1988">
      <c r="A1988" t="inlineStr">
        <is>
          <t>4987176148056</t>
        </is>
      </c>
      <c r="B1988" t="inlineStr">
        <is>
          <t>Gillette Fusion 5 Charger 4 Units By Gillette</t>
        </is>
      </c>
      <c r="C1988" t="inlineStr">
        <is>
          <t>Shaving</t>
        </is>
      </c>
      <c r="D1988" t="inlineStr">
        <is>
          <t>Gillette</t>
        </is>
      </c>
      <c r="E1988" t="n">
        <v>10.48</v>
      </c>
      <c r="F1988" t="n">
        <v>1</v>
      </c>
      <c r="G1988" t="n">
        <v>32</v>
      </c>
      <c r="H1988" s="5">
        <f>HYPERLINK("https://api.qogita.com/variants/link/4987176148056/", "View Product")</f>
        <v/>
      </c>
    </row>
    <row r="1989">
      <c r="A1989" t="inlineStr">
        <is>
          <t>4987176150455</t>
        </is>
      </c>
      <c r="B1989" t="inlineStr">
        <is>
          <t>Gillette Mach3 Fresh Clean Blades 4 Pieces</t>
        </is>
      </c>
      <c r="C1989" t="inlineStr">
        <is>
          <t>Shaving</t>
        </is>
      </c>
      <c r="D1989" t="inlineStr">
        <is>
          <t>Gillette</t>
        </is>
      </c>
      <c r="E1989" t="n">
        <v>6.92</v>
      </c>
      <c r="F1989" t="n">
        <v>1</v>
      </c>
      <c r="G1989" t="n">
        <v>23</v>
      </c>
      <c r="H1989" s="5">
        <f>HYPERLINK("https://api.qogita.com/variants/link/4987176150455/", "View Product")</f>
        <v/>
      </c>
    </row>
    <row r="1990">
      <c r="A1990" t="inlineStr">
        <is>
          <t>5000386024596</t>
        </is>
      </c>
      <c r="B1990" t="inlineStr">
        <is>
          <t>Revlon Charlie Blue Eau Fraiche Eau De Toilette</t>
        </is>
      </c>
      <c r="C1990" t="inlineStr">
        <is>
          <t>Eau De Toilette</t>
        </is>
      </c>
      <c r="D1990" t="inlineStr">
        <is>
          <t>Revlon</t>
        </is>
      </c>
      <c r="E1990" t="n">
        <v>3.96</v>
      </c>
      <c r="F1990" t="n">
        <v>1</v>
      </c>
      <c r="G1990" t="n">
        <v>5</v>
      </c>
      <c r="H1990" s="5">
        <f>HYPERLINK("https://api.qogita.com/variants/link/5000386024596/", "View Product")</f>
        <v/>
      </c>
    </row>
    <row r="1991">
      <c r="A1991" t="inlineStr">
        <is>
          <t>5000386101310</t>
        </is>
      </c>
      <c r="B1991" t="inlineStr">
        <is>
          <t>Revlon Charlie White Eau De Toilette Spray 100ml</t>
        </is>
      </c>
      <c r="C1991" t="inlineStr">
        <is>
          <t>Eau De Toilette</t>
        </is>
      </c>
      <c r="D1991" t="inlineStr">
        <is>
          <t>Revlon</t>
        </is>
      </c>
      <c r="E1991" t="n">
        <v>4.13</v>
      </c>
      <c r="F1991" t="n">
        <v>1</v>
      </c>
      <c r="G1991" t="n">
        <v>39</v>
      </c>
      <c r="H1991" s="5">
        <f>HYPERLINK("https://api.qogita.com/variants/link/5000386101310/", "View Product")</f>
        <v/>
      </c>
    </row>
    <row r="1992">
      <c r="A1992" t="inlineStr">
        <is>
          <t>5000386296412</t>
        </is>
      </c>
      <c r="B1992" t="inlineStr">
        <is>
          <t>Revlon Charlie Black Deodorant Spray 75ml</t>
        </is>
      </c>
      <c r="C1992" t="inlineStr">
        <is>
          <t>Deodorant &amp; Anti-Perspirant</t>
        </is>
      </c>
      <c r="D1992" t="inlineStr">
        <is>
          <t>Revlon</t>
        </is>
      </c>
      <c r="E1992" t="n">
        <v>1.66</v>
      </c>
      <c r="F1992" t="n">
        <v>1</v>
      </c>
      <c r="G1992" t="n">
        <v>4</v>
      </c>
      <c r="H1992" s="5">
        <f>HYPERLINK("https://api.qogita.com/variants/link/5000386296412/", "View Product")</f>
        <v/>
      </c>
    </row>
    <row r="1993">
      <c r="A1993" t="inlineStr">
        <is>
          <t>5010123703547</t>
        </is>
      </c>
      <c r="B1993" t="inlineStr">
        <is>
          <t>Listerine Fresh Burst Antiplaque Mouthwash</t>
        </is>
      </c>
      <c r="C1993" t="inlineStr">
        <is>
          <t>Mouthwash</t>
        </is>
      </c>
      <c r="D1993" t="inlineStr">
        <is>
          <t>Listerine</t>
        </is>
      </c>
      <c r="E1993" t="n">
        <v>3.41</v>
      </c>
      <c r="F1993" t="n">
        <v>1</v>
      </c>
      <c r="G1993" t="n">
        <v>39</v>
      </c>
      <c r="H1993" s="5">
        <f>HYPERLINK("https://api.qogita.com/variants/link/5010123703547/", "View Product")</f>
        <v/>
      </c>
    </row>
    <row r="1994">
      <c r="A1994" t="inlineStr">
        <is>
          <t>5010724527504</t>
        </is>
      </c>
      <c r="B1994" t="inlineStr">
        <is>
          <t>Batiste Original Dry Shampoo 50ml With A Clean Classic Fragrance</t>
        </is>
      </c>
      <c r="C1994" t="inlineStr">
        <is>
          <t>Dry Shampoo</t>
        </is>
      </c>
      <c r="D1994" t="inlineStr">
        <is>
          <t>Batiste</t>
        </is>
      </c>
      <c r="E1994" t="n">
        <v>2.05</v>
      </c>
      <c r="F1994" t="n">
        <v>1</v>
      </c>
      <c r="G1994" t="n">
        <v>5</v>
      </c>
      <c r="H1994" s="5">
        <f>HYPERLINK("https://api.qogita.com/variants/link/5010724527504/", "View Product")</f>
        <v/>
      </c>
    </row>
    <row r="1995">
      <c r="A1995" t="inlineStr">
        <is>
          <t>5010724528426</t>
        </is>
      </c>
      <c r="B1995" t="inlineStr">
        <is>
          <t>Batiste Dry Shampoo Bright &amp; Lively Floral</t>
        </is>
      </c>
      <c r="C1995" t="inlineStr">
        <is>
          <t>Dry Shampoo</t>
        </is>
      </c>
      <c r="D1995" t="inlineStr">
        <is>
          <t>Batiste</t>
        </is>
      </c>
      <c r="E1995" t="n">
        <v>2.98</v>
      </c>
      <c r="F1995" t="n">
        <v>1</v>
      </c>
      <c r="G1995" t="n">
        <v>10</v>
      </c>
      <c r="H1995" s="5">
        <f>HYPERLINK("https://api.qogita.com/variants/link/5010724528426/", "View Product")</f>
        <v/>
      </c>
    </row>
    <row r="1996">
      <c r="A1996" t="inlineStr">
        <is>
          <t>5010724530467</t>
        </is>
      </c>
      <c r="B1996" t="inlineStr">
        <is>
          <t>Batiste Dry Shampoo Rose Gold 200 Ml For Normal Hair With Bergamot And Jasmine Aroma</t>
        </is>
      </c>
      <c r="C1996" t="inlineStr">
        <is>
          <t>Dry Shampoo</t>
        </is>
      </c>
      <c r="D1996" t="inlineStr">
        <is>
          <t>Batiste</t>
        </is>
      </c>
      <c r="E1996" t="n">
        <v>3.45</v>
      </c>
      <c r="F1996" t="n">
        <v>1</v>
      </c>
      <c r="G1996" t="n">
        <v>6</v>
      </c>
      <c r="H1996" s="5">
        <f>HYPERLINK("https://api.qogita.com/variants/link/5010724530467/", "View Product")</f>
        <v/>
      </c>
    </row>
    <row r="1997">
      <c r="A1997" t="inlineStr">
        <is>
          <t>5010724532980</t>
        </is>
      </c>
      <c r="B1997" t="inlineStr">
        <is>
          <t>Batiste Dry Shampoo Hydrate 200ml - Refreshing Hair Care</t>
        </is>
      </c>
      <c r="C1997" t="inlineStr">
        <is>
          <t>Dry Shampoo</t>
        </is>
      </c>
      <c r="D1997" t="inlineStr">
        <is>
          <t>Batiste</t>
        </is>
      </c>
      <c r="E1997" t="n">
        <v>4.21</v>
      </c>
      <c r="F1997" t="n">
        <v>1</v>
      </c>
      <c r="G1997" t="n">
        <v>19</v>
      </c>
      <c r="H1997" s="5">
        <f>HYPERLINK("https://api.qogita.com/variants/link/5010724532980/", "View Product")</f>
        <v/>
      </c>
    </row>
    <row r="1998">
      <c r="A1998" t="inlineStr">
        <is>
          <t>5010724536773</t>
        </is>
      </c>
      <c r="B1998" t="inlineStr">
        <is>
          <t>Finishing Touch Flawless Electric Eyebrow Trimmer Powder</t>
        </is>
      </c>
      <c r="C1998" t="inlineStr">
        <is>
          <t>Other</t>
        </is>
      </c>
      <c r="D1998" t="inlineStr">
        <is>
          <t>Finishing Touch Flawless</t>
        </is>
      </c>
      <c r="E1998" t="n">
        <v>19.94</v>
      </c>
      <c r="F1998" t="n">
        <v>1</v>
      </c>
      <c r="G1998" t="n">
        <v>4</v>
      </c>
      <c r="H1998" s="5">
        <f>HYPERLINK("https://api.qogita.com/variants/link/5010724536773/", "View Product")</f>
        <v/>
      </c>
    </row>
    <row r="1999">
      <c r="A1999" t="inlineStr">
        <is>
          <t>5010724537800</t>
        </is>
      </c>
      <c r="B1999" t="inlineStr">
        <is>
          <t>Batiste Rose Gold Dry Shampoo 350ml</t>
        </is>
      </c>
      <c r="C1999" t="inlineStr">
        <is>
          <t>Dry Shampoo</t>
        </is>
      </c>
      <c r="D1999" t="inlineStr">
        <is>
          <t>Batiste</t>
        </is>
      </c>
      <c r="E1999" t="n">
        <v>4.54</v>
      </c>
      <c r="F1999" t="n">
        <v>1</v>
      </c>
      <c r="G1999" t="n">
        <v>15</v>
      </c>
      <c r="H1999" s="5">
        <f>HYPERLINK("https://api.qogita.com/variants/link/5010724537800/", "View Product")</f>
        <v/>
      </c>
    </row>
    <row r="2000">
      <c r="A2000" t="inlineStr">
        <is>
          <t>5011417572795</t>
        </is>
      </c>
      <c r="B2000" t="inlineStr">
        <is>
          <t>Scholl Orthotic Insoles Heel and Ankle Plantar Fasciitis Insoles Metatarsalgia Insoles Small UK Size 4.5-6.5</t>
        </is>
      </c>
      <c r="C2000" t="inlineStr">
        <is>
          <t>Sporting Tension</t>
        </is>
      </c>
      <c r="D2000" t="inlineStr">
        <is>
          <t>Scholl</t>
        </is>
      </c>
      <c r="E2000" t="n">
        <v>11.29</v>
      </c>
      <c r="F2000" t="n">
        <v>1</v>
      </c>
      <c r="G2000" t="n">
        <v>27</v>
      </c>
      <c r="H2000" s="5">
        <f>HYPERLINK("https://api.qogita.com/variants/link/5011417572795/", "View Product")</f>
        <v/>
      </c>
    </row>
    <row r="2001">
      <c r="A2001" t="inlineStr">
        <is>
          <t>5012254068151</t>
        </is>
      </c>
      <c r="B2001" t="inlineStr">
        <is>
          <t>Tresemm Extra Hold 4 Hair Spray</t>
        </is>
      </c>
      <c r="C2001" t="inlineStr">
        <is>
          <t>Hairspray</t>
        </is>
      </c>
      <c r="D2001" t="inlineStr">
        <is>
          <t>TRESemmé</t>
        </is>
      </c>
      <c r="E2001" t="n">
        <v>6.52</v>
      </c>
      <c r="F2001" t="n">
        <v>1</v>
      </c>
      <c r="G2001" t="n">
        <v>5</v>
      </c>
      <c r="H2001" s="5">
        <f>HYPERLINK("https://api.qogita.com/variants/link/5012254068151/", "View Product")</f>
        <v/>
      </c>
    </row>
    <row r="2002">
      <c r="A2002" t="inlineStr">
        <is>
          <t>5012874248872</t>
        </is>
      </c>
      <c r="B2002" t="inlineStr">
        <is>
          <t>David Beckham Intimately Him Eau De Toilette 75ml Men Spray</t>
        </is>
      </c>
      <c r="C2002" t="inlineStr">
        <is>
          <t>Eau De Toilette</t>
        </is>
      </c>
      <c r="D2002" t="inlineStr">
        <is>
          <t>David Beckham</t>
        </is>
      </c>
      <c r="E2002" t="n">
        <v>10.48</v>
      </c>
      <c r="F2002" t="n">
        <v>1</v>
      </c>
      <c r="G2002" t="n">
        <v>67</v>
      </c>
      <c r="H2002" s="5">
        <f>HYPERLINK("https://api.qogita.com/variants/link/5012874248872/", "View Product")</f>
        <v/>
      </c>
    </row>
    <row r="2003">
      <c r="A2003" t="inlineStr">
        <is>
          <t>5014147000392</t>
        </is>
      </c>
      <c r="B2003" t="inlineStr">
        <is>
          <t>Dear Barber Men's Styling Fibre Hair Paste Strong Long Lasting Hold</t>
        </is>
      </c>
      <c r="C2003" t="inlineStr">
        <is>
          <t>Wax</t>
        </is>
      </c>
      <c r="D2003" t="inlineStr">
        <is>
          <t>Dear Barber</t>
        </is>
      </c>
      <c r="E2003" t="n">
        <v>7.58</v>
      </c>
      <c r="F2003" t="n">
        <v>1</v>
      </c>
      <c r="G2003" t="n">
        <v>51</v>
      </c>
      <c r="H2003" s="5">
        <f>HYPERLINK("https://api.qogita.com/variants/link/5014147000392/", "View Product")</f>
        <v/>
      </c>
    </row>
    <row r="2004">
      <c r="A2004" t="inlineStr">
        <is>
          <t>5014147001344</t>
        </is>
      </c>
      <c r="B2004" t="inlineStr">
        <is>
          <t>Dear Barber Shave Biscuit Beard Shaving Cream 100ml</t>
        </is>
      </c>
      <c r="C2004" t="inlineStr">
        <is>
          <t>Shaving</t>
        </is>
      </c>
      <c r="D2004" t="inlineStr">
        <is>
          <t>Dear Barber</t>
        </is>
      </c>
      <c r="E2004" t="n">
        <v>6.58</v>
      </c>
      <c r="F2004" t="n">
        <v>1</v>
      </c>
      <c r="G2004" t="n">
        <v>8</v>
      </c>
      <c r="H2004" s="5">
        <f>HYPERLINK("https://api.qogita.com/variants/link/5014147001344/", "View Product")</f>
        <v/>
      </c>
    </row>
    <row r="2005">
      <c r="A2005" t="inlineStr">
        <is>
          <t>5014147001498</t>
        </is>
      </c>
      <c r="B2005" t="inlineStr">
        <is>
          <t>Dear Barber Mattifier Hair Clay Wax for Men Strong &amp; Flexible Hold Matte</t>
        </is>
      </c>
      <c r="C2005" t="inlineStr">
        <is>
          <t>Wax</t>
        </is>
      </c>
      <c r="D2005" t="inlineStr">
        <is>
          <t>Dear Barber</t>
        </is>
      </c>
      <c r="E2005" t="n">
        <v>2.87</v>
      </c>
      <c r="F2005" t="n">
        <v>1</v>
      </c>
      <c r="G2005" t="n">
        <v>3</v>
      </c>
      <c r="H2005" s="5">
        <f>HYPERLINK("https://api.qogita.com/variants/link/5014147001498/", "View Product")</f>
        <v/>
      </c>
    </row>
    <row r="2006">
      <c r="A2006" t="inlineStr">
        <is>
          <t>5014147001719</t>
        </is>
      </c>
      <c r="B2006" t="inlineStr">
        <is>
          <t>Dear Barber Mini Grooming Collection Set - Beard Oil 10ml, Moustache Wax 15ml, With Confidence Eau de Toilette 10ml, Beard Balm 15ml</t>
        </is>
      </c>
      <c r="C2006" t="inlineStr">
        <is>
          <t>Beard Care Sets</t>
        </is>
      </c>
      <c r="D2006" t="inlineStr">
        <is>
          <t>Dear Barber</t>
        </is>
      </c>
      <c r="E2006" t="n">
        <v>4.55</v>
      </c>
      <c r="F2006" t="n">
        <v>1</v>
      </c>
      <c r="G2006" t="n">
        <v>5</v>
      </c>
      <c r="H2006" s="5">
        <f>HYPERLINK("https://api.qogita.com/variants/link/5014147001719/", "View Product")</f>
        <v/>
      </c>
    </row>
    <row r="2007">
      <c r="A2007" t="inlineStr">
        <is>
          <t>5014147001788</t>
        </is>
      </c>
      <c r="B2007" t="inlineStr">
        <is>
          <t>Dear Barber Post Shave Balm - 100ml</t>
        </is>
      </c>
      <c r="C2007" t="inlineStr">
        <is>
          <t>Aftershave</t>
        </is>
      </c>
      <c r="D2007" t="inlineStr">
        <is>
          <t>Dear Barber</t>
        </is>
      </c>
      <c r="E2007" t="n">
        <v>7.03</v>
      </c>
      <c r="F2007" t="n">
        <v>1</v>
      </c>
      <c r="G2007" t="n">
        <v>5</v>
      </c>
      <c r="H2007" s="5">
        <f>HYPERLINK("https://api.qogita.com/variants/link/5014147001788/", "View Product")</f>
        <v/>
      </c>
    </row>
    <row r="2008">
      <c r="A2008" t="inlineStr">
        <is>
          <t>5016365004152</t>
        </is>
      </c>
      <c r="B2008" t="inlineStr">
        <is>
          <t>Scottish Fine Soaps Hand Lotion Apple &amp; Spices 300 Ml</t>
        </is>
      </c>
      <c r="C2008" t="inlineStr">
        <is>
          <t>Hand Cream</t>
        </is>
      </c>
      <c r="D2008" t="inlineStr">
        <is>
          <t>Scottish Fine Soaps</t>
        </is>
      </c>
      <c r="E2008" t="n">
        <v>5.95</v>
      </c>
      <c r="F2008" t="n">
        <v>1</v>
      </c>
      <c r="G2008" t="n">
        <v>6</v>
      </c>
      <c r="H2008" s="5">
        <f>HYPERLINK("https://api.qogita.com/variants/link/5016365004152/", "View Product")</f>
        <v/>
      </c>
    </row>
    <row r="2009">
      <c r="A2009" t="inlineStr">
        <is>
          <t>5016365004190</t>
        </is>
      </c>
      <c r="B2009" t="inlineStr">
        <is>
          <t>Scottish Fine Soaps Winter Skin Apple &amp; Spices Body Care Gift Set</t>
        </is>
      </c>
      <c r="C2009" t="inlineStr">
        <is>
          <t>Body Care Sets</t>
        </is>
      </c>
      <c r="D2009" t="inlineStr">
        <is>
          <t>Scottish Fine Soaps</t>
        </is>
      </c>
      <c r="E2009" t="n">
        <v>7.44</v>
      </c>
      <c r="F2009" t="n">
        <v>1</v>
      </c>
      <c r="G2009" t="n">
        <v>14</v>
      </c>
      <c r="H2009" s="5">
        <f>HYPERLINK("https://api.qogita.com/variants/link/5016365004190/", "View Product")</f>
        <v/>
      </c>
    </row>
    <row r="2010">
      <c r="A2010" t="inlineStr">
        <is>
          <t>5016365004237</t>
        </is>
      </c>
      <c r="B2010" t="inlineStr">
        <is>
          <t>Scottish Fine Soaps Ginger, Clove &amp; Mistletoe Hand Lotion Pump Bottle 300ml</t>
        </is>
      </c>
      <c r="C2010" t="inlineStr">
        <is>
          <t>Body Lotion</t>
        </is>
      </c>
      <c r="D2010" t="inlineStr">
        <is>
          <t>Scottish Fine Soaps</t>
        </is>
      </c>
      <c r="E2010" t="n">
        <v>5.95</v>
      </c>
      <c r="F2010" t="n">
        <v>1</v>
      </c>
      <c r="G2010" t="n">
        <v>5</v>
      </c>
      <c r="H2010" s="5">
        <f>HYPERLINK("https://api.qogita.com/variants/link/5016365004237/", "View Product")</f>
        <v/>
      </c>
    </row>
    <row r="2011">
      <c r="A2011" t="inlineStr">
        <is>
          <t>5016365004275</t>
        </is>
      </c>
      <c r="B2011" t="inlineStr">
        <is>
          <t>Scottish Fine Soaps Winter Skin Ginger Clove &amp; Mistletoe Body Care Gift Set</t>
        </is>
      </c>
      <c r="C2011" t="inlineStr">
        <is>
          <t>Body Care Sets</t>
        </is>
      </c>
      <c r="D2011" t="inlineStr">
        <is>
          <t>Scottish Fine Soaps</t>
        </is>
      </c>
      <c r="E2011" t="n">
        <v>7.44</v>
      </c>
      <c r="F2011" t="n">
        <v>1</v>
      </c>
      <c r="G2011" t="n">
        <v>24</v>
      </c>
      <c r="H2011" s="5">
        <f>HYPERLINK("https://api.qogita.com/variants/link/5016365004275/", "View Product")</f>
        <v/>
      </c>
    </row>
    <row r="2012">
      <c r="A2012" t="inlineStr">
        <is>
          <t>5019301053382</t>
        </is>
      </c>
      <c r="B2012" t="inlineStr">
        <is>
          <t>Ultra Liner 2-in-1 Eyeliner &amp; Lash Enhancing Serum White Shade</t>
        </is>
      </c>
      <c r="C2012" t="inlineStr">
        <is>
          <t>Eyeliner</t>
        </is>
      </c>
      <c r="D2012" t="inlineStr">
        <is>
          <t>Barry M</t>
        </is>
      </c>
      <c r="E2012" t="n">
        <v>5.32</v>
      </c>
      <c r="F2012" t="n">
        <v>1</v>
      </c>
      <c r="G2012" t="n">
        <v>2</v>
      </c>
      <c r="H2012" s="5">
        <f>HYPERLINK("https://api.qogita.com/variants/link/5019301053382/", "View Product")</f>
        <v/>
      </c>
    </row>
    <row r="2013">
      <c r="A2013" t="inlineStr">
        <is>
          <t>5019301191008</t>
        </is>
      </c>
      <c r="B2013" t="inlineStr">
        <is>
          <t>Barry M Cosmetics Glitter Fixing Gel 10ml</t>
        </is>
      </c>
      <c r="C2013" t="inlineStr">
        <is>
          <t>Body Makeup</t>
        </is>
      </c>
      <c r="D2013" t="inlineStr">
        <is>
          <t>Barry M</t>
        </is>
      </c>
      <c r="E2013" t="n">
        <v>7.32</v>
      </c>
      <c r="F2013" t="n">
        <v>1</v>
      </c>
      <c r="G2013" t="n">
        <v>2</v>
      </c>
      <c r="H2013" s="5">
        <f>HYPERLINK("https://api.qogita.com/variants/link/5019301191008/", "View Product")</f>
        <v/>
      </c>
    </row>
    <row r="2014">
      <c r="A2014" t="inlineStr">
        <is>
          <t>5019487085986</t>
        </is>
      </c>
      <c r="B2014" t="inlineStr">
        <is>
          <t>Riobeauty 24 Led Touch Dimmable Cosmetic Mirror</t>
        </is>
      </c>
      <c r="C2014" t="inlineStr">
        <is>
          <t>Facial Cleansing Brushes</t>
        </is>
      </c>
      <c r="D2014" t="inlineStr">
        <is>
          <t>Rio Beauty</t>
        </is>
      </c>
      <c r="E2014" t="n">
        <v>29.84</v>
      </c>
      <c r="F2014" t="n">
        <v>1</v>
      </c>
      <c r="G2014" t="n">
        <v>4</v>
      </c>
      <c r="H2014" s="5">
        <f>HYPERLINK("https://api.qogita.com/variants/link/5019487085986/", "View Product")</f>
        <v/>
      </c>
    </row>
    <row r="2015">
      <c r="A2015" t="inlineStr">
        <is>
          <t>5019487085993</t>
        </is>
      </c>
      <c r="B2015" t="inlineStr">
        <is>
          <t>Rio Beauty Vanity Mirror With Led Lighting, 7 X 7 X 20 Cm, White</t>
        </is>
      </c>
      <c r="C2015" t="inlineStr">
        <is>
          <t>Toiletries Bags</t>
        </is>
      </c>
      <c r="D2015" t="inlineStr">
        <is>
          <t>Rio Beauty</t>
        </is>
      </c>
      <c r="E2015" t="n">
        <v>29.84</v>
      </c>
      <c r="F2015" t="n">
        <v>1</v>
      </c>
      <c r="G2015" t="n">
        <v>2</v>
      </c>
      <c r="H2015" s="5">
        <f>HYPERLINK("https://api.qogita.com/variants/link/5019487085993/", "View Product")</f>
        <v/>
      </c>
    </row>
    <row r="2016">
      <c r="A2016" t="inlineStr">
        <is>
          <t>5019487086068</t>
        </is>
      </c>
      <c r="B2016" t="inlineStr">
        <is>
          <t>Rio Smile White Teeth Whitening Pre-Treatment Spray and Gel</t>
        </is>
      </c>
      <c r="C2016" t="inlineStr">
        <is>
          <t>Teeth Whiteners</t>
        </is>
      </c>
      <c r="D2016" t="inlineStr">
        <is>
          <t>Rio</t>
        </is>
      </c>
      <c r="E2016" t="n">
        <v>29.65</v>
      </c>
      <c r="F2016" t="n">
        <v>1</v>
      </c>
      <c r="G2016" t="n">
        <v>2</v>
      </c>
      <c r="H2016" s="5">
        <f>HYPERLINK("https://api.qogita.com/variants/link/5019487086068/", "View Product")</f>
        <v/>
      </c>
    </row>
    <row r="2017">
      <c r="A2017" t="inlineStr">
        <is>
          <t>5023977030509</t>
        </is>
      </c>
      <c r="B2017" t="inlineStr">
        <is>
          <t>Worth Je Reviens Eau De Toilette</t>
        </is>
      </c>
      <c r="C2017" t="inlineStr">
        <is>
          <t>Eau De Toilette</t>
        </is>
      </c>
      <c r="D2017" t="inlineStr">
        <is>
          <t>Worth</t>
        </is>
      </c>
      <c r="E2017" t="n">
        <v>10.75</v>
      </c>
      <c r="F2017" t="n">
        <v>1</v>
      </c>
      <c r="G2017" t="n">
        <v>34</v>
      </c>
      <c r="H2017" s="5">
        <f>HYPERLINK("https://api.qogita.com/variants/link/5023977030509/", "View Product")</f>
        <v/>
      </c>
    </row>
    <row r="2018">
      <c r="A2018" t="inlineStr">
        <is>
          <t>5025135112485</t>
        </is>
      </c>
      <c r="B2018" t="inlineStr">
        <is>
          <t>Malibu Soothing Moisturizing Vitamin Enriched After-Sun Lotion 200ml</t>
        </is>
      </c>
      <c r="C2018" t="inlineStr">
        <is>
          <t>Aftersun</t>
        </is>
      </c>
      <c r="D2018" t="inlineStr">
        <is>
          <t>Malibu</t>
        </is>
      </c>
      <c r="E2018" t="n">
        <v>8.609999999999999</v>
      </c>
      <c r="F2018" t="n">
        <v>1</v>
      </c>
      <c r="G2018" t="n">
        <v>3</v>
      </c>
      <c r="H2018" s="5">
        <f>HYPERLINK("https://api.qogita.com/variants/link/5025135112485/", "View Product")</f>
        <v/>
      </c>
    </row>
    <row r="2019">
      <c r="A2019" t="inlineStr">
        <is>
          <t>5025135114083</t>
        </is>
      </c>
      <c r="B2019" t="inlineStr">
        <is>
          <t>Malibu Kids SPF 30 Lotion High Protection Sun Cream with Vitamin E and Aloe Vera 200ml</t>
        </is>
      </c>
      <c r="C2019" t="inlineStr">
        <is>
          <t>Sun Protection For Children</t>
        </is>
      </c>
      <c r="D2019" t="inlineStr">
        <is>
          <t>Malibu</t>
        </is>
      </c>
      <c r="E2019" t="n">
        <v>3.79</v>
      </c>
      <c r="F2019" t="n">
        <v>1</v>
      </c>
      <c r="G2019" t="n">
        <v>89</v>
      </c>
      <c r="H2019" s="5">
        <f>HYPERLINK("https://api.qogita.com/variants/link/5025135114083/", "View Product")</f>
        <v/>
      </c>
    </row>
    <row r="2020">
      <c r="A2020" t="inlineStr">
        <is>
          <t>5025452000618</t>
        </is>
      </c>
      <c r="B2020" t="inlineStr">
        <is>
          <t>Salt Of The Earth Natural Ball Deodorant With Watermelon And Cucumber 75 Ml</t>
        </is>
      </c>
      <c r="C2020" t="inlineStr">
        <is>
          <t>Deodorant &amp; Anti-Perspirant</t>
        </is>
      </c>
      <c r="D2020" t="inlineStr">
        <is>
          <t>Salt Of The Earth</t>
        </is>
      </c>
      <c r="E2020" t="n">
        <v>9.24</v>
      </c>
      <c r="F2020" t="n">
        <v>1</v>
      </c>
      <c r="G2020" t="n">
        <v>7</v>
      </c>
      <c r="H2020" s="5">
        <f>HYPERLINK("https://api.qogita.com/variants/link/5025452000618/", "View Product")</f>
        <v/>
      </c>
    </row>
    <row r="2021">
      <c r="A2021" t="inlineStr">
        <is>
          <t>5025452000823</t>
        </is>
      </c>
      <c r="B2021" t="inlineStr">
        <is>
          <t>Salt Of The Earth Natural Deodorant Balm Amber &amp; Sandalwood 60g</t>
        </is>
      </c>
      <c r="C2021" t="inlineStr">
        <is>
          <t>Deodorant &amp; Anti-Perspirant</t>
        </is>
      </c>
      <c r="D2021" t="inlineStr">
        <is>
          <t>Salt Of The Earth</t>
        </is>
      </c>
      <c r="E2021" t="n">
        <v>12.87</v>
      </c>
      <c r="F2021" t="n">
        <v>1</v>
      </c>
      <c r="G2021" t="n">
        <v>5</v>
      </c>
      <c r="H2021" s="5">
        <f>HYPERLINK("https://api.qogita.com/variants/link/5025452000823/", "View Product")</f>
        <v/>
      </c>
    </row>
    <row r="2022">
      <c r="A2022" t="inlineStr">
        <is>
          <t>5025452001875</t>
        </is>
      </c>
      <c r="B2022" t="inlineStr">
        <is>
          <t>Salt Of The Earth Amber &amp; Santalwood Natural Rollon Deodorant Refill 525 Ml</t>
        </is>
      </c>
      <c r="C2022" t="inlineStr">
        <is>
          <t>Deodorant &amp; Anti-Perspirant</t>
        </is>
      </c>
      <c r="D2022" t="inlineStr">
        <is>
          <t>Salt Of The Earth</t>
        </is>
      </c>
      <c r="E2022" t="n">
        <v>42.5</v>
      </c>
      <c r="F2022" t="n">
        <v>1</v>
      </c>
      <c r="G2022" t="n">
        <v>4</v>
      </c>
      <c r="H2022" s="5">
        <f>HYPERLINK("https://api.qogita.com/variants/link/5025452001875/", "View Product")</f>
        <v/>
      </c>
    </row>
    <row r="2023">
      <c r="A2023" t="inlineStr">
        <is>
          <t>5025452001929</t>
        </is>
      </c>
      <c r="B2023" t="inlineStr">
        <is>
          <t>Salt of the Earth Natural Deodorant Roll On Sweet Strawberry 75ml</t>
        </is>
      </c>
      <c r="C2023" t="inlineStr">
        <is>
          <t>Deodorant &amp; Anti-Perspirant</t>
        </is>
      </c>
      <c r="D2023" t="inlineStr">
        <is>
          <t>Salt Of The Earth</t>
        </is>
      </c>
      <c r="E2023" t="n">
        <v>9.800000000000001</v>
      </c>
      <c r="F2023" t="n">
        <v>1</v>
      </c>
      <c r="G2023" t="n">
        <v>5</v>
      </c>
      <c r="H2023" s="5">
        <f>HYPERLINK("https://api.qogita.com/variants/link/5025452001929/", "View Product")</f>
        <v/>
      </c>
    </row>
    <row r="2024">
      <c r="A2024" t="inlineStr">
        <is>
          <t>5025452002421</t>
        </is>
      </c>
      <c r="B2024" t="inlineStr">
        <is>
          <t>Salt Of The Earth Spiced Gingerbread Deodorant Spray 100 Ml</t>
        </is>
      </c>
      <c r="C2024" t="inlineStr">
        <is>
          <t>Deodorant &amp; Anti-Perspirant</t>
        </is>
      </c>
      <c r="D2024" t="inlineStr">
        <is>
          <t>Salt Of The Earth</t>
        </is>
      </c>
      <c r="E2024" t="n">
        <v>10.27</v>
      </c>
      <c r="F2024" t="n">
        <v>1</v>
      </c>
      <c r="G2024" t="n">
        <v>3</v>
      </c>
      <c r="H2024" s="5">
        <f>HYPERLINK("https://api.qogita.com/variants/link/5025452002421/", "View Product")</f>
        <v/>
      </c>
    </row>
    <row r="2025">
      <c r="A2025" t="inlineStr">
        <is>
          <t>5028197155162</t>
        </is>
      </c>
      <c r="B2025" t="inlineStr">
        <is>
          <t>The Body Shop Moisturising Hand Balm 30ml for Dry Skin</t>
        </is>
      </c>
      <c r="C2025" t="inlineStr">
        <is>
          <t>Hand Cream</t>
        </is>
      </c>
      <c r="D2025" t="inlineStr">
        <is>
          <t>The Body Shop</t>
        </is>
      </c>
      <c r="E2025" t="n">
        <v>6.73</v>
      </c>
      <c r="F2025" t="n">
        <v>1</v>
      </c>
      <c r="G2025" t="n">
        <v>3</v>
      </c>
      <c r="H2025" s="5">
        <f>HYPERLINK("https://api.qogita.com/variants/link/5028197155162/", "View Product")</f>
        <v/>
      </c>
    </row>
    <row r="2026">
      <c r="A2026" t="inlineStr">
        <is>
          <t>5028197157173</t>
        </is>
      </c>
      <c r="B2026" t="inlineStr">
        <is>
          <t>The Body Shop Strawberry Body Butter Moisturizing Body Butter With The Scent Of Strawberries</t>
        </is>
      </c>
      <c r="C2026" t="inlineStr">
        <is>
          <t>Body Butter</t>
        </is>
      </c>
      <c r="D2026" t="inlineStr">
        <is>
          <t>The Body Shop</t>
        </is>
      </c>
      <c r="E2026" t="n">
        <v>15.19</v>
      </c>
      <c r="F2026" t="n">
        <v>1</v>
      </c>
      <c r="G2026" t="n">
        <v>12</v>
      </c>
      <c r="H2026" s="5">
        <f>HYPERLINK("https://api.qogita.com/variants/link/5028197157173/", "View Product")</f>
        <v/>
      </c>
    </row>
    <row r="2027">
      <c r="A2027" t="inlineStr">
        <is>
          <t>5028197186814</t>
        </is>
      </c>
      <c r="B2027" t="inlineStr">
        <is>
          <t>The Body Shop Blissful Strawberry EDT 50ml</t>
        </is>
      </c>
      <c r="C2027" t="inlineStr">
        <is>
          <t>Eau De Toilette</t>
        </is>
      </c>
      <c r="D2027" t="inlineStr">
        <is>
          <t>The Body Shop</t>
        </is>
      </c>
      <c r="E2027" t="n">
        <v>27.17</v>
      </c>
      <c r="F2027" t="n">
        <v>1</v>
      </c>
      <c r="G2027" t="n">
        <v>5</v>
      </c>
      <c r="H2027" s="5">
        <f>HYPERLINK("https://api.qogita.com/variants/link/5028197186814/", "View Product")</f>
        <v/>
      </c>
    </row>
    <row r="2028">
      <c r="A2028" t="inlineStr">
        <is>
          <t>5028197199944</t>
        </is>
      </c>
      <c r="B2028" t="inlineStr">
        <is>
          <t>The Body Shop Vibrant Bergamot Eau De Toilette 50ml</t>
        </is>
      </c>
      <c r="C2028" t="inlineStr">
        <is>
          <t>Eau De Toilette</t>
        </is>
      </c>
      <c r="D2028" t="inlineStr">
        <is>
          <t>The Body Shop</t>
        </is>
      </c>
      <c r="E2028" t="n">
        <v>29.49</v>
      </c>
      <c r="F2028" t="n">
        <v>1</v>
      </c>
      <c r="G2028" t="n">
        <v>3</v>
      </c>
      <c r="H2028" s="5">
        <f>HYPERLINK("https://api.qogita.com/variants/link/5028197199944/", "View Product")</f>
        <v/>
      </c>
    </row>
    <row r="2029">
      <c r="A2029" t="inlineStr">
        <is>
          <t>5028197235802</t>
        </is>
      </c>
      <c r="B2029" t="inlineStr">
        <is>
          <t>The Body Shop Olive Shower Gel</t>
        </is>
      </c>
      <c r="C2029" t="inlineStr">
        <is>
          <t>Shower Gel</t>
        </is>
      </c>
      <c r="D2029" t="inlineStr">
        <is>
          <t>The Body Shop</t>
        </is>
      </c>
      <c r="E2029" t="n">
        <v>7.08</v>
      </c>
      <c r="F2029" t="n">
        <v>1</v>
      </c>
      <c r="G2029" t="n">
        <v>54</v>
      </c>
      <c r="H2029" s="5">
        <f>HYPERLINK("https://api.qogita.com/variants/link/5028197235802/", "View Product")</f>
        <v/>
      </c>
    </row>
    <row r="2030">
      <c r="A2030" t="inlineStr">
        <is>
          <t>5028197235833</t>
        </is>
      </c>
      <c r="B2030" t="inlineStr">
        <is>
          <t>The Body Shop Almond Milk Shower Cream 250ml</t>
        </is>
      </c>
      <c r="C2030" t="inlineStr">
        <is>
          <t>Shower Gel</t>
        </is>
      </c>
      <c r="D2030" t="inlineStr">
        <is>
          <t>The Body Shop</t>
        </is>
      </c>
      <c r="E2030" t="n">
        <v>7.11</v>
      </c>
      <c r="F2030" t="n">
        <v>1</v>
      </c>
      <c r="G2030" t="n">
        <v>18</v>
      </c>
      <c r="H2030" s="5">
        <f>HYPERLINK("https://api.qogita.com/variants/link/5028197235833/", "View Product")</f>
        <v/>
      </c>
    </row>
    <row r="2031">
      <c r="A2031" t="inlineStr">
        <is>
          <t>5028197236267</t>
        </is>
      </c>
      <c r="B2031" t="inlineStr">
        <is>
          <t>The Body Shop White Musk Sumptuous Silk Shower Gel 250ml</t>
        </is>
      </c>
      <c r="C2031" t="inlineStr">
        <is>
          <t>Shower Gel</t>
        </is>
      </c>
      <c r="D2031" t="inlineStr">
        <is>
          <t>The Body Shop</t>
        </is>
      </c>
      <c r="E2031" t="n">
        <v>9.289999999999999</v>
      </c>
      <c r="F2031" t="n">
        <v>1</v>
      </c>
      <c r="G2031" t="n">
        <v>81</v>
      </c>
      <c r="H2031" s="5">
        <f>HYPERLINK("https://api.qogita.com/variants/link/5028197236267/", "View Product")</f>
        <v/>
      </c>
    </row>
    <row r="2032">
      <c r="A2032" t="inlineStr">
        <is>
          <t>5028197252564</t>
        </is>
      </c>
      <c r="B2032" t="inlineStr">
        <is>
          <t>The Body Shop Hemp Body Butter Body Butter For Extra Dry Skin</t>
        </is>
      </c>
      <c r="C2032" t="inlineStr">
        <is>
          <t>Body Butter</t>
        </is>
      </c>
      <c r="D2032" t="inlineStr">
        <is>
          <t>The Body Shop</t>
        </is>
      </c>
      <c r="E2032" t="n">
        <v>16.98</v>
      </c>
      <c r="F2032" t="n">
        <v>1</v>
      </c>
      <c r="G2032" t="n">
        <v>43</v>
      </c>
      <c r="H2032" s="5">
        <f>HYPERLINK("https://api.qogita.com/variants/link/5028197252564/", "View Product")</f>
        <v/>
      </c>
    </row>
    <row r="2033">
      <c r="A2033" t="inlineStr">
        <is>
          <t>5028197253103</t>
        </is>
      </c>
      <c r="B2033" t="inlineStr">
        <is>
          <t>The Body Shop Peppermint Invigorating Foot Cream</t>
        </is>
      </c>
      <c r="C2033" t="inlineStr">
        <is>
          <t>Foot Cream</t>
        </is>
      </c>
      <c r="D2033" t="inlineStr">
        <is>
          <t>The Body Shop</t>
        </is>
      </c>
      <c r="E2033" t="n">
        <v>10.96</v>
      </c>
      <c r="F2033" t="n">
        <v>1</v>
      </c>
      <c r="G2033" t="n">
        <v>27</v>
      </c>
      <c r="H2033" s="5">
        <f>HYPERLINK("https://api.qogita.com/variants/link/5028197253103/", "View Product")</f>
        <v/>
      </c>
    </row>
    <row r="2034">
      <c r="A2034" t="inlineStr">
        <is>
          <t>5028197253257</t>
        </is>
      </c>
      <c r="B2034" t="inlineStr">
        <is>
          <t>The Body Shop Peppermint Shower Gel</t>
        </is>
      </c>
      <c r="C2034" t="inlineStr">
        <is>
          <t>Shower Gel</t>
        </is>
      </c>
      <c r="D2034" t="inlineStr">
        <is>
          <t>The Body Shop</t>
        </is>
      </c>
      <c r="E2034" t="n">
        <v>7.88</v>
      </c>
      <c r="F2034" t="n">
        <v>1</v>
      </c>
      <c r="G2034" t="n">
        <v>2</v>
      </c>
      <c r="H2034" s="5">
        <f>HYPERLINK("https://api.qogita.com/variants/link/5028197253257/", "View Product")</f>
        <v/>
      </c>
    </row>
    <row r="2035">
      <c r="A2035" t="inlineStr">
        <is>
          <t>5028197254988</t>
        </is>
      </c>
      <c r="B2035" t="inlineStr">
        <is>
          <t>The Body Shop Blue Musk Fragrance Mist Vegan 100ml</t>
        </is>
      </c>
      <c r="C2035" t="inlineStr">
        <is>
          <t>Eau De Toilette</t>
        </is>
      </c>
      <c r="D2035" t="inlineStr">
        <is>
          <t>The Body Shop</t>
        </is>
      </c>
      <c r="E2035" t="n">
        <v>19</v>
      </c>
      <c r="F2035" t="n">
        <v>1</v>
      </c>
      <c r="G2035" t="n">
        <v>5</v>
      </c>
      <c r="H2035" s="5">
        <f>HYPERLINK("https://api.qogita.com/variants/link/5028197254988/", "View Product")</f>
        <v/>
      </c>
    </row>
    <row r="2036">
      <c r="A2036" t="inlineStr">
        <is>
          <t>5028197255800</t>
        </is>
      </c>
      <c r="B2036" t="inlineStr">
        <is>
          <t>The Body Shop Blue Musk Zest Eau de Toilette 60ml</t>
        </is>
      </c>
      <c r="C2036" t="inlineStr">
        <is>
          <t>Eau De Toilette</t>
        </is>
      </c>
      <c r="D2036" t="inlineStr">
        <is>
          <t>The Body Shop</t>
        </is>
      </c>
      <c r="E2036" t="n">
        <v>29.49</v>
      </c>
      <c r="F2036" t="n">
        <v>1</v>
      </c>
      <c r="G2036" t="n">
        <v>9</v>
      </c>
      <c r="H2036" s="5">
        <f>HYPERLINK("https://api.qogita.com/variants/link/5028197255800/", "View Product")</f>
        <v/>
      </c>
    </row>
    <row r="2037">
      <c r="A2037" t="inlineStr">
        <is>
          <t>5028197269265</t>
        </is>
      </c>
      <c r="B2037" t="inlineStr">
        <is>
          <t>The Body Shop Seaweed Gel Cream for Oily and Combination Skin 1.7 Oz</t>
        </is>
      </c>
      <c r="C2037" t="inlineStr">
        <is>
          <t>Face Cream</t>
        </is>
      </c>
      <c r="D2037" t="inlineStr">
        <is>
          <t>The Body Shop</t>
        </is>
      </c>
      <c r="E2037" t="n">
        <v>14.52</v>
      </c>
      <c r="F2037" t="n">
        <v>1</v>
      </c>
      <c r="G2037" t="n">
        <v>2</v>
      </c>
      <c r="H2037" s="5">
        <f>HYPERLINK("https://api.qogita.com/variants/link/5028197269265/", "View Product")</f>
        <v/>
      </c>
    </row>
    <row r="2038">
      <c r="A2038" t="inlineStr">
        <is>
          <t>5028197272128</t>
        </is>
      </c>
      <c r="B2038" t="inlineStr">
        <is>
          <t>The Body Shop Vitamin C Eye Glow Serum 10ml</t>
        </is>
      </c>
      <c r="C2038" t="inlineStr">
        <is>
          <t>Glow Serum</t>
        </is>
      </c>
      <c r="D2038" t="inlineStr">
        <is>
          <t>The Body Shop</t>
        </is>
      </c>
      <c r="E2038" t="n">
        <v>21.78</v>
      </c>
      <c r="F2038" t="n">
        <v>1</v>
      </c>
      <c r="G2038" t="n">
        <v>3</v>
      </c>
      <c r="H2038" s="5">
        <f>HYPERLINK("https://api.qogita.com/variants/link/5028197272128/", "View Product")</f>
        <v/>
      </c>
    </row>
    <row r="2039">
      <c r="A2039" t="inlineStr">
        <is>
          <t>5028197313975</t>
        </is>
      </c>
      <c r="B2039" t="inlineStr">
        <is>
          <t>The Body Shop Hand Cream 100ml</t>
        </is>
      </c>
      <c r="C2039" t="inlineStr">
        <is>
          <t>Hand Cream</t>
        </is>
      </c>
      <c r="D2039" t="inlineStr">
        <is>
          <t>The Body Shop</t>
        </is>
      </c>
      <c r="E2039" t="n">
        <v>12.74</v>
      </c>
      <c r="F2039" t="n">
        <v>1</v>
      </c>
      <c r="G2039" t="n">
        <v>4</v>
      </c>
      <c r="H2039" s="5">
        <f>HYPERLINK("https://api.qogita.com/variants/link/5028197313975/", "View Product")</f>
        <v/>
      </c>
    </row>
    <row r="2040">
      <c r="A2040" t="inlineStr">
        <is>
          <t>5028197314026</t>
        </is>
      </c>
      <c r="B2040" t="inlineStr">
        <is>
          <t>The Body Shop Shea Hand Cream 100ml Shea Butter</t>
        </is>
      </c>
      <c r="C2040" t="inlineStr">
        <is>
          <t>Hand Cream</t>
        </is>
      </c>
      <c r="D2040" t="inlineStr">
        <is>
          <t>The Body Shop</t>
        </is>
      </c>
      <c r="E2040" t="n">
        <v>12.7</v>
      </c>
      <c r="F2040" t="n">
        <v>1</v>
      </c>
      <c r="G2040" t="n">
        <v>8</v>
      </c>
      <c r="H2040" s="5">
        <f>HYPERLINK("https://api.qogita.com/variants/link/5028197314026/", "View Product")</f>
        <v/>
      </c>
    </row>
    <row r="2041">
      <c r="A2041" t="inlineStr">
        <is>
          <t>5028197332617</t>
        </is>
      </c>
      <c r="B2041" t="inlineStr">
        <is>
          <t>The Body Shop Mango Refreshing Shower Gel</t>
        </is>
      </c>
      <c r="C2041" t="inlineStr">
        <is>
          <t>Shower Gel</t>
        </is>
      </c>
      <c r="D2041" t="inlineStr">
        <is>
          <t>The Body Shop</t>
        </is>
      </c>
      <c r="E2041" t="n">
        <v>4.92</v>
      </c>
      <c r="F2041" t="n">
        <v>1</v>
      </c>
      <c r="G2041" t="n">
        <v>2</v>
      </c>
      <c r="H2041" s="5">
        <f>HYPERLINK("https://api.qogita.com/variants/link/5028197332617/", "View Product")</f>
        <v/>
      </c>
    </row>
    <row r="2042">
      <c r="A2042" t="inlineStr">
        <is>
          <t>5028197332655</t>
        </is>
      </c>
      <c r="B2042" t="inlineStr">
        <is>
          <t>The Body Shop Coconut Shower Cream For Dry Skin</t>
        </is>
      </c>
      <c r="C2042" t="inlineStr">
        <is>
          <t>Shower Gel</t>
        </is>
      </c>
      <c r="D2042" t="inlineStr">
        <is>
          <t>The Body Shop</t>
        </is>
      </c>
      <c r="E2042" t="n">
        <v>4.82</v>
      </c>
      <c r="F2042" t="n">
        <v>1</v>
      </c>
      <c r="G2042" t="n">
        <v>4</v>
      </c>
      <c r="H2042" s="5">
        <f>HYPERLINK("https://api.qogita.com/variants/link/5028197332655/", "View Product")</f>
        <v/>
      </c>
    </row>
    <row r="2043">
      <c r="A2043" t="inlineStr">
        <is>
          <t>5028197335953</t>
        </is>
      </c>
      <c r="B2043" t="inlineStr">
        <is>
          <t>The Body Shop Shea Conditioner 250ml</t>
        </is>
      </c>
      <c r="C2043" t="inlineStr">
        <is>
          <t>Conditioner</t>
        </is>
      </c>
      <c r="D2043" t="inlineStr">
        <is>
          <t>The Body Shop</t>
        </is>
      </c>
      <c r="E2043" t="n">
        <v>8.92</v>
      </c>
      <c r="F2043" t="n">
        <v>1</v>
      </c>
      <c r="G2043" t="n">
        <v>24</v>
      </c>
      <c r="H2043" s="5">
        <f>HYPERLINK("https://api.qogita.com/variants/link/5028197335953/", "View Product")</f>
        <v/>
      </c>
    </row>
    <row r="2044">
      <c r="A2044" t="inlineStr">
        <is>
          <t>5028197345174</t>
        </is>
      </c>
      <c r="B2044" t="inlineStr">
        <is>
          <t>The Body Shop Coconut Body Milk 200ml</t>
        </is>
      </c>
      <c r="C2044" t="inlineStr">
        <is>
          <t>Body Lotion</t>
        </is>
      </c>
      <c r="D2044" t="inlineStr">
        <is>
          <t>The Body Shop</t>
        </is>
      </c>
      <c r="E2044" t="n">
        <v>12.65</v>
      </c>
      <c r="F2044" t="n">
        <v>1</v>
      </c>
      <c r="G2044" t="n">
        <v>17</v>
      </c>
      <c r="H2044" s="5">
        <f>HYPERLINK("https://api.qogita.com/variants/link/5028197345174/", "View Product")</f>
        <v/>
      </c>
    </row>
    <row r="2045">
      <c r="A2045" t="inlineStr">
        <is>
          <t>5028197386511</t>
        </is>
      </c>
      <c r="B2045" t="inlineStr">
        <is>
          <t>The Body Shop Bloom &amp; Glow British Rose Essentials Body Care Holiday Gift Set 5-Piece</t>
        </is>
      </c>
      <c r="C2045" t="inlineStr">
        <is>
          <t>Body Care Sets</t>
        </is>
      </c>
      <c r="D2045" t="inlineStr">
        <is>
          <t>The Body Shop</t>
        </is>
      </c>
      <c r="E2045" t="n">
        <v>30.92</v>
      </c>
      <c r="F2045" t="n">
        <v>1</v>
      </c>
      <c r="G2045" t="n">
        <v>5</v>
      </c>
      <c r="H2045" s="5">
        <f>HYPERLINK("https://api.qogita.com/variants/link/5028197386511/", "View Product")</f>
        <v/>
      </c>
    </row>
    <row r="2046">
      <c r="A2046" t="inlineStr">
        <is>
          <t>5028197420031</t>
        </is>
      </c>
      <c r="B2046" t="inlineStr">
        <is>
          <t>The Body Shop Satsuma Body Butter For Normal Skin 200 Ml</t>
        </is>
      </c>
      <c r="C2046" t="inlineStr">
        <is>
          <t>Body Butter</t>
        </is>
      </c>
      <c r="D2046" t="inlineStr">
        <is>
          <t>The Body Shop</t>
        </is>
      </c>
      <c r="E2046" t="n">
        <v>16.37</v>
      </c>
      <c r="F2046" t="n">
        <v>1</v>
      </c>
      <c r="G2046" t="n">
        <v>68</v>
      </c>
      <c r="H2046" s="5">
        <f>HYPERLINK("https://api.qogita.com/variants/link/5028197420031/", "View Product")</f>
        <v/>
      </c>
    </row>
    <row r="2047">
      <c r="A2047" t="inlineStr">
        <is>
          <t>5028197420215</t>
        </is>
      </c>
      <c r="B2047" t="inlineStr">
        <is>
          <t>Nourish Flourish Shea Duo Body Butter And Shower Gel Set - 50ml Body Butter And 60ml Shower Gel</t>
        </is>
      </c>
      <c r="C2047" t="inlineStr">
        <is>
          <t>Body Care Sets</t>
        </is>
      </c>
      <c r="D2047" t="inlineStr">
        <is>
          <t>Nourish Flourish</t>
        </is>
      </c>
      <c r="E2047" t="n">
        <v>16.17</v>
      </c>
      <c r="F2047" t="n">
        <v>1</v>
      </c>
      <c r="G2047" t="n">
        <v>38</v>
      </c>
      <c r="H2047" s="5">
        <f>HYPERLINK("https://api.qogita.com/variants/link/5028197420215/", "View Product")</f>
        <v/>
      </c>
    </row>
    <row r="2048">
      <c r="A2048" t="inlineStr">
        <is>
          <t>5028197420420</t>
        </is>
      </c>
      <c r="B2048" t="inlineStr">
        <is>
          <t>Nourish Flourish Shea Gift Box - A Perfect Gift Set For Beauty Enthusiasts</t>
        </is>
      </c>
      <c r="C2048" t="inlineStr">
        <is>
          <t>Facial Care Sets</t>
        </is>
      </c>
      <c r="D2048" t="inlineStr">
        <is>
          <t>Nourish Flourish</t>
        </is>
      </c>
      <c r="E2048" t="n">
        <v>39.33</v>
      </c>
      <c r="F2048" t="n">
        <v>1</v>
      </c>
      <c r="G2048" t="n">
        <v>32</v>
      </c>
      <c r="H2048" s="5">
        <f>HYPERLINK("https://api.qogita.com/variants/link/5028197420420/", "View Product")</f>
        <v/>
      </c>
    </row>
    <row r="2049">
      <c r="A2049" t="inlineStr">
        <is>
          <t>5028197420536</t>
        </is>
      </c>
      <c r="B2049" t="inlineStr">
        <is>
          <t>The Body Shop Shea G4 Medium Body Care Gift Set</t>
        </is>
      </c>
      <c r="C2049" t="inlineStr">
        <is>
          <t>Body Care Sets</t>
        </is>
      </c>
      <c r="D2049" t="inlineStr">
        <is>
          <t>The Body Shop</t>
        </is>
      </c>
      <c r="E2049" t="n">
        <v>52.27</v>
      </c>
      <c r="F2049" t="n">
        <v>1</v>
      </c>
      <c r="G2049" t="n">
        <v>71</v>
      </c>
      <c r="H2049" s="5">
        <f>HYPERLINK("https://api.qogita.com/variants/link/5028197420536/", "View Product")</f>
        <v/>
      </c>
    </row>
    <row r="2050">
      <c r="A2050" t="inlineStr">
        <is>
          <t>5028197420673</t>
        </is>
      </c>
      <c r="B2050" t="inlineStr">
        <is>
          <t>The Body Shop G2 Trio Hand Care Gift Set Hand Balm</t>
        </is>
      </c>
      <c r="C2050" t="inlineStr">
        <is>
          <t>Hand Care Sets</t>
        </is>
      </c>
      <c r="D2050" t="inlineStr">
        <is>
          <t>The Body Shop</t>
        </is>
      </c>
      <c r="E2050" t="n">
        <v>20.22</v>
      </c>
      <c r="F2050" t="n">
        <v>1</v>
      </c>
      <c r="G2050" t="n">
        <v>66</v>
      </c>
      <c r="H2050" s="5">
        <f>HYPERLINK("https://api.qogita.com/variants/link/5028197420673/", "View Product")</f>
        <v/>
      </c>
    </row>
    <row r="2051">
      <c r="A2051" t="inlineStr">
        <is>
          <t>5028197425500</t>
        </is>
      </c>
      <c r="B2051" t="inlineStr">
        <is>
          <t>The Body Shop Ginger Anti-Dandruff Shampoo 400ml</t>
        </is>
      </c>
      <c r="C2051" t="inlineStr">
        <is>
          <t>Shampoo</t>
        </is>
      </c>
      <c r="D2051" t="inlineStr">
        <is>
          <t>The Body Shop</t>
        </is>
      </c>
      <c r="E2051" t="n">
        <v>10.56</v>
      </c>
      <c r="F2051" t="n">
        <v>1</v>
      </c>
      <c r="G2051" t="n">
        <v>37</v>
      </c>
      <c r="H2051" s="5">
        <f>HYPERLINK("https://api.qogita.com/variants/link/5028197425500/", "View Product")</f>
        <v/>
      </c>
    </row>
    <row r="2052">
      <c r="A2052" t="inlineStr">
        <is>
          <t>5028197961565</t>
        </is>
      </c>
      <c r="B2052" t="inlineStr">
        <is>
          <t>The Body Shop Facial Mask Brush</t>
        </is>
      </c>
      <c r="C2052" t="inlineStr">
        <is>
          <t>Facial Cleansing Tools</t>
        </is>
      </c>
      <c r="D2052" t="inlineStr">
        <is>
          <t>The Body Shop</t>
        </is>
      </c>
      <c r="E2052" t="n">
        <v>9.859999999999999</v>
      </c>
      <c r="F2052" t="n">
        <v>1</v>
      </c>
      <c r="G2052" t="n">
        <v>5</v>
      </c>
      <c r="H2052" s="5">
        <f>HYPERLINK("https://api.qogita.com/variants/link/5028197961565/", "View Product")</f>
        <v/>
      </c>
    </row>
    <row r="2053">
      <c r="A2053" t="inlineStr">
        <is>
          <t>5028197973698</t>
        </is>
      </c>
      <c r="B2053" t="inlineStr">
        <is>
          <t>The Body Shop Coconut Body Butter</t>
        </is>
      </c>
      <c r="C2053" t="inlineStr">
        <is>
          <t>Body Butter</t>
        </is>
      </c>
      <c r="D2053" t="inlineStr">
        <is>
          <t>The Body Shop</t>
        </is>
      </c>
      <c r="E2053" t="n">
        <v>15.22</v>
      </c>
      <c r="F2053" t="n">
        <v>1</v>
      </c>
      <c r="G2053" t="n">
        <v>195</v>
      </c>
      <c r="H2053" s="5">
        <f>HYPERLINK("https://api.qogita.com/variants/link/5028197973698/", "View Product")</f>
        <v/>
      </c>
    </row>
    <row r="2054">
      <c r="A2054" t="inlineStr">
        <is>
          <t>5028197973865</t>
        </is>
      </c>
      <c r="B2054" t="inlineStr">
        <is>
          <t>The Body Shop Shea Body Butter 50ml</t>
        </is>
      </c>
      <c r="C2054" t="inlineStr">
        <is>
          <t>Body Butter</t>
        </is>
      </c>
      <c r="D2054" t="inlineStr">
        <is>
          <t>The Body Shop</t>
        </is>
      </c>
      <c r="E2054" t="n">
        <v>6.93</v>
      </c>
      <c r="F2054" t="n">
        <v>1</v>
      </c>
      <c r="G2054" t="n">
        <v>29</v>
      </c>
      <c r="H2054" s="5">
        <f>HYPERLINK("https://api.qogita.com/variants/link/5028197973865/", "View Product")</f>
        <v/>
      </c>
    </row>
    <row r="2055">
      <c r="A2055" t="inlineStr">
        <is>
          <t>5028197980528</t>
        </is>
      </c>
      <c r="B2055" t="inlineStr">
        <is>
          <t>The Body Shop British Rose Eau de Toilette 100ml Vegan</t>
        </is>
      </c>
      <c r="C2055" t="inlineStr">
        <is>
          <t>Eau De Toilette</t>
        </is>
      </c>
      <c r="D2055" t="inlineStr">
        <is>
          <t>The Body Shop</t>
        </is>
      </c>
      <c r="E2055" t="n">
        <v>18.28</v>
      </c>
      <c r="F2055" t="n">
        <v>1</v>
      </c>
      <c r="G2055" t="n">
        <v>2</v>
      </c>
      <c r="H2055" s="5">
        <f>HYPERLINK("https://api.qogita.com/variants/link/5028197980528/", "View Product")</f>
        <v/>
      </c>
    </row>
    <row r="2056">
      <c r="A2056" t="inlineStr">
        <is>
          <t>5028197980542</t>
        </is>
      </c>
      <c r="B2056" t="inlineStr">
        <is>
          <t>The Body Shop Strawberry Body Spray Body Mist 100 Ml</t>
        </is>
      </c>
      <c r="C2056" t="inlineStr">
        <is>
          <t>Body Mist</t>
        </is>
      </c>
      <c r="D2056" t="inlineStr">
        <is>
          <t>The Body Shop</t>
        </is>
      </c>
      <c r="E2056" t="n">
        <v>11.44</v>
      </c>
      <c r="F2056" t="n">
        <v>1</v>
      </c>
      <c r="G2056" t="n">
        <v>61</v>
      </c>
      <c r="H2056" s="5">
        <f>HYPERLINK("https://api.qogita.com/variants/link/5028197980542/", "View Product")</f>
        <v/>
      </c>
    </row>
    <row r="2057">
      <c r="A2057" t="inlineStr">
        <is>
          <t>5028197980559</t>
        </is>
      </c>
      <c r="B2057" t="inlineStr">
        <is>
          <t>The Body Shop Satsuma Body Mist 100 Ml</t>
        </is>
      </c>
      <c r="C2057" t="inlineStr">
        <is>
          <t>Body Mist</t>
        </is>
      </c>
      <c r="D2057" t="inlineStr">
        <is>
          <t>The Body Shop</t>
        </is>
      </c>
      <c r="E2057" t="n">
        <v>12.31</v>
      </c>
      <c r="F2057" t="n">
        <v>1</v>
      </c>
      <c r="G2057" t="n">
        <v>40</v>
      </c>
      <c r="H2057" s="5">
        <f>HYPERLINK("https://api.qogita.com/variants/link/5028197980559/", "View Product")</f>
        <v/>
      </c>
    </row>
    <row r="2058">
      <c r="A2058" t="inlineStr">
        <is>
          <t>5028197980702</t>
        </is>
      </c>
      <c r="B2058" t="inlineStr">
        <is>
          <t>The Body Shop Coconut Body Fragrance Mist 100ml</t>
        </is>
      </c>
      <c r="C2058" t="inlineStr">
        <is>
          <t>Eau De Toilette</t>
        </is>
      </c>
      <c r="D2058" t="inlineStr">
        <is>
          <t>The Body Shop</t>
        </is>
      </c>
      <c r="E2058" t="n">
        <v>10.81</v>
      </c>
      <c r="F2058" t="n">
        <v>1</v>
      </c>
      <c r="G2058" t="n">
        <v>20</v>
      </c>
      <c r="H2058" s="5">
        <f>HYPERLINK("https://api.qogita.com/variants/link/5028197980702/", "View Product")</f>
        <v/>
      </c>
    </row>
    <row r="2059">
      <c r="A2059" t="inlineStr">
        <is>
          <t>5028197980726</t>
        </is>
      </c>
      <c r="B2059" t="inlineStr">
        <is>
          <t>The Body Shop Pink Grapefruit Body Mist 100mL</t>
        </is>
      </c>
      <c r="C2059" t="inlineStr">
        <is>
          <t>Body Mist</t>
        </is>
      </c>
      <c r="D2059" t="inlineStr">
        <is>
          <t>The Body Shop</t>
        </is>
      </c>
      <c r="E2059" t="n">
        <v>12.23</v>
      </c>
      <c r="F2059" t="n">
        <v>1</v>
      </c>
      <c r="G2059" t="n">
        <v>25</v>
      </c>
      <c r="H2059" s="5">
        <f>HYPERLINK("https://api.qogita.com/variants/link/5028197980726/", "View Product")</f>
        <v/>
      </c>
    </row>
    <row r="2060">
      <c r="A2060" t="inlineStr">
        <is>
          <t>5028197981235</t>
        </is>
      </c>
      <c r="B2060" t="inlineStr">
        <is>
          <t>The Body Shop Black Musk Night Bloom Fragrance Mist 100 Ml</t>
        </is>
      </c>
      <c r="C2060" t="inlineStr">
        <is>
          <t>Eau De Toilette</t>
        </is>
      </c>
      <c r="D2060" t="inlineStr">
        <is>
          <t>The Body Shop</t>
        </is>
      </c>
      <c r="E2060" t="n">
        <v>12.76</v>
      </c>
      <c r="F2060" t="n">
        <v>1</v>
      </c>
      <c r="G2060" t="n">
        <v>6</v>
      </c>
      <c r="H2060" s="5">
        <f>HYPERLINK("https://api.qogita.com/variants/link/5028197981235/", "View Product")</f>
        <v/>
      </c>
    </row>
    <row r="2061">
      <c r="A2061" t="inlineStr">
        <is>
          <t>5029066056207</t>
        </is>
      </c>
      <c r="B2061" t="inlineStr">
        <is>
          <t>Makeup Revolution Pro Fix Makeup Oil Control Fixing Spray</t>
        </is>
      </c>
      <c r="C2061" t="inlineStr">
        <is>
          <t>Setting Spray</t>
        </is>
      </c>
      <c r="D2061" t="inlineStr">
        <is>
          <t>Makeup Revolution</t>
        </is>
      </c>
      <c r="E2061" t="n">
        <v>7.88</v>
      </c>
      <c r="F2061" t="n">
        <v>1</v>
      </c>
      <c r="G2061" t="n">
        <v>6</v>
      </c>
      <c r="H2061" s="5">
        <f>HYPERLINK("https://api.qogita.com/variants/link/5029066056207/", "View Product")</f>
        <v/>
      </c>
    </row>
    <row r="2062">
      <c r="A2062" t="inlineStr">
        <is>
          <t>5029066065339</t>
        </is>
      </c>
      <c r="B2062" t="inlineStr">
        <is>
          <t>Makeup Revolution Ultra Metals Flawless Powder Brush Ultra Metallic Face Brush</t>
        </is>
      </c>
      <c r="C2062" t="inlineStr">
        <is>
          <t>Powder Brushes</t>
        </is>
      </c>
      <c r="D2062" t="inlineStr">
        <is>
          <t>Makeup Revolution</t>
        </is>
      </c>
      <c r="E2062" t="n">
        <v>12.82</v>
      </c>
      <c r="F2062" t="n">
        <v>1</v>
      </c>
      <c r="G2062" t="n">
        <v>2</v>
      </c>
      <c r="H2062" s="5">
        <f>HYPERLINK("https://api.qogita.com/variants/link/5029066065339/", "View Product")</f>
        <v/>
      </c>
    </row>
    <row r="2063">
      <c r="A2063" t="inlineStr">
        <is>
          <t>5029066093981</t>
        </is>
      </c>
      <c r="B2063" t="inlineStr">
        <is>
          <t>Makeup Revolution London Ultra Strobe Balm Brightening Cream Palette 12 G</t>
        </is>
      </c>
      <c r="C2063" t="inlineStr">
        <is>
          <t>Complexion Sets &amp; Pallets</t>
        </is>
      </c>
      <c r="D2063" t="inlineStr">
        <is>
          <t>Makeup Revolution</t>
        </is>
      </c>
      <c r="E2063" t="n">
        <v>10.34</v>
      </c>
      <c r="F2063" t="n">
        <v>1</v>
      </c>
      <c r="G2063" t="n">
        <v>2</v>
      </c>
      <c r="H2063" s="5">
        <f>HYPERLINK("https://api.qogita.com/variants/link/5029066093981/", "View Product")</f>
        <v/>
      </c>
    </row>
    <row r="2064">
      <c r="A2064" t="inlineStr">
        <is>
          <t>5030805002621</t>
        </is>
      </c>
      <c r="B2064" t="inlineStr">
        <is>
          <t>Molton Brown Heavenly Gingerlily Body Lotion 300ml</t>
        </is>
      </c>
      <c r="C2064" t="inlineStr">
        <is>
          <t>Body Lotion</t>
        </is>
      </c>
      <c r="D2064" t="inlineStr">
        <is>
          <t>Molton Brown</t>
        </is>
      </c>
      <c r="E2064" t="n">
        <v>22.16</v>
      </c>
      <c r="F2064" t="n">
        <v>1</v>
      </c>
      <c r="G2064" t="n">
        <v>24</v>
      </c>
      <c r="H2064" s="5">
        <f>HYPERLINK("https://api.qogita.com/variants/link/5030805002621/", "View Product")</f>
        <v/>
      </c>
    </row>
    <row r="2065">
      <c r="A2065" t="inlineStr">
        <is>
          <t>5030805002843</t>
        </is>
      </c>
      <c r="B2065" t="inlineStr">
        <is>
          <t>Molton Brown Mesmerising Oudh Accord and Gold Body Lotion 300ml</t>
        </is>
      </c>
      <c r="C2065" t="inlineStr">
        <is>
          <t>Body Lotion</t>
        </is>
      </c>
      <c r="D2065" t="inlineStr">
        <is>
          <t>Molton Brown</t>
        </is>
      </c>
      <c r="E2065" t="n">
        <v>23.68</v>
      </c>
      <c r="F2065" t="n">
        <v>1</v>
      </c>
      <c r="G2065" t="n">
        <v>24</v>
      </c>
      <c r="H2065" s="5">
        <f>HYPERLINK("https://api.qogita.com/variants/link/5030805002843/", "View Product")</f>
        <v/>
      </c>
    </row>
    <row r="2066">
      <c r="A2066" t="inlineStr">
        <is>
          <t>5030805002881</t>
        </is>
      </c>
      <c r="B2066" t="inlineStr">
        <is>
          <t>Molton Brown Delicious Rhubarb and Rose Bath and Shower Gel 300ml</t>
        </is>
      </c>
      <c r="C2066" t="inlineStr">
        <is>
          <t>Shower Gel</t>
        </is>
      </c>
      <c r="D2066" t="inlineStr">
        <is>
          <t>Molton Brown</t>
        </is>
      </c>
      <c r="E2066" t="n">
        <v>20.79</v>
      </c>
      <c r="F2066" t="n">
        <v>1</v>
      </c>
      <c r="G2066" t="n">
        <v>67</v>
      </c>
      <c r="H2066" s="5">
        <f>HYPERLINK("https://api.qogita.com/variants/link/5030805002881/", "View Product")</f>
        <v/>
      </c>
    </row>
    <row r="2067">
      <c r="A2067" t="inlineStr">
        <is>
          <t>5030805003048</t>
        </is>
      </c>
      <c r="B2067" t="inlineStr">
        <is>
          <t>Molton Brown Infusing Eucalyptus Bath and Shower Gel 300ml</t>
        </is>
      </c>
      <c r="C2067" t="inlineStr">
        <is>
          <t>Shower Gel</t>
        </is>
      </c>
      <c r="D2067" t="inlineStr">
        <is>
          <t>Molton Brown</t>
        </is>
      </c>
      <c r="E2067" t="n">
        <v>23.55</v>
      </c>
      <c r="F2067" t="n">
        <v>1</v>
      </c>
      <c r="G2067" t="n">
        <v>36</v>
      </c>
      <c r="H2067" s="5">
        <f>HYPERLINK("https://api.qogita.com/variants/link/5030805003048/", "View Product")</f>
        <v/>
      </c>
    </row>
    <row r="2068">
      <c r="A2068" t="inlineStr">
        <is>
          <t>5030805003062</t>
        </is>
      </c>
      <c r="B2068" t="inlineStr">
        <is>
          <t>MBrown Coastal Cypress Sea Fennel Bath Shower Gel</t>
        </is>
      </c>
      <c r="C2068" t="inlineStr">
        <is>
          <t>Shower Gel</t>
        </is>
      </c>
      <c r="D2068" t="inlineStr">
        <is>
          <t>Molton Brown</t>
        </is>
      </c>
      <c r="E2068" t="n">
        <v>19.41</v>
      </c>
      <c r="F2068" t="n">
        <v>1</v>
      </c>
      <c r="G2068" t="n">
        <v>72</v>
      </c>
      <c r="H2068" s="5">
        <f>HYPERLINK("https://api.qogita.com/variants/link/5030805003062/", "View Product")</f>
        <v/>
      </c>
    </row>
    <row r="2069">
      <c r="A2069" t="inlineStr">
        <is>
          <t>5030805003222</t>
        </is>
      </c>
      <c r="B2069" t="inlineStr">
        <is>
          <t>Molton Brown Flora Luminare Bath and Shower Gel 300ml</t>
        </is>
      </c>
      <c r="C2069" t="inlineStr">
        <is>
          <t>Shower Gel</t>
        </is>
      </c>
      <c r="D2069" t="inlineStr">
        <is>
          <t>Molton Brown</t>
        </is>
      </c>
      <c r="E2069" t="n">
        <v>19.49</v>
      </c>
      <c r="F2069" t="n">
        <v>1</v>
      </c>
      <c r="G2069" t="n">
        <v>84</v>
      </c>
      <c r="H2069" s="5">
        <f>HYPERLINK("https://api.qogita.com/variants/link/5030805003222/", "View Product")</f>
        <v/>
      </c>
    </row>
    <row r="2070">
      <c r="A2070" t="inlineStr">
        <is>
          <t>5030805003307</t>
        </is>
      </c>
      <c r="B2070" t="inlineStr">
        <is>
          <t>Molton Brown Labdanum Dusk Bath &amp; Shower Gel</t>
        </is>
      </c>
      <c r="C2070" t="inlineStr">
        <is>
          <t>Shower Gel</t>
        </is>
      </c>
      <c r="D2070" t="inlineStr">
        <is>
          <t>Molton Brown</t>
        </is>
      </c>
      <c r="E2070" t="n">
        <v>20.63</v>
      </c>
      <c r="F2070" t="n">
        <v>1</v>
      </c>
      <c r="G2070" t="n">
        <v>26</v>
      </c>
      <c r="H2070" s="5">
        <f>HYPERLINK("https://api.qogita.com/variants/link/5030805003307/", "View Product")</f>
        <v/>
      </c>
    </row>
    <row r="2071">
      <c r="A2071" t="inlineStr">
        <is>
          <t>5030805003345</t>
        </is>
      </c>
      <c r="B2071" t="inlineStr">
        <is>
          <t>Molton Brown Rose Dunes Body Lotion 300ml</t>
        </is>
      </c>
      <c r="C2071" t="inlineStr">
        <is>
          <t>Body Lotion</t>
        </is>
      </c>
      <c r="D2071" t="inlineStr">
        <is>
          <t>Molton Brown</t>
        </is>
      </c>
      <c r="E2071" t="n">
        <v>25.21</v>
      </c>
      <c r="F2071" t="n">
        <v>1</v>
      </c>
      <c r="G2071" t="n">
        <v>31</v>
      </c>
      <c r="H2071" s="5">
        <f>HYPERLINK("https://api.qogita.com/variants/link/5030805003345/", "View Product")</f>
        <v/>
      </c>
    </row>
    <row r="2072">
      <c r="A2072" t="inlineStr">
        <is>
          <t>5030805003505</t>
        </is>
      </c>
      <c r="B2072" t="inlineStr">
        <is>
          <t>Molton Brown Lime and Patchouli Fine Liquid Hand Wash 300ml</t>
        </is>
      </c>
      <c r="C2072" t="inlineStr">
        <is>
          <t>Hand Soap</t>
        </is>
      </c>
      <c r="D2072" t="inlineStr">
        <is>
          <t>Molton Brown</t>
        </is>
      </c>
      <c r="E2072" t="n">
        <v>18.15</v>
      </c>
      <c r="F2072" t="n">
        <v>1</v>
      </c>
      <c r="G2072" t="n">
        <v>43</v>
      </c>
      <c r="H2072" s="5">
        <f>HYPERLINK("https://api.qogita.com/variants/link/5030805003505/", "View Product")</f>
        <v/>
      </c>
    </row>
    <row r="2073">
      <c r="A2073" t="inlineStr">
        <is>
          <t>5030805003543</t>
        </is>
      </c>
      <c r="B2073" t="inlineStr">
        <is>
          <t>Molton Brown Refined White Mulberry Fine Liquid Hand Wash 300ml New Version</t>
        </is>
      </c>
      <c r="C2073" t="inlineStr">
        <is>
          <t>Hand Soap</t>
        </is>
      </c>
      <c r="D2073" t="inlineStr">
        <is>
          <t>Molton Brown</t>
        </is>
      </c>
      <c r="E2073" t="n">
        <v>18.67</v>
      </c>
      <c r="F2073" t="n">
        <v>1</v>
      </c>
      <c r="G2073" t="n">
        <v>55</v>
      </c>
      <c r="H2073" s="5">
        <f>HYPERLINK("https://api.qogita.com/variants/link/5030805003543/", "View Product")</f>
        <v/>
      </c>
    </row>
    <row r="2074">
      <c r="A2074" t="inlineStr">
        <is>
          <t>5030805004984</t>
        </is>
      </c>
      <c r="B2074" t="inlineStr">
        <is>
          <t>Molton Brown Scented Candle Signature Delicious Rhubarb &amp; Rose 190 G</t>
        </is>
      </c>
      <c r="C2074" t="inlineStr">
        <is>
          <t>Candles</t>
        </is>
      </c>
      <c r="D2074" t="inlineStr">
        <is>
          <t>Molton Brown</t>
        </is>
      </c>
      <c r="E2074" t="n">
        <v>30.67</v>
      </c>
      <c r="F2074" t="n">
        <v>1</v>
      </c>
      <c r="G2074" t="n">
        <v>33</v>
      </c>
      <c r="H2074" s="5">
        <f>HYPERLINK("https://api.qogita.com/variants/link/5030805004984/", "View Product")</f>
        <v/>
      </c>
    </row>
    <row r="2075">
      <c r="A2075" t="inlineStr">
        <is>
          <t>5030805005820</t>
        </is>
      </c>
      <c r="B2075" t="inlineStr">
        <is>
          <t>Molton Brown Orange and Bergamot Radiant Body Oil 100ml</t>
        </is>
      </c>
      <c r="C2075" t="inlineStr">
        <is>
          <t>Body Oil</t>
        </is>
      </c>
      <c r="D2075" t="inlineStr">
        <is>
          <t>Molton Brown</t>
        </is>
      </c>
      <c r="E2075" t="n">
        <v>30.51</v>
      </c>
      <c r="F2075" t="n">
        <v>1</v>
      </c>
      <c r="G2075" t="n">
        <v>18</v>
      </c>
      <c r="H2075" s="5">
        <f>HYPERLINK("https://api.qogita.com/variants/link/5030805005820/", "View Product")</f>
        <v/>
      </c>
    </row>
    <row r="2076">
      <c r="A2076" t="inlineStr">
        <is>
          <t>5030805006513</t>
        </is>
      </c>
      <c r="B2076" t="inlineStr">
        <is>
          <t>Molton Brown Reviving Rosemary Perfume Oil Roll-On 10ml</t>
        </is>
      </c>
      <c r="C2076" t="inlineStr">
        <is>
          <t>Eau De Parfum</t>
        </is>
      </c>
      <c r="D2076" t="inlineStr">
        <is>
          <t>Molton Brown</t>
        </is>
      </c>
      <c r="E2076" t="n">
        <v>12.43</v>
      </c>
      <c r="F2076" t="n">
        <v>1</v>
      </c>
      <c r="G2076" t="n">
        <v>13</v>
      </c>
      <c r="H2076" s="5">
        <f>HYPERLINK("https://api.qogita.com/variants/link/5030805006513/", "View Product")</f>
        <v/>
      </c>
    </row>
    <row r="2077">
      <c r="A2077" t="inlineStr">
        <is>
          <t>5030805008784</t>
        </is>
      </c>
      <c r="B2077" t="inlineStr">
        <is>
          <t>Molton Brown Fiery Pink Pepper Travel Gift Set</t>
        </is>
      </c>
      <c r="C2077" t="inlineStr">
        <is>
          <t>Fragrance Sets</t>
        </is>
      </c>
      <c r="D2077" t="inlineStr">
        <is>
          <t>Molton Brown</t>
        </is>
      </c>
      <c r="E2077" t="n">
        <v>29.68</v>
      </c>
      <c r="F2077" t="n">
        <v>1</v>
      </c>
      <c r="G2077" t="n">
        <v>26</v>
      </c>
      <c r="H2077" s="5">
        <f>HYPERLINK("https://api.qogita.com/variants/link/5030805008784/", "View Product")</f>
        <v/>
      </c>
    </row>
    <row r="2078">
      <c r="A2078" t="inlineStr">
        <is>
          <t>5030805008821</t>
        </is>
      </c>
      <c r="B2078" t="inlineStr">
        <is>
          <t>Molton Brown Festive Bauble Gift Set</t>
        </is>
      </c>
      <c r="C2078" t="inlineStr">
        <is>
          <t>Body Care Sets</t>
        </is>
      </c>
      <c r="D2078" t="inlineStr">
        <is>
          <t>Molton Brown</t>
        </is>
      </c>
      <c r="E2078" t="n">
        <v>26.22</v>
      </c>
      <c r="F2078" t="n">
        <v>1</v>
      </c>
      <c r="G2078" t="n">
        <v>17</v>
      </c>
      <c r="H2078" s="5">
        <f>HYPERLINK("https://api.qogita.com/variants/link/5030805008821/", "View Product")</f>
        <v/>
      </c>
    </row>
    <row r="2079">
      <c r="A2079" t="inlineStr">
        <is>
          <t>5030805008906</t>
        </is>
      </c>
      <c r="B2079" t="inlineStr">
        <is>
          <t>Molton Brown Floral Aromatic Liquid Hand Wash Hand Care Collection</t>
        </is>
      </c>
      <c r="C2079" t="inlineStr">
        <is>
          <t>Hand Soap</t>
        </is>
      </c>
      <c r="D2079" t="inlineStr">
        <is>
          <t>Molton Brown</t>
        </is>
      </c>
      <c r="E2079" t="n">
        <v>47.54</v>
      </c>
      <c r="F2079" t="n">
        <v>1</v>
      </c>
      <c r="G2079" t="n">
        <v>29</v>
      </c>
      <c r="H2079" s="5">
        <f>HYPERLINK("https://api.qogita.com/variants/link/5030805008906/", "View Product")</f>
        <v/>
      </c>
    </row>
    <row r="2080">
      <c r="A2080" t="inlineStr">
        <is>
          <t>5030805009088</t>
        </is>
      </c>
      <c r="B2080" t="inlineStr">
        <is>
          <t>Molton Brown Advent Calendar</t>
        </is>
      </c>
      <c r="C2080" t="inlineStr">
        <is>
          <t>Toiletries Bags</t>
        </is>
      </c>
      <c r="D2080" t="inlineStr">
        <is>
          <t>Molton Brown</t>
        </is>
      </c>
      <c r="E2080" t="n">
        <v>230.24</v>
      </c>
      <c r="F2080" t="n">
        <v>1</v>
      </c>
      <c r="G2080" t="n">
        <v>26</v>
      </c>
      <c r="H2080" s="5">
        <f>HYPERLINK("https://api.qogita.com/variants/link/5030805009088/", "View Product")</f>
        <v/>
      </c>
    </row>
    <row r="2081">
      <c r="A2081" t="inlineStr">
        <is>
          <t>5030805009507</t>
        </is>
      </c>
      <c r="B2081" t="inlineStr">
        <is>
          <t>Molton Brown Marvellous Mandarin and Spice Hand Lotion 300ml</t>
        </is>
      </c>
      <c r="C2081" t="inlineStr">
        <is>
          <t>Hand Cream</t>
        </is>
      </c>
      <c r="D2081" t="inlineStr">
        <is>
          <t>Molton Brown</t>
        </is>
      </c>
      <c r="E2081" t="n">
        <v>26.76</v>
      </c>
      <c r="F2081" t="n">
        <v>1</v>
      </c>
      <c r="G2081" t="n">
        <v>16</v>
      </c>
      <c r="H2081" s="5">
        <f>HYPERLINK("https://api.qogita.com/variants/link/5030805009507/", "View Product")</f>
        <v/>
      </c>
    </row>
    <row r="2082">
      <c r="A2082" t="inlineStr">
        <is>
          <t>5030805010671</t>
        </is>
      </c>
      <c r="B2082" t="inlineStr">
        <is>
          <t>Molton Brown Purifying Shampoo with Indian Cress 300ml New Version</t>
        </is>
      </c>
      <c r="C2082" t="inlineStr">
        <is>
          <t>Shampoo</t>
        </is>
      </c>
      <c r="D2082" t="inlineStr">
        <is>
          <t>Molton Brown</t>
        </is>
      </c>
      <c r="E2082" t="n">
        <v>14.27</v>
      </c>
      <c r="F2082" t="n">
        <v>1</v>
      </c>
      <c r="G2082" t="n">
        <v>47</v>
      </c>
      <c r="H2082" s="5">
        <f>HYPERLINK("https://api.qogita.com/variants/link/5030805010671/", "View Product")</f>
        <v/>
      </c>
    </row>
    <row r="2083">
      <c r="A2083" t="inlineStr">
        <is>
          <t>5030805012958</t>
        </is>
      </c>
      <c r="B2083" t="inlineStr">
        <is>
          <t>Molton Brown Coastal Cypress &amp; Sea Fennel Fine Liquid Hand Wash Refill 400ml</t>
        </is>
      </c>
      <c r="C2083" t="inlineStr">
        <is>
          <t>Hand Soap</t>
        </is>
      </c>
      <c r="D2083" t="inlineStr">
        <is>
          <t>Molton Brown</t>
        </is>
      </c>
      <c r="E2083" t="n">
        <v>23.59</v>
      </c>
      <c r="F2083" t="n">
        <v>1</v>
      </c>
      <c r="G2083" t="n">
        <v>20</v>
      </c>
      <c r="H2083" s="5">
        <f>HYPERLINK("https://api.qogita.com/variants/link/5030805012958/", "View Product")</f>
        <v/>
      </c>
    </row>
    <row r="2084">
      <c r="A2084" t="inlineStr">
        <is>
          <t>5030805014440</t>
        </is>
      </c>
      <c r="B2084" t="inlineStr">
        <is>
          <t>Molton Brown Aroma Diffuser Recharge Black Pepper 150 Ml</t>
        </is>
      </c>
      <c r="C2084" t="inlineStr">
        <is>
          <t>Diffusers</t>
        </is>
      </c>
      <c r="D2084" t="inlineStr">
        <is>
          <t>Molton Brown</t>
        </is>
      </c>
      <c r="E2084" t="n">
        <v>51.05</v>
      </c>
      <c r="F2084" t="n">
        <v>1</v>
      </c>
      <c r="G2084" t="n">
        <v>7</v>
      </c>
      <c r="H2084" s="5">
        <f>HYPERLINK("https://api.qogita.com/variants/link/5030805014440/", "View Product")</f>
        <v/>
      </c>
    </row>
    <row r="2085">
      <c r="A2085" t="inlineStr">
        <is>
          <t>5030805014723</t>
        </is>
      </c>
      <c r="B2085" t="inlineStr">
        <is>
          <t>Molton Brown Black Pepper Body Scrub Bar</t>
        </is>
      </c>
      <c r="C2085" t="inlineStr">
        <is>
          <t>Body Scrub &amp; Peeling</t>
        </is>
      </c>
      <c r="D2085" t="inlineStr">
        <is>
          <t>Molton Brown</t>
        </is>
      </c>
      <c r="E2085" t="n">
        <v>14.05</v>
      </c>
      <c r="F2085" t="n">
        <v>1</v>
      </c>
      <c r="G2085" t="n">
        <v>83</v>
      </c>
      <c r="H2085" s="5">
        <f>HYPERLINK("https://api.qogita.com/variants/link/5030805014723/", "View Product")</f>
        <v/>
      </c>
    </row>
    <row r="2086">
      <c r="A2086" t="inlineStr">
        <is>
          <t>5030805023046</t>
        </is>
      </c>
      <c r="B2086" t="inlineStr">
        <is>
          <t>Molton Brown Floral &amp; Spicy Bath &amp; Shower Gel</t>
        </is>
      </c>
      <c r="C2086" t="inlineStr">
        <is>
          <t>Shower Gel</t>
        </is>
      </c>
      <c r="D2086" t="inlineStr">
        <is>
          <t>Molton Brown</t>
        </is>
      </c>
      <c r="E2086" t="n">
        <v>23.14</v>
      </c>
      <c r="F2086" t="n">
        <v>1</v>
      </c>
      <c r="G2086" t="n">
        <v>22</v>
      </c>
      <c r="H2086" s="5">
        <f>HYPERLINK("https://api.qogita.com/variants/link/5030805023046/", "View Product")</f>
        <v/>
      </c>
    </row>
    <row r="2087">
      <c r="A2087" t="inlineStr">
        <is>
          <t>5030805023183</t>
        </is>
      </c>
      <c r="B2087" t="inlineStr">
        <is>
          <t>Molton Brown Re-Charge Black Pepper Body Care Gift Set</t>
        </is>
      </c>
      <c r="C2087" t="inlineStr">
        <is>
          <t>Body Care Sets</t>
        </is>
      </c>
      <c r="D2087" t="inlineStr">
        <is>
          <t>Molton Brown</t>
        </is>
      </c>
      <c r="E2087" t="n">
        <v>43.84</v>
      </c>
      <c r="F2087" t="n">
        <v>1</v>
      </c>
      <c r="G2087" t="n">
        <v>14</v>
      </c>
      <c r="H2087" s="5">
        <f>HYPERLINK("https://api.qogita.com/variants/link/5030805023183/", "View Product")</f>
        <v/>
      </c>
    </row>
    <row r="2088">
      <c r="A2088" t="inlineStr">
        <is>
          <t>5030805023220</t>
        </is>
      </c>
      <c r="B2088" t="inlineStr">
        <is>
          <t>Molton Brown Floral Aromatic Hand Care Collection Liquid Hand Soap Gift Set</t>
        </is>
      </c>
      <c r="C2088" t="inlineStr">
        <is>
          <t>Hand Care Sets</t>
        </is>
      </c>
      <c r="D2088" t="inlineStr">
        <is>
          <t>Molton Brown</t>
        </is>
      </c>
      <c r="E2088" t="n">
        <v>68.26000000000001</v>
      </c>
      <c r="F2088" t="n">
        <v>1</v>
      </c>
      <c r="G2088" t="n">
        <v>23</v>
      </c>
      <c r="H2088" s="5">
        <f>HYPERLINK("https://api.qogita.com/variants/link/5030805023220/", "View Product")</f>
        <v/>
      </c>
    </row>
    <row r="2089">
      <c r="A2089" t="inlineStr">
        <is>
          <t>5030805023244</t>
        </is>
      </c>
      <c r="B2089" t="inlineStr">
        <is>
          <t>Molton Brown Floral &amp; Spicy Body Care Gift Set</t>
        </is>
      </c>
      <c r="C2089" t="inlineStr">
        <is>
          <t>Body Care Sets</t>
        </is>
      </c>
      <c r="D2089" t="inlineStr">
        <is>
          <t>Molton Brown</t>
        </is>
      </c>
      <c r="E2089" t="n">
        <v>71.01000000000001</v>
      </c>
      <c r="F2089" t="n">
        <v>1</v>
      </c>
      <c r="G2089" t="n">
        <v>10</v>
      </c>
      <c r="H2089" s="5">
        <f>HYPERLINK("https://api.qogita.com/variants/link/5030805023244/", "View Product")</f>
        <v/>
      </c>
    </row>
    <row r="2090">
      <c r="A2090" t="inlineStr">
        <is>
          <t>5030805023268</t>
        </is>
      </c>
      <c r="B2090" t="inlineStr">
        <is>
          <t>Molton Brown Woody Aromatic Body Care Collection Shower Gel Gift Set</t>
        </is>
      </c>
      <c r="C2090" t="inlineStr">
        <is>
          <t>Shower &amp; Bath Sets</t>
        </is>
      </c>
      <c r="D2090" t="inlineStr">
        <is>
          <t>Molton Brown</t>
        </is>
      </c>
      <c r="E2090" t="n">
        <v>71.01000000000001</v>
      </c>
      <c r="F2090" t="n">
        <v>1</v>
      </c>
      <c r="G2090" t="n">
        <v>16</v>
      </c>
      <c r="H2090" s="5">
        <f>HYPERLINK("https://api.qogita.com/variants/link/5030805023268/", "View Product")</f>
        <v/>
      </c>
    </row>
    <row r="2091">
      <c r="A2091" t="inlineStr">
        <is>
          <t>5030805023466</t>
        </is>
      </c>
      <c r="B2091" t="inlineStr">
        <is>
          <t>Molton Brown Recharge Black Pepper Shower Gel 400 Ml</t>
        </is>
      </c>
      <c r="C2091" t="inlineStr">
        <is>
          <t>Shower Gel</t>
        </is>
      </c>
      <c r="D2091" t="inlineStr">
        <is>
          <t>Molton Brown</t>
        </is>
      </c>
      <c r="E2091" t="n">
        <v>40.47</v>
      </c>
      <c r="F2091" t="n">
        <v>1</v>
      </c>
      <c r="G2091" t="n">
        <v>3</v>
      </c>
      <c r="H2091" s="5">
        <f>HYPERLINK("https://api.qogita.com/variants/link/5030805023466/", "View Product")</f>
        <v/>
      </c>
    </row>
    <row r="2092">
      <c r="A2092" t="inlineStr">
        <is>
          <t>5030805023541</t>
        </is>
      </c>
      <c r="B2092" t="inlineStr">
        <is>
          <t>Molton Brown Vintage Elderflower Body Lotion 300 Ml</t>
        </is>
      </c>
      <c r="C2092" t="inlineStr">
        <is>
          <t>Body Lotion</t>
        </is>
      </c>
      <c r="D2092" t="inlineStr">
        <is>
          <t>Molton Brown</t>
        </is>
      </c>
      <c r="E2092" t="n">
        <v>30.67</v>
      </c>
      <c r="F2092" t="n">
        <v>1</v>
      </c>
      <c r="G2092" t="n">
        <v>41</v>
      </c>
      <c r="H2092" s="5">
        <f>HYPERLINK("https://api.qogita.com/variants/link/5030805023541/", "View Product")</f>
        <v/>
      </c>
    </row>
    <row r="2093">
      <c r="A2093" t="inlineStr">
        <is>
          <t>5030805023664</t>
        </is>
      </c>
      <c r="B2093" t="inlineStr">
        <is>
          <t>Molton Brown Marvelous Mandarin Spice Festive Bauble Bath And Shower Gel 75 Ml</t>
        </is>
      </c>
      <c r="C2093" t="inlineStr">
        <is>
          <t>Shower Gel</t>
        </is>
      </c>
      <c r="D2093" t="inlineStr">
        <is>
          <t>Molton Brown</t>
        </is>
      </c>
      <c r="E2093" t="n">
        <v>15.63</v>
      </c>
      <c r="F2093" t="n">
        <v>1</v>
      </c>
      <c r="G2093" t="n">
        <v>66</v>
      </c>
      <c r="H2093" s="5">
        <f>HYPERLINK("https://api.qogita.com/variants/link/5030805023664/", "View Product")</f>
        <v/>
      </c>
    </row>
    <row r="2094">
      <c r="A2094" t="inlineStr">
        <is>
          <t>5030805023855</t>
        </is>
      </c>
      <c r="B2094" t="inlineStr">
        <is>
          <t>Molton Brown Fiery Pink Pepper Refillable Bath and Shower Gel 400ml</t>
        </is>
      </c>
      <c r="C2094" t="inlineStr">
        <is>
          <t>Shower Gel</t>
        </is>
      </c>
      <c r="D2094" t="inlineStr">
        <is>
          <t>Molton Brown</t>
        </is>
      </c>
      <c r="E2094" t="n">
        <v>22.93</v>
      </c>
      <c r="F2094" t="n">
        <v>1</v>
      </c>
      <c r="G2094" t="n">
        <v>26</v>
      </c>
      <c r="H2094" s="5">
        <f>HYPERLINK("https://api.qogita.com/variants/link/5030805023855/", "View Product")</f>
        <v/>
      </c>
    </row>
    <row r="2095">
      <c r="A2095" t="inlineStr">
        <is>
          <t>5030805023893</t>
        </is>
      </c>
      <c r="B2095" t="inlineStr">
        <is>
          <t>Molton Brown Rhubarb &amp; Rose Candle - 3 Wicks</t>
        </is>
      </c>
      <c r="C2095" t="inlineStr">
        <is>
          <t>Candles</t>
        </is>
      </c>
      <c r="D2095" t="inlineStr">
        <is>
          <t>Molton Brown</t>
        </is>
      </c>
      <c r="E2095" t="n">
        <v>68.56</v>
      </c>
      <c r="F2095" t="n">
        <v>1</v>
      </c>
      <c r="G2095" t="n">
        <v>18</v>
      </c>
      <c r="H2095" s="5">
        <f>HYPERLINK("https://api.qogita.com/variants/link/5030805023893/", "View Product")</f>
        <v/>
      </c>
    </row>
    <row r="2096">
      <c r="A2096" t="inlineStr">
        <is>
          <t>5030805028164</t>
        </is>
      </c>
      <c r="B2096" t="inlineStr">
        <is>
          <t>Molton Brown Thickening Shampoo with Ginger Extract 300ml 30g</t>
        </is>
      </c>
      <c r="C2096" t="inlineStr">
        <is>
          <t>Shampoo</t>
        </is>
      </c>
      <c r="D2096" t="inlineStr">
        <is>
          <t>Molton Brown</t>
        </is>
      </c>
      <c r="E2096" t="n">
        <v>16.07</v>
      </c>
      <c r="F2096" t="n">
        <v>1</v>
      </c>
      <c r="G2096" t="n">
        <v>37</v>
      </c>
      <c r="H2096" s="5">
        <f>HYPERLINK("https://api.qogita.com/variants/link/5030805028164/", "View Product")</f>
        <v/>
      </c>
    </row>
    <row r="2097">
      <c r="A2097" t="inlineStr">
        <is>
          <t>5030805999983</t>
        </is>
      </c>
      <c r="B2097" t="inlineStr">
        <is>
          <t>Molton Brown Limited Edition Heavenly Gingerlily Fine Liquid Hand Wash</t>
        </is>
      </c>
      <c r="C2097" t="inlineStr">
        <is>
          <t>Hand Soap</t>
        </is>
      </c>
      <c r="D2097" t="inlineStr">
        <is>
          <t>Molton Brown</t>
        </is>
      </c>
      <c r="E2097" t="n">
        <v>21.12</v>
      </c>
      <c r="F2097" t="n">
        <v>1</v>
      </c>
      <c r="G2097" t="n">
        <v>42</v>
      </c>
      <c r="H2097" s="5">
        <f>HYPERLINK("https://api.qogita.com/variants/link/5030805999983/", "View Product")</f>
        <v/>
      </c>
    </row>
    <row r="2098">
      <c r="A2098" t="inlineStr">
        <is>
          <t>5034843001127</t>
        </is>
      </c>
      <c r="B2098" t="inlineStr">
        <is>
          <t>La Riche Directions Semi-Permanent Hair Color 100ml Tub Lilac 100ml</t>
        </is>
      </c>
      <c r="C2098" t="inlineStr">
        <is>
          <t>Hair Dye</t>
        </is>
      </c>
      <c r="D2098" t="inlineStr">
        <is>
          <t>La Riche</t>
        </is>
      </c>
      <c r="E2098" t="n">
        <v>3.92</v>
      </c>
      <c r="F2098" t="n">
        <v>1</v>
      </c>
      <c r="G2098" t="n">
        <v>3</v>
      </c>
      <c r="H2098" s="5">
        <f>HYPERLINK("https://api.qogita.com/variants/link/5034843001127/", "View Product")</f>
        <v/>
      </c>
    </row>
    <row r="2099">
      <c r="A2099" t="inlineStr">
        <is>
          <t>5034843001202</t>
        </is>
      </c>
      <c r="B2099" t="inlineStr">
        <is>
          <t>Directions Apple Green - Hair Dye</t>
        </is>
      </c>
      <c r="C2099" t="inlineStr">
        <is>
          <t>Hair Dye</t>
        </is>
      </c>
      <c r="D2099" t="inlineStr">
        <is>
          <t>Directions</t>
        </is>
      </c>
      <c r="E2099" t="n">
        <v>3.96</v>
      </c>
      <c r="F2099" t="n">
        <v>1</v>
      </c>
      <c r="G2099" t="n">
        <v>12</v>
      </c>
      <c r="H2099" s="5">
        <f>HYPERLINK("https://api.qogita.com/variants/link/5034843001202/", "View Product")</f>
        <v/>
      </c>
    </row>
    <row r="2100">
      <c r="A2100" t="inlineStr">
        <is>
          <t>5034843001226</t>
        </is>
      </c>
      <c r="B2100" t="inlineStr">
        <is>
          <t>La Riche Directions Hair Dye - All Newest Colors Available</t>
        </is>
      </c>
      <c r="C2100" t="inlineStr">
        <is>
          <t>Hair Dye</t>
        </is>
      </c>
      <c r="D2100" t="inlineStr">
        <is>
          <t>La Riche</t>
        </is>
      </c>
      <c r="E2100" t="n">
        <v>3.92</v>
      </c>
      <c r="F2100" t="n">
        <v>1</v>
      </c>
      <c r="G2100" t="n">
        <v>4</v>
      </c>
      <c r="H2100" s="5">
        <f>HYPERLINK("https://api.qogita.com/variants/link/5034843001226/", "View Product")</f>
        <v/>
      </c>
    </row>
    <row r="2101">
      <c r="A2101" t="inlineStr">
        <is>
          <t>5034843001868</t>
        </is>
      </c>
      <c r="B2101" t="inlineStr">
        <is>
          <t>New La Riche Directions Semi-Permanent Hair Color 88ml Fluorescent Orange</t>
        </is>
      </c>
      <c r="C2101" t="inlineStr">
        <is>
          <t>Hair Dye</t>
        </is>
      </c>
      <c r="D2101" t="inlineStr">
        <is>
          <t>La Riche</t>
        </is>
      </c>
      <c r="E2101" t="n">
        <v>3.96</v>
      </c>
      <c r="F2101" t="n">
        <v>1</v>
      </c>
      <c r="G2101" t="n">
        <v>4</v>
      </c>
      <c r="H2101" s="5">
        <f>HYPERLINK("https://api.qogita.com/variants/link/5034843001868/", "View Product")</f>
        <v/>
      </c>
    </row>
    <row r="2102">
      <c r="A2102" t="inlineStr">
        <is>
          <t>5037028271452</t>
        </is>
      </c>
      <c r="B2102" t="inlineStr">
        <is>
          <t>Bomb Cosmetics Large True Love Gift Pack</t>
        </is>
      </c>
      <c r="C2102" t="inlineStr">
        <is>
          <t>Bath Salts &amp; Bath Bombs</t>
        </is>
      </c>
      <c r="D2102" t="inlineStr">
        <is>
          <t>Bomb Cosmetics</t>
        </is>
      </c>
      <c r="E2102" t="n">
        <v>29.32</v>
      </c>
      <c r="F2102" t="n">
        <v>1</v>
      </c>
      <c r="G2102" t="n">
        <v>8</v>
      </c>
      <c r="H2102" s="5">
        <f>HYPERLINK("https://api.qogita.com/variants/link/5037028271452/", "View Product")</f>
        <v/>
      </c>
    </row>
    <row r="2103">
      <c r="A2103" t="inlineStr">
        <is>
          <t>5037028274439</t>
        </is>
      </c>
      <c r="B2103" t="inlineStr">
        <is>
          <t>Bomb Cosmetics Here Comes Santa Gift Set</t>
        </is>
      </c>
      <c r="C2103" t="inlineStr">
        <is>
          <t>Toiletries Bags</t>
        </is>
      </c>
      <c r="D2103" t="inlineStr">
        <is>
          <t>Bomb Cosmetics</t>
        </is>
      </c>
      <c r="E2103" t="n">
        <v>22.29</v>
      </c>
      <c r="F2103" t="n">
        <v>1</v>
      </c>
      <c r="G2103" t="n">
        <v>27</v>
      </c>
      <c r="H2103" s="5">
        <f>HYPERLINK("https://api.qogita.com/variants/link/5037028274439/", "View Product")</f>
        <v/>
      </c>
    </row>
    <row r="2104">
      <c r="A2104" t="inlineStr">
        <is>
          <t>5037028274460</t>
        </is>
      </c>
      <c r="B2104" t="inlineStr">
        <is>
          <t>Claus for Celebration Gift Set, Cosmetics</t>
        </is>
      </c>
      <c r="C2104" t="inlineStr">
        <is>
          <t>Body Makeup</t>
        </is>
      </c>
      <c r="D2104" t="inlineStr">
        <is>
          <t>Bomb Cosmetics</t>
        </is>
      </c>
      <c r="E2104" t="n">
        <v>16.46</v>
      </c>
      <c r="F2104" t="n">
        <v>1</v>
      </c>
      <c r="G2104" t="n">
        <v>16</v>
      </c>
      <c r="H2104" s="5">
        <f>HYPERLINK("https://api.qogita.com/variants/link/5037028274460/", "View Product")</f>
        <v/>
      </c>
    </row>
    <row r="2105">
      <c r="A2105" t="inlineStr">
        <is>
          <t>5037028274491</t>
        </is>
      </c>
      <c r="B2105" t="inlineStr">
        <is>
          <t>Bomb Cosmetics Incredibauble Festive Christmas Handmade Wrapped Bath &amp; Body Set</t>
        </is>
      </c>
      <c r="C2105" t="inlineStr">
        <is>
          <t>Body Care Sets</t>
        </is>
      </c>
      <c r="D2105" t="inlineStr">
        <is>
          <t>Bomb Cosmetics</t>
        </is>
      </c>
      <c r="E2105" t="n">
        <v>16.46</v>
      </c>
      <c r="F2105" t="n">
        <v>1</v>
      </c>
      <c r="G2105" t="n">
        <v>6</v>
      </c>
      <c r="H2105" s="5">
        <f>HYPERLINK("https://api.qogita.com/variants/link/5037028274491/", "View Product")</f>
        <v/>
      </c>
    </row>
    <row r="2106">
      <c r="A2106" t="inlineStr">
        <is>
          <t>5037028274507</t>
        </is>
      </c>
      <c r="B2106" t="inlineStr">
        <is>
          <t>Shake Me Up Bath Gift Set</t>
        </is>
      </c>
      <c r="C2106" t="inlineStr">
        <is>
          <t>Body Care Sets</t>
        </is>
      </c>
      <c r="D2106" t="inlineStr">
        <is>
          <t>Bomb Cosmetics</t>
        </is>
      </c>
      <c r="E2106" t="n">
        <v>16.14</v>
      </c>
      <c r="F2106" t="n">
        <v>1</v>
      </c>
      <c r="G2106" t="n">
        <v>11</v>
      </c>
      <c r="H2106" s="5">
        <f>HYPERLINK("https://api.qogita.com/variants/link/5037028274507/", "View Product")</f>
        <v/>
      </c>
    </row>
    <row r="2107">
      <c r="A2107" t="inlineStr">
        <is>
          <t>5037028275771</t>
        </is>
      </c>
      <c r="B2107" t="inlineStr">
        <is>
          <t>Bomb Cosmetics Ho Ho Ho Bath Bomb Set - 3 Pieces</t>
        </is>
      </c>
      <c r="C2107" t="inlineStr">
        <is>
          <t>Bath Salts &amp; Bath Bombs</t>
        </is>
      </c>
      <c r="D2107" t="inlineStr">
        <is>
          <t>Bomb Cosmetics</t>
        </is>
      </c>
      <c r="E2107" t="n">
        <v>15.81</v>
      </c>
      <c r="F2107" t="n">
        <v>1</v>
      </c>
      <c r="G2107" t="n">
        <v>23</v>
      </c>
      <c r="H2107" s="5">
        <f>HYPERLINK("https://api.qogita.com/variants/link/5037028275771/", "View Product")</f>
        <v/>
      </c>
    </row>
    <row r="2108">
      <c r="A2108" t="inlineStr">
        <is>
          <t>5037028276563</t>
        </is>
      </c>
      <c r="B2108" t="inlineStr">
        <is>
          <t>Bomb Cosmetics Gingerbread Land Gift Set</t>
        </is>
      </c>
      <c r="C2108" t="inlineStr">
        <is>
          <t>Toiletries Bags</t>
        </is>
      </c>
      <c r="D2108" t="inlineStr">
        <is>
          <t>Bomb Cosmetics</t>
        </is>
      </c>
      <c r="E2108" t="n">
        <v>16.12</v>
      </c>
      <c r="F2108" t="n">
        <v>1</v>
      </c>
      <c r="G2108" t="n">
        <v>25</v>
      </c>
      <c r="H2108" s="5">
        <f>HYPERLINK("https://api.qogita.com/variants/link/5037028276563/", "View Product")</f>
        <v/>
      </c>
    </row>
    <row r="2109">
      <c r="A2109" t="inlineStr">
        <is>
          <t>5037028276617</t>
        </is>
      </c>
      <c r="B2109" t="inlineStr">
        <is>
          <t>Bomb Cosmetics Gift Baskets Multicolored Unique</t>
        </is>
      </c>
      <c r="C2109" t="inlineStr">
        <is>
          <t>Toiletries Bags</t>
        </is>
      </c>
      <c r="D2109" t="inlineStr">
        <is>
          <t>Bomb Cosmetics</t>
        </is>
      </c>
      <c r="E2109" t="n">
        <v>16.46</v>
      </c>
      <c r="F2109" t="n">
        <v>1</v>
      </c>
      <c r="G2109" t="n">
        <v>14</v>
      </c>
      <c r="H2109" s="5">
        <f>HYPERLINK("https://api.qogita.com/variants/link/5037028276617/", "View Product")</f>
        <v/>
      </c>
    </row>
    <row r="2110">
      <c r="A2110" t="inlineStr">
        <is>
          <t>5037028278468</t>
        </is>
      </c>
      <c r="B2110" t="inlineStr">
        <is>
          <t>Bomb Cosmetics Penguin Stocking Christmas Handmade Bath Bombs</t>
        </is>
      </c>
      <c r="C2110" t="inlineStr">
        <is>
          <t>Bath Salts &amp; Bath Bombs</t>
        </is>
      </c>
      <c r="D2110" t="inlineStr">
        <is>
          <t>Bomb Cosmetics</t>
        </is>
      </c>
      <c r="E2110" t="n">
        <v>15.81</v>
      </c>
      <c r="F2110" t="n">
        <v>1</v>
      </c>
      <c r="G2110" t="n">
        <v>40</v>
      </c>
      <c r="H2110" s="5">
        <f>HYPERLINK("https://api.qogita.com/variants/link/5037028278468/", "View Product")</f>
        <v/>
      </c>
    </row>
    <row r="2111">
      <c r="A2111" t="inlineStr">
        <is>
          <t>5037156210330</t>
        </is>
      </c>
      <c r="B2111" t="inlineStr">
        <is>
          <t>John Frieda Frizz Ease Miraculous Recovery Shampoo 250ml</t>
        </is>
      </c>
      <c r="C2111" t="inlineStr">
        <is>
          <t>Shampoo</t>
        </is>
      </c>
      <c r="D2111" t="inlineStr">
        <is>
          <t>John Frieda</t>
        </is>
      </c>
      <c r="E2111" t="n">
        <v>4.15</v>
      </c>
      <c r="F2111" t="n">
        <v>1</v>
      </c>
      <c r="G2111" t="n">
        <v>59</v>
      </c>
      <c r="H2111" s="5">
        <f>HYPERLINK("https://api.qogita.com/variants/link/5037156210330/", "View Product")</f>
        <v/>
      </c>
    </row>
    <row r="2112">
      <c r="A2112" t="inlineStr">
        <is>
          <t>5038580000412</t>
        </is>
      </c>
      <c r="B2112" t="inlineStr">
        <is>
          <t>Yankee Candle Mango Peach Salsa Candle Scented Candle Classic Medium 411 G</t>
        </is>
      </c>
      <c r="C2112" t="inlineStr">
        <is>
          <t>Candles</t>
        </is>
      </c>
      <c r="D2112" t="inlineStr">
        <is>
          <t>Yankee Candle</t>
        </is>
      </c>
      <c r="E2112" t="n">
        <v>14.1</v>
      </c>
      <c r="F2112" t="n">
        <v>1</v>
      </c>
      <c r="G2112" t="n">
        <v>111</v>
      </c>
      <c r="H2112" s="5">
        <f>HYPERLINK("https://api.qogita.com/variants/link/5038580000412/", "View Product")</f>
        <v/>
      </c>
    </row>
    <row r="2113">
      <c r="A2113" t="inlineStr">
        <is>
          <t>5038580000566</t>
        </is>
      </c>
      <c r="B2113" t="inlineStr">
        <is>
          <t>Yankee Candle Vanilla Lime Candle Scented Candle 411 G</t>
        </is>
      </c>
      <c r="C2113" t="inlineStr">
        <is>
          <t>Candles</t>
        </is>
      </c>
      <c r="D2113" t="inlineStr">
        <is>
          <t>Yankee Candle</t>
        </is>
      </c>
      <c r="E2113" t="n">
        <v>14.1</v>
      </c>
      <c r="F2113" t="n">
        <v>1</v>
      </c>
      <c r="G2113" t="n">
        <v>66</v>
      </c>
      <c r="H2113" s="5">
        <f>HYPERLINK("https://api.qogita.com/variants/link/5038580000566/", "View Product")</f>
        <v/>
      </c>
    </row>
    <row r="2114">
      <c r="A2114" t="inlineStr">
        <is>
          <t>5038580000818</t>
        </is>
      </c>
      <c r="B2114" t="inlineStr">
        <is>
          <t>Yankee Candle Aromatic Candle Classic Large Wedding Day 623 G</t>
        </is>
      </c>
      <c r="C2114" t="inlineStr">
        <is>
          <t>Candles</t>
        </is>
      </c>
      <c r="D2114" t="inlineStr">
        <is>
          <t>Yankee Candle</t>
        </is>
      </c>
      <c r="E2114" t="n">
        <v>16.98</v>
      </c>
      <c r="F2114" t="n">
        <v>1</v>
      </c>
      <c r="G2114" t="n">
        <v>544</v>
      </c>
      <c r="H2114" s="5">
        <f>HYPERLINK("https://api.qogita.com/variants/link/5038580000818/", "View Product")</f>
        <v/>
      </c>
    </row>
    <row r="2115">
      <c r="A2115" t="inlineStr">
        <is>
          <t>5038580005578</t>
        </is>
      </c>
      <c r="B2115" t="inlineStr">
        <is>
          <t>Yankee Candle Lemon Lavender Ultimate Car Jar Luxury Car Air Freshener</t>
        </is>
      </c>
      <c r="C2115" t="inlineStr">
        <is>
          <t>Incense</t>
        </is>
      </c>
      <c r="D2115" t="inlineStr">
        <is>
          <t>Yankee Candle</t>
        </is>
      </c>
      <c r="E2115" t="n">
        <v>4.56</v>
      </c>
      <c r="F2115" t="n">
        <v>1</v>
      </c>
      <c r="G2115" t="n">
        <v>21</v>
      </c>
      <c r="H2115" s="5">
        <f>HYPERLINK("https://api.qogita.com/variants/link/5038580005578/", "View Product")</f>
        <v/>
      </c>
    </row>
    <row r="2116">
      <c r="A2116" t="inlineStr">
        <is>
          <t>5038580013429</t>
        </is>
      </c>
      <c r="B2116" t="inlineStr">
        <is>
          <t>Yankee Candle Aromatic Candle Classic Black Coconut 411 G Scented Candle</t>
        </is>
      </c>
      <c r="C2116" t="inlineStr">
        <is>
          <t>Candles</t>
        </is>
      </c>
      <c r="D2116" t="inlineStr">
        <is>
          <t>Yankee Candle</t>
        </is>
      </c>
      <c r="E2116" t="n">
        <v>15.28</v>
      </c>
      <c r="F2116" t="n">
        <v>1</v>
      </c>
      <c r="G2116" t="n">
        <v>58</v>
      </c>
      <c r="H2116" s="5">
        <f>HYPERLINK("https://api.qogita.com/variants/link/5038580013429/", "View Product")</f>
        <v/>
      </c>
    </row>
    <row r="2117">
      <c r="A2117" t="inlineStr">
        <is>
          <t>5038580018127</t>
        </is>
      </c>
      <c r="B2117" t="inlineStr">
        <is>
          <t>Yankee Candle Classic Small Candle Black Cherry 104 G</t>
        </is>
      </c>
      <c r="C2117" t="inlineStr">
        <is>
          <t>Candles</t>
        </is>
      </c>
      <c r="D2117" t="inlineStr">
        <is>
          <t>Yankee Candle</t>
        </is>
      </c>
      <c r="E2117" t="n">
        <v>7.33</v>
      </c>
      <c r="F2117" t="n">
        <v>1</v>
      </c>
      <c r="G2117" t="n">
        <v>156</v>
      </c>
      <c r="H2117" s="5">
        <f>HYPERLINK("https://api.qogita.com/variants/link/5038580018127/", "View Product")</f>
        <v/>
      </c>
    </row>
    <row r="2118">
      <c r="A2118" t="inlineStr">
        <is>
          <t>5038580036312</t>
        </is>
      </c>
      <c r="B2118" t="inlineStr">
        <is>
          <t>Yankee Candle Aromatic Candle Classic Small Angel's Wings 104 G</t>
        </is>
      </c>
      <c r="C2118" t="inlineStr">
        <is>
          <t>Candles</t>
        </is>
      </c>
      <c r="D2118" t="inlineStr">
        <is>
          <t>Yankee Candle</t>
        </is>
      </c>
      <c r="E2118" t="n">
        <v>6.65</v>
      </c>
      <c r="F2118" t="n">
        <v>1</v>
      </c>
      <c r="G2118" t="n">
        <v>214</v>
      </c>
      <c r="H2118" s="5">
        <f>HYPERLINK("https://api.qogita.com/variants/link/5038580036312/", "View Product")</f>
        <v/>
      </c>
    </row>
    <row r="2119">
      <c r="A2119" t="inlineStr">
        <is>
          <t>5038580070378</t>
        </is>
      </c>
      <c r="B2119" t="inlineStr">
        <is>
          <t>Yankee Candle 49g Vanilla Votive Sampler Candle Cream 4.6cm l x 4.6cm w x 4.8cm h</t>
        </is>
      </c>
      <c r="C2119" t="inlineStr">
        <is>
          <t>Candles</t>
        </is>
      </c>
      <c r="D2119" t="inlineStr">
        <is>
          <t>Yankee Candle</t>
        </is>
      </c>
      <c r="E2119" t="n">
        <v>3.05</v>
      </c>
      <c r="F2119" t="n">
        <v>1</v>
      </c>
      <c r="G2119" t="n">
        <v>79</v>
      </c>
      <c r="H2119" s="5">
        <f>HYPERLINK("https://api.qogita.com/variants/link/5038580070378/", "View Product")</f>
        <v/>
      </c>
    </row>
    <row r="2120">
      <c r="A2120" t="inlineStr">
        <is>
          <t>5038581009155</t>
        </is>
      </c>
      <c r="B2120" t="inlineStr">
        <is>
          <t>Yankee Candle Cherry Blossom Large Jar Candle Long Burning Candles up to 150 Hours</t>
        </is>
      </c>
      <c r="C2120" t="inlineStr">
        <is>
          <t>Candles</t>
        </is>
      </c>
      <c r="D2120" t="inlineStr">
        <is>
          <t>Yankee Candle</t>
        </is>
      </c>
      <c r="E2120" t="n">
        <v>19.58</v>
      </c>
      <c r="F2120" t="n">
        <v>1</v>
      </c>
      <c r="G2120" t="n">
        <v>5</v>
      </c>
      <c r="H2120" s="5">
        <f>HYPERLINK("https://api.qogita.com/variants/link/5038581009155/", "View Product")</f>
        <v/>
      </c>
    </row>
    <row r="2121">
      <c r="A2121" t="inlineStr">
        <is>
          <t>5038581028859</t>
        </is>
      </c>
      <c r="B2121" t="inlineStr">
        <is>
          <t>Yankee Candle Home Inspiration Soft Cotton Scented Candle Large 538 G</t>
        </is>
      </c>
      <c r="C2121" t="inlineStr">
        <is>
          <t>Candles</t>
        </is>
      </c>
      <c r="D2121" t="inlineStr">
        <is>
          <t>Yankee Candle</t>
        </is>
      </c>
      <c r="E2121" t="n">
        <v>13.44</v>
      </c>
      <c r="F2121" t="n">
        <v>1</v>
      </c>
      <c r="G2121" t="n">
        <v>172</v>
      </c>
      <c r="H2121" s="5">
        <f>HYPERLINK("https://api.qogita.com/variants/link/5038581028859/", "View Product")</f>
        <v/>
      </c>
    </row>
    <row r="2122">
      <c r="A2122" t="inlineStr">
        <is>
          <t>5038581028910</t>
        </is>
      </c>
      <c r="B2122" t="inlineStr">
        <is>
          <t>Yankee Candle Scented Candle Home Inspiration Large White Linen &amp; Lace 538 G</t>
        </is>
      </c>
      <c r="C2122" t="inlineStr">
        <is>
          <t>Candles</t>
        </is>
      </c>
      <c r="D2122" t="inlineStr">
        <is>
          <t>Yankee Candle</t>
        </is>
      </c>
      <c r="E2122" t="n">
        <v>13.44</v>
      </c>
      <c r="F2122" t="n">
        <v>1</v>
      </c>
      <c r="G2122" t="n">
        <v>103</v>
      </c>
      <c r="H2122" s="5">
        <f>HYPERLINK("https://api.qogita.com/variants/link/5038581028910/", "View Product")</f>
        <v/>
      </c>
    </row>
    <row r="2123">
      <c r="A2123" t="inlineStr">
        <is>
          <t>5038581054254</t>
        </is>
      </c>
      <c r="B2123" t="inlineStr">
        <is>
          <t>Woodwick Trilogy Cafe Sweets Scented Candle 453 G</t>
        </is>
      </c>
      <c r="C2123" t="inlineStr">
        <is>
          <t>Candles</t>
        </is>
      </c>
      <c r="D2123" t="inlineStr">
        <is>
          <t>Woodwick</t>
        </is>
      </c>
      <c r="E2123" t="n">
        <v>21.48</v>
      </c>
      <c r="F2123" t="n">
        <v>1</v>
      </c>
      <c r="G2123" t="n">
        <v>898</v>
      </c>
      <c r="H2123" s="5">
        <f>HYPERLINK("https://api.qogita.com/variants/link/5038581054254/", "View Product")</f>
        <v/>
      </c>
    </row>
    <row r="2124">
      <c r="A2124" t="inlineStr">
        <is>
          <t>5038581054285</t>
        </is>
      </c>
      <c r="B2124" t="inlineStr">
        <is>
          <t>Woodwick Calming Retreat Trilogy Scented Candle 4536 G</t>
        </is>
      </c>
      <c r="C2124" t="inlineStr">
        <is>
          <t>Candles</t>
        </is>
      </c>
      <c r="D2124" t="inlineStr">
        <is>
          <t>Woodwick</t>
        </is>
      </c>
      <c r="E2124" t="n">
        <v>21.54</v>
      </c>
      <c r="F2124" t="n">
        <v>1</v>
      </c>
      <c r="G2124" t="n">
        <v>612</v>
      </c>
      <c r="H2124" s="5">
        <f>HYPERLINK("https://api.qogita.com/variants/link/5038581054285/", "View Product")</f>
        <v/>
      </c>
    </row>
    <row r="2125">
      <c r="A2125" t="inlineStr">
        <is>
          <t>5038581054384</t>
        </is>
      </c>
      <c r="B2125" t="inlineStr">
        <is>
          <t>Woodwick Scented Candle Trilogy Fireside Redwood Sandalwood Clove 609 G</t>
        </is>
      </c>
      <c r="C2125" t="inlineStr">
        <is>
          <t>Candles</t>
        </is>
      </c>
      <c r="D2125" t="inlineStr">
        <is>
          <t>Woodwick</t>
        </is>
      </c>
      <c r="E2125" t="n">
        <v>15.52</v>
      </c>
      <c r="F2125" t="n">
        <v>1</v>
      </c>
      <c r="G2125" t="n">
        <v>247</v>
      </c>
      <c r="H2125" s="5">
        <f>HYPERLINK("https://api.qogita.com/variants/link/5038581054384/", "View Product")</f>
        <v/>
      </c>
    </row>
    <row r="2126">
      <c r="A2126" t="inlineStr">
        <is>
          <t>5038581054391</t>
        </is>
      </c>
      <c r="B2126" t="inlineStr">
        <is>
          <t>Woodwick Warm Woods Trilogy Ship Scented Candle 453 G</t>
        </is>
      </c>
      <c r="C2126" t="inlineStr">
        <is>
          <t>Candles</t>
        </is>
      </c>
      <c r="D2126" t="inlineStr">
        <is>
          <t>Woodwick</t>
        </is>
      </c>
      <c r="E2126" t="n">
        <v>21.52</v>
      </c>
      <c r="F2126" t="n">
        <v>1</v>
      </c>
      <c r="G2126" t="n">
        <v>282</v>
      </c>
      <c r="H2126" s="5">
        <f>HYPERLINK("https://api.qogita.com/variants/link/5038581054391/", "View Product")</f>
        <v/>
      </c>
    </row>
    <row r="2127">
      <c r="A2127" t="inlineStr">
        <is>
          <t>5038581054483</t>
        </is>
      </c>
      <c r="B2127" t="inlineStr">
        <is>
          <t>Woodwick Sun Ripened Berries Trilogy Scented Candle</t>
        </is>
      </c>
      <c r="C2127" t="inlineStr">
        <is>
          <t>Candles</t>
        </is>
      </c>
      <c r="D2127" t="inlineStr">
        <is>
          <t>Woodwick</t>
        </is>
      </c>
      <c r="E2127" t="n">
        <v>21.48</v>
      </c>
      <c r="F2127" t="n">
        <v>1</v>
      </c>
      <c r="G2127" t="n">
        <v>3</v>
      </c>
      <c r="H2127" s="5">
        <f>HYPERLINK("https://api.qogita.com/variants/link/5038581054483/", "View Product")</f>
        <v/>
      </c>
    </row>
    <row r="2128">
      <c r="A2128" t="inlineStr">
        <is>
          <t>5038581054681</t>
        </is>
      </c>
      <c r="B2128" t="inlineStr">
        <is>
          <t>Woodwick Island Coconut Vase Juicy Coconut Scented Candle 6095 G</t>
        </is>
      </c>
      <c r="C2128" t="inlineStr">
        <is>
          <t>Candles</t>
        </is>
      </c>
      <c r="D2128" t="inlineStr">
        <is>
          <t>Woodwick</t>
        </is>
      </c>
      <c r="E2128" t="n">
        <v>20.26</v>
      </c>
      <c r="F2128" t="n">
        <v>1</v>
      </c>
      <c r="G2128" t="n">
        <v>580</v>
      </c>
      <c r="H2128" s="5">
        <f>HYPERLINK("https://api.qogita.com/variants/link/5038581054681/", "View Product")</f>
        <v/>
      </c>
    </row>
    <row r="2129">
      <c r="A2129" t="inlineStr">
        <is>
          <t>5038581055282</t>
        </is>
      </c>
      <c r="B2129" t="inlineStr">
        <is>
          <t>Woodwick Vanilla Sea Salt Vase Scented Candle 85 G</t>
        </is>
      </c>
      <c r="C2129" t="inlineStr">
        <is>
          <t>Candles</t>
        </is>
      </c>
      <c r="D2129" t="inlineStr">
        <is>
          <t>Woodwick</t>
        </is>
      </c>
      <c r="E2129" t="n">
        <v>7.49</v>
      </c>
      <c r="F2129" t="n">
        <v>1</v>
      </c>
      <c r="G2129" t="n">
        <v>374</v>
      </c>
      <c r="H2129" s="5">
        <f>HYPERLINK("https://api.qogita.com/variants/link/5038581055282/", "View Product")</f>
        <v/>
      </c>
    </row>
    <row r="2130">
      <c r="A2130" t="inlineStr">
        <is>
          <t>5038581056456</t>
        </is>
      </c>
      <c r="B2130" t="inlineStr">
        <is>
          <t>Woodwick Cinnamon Chai Scented Candle 85 G</t>
        </is>
      </c>
      <c r="C2130" t="inlineStr">
        <is>
          <t>Candles</t>
        </is>
      </c>
      <c r="D2130" t="inlineStr">
        <is>
          <t>Woodwick</t>
        </is>
      </c>
      <c r="E2130" t="n">
        <v>7.47</v>
      </c>
      <c r="F2130" t="n">
        <v>1</v>
      </c>
      <c r="G2130" t="n">
        <v>365</v>
      </c>
      <c r="H2130" s="5">
        <f>HYPERLINK("https://api.qogita.com/variants/link/5038581056456/", "View Product")</f>
        <v/>
      </c>
    </row>
    <row r="2131">
      <c r="A2131" t="inlineStr">
        <is>
          <t>5038581056609</t>
        </is>
      </c>
      <c r="B2131" t="inlineStr">
        <is>
          <t>Woodwick Scented Candle Coastal Sunset 85 G And 609 G</t>
        </is>
      </c>
      <c r="C2131" t="inlineStr">
        <is>
          <t>Candles</t>
        </is>
      </c>
      <c r="D2131" t="inlineStr">
        <is>
          <t>Woodwick</t>
        </is>
      </c>
      <c r="E2131" t="n">
        <v>7.45</v>
      </c>
      <c r="F2131" t="n">
        <v>1</v>
      </c>
      <c r="G2131" t="n">
        <v>30</v>
      </c>
      <c r="H2131" s="5">
        <f>HYPERLINK("https://api.qogita.com/variants/link/5038581056609/", "View Product")</f>
        <v/>
      </c>
    </row>
    <row r="2132">
      <c r="A2132" t="inlineStr">
        <is>
          <t>5038581056821</t>
        </is>
      </c>
      <c r="B2132" t="inlineStr">
        <is>
          <t>Woodwick Black Cherry Ship Scented Candle 4536 Grams</t>
        </is>
      </c>
      <c r="C2132" t="inlineStr">
        <is>
          <t>Candles</t>
        </is>
      </c>
      <c r="D2132" t="inlineStr">
        <is>
          <t>Woodwick</t>
        </is>
      </c>
      <c r="E2132" t="n">
        <v>20.56</v>
      </c>
      <c r="F2132" t="n">
        <v>1</v>
      </c>
      <c r="G2132" t="n">
        <v>1047</v>
      </c>
      <c r="H2132" s="5">
        <f>HYPERLINK("https://api.qogita.com/variants/link/5038581056821/", "View Product")</f>
        <v/>
      </c>
    </row>
    <row r="2133">
      <c r="A2133" t="inlineStr">
        <is>
          <t>5038581056883</t>
        </is>
      </c>
      <c r="B2133" t="inlineStr">
        <is>
          <t>Woodwick Frasier Fir Ship Fir Scented Candle 4536 Grams</t>
        </is>
      </c>
      <c r="C2133" t="inlineStr">
        <is>
          <t>Candles</t>
        </is>
      </c>
      <c r="D2133" t="inlineStr">
        <is>
          <t>Woodwick</t>
        </is>
      </c>
      <c r="E2133" t="n">
        <v>20.53</v>
      </c>
      <c r="F2133" t="n">
        <v>1</v>
      </c>
      <c r="G2133" t="n">
        <v>110</v>
      </c>
      <c r="H2133" s="5">
        <f>HYPERLINK("https://api.qogita.com/variants/link/5038581056883/", "View Product")</f>
        <v/>
      </c>
    </row>
    <row r="2134">
      <c r="A2134" t="inlineStr">
        <is>
          <t>5038581056890</t>
        </is>
      </c>
      <c r="B2134" t="inlineStr">
        <is>
          <t>Woodwick Island Coconut Scented Candle 4536 G</t>
        </is>
      </c>
      <c r="C2134" t="inlineStr">
        <is>
          <t>Candles</t>
        </is>
      </c>
      <c r="D2134" t="inlineStr">
        <is>
          <t>Woodwick</t>
        </is>
      </c>
      <c r="E2134" t="n">
        <v>20.56</v>
      </c>
      <c r="F2134" t="n">
        <v>1</v>
      </c>
      <c r="G2134" t="n">
        <v>705</v>
      </c>
      <c r="H2134" s="5">
        <f>HYPERLINK("https://api.qogita.com/variants/link/5038581056890/", "View Product")</f>
        <v/>
      </c>
    </row>
    <row r="2135">
      <c r="A2135" t="inlineStr">
        <is>
          <t>5038581057798</t>
        </is>
      </c>
      <c r="B2135" t="inlineStr">
        <is>
          <t>Woodwick Scented Candle Vase Black Cherry 275 G</t>
        </is>
      </c>
      <c r="C2135" t="inlineStr">
        <is>
          <t>Candles</t>
        </is>
      </c>
      <c r="D2135" t="inlineStr">
        <is>
          <t>Woodwick</t>
        </is>
      </c>
      <c r="E2135" t="n">
        <v>14.73</v>
      </c>
      <c r="F2135" t="n">
        <v>1</v>
      </c>
      <c r="G2135" t="n">
        <v>204</v>
      </c>
      <c r="H2135" s="5">
        <f>HYPERLINK("https://api.qogita.com/variants/link/5038581057798/", "View Product")</f>
        <v/>
      </c>
    </row>
    <row r="2136">
      <c r="A2136" t="inlineStr">
        <is>
          <t>5038581057828</t>
        </is>
      </c>
      <c r="B2136" t="inlineStr">
        <is>
          <t>Woodwick Fireside Scented Candle Vase 275 Grams</t>
        </is>
      </c>
      <c r="C2136" t="inlineStr">
        <is>
          <t>Candles</t>
        </is>
      </c>
      <c r="D2136" t="inlineStr">
        <is>
          <t>Woodwick</t>
        </is>
      </c>
      <c r="E2136" t="n">
        <v>14.73</v>
      </c>
      <c r="F2136" t="n">
        <v>1</v>
      </c>
      <c r="G2136" t="n">
        <v>201</v>
      </c>
      <c r="H2136" s="5">
        <f>HYPERLINK("https://api.qogita.com/variants/link/5038581057828/", "View Product")</f>
        <v/>
      </c>
    </row>
    <row r="2137">
      <c r="A2137" t="inlineStr">
        <is>
          <t>5038581057835</t>
        </is>
      </c>
      <c r="B2137" t="inlineStr">
        <is>
          <t>Woodwick Medium Hourglass Scented Candle Vanilla Bean with Crackling Wick Burn Time Up to 60 Hours</t>
        </is>
      </c>
      <c r="C2137" t="inlineStr">
        <is>
          <t>Candles</t>
        </is>
      </c>
      <c r="D2137" t="inlineStr">
        <is>
          <t>Woodwick</t>
        </is>
      </c>
      <c r="E2137" t="n">
        <v>14.73</v>
      </c>
      <c r="F2137" t="n">
        <v>1</v>
      </c>
      <c r="G2137" t="n">
        <v>87</v>
      </c>
      <c r="H2137" s="5">
        <f>HYPERLINK("https://api.qogita.com/variants/link/5038581057835/", "View Product")</f>
        <v/>
      </c>
    </row>
    <row r="2138">
      <c r="A2138" t="inlineStr">
        <is>
          <t>5038581065922</t>
        </is>
      </c>
      <c r="B2138" t="inlineStr">
        <is>
          <t>Yankee Candle Home Inspiration Scented Candle</t>
        </is>
      </c>
      <c r="C2138" t="inlineStr">
        <is>
          <t>Candles</t>
        </is>
      </c>
      <c r="D2138" t="inlineStr">
        <is>
          <t>Yankee Candle</t>
        </is>
      </c>
      <c r="E2138" t="n">
        <v>7.13</v>
      </c>
      <c r="F2138" t="n">
        <v>1</v>
      </c>
      <c r="G2138" t="n">
        <v>64</v>
      </c>
      <c r="H2138" s="5">
        <f>HYPERLINK("https://api.qogita.com/variants/link/5038581065922/", "View Product")</f>
        <v/>
      </c>
    </row>
    <row r="2139">
      <c r="A2139" t="inlineStr">
        <is>
          <t>5038581077833</t>
        </is>
      </c>
      <c r="B2139" t="inlineStr">
        <is>
          <t>Woodwick Candle Beige Medium</t>
        </is>
      </c>
      <c r="C2139" t="inlineStr">
        <is>
          <t>Candles</t>
        </is>
      </c>
      <c r="D2139" t="inlineStr">
        <is>
          <t>Woodwick</t>
        </is>
      </c>
      <c r="E2139" t="n">
        <v>14.5</v>
      </c>
      <c r="F2139" t="n">
        <v>1</v>
      </c>
      <c r="G2139" t="n">
        <v>1</v>
      </c>
      <c r="H2139" s="5">
        <f>HYPERLINK("https://api.qogita.com/variants/link/5038581077833/", "View Product")</f>
        <v/>
      </c>
    </row>
    <row r="2140">
      <c r="A2140" t="inlineStr">
        <is>
          <t>5038581091402</t>
        </is>
      </c>
      <c r="B2140" t="inlineStr">
        <is>
          <t>Yankee Candle Camellia Blossom Candle Scented Candle 411 G</t>
        </is>
      </c>
      <c r="C2140" t="inlineStr">
        <is>
          <t>Candles</t>
        </is>
      </c>
      <c r="D2140" t="inlineStr">
        <is>
          <t>Yankee Candle</t>
        </is>
      </c>
      <c r="E2140" t="n">
        <v>17.52</v>
      </c>
      <c r="F2140" t="n">
        <v>1</v>
      </c>
      <c r="G2140" t="n">
        <v>2</v>
      </c>
      <c r="H2140" s="5">
        <f>HYPERLINK("https://api.qogita.com/variants/link/5038581091402/", "View Product")</f>
        <v/>
      </c>
    </row>
    <row r="2141">
      <c r="A2141" t="inlineStr">
        <is>
          <t>5038581101927</t>
        </is>
      </c>
      <c r="B2141" t="inlineStr">
        <is>
          <t>Yankee Candle Replacement Refill For Electric Diffuser Organic Kit Vanilla Lime 2 X 185 Ml</t>
        </is>
      </c>
      <c r="C2141" t="inlineStr">
        <is>
          <t>Diffusers</t>
        </is>
      </c>
      <c r="D2141" t="inlineStr">
        <is>
          <t>Yankee Candle</t>
        </is>
      </c>
      <c r="E2141" t="n">
        <v>6.35</v>
      </c>
      <c r="F2141" t="n">
        <v>1</v>
      </c>
      <c r="G2141" t="n">
        <v>18</v>
      </c>
      <c r="H2141" s="5">
        <f>HYPERLINK("https://api.qogita.com/variants/link/5038581101927/", "View Product")</f>
        <v/>
      </c>
    </row>
    <row r="2142">
      <c r="A2142" t="inlineStr">
        <is>
          <t>5038581109886</t>
        </is>
      </c>
      <c r="B2142" t="inlineStr">
        <is>
          <t>Yankee Candle Scented Candle Home Inspiration Small Coral Peony 104 G</t>
        </is>
      </c>
      <c r="C2142" t="inlineStr">
        <is>
          <t>Candles</t>
        </is>
      </c>
      <c r="D2142" t="inlineStr">
        <is>
          <t>Yankee Candle</t>
        </is>
      </c>
      <c r="E2142" t="n">
        <v>7.13</v>
      </c>
      <c r="F2142" t="n">
        <v>1</v>
      </c>
      <c r="G2142" t="n">
        <v>21</v>
      </c>
      <c r="H2142" s="5">
        <f>HYPERLINK("https://api.qogita.com/variants/link/5038581109886/", "View Product")</f>
        <v/>
      </c>
    </row>
    <row r="2143">
      <c r="A2143" t="inlineStr">
        <is>
          <t>5038581110028</t>
        </is>
      </c>
      <c r="B2143" t="inlineStr">
        <is>
          <t>Yankee Candle Scented Candle Home Inspiration Large Fairy Floss 538 G</t>
        </is>
      </c>
      <c r="C2143" t="inlineStr">
        <is>
          <t>Candles</t>
        </is>
      </c>
      <c r="D2143" t="inlineStr">
        <is>
          <t>Yankee Candle</t>
        </is>
      </c>
      <c r="E2143" t="n">
        <v>13.44</v>
      </c>
      <c r="F2143" t="n">
        <v>1</v>
      </c>
      <c r="G2143" t="n">
        <v>32</v>
      </c>
      <c r="H2143" s="5">
        <f>HYPERLINK("https://api.qogita.com/variants/link/5038581110028/", "View Product")</f>
        <v/>
      </c>
    </row>
    <row r="2144">
      <c r="A2144" t="inlineStr">
        <is>
          <t>5038581112848</t>
        </is>
      </c>
      <c r="B2144" t="inlineStr">
        <is>
          <t>Yankee Candle Cliffside Sunrise Large Aromatic Candle 623 G</t>
        </is>
      </c>
      <c r="C2144" t="inlineStr">
        <is>
          <t>Candles</t>
        </is>
      </c>
      <c r="D2144" t="inlineStr">
        <is>
          <t>Yankee Candle</t>
        </is>
      </c>
      <c r="E2144" t="n">
        <v>16.37</v>
      </c>
      <c r="F2144" t="n">
        <v>1</v>
      </c>
      <c r="G2144" t="n">
        <v>89</v>
      </c>
      <c r="H2144" s="5">
        <f>HYPERLINK("https://api.qogita.com/variants/link/5038581112848/", "View Product")</f>
        <v/>
      </c>
    </row>
    <row r="2145">
      <c r="A2145" t="inlineStr">
        <is>
          <t>5038581114279</t>
        </is>
      </c>
      <c r="B2145" t="inlineStr">
        <is>
          <t>Chesapeake Bay Love Passion Candle Medium Tumbler</t>
        </is>
      </c>
      <c r="C2145" t="inlineStr">
        <is>
          <t>Candles</t>
        </is>
      </c>
      <c r="D2145" t="inlineStr">
        <is>
          <t>Chesapeake Bay Candle</t>
        </is>
      </c>
      <c r="E2145" t="n">
        <v>12.42</v>
      </c>
      <c r="F2145" t="n">
        <v>1</v>
      </c>
      <c r="G2145" t="n">
        <v>4</v>
      </c>
      <c r="H2145" s="5">
        <f>HYPERLINK("https://api.qogita.com/variants/link/5038581114279/", "View Product")</f>
        <v/>
      </c>
    </row>
    <row r="2146">
      <c r="A2146" t="inlineStr">
        <is>
          <t>5038581114316</t>
        </is>
      </c>
      <c r="B2146" t="inlineStr">
        <is>
          <t>Chesapeake Bay Strength Energy Candle Medium Tumbler</t>
        </is>
      </c>
      <c r="C2146" t="inlineStr">
        <is>
          <t>Candles</t>
        </is>
      </c>
      <c r="D2146" t="inlineStr">
        <is>
          <t>Chesapeake Bay Candle</t>
        </is>
      </c>
      <c r="E2146" t="n">
        <v>12.42</v>
      </c>
      <c r="F2146" t="n">
        <v>1</v>
      </c>
      <c r="G2146" t="n">
        <v>10</v>
      </c>
      <c r="H2146" s="5">
        <f>HYPERLINK("https://api.qogita.com/variants/link/5038581114316/", "View Product")</f>
        <v/>
      </c>
    </row>
    <row r="2147">
      <c r="A2147" t="inlineStr">
        <is>
          <t>5038581114323</t>
        </is>
      </c>
      <c r="B2147" t="inlineStr">
        <is>
          <t>Chesapeake Bay Scented Candle | Balance + Harmony Aromatherapy Candle, Medium</t>
        </is>
      </c>
      <c r="C2147" t="inlineStr">
        <is>
          <t>Candles</t>
        </is>
      </c>
      <c r="D2147" t="inlineStr">
        <is>
          <t>Chesapeake Bay Candle</t>
        </is>
      </c>
      <c r="E2147" t="n">
        <v>12.42</v>
      </c>
      <c r="F2147" t="n">
        <v>1</v>
      </c>
      <c r="G2147" t="n">
        <v>9</v>
      </c>
      <c r="H2147" s="5">
        <f>HYPERLINK("https://api.qogita.com/variants/link/5038581114323/", "View Product")</f>
        <v/>
      </c>
    </row>
    <row r="2148">
      <c r="A2148" t="inlineStr">
        <is>
          <t>5038581114347</t>
        </is>
      </c>
      <c r="B2148" t="inlineStr">
        <is>
          <t>Chesapeake Bay Serenity Calm Candle Tumbler Medium Scented Candle</t>
        </is>
      </c>
      <c r="C2148" t="inlineStr">
        <is>
          <t>Candles</t>
        </is>
      </c>
      <c r="D2148" t="inlineStr">
        <is>
          <t>Chesapeake Bay Candle</t>
        </is>
      </c>
      <c r="E2148" t="n">
        <v>12.42</v>
      </c>
      <c r="F2148" t="n">
        <v>1</v>
      </c>
      <c r="G2148" t="n">
        <v>5</v>
      </c>
      <c r="H2148" s="5">
        <f>HYPERLINK("https://api.qogita.com/variants/link/5038581114347/", "View Product")</f>
        <v/>
      </c>
    </row>
    <row r="2149">
      <c r="A2149" t="inlineStr">
        <is>
          <t>5038581114392</t>
        </is>
      </c>
      <c r="B2149" t="inlineStr">
        <is>
          <t>Chesapeake Bay Confidence Freedom Candle Tumbler Large Scented Candle</t>
        </is>
      </c>
      <c r="C2149" t="inlineStr">
        <is>
          <t>Candles</t>
        </is>
      </c>
      <c r="D2149" t="inlineStr">
        <is>
          <t>Chesapeake Bay Candle</t>
        </is>
      </c>
      <c r="E2149" t="n">
        <v>17.13</v>
      </c>
      <c r="F2149" t="n">
        <v>1</v>
      </c>
      <c r="G2149" t="n">
        <v>8</v>
      </c>
      <c r="H2149" s="5">
        <f>HYPERLINK("https://api.qogita.com/variants/link/5038581114392/", "View Product")</f>
        <v/>
      </c>
    </row>
    <row r="2150">
      <c r="A2150" t="inlineStr">
        <is>
          <t>5038581114415</t>
        </is>
      </c>
      <c r="B2150" t="inlineStr">
        <is>
          <t>Chesapeake Bay Strength Energy Candle Tumbler Large Scented Candle</t>
        </is>
      </c>
      <c r="C2150" t="inlineStr">
        <is>
          <t>Candles</t>
        </is>
      </c>
      <c r="D2150" t="inlineStr">
        <is>
          <t>Chesapeake Bay Candle</t>
        </is>
      </c>
      <c r="E2150" t="n">
        <v>17.13</v>
      </c>
      <c r="F2150" t="n">
        <v>1</v>
      </c>
      <c r="G2150" t="n">
        <v>8</v>
      </c>
      <c r="H2150" s="5">
        <f>HYPERLINK("https://api.qogita.com/variants/link/5038581114415/", "View Product")</f>
        <v/>
      </c>
    </row>
    <row r="2151">
      <c r="A2151" t="inlineStr">
        <is>
          <t>5038581114422</t>
        </is>
      </c>
      <c r="B2151" t="inlineStr">
        <is>
          <t>Chesapeake Bay Scented Candle Balance + Harmony Aromatherapy Candle Large Tumbler - Up to 82 Hours Burn Time Mind &amp; Body Collection</t>
        </is>
      </c>
      <c r="C2151" t="inlineStr">
        <is>
          <t>Candles</t>
        </is>
      </c>
      <c r="D2151" t="inlineStr">
        <is>
          <t>Chesapeake Bay Candle</t>
        </is>
      </c>
      <c r="E2151" t="n">
        <v>16.28</v>
      </c>
      <c r="F2151" t="n">
        <v>1</v>
      </c>
      <c r="G2151" t="n">
        <v>5</v>
      </c>
      <c r="H2151" s="5">
        <f>HYPERLINK("https://api.qogita.com/variants/link/5038581114422/", "View Product")</f>
        <v/>
      </c>
    </row>
    <row r="2152">
      <c r="A2152" t="inlineStr">
        <is>
          <t>5038581114538</t>
        </is>
      </c>
      <c r="B2152" t="inlineStr">
        <is>
          <t>Chesapeake Bay Candles</t>
        </is>
      </c>
      <c r="C2152" t="inlineStr">
        <is>
          <t>Candles</t>
        </is>
      </c>
      <c r="D2152" t="inlineStr">
        <is>
          <t>Chesapeake Bay</t>
        </is>
      </c>
      <c r="E2152" t="n">
        <v>19.11</v>
      </c>
      <c r="F2152" t="n">
        <v>1</v>
      </c>
      <c r="G2152" t="n">
        <v>8</v>
      </c>
      <c r="H2152" s="5">
        <f>HYPERLINK("https://api.qogita.com/variants/link/5038581114538/", "View Product")</f>
        <v/>
      </c>
    </row>
    <row r="2153">
      <c r="A2153" t="inlineStr">
        <is>
          <t>5038581114545</t>
        </is>
      </c>
      <c r="B2153" t="inlineStr">
        <is>
          <t>Chesapeake Bay Awaken Invigorate Candle With Three Wicks</t>
        </is>
      </c>
      <c r="C2153" t="inlineStr">
        <is>
          <t>Candles</t>
        </is>
      </c>
      <c r="D2153" t="inlineStr">
        <is>
          <t>Chesapeake Bay Candle</t>
        </is>
      </c>
      <c r="E2153" t="n">
        <v>19.11</v>
      </c>
      <c r="F2153" t="n">
        <v>1</v>
      </c>
      <c r="G2153" t="n">
        <v>5</v>
      </c>
      <c r="H2153" s="5">
        <f>HYPERLINK("https://api.qogita.com/variants/link/5038581114545/", "View Product")</f>
        <v/>
      </c>
    </row>
    <row r="2154">
      <c r="A2154" t="inlineStr">
        <is>
          <t>5038581114552</t>
        </is>
      </c>
      <c r="B2154" t="inlineStr">
        <is>
          <t>Chesapeake Bay Serenity Calm Candle Scented Candle With Three Wicks</t>
        </is>
      </c>
      <c r="C2154" t="inlineStr">
        <is>
          <t>Candles</t>
        </is>
      </c>
      <c r="D2154" t="inlineStr">
        <is>
          <t>Chesapeake Bay Candle</t>
        </is>
      </c>
      <c r="E2154" t="n">
        <v>19.11</v>
      </c>
      <c r="F2154" t="n">
        <v>1</v>
      </c>
      <c r="G2154" t="n">
        <v>8</v>
      </c>
      <c r="H2154" s="5">
        <f>HYPERLINK("https://api.qogita.com/variants/link/5038581114552/", "View Product")</f>
        <v/>
      </c>
    </row>
    <row r="2155">
      <c r="A2155" t="inlineStr">
        <is>
          <t>5038581116921</t>
        </is>
      </c>
      <c r="B2155" t="inlineStr">
        <is>
          <t>Yankee Candle Aromatic Candle Home Inspiration Medium Pugs &amp; Kisses 340 G</t>
        </is>
      </c>
      <c r="C2155" t="inlineStr">
        <is>
          <t>Candles</t>
        </is>
      </c>
      <c r="D2155" t="inlineStr">
        <is>
          <t>Yankee Candle</t>
        </is>
      </c>
      <c r="E2155" t="n">
        <v>9.800000000000001</v>
      </c>
      <c r="F2155" t="n">
        <v>1</v>
      </c>
      <c r="G2155" t="n">
        <v>84</v>
      </c>
      <c r="H2155" s="5">
        <f>HYPERLINK("https://api.qogita.com/variants/link/5038581116921/", "View Product")</f>
        <v/>
      </c>
    </row>
    <row r="2156">
      <c r="A2156" t="inlineStr">
        <is>
          <t>5038581124919</t>
        </is>
      </c>
      <c r="B2156" t="inlineStr">
        <is>
          <t>Yankee Candle Baby Powder Signature Candle 567 Grams</t>
        </is>
      </c>
      <c r="C2156" t="inlineStr">
        <is>
          <t>Candles</t>
        </is>
      </c>
      <c r="D2156" t="inlineStr">
        <is>
          <t>Yankee Candle</t>
        </is>
      </c>
      <c r="E2156" t="n">
        <v>19.1</v>
      </c>
      <c r="F2156" t="n">
        <v>1</v>
      </c>
      <c r="G2156" t="n">
        <v>16</v>
      </c>
      <c r="H2156" s="5">
        <f>HYPERLINK("https://api.qogita.com/variants/link/5038581124919/", "View Product")</f>
        <v/>
      </c>
    </row>
    <row r="2157">
      <c r="A2157" t="inlineStr">
        <is>
          <t>5038581124940</t>
        </is>
      </c>
      <c r="B2157" t="inlineStr">
        <is>
          <t>Yankee Candle A Calm &amp; Quiet Place Scented Candle 567g</t>
        </is>
      </c>
      <c r="C2157" t="inlineStr">
        <is>
          <t>Candles</t>
        </is>
      </c>
      <c r="D2157" t="inlineStr">
        <is>
          <t>Yankee Candle</t>
        </is>
      </c>
      <c r="E2157" t="n">
        <v>19.45</v>
      </c>
      <c r="F2157" t="n">
        <v>1</v>
      </c>
      <c r="G2157" t="n">
        <v>35</v>
      </c>
      <c r="H2157" s="5">
        <f>HYPERLINK("https://api.qogita.com/variants/link/5038581124940/", "View Product")</f>
        <v/>
      </c>
    </row>
    <row r="2158">
      <c r="A2158" t="inlineStr">
        <is>
          <t>5038581124988</t>
        </is>
      </c>
      <c r="B2158" t="inlineStr">
        <is>
          <t>Yankee Candle Vanilla Bean Espresso Signature Candle 567 G</t>
        </is>
      </c>
      <c r="C2158" t="inlineStr">
        <is>
          <t>Candles</t>
        </is>
      </c>
      <c r="D2158" t="inlineStr">
        <is>
          <t>Yankee Candle</t>
        </is>
      </c>
      <c r="E2158" t="n">
        <v>19.17</v>
      </c>
      <c r="F2158" t="n">
        <v>1</v>
      </c>
      <c r="G2158" t="n">
        <v>24</v>
      </c>
      <c r="H2158" s="5">
        <f>HYPERLINK("https://api.qogita.com/variants/link/5038581124988/", "View Product")</f>
        <v/>
      </c>
    </row>
    <row r="2159">
      <c r="A2159" t="inlineStr">
        <is>
          <t>5038581124995</t>
        </is>
      </c>
      <c r="B2159" t="inlineStr">
        <is>
          <t>Yankee Candle Wedding Day Signature Candle Large Glass 567 G</t>
        </is>
      </c>
      <c r="C2159" t="inlineStr">
        <is>
          <t>Candles</t>
        </is>
      </c>
      <c r="D2159" t="inlineStr">
        <is>
          <t>Yankee Candle</t>
        </is>
      </c>
      <c r="E2159" t="n">
        <v>19.48</v>
      </c>
      <c r="F2159" t="n">
        <v>1</v>
      </c>
      <c r="G2159" t="n">
        <v>31</v>
      </c>
      <c r="H2159" s="5">
        <f>HYPERLINK("https://api.qogita.com/variants/link/5038581124995/", "View Product")</f>
        <v/>
      </c>
    </row>
    <row r="2160">
      <c r="A2160" t="inlineStr">
        <is>
          <t>5038581125039</t>
        </is>
      </c>
      <c r="B2160" t="inlineStr">
        <is>
          <t>Yankee Candle Black Coconut Scented Candle 368g</t>
        </is>
      </c>
      <c r="C2160" t="inlineStr">
        <is>
          <t>Candles</t>
        </is>
      </c>
      <c r="D2160" t="inlineStr">
        <is>
          <t>Yankee Candle</t>
        </is>
      </c>
      <c r="E2160" t="n">
        <v>14.89</v>
      </c>
      <c r="F2160" t="n">
        <v>1</v>
      </c>
      <c r="G2160" t="n">
        <v>12</v>
      </c>
      <c r="H2160" s="5">
        <f>HYPERLINK("https://api.qogita.com/variants/link/5038581125039/", "View Product")</f>
        <v/>
      </c>
    </row>
    <row r="2161">
      <c r="A2161" t="inlineStr">
        <is>
          <t>5038581125091</t>
        </is>
      </c>
      <c r="B2161" t="inlineStr">
        <is>
          <t>Yankee Candle Vanilla Bean Espresso Signature Candle Medium 368 G</t>
        </is>
      </c>
      <c r="C2161" t="inlineStr">
        <is>
          <t>Candles</t>
        </is>
      </c>
      <c r="D2161" t="inlineStr">
        <is>
          <t>Yankee Candle</t>
        </is>
      </c>
      <c r="E2161" t="n">
        <v>17.81</v>
      </c>
      <c r="F2161" t="n">
        <v>1</v>
      </c>
      <c r="G2161" t="n">
        <v>5</v>
      </c>
      <c r="H2161" s="5">
        <f>HYPERLINK("https://api.qogita.com/variants/link/5038581125091/", "View Product")</f>
        <v/>
      </c>
    </row>
    <row r="2162">
      <c r="A2162" t="inlineStr">
        <is>
          <t>5038581125107</t>
        </is>
      </c>
      <c r="B2162" t="inlineStr">
        <is>
          <t>Yankee Candle Wedding Day Signature Candle Medium Aromatic Candle 368 G</t>
        </is>
      </c>
      <c r="C2162" t="inlineStr">
        <is>
          <t>Candles</t>
        </is>
      </c>
      <c r="D2162" t="inlineStr">
        <is>
          <t>Yankee Candle</t>
        </is>
      </c>
      <c r="E2162" t="n">
        <v>18.85</v>
      </c>
      <c r="F2162" t="n">
        <v>1</v>
      </c>
      <c r="G2162" t="n">
        <v>3</v>
      </c>
      <c r="H2162" s="5">
        <f>HYPERLINK("https://api.qogita.com/variants/link/5038581125107/", "View Product")</f>
        <v/>
      </c>
    </row>
    <row r="2163">
      <c r="A2163" t="inlineStr">
        <is>
          <t>5038581128269</t>
        </is>
      </c>
      <c r="B2163" t="inlineStr">
        <is>
          <t>Yankee Candle Wild Orchid 3 Filled Votive Candle Gift Set</t>
        </is>
      </c>
      <c r="C2163" t="inlineStr">
        <is>
          <t>Candles</t>
        </is>
      </c>
      <c r="D2163" t="inlineStr">
        <is>
          <t>Yankee Candle</t>
        </is>
      </c>
      <c r="E2163" t="n">
        <v>7.62</v>
      </c>
      <c r="F2163" t="n">
        <v>1</v>
      </c>
      <c r="G2163" t="n">
        <v>45</v>
      </c>
      <c r="H2163" s="5">
        <f>HYPERLINK("https://api.qogita.com/variants/link/5038581128269/", "View Product")</f>
        <v/>
      </c>
    </row>
    <row r="2164">
      <c r="A2164" t="inlineStr">
        <is>
          <t>5038581128351</t>
        </is>
      </c>
      <c r="B2164" t="inlineStr">
        <is>
          <t>Yankee Candle Mini Midnight Jasmine Candle</t>
        </is>
      </c>
      <c r="C2164" t="inlineStr">
        <is>
          <t>Candles</t>
        </is>
      </c>
      <c r="D2164" t="inlineStr">
        <is>
          <t>Yankee Candle</t>
        </is>
      </c>
      <c r="E2164" t="n">
        <v>3.04</v>
      </c>
      <c r="F2164" t="n">
        <v>1</v>
      </c>
      <c r="G2164" t="n">
        <v>21</v>
      </c>
      <c r="H2164" s="5">
        <f>HYPERLINK("https://api.qogita.com/variants/link/5038581128351/", "View Product")</f>
        <v/>
      </c>
    </row>
    <row r="2165">
      <c r="A2165" t="inlineStr">
        <is>
          <t>5038581128764</t>
        </is>
      </c>
      <c r="B2165" t="inlineStr">
        <is>
          <t>Yankee Candle Lakefront Lodge Signature Candle Aromatic Candle In Medium Signature Glass 368 Grams</t>
        </is>
      </c>
      <c r="C2165" t="inlineStr">
        <is>
          <t>Candles</t>
        </is>
      </c>
      <c r="D2165" t="inlineStr">
        <is>
          <t>Yankee Candle</t>
        </is>
      </c>
      <c r="E2165" t="n">
        <v>14.89</v>
      </c>
      <c r="F2165" t="n">
        <v>1</v>
      </c>
      <c r="G2165" t="n">
        <v>12</v>
      </c>
      <c r="H2165" s="5">
        <f>HYPERLINK("https://api.qogita.com/variants/link/5038581128764/", "View Product")</f>
        <v/>
      </c>
    </row>
    <row r="2166">
      <c r="A2166" t="inlineStr">
        <is>
          <t>5038581128818</t>
        </is>
      </c>
      <c r="B2166" t="inlineStr">
        <is>
          <t>Yankee Candle Signature Scented Candle | Large Long Burning Candle "Pink</t>
        </is>
      </c>
      <c r="C2166" t="inlineStr">
        <is>
          <t>Candles</t>
        </is>
      </c>
      <c r="D2166" t="inlineStr">
        <is>
          <t>Yankee Candle</t>
        </is>
      </c>
      <c r="E2166" t="n">
        <v>18.62</v>
      </c>
      <c r="F2166" t="n">
        <v>1</v>
      </c>
      <c r="G2166" t="n">
        <v>11</v>
      </c>
      <c r="H2166" s="5">
        <f>HYPERLINK("https://api.qogita.com/variants/link/5038581128818/", "View Product")</f>
        <v/>
      </c>
    </row>
    <row r="2167">
      <c r="A2167" t="inlineStr">
        <is>
          <t>5038581128955</t>
        </is>
      </c>
      <c r="B2167" t="inlineStr">
        <is>
          <t>Yankee Candle Vanilla Creme Brulee Signature Candle</t>
        </is>
      </c>
      <c r="C2167" t="inlineStr">
        <is>
          <t>Candles</t>
        </is>
      </c>
      <c r="D2167" t="inlineStr">
        <is>
          <t>Yankee Candle</t>
        </is>
      </c>
      <c r="E2167" t="n">
        <v>17.67</v>
      </c>
      <c r="F2167" t="n">
        <v>1</v>
      </c>
      <c r="G2167" t="n">
        <v>2</v>
      </c>
      <c r="H2167" s="5">
        <f>HYPERLINK("https://api.qogita.com/variants/link/5038581128955/", "View Product")</f>
        <v/>
      </c>
    </row>
    <row r="2168">
      <c r="A2168" t="inlineStr">
        <is>
          <t>5038581128962</t>
        </is>
      </c>
      <c r="B2168" t="inlineStr">
        <is>
          <t>Yankee Candle Lilac Blossoms Scented Candle 368g</t>
        </is>
      </c>
      <c r="C2168" t="inlineStr">
        <is>
          <t>Candles</t>
        </is>
      </c>
      <c r="D2168" t="inlineStr">
        <is>
          <t>Yankee Candle</t>
        </is>
      </c>
      <c r="E2168" t="n">
        <v>14.89</v>
      </c>
      <c r="F2168" t="n">
        <v>1</v>
      </c>
      <c r="G2168" t="n">
        <v>10</v>
      </c>
      <c r="H2168" s="5">
        <f>HYPERLINK("https://api.qogita.com/variants/link/5038581128962/", "View Product")</f>
        <v/>
      </c>
    </row>
    <row r="2169">
      <c r="A2169" t="inlineStr">
        <is>
          <t>5038581129075</t>
        </is>
      </c>
      <c r="B2169" t="inlineStr">
        <is>
          <t>Yankee Candle Wild Orchid Signature Candle 368 G</t>
        </is>
      </c>
      <c r="C2169" t="inlineStr">
        <is>
          <t>Candles</t>
        </is>
      </c>
      <c r="D2169" t="inlineStr">
        <is>
          <t>Yankee Candle</t>
        </is>
      </c>
      <c r="E2169" t="n">
        <v>14.7</v>
      </c>
      <c r="F2169" t="n">
        <v>1</v>
      </c>
      <c r="G2169" t="n">
        <v>14</v>
      </c>
      <c r="H2169" s="5">
        <f>HYPERLINK("https://api.qogita.com/variants/link/5038581129075/", "View Product")</f>
        <v/>
      </c>
    </row>
    <row r="2170">
      <c r="A2170" t="inlineStr">
        <is>
          <t>5038581129228</t>
        </is>
      </c>
      <c r="B2170" t="inlineStr">
        <is>
          <t>Yankee Candle Vanilla Cupcake Signature Candle Large 567g Aromatic Candle</t>
        </is>
      </c>
      <c r="C2170" t="inlineStr">
        <is>
          <t>Candles</t>
        </is>
      </c>
      <c r="D2170" t="inlineStr">
        <is>
          <t>Yankee Candle</t>
        </is>
      </c>
      <c r="E2170" t="n">
        <v>19.48</v>
      </c>
      <c r="F2170" t="n">
        <v>1</v>
      </c>
      <c r="G2170" t="n">
        <v>63</v>
      </c>
      <c r="H2170" s="5">
        <f>HYPERLINK("https://api.qogita.com/variants/link/5038581129228/", "View Product")</f>
        <v/>
      </c>
    </row>
    <row r="2171">
      <c r="A2171" t="inlineStr">
        <is>
          <t>5038581129365</t>
        </is>
      </c>
      <c r="B2171" t="inlineStr">
        <is>
          <t>Yankee Candle Sage Citrus Signature Candle Aromatic Candle In Large Glass 567 G</t>
        </is>
      </c>
      <c r="C2171" t="inlineStr">
        <is>
          <t>Candles</t>
        </is>
      </c>
      <c r="D2171" t="inlineStr">
        <is>
          <t>Yankee Candle</t>
        </is>
      </c>
      <c r="E2171" t="n">
        <v>19.4</v>
      </c>
      <c r="F2171" t="n">
        <v>1</v>
      </c>
      <c r="G2171" t="n">
        <v>8</v>
      </c>
      <c r="H2171" s="5">
        <f>HYPERLINK("https://api.qogita.com/variants/link/5038581129365/", "View Product")</f>
        <v/>
      </c>
    </row>
    <row r="2172">
      <c r="A2172" t="inlineStr">
        <is>
          <t>5038581129402</t>
        </is>
      </c>
      <c r="B2172" t="inlineStr">
        <is>
          <t>Yankee Candle Midnight Jasmine Scented Candle 368g</t>
        </is>
      </c>
      <c r="C2172" t="inlineStr">
        <is>
          <t>Candles</t>
        </is>
      </c>
      <c r="D2172" t="inlineStr">
        <is>
          <t>Yankee Candle</t>
        </is>
      </c>
      <c r="E2172" t="n">
        <v>14.89</v>
      </c>
      <c r="F2172" t="n">
        <v>1</v>
      </c>
      <c r="G2172" t="n">
        <v>43</v>
      </c>
      <c r="H2172" s="5">
        <f>HYPERLINK("https://api.qogita.com/variants/link/5038581129402/", "View Product")</f>
        <v/>
      </c>
    </row>
    <row r="2173">
      <c r="A2173" t="inlineStr">
        <is>
          <t>5038581129938</t>
        </is>
      </c>
      <c r="B2173" t="inlineStr">
        <is>
          <t>Woodwick Wild Berry &amp; Beets Vase Scented Candle Medium 275 G</t>
        </is>
      </c>
      <c r="C2173" t="inlineStr">
        <is>
          <t>Candles</t>
        </is>
      </c>
      <c r="D2173" t="inlineStr">
        <is>
          <t>Woodwick</t>
        </is>
      </c>
      <c r="E2173" t="n">
        <v>13.96</v>
      </c>
      <c r="F2173" t="n">
        <v>1</v>
      </c>
      <c r="G2173" t="n">
        <v>6</v>
      </c>
      <c r="H2173" s="5">
        <f>HYPERLINK("https://api.qogita.com/variants/link/5038581129938/", "View Product")</f>
        <v/>
      </c>
    </row>
    <row r="2174">
      <c r="A2174" t="inlineStr">
        <is>
          <t>5038581130743</t>
        </is>
      </c>
      <c r="B2174" t="inlineStr">
        <is>
          <t>Woodwick Scented Candle Vase Medium Pressed Blooms &amp; Patchouli 275 G</t>
        </is>
      </c>
      <c r="C2174" t="inlineStr">
        <is>
          <t>Candles</t>
        </is>
      </c>
      <c r="D2174" t="inlineStr">
        <is>
          <t>Woodwick</t>
        </is>
      </c>
      <c r="E2174" t="n">
        <v>14.73</v>
      </c>
      <c r="F2174" t="n">
        <v>1</v>
      </c>
      <c r="G2174" t="n">
        <v>37</v>
      </c>
      <c r="H2174" s="5">
        <f>HYPERLINK("https://api.qogita.com/variants/link/5038581130743/", "View Product")</f>
        <v/>
      </c>
    </row>
    <row r="2175">
      <c r="A2175" t="inlineStr">
        <is>
          <t>5038581130781</t>
        </is>
      </c>
      <c r="B2175" t="inlineStr">
        <is>
          <t>Woodwick Pressed Blooms &amp; Patchouli Scented Candle 4536 G</t>
        </is>
      </c>
      <c r="C2175" t="inlineStr">
        <is>
          <t>Candles</t>
        </is>
      </c>
      <c r="D2175" t="inlineStr">
        <is>
          <t>Woodwick</t>
        </is>
      </c>
      <c r="E2175" t="n">
        <v>20.54</v>
      </c>
      <c r="F2175" t="n">
        <v>1</v>
      </c>
      <c r="G2175" t="n">
        <v>355</v>
      </c>
      <c r="H2175" s="5">
        <f>HYPERLINK("https://api.qogita.com/variants/link/5038581130781/", "View Product")</f>
        <v/>
      </c>
    </row>
    <row r="2176">
      <c r="A2176" t="inlineStr">
        <is>
          <t>5038581133232</t>
        </is>
      </c>
      <c r="B2176" t="inlineStr">
        <is>
          <t>Woodwick Elliptical Trilogy Scented Candle With Crackling Wick | Amethyst Sky</t>
        </is>
      </c>
      <c r="C2176" t="inlineStr">
        <is>
          <t>Candles</t>
        </is>
      </c>
      <c r="D2176" t="inlineStr">
        <is>
          <t>Woodwick</t>
        </is>
      </c>
      <c r="E2176" t="n">
        <v>21.46</v>
      </c>
      <c r="F2176" t="n">
        <v>1</v>
      </c>
      <c r="G2176" t="n">
        <v>310</v>
      </c>
      <c r="H2176" s="5">
        <f>HYPERLINK("https://api.qogita.com/variants/link/5038581133232/", "View Product")</f>
        <v/>
      </c>
    </row>
    <row r="2177">
      <c r="A2177" t="inlineStr">
        <is>
          <t>5038581141442</t>
        </is>
      </c>
      <c r="B2177" t="inlineStr">
        <is>
          <t>Yankee Candle Scented Candle | Spun Sugar Flurries Large Scented Jar Candle | Snow</t>
        </is>
      </c>
      <c r="C2177" t="inlineStr">
        <is>
          <t>Candles</t>
        </is>
      </c>
      <c r="D2177" t="inlineStr">
        <is>
          <t>Yankee Candle</t>
        </is>
      </c>
      <c r="E2177" t="n">
        <v>18.57</v>
      </c>
      <c r="F2177" t="n">
        <v>1</v>
      </c>
      <c r="G2177" t="n">
        <v>8</v>
      </c>
      <c r="H2177" s="5">
        <f>HYPERLINK("https://api.qogita.com/variants/link/5038581141442/", "View Product")</f>
        <v/>
      </c>
    </row>
    <row r="2178">
      <c r="A2178" t="inlineStr">
        <is>
          <t>5038581141893</t>
        </is>
      </c>
      <c r="B2178" t="inlineStr">
        <is>
          <t>Woodwick Scented Candle Vase Small Magnolia Birch 85 G</t>
        </is>
      </c>
      <c r="C2178" t="inlineStr">
        <is>
          <t>Candles</t>
        </is>
      </c>
      <c r="D2178" t="inlineStr">
        <is>
          <t>Woodwick</t>
        </is>
      </c>
      <c r="E2178" t="n">
        <v>7.45</v>
      </c>
      <c r="F2178" t="n">
        <v>1</v>
      </c>
      <c r="G2178" t="n">
        <v>63</v>
      </c>
      <c r="H2178" s="5">
        <f>HYPERLINK("https://api.qogita.com/variants/link/5038581141893/", "View Product")</f>
        <v/>
      </c>
    </row>
    <row r="2179">
      <c r="A2179" t="inlineStr">
        <is>
          <t>5038581141923</t>
        </is>
      </c>
      <c r="B2179" t="inlineStr">
        <is>
          <t>Woodwick Scented Candle Vase Small Cashmere 85 Grams</t>
        </is>
      </c>
      <c r="C2179" t="inlineStr">
        <is>
          <t>Candles</t>
        </is>
      </c>
      <c r="D2179" t="inlineStr">
        <is>
          <t>Woodwick</t>
        </is>
      </c>
      <c r="E2179" t="n">
        <v>7.51</v>
      </c>
      <c r="F2179" t="n">
        <v>1</v>
      </c>
      <c r="G2179" t="n">
        <v>113</v>
      </c>
      <c r="H2179" s="5">
        <f>HYPERLINK("https://api.qogita.com/variants/link/5038581141923/", "View Product")</f>
        <v/>
      </c>
    </row>
    <row r="2180">
      <c r="A2180" t="inlineStr">
        <is>
          <t>5038581141930</t>
        </is>
      </c>
      <c r="B2180" t="inlineStr">
        <is>
          <t>Woodwick Mint Leaves &amp; Oak Vase Scented Candle Large 6095 G</t>
        </is>
      </c>
      <c r="C2180" t="inlineStr">
        <is>
          <t>Candles</t>
        </is>
      </c>
      <c r="D2180" t="inlineStr">
        <is>
          <t>Woodwick</t>
        </is>
      </c>
      <c r="E2180" t="n">
        <v>20.34</v>
      </c>
      <c r="F2180" t="n">
        <v>1</v>
      </c>
      <c r="G2180" t="n">
        <v>48</v>
      </c>
      <c r="H2180" s="5">
        <f>HYPERLINK("https://api.qogita.com/variants/link/5038581141930/", "View Product")</f>
        <v/>
      </c>
    </row>
    <row r="2181">
      <c r="A2181" t="inlineStr">
        <is>
          <t>5038581142869</t>
        </is>
      </c>
      <c r="B2181" t="inlineStr">
        <is>
          <t>Yankee Candle Midsummer's Night Signature Tumbler Candle 340 G</t>
        </is>
      </c>
      <c r="C2181" t="inlineStr">
        <is>
          <t>Candles</t>
        </is>
      </c>
      <c r="D2181" t="inlineStr">
        <is>
          <t>Yankee Candle</t>
        </is>
      </c>
      <c r="E2181" t="n">
        <v>20.68</v>
      </c>
      <c r="F2181" t="n">
        <v>1</v>
      </c>
      <c r="G2181" t="n">
        <v>42</v>
      </c>
      <c r="H2181" s="5">
        <f>HYPERLINK("https://api.qogita.com/variants/link/5038581142869/", "View Product")</f>
        <v/>
      </c>
    </row>
    <row r="2182">
      <c r="A2182" t="inlineStr">
        <is>
          <t>5038581142913</t>
        </is>
      </c>
      <c r="B2182" t="inlineStr">
        <is>
          <t>Yankee Candle Signature Scented Candle | Mango Ice Cream Large Tumbler Candle</t>
        </is>
      </c>
      <c r="C2182" t="inlineStr">
        <is>
          <t>Candles</t>
        </is>
      </c>
      <c r="D2182" t="inlineStr">
        <is>
          <t>Yankee Candle</t>
        </is>
      </c>
      <c r="E2182" t="n">
        <v>20.65</v>
      </c>
      <c r="F2182" t="n">
        <v>1</v>
      </c>
      <c r="G2182" t="n">
        <v>23</v>
      </c>
      <c r="H2182" s="5">
        <f>HYPERLINK("https://api.qogita.com/variants/link/5038581142913/", "View Product")</f>
        <v/>
      </c>
    </row>
    <row r="2183">
      <c r="A2183" t="inlineStr">
        <is>
          <t>5038581142920</t>
        </is>
      </c>
      <c r="B2183" t="inlineStr">
        <is>
          <t>Yankee Candle Tropical Breeze Signature Tumbler Candle Large 567 G</t>
        </is>
      </c>
      <c r="C2183" t="inlineStr">
        <is>
          <t>Candles</t>
        </is>
      </c>
      <c r="D2183" t="inlineStr">
        <is>
          <t>Yankee Candle</t>
        </is>
      </c>
      <c r="E2183" t="n">
        <v>18.6</v>
      </c>
      <c r="F2183" t="n">
        <v>1</v>
      </c>
      <c r="G2183" t="n">
        <v>6</v>
      </c>
      <c r="H2183" s="5">
        <f>HYPERLINK("https://api.qogita.com/variants/link/5038581142920/", "View Product")</f>
        <v/>
      </c>
    </row>
    <row r="2184">
      <c r="A2184" t="inlineStr">
        <is>
          <t>5038581143088</t>
        </is>
      </c>
      <c r="B2184" t="inlineStr">
        <is>
          <t>Yankee Candle Iced Berry Lemonade Signature Tumbler Candle 567 G</t>
        </is>
      </c>
      <c r="C2184" t="inlineStr">
        <is>
          <t>Candles</t>
        </is>
      </c>
      <c r="D2184" t="inlineStr">
        <is>
          <t>Yankee Candle</t>
        </is>
      </c>
      <c r="E2184" t="n">
        <v>20.17</v>
      </c>
      <c r="F2184" t="n">
        <v>1</v>
      </c>
      <c r="G2184" t="n">
        <v>79</v>
      </c>
      <c r="H2184" s="5">
        <f>HYPERLINK("https://api.qogita.com/variants/link/5038581143088/", "View Product")</f>
        <v/>
      </c>
    </row>
    <row r="2185">
      <c r="A2185" t="inlineStr">
        <is>
          <t>5038581143217</t>
        </is>
      </c>
      <c r="B2185" t="inlineStr">
        <is>
          <t>Yankee Candle Soft Blanket Signature Tumbler Candle 567 G</t>
        </is>
      </c>
      <c r="C2185" t="inlineStr">
        <is>
          <t>Candles</t>
        </is>
      </c>
      <c r="D2185" t="inlineStr">
        <is>
          <t>Yankee Candle</t>
        </is>
      </c>
      <c r="E2185" t="n">
        <v>19.8</v>
      </c>
      <c r="F2185" t="n">
        <v>1</v>
      </c>
      <c r="G2185" t="n">
        <v>68</v>
      </c>
      <c r="H2185" s="5">
        <f>HYPERLINK("https://api.qogita.com/variants/link/5038581143217/", "View Product")</f>
        <v/>
      </c>
    </row>
    <row r="2186">
      <c r="A2186" t="inlineStr">
        <is>
          <t>5038581143354</t>
        </is>
      </c>
      <c r="B2186" t="inlineStr">
        <is>
          <t>Yankee Candle Warm Cashmere Signature Tumbler Candle 567 G</t>
        </is>
      </c>
      <c r="C2186" t="inlineStr">
        <is>
          <t>Candles</t>
        </is>
      </c>
      <c r="D2186" t="inlineStr">
        <is>
          <t>Yankee Candle</t>
        </is>
      </c>
      <c r="E2186" t="n">
        <v>19.5</v>
      </c>
      <c r="F2186" t="n">
        <v>1</v>
      </c>
      <c r="G2186" t="n">
        <v>75</v>
      </c>
      <c r="H2186" s="5">
        <f>HYPERLINK("https://api.qogita.com/variants/link/5038581143354/", "View Product")</f>
        <v/>
      </c>
    </row>
    <row r="2187">
      <c r="A2187" t="inlineStr">
        <is>
          <t>5038581143385</t>
        </is>
      </c>
      <c r="B2187" t="inlineStr">
        <is>
          <t>Yankee Candle Farm Fresh Peach Signature Tumbler Candle 567 G</t>
        </is>
      </c>
      <c r="C2187" t="inlineStr">
        <is>
          <t>Candles</t>
        </is>
      </c>
      <c r="D2187" t="inlineStr">
        <is>
          <t>Yankee Candle</t>
        </is>
      </c>
      <c r="E2187" t="n">
        <v>20.03</v>
      </c>
      <c r="F2187" t="n">
        <v>1</v>
      </c>
      <c r="G2187" t="n">
        <v>44</v>
      </c>
      <c r="H2187" s="5">
        <f>HYPERLINK("https://api.qogita.com/variants/link/5038581143385/", "View Product")</f>
        <v/>
      </c>
    </row>
    <row r="2188">
      <c r="A2188" t="inlineStr">
        <is>
          <t>5038581143453</t>
        </is>
      </c>
      <c r="B2188" t="inlineStr">
        <is>
          <t>Yankee Candle Vanilla Creme Brule Signature Tumbler Candle 567 G</t>
        </is>
      </c>
      <c r="C2188" t="inlineStr">
        <is>
          <t>Candles</t>
        </is>
      </c>
      <c r="D2188" t="inlineStr">
        <is>
          <t>Yankee Candle</t>
        </is>
      </c>
      <c r="E2188" t="n">
        <v>20.13</v>
      </c>
      <c r="F2188" t="n">
        <v>1</v>
      </c>
      <c r="G2188" t="n">
        <v>105</v>
      </c>
      <c r="H2188" s="5">
        <f>HYPERLINK("https://api.qogita.com/variants/link/5038581143453/", "View Product")</f>
        <v/>
      </c>
    </row>
    <row r="2189">
      <c r="A2189" t="inlineStr">
        <is>
          <t>5038581143460</t>
        </is>
      </c>
      <c r="B2189" t="inlineStr">
        <is>
          <t>Yankee Candle A Calm &amp; Quiet Place Signature Tumbler Candle 567 G</t>
        </is>
      </c>
      <c r="C2189" t="inlineStr">
        <is>
          <t>Candles</t>
        </is>
      </c>
      <c r="D2189" t="inlineStr">
        <is>
          <t>Yankee Candle</t>
        </is>
      </c>
      <c r="E2189" t="n">
        <v>18.77</v>
      </c>
      <c r="F2189" t="n">
        <v>1</v>
      </c>
      <c r="G2189" t="n">
        <v>5</v>
      </c>
      <c r="H2189" s="5">
        <f>HYPERLINK("https://api.qogita.com/variants/link/5038581143460/", "View Product")</f>
        <v/>
      </c>
    </row>
    <row r="2190">
      <c r="A2190" t="inlineStr">
        <is>
          <t>5038581143477</t>
        </is>
      </c>
      <c r="B2190" t="inlineStr">
        <is>
          <t>Yankee Candle Amber &amp; Sandalwood Signature Tumbler Large Aromatic Candle 567 G</t>
        </is>
      </c>
      <c r="C2190" t="inlineStr">
        <is>
          <t>Candles</t>
        </is>
      </c>
      <c r="D2190" t="inlineStr">
        <is>
          <t>Yankee Candle</t>
        </is>
      </c>
      <c r="E2190" t="n">
        <v>20.27</v>
      </c>
      <c r="F2190" t="n">
        <v>1</v>
      </c>
      <c r="G2190" t="n">
        <v>163</v>
      </c>
      <c r="H2190" s="5">
        <f>HYPERLINK("https://api.qogita.com/variants/link/5038581143477/", "View Product")</f>
        <v/>
      </c>
    </row>
    <row r="2191">
      <c r="A2191" t="inlineStr">
        <is>
          <t>5038581143507</t>
        </is>
      </c>
      <c r="B2191" t="inlineStr">
        <is>
          <t>Yankee Candle Pink Cherry Vanilla Signature Tumbler Candle 567 G</t>
        </is>
      </c>
      <c r="C2191" t="inlineStr">
        <is>
          <t>Candles</t>
        </is>
      </c>
      <c r="D2191" t="inlineStr">
        <is>
          <t>Yankee Candle</t>
        </is>
      </c>
      <c r="E2191" t="n">
        <v>20.08</v>
      </c>
      <c r="F2191" t="n">
        <v>1</v>
      </c>
      <c r="G2191" t="n">
        <v>2</v>
      </c>
      <c r="H2191" s="5">
        <f>HYPERLINK("https://api.qogita.com/variants/link/5038581143507/", "View Product")</f>
        <v/>
      </c>
    </row>
    <row r="2192">
      <c r="A2192" t="inlineStr">
        <is>
          <t>5038581143576</t>
        </is>
      </c>
      <c r="B2192" t="inlineStr">
        <is>
          <t>Yankee Candle Bayside Cedar Signature Tumbler Candle Medium 340 G</t>
        </is>
      </c>
      <c r="C2192" t="inlineStr">
        <is>
          <t>Candles</t>
        </is>
      </c>
      <c r="D2192" t="inlineStr">
        <is>
          <t>Yankee Candle</t>
        </is>
      </c>
      <c r="E2192" t="n">
        <v>20.46</v>
      </c>
      <c r="F2192" t="n">
        <v>1</v>
      </c>
      <c r="G2192" t="n">
        <v>46</v>
      </c>
      <c r="H2192" s="5">
        <f>HYPERLINK("https://api.qogita.com/variants/link/5038581143576/", "View Product")</f>
        <v/>
      </c>
    </row>
    <row r="2193">
      <c r="A2193" t="inlineStr">
        <is>
          <t>5038581143668</t>
        </is>
      </c>
      <c r="B2193" t="inlineStr">
        <is>
          <t>Yankee Candle Midnight Jasmine Signature Tumbler Candle</t>
        </is>
      </c>
      <c r="C2193" t="inlineStr">
        <is>
          <t>Candles</t>
        </is>
      </c>
      <c r="D2193" t="inlineStr">
        <is>
          <t>Yankee Candle</t>
        </is>
      </c>
      <c r="E2193" t="n">
        <v>19.11</v>
      </c>
      <c r="F2193" t="n">
        <v>1</v>
      </c>
      <c r="G2193" t="n">
        <v>23</v>
      </c>
      <c r="H2193" s="5">
        <f>HYPERLINK("https://api.qogita.com/variants/link/5038581143668/", "View Product")</f>
        <v/>
      </c>
    </row>
    <row r="2194">
      <c r="A2194" t="inlineStr">
        <is>
          <t>5038581143767</t>
        </is>
      </c>
      <c r="B2194" t="inlineStr">
        <is>
          <t>Yankee Candle Lemon Lavender Signature Tumbler Candle 340 G</t>
        </is>
      </c>
      <c r="C2194" t="inlineStr">
        <is>
          <t>Candles</t>
        </is>
      </c>
      <c r="D2194" t="inlineStr">
        <is>
          <t>Yankee Candle</t>
        </is>
      </c>
      <c r="E2194" t="n">
        <v>17.4</v>
      </c>
      <c r="F2194" t="n">
        <v>1</v>
      </c>
      <c r="G2194" t="n">
        <v>20</v>
      </c>
      <c r="H2194" s="5">
        <f>HYPERLINK("https://api.qogita.com/variants/link/5038581143767/", "View Product")</f>
        <v/>
      </c>
    </row>
    <row r="2195">
      <c r="A2195" t="inlineStr">
        <is>
          <t>5038581148380</t>
        </is>
      </c>
      <c r="B2195" t="inlineStr">
        <is>
          <t>Woodwick Scented Candle Renew Glass Medium Tomato Leaf &amp; Basil 168 G</t>
        </is>
      </c>
      <c r="C2195" t="inlineStr">
        <is>
          <t>Candles</t>
        </is>
      </c>
      <c r="D2195" t="inlineStr">
        <is>
          <t>Woodwick</t>
        </is>
      </c>
      <c r="E2195" t="n">
        <v>24.44</v>
      </c>
      <c r="F2195" t="n">
        <v>1</v>
      </c>
      <c r="G2195" t="n">
        <v>67</v>
      </c>
      <c r="H2195" s="5">
        <f>HYPERLINK("https://api.qogita.com/variants/link/5038581148380/", "View Product")</f>
        <v/>
      </c>
    </row>
    <row r="2196">
      <c r="A2196" t="inlineStr">
        <is>
          <t>5038581148427</t>
        </is>
      </c>
      <c r="B2196" t="inlineStr">
        <is>
          <t>Woodwick Renew Ginger Turmeric Candle Scented Candle In Large Glass 368 G</t>
        </is>
      </c>
      <c r="C2196" t="inlineStr">
        <is>
          <t>Candles</t>
        </is>
      </c>
      <c r="D2196" t="inlineStr">
        <is>
          <t>Woodwick</t>
        </is>
      </c>
      <c r="E2196" t="n">
        <v>20.56</v>
      </c>
      <c r="F2196" t="n">
        <v>1</v>
      </c>
      <c r="G2196" t="n">
        <v>40</v>
      </c>
      <c r="H2196" s="5">
        <f>HYPERLINK("https://api.qogita.com/variants/link/5038581148427/", "View Product")</f>
        <v/>
      </c>
    </row>
    <row r="2197">
      <c r="A2197" t="inlineStr">
        <is>
          <t>5038581148434</t>
        </is>
      </c>
      <c r="B2197" t="inlineStr">
        <is>
          <t>Woodwick Renew Lavender Cypress Candle Large Glass Candle 368 G</t>
        </is>
      </c>
      <c r="C2197" t="inlineStr">
        <is>
          <t>Candles</t>
        </is>
      </c>
      <c r="D2197" t="inlineStr">
        <is>
          <t>Woodwick</t>
        </is>
      </c>
      <c r="E2197" t="n">
        <v>20.56</v>
      </c>
      <c r="F2197" t="n">
        <v>1</v>
      </c>
      <c r="G2197" t="n">
        <v>61</v>
      </c>
      <c r="H2197" s="5">
        <f>HYPERLINK("https://api.qogita.com/variants/link/5038581148434/", "View Product")</f>
        <v/>
      </c>
    </row>
    <row r="2198">
      <c r="A2198" t="inlineStr">
        <is>
          <t>5038581148458</t>
        </is>
      </c>
      <c r="B2198" t="inlineStr">
        <is>
          <t>Woodwick Renew Incense Myrrh Candle Large Glass 368 G</t>
        </is>
      </c>
      <c r="C2198" t="inlineStr">
        <is>
          <t>Candles</t>
        </is>
      </c>
      <c r="D2198" t="inlineStr">
        <is>
          <t>Woodwick</t>
        </is>
      </c>
      <c r="E2198" t="n">
        <v>20.56</v>
      </c>
      <c r="F2198" t="n">
        <v>1</v>
      </c>
      <c r="G2198" t="n">
        <v>37</v>
      </c>
      <c r="H2198" s="5">
        <f>HYPERLINK("https://api.qogita.com/variants/link/5038581148458/", "View Product")</f>
        <v/>
      </c>
    </row>
    <row r="2199">
      <c r="A2199" t="inlineStr">
        <is>
          <t>5038581148564</t>
        </is>
      </c>
      <c r="B2199" t="inlineStr">
        <is>
          <t>Woodwick Scented Candle Ship Trilogy Blooming Orchard 4536 G</t>
        </is>
      </c>
      <c r="C2199" t="inlineStr">
        <is>
          <t>Candles</t>
        </is>
      </c>
      <c r="D2199" t="inlineStr">
        <is>
          <t>Woodwick</t>
        </is>
      </c>
      <c r="E2199" t="n">
        <v>21.53</v>
      </c>
      <c r="F2199" t="n">
        <v>1</v>
      </c>
      <c r="G2199" t="n">
        <v>43</v>
      </c>
      <c r="H2199" s="5">
        <f>HYPERLINK("https://api.qogita.com/variants/link/5038581148564/", "View Product")</f>
        <v/>
      </c>
    </row>
    <row r="2200">
      <c r="A2200" t="inlineStr">
        <is>
          <t>5038581148632</t>
        </is>
      </c>
      <c r="B2200" t="inlineStr">
        <is>
          <t>Scented Candle Vase Trilogy Blooming Orchard 275g</t>
        </is>
      </c>
      <c r="C2200" t="inlineStr">
        <is>
          <t>Candles</t>
        </is>
      </c>
      <c r="D2200" t="inlineStr">
        <is>
          <t>Woodwick</t>
        </is>
      </c>
      <c r="E2200" t="n">
        <v>16.75</v>
      </c>
      <c r="F2200" t="n">
        <v>1</v>
      </c>
      <c r="G2200" t="n">
        <v>11</v>
      </c>
      <c r="H2200" s="5">
        <f>HYPERLINK("https://api.qogita.com/variants/link/5038581148632/", "View Product")</f>
        <v/>
      </c>
    </row>
    <row r="2201">
      <c r="A2201" t="inlineStr">
        <is>
          <t>5038581151106</t>
        </is>
      </c>
      <c r="B2201" t="inlineStr">
        <is>
          <t>Yankee Candle Cucumber Mint Cooler Signature Candle 567 G</t>
        </is>
      </c>
      <c r="C2201" t="inlineStr">
        <is>
          <t>Candles</t>
        </is>
      </c>
      <c r="D2201" t="inlineStr">
        <is>
          <t>Yankee Candle</t>
        </is>
      </c>
      <c r="E2201" t="n">
        <v>19.15</v>
      </c>
      <c r="F2201" t="n">
        <v>1</v>
      </c>
      <c r="G2201" t="n">
        <v>8</v>
      </c>
      <c r="H2201" s="5">
        <f>HYPERLINK("https://api.qogita.com/variants/link/5038581151106/", "View Product")</f>
        <v/>
      </c>
    </row>
    <row r="2202">
      <c r="A2202" t="inlineStr">
        <is>
          <t>5038581151144</t>
        </is>
      </c>
      <c r="B2202" t="inlineStr">
        <is>
          <t>Aromatic Candle Signature Glass Medium Art in the Park 368g</t>
        </is>
      </c>
      <c r="C2202" t="inlineStr">
        <is>
          <t>Candles</t>
        </is>
      </c>
      <c r="D2202" t="inlineStr">
        <is>
          <t>Yankee Candle</t>
        </is>
      </c>
      <c r="E2202" t="n">
        <v>18.85</v>
      </c>
      <c r="F2202" t="n">
        <v>1</v>
      </c>
      <c r="G2202" t="n">
        <v>5</v>
      </c>
      <c r="H2202" s="5">
        <f>HYPERLINK("https://api.qogita.com/variants/link/5038581151144/", "View Product")</f>
        <v/>
      </c>
    </row>
    <row r="2203">
      <c r="A2203" t="inlineStr">
        <is>
          <t>5038581151168</t>
        </is>
      </c>
      <c r="B2203" t="inlineStr">
        <is>
          <t>Yankee Candle Cucumber Mint Cooler Signature Candle 368 G</t>
        </is>
      </c>
      <c r="C2203" t="inlineStr">
        <is>
          <t>Candles</t>
        </is>
      </c>
      <c r="D2203" t="inlineStr">
        <is>
          <t>Yankee Candle</t>
        </is>
      </c>
      <c r="E2203" t="n">
        <v>17.2</v>
      </c>
      <c r="F2203" t="n">
        <v>1</v>
      </c>
      <c r="G2203" t="n">
        <v>23</v>
      </c>
      <c r="H2203" s="5">
        <f>HYPERLINK("https://api.qogita.com/variants/link/5038581151168/", "View Product")</f>
        <v/>
      </c>
    </row>
    <row r="2204">
      <c r="A2204" t="inlineStr">
        <is>
          <t>5038581151175</t>
        </is>
      </c>
      <c r="B2204" t="inlineStr">
        <is>
          <t>Yankee Candle Hand Tied Blooms Medium Jar</t>
        </is>
      </c>
      <c r="C2204" t="inlineStr">
        <is>
          <t>Candles</t>
        </is>
      </c>
      <c r="D2204" t="inlineStr">
        <is>
          <t>Yankee Candle</t>
        </is>
      </c>
      <c r="E2204" t="n">
        <v>18.85</v>
      </c>
      <c r="F2204" t="n">
        <v>1</v>
      </c>
      <c r="G2204" t="n">
        <v>2</v>
      </c>
      <c r="H2204" s="5">
        <f>HYPERLINK("https://api.qogita.com/variants/link/5038581151175/", "View Product")</f>
        <v/>
      </c>
    </row>
    <row r="2205">
      <c r="A2205" t="inlineStr">
        <is>
          <t>5038581151236</t>
        </is>
      </c>
      <c r="B2205" t="inlineStr">
        <is>
          <t>Yankee Candle Hand Tied Blooms Signature Tumbler Candle 567 G</t>
        </is>
      </c>
      <c r="C2205" t="inlineStr">
        <is>
          <t>Candles</t>
        </is>
      </c>
      <c r="D2205" t="inlineStr">
        <is>
          <t>Yankee Candle</t>
        </is>
      </c>
      <c r="E2205" t="n">
        <v>20.29</v>
      </c>
      <c r="F2205" t="n">
        <v>1</v>
      </c>
      <c r="G2205" t="n">
        <v>9</v>
      </c>
      <c r="H2205" s="5">
        <f>HYPERLINK("https://api.qogita.com/variants/link/5038581151236/", "View Product")</f>
        <v/>
      </c>
    </row>
    <row r="2206">
      <c r="A2206" t="inlineStr">
        <is>
          <t>5038581151250</t>
        </is>
      </c>
      <c r="B2206" t="inlineStr">
        <is>
          <t>Yankee Candle Art In The Park Signature Tumbler Candle Medium 340 G</t>
        </is>
      </c>
      <c r="C2206" t="inlineStr">
        <is>
          <t>Candles</t>
        </is>
      </c>
      <c r="D2206" t="inlineStr">
        <is>
          <t>Yankee Candle</t>
        </is>
      </c>
      <c r="E2206" t="n">
        <v>22.9</v>
      </c>
      <c r="F2206" t="n">
        <v>1</v>
      </c>
      <c r="G2206" t="n">
        <v>2</v>
      </c>
      <c r="H2206" s="5">
        <f>HYPERLINK("https://api.qogita.com/variants/link/5038581151250/", "View Product")</f>
        <v/>
      </c>
    </row>
    <row r="2207">
      <c r="A2207" t="inlineStr">
        <is>
          <t>5038581151311</t>
        </is>
      </c>
      <c r="B2207" t="inlineStr">
        <is>
          <t>Yankee Candle Twilight Tunes Signature Tumbler Candle 567 G</t>
        </is>
      </c>
      <c r="C2207" t="inlineStr">
        <is>
          <t>Candles</t>
        </is>
      </c>
      <c r="D2207" t="inlineStr">
        <is>
          <t>Yankee Candle</t>
        </is>
      </c>
      <c r="E2207" t="n">
        <v>20.13</v>
      </c>
      <c r="F2207" t="n">
        <v>1</v>
      </c>
      <c r="G2207" t="n">
        <v>24</v>
      </c>
      <c r="H2207" s="5">
        <f>HYPERLINK("https://api.qogita.com/variants/link/5038581151311/", "View Product")</f>
        <v/>
      </c>
    </row>
    <row r="2208">
      <c r="A2208" t="inlineStr">
        <is>
          <t>5038581151960</t>
        </is>
      </c>
      <c r="B2208" t="inlineStr">
        <is>
          <t>Yankee Candle Christmas Gift Set with 2 Medium Jars</t>
        </is>
      </c>
      <c r="C2208" t="inlineStr">
        <is>
          <t>Candles</t>
        </is>
      </c>
      <c r="D2208" t="inlineStr">
        <is>
          <t>Yankee Candle</t>
        </is>
      </c>
      <c r="E2208" t="n">
        <v>37.03</v>
      </c>
      <c r="F2208" t="n">
        <v>1</v>
      </c>
      <c r="G2208" t="n">
        <v>15</v>
      </c>
      <c r="H2208" s="5">
        <f>HYPERLINK("https://api.qogita.com/variants/link/5038581151960/", "View Product")</f>
        <v/>
      </c>
    </row>
    <row r="2209">
      <c r="A2209" t="inlineStr">
        <is>
          <t>5038581154008</t>
        </is>
      </c>
      <c r="B2209" t="inlineStr">
        <is>
          <t>Yankee Candle Holiday Cheer Signature Tumbler Candle</t>
        </is>
      </c>
      <c r="C2209" t="inlineStr">
        <is>
          <t>Candles</t>
        </is>
      </c>
      <c r="D2209" t="inlineStr">
        <is>
          <t>Yankee Candle</t>
        </is>
      </c>
      <c r="E2209" t="n">
        <v>21.29</v>
      </c>
      <c r="F2209" t="n">
        <v>1</v>
      </c>
      <c r="G2209" t="n">
        <v>5</v>
      </c>
      <c r="H2209" s="5">
        <f>HYPERLINK("https://api.qogita.com/variants/link/5038581154008/", "View Product")</f>
        <v/>
      </c>
    </row>
    <row r="2210">
      <c r="A2210" t="inlineStr">
        <is>
          <t>5038581154138</t>
        </is>
      </c>
      <c r="B2210" t="inlineStr">
        <is>
          <t>Yankee Candle Autumn Daydream Signature Candle Medium Aroma Candle 368 G</t>
        </is>
      </c>
      <c r="C2210" t="inlineStr">
        <is>
          <t>Candles</t>
        </is>
      </c>
      <c r="D2210" t="inlineStr">
        <is>
          <t>Yankee Candle</t>
        </is>
      </c>
      <c r="E2210" t="n">
        <v>16.37</v>
      </c>
      <c r="F2210" t="n">
        <v>1</v>
      </c>
      <c r="G2210" t="n">
        <v>9</v>
      </c>
      <c r="H2210" s="5">
        <f>HYPERLINK("https://api.qogita.com/variants/link/5038581154138/", "View Product")</f>
        <v/>
      </c>
    </row>
    <row r="2211">
      <c r="A2211" t="inlineStr">
        <is>
          <t>5038581154145</t>
        </is>
      </c>
      <c r="B2211" t="inlineStr">
        <is>
          <t>Yankee Candle Evening Riverwalk Signature Candle Medium Glass 368 G</t>
        </is>
      </c>
      <c r="C2211" t="inlineStr">
        <is>
          <t>Candles</t>
        </is>
      </c>
      <c r="D2211" t="inlineStr">
        <is>
          <t>Yankee Candle</t>
        </is>
      </c>
      <c r="E2211" t="n">
        <v>16.1</v>
      </c>
      <c r="F2211" t="n">
        <v>1</v>
      </c>
      <c r="G2211" t="n">
        <v>22</v>
      </c>
      <c r="H2211" s="5">
        <f>HYPERLINK("https://api.qogita.com/variants/link/5038581154145/", "View Product")</f>
        <v/>
      </c>
    </row>
    <row r="2212">
      <c r="A2212" t="inlineStr">
        <is>
          <t>5038581155432</t>
        </is>
      </c>
      <c r="B2212" t="inlineStr">
        <is>
          <t>Yankee Candle Wild Orchid Scented Candle 122g</t>
        </is>
      </c>
      <c r="C2212" t="inlineStr">
        <is>
          <t>Candles</t>
        </is>
      </c>
      <c r="D2212" t="inlineStr">
        <is>
          <t>Yankee Candle</t>
        </is>
      </c>
      <c r="E2212" t="n">
        <v>7.32</v>
      </c>
      <c r="F2212" t="n">
        <v>1</v>
      </c>
      <c r="G2212" t="n">
        <v>8</v>
      </c>
      <c r="H2212" s="5">
        <f>HYPERLINK("https://api.qogita.com/variants/link/5038581155432/", "View Product")</f>
        <v/>
      </c>
    </row>
    <row r="2213">
      <c r="A2213" t="inlineStr">
        <is>
          <t>5038581155487</t>
        </is>
      </c>
      <c r="B2213" t="inlineStr">
        <is>
          <t>Yankee Candle Lemon Lavender Scented Candle - 122g</t>
        </is>
      </c>
      <c r="C2213" t="inlineStr">
        <is>
          <t>Candles</t>
        </is>
      </c>
      <c r="D2213" t="inlineStr">
        <is>
          <t>Yankee Candle</t>
        </is>
      </c>
      <c r="E2213" t="n">
        <v>7.32</v>
      </c>
      <c r="F2213" t="n">
        <v>1</v>
      </c>
      <c r="G2213" t="n">
        <v>24</v>
      </c>
      <c r="H2213" s="5">
        <f>HYPERLINK("https://api.qogita.com/variants/link/5038581155487/", "View Product")</f>
        <v/>
      </c>
    </row>
    <row r="2214">
      <c r="A2214" t="inlineStr">
        <is>
          <t>5038581155661</t>
        </is>
      </c>
      <c r="B2214" t="inlineStr">
        <is>
          <t>Woodwick Santal Myrrh Scented Candle 4536 G</t>
        </is>
      </c>
      <c r="C2214" t="inlineStr">
        <is>
          <t>Candles</t>
        </is>
      </c>
      <c r="D2214" t="inlineStr">
        <is>
          <t>Woodwick</t>
        </is>
      </c>
      <c r="E2214" t="n">
        <v>20.61</v>
      </c>
      <c r="F2214" t="n">
        <v>1</v>
      </c>
      <c r="G2214" t="n">
        <v>73</v>
      </c>
      <c r="H2214" s="5">
        <f>HYPERLINK("https://api.qogita.com/variants/link/5038581155661/", "View Product")</f>
        <v/>
      </c>
    </row>
    <row r="2215">
      <c r="A2215" t="inlineStr">
        <is>
          <t>5038581155685</t>
        </is>
      </c>
      <c r="B2215" t="inlineStr">
        <is>
          <t>Woodwick Evening Luxe Trilogy Ship Scented Candle 4536 G</t>
        </is>
      </c>
      <c r="C2215" t="inlineStr">
        <is>
          <t>Candles</t>
        </is>
      </c>
      <c r="D2215" t="inlineStr">
        <is>
          <t>Woodwick</t>
        </is>
      </c>
      <c r="E2215" t="n">
        <v>21.46</v>
      </c>
      <c r="F2215" t="n">
        <v>1</v>
      </c>
      <c r="G2215" t="n">
        <v>91</v>
      </c>
      <c r="H2215" s="5">
        <f>HYPERLINK("https://api.qogita.com/variants/link/5038581155685/", "View Product")</f>
        <v/>
      </c>
    </row>
    <row r="2216">
      <c r="A2216" t="inlineStr">
        <is>
          <t>5038581156040</t>
        </is>
      </c>
      <c r="B2216" t="inlineStr">
        <is>
          <t>Yankee Candle Signature Black Cherry Reed Diffuser Refill 200 Ml</t>
        </is>
      </c>
      <c r="C2216" t="inlineStr">
        <is>
          <t>Diffusers</t>
        </is>
      </c>
      <c r="D2216" t="inlineStr">
        <is>
          <t>Yankee Candle</t>
        </is>
      </c>
      <c r="E2216" t="n">
        <v>8.06</v>
      </c>
      <c r="F2216" t="n">
        <v>1</v>
      </c>
      <c r="G2216" t="n">
        <v>19</v>
      </c>
      <c r="H2216" s="5">
        <f>HYPERLINK("https://api.qogita.com/variants/link/5038581156040/", "View Product")</f>
        <v/>
      </c>
    </row>
    <row r="2217">
      <c r="A2217" t="inlineStr">
        <is>
          <t>5038581156057</t>
        </is>
      </c>
      <c r="B2217" t="inlineStr">
        <is>
          <t>Yankee Candle Signature Iced Berry Lemonade Reed Diffuser 100 Ml</t>
        </is>
      </c>
      <c r="C2217" t="inlineStr">
        <is>
          <t>Diffusers</t>
        </is>
      </c>
      <c r="D2217" t="inlineStr">
        <is>
          <t>Yankee Candle</t>
        </is>
      </c>
      <c r="E2217" t="n">
        <v>13.2</v>
      </c>
      <c r="F2217" t="n">
        <v>1</v>
      </c>
      <c r="G2217" t="n">
        <v>9</v>
      </c>
      <c r="H2217" s="5">
        <f>HYPERLINK("https://api.qogita.com/variants/link/5038581156057/", "View Product")</f>
        <v/>
      </c>
    </row>
    <row r="2218">
      <c r="A2218" t="inlineStr">
        <is>
          <t>5038581156118</t>
        </is>
      </c>
      <c r="B2218" t="inlineStr">
        <is>
          <t>Yankee Candle Signature Pink Sands Reed Diffuser Refill 200 Ml</t>
        </is>
      </c>
      <c r="C2218" t="inlineStr">
        <is>
          <t>Diffusers</t>
        </is>
      </c>
      <c r="D2218" t="inlineStr">
        <is>
          <t>Yankee Candle</t>
        </is>
      </c>
      <c r="E2218" t="n">
        <v>8.06</v>
      </c>
      <c r="F2218" t="n">
        <v>1</v>
      </c>
      <c r="G2218" t="n">
        <v>9</v>
      </c>
      <c r="H2218" s="5">
        <f>HYPERLINK("https://api.qogita.com/variants/link/5038581156118/", "View Product")</f>
        <v/>
      </c>
    </row>
    <row r="2219">
      <c r="A2219" t="inlineStr">
        <is>
          <t>5038581156316</t>
        </is>
      </c>
      <c r="B2219" t="inlineStr">
        <is>
          <t>Yankee Candle Reed Diffuser Wild Orchid 100ml</t>
        </is>
      </c>
      <c r="C2219" t="inlineStr">
        <is>
          <t>Diffusers</t>
        </is>
      </c>
      <c r="D2219" t="inlineStr">
        <is>
          <t>Yankee Candle</t>
        </is>
      </c>
      <c r="E2219" t="n">
        <v>13.38</v>
      </c>
      <c r="F2219" t="n">
        <v>1</v>
      </c>
      <c r="G2219" t="n">
        <v>24</v>
      </c>
      <c r="H2219" s="5">
        <f>HYPERLINK("https://api.qogita.com/variants/link/5038581156316/", "View Product")</f>
        <v/>
      </c>
    </row>
    <row r="2220">
      <c r="A2220" t="inlineStr">
        <is>
          <t>5038581158174</t>
        </is>
      </c>
      <c r="B2220" t="inlineStr">
        <is>
          <t>Yankee Candle Home Inspiration Lemon Lime Popsicle Scented Candle 538 G</t>
        </is>
      </c>
      <c r="C2220" t="inlineStr">
        <is>
          <t>Candles</t>
        </is>
      </c>
      <c r="D2220" t="inlineStr">
        <is>
          <t>Yankee Candle</t>
        </is>
      </c>
      <c r="E2220" t="n">
        <v>13.57</v>
      </c>
      <c r="F2220" t="n">
        <v>1</v>
      </c>
      <c r="G2220" t="n">
        <v>66</v>
      </c>
      <c r="H2220" s="5">
        <f>HYPERLINK("https://api.qogita.com/variants/link/5038581158174/", "View Product")</f>
        <v/>
      </c>
    </row>
    <row r="2221">
      <c r="A2221" t="inlineStr">
        <is>
          <t>5038581158181</t>
        </is>
      </c>
      <c r="B2221" t="inlineStr">
        <is>
          <t>Yankee Candle Home Inspiration Large Summer Daydream Scented Candle 538 G</t>
        </is>
      </c>
      <c r="C2221" t="inlineStr">
        <is>
          <t>Candles</t>
        </is>
      </c>
      <c r="D2221" t="inlineStr">
        <is>
          <t>Yankee Candle</t>
        </is>
      </c>
      <c r="E2221" t="n">
        <v>13.44</v>
      </c>
      <c r="F2221" t="n">
        <v>1</v>
      </c>
      <c r="G2221" t="n">
        <v>14</v>
      </c>
      <c r="H2221" s="5">
        <f>HYPERLINK("https://api.qogita.com/variants/link/5038581158181/", "View Product")</f>
        <v/>
      </c>
    </row>
    <row r="2222">
      <c r="A2222" t="inlineStr">
        <is>
          <t>5038581158686</t>
        </is>
      </c>
      <c r="B2222" t="inlineStr">
        <is>
          <t>Yankee Candle Stargazing Medium Jar</t>
        </is>
      </c>
      <c r="C2222" t="inlineStr">
        <is>
          <t>Candles</t>
        </is>
      </c>
      <c r="D2222" t="inlineStr">
        <is>
          <t>Yankee Candle</t>
        </is>
      </c>
      <c r="E2222" t="n">
        <v>16.57</v>
      </c>
      <c r="F2222" t="n">
        <v>1</v>
      </c>
      <c r="G2222" t="n">
        <v>29</v>
      </c>
      <c r="H2222" s="5">
        <f>HYPERLINK("https://api.qogita.com/variants/link/5038581158686/", "View Product")</f>
        <v/>
      </c>
    </row>
    <row r="2223">
      <c r="A2223" t="inlineStr">
        <is>
          <t>5038581158693</t>
        </is>
      </c>
      <c r="B2223" t="inlineStr">
        <is>
          <t>Yankee Candle Desert Blooms Signature Candle Large Aromatic Candle 567 G</t>
        </is>
      </c>
      <c r="C2223" t="inlineStr">
        <is>
          <t>Candles</t>
        </is>
      </c>
      <c r="D2223" t="inlineStr">
        <is>
          <t>Yankee Candle</t>
        </is>
      </c>
      <c r="E2223" t="n">
        <v>19.41</v>
      </c>
      <c r="F2223" t="n">
        <v>1</v>
      </c>
      <c r="G2223" t="n">
        <v>11</v>
      </c>
      <c r="H2223" s="5">
        <f>HYPERLINK("https://api.qogita.com/variants/link/5038581158693/", "View Product")</f>
        <v/>
      </c>
    </row>
    <row r="2224">
      <c r="A2224" t="inlineStr">
        <is>
          <t>5038581158761</t>
        </is>
      </c>
      <c r="B2224" t="inlineStr">
        <is>
          <t>Yankee Candle Stargazing Signature Candle Aromatic Candle In Large Glass 567 G</t>
        </is>
      </c>
      <c r="C2224" t="inlineStr">
        <is>
          <t>Candles</t>
        </is>
      </c>
      <c r="D2224" t="inlineStr">
        <is>
          <t>Yankee Candle</t>
        </is>
      </c>
      <c r="E2224" t="n">
        <v>19.41</v>
      </c>
      <c r="F2224" t="n">
        <v>1</v>
      </c>
      <c r="G2224" t="n">
        <v>43</v>
      </c>
      <c r="H2224" s="5">
        <f>HYPERLINK("https://api.qogita.com/variants/link/5038581158761/", "View Product")</f>
        <v/>
      </c>
    </row>
    <row r="2225">
      <c r="A2225" t="inlineStr">
        <is>
          <t>5038581158822</t>
        </is>
      </c>
      <c r="B2225" t="inlineStr">
        <is>
          <t>Yankee Candle Sweet Vanilla Horchata Scented Candle 368g</t>
        </is>
      </c>
      <c r="C2225" t="inlineStr">
        <is>
          <t>Candles</t>
        </is>
      </c>
      <c r="D2225" t="inlineStr">
        <is>
          <t>Yankee Candle</t>
        </is>
      </c>
      <c r="E2225" t="n">
        <v>16.57</v>
      </c>
      <c r="F2225" t="n">
        <v>1</v>
      </c>
      <c r="G2225" t="n">
        <v>25</v>
      </c>
      <c r="H2225" s="5">
        <f>HYPERLINK("https://api.qogita.com/variants/link/5038581158822/", "View Product")</f>
        <v/>
      </c>
    </row>
    <row r="2226">
      <c r="A2226" t="inlineStr">
        <is>
          <t>5038581160306</t>
        </is>
      </c>
      <c r="B2226" t="inlineStr">
        <is>
          <t>Woodwick Scented Candle Ship Tempest 4536 G</t>
        </is>
      </c>
      <c r="C2226" t="inlineStr">
        <is>
          <t>Candles</t>
        </is>
      </c>
      <c r="D2226" t="inlineStr">
        <is>
          <t>Woodwick</t>
        </is>
      </c>
      <c r="E2226" t="n">
        <v>20.56</v>
      </c>
      <c r="F2226" t="n">
        <v>1</v>
      </c>
      <c r="G2226" t="n">
        <v>169</v>
      </c>
      <c r="H2226" s="5">
        <f>HYPERLINK("https://api.qogita.com/variants/link/5038581160306/", "View Product")</f>
        <v/>
      </c>
    </row>
    <row r="2227">
      <c r="A2227" t="inlineStr">
        <is>
          <t>5038581160320</t>
        </is>
      </c>
      <c r="B2227" t="inlineStr">
        <is>
          <t>Woodwick Manuka Nectar Vase Scented Candle 6095 Grams</t>
        </is>
      </c>
      <c r="C2227" t="inlineStr">
        <is>
          <t>Candles</t>
        </is>
      </c>
      <c r="D2227" t="inlineStr">
        <is>
          <t>Woodwick</t>
        </is>
      </c>
      <c r="E2227" t="n">
        <v>19.97</v>
      </c>
      <c r="F2227" t="n">
        <v>1</v>
      </c>
      <c r="G2227" t="n">
        <v>148</v>
      </c>
      <c r="H2227" s="5">
        <f>HYPERLINK("https://api.qogita.com/variants/link/5038581160320/", "View Product")</f>
        <v/>
      </c>
    </row>
    <row r="2228">
      <c r="A2228" t="inlineStr">
        <is>
          <t>5038581161990</t>
        </is>
      </c>
      <c r="B2228" t="inlineStr">
        <is>
          <t>Yankee Candle Aromatic Candle Signature Glass Medium Pumpkin Cinnamon Swirl - 368 Grams</t>
        </is>
      </c>
      <c r="C2228" t="inlineStr">
        <is>
          <t>Candles</t>
        </is>
      </c>
      <c r="D2228" t="inlineStr">
        <is>
          <t>Yankee Candle</t>
        </is>
      </c>
      <c r="E2228" t="n">
        <v>16.24</v>
      </c>
      <c r="F2228" t="n">
        <v>1</v>
      </c>
      <c r="G2228" t="n">
        <v>43</v>
      </c>
      <c r="H2228" s="5">
        <f>HYPERLINK("https://api.qogita.com/variants/link/5038581161990/", "View Product")</f>
        <v/>
      </c>
    </row>
    <row r="2229">
      <c r="A2229" t="inlineStr">
        <is>
          <t>5038581162393</t>
        </is>
      </c>
      <c r="B2229" t="inlineStr">
        <is>
          <t>Woodwick Gilded Sands Scented Candle Vase - 609.5 G</t>
        </is>
      </c>
      <c r="C2229" t="inlineStr">
        <is>
          <t>Candles</t>
        </is>
      </c>
      <c r="D2229" t="inlineStr">
        <is>
          <t>Woodwick</t>
        </is>
      </c>
      <c r="E2229" t="n">
        <v>20.11</v>
      </c>
      <c r="F2229" t="n">
        <v>1</v>
      </c>
      <c r="G2229" t="n">
        <v>237</v>
      </c>
      <c r="H2229" s="5">
        <f>HYPERLINK("https://api.qogita.com/variants/link/5038581162393/", "View Product")</f>
        <v/>
      </c>
    </row>
    <row r="2230">
      <c r="A2230" t="inlineStr">
        <is>
          <t>5038581167305</t>
        </is>
      </c>
      <c r="B2230" t="inlineStr">
        <is>
          <t>Yankee Candle Large Jar Glistening Leaves Signature Candle</t>
        </is>
      </c>
      <c r="C2230" t="inlineStr">
        <is>
          <t>Candles</t>
        </is>
      </c>
      <c r="D2230" t="inlineStr">
        <is>
          <t>Yankee Candle</t>
        </is>
      </c>
      <c r="E2230" t="n">
        <v>25.09</v>
      </c>
      <c r="F2230" t="n">
        <v>1</v>
      </c>
      <c r="G2230" t="n">
        <v>14</v>
      </c>
      <c r="H2230" s="5">
        <f>HYPERLINK("https://api.qogita.com/variants/link/5038581167305/", "View Product")</f>
        <v/>
      </c>
    </row>
    <row r="2231">
      <c r="A2231" t="inlineStr">
        <is>
          <t>5038581167534</t>
        </is>
      </c>
      <c r="B2231" t="inlineStr">
        <is>
          <t>Yankee Candle Aromatic Candle Signature Tumbler Small Soft Blanket 122 Grams</t>
        </is>
      </c>
      <c r="C2231" t="inlineStr">
        <is>
          <t>Candles</t>
        </is>
      </c>
      <c r="D2231" t="inlineStr">
        <is>
          <t>Yankee Candle</t>
        </is>
      </c>
      <c r="E2231" t="n">
        <v>7.46</v>
      </c>
      <c r="F2231" t="n">
        <v>1</v>
      </c>
      <c r="G2231" t="n">
        <v>20</v>
      </c>
      <c r="H2231" s="5">
        <f>HYPERLINK("https://api.qogita.com/variants/link/5038581167534/", "View Product")</f>
        <v/>
      </c>
    </row>
    <row r="2232">
      <c r="A2232" t="inlineStr">
        <is>
          <t>5038581167589</t>
        </is>
      </c>
      <c r="B2232" t="inlineStr">
        <is>
          <t>Yankee Candle Aromatic Candle Signature Tumbler Small Black Coconut 122 Grams</t>
        </is>
      </c>
      <c r="C2232" t="inlineStr">
        <is>
          <t>Candles</t>
        </is>
      </c>
      <c r="D2232" t="inlineStr">
        <is>
          <t>Yankee Candle</t>
        </is>
      </c>
      <c r="E2232" t="n">
        <v>7.46</v>
      </c>
      <c r="F2232" t="n">
        <v>1</v>
      </c>
      <c r="G2232" t="n">
        <v>35</v>
      </c>
      <c r="H2232" s="5">
        <f>HYPERLINK("https://api.qogita.com/variants/link/5038581167589/", "View Product")</f>
        <v/>
      </c>
    </row>
    <row r="2233">
      <c r="A2233" t="inlineStr">
        <is>
          <t>5038581167817</t>
        </is>
      </c>
      <c r="B2233" t="inlineStr">
        <is>
          <t>Woodwick Scented Candle with Crackling Wick Patchouli Crème Ellipse</t>
        </is>
      </c>
      <c r="C2233" t="inlineStr">
        <is>
          <t>Candles</t>
        </is>
      </c>
      <c r="D2233" t="inlineStr">
        <is>
          <t>Woodwick</t>
        </is>
      </c>
      <c r="E2233" t="n">
        <v>25.66</v>
      </c>
      <c r="F2233" t="n">
        <v>1</v>
      </c>
      <c r="G2233" t="n">
        <v>15</v>
      </c>
      <c r="H2233" s="5">
        <f>HYPERLINK("https://api.qogita.com/variants/link/5038581167817/", "View Product")</f>
        <v/>
      </c>
    </row>
    <row r="2234">
      <c r="A2234" t="inlineStr">
        <is>
          <t>5038581167879</t>
        </is>
      </c>
      <c r="B2234" t="inlineStr">
        <is>
          <t>Woodwick Scented Candle with Crackling Wick Patchouli Crème Medium Hourglass</t>
        </is>
      </c>
      <c r="C2234" t="inlineStr">
        <is>
          <t>Candles</t>
        </is>
      </c>
      <c r="D2234" t="inlineStr">
        <is>
          <t>Woodwick</t>
        </is>
      </c>
      <c r="E2234" t="n">
        <v>17.9</v>
      </c>
      <c r="F2234" t="n">
        <v>1</v>
      </c>
      <c r="G2234" t="n">
        <v>13</v>
      </c>
      <c r="H2234" s="5">
        <f>HYPERLINK("https://api.qogita.com/variants/link/5038581167879/", "View Product")</f>
        <v/>
      </c>
    </row>
    <row r="2235">
      <c r="A2235" t="inlineStr">
        <is>
          <t>5038633042345</t>
        </is>
      </c>
      <c r="B2235" t="inlineStr">
        <is>
          <t>Mayfair Just Musk Shower Gel 200ml</t>
        </is>
      </c>
      <c r="C2235" t="inlineStr">
        <is>
          <t>Shower Gel</t>
        </is>
      </c>
      <c r="D2235" t="inlineStr">
        <is>
          <t>Mayfair</t>
        </is>
      </c>
      <c r="E2235" t="n">
        <v>2.9</v>
      </c>
      <c r="F2235" t="n">
        <v>1</v>
      </c>
      <c r="G2235" t="n">
        <v>5</v>
      </c>
      <c r="H2235" s="5">
        <f>HYPERLINK("https://api.qogita.com/variants/link/5038633042345/", "View Product")</f>
        <v/>
      </c>
    </row>
    <row r="2236">
      <c r="A2236" t="inlineStr">
        <is>
          <t>5038633043908</t>
        </is>
      </c>
      <c r="B2236" t="inlineStr">
        <is>
          <t>MAYFAIR Flair Unboxed Spray 100ml</t>
        </is>
      </c>
      <c r="C2236" t="inlineStr">
        <is>
          <t>Eau De Toilette</t>
        </is>
      </c>
      <c r="D2236" t="inlineStr">
        <is>
          <t>Mayfair</t>
        </is>
      </c>
      <c r="E2236" t="n">
        <v>4.49</v>
      </c>
      <c r="F2236" t="n">
        <v>1</v>
      </c>
      <c r="G2236" t="n">
        <v>2</v>
      </c>
      <c r="H2236" s="5">
        <f>HYPERLINK("https://api.qogita.com/variants/link/5038633043908/", "View Product")</f>
        <v/>
      </c>
    </row>
    <row r="2237">
      <c r="A2237" t="inlineStr">
        <is>
          <t>5045551783557</t>
        </is>
      </c>
      <c r="B2237" t="inlineStr">
        <is>
          <t>Burberry Indigo Face Moisturiser 75ml</t>
        </is>
      </c>
      <c r="C2237" t="inlineStr">
        <is>
          <t>Face Cream</t>
        </is>
      </c>
      <c r="D2237" t="inlineStr">
        <is>
          <t>Burberry</t>
        </is>
      </c>
      <c r="E2237" t="n">
        <v>15.96</v>
      </c>
      <c r="F2237" t="n">
        <v>1</v>
      </c>
      <c r="G2237" t="n">
        <v>9</v>
      </c>
      <c r="H2237" s="5">
        <f>HYPERLINK("https://api.qogita.com/variants/link/5045551783557/", "View Product")</f>
        <v/>
      </c>
    </row>
    <row r="2238">
      <c r="A2238" t="inlineStr">
        <is>
          <t>5050456000036</t>
        </is>
      </c>
      <c r="B2238" t="inlineStr">
        <is>
          <t>Giorgio Beverly Hills Ocean Dream Eau de Toilette Spray for Women 3oz</t>
        </is>
      </c>
      <c r="C2238" t="inlineStr">
        <is>
          <t>Eau De Toilette</t>
        </is>
      </c>
      <c r="D2238" t="inlineStr">
        <is>
          <t>Giorgio Beverly Hills</t>
        </is>
      </c>
      <c r="E2238" t="n">
        <v>14.51</v>
      </c>
      <c r="F2238" t="n">
        <v>1</v>
      </c>
      <c r="G2238" t="n">
        <v>80</v>
      </c>
      <c r="H2238" s="5">
        <f>HYPERLINK("https://api.qogita.com/variants/link/5050456000036/", "View Product")</f>
        <v/>
      </c>
    </row>
    <row r="2239">
      <c r="A2239" t="inlineStr">
        <is>
          <t>5050456000067</t>
        </is>
      </c>
      <c r="B2239" t="inlineStr">
        <is>
          <t>Jennifer Lopez ONE by Jennifer Lopez EDP Spray 30ml</t>
        </is>
      </c>
      <c r="C2239" t="inlineStr">
        <is>
          <t>Eau De Parfum</t>
        </is>
      </c>
      <c r="D2239" t="inlineStr">
        <is>
          <t>Jennifer Lopez</t>
        </is>
      </c>
      <c r="E2239" t="n">
        <v>19.15</v>
      </c>
      <c r="F2239" t="n">
        <v>1</v>
      </c>
      <c r="G2239" t="n">
        <v>5</v>
      </c>
      <c r="H2239" s="5">
        <f>HYPERLINK("https://api.qogita.com/variants/link/5050456000067/", "View Product")</f>
        <v/>
      </c>
    </row>
    <row r="2240">
      <c r="A2240" t="inlineStr">
        <is>
          <t>5050456001507</t>
        </is>
      </c>
      <c r="B2240" t="inlineStr">
        <is>
          <t>Jean-Louis Scherrer Pop Delights 02 Eau de Toilette Spray 100ml</t>
        </is>
      </c>
      <c r="C2240" t="inlineStr">
        <is>
          <t>Eau De Toilette</t>
        </is>
      </c>
      <c r="D2240" t="inlineStr">
        <is>
          <t>Jean Louis Scherrer</t>
        </is>
      </c>
      <c r="E2240" t="n">
        <v>13.87</v>
      </c>
      <c r="F2240" t="n">
        <v>1</v>
      </c>
      <c r="G2240" t="n">
        <v>4</v>
      </c>
      <c r="H2240" s="5">
        <f>HYPERLINK("https://api.qogita.com/variants/link/5050456001507/", "View Product")</f>
        <v/>
      </c>
    </row>
    <row r="2241">
      <c r="A2241" t="inlineStr">
        <is>
          <t>5050456001538</t>
        </is>
      </c>
      <c r="B2241" t="inlineStr">
        <is>
          <t>Jean Louis Scherrer Pop Delights 02 Eau de Toilette Spray 50ml</t>
        </is>
      </c>
      <c r="C2241" t="inlineStr">
        <is>
          <t>Eau De Toilette</t>
        </is>
      </c>
      <c r="D2241" t="inlineStr">
        <is>
          <t>Jean Louis Scherrer</t>
        </is>
      </c>
      <c r="E2241" t="n">
        <v>11.16</v>
      </c>
      <c r="F2241" t="n">
        <v>1</v>
      </c>
      <c r="G2241" t="n">
        <v>9</v>
      </c>
      <c r="H2241" s="5">
        <f>HYPERLINK("https://api.qogita.com/variants/link/5050456001538/", "View Product")</f>
        <v/>
      </c>
    </row>
    <row r="2242">
      <c r="A2242" t="inlineStr">
        <is>
          <t>5050456001637</t>
        </is>
      </c>
      <c r="B2242" t="inlineStr">
        <is>
          <t>Naomi Campbell Here To Stay Eau De Toilette Spray 30ml</t>
        </is>
      </c>
      <c r="C2242" t="inlineStr">
        <is>
          <t>Eau De Toilette</t>
        </is>
      </c>
      <c r="D2242" t="inlineStr">
        <is>
          <t>Naomi Campbell</t>
        </is>
      </c>
      <c r="E2242" t="n">
        <v>11.76</v>
      </c>
      <c r="F2242" t="n">
        <v>1</v>
      </c>
      <c r="G2242" t="n">
        <v>6</v>
      </c>
      <c r="H2242" s="5">
        <f>HYPERLINK("https://api.qogita.com/variants/link/5050456001637/", "View Product")</f>
        <v/>
      </c>
    </row>
    <row r="2243">
      <c r="A2243" t="inlineStr">
        <is>
          <t>5050456003044</t>
        </is>
      </c>
      <c r="B2243" t="inlineStr">
        <is>
          <t>Naomi Campbell Here To Shine Eau De Toilette Spray 15ml</t>
        </is>
      </c>
      <c r="C2243" t="inlineStr">
        <is>
          <t>Eau De Toilette</t>
        </is>
      </c>
      <c r="D2243" t="inlineStr">
        <is>
          <t>Naomi Campbell</t>
        </is>
      </c>
      <c r="E2243" t="n">
        <v>7.86</v>
      </c>
      <c r="F2243" t="n">
        <v>1</v>
      </c>
      <c r="G2243" t="n">
        <v>6</v>
      </c>
      <c r="H2243" s="5">
        <f>HYPERLINK("https://api.qogita.com/variants/link/5050456003044/", "View Product")</f>
        <v/>
      </c>
    </row>
    <row r="2244">
      <c r="A2244" t="inlineStr">
        <is>
          <t>5050456008810</t>
        </is>
      </c>
      <c r="B2244" t="inlineStr">
        <is>
          <t>Jennifer Lopez Jlust Fragrance Mist 240ml For Women</t>
        </is>
      </c>
      <c r="C2244" t="inlineStr">
        <is>
          <t>Eau De Toilette</t>
        </is>
      </c>
      <c r="D2244" t="inlineStr">
        <is>
          <t>Jennifer Lopez</t>
        </is>
      </c>
      <c r="E2244" t="n">
        <v>6.56</v>
      </c>
      <c r="F2244" t="n">
        <v>1</v>
      </c>
      <c r="G2244" t="n">
        <v>15</v>
      </c>
      <c r="H2244" s="5">
        <f>HYPERLINK("https://api.qogita.com/variants/link/5050456008810/", "View Product")</f>
        <v/>
      </c>
    </row>
    <row r="2245">
      <c r="A2245" t="inlineStr">
        <is>
          <t>5050456008841</t>
        </is>
      </c>
      <c r="B2245" t="inlineStr">
        <is>
          <t>Jennifer Lopez Live Luxe Fragrance Mist 8 fl oz</t>
        </is>
      </c>
      <c r="C2245" t="inlineStr">
        <is>
          <t>Eau De Toilette</t>
        </is>
      </c>
      <c r="D2245" t="inlineStr">
        <is>
          <t>Jennifer Lopez</t>
        </is>
      </c>
      <c r="E2245" t="n">
        <v>7.97</v>
      </c>
      <c r="F2245" t="n">
        <v>1</v>
      </c>
      <c r="G2245" t="n">
        <v>7</v>
      </c>
      <c r="H2245" s="5">
        <f>HYPERLINK("https://api.qogita.com/variants/link/5050456008841/", "View Product")</f>
        <v/>
      </c>
    </row>
    <row r="2246">
      <c r="A2246" t="inlineStr">
        <is>
          <t>5050456021949</t>
        </is>
      </c>
      <c r="B2246" t="inlineStr">
        <is>
          <t>Jean Patou Adieu Sagesse Heritage Collection Eau de Parfum Spray for Women 100ml</t>
        </is>
      </c>
      <c r="C2246" t="inlineStr">
        <is>
          <t>Eau De Parfum</t>
        </is>
      </c>
      <c r="D2246" t="inlineStr">
        <is>
          <t>Jean Patou</t>
        </is>
      </c>
      <c r="E2246" t="n">
        <v>58.72</v>
      </c>
      <c r="F2246" t="n">
        <v>1</v>
      </c>
      <c r="G2246" t="n">
        <v>3</v>
      </c>
      <c r="H2246" s="5">
        <f>HYPERLINK("https://api.qogita.com/variants/link/5050456021949/", "View Product")</f>
        <v/>
      </c>
    </row>
    <row r="2247">
      <c r="A2247" t="inlineStr">
        <is>
          <t>5050456043033</t>
        </is>
      </c>
      <c r="B2247" t="inlineStr">
        <is>
          <t>Parfums Scherrer S De Scherrer Homme Eau De Toilette Spray 100ml</t>
        </is>
      </c>
      <c r="C2247" t="inlineStr">
        <is>
          <t>Eau De Toilette</t>
        </is>
      </c>
      <c r="D2247" t="inlineStr">
        <is>
          <t>Jean Louis Scherrer</t>
        </is>
      </c>
      <c r="E2247" t="n">
        <v>19.5</v>
      </c>
      <c r="F2247" t="n">
        <v>1</v>
      </c>
      <c r="G2247" t="n">
        <v>13</v>
      </c>
      <c r="H2247" s="5">
        <f>HYPERLINK("https://api.qogita.com/variants/link/5050456043033/", "View Product")</f>
        <v/>
      </c>
    </row>
    <row r="2248">
      <c r="A2248" t="inlineStr">
        <is>
          <t>5050456044443</t>
        </is>
      </c>
      <c r="B2248" t="inlineStr">
        <is>
          <t>Jeanlouis Scherrer One Love Femme Eau De Parfum Spray 100ml</t>
        </is>
      </c>
      <c r="C2248" t="inlineStr">
        <is>
          <t>Eau De Parfum</t>
        </is>
      </c>
      <c r="D2248" t="inlineStr">
        <is>
          <t>Jean Louis Scherrer</t>
        </is>
      </c>
      <c r="E2248" t="n">
        <v>19.79</v>
      </c>
      <c r="F2248" t="n">
        <v>1</v>
      </c>
      <c r="G2248" t="n">
        <v>20</v>
      </c>
      <c r="H2248" s="5">
        <f>HYPERLINK("https://api.qogita.com/variants/link/5050456044443/", "View Product")</f>
        <v/>
      </c>
    </row>
    <row r="2249">
      <c r="A2249" t="inlineStr">
        <is>
          <t>5050456080106</t>
        </is>
      </c>
      <c r="B2249" t="inlineStr">
        <is>
          <t>Jennifer Lopez Glow Eau De Toilette Spray 30ml For Women</t>
        </is>
      </c>
      <c r="C2249" t="inlineStr">
        <is>
          <t>Eau De Toilette</t>
        </is>
      </c>
      <c r="D2249" t="inlineStr">
        <is>
          <t>Jennifer Lopez</t>
        </is>
      </c>
      <c r="E2249" t="n">
        <v>12.93</v>
      </c>
      <c r="F2249" t="n">
        <v>1</v>
      </c>
      <c r="G2249" t="n">
        <v>30</v>
      </c>
      <c r="H2249" s="5">
        <f>HYPERLINK("https://api.qogita.com/variants/link/5050456080106/", "View Product")</f>
        <v/>
      </c>
    </row>
    <row r="2250">
      <c r="A2250" t="inlineStr">
        <is>
          <t>5050456082605</t>
        </is>
      </c>
      <c r="B2250" t="inlineStr">
        <is>
          <t>Jennifer Lopez Enduring Glow Eau De Parfum 30ml</t>
        </is>
      </c>
      <c r="C2250" t="inlineStr">
        <is>
          <t>Eau De Parfum</t>
        </is>
      </c>
      <c r="D2250" t="inlineStr">
        <is>
          <t>Jennifer Lopez</t>
        </is>
      </c>
      <c r="E2250" t="n">
        <v>17.47</v>
      </c>
      <c r="F2250" t="n">
        <v>1</v>
      </c>
      <c r="G2250" t="n">
        <v>15</v>
      </c>
      <c r="H2250" s="5">
        <f>HYPERLINK("https://api.qogita.com/variants/link/5050456082605/", "View Product")</f>
        <v/>
      </c>
    </row>
    <row r="2251">
      <c r="A2251" t="inlineStr">
        <is>
          <t>5050456082919</t>
        </is>
      </c>
      <c r="B2251" t="inlineStr">
        <is>
          <t>Jennifer Lopez Promise Eau De Parfum 30ml For Women</t>
        </is>
      </c>
      <c r="C2251" t="inlineStr">
        <is>
          <t>Eau De Parfum</t>
        </is>
      </c>
      <c r="D2251" t="inlineStr">
        <is>
          <t>Jennifer Lopez</t>
        </is>
      </c>
      <c r="E2251" t="n">
        <v>18.86</v>
      </c>
      <c r="F2251" t="n">
        <v>1</v>
      </c>
      <c r="G2251" t="n">
        <v>2</v>
      </c>
      <c r="H2251" s="5">
        <f>HYPERLINK("https://api.qogita.com/variants/link/5050456082919/", "View Product")</f>
        <v/>
      </c>
    </row>
    <row r="2252">
      <c r="A2252" t="inlineStr">
        <is>
          <t>5050456110018</t>
        </is>
      </c>
      <c r="B2252" t="inlineStr">
        <is>
          <t>Jennifer Lopez Miami Glow Eau De Toilette Spray 100ml</t>
        </is>
      </c>
      <c r="C2252" t="inlineStr">
        <is>
          <t>Eau De Toilette</t>
        </is>
      </c>
      <c r="D2252" t="inlineStr">
        <is>
          <t>Jennifer Lopez</t>
        </is>
      </c>
      <c r="E2252" t="n">
        <v>15.01</v>
      </c>
      <c r="F2252" t="n">
        <v>1</v>
      </c>
      <c r="G2252" t="n">
        <v>50</v>
      </c>
      <c r="H2252" s="5">
        <f>HYPERLINK("https://api.qogita.com/variants/link/5050456110018/", "View Product")</f>
        <v/>
      </c>
    </row>
    <row r="2253">
      <c r="A2253" t="inlineStr">
        <is>
          <t>5050456110032</t>
        </is>
      </c>
      <c r="B2253" t="inlineStr">
        <is>
          <t>Porsche Design Palladium For Men Eau De Toilette Spray 100ml</t>
        </is>
      </c>
      <c r="C2253" t="inlineStr">
        <is>
          <t>Eau De Toilette</t>
        </is>
      </c>
      <c r="D2253" t="inlineStr">
        <is>
          <t>Porsche Design</t>
        </is>
      </c>
      <c r="E2253" t="n">
        <v>28.86</v>
      </c>
      <c r="F2253" t="n">
        <v>1</v>
      </c>
      <c r="G2253" t="n">
        <v>2</v>
      </c>
      <c r="H2253" s="5">
        <f>HYPERLINK("https://api.qogita.com/variants/link/5050456110032/", "View Product")</f>
        <v/>
      </c>
    </row>
    <row r="2254">
      <c r="A2254" t="inlineStr">
        <is>
          <t>5050456522736</t>
        </is>
      </c>
      <c r="B2254" t="inlineStr">
        <is>
          <t>Cerruti 1881 Eau De Toilette 100ml For Women</t>
        </is>
      </c>
      <c r="C2254" t="inlineStr">
        <is>
          <t>Eau De Toilette</t>
        </is>
      </c>
      <c r="D2254" t="inlineStr">
        <is>
          <t xml:space="preserve">Cerruti </t>
        </is>
      </c>
      <c r="E2254" t="n">
        <v>24.02</v>
      </c>
      <c r="F2254" t="n">
        <v>1</v>
      </c>
      <c r="G2254" t="n">
        <v>339</v>
      </c>
      <c r="H2254" s="5">
        <f>HYPERLINK("https://api.qogita.com/variants/link/5050456522736/", "View Product")</f>
        <v/>
      </c>
    </row>
    <row r="2255">
      <c r="A2255" t="inlineStr">
        <is>
          <t>5050456522743</t>
        </is>
      </c>
      <c r="B2255" t="inlineStr">
        <is>
          <t>Cerruti 1881 Pour Homme Eau De Toilette 100ml Men Spray</t>
        </is>
      </c>
      <c r="C2255" t="inlineStr">
        <is>
          <t>Eau De Toilette</t>
        </is>
      </c>
      <c r="D2255" t="inlineStr">
        <is>
          <t xml:space="preserve">Cerruti </t>
        </is>
      </c>
      <c r="E2255" t="n">
        <v>21.63</v>
      </c>
      <c r="F2255" t="n">
        <v>1</v>
      </c>
      <c r="G2255" t="n">
        <v>66</v>
      </c>
      <c r="H2255" s="5">
        <f>HYPERLINK("https://api.qogita.com/variants/link/5050456522743/", "View Product")</f>
        <v/>
      </c>
    </row>
    <row r="2256">
      <c r="A2256" t="inlineStr">
        <is>
          <t>5050456522750</t>
        </is>
      </c>
      <c r="B2256" t="inlineStr">
        <is>
          <t>Cerruti 1881 Men Eau De Toilette Spray 50ml</t>
        </is>
      </c>
      <c r="C2256" t="inlineStr">
        <is>
          <t>Eau De Toilette</t>
        </is>
      </c>
      <c r="D2256" t="inlineStr">
        <is>
          <t xml:space="preserve">Cerruti </t>
        </is>
      </c>
      <c r="E2256" t="n">
        <v>20.38</v>
      </c>
      <c r="F2256" t="n">
        <v>1</v>
      </c>
      <c r="G2256" t="n">
        <v>34</v>
      </c>
      <c r="H2256" s="5">
        <f>HYPERLINK("https://api.qogita.com/variants/link/5050456522750/", "View Product")</f>
        <v/>
      </c>
    </row>
    <row r="2257">
      <c r="A2257" t="inlineStr">
        <is>
          <t>5050456522774</t>
        </is>
      </c>
      <c r="B2257" t="inlineStr">
        <is>
          <t>Cerruti 1881 Pour Homme Eau De Toilette Spray 25ml</t>
        </is>
      </c>
      <c r="C2257" t="inlineStr">
        <is>
          <t>Eau De Toilette</t>
        </is>
      </c>
      <c r="D2257" t="inlineStr">
        <is>
          <t>Cerruti 1881</t>
        </is>
      </c>
      <c r="E2257" t="n">
        <v>10.38</v>
      </c>
      <c r="F2257" t="n">
        <v>1</v>
      </c>
      <c r="G2257" t="n">
        <v>5</v>
      </c>
      <c r="H2257" s="5">
        <f>HYPERLINK("https://api.qogita.com/variants/link/5050456522774/", "View Product")</f>
        <v/>
      </c>
    </row>
    <row r="2258">
      <c r="A2258" t="inlineStr">
        <is>
          <t>5050456522828</t>
        </is>
      </c>
      <c r="B2258" t="inlineStr">
        <is>
          <t>Cerruti 1881 Ph Deodorant Stick 75ml</t>
        </is>
      </c>
      <c r="C2258" t="inlineStr">
        <is>
          <t>Deodorant &amp; Anti-Perspirant</t>
        </is>
      </c>
      <c r="D2258" t="inlineStr">
        <is>
          <t>Cerruti 1881</t>
        </is>
      </c>
      <c r="E2258" t="n">
        <v>10.76</v>
      </c>
      <c r="F2258" t="n">
        <v>1</v>
      </c>
      <c r="G2258" t="n">
        <v>2</v>
      </c>
      <c r="H2258" s="5">
        <f>HYPERLINK("https://api.qogita.com/variants/link/5050456522828/", "View Product")</f>
        <v/>
      </c>
    </row>
    <row r="2259">
      <c r="A2259" t="inlineStr">
        <is>
          <t>5050456998616</t>
        </is>
      </c>
      <c r="B2259" t="inlineStr">
        <is>
          <t>Formula 1 Carbon Reign Race EDT 75ml</t>
        </is>
      </c>
      <c r="C2259" t="inlineStr">
        <is>
          <t>Eau De Toilette</t>
        </is>
      </c>
      <c r="D2259" t="inlineStr">
        <is>
          <t>Formula 1</t>
        </is>
      </c>
      <c r="E2259" t="n">
        <v>27.03</v>
      </c>
      <c r="F2259" t="n">
        <v>1</v>
      </c>
      <c r="G2259" t="n">
        <v>11</v>
      </c>
      <c r="H2259" s="5">
        <f>HYPERLINK("https://api.qogita.com/variants/link/5050456998616/", "View Product")</f>
        <v/>
      </c>
    </row>
    <row r="2260">
      <c r="A2260" t="inlineStr">
        <is>
          <t>5051198628915</t>
        </is>
      </c>
      <c r="B2260" t="inlineStr">
        <is>
          <t>Miller Harris Tea Tonique Eau De Parfum</t>
        </is>
      </c>
      <c r="C2260" t="inlineStr">
        <is>
          <t>Eau De Parfum</t>
        </is>
      </c>
      <c r="D2260" t="inlineStr">
        <is>
          <t>Miller Harris</t>
        </is>
      </c>
      <c r="E2260" t="n">
        <v>33.71</v>
      </c>
      <c r="F2260" t="n">
        <v>1</v>
      </c>
      <c r="G2260" t="n">
        <v>2</v>
      </c>
      <c r="H2260" s="5">
        <f>HYPERLINK("https://api.qogita.com/variants/link/5051198628915/", "View Product")</f>
        <v/>
      </c>
    </row>
    <row r="2261">
      <c r="A2261" t="inlineStr">
        <is>
          <t>5051198895171</t>
        </is>
      </c>
      <c r="B2261" t="inlineStr">
        <is>
          <t>Miller H Oud Eclat Eau De Parfum 100ml</t>
        </is>
      </c>
      <c r="C2261" t="inlineStr">
        <is>
          <t>Eau De Parfum</t>
        </is>
      </c>
      <c r="D2261" t="inlineStr">
        <is>
          <t>Miller Harris</t>
        </is>
      </c>
      <c r="E2261" t="n">
        <v>105.28</v>
      </c>
      <c r="F2261" t="n">
        <v>1</v>
      </c>
      <c r="G2261" t="n">
        <v>3</v>
      </c>
      <c r="H2261" s="5">
        <f>HYPERLINK("https://api.qogita.com/variants/link/5051198895171/", "View Product")</f>
        <v/>
      </c>
    </row>
    <row r="2262">
      <c r="A2262" t="inlineStr">
        <is>
          <t>5052197035445</t>
        </is>
      </c>
      <c r="B2262" t="inlineStr">
        <is>
          <t>Scholl Velvet Smooth Diamond Replacement Roller Heads Extra Rough 2 Pieces</t>
        </is>
      </c>
      <c r="C2262" t="inlineStr">
        <is>
          <t>Callus Remover</t>
        </is>
      </c>
      <c r="D2262" t="inlineStr">
        <is>
          <t>Scholl</t>
        </is>
      </c>
      <c r="E2262" t="n">
        <v>12.4</v>
      </c>
      <c r="F2262" t="n">
        <v>1</v>
      </c>
      <c r="G2262" t="n">
        <v>67</v>
      </c>
      <c r="H2262" s="5">
        <f>HYPERLINK("https://api.qogita.com/variants/link/5052197035445/", "View Product")</f>
        <v/>
      </c>
    </row>
    <row r="2263">
      <c r="A2263" t="inlineStr">
        <is>
          <t>5054563093592</t>
        </is>
      </c>
      <c r="B2263" t="inlineStr">
        <is>
          <t>Driclor Antiperspirant Rollon Against Excessive Sweating Solution 20 Ml</t>
        </is>
      </c>
      <c r="C2263" t="inlineStr">
        <is>
          <t>Deodorant &amp; Anti-Perspirant</t>
        </is>
      </c>
      <c r="D2263" t="inlineStr">
        <is>
          <t>Driclor</t>
        </is>
      </c>
      <c r="E2263" t="n">
        <v>8.960000000000001</v>
      </c>
      <c r="F2263" t="n">
        <v>1</v>
      </c>
      <c r="G2263" t="n">
        <v>85</v>
      </c>
      <c r="H2263" s="5">
        <f>HYPERLINK("https://api.qogita.com/variants/link/5054563093592/", "View Product")</f>
        <v/>
      </c>
    </row>
    <row r="2264">
      <c r="A2264" t="inlineStr">
        <is>
          <t>5054563103680</t>
        </is>
      </c>
      <c r="B2264" t="inlineStr">
        <is>
          <t>Sensodyne Toothpaste For Sensitive Teeth Repair Protect Whitening 75 Ml</t>
        </is>
      </c>
      <c r="C2264" t="inlineStr">
        <is>
          <t>Toothpaste</t>
        </is>
      </c>
      <c r="D2264" t="inlineStr">
        <is>
          <t>Sensodyne</t>
        </is>
      </c>
      <c r="E2264" t="n">
        <v>4.19</v>
      </c>
      <c r="F2264" t="n">
        <v>1</v>
      </c>
      <c r="G2264" t="n">
        <v>32</v>
      </c>
      <c r="H2264" s="5">
        <f>HYPERLINK("https://api.qogita.com/variants/link/5054563103680/", "View Product")</f>
        <v/>
      </c>
    </row>
    <row r="2265">
      <c r="A2265" t="inlineStr">
        <is>
          <t>5054563950130</t>
        </is>
      </c>
      <c r="B2265" t="inlineStr">
        <is>
          <t>Parodontax Ultra Clean Toothpaste 75ml</t>
        </is>
      </c>
      <c r="C2265" t="inlineStr">
        <is>
          <t>Toothpaste</t>
        </is>
      </c>
      <c r="D2265" t="inlineStr">
        <is>
          <t>Parodontax</t>
        </is>
      </c>
      <c r="E2265" t="n">
        <v>3.57</v>
      </c>
      <c r="F2265" t="n">
        <v>1</v>
      </c>
      <c r="G2265" t="n">
        <v>21</v>
      </c>
      <c r="H2265" s="5">
        <f>HYPERLINK("https://api.qogita.com/variants/link/5054563950130/", "View Product")</f>
        <v/>
      </c>
    </row>
    <row r="2266">
      <c r="A2266" t="inlineStr">
        <is>
          <t>5055443698302</t>
        </is>
      </c>
      <c r="B2266" t="inlineStr">
        <is>
          <t>Grace Cole Homme Grooming Shower Set Tangerine Bergamot Rosemary 3 Pieces</t>
        </is>
      </c>
      <c r="C2266" t="inlineStr">
        <is>
          <t>Shower &amp; Bath Sets</t>
        </is>
      </c>
      <c r="D2266" t="inlineStr">
        <is>
          <t>Grace Cole</t>
        </is>
      </c>
      <c r="E2266" t="n">
        <v>11.47</v>
      </c>
      <c r="F2266" t="n">
        <v>1</v>
      </c>
      <c r="G2266" t="n">
        <v>12</v>
      </c>
      <c r="H2266" s="5">
        <f>HYPERLINK("https://api.qogita.com/variants/link/5055443698302/", "View Product")</f>
        <v/>
      </c>
    </row>
    <row r="2267">
      <c r="A2267" t="inlineStr">
        <is>
          <t>5055810012274</t>
        </is>
      </c>
      <c r="B2267" t="inlineStr">
        <is>
          <t>Al Wataniah Watani Eau De Parfum Spray 100ml</t>
        </is>
      </c>
      <c r="C2267" t="inlineStr">
        <is>
          <t>Eau De Parfum</t>
        </is>
      </c>
      <c r="D2267" t="inlineStr">
        <is>
          <t>Al Wataniah</t>
        </is>
      </c>
      <c r="E2267" t="n">
        <v>11.06</v>
      </c>
      <c r="F2267" t="n">
        <v>1</v>
      </c>
      <c r="G2267" t="n">
        <v>27</v>
      </c>
      <c r="H2267" s="5">
        <f>HYPERLINK("https://api.qogita.com/variants/link/5055810012274/", "View Product")</f>
        <v/>
      </c>
    </row>
    <row r="2268">
      <c r="A2268" t="inlineStr">
        <is>
          <t>5055810014919</t>
        </is>
      </c>
      <c r="B2268" t="inlineStr">
        <is>
          <t>Al Wataniah Unisex Perfume Ghala</t>
        </is>
      </c>
      <c r="C2268" t="inlineStr">
        <is>
          <t>Eau De Parfum</t>
        </is>
      </c>
      <c r="D2268" t="inlineStr">
        <is>
          <t>Al Wataniah</t>
        </is>
      </c>
      <c r="E2268" t="n">
        <v>10.72</v>
      </c>
      <c r="F2268" t="n">
        <v>1</v>
      </c>
      <c r="G2268" t="n">
        <v>4</v>
      </c>
      <c r="H2268" s="5">
        <f>HYPERLINK("https://api.qogita.com/variants/link/5055810014919/", "View Product")</f>
        <v/>
      </c>
    </row>
    <row r="2269">
      <c r="A2269" t="inlineStr">
        <is>
          <t>5055810024925</t>
        </is>
      </c>
      <c r="B2269" t="inlineStr">
        <is>
          <t>AL WATANIAH Kenz Al Malik Unisex Eau de Parfum 100ml</t>
        </is>
      </c>
      <c r="C2269" t="inlineStr">
        <is>
          <t>Eau De Parfum</t>
        </is>
      </c>
      <c r="D2269" t="inlineStr">
        <is>
          <t>Al Wataniah</t>
        </is>
      </c>
      <c r="E2269" t="n">
        <v>12.7</v>
      </c>
      <c r="F2269" t="n">
        <v>1</v>
      </c>
      <c r="G2269" t="n">
        <v>14</v>
      </c>
      <c r="H2269" s="5">
        <f>HYPERLINK("https://api.qogita.com/variants/link/5055810024925/", "View Product")</f>
        <v/>
      </c>
    </row>
    <row r="2270">
      <c r="A2270" t="inlineStr">
        <is>
          <t>5055810029838</t>
        </is>
      </c>
      <c r="B2270" t="inlineStr">
        <is>
          <t>AL WATANIAH Duha Luxury Perfume for Women Eau de Parfum 100ml Fresh and Sophisticated Fragrance</t>
        </is>
      </c>
      <c r="C2270" t="inlineStr">
        <is>
          <t>Eau De Parfum</t>
        </is>
      </c>
      <c r="D2270" t="inlineStr">
        <is>
          <t>Al Wataniah</t>
        </is>
      </c>
      <c r="E2270" t="n">
        <v>9.380000000000001</v>
      </c>
      <c r="F2270" t="n">
        <v>1</v>
      </c>
      <c r="G2270" t="n">
        <v>24</v>
      </c>
      <c r="H2270" s="5">
        <f>HYPERLINK("https://api.qogita.com/variants/link/5055810029838/", "View Product")</f>
        <v/>
      </c>
    </row>
    <row r="2271">
      <c r="A2271" t="inlineStr">
        <is>
          <t>5055810030117</t>
        </is>
      </c>
      <c r="B2271" t="inlineStr">
        <is>
          <t>Al Wataniah House of Oud</t>
        </is>
      </c>
      <c r="C2271" t="inlineStr">
        <is>
          <t>Eau De Parfum</t>
        </is>
      </c>
      <c r="D2271" t="inlineStr">
        <is>
          <t>Al Wataniah</t>
        </is>
      </c>
      <c r="E2271" t="n">
        <v>23.59</v>
      </c>
      <c r="F2271" t="n">
        <v>1</v>
      </c>
      <c r="G2271" t="n">
        <v>55</v>
      </c>
      <c r="H2271" s="5">
        <f>HYPERLINK("https://api.qogita.com/variants/link/5055810030117/", "View Product")</f>
        <v/>
      </c>
    </row>
    <row r="2272">
      <c r="A2272" t="inlineStr">
        <is>
          <t>5055810030469</t>
        </is>
      </c>
      <c r="B2272" t="inlineStr">
        <is>
          <t>AL WATANIAH Rawaee Noble Luxury Unisex Perfume 100ml Eau de Parfum</t>
        </is>
      </c>
      <c r="C2272" t="inlineStr">
        <is>
          <t>Eau De Parfum</t>
        </is>
      </c>
      <c r="D2272" t="inlineStr">
        <is>
          <t>Al Wataniah</t>
        </is>
      </c>
      <c r="E2272" t="n">
        <v>17.3</v>
      </c>
      <c r="F2272" t="n">
        <v>1</v>
      </c>
      <c r="G2272" t="n">
        <v>5</v>
      </c>
      <c r="H2272" s="5">
        <f>HYPERLINK("https://api.qogita.com/variants/link/5055810030469/", "View Product")</f>
        <v/>
      </c>
    </row>
    <row r="2273">
      <c r="A2273" t="inlineStr">
        <is>
          <t>5055810035273</t>
        </is>
      </c>
      <c r="B2273" t="inlineStr">
        <is>
          <t>Al Wataniah Eqaab Eau De Parfum Spray 100ml</t>
        </is>
      </c>
      <c r="C2273" t="inlineStr">
        <is>
          <t>Eau De Parfum</t>
        </is>
      </c>
      <c r="D2273" t="inlineStr">
        <is>
          <t>Al Wataniah</t>
        </is>
      </c>
      <c r="E2273" t="n">
        <v>13.88</v>
      </c>
      <c r="F2273" t="n">
        <v>1</v>
      </c>
      <c r="G2273" t="n">
        <v>28</v>
      </c>
      <c r="H2273" s="5">
        <f>HYPERLINK("https://api.qogita.com/variants/link/5055810035273/", "View Product")</f>
        <v/>
      </c>
    </row>
    <row r="2274">
      <c r="A2274" t="inlineStr">
        <is>
          <t>5055810035570</t>
        </is>
      </c>
      <c r="B2274" t="inlineStr">
        <is>
          <t>Al Wataniah Al Layl Luxury Unisex Perfume Eau De Parfum 100ml</t>
        </is>
      </c>
      <c r="C2274" t="inlineStr">
        <is>
          <t>Eau De Parfum</t>
        </is>
      </c>
      <c r="D2274" t="inlineStr">
        <is>
          <t>Al Wataniah</t>
        </is>
      </c>
      <c r="E2274" t="n">
        <v>12.07</v>
      </c>
      <c r="F2274" t="n">
        <v>1</v>
      </c>
      <c r="G2274" t="n">
        <v>5</v>
      </c>
      <c r="H2274" s="5">
        <f>HYPERLINK("https://api.qogita.com/variants/link/5055810035570/", "View Product")</f>
        <v/>
      </c>
    </row>
    <row r="2275">
      <c r="A2275" t="inlineStr">
        <is>
          <t>5055810035884</t>
        </is>
      </c>
      <c r="B2275" t="inlineStr">
        <is>
          <t>AL WATANIAH Reda'A Luxury Unisex Perfume Eau de Parfum 100ml Refreshing and Refined Scent Ideal for Men and Women</t>
        </is>
      </c>
      <c r="C2275" t="inlineStr">
        <is>
          <t>Eau De Parfum</t>
        </is>
      </c>
      <c r="D2275" t="inlineStr">
        <is>
          <t>Al Wataniah</t>
        </is>
      </c>
      <c r="E2275" t="n">
        <v>19.74</v>
      </c>
      <c r="F2275" t="n">
        <v>1</v>
      </c>
      <c r="G2275" t="n">
        <v>10</v>
      </c>
      <c r="H2275" s="5">
        <f>HYPERLINK("https://api.qogita.com/variants/link/5055810035884/", "View Product")</f>
        <v/>
      </c>
    </row>
    <row r="2276">
      <c r="A2276" t="inlineStr">
        <is>
          <t>5055810038991</t>
        </is>
      </c>
      <c r="B2276" t="inlineStr">
        <is>
          <t>Al Wataniah Muheeb Eau De Parfum 100ml</t>
        </is>
      </c>
      <c r="C2276" t="inlineStr">
        <is>
          <t>Eau De Parfum</t>
        </is>
      </c>
      <c r="D2276" t="inlineStr">
        <is>
          <t>Al Wataniah</t>
        </is>
      </c>
      <c r="E2276" t="n">
        <v>11.35</v>
      </c>
      <c r="F2276" t="n">
        <v>1</v>
      </c>
      <c r="G2276" t="n">
        <v>78</v>
      </c>
      <c r="H2276" s="5">
        <f>HYPERLINK("https://api.qogita.com/variants/link/5055810038991/", "View Product")</f>
        <v/>
      </c>
    </row>
    <row r="2277">
      <c r="A2277" t="inlineStr">
        <is>
          <t>5055810099411</t>
        </is>
      </c>
      <c r="B2277" t="inlineStr">
        <is>
          <t>Grandeur Tubbees Cherry Luxe Eau De Parfum Spray 50ml</t>
        </is>
      </c>
      <c r="C2277" t="inlineStr">
        <is>
          <t>Eau De Parfum</t>
        </is>
      </c>
      <c r="D2277" t="inlineStr">
        <is>
          <t>Grandeur</t>
        </is>
      </c>
      <c r="E2277" t="n">
        <v>6.86</v>
      </c>
      <c r="F2277" t="n">
        <v>1</v>
      </c>
      <c r="G2277" t="n">
        <v>12</v>
      </c>
      <c r="H2277" s="5">
        <f>HYPERLINK("https://api.qogita.com/variants/link/5055810099411/", "View Product")</f>
        <v/>
      </c>
    </row>
    <row r="2278">
      <c r="A2278" t="inlineStr">
        <is>
          <t>5055810099466</t>
        </is>
      </c>
      <c r="B2278" t="inlineStr">
        <is>
          <t>Grandeur Tubbees Dreamy Treats Eau De Parfum Spray 50ml</t>
        </is>
      </c>
      <c r="C2278" t="inlineStr">
        <is>
          <t>Eau De Parfum</t>
        </is>
      </c>
      <c r="D2278" t="inlineStr">
        <is>
          <t>Grandeur</t>
        </is>
      </c>
      <c r="E2278" t="n">
        <v>6.86</v>
      </c>
      <c r="F2278" t="n">
        <v>1</v>
      </c>
      <c r="G2278" t="n">
        <v>34</v>
      </c>
      <c r="H2278" s="5">
        <f>HYPERLINK("https://api.qogita.com/variants/link/5055810099466/", "View Product")</f>
        <v/>
      </c>
    </row>
    <row r="2279">
      <c r="A2279" t="inlineStr">
        <is>
          <t>5055810099503</t>
        </is>
      </c>
      <c r="B2279" t="inlineStr">
        <is>
          <t>Grandeur Tubbees Berry Blast Eau De Parfum Spray 50ml</t>
        </is>
      </c>
      <c r="C2279" t="inlineStr">
        <is>
          <t>Eau De Parfum</t>
        </is>
      </c>
      <c r="D2279" t="inlineStr">
        <is>
          <t>Grandeur</t>
        </is>
      </c>
      <c r="E2279" t="n">
        <v>6.86</v>
      </c>
      <c r="F2279" t="n">
        <v>1</v>
      </c>
      <c r="G2279" t="n">
        <v>49</v>
      </c>
      <c r="H2279" s="5">
        <f>HYPERLINK("https://api.qogita.com/variants/link/5055810099503/", "View Product")</f>
        <v/>
      </c>
    </row>
    <row r="2280">
      <c r="A2280" t="inlineStr">
        <is>
          <t>5055810099534</t>
        </is>
      </c>
      <c r="B2280" t="inlineStr">
        <is>
          <t>Al Wataniah Musk Collection Lychee Musk Body Mist 250ml</t>
        </is>
      </c>
      <c r="C2280" t="inlineStr">
        <is>
          <t>Eau De Toilette</t>
        </is>
      </c>
      <c r="D2280" t="inlineStr">
        <is>
          <t>Al Wataniah</t>
        </is>
      </c>
      <c r="E2280" t="n">
        <v>4.41</v>
      </c>
      <c r="F2280" t="n">
        <v>1</v>
      </c>
      <c r="G2280" t="n">
        <v>21</v>
      </c>
      <c r="H2280" s="5">
        <f>HYPERLINK("https://api.qogita.com/variants/link/5055810099534/", "View Product")</f>
        <v/>
      </c>
    </row>
    <row r="2281">
      <c r="A2281" t="inlineStr">
        <is>
          <t>5055810099541</t>
        </is>
      </c>
      <c r="B2281" t="inlineStr">
        <is>
          <t>Al Wataniah Musk Collection Pistachio Musk Body Mist 250ml</t>
        </is>
      </c>
      <c r="C2281" t="inlineStr">
        <is>
          <t>Eau De Toilette</t>
        </is>
      </c>
      <c r="D2281" t="inlineStr">
        <is>
          <t>Al Wataniah</t>
        </is>
      </c>
      <c r="E2281" t="n">
        <v>4.41</v>
      </c>
      <c r="F2281" t="n">
        <v>1</v>
      </c>
      <c r="G2281" t="n">
        <v>21</v>
      </c>
      <c r="H2281" s="5">
        <f>HYPERLINK("https://api.qogita.com/variants/link/5055810099541/", "View Product")</f>
        <v/>
      </c>
    </row>
    <row r="2282">
      <c r="A2282" t="inlineStr">
        <is>
          <t>5055810099558</t>
        </is>
      </c>
      <c r="B2282" t="inlineStr">
        <is>
          <t>Al Wataniah Musk Collection Cherry Musk Body Mist 250ml</t>
        </is>
      </c>
      <c r="C2282" t="inlineStr">
        <is>
          <t>Eau De Toilette</t>
        </is>
      </c>
      <c r="D2282" t="inlineStr">
        <is>
          <t>Al Wataniah</t>
        </is>
      </c>
      <c r="E2282" t="n">
        <v>4.41</v>
      </c>
      <c r="F2282" t="n">
        <v>1</v>
      </c>
      <c r="G2282" t="n">
        <v>15</v>
      </c>
      <c r="H2282" s="5">
        <f>HYPERLINK("https://api.qogita.com/variants/link/5055810099558/", "View Product")</f>
        <v/>
      </c>
    </row>
    <row r="2283">
      <c r="A2283" t="inlineStr">
        <is>
          <t>5055810099572</t>
        </is>
      </c>
      <c r="B2283" t="inlineStr">
        <is>
          <t>Al Wataniah Musk Collection Rose Musk Body Mist 250ml</t>
        </is>
      </c>
      <c r="C2283" t="inlineStr">
        <is>
          <t>Eau De Toilette</t>
        </is>
      </c>
      <c r="D2283" t="inlineStr">
        <is>
          <t>Al Wataniah</t>
        </is>
      </c>
      <c r="E2283" t="n">
        <v>4.41</v>
      </c>
      <c r="F2283" t="n">
        <v>1</v>
      </c>
      <c r="G2283" t="n">
        <v>43</v>
      </c>
      <c r="H2283" s="5">
        <f>HYPERLINK("https://api.qogita.com/variants/link/5055810099572/", "View Product")</f>
        <v/>
      </c>
    </row>
    <row r="2284">
      <c r="A2284" t="inlineStr">
        <is>
          <t>5055810099602</t>
        </is>
      </c>
      <c r="B2284" t="inlineStr">
        <is>
          <t>Al Wataniah Musk Collection Apple Musk Body Mist 250ml</t>
        </is>
      </c>
      <c r="C2284" t="inlineStr">
        <is>
          <t>Eau De Toilette</t>
        </is>
      </c>
      <c r="D2284" t="inlineStr">
        <is>
          <t>Al Wataniah</t>
        </is>
      </c>
      <c r="E2284" t="n">
        <v>4.41</v>
      </c>
      <c r="F2284" t="n">
        <v>1</v>
      </c>
      <c r="G2284" t="n">
        <v>18</v>
      </c>
      <c r="H2284" s="5">
        <f>HYPERLINK("https://api.qogita.com/variants/link/5055810099602/", "View Product")</f>
        <v/>
      </c>
    </row>
    <row r="2285">
      <c r="A2285" t="inlineStr">
        <is>
          <t>5056002603911</t>
        </is>
      </c>
      <c r="B2285" t="inlineStr">
        <is>
          <t>Roja Parfums Taif Aoud Parfum Spray 100ml</t>
        </is>
      </c>
      <c r="C2285" t="inlineStr">
        <is>
          <t>Eau De Parfum</t>
        </is>
      </c>
      <c r="D2285" t="inlineStr">
        <is>
          <t>Roja Parfums</t>
        </is>
      </c>
      <c r="E2285" t="n">
        <v>314.83</v>
      </c>
      <c r="F2285" t="n">
        <v>1</v>
      </c>
      <c r="G2285" t="n">
        <v>3</v>
      </c>
      <c r="H2285" s="5">
        <f>HYPERLINK("https://api.qogita.com/variants/link/5056002603911/", "View Product")</f>
        <v/>
      </c>
    </row>
    <row r="2286">
      <c r="A2286" t="inlineStr">
        <is>
          <t>5056002603935</t>
        </is>
      </c>
      <c r="B2286" t="inlineStr">
        <is>
          <t>Roja Parfums Manhattan Eau De Parfum Spray 100ml</t>
        </is>
      </c>
      <c r="C2286" t="inlineStr">
        <is>
          <t>Eau De Parfum</t>
        </is>
      </c>
      <c r="D2286" t="inlineStr">
        <is>
          <t>Roja Parfums</t>
        </is>
      </c>
      <c r="E2286" t="n">
        <v>196.98</v>
      </c>
      <c r="F2286" t="n">
        <v>1</v>
      </c>
      <c r="G2286" t="n">
        <v>19</v>
      </c>
      <c r="H2286" s="5">
        <f>HYPERLINK("https://api.qogita.com/variants/link/5056002603935/", "View Product")</f>
        <v/>
      </c>
    </row>
    <row r="2287">
      <c r="A2287" t="inlineStr">
        <is>
          <t>5056043216958</t>
        </is>
      </c>
      <c r="B2287" t="inlineStr">
        <is>
          <t>LABEL.M Pure Botanical Nourishing Conditioner 300ml</t>
        </is>
      </c>
      <c r="C2287" t="inlineStr">
        <is>
          <t>Conditioner</t>
        </is>
      </c>
      <c r="D2287" t="inlineStr">
        <is>
          <t>label.m</t>
        </is>
      </c>
      <c r="E2287" t="n">
        <v>15.75</v>
      </c>
      <c r="F2287" t="n">
        <v>1</v>
      </c>
      <c r="G2287" t="n">
        <v>5</v>
      </c>
      <c r="H2287" s="5">
        <f>HYPERLINK("https://api.qogita.com/variants/link/5056043216958/", "View Product")</f>
        <v/>
      </c>
    </row>
    <row r="2288">
      <c r="A2288" t="inlineStr">
        <is>
          <t>5056245021336</t>
        </is>
      </c>
      <c r="B2288" t="inlineStr">
        <is>
          <t>Penhaligon's Portraits Heartless Helen Eau De Parfum Spray 75ml</t>
        </is>
      </c>
      <c r="C2288" t="inlineStr">
        <is>
          <t>Eau De Parfum</t>
        </is>
      </c>
      <c r="D2288" t="inlineStr">
        <is>
          <t>Penhaligon's London</t>
        </is>
      </c>
      <c r="E2288" t="n">
        <v>139.91</v>
      </c>
      <c r="F2288" t="n">
        <v>1</v>
      </c>
      <c r="G2288" t="n">
        <v>4</v>
      </c>
      <c r="H2288" s="5">
        <f>HYPERLINK("https://api.qogita.com/variants/link/5056245021336/", "View Product")</f>
        <v/>
      </c>
    </row>
    <row r="2289">
      <c r="A2289" t="inlineStr">
        <is>
          <t>5056245021459</t>
        </is>
      </c>
      <c r="B2289" t="inlineStr">
        <is>
          <t>Penhaligon's Savoy Steam Eau De Parfum Spray 100ml</t>
        </is>
      </c>
      <c r="C2289" t="inlineStr">
        <is>
          <t>Eau De Parfum</t>
        </is>
      </c>
      <c r="D2289" t="inlineStr">
        <is>
          <t>Penhaligon's London</t>
        </is>
      </c>
      <c r="E2289" t="n">
        <v>123.94</v>
      </c>
      <c r="F2289" t="n">
        <v>1</v>
      </c>
      <c r="G2289" t="n">
        <v>24</v>
      </c>
      <c r="H2289" s="5">
        <f>HYPERLINK("https://api.qogita.com/variants/link/5056245021459/", "View Product")</f>
        <v/>
      </c>
    </row>
    <row r="2290">
      <c r="A2290" t="inlineStr">
        <is>
          <t>5056245035999</t>
        </is>
      </c>
      <c r="B2290" t="inlineStr">
        <is>
          <t>Penhaligon's Solaris Eau de Parfum Spray</t>
        </is>
      </c>
      <c r="C2290" t="inlineStr">
        <is>
          <t>Eau De Parfum</t>
        </is>
      </c>
      <c r="D2290" t="inlineStr">
        <is>
          <t>Penhaligon'S</t>
        </is>
      </c>
      <c r="E2290" t="n">
        <v>151.33</v>
      </c>
      <c r="F2290" t="n">
        <v>1</v>
      </c>
      <c r="G2290" t="n">
        <v>8</v>
      </c>
      <c r="H2290" s="5">
        <f>HYPERLINK("https://api.qogita.com/variants/link/5056245035999/", "View Product")</f>
        <v/>
      </c>
    </row>
    <row r="2291">
      <c r="A2291" t="inlineStr">
        <is>
          <t>5056264704043</t>
        </is>
      </c>
      <c r="B2291" t="inlineStr">
        <is>
          <t>REN Clean Skincare Evercalm Redness Relief Serum Fast-Acting to Reduce and Relieve Redness Calm Sensitive Skin 30ml</t>
        </is>
      </c>
      <c r="C2291" t="inlineStr">
        <is>
          <t>Hydrating Serum</t>
        </is>
      </c>
      <c r="D2291" t="inlineStr">
        <is>
          <t>Ren Clean Skincare</t>
        </is>
      </c>
      <c r="E2291" t="n">
        <v>27.86</v>
      </c>
      <c r="F2291" t="n">
        <v>1</v>
      </c>
      <c r="G2291" t="n">
        <v>2</v>
      </c>
      <c r="H2291" s="5">
        <f>HYPERLINK("https://api.qogita.com/variants/link/5056264704043/", "View Product")</f>
        <v/>
      </c>
    </row>
    <row r="2292">
      <c r="A2292" t="inlineStr">
        <is>
          <t>5056264707181</t>
        </is>
      </c>
      <c r="B2292" t="inlineStr">
        <is>
          <t>Ren Perfect Canvas Smooth Prep &amp; Plump Essence 100ml Hydrating Essence</t>
        </is>
      </c>
      <c r="C2292" t="inlineStr">
        <is>
          <t>Hydrating Serum</t>
        </is>
      </c>
      <c r="D2292" t="inlineStr">
        <is>
          <t>Ren Clean Skincare</t>
        </is>
      </c>
      <c r="E2292" t="n">
        <v>32.77</v>
      </c>
      <c r="F2292" t="n">
        <v>1</v>
      </c>
      <c r="G2292" t="n">
        <v>6</v>
      </c>
      <c r="H2292" s="5">
        <f>HYPERLINK("https://api.qogita.com/variants/link/5056264707181/", "View Product")</f>
        <v/>
      </c>
    </row>
    <row r="2293">
      <c r="A2293" t="inlineStr">
        <is>
          <t>5056264707464</t>
        </is>
      </c>
      <c r="B2293" t="inlineStr">
        <is>
          <t>Ren Clean Skincare Clearcalm Clarifying Clay Cleanser - Cleanse, Calm and Comfort</t>
        </is>
      </c>
      <c r="C2293" t="inlineStr">
        <is>
          <t>Facial Soap</t>
        </is>
      </c>
      <c r="D2293" t="inlineStr">
        <is>
          <t>Ren Clean Skincare</t>
        </is>
      </c>
      <c r="E2293" t="n">
        <v>18</v>
      </c>
      <c r="F2293" t="n">
        <v>1</v>
      </c>
      <c r="G2293" t="n">
        <v>7</v>
      </c>
      <c r="H2293" s="5">
        <f>HYPERLINK("https://api.qogita.com/variants/link/5056264707464/", "View Product")</f>
        <v/>
      </c>
    </row>
    <row r="2294">
      <c r="A2294" t="inlineStr">
        <is>
          <t>5056528420818</t>
        </is>
      </c>
      <c r="B2294" t="inlineStr">
        <is>
          <t>Barbour's Barbour Origins For Him - Women's Fragrance</t>
        </is>
      </c>
      <c r="C2294" t="inlineStr">
        <is>
          <t>Eau De Parfum</t>
        </is>
      </c>
      <c r="D2294" t="inlineStr">
        <is>
          <t>Barbour</t>
        </is>
      </c>
      <c r="E2294" t="n">
        <v>63.44</v>
      </c>
      <c r="F2294" t="n">
        <v>1</v>
      </c>
      <c r="G2294" t="n">
        <v>2</v>
      </c>
      <c r="H2294" s="5">
        <f>HYPERLINK("https://api.qogita.com/variants/link/5056528420818/", "View Product")</f>
        <v/>
      </c>
    </row>
    <row r="2295">
      <c r="A2295" t="inlineStr">
        <is>
          <t>5056528420825</t>
        </is>
      </c>
      <c r="B2295" t="inlineStr">
        <is>
          <t>Barbour For Him Origins Men's Perfume Eau De Parfum Spray 100ml</t>
        </is>
      </c>
      <c r="C2295" t="inlineStr">
        <is>
          <t>Eau De Parfum</t>
        </is>
      </c>
      <c r="D2295" t="inlineStr">
        <is>
          <t>Barbour</t>
        </is>
      </c>
      <c r="E2295" t="n">
        <v>85.75</v>
      </c>
      <c r="F2295" t="n">
        <v>1</v>
      </c>
      <c r="G2295" t="n">
        <v>2</v>
      </c>
      <c r="H2295" s="5">
        <f>HYPERLINK("https://api.qogita.com/variants/link/5056528420825/", "View Product")</f>
        <v/>
      </c>
    </row>
    <row r="2296">
      <c r="A2296" t="inlineStr">
        <is>
          <t>5056528422539</t>
        </is>
      </c>
      <c r="B2296" t="inlineStr">
        <is>
          <t>Misguided Babe Power Eau De Parfum Spray 2.7 oz for Women</t>
        </is>
      </c>
      <c r="C2296" t="inlineStr">
        <is>
          <t>Eau De Parfum</t>
        </is>
      </c>
      <c r="D2296" t="inlineStr">
        <is>
          <t>Missguided</t>
        </is>
      </c>
      <c r="E2296" t="n">
        <v>26.64</v>
      </c>
      <c r="F2296" t="n">
        <v>1</v>
      </c>
      <c r="G2296" t="n">
        <v>9</v>
      </c>
      <c r="H2296" s="5">
        <f>HYPERLINK("https://api.qogita.com/variants/link/5056528422539/", "View Product")</f>
        <v/>
      </c>
    </row>
    <row r="2297">
      <c r="A2297" t="inlineStr">
        <is>
          <t>5056585800370</t>
        </is>
      </c>
      <c r="B2297" t="inlineStr">
        <is>
          <t>Scholl Expert Care Exfoliating Heel Peel Mask 1 Pair</t>
        </is>
      </c>
      <c r="C2297" t="inlineStr">
        <is>
          <t>Foot Mask</t>
        </is>
      </c>
      <c r="D2297" t="inlineStr">
        <is>
          <t>Scholl</t>
        </is>
      </c>
      <c r="E2297" t="n">
        <v>6.68</v>
      </c>
      <c r="F2297" t="n">
        <v>1</v>
      </c>
      <c r="G2297" t="n">
        <v>41</v>
      </c>
      <c r="H2297" s="5">
        <f>HYPERLINK("https://api.qogita.com/variants/link/5056585800370/", "View Product")</f>
        <v/>
      </c>
    </row>
    <row r="2298">
      <c r="A2298" t="inlineStr">
        <is>
          <t>5056585802558</t>
        </is>
      </c>
      <c r="B2298" t="inlineStr">
        <is>
          <t>Scholl Gelactiv Everyday Shoe Inserts Insole 1 Pair</t>
        </is>
      </c>
      <c r="C2298" t="inlineStr">
        <is>
          <t>Foot Care Sets</t>
        </is>
      </c>
      <c r="D2298" t="inlineStr">
        <is>
          <t>Scholl</t>
        </is>
      </c>
      <c r="E2298" t="n">
        <v>10.22</v>
      </c>
      <c r="F2298" t="n">
        <v>1</v>
      </c>
      <c r="G2298" t="n">
        <v>34</v>
      </c>
      <c r="H2298" s="5">
        <f>HYPERLINK("https://api.qogita.com/variants/link/5056585802558/", "View Product")</f>
        <v/>
      </c>
    </row>
    <row r="2299">
      <c r="A2299" t="inlineStr">
        <is>
          <t>5056585803722</t>
        </is>
      </c>
      <c r="B2299" t="inlineStr">
        <is>
          <t>Scholl 24 Hour Energy Shoe Insoles - 1 Pair</t>
        </is>
      </c>
      <c r="C2299" t="inlineStr">
        <is>
          <t>Foot Care Sets</t>
        </is>
      </c>
      <c r="D2299" t="inlineStr">
        <is>
          <t>Scholl</t>
        </is>
      </c>
      <c r="E2299" t="n">
        <v>14.09</v>
      </c>
      <c r="F2299" t="n">
        <v>1</v>
      </c>
      <c r="G2299" t="n">
        <v>6</v>
      </c>
      <c r="H2299" s="5">
        <f>HYPERLINK("https://api.qogita.com/variants/link/5056585803722/", "View Product")</f>
        <v/>
      </c>
    </row>
    <row r="2300">
      <c r="A2300" t="inlineStr">
        <is>
          <t>5056585803739</t>
        </is>
      </c>
      <c r="B2300" t="inlineStr">
        <is>
          <t>Scholl 24 Hour Energy Shoe Insoles - 1 Pair</t>
        </is>
      </c>
      <c r="C2300" t="inlineStr">
        <is>
          <t>Foot Care Sets</t>
        </is>
      </c>
      <c r="D2300" t="inlineStr">
        <is>
          <t>Scholl</t>
        </is>
      </c>
      <c r="E2300" t="n">
        <v>14.13</v>
      </c>
      <c r="F2300" t="n">
        <v>1</v>
      </c>
      <c r="G2300" t="n">
        <v>9</v>
      </c>
      <c r="H2300" s="5">
        <f>HYPERLINK("https://api.qogita.com/variants/link/5056585803739/", "View Product")</f>
        <v/>
      </c>
    </row>
    <row r="2301">
      <c r="A2301" t="inlineStr">
        <is>
          <t>5056634209420</t>
        </is>
      </c>
      <c r="B2301" t="inlineStr">
        <is>
          <t>Grace Cole Luxury Bathing Set Orange Ylang Ylang 5 Pieces</t>
        </is>
      </c>
      <c r="C2301" t="inlineStr">
        <is>
          <t>Body Care Sets</t>
        </is>
      </c>
      <c r="D2301" t="inlineStr">
        <is>
          <t>Grace Cole</t>
        </is>
      </c>
      <c r="E2301" t="n">
        <v>19.31</v>
      </c>
      <c r="F2301" t="n">
        <v>1</v>
      </c>
      <c r="G2301" t="n">
        <v>5</v>
      </c>
      <c r="H2301" s="5">
        <f>HYPERLINK("https://api.qogita.com/variants/link/5056634209420/", "View Product")</f>
        <v/>
      </c>
    </row>
    <row r="2302">
      <c r="A2302" t="inlineStr">
        <is>
          <t>5056634238390</t>
        </is>
      </c>
      <c r="B2302" t="inlineStr">
        <is>
          <t>Grace Cole Body Care Gift Set In Tin - Fig &amp; Cranberry, 4 Pieces</t>
        </is>
      </c>
      <c r="C2302" t="inlineStr">
        <is>
          <t>Body Care Sets</t>
        </is>
      </c>
      <c r="D2302" t="inlineStr">
        <is>
          <t>Grace Cole</t>
        </is>
      </c>
      <c r="E2302" t="n">
        <v>12.83</v>
      </c>
      <c r="F2302" t="n">
        <v>1</v>
      </c>
      <c r="G2302" t="n">
        <v>13</v>
      </c>
      <c r="H2302" s="5">
        <f>HYPERLINK("https://api.qogita.com/variants/link/5056634238390/", "View Product")</f>
        <v/>
      </c>
    </row>
    <row r="2303">
      <c r="A2303" t="inlineStr">
        <is>
          <t>5056634269363</t>
        </is>
      </c>
      <c r="B2303" t="inlineStr">
        <is>
          <t>Grace Cole Body Care Gift Set In Cosmetic Bag Pear &amp; Nectarine Flower 4 Pieces</t>
        </is>
      </c>
      <c r="C2303" t="inlineStr">
        <is>
          <t>Body Care Sets</t>
        </is>
      </c>
      <c r="D2303" t="inlineStr">
        <is>
          <t>Grace Cole</t>
        </is>
      </c>
      <c r="E2303" t="n">
        <v>20.75</v>
      </c>
      <c r="F2303" t="n">
        <v>1</v>
      </c>
      <c r="G2303" t="n">
        <v>5</v>
      </c>
      <c r="H2303" s="5">
        <f>HYPERLINK("https://api.qogita.com/variants/link/5056634269363/", "View Product")</f>
        <v/>
      </c>
    </row>
    <row r="2304">
      <c r="A2304" t="inlineStr">
        <is>
          <t>5056634280672</t>
        </is>
      </c>
      <c r="B2304" t="inlineStr">
        <is>
          <t>Grace Cole Body Care Gift Set In A Cosmetic Bag Vanilla Almond - 3 Pieces</t>
        </is>
      </c>
      <c r="C2304" t="inlineStr">
        <is>
          <t>Body Care Sets</t>
        </is>
      </c>
      <c r="D2304" t="inlineStr">
        <is>
          <t>Grace Cole</t>
        </is>
      </c>
      <c r="E2304" t="n">
        <v>19.52</v>
      </c>
      <c r="F2304" t="n">
        <v>1</v>
      </c>
      <c r="G2304" t="n">
        <v>3</v>
      </c>
      <c r="H2304" s="5">
        <f>HYPERLINK("https://api.qogita.com/variants/link/5056634280672/", "View Product")</f>
        <v/>
      </c>
    </row>
    <row r="2305">
      <c r="A2305" t="inlineStr">
        <is>
          <t>5056634288067</t>
        </is>
      </c>
      <c r="B2305" t="inlineStr">
        <is>
          <t>Grace Cole Hand Care Gift Set Vanilla Almond 2 Pieces</t>
        </is>
      </c>
      <c r="C2305" t="inlineStr">
        <is>
          <t>Hand Care Sets</t>
        </is>
      </c>
      <c r="D2305" t="inlineStr">
        <is>
          <t>Grace Cole</t>
        </is>
      </c>
      <c r="E2305" t="n">
        <v>17.57</v>
      </c>
      <c r="F2305" t="n">
        <v>1</v>
      </c>
      <c r="G2305" t="n">
        <v>10</v>
      </c>
      <c r="H2305" s="5">
        <f>HYPERLINK("https://api.qogita.com/variants/link/5056634288067/", "View Product")</f>
        <v/>
      </c>
    </row>
    <row r="2306">
      <c r="A2306" t="inlineStr">
        <is>
          <t>5056634297717</t>
        </is>
      </c>
      <c r="B2306" t="inlineStr">
        <is>
          <t>Grace Cole Body Care Gift Set Christmas Sweets Cocoa Vanilla 5 Pieces</t>
        </is>
      </c>
      <c r="C2306" t="inlineStr">
        <is>
          <t>Body Care Sets</t>
        </is>
      </c>
      <c r="D2306" t="inlineStr">
        <is>
          <t>Grace Cole</t>
        </is>
      </c>
      <c r="E2306" t="n">
        <v>13.38</v>
      </c>
      <c r="F2306" t="n">
        <v>1</v>
      </c>
      <c r="G2306" t="n">
        <v>3</v>
      </c>
      <c r="H2306" s="5">
        <f>HYPERLINK("https://api.qogita.com/variants/link/5056634297717/", "View Product")</f>
        <v/>
      </c>
    </row>
    <row r="2307">
      <c r="A2307" t="inlineStr">
        <is>
          <t>5056663800643</t>
        </is>
      </c>
      <c r="B2307" t="inlineStr">
        <is>
          <t>Roja Parfums Aoud Parfum Spray 50ml</t>
        </is>
      </c>
      <c r="C2307" t="inlineStr">
        <is>
          <t>Eau De Parfum</t>
        </is>
      </c>
      <c r="D2307" t="inlineStr">
        <is>
          <t>Roja Parfums</t>
        </is>
      </c>
      <c r="E2307" t="n">
        <v>237.24</v>
      </c>
      <c r="F2307" t="n">
        <v>1</v>
      </c>
      <c r="G2307" t="n">
        <v>2</v>
      </c>
      <c r="H2307" s="5">
        <f>HYPERLINK("https://api.qogita.com/variants/link/5056663800643/", "View Product")</f>
        <v/>
      </c>
    </row>
    <row r="2308">
      <c r="A2308" t="inlineStr">
        <is>
          <t>5056663800995</t>
        </is>
      </c>
      <c r="B2308" t="inlineStr">
        <is>
          <t>Roja Parfums Isola Sol Parfum 50ml</t>
        </is>
      </c>
      <c r="C2308" t="inlineStr">
        <is>
          <t>Eau De Parfum</t>
        </is>
      </c>
      <c r="D2308" t="inlineStr">
        <is>
          <t>Roja Parfums</t>
        </is>
      </c>
      <c r="E2308" t="n">
        <v>220.98</v>
      </c>
      <c r="F2308" t="n">
        <v>1</v>
      </c>
      <c r="G2308" t="n">
        <v>5</v>
      </c>
      <c r="H2308" s="5">
        <f>HYPERLINK("https://api.qogita.com/variants/link/5056663800995/", "View Product")</f>
        <v/>
      </c>
    </row>
    <row r="2309">
      <c r="A2309" t="inlineStr">
        <is>
          <t>5056663802340</t>
        </is>
      </c>
      <c r="B2309" t="inlineStr">
        <is>
          <t>Roja Elysium Perfume</t>
        </is>
      </c>
      <c r="C2309" t="inlineStr">
        <is>
          <t>Eau De Parfum</t>
        </is>
      </c>
      <c r="D2309" t="inlineStr">
        <is>
          <t>Roja Parfums</t>
        </is>
      </c>
      <c r="E2309" t="n">
        <v>161.26</v>
      </c>
      <c r="F2309" t="n">
        <v>1</v>
      </c>
      <c r="G2309" t="n">
        <v>54</v>
      </c>
      <c r="H2309" s="5">
        <f>HYPERLINK("https://api.qogita.com/variants/link/5056663802340/", "View Product")</f>
        <v/>
      </c>
    </row>
    <row r="2310">
      <c r="A2310" t="inlineStr">
        <is>
          <t>5057566028424</t>
        </is>
      </c>
      <c r="B2310" t="inlineStr">
        <is>
          <t>Revolution Pro Set Of Five Pink Lipsticks 5 Pieces 32 Grams</t>
        </is>
      </c>
      <c r="C2310" t="inlineStr">
        <is>
          <t>Lip Sets</t>
        </is>
      </c>
      <c r="D2310" t="inlineStr">
        <is>
          <t>Revolution Pro</t>
        </is>
      </c>
      <c r="E2310" t="n">
        <v>8.77</v>
      </c>
      <c r="F2310" t="n">
        <v>1</v>
      </c>
      <c r="G2310" t="n">
        <v>14</v>
      </c>
      <c r="H2310" s="5">
        <f>HYPERLINK("https://api.qogita.com/variants/link/5057566028424/", "View Product")</f>
        <v/>
      </c>
    </row>
    <row r="2311">
      <c r="A2311" t="inlineStr">
        <is>
          <t>5057566035521</t>
        </is>
      </c>
      <c r="B2311" t="inlineStr">
        <is>
          <t>Revolution Pro Pore Primer</t>
        </is>
      </c>
      <c r="C2311" t="inlineStr">
        <is>
          <t>Face Cream</t>
        </is>
      </c>
      <c r="D2311" t="inlineStr">
        <is>
          <t>Revolution Pro</t>
        </is>
      </c>
      <c r="E2311" t="n">
        <v>7.94</v>
      </c>
      <c r="F2311" t="n">
        <v>1</v>
      </c>
      <c r="G2311" t="n">
        <v>10</v>
      </c>
      <c r="H2311" s="5">
        <f>HYPERLINK("https://api.qogita.com/variants/link/5057566035521/", "View Product")</f>
        <v/>
      </c>
    </row>
    <row r="2312">
      <c r="A2312" t="inlineStr">
        <is>
          <t>5057566035576</t>
        </is>
      </c>
      <c r="B2312" t="inlineStr">
        <is>
          <t>REVOLUTION Pro Face Primer - Pore Minimizing and Mattifying for Smooth and Flawless Makeup Application - NEW!</t>
        </is>
      </c>
      <c r="C2312" t="inlineStr">
        <is>
          <t>Primer</t>
        </is>
      </c>
      <c r="D2312" t="inlineStr">
        <is>
          <t>Makeup Revolution</t>
        </is>
      </c>
      <c r="E2312" t="n">
        <v>8.06</v>
      </c>
      <c r="F2312" t="n">
        <v>1</v>
      </c>
      <c r="G2312" t="n">
        <v>4</v>
      </c>
      <c r="H2312" s="5">
        <f>HYPERLINK("https://api.qogita.com/variants/link/5057566035576/", "View Product")</f>
        <v/>
      </c>
    </row>
    <row r="2313">
      <c r="A2313" t="inlineStr">
        <is>
          <t>5057566043380</t>
        </is>
      </c>
      <c r="B2313" t="inlineStr">
        <is>
          <t>Makeup Revolution Reloaded Palette Passion For Color Eyeshadow Palette 165 Grams</t>
        </is>
      </c>
      <c r="C2313" t="inlineStr">
        <is>
          <t>Eye Sets &amp; Pallets</t>
        </is>
      </c>
      <c r="D2313" t="inlineStr">
        <is>
          <t>Makeup Revolution</t>
        </is>
      </c>
      <c r="E2313" t="n">
        <v>6.56</v>
      </c>
      <c r="F2313" t="n">
        <v>1</v>
      </c>
      <c r="G2313" t="n">
        <v>4</v>
      </c>
      <c r="H2313" s="5">
        <f>HYPERLINK("https://api.qogita.com/variants/link/5057566043380/", "View Product")</f>
        <v/>
      </c>
    </row>
    <row r="2314">
      <c r="A2314" t="inlineStr">
        <is>
          <t>5057566063838</t>
        </is>
      </c>
      <c r="B2314" t="inlineStr">
        <is>
          <t>Makeup Revolution Matte Base Powder Mattifying Powder 12 G</t>
        </is>
      </c>
      <c r="C2314" t="inlineStr">
        <is>
          <t>Powder</t>
        </is>
      </c>
      <c r="D2314" t="inlineStr">
        <is>
          <t>Makeup Revolution</t>
        </is>
      </c>
      <c r="E2314" t="n">
        <v>5.76</v>
      </c>
      <c r="F2314" t="n">
        <v>1</v>
      </c>
      <c r="G2314" t="n">
        <v>5</v>
      </c>
      <c r="H2314" s="5">
        <f>HYPERLINK("https://api.qogita.com/variants/link/5057566063838/", "View Product")</f>
        <v/>
      </c>
    </row>
    <row r="2315">
      <c r="A2315" t="inlineStr">
        <is>
          <t>5057566071932</t>
        </is>
      </c>
      <c r="B2315" t="inlineStr">
        <is>
          <t>Makeup Revolution Loose Baking Powder Translucent 32g</t>
        </is>
      </c>
      <c r="C2315" t="inlineStr">
        <is>
          <t>Powder</t>
        </is>
      </c>
      <c r="D2315" t="inlineStr">
        <is>
          <t>Makeup Revolution</t>
        </is>
      </c>
      <c r="E2315" t="n">
        <v>7.04</v>
      </c>
      <c r="F2315" t="n">
        <v>1</v>
      </c>
      <c r="G2315" t="n">
        <v>12</v>
      </c>
      <c r="H2315" s="5">
        <f>HYPERLINK("https://api.qogita.com/variants/link/5057566071932/", "View Product")</f>
        <v/>
      </c>
    </row>
    <row r="2316">
      <c r="A2316" t="inlineStr">
        <is>
          <t>5057566072083</t>
        </is>
      </c>
      <c r="B2316" t="inlineStr">
        <is>
          <t>Makeup Revolution Loose Baking Powder Lace Lace Mineral Powder 32 G</t>
        </is>
      </c>
      <c r="C2316" t="inlineStr">
        <is>
          <t>Powder</t>
        </is>
      </c>
      <c r="D2316" t="inlineStr">
        <is>
          <t>Makeup Revolution</t>
        </is>
      </c>
      <c r="E2316" t="n">
        <v>7.04</v>
      </c>
      <c r="F2316" t="n">
        <v>1</v>
      </c>
      <c r="G2316" t="n">
        <v>17</v>
      </c>
      <c r="H2316" s="5">
        <f>HYPERLINK("https://api.qogita.com/variants/link/5057566072083/", "View Product")</f>
        <v/>
      </c>
    </row>
    <row r="2317">
      <c r="A2317" t="inlineStr">
        <is>
          <t>5057566082365</t>
        </is>
      </c>
      <c r="B2317" t="inlineStr">
        <is>
          <t>Makeup Revolution Precise Brow Pencil Dual Ended Eyebrow Pencil and Spoolie Brush Fine Tip Medium Brown 9g</t>
        </is>
      </c>
      <c r="C2317" t="inlineStr">
        <is>
          <t>Eyebrow Pencil</t>
        </is>
      </c>
      <c r="D2317" t="inlineStr">
        <is>
          <t>Makeup Revolution</t>
        </is>
      </c>
      <c r="E2317" t="n">
        <v>5.35</v>
      </c>
      <c r="F2317" t="n">
        <v>1</v>
      </c>
      <c r="G2317" t="n">
        <v>5</v>
      </c>
      <c r="H2317" s="5">
        <f>HYPERLINK("https://api.qogita.com/variants/link/5057566082365/", "View Product")</f>
        <v/>
      </c>
    </row>
    <row r="2318">
      <c r="A2318" t="inlineStr">
        <is>
          <t>5057566092838</t>
        </is>
      </c>
      <c r="B2318" t="inlineStr">
        <is>
          <t>Revolution Reloaded Lustre Lights Warm Highlighter Palette</t>
        </is>
      </c>
      <c r="C2318" t="inlineStr">
        <is>
          <t>Highlighter</t>
        </is>
      </c>
      <c r="D2318" t="inlineStr">
        <is>
          <t>Makeup Revolution</t>
        </is>
      </c>
      <c r="E2318" t="n">
        <v>6.56</v>
      </c>
      <c r="F2318" t="n">
        <v>1</v>
      </c>
      <c r="G2318" t="n">
        <v>3</v>
      </c>
      <c r="H2318" s="5">
        <f>HYPERLINK("https://api.qogita.com/variants/link/5057566092838/", "View Product")</f>
        <v/>
      </c>
    </row>
    <row r="2319">
      <c r="A2319" t="inlineStr">
        <is>
          <t>5057566123686</t>
        </is>
      </c>
      <c r="B2319" t="inlineStr">
        <is>
          <t>Revolution Pro New Neutral Eyeshadow Palette - 18 Shades</t>
        </is>
      </c>
      <c r="C2319" t="inlineStr">
        <is>
          <t>Eye Sets &amp; Pallets</t>
        </is>
      </c>
      <c r="D2319" t="inlineStr">
        <is>
          <t>Revolution Pro</t>
        </is>
      </c>
      <c r="E2319" t="n">
        <v>15.34</v>
      </c>
      <c r="F2319" t="n">
        <v>1</v>
      </c>
      <c r="G2319" t="n">
        <v>8</v>
      </c>
      <c r="H2319" s="5">
        <f>HYPERLINK("https://api.qogita.com/variants/link/5057566123686/", "View Product")</f>
        <v/>
      </c>
    </row>
    <row r="2320">
      <c r="A2320" t="inlineStr">
        <is>
          <t>5057566131001</t>
        </is>
      </c>
      <c r="B2320" t="inlineStr">
        <is>
          <t>Makeup Revolution Reloaded Powder Blush Longlasting Powder Blush 75 G Peach Bliss</t>
        </is>
      </c>
      <c r="C2320" t="inlineStr">
        <is>
          <t>Blush</t>
        </is>
      </c>
      <c r="D2320" t="inlineStr">
        <is>
          <t>Makeup Revolution</t>
        </is>
      </c>
      <c r="E2320" t="n">
        <v>5.35</v>
      </c>
      <c r="F2320" t="n">
        <v>1</v>
      </c>
      <c r="G2320" t="n">
        <v>10</v>
      </c>
      <c r="H2320" s="5">
        <f>HYPERLINK("https://api.qogita.com/variants/link/5057566131001/", "View Product")</f>
        <v/>
      </c>
    </row>
    <row r="2321">
      <c r="A2321" t="inlineStr">
        <is>
          <t>5057566132282</t>
        </is>
      </c>
      <c r="B2321" t="inlineStr">
        <is>
          <t>Makeup Revolution Conceal &amp; Hydrate Concealer C1 13g</t>
        </is>
      </c>
      <c r="C2321" t="inlineStr">
        <is>
          <t>Concealer</t>
        </is>
      </c>
      <c r="D2321" t="inlineStr">
        <is>
          <t>Makeup Revolution</t>
        </is>
      </c>
      <c r="E2321" t="n">
        <v>4.28</v>
      </c>
      <c r="F2321" t="n">
        <v>1</v>
      </c>
      <c r="G2321" t="n">
        <v>7</v>
      </c>
      <c r="H2321" s="5">
        <f>HYPERLINK("https://api.qogita.com/variants/link/5057566132282/", "View Product")</f>
        <v/>
      </c>
    </row>
    <row r="2322">
      <c r="A2322" t="inlineStr">
        <is>
          <t>5057566137454</t>
        </is>
      </c>
      <c r="B2322" t="inlineStr">
        <is>
          <t>Revolution Skincare London 12.5% Vitamin C Serum Illuminates and Brightens Skin Tone Fragrance Free 30ml</t>
        </is>
      </c>
      <c r="C2322" t="inlineStr">
        <is>
          <t>Vitamin Serum</t>
        </is>
      </c>
      <c r="D2322" t="inlineStr">
        <is>
          <t>Revolution Skincare</t>
        </is>
      </c>
      <c r="E2322" t="n">
        <v>11.38</v>
      </c>
      <c r="F2322" t="n">
        <v>1</v>
      </c>
      <c r="G2322" t="n">
        <v>12</v>
      </c>
      <c r="H2322" s="5">
        <f>HYPERLINK("https://api.qogita.com/variants/link/5057566137454/", "View Product")</f>
        <v/>
      </c>
    </row>
    <row r="2323">
      <c r="A2323" t="inlineStr">
        <is>
          <t>5057566146500</t>
        </is>
      </c>
      <c r="B2323" t="inlineStr">
        <is>
          <t>Revolution Cica Serum Calming Soothing Serum with Hyaluronic Acid for Redness</t>
        </is>
      </c>
      <c r="C2323" t="inlineStr">
        <is>
          <t>Hyaluronic Acid Serum</t>
        </is>
      </c>
      <c r="D2323" t="inlineStr">
        <is>
          <t>Makeup Revolution</t>
        </is>
      </c>
      <c r="E2323" t="n">
        <v>11.38</v>
      </c>
      <c r="F2323" t="n">
        <v>1</v>
      </c>
      <c r="G2323" t="n">
        <v>3</v>
      </c>
      <c r="H2323" s="5">
        <f>HYPERLINK("https://api.qogita.com/variants/link/5057566146500/", "View Product")</f>
        <v/>
      </c>
    </row>
    <row r="2324">
      <c r="A2324" t="inlineStr">
        <is>
          <t>5057566157650</t>
        </is>
      </c>
      <c r="B2324" t="inlineStr">
        <is>
          <t>Revolution Make Up Pout Bomb Plumping Gloss Kiss 46 Ml</t>
        </is>
      </c>
      <c r="C2324" t="inlineStr">
        <is>
          <t>Lip Gloss</t>
        </is>
      </c>
      <c r="D2324" t="inlineStr">
        <is>
          <t>Revolution</t>
        </is>
      </c>
      <c r="E2324" t="n">
        <v>7.04</v>
      </c>
      <c r="F2324" t="n">
        <v>1</v>
      </c>
      <c r="G2324" t="n">
        <v>5</v>
      </c>
      <c r="H2324" s="5">
        <f>HYPERLINK("https://api.qogita.com/variants/link/5057566157650/", "View Product")</f>
        <v/>
      </c>
    </row>
    <row r="2325">
      <c r="A2325" t="inlineStr">
        <is>
          <t>5057566163781</t>
        </is>
      </c>
      <c r="B2325" t="inlineStr">
        <is>
          <t>Makeup Revolution Purifying Priming Water Base Under Makeup</t>
        </is>
      </c>
      <c r="C2325" t="inlineStr">
        <is>
          <t>Primer</t>
        </is>
      </c>
      <c r="D2325" t="inlineStr">
        <is>
          <t>Makeup Revolution</t>
        </is>
      </c>
      <c r="E2325" t="n">
        <v>8.06</v>
      </c>
      <c r="F2325" t="n">
        <v>1</v>
      </c>
      <c r="G2325" t="n">
        <v>2</v>
      </c>
      <c r="H2325" s="5">
        <f>HYPERLINK("https://api.qogita.com/variants/link/5057566163781/", "View Product")</f>
        <v/>
      </c>
    </row>
    <row r="2326">
      <c r="A2326" t="inlineStr">
        <is>
          <t>5057566170079</t>
        </is>
      </c>
      <c r="B2326" t="inlineStr">
        <is>
          <t>Makeup Revolution Lip Vinyl Lip Gloss Icon 1pc</t>
        </is>
      </c>
      <c r="C2326" t="inlineStr">
        <is>
          <t>Lip Gloss</t>
        </is>
      </c>
      <c r="D2326" t="inlineStr">
        <is>
          <t>Makeup Revolution</t>
        </is>
      </c>
      <c r="E2326" t="n">
        <v>6.56</v>
      </c>
      <c r="F2326" t="n">
        <v>1</v>
      </c>
      <c r="G2326" t="n">
        <v>3</v>
      </c>
      <c r="H2326" s="5">
        <f>HYPERLINK("https://api.qogita.com/variants/link/5057566170079/", "View Product")</f>
        <v/>
      </c>
    </row>
    <row r="2327">
      <c r="A2327" t="inlineStr">
        <is>
          <t>5057566174602</t>
        </is>
      </c>
      <c r="B2327" t="inlineStr">
        <is>
          <t>Makeup Revolution London Big Lash Volume Black 8g</t>
        </is>
      </c>
      <c r="C2327" t="inlineStr">
        <is>
          <t>Mascara</t>
        </is>
      </c>
      <c r="D2327" t="inlineStr">
        <is>
          <t>Revolution Beauty</t>
        </is>
      </c>
      <c r="E2327" t="n">
        <v>6.56</v>
      </c>
      <c r="F2327" t="n">
        <v>1</v>
      </c>
      <c r="G2327" t="n">
        <v>5</v>
      </c>
      <c r="H2327" s="5">
        <f>HYPERLINK("https://api.qogita.com/variants/link/5057566174602/", "View Product")</f>
        <v/>
      </c>
    </row>
    <row r="2328">
      <c r="A2328" t="inlineStr">
        <is>
          <t>5057566176477</t>
        </is>
      </c>
      <c r="B2328" t="inlineStr">
        <is>
          <t>Makeup Revolution Super Flick Eyeliner 45 Ml Black</t>
        </is>
      </c>
      <c r="C2328" t="inlineStr">
        <is>
          <t>Eyeliner</t>
        </is>
      </c>
      <c r="D2328" t="inlineStr">
        <is>
          <t>Makeup Revolution</t>
        </is>
      </c>
      <c r="E2328" t="n">
        <v>6.56</v>
      </c>
      <c r="F2328" t="n">
        <v>1</v>
      </c>
      <c r="G2328" t="n">
        <v>3</v>
      </c>
      <c r="H2328" s="5">
        <f>HYPERLINK("https://api.qogita.com/variants/link/5057566176477/", "View Product")</f>
        <v/>
      </c>
    </row>
    <row r="2329">
      <c r="A2329" t="inlineStr">
        <is>
          <t>5057566176484</t>
        </is>
      </c>
      <c r="B2329" t="inlineStr">
        <is>
          <t>Makeup Revolution Flick And Go Eyeliner 12 Ml</t>
        </is>
      </c>
      <c r="C2329" t="inlineStr">
        <is>
          <t>Eyeliner</t>
        </is>
      </c>
      <c r="D2329" t="inlineStr">
        <is>
          <t>Makeup Revolution</t>
        </is>
      </c>
      <c r="E2329" t="n">
        <v>6.56</v>
      </c>
      <c r="F2329" t="n">
        <v>1</v>
      </c>
      <c r="G2329" t="n">
        <v>5</v>
      </c>
      <c r="H2329" s="5">
        <f>HYPERLINK("https://api.qogita.com/variants/link/5057566176484/", "View Product")</f>
        <v/>
      </c>
    </row>
    <row r="2330">
      <c r="A2330" t="inlineStr">
        <is>
          <t>5057566198486</t>
        </is>
      </c>
      <c r="B2330" t="inlineStr">
        <is>
          <t>Makeup Revolution - Cc Cream Perfecting Foundation Spf 30 For Dry To Combined Skin 26ml</t>
        </is>
      </c>
      <c r="C2330" t="inlineStr">
        <is>
          <t>Bb Cream &amp; Cc Cream</t>
        </is>
      </c>
      <c r="D2330" t="inlineStr">
        <is>
          <t>Revolution Pro</t>
        </is>
      </c>
      <c r="E2330" t="n">
        <v>11.29</v>
      </c>
      <c r="F2330" t="n">
        <v>1</v>
      </c>
      <c r="G2330" t="n">
        <v>3</v>
      </c>
      <c r="H2330" s="5">
        <f>HYPERLINK("https://api.qogita.com/variants/link/5057566198486/", "View Product")</f>
        <v/>
      </c>
    </row>
    <row r="2331">
      <c r="A2331" t="inlineStr">
        <is>
          <t>5057566223362</t>
        </is>
      </c>
      <c r="B2331" t="inlineStr">
        <is>
          <t>Makeup Revolution Reloaded Peach Lights Highlighter Brightener 10 Grams</t>
        </is>
      </c>
      <c r="C2331" t="inlineStr">
        <is>
          <t>Highlighter</t>
        </is>
      </c>
      <c r="D2331" t="inlineStr">
        <is>
          <t>Makeup Revolution</t>
        </is>
      </c>
      <c r="E2331" t="n">
        <v>5.35</v>
      </c>
      <c r="F2331" t="n">
        <v>1</v>
      </c>
      <c r="G2331" t="n">
        <v>5</v>
      </c>
      <c r="H2331" s="5">
        <f>HYPERLINK("https://api.qogita.com/variants/link/5057566223362/", "View Product")</f>
        <v/>
      </c>
    </row>
    <row r="2332">
      <c r="A2332" t="inlineStr">
        <is>
          <t>5057566223478</t>
        </is>
      </c>
      <c r="B2332" t="inlineStr">
        <is>
          <t>Makeup Revolution Soap Styler Eyebrow Wax 5g</t>
        </is>
      </c>
      <c r="C2332" t="inlineStr">
        <is>
          <t>Other</t>
        </is>
      </c>
      <c r="D2332" t="inlineStr">
        <is>
          <t>Makeup Revolution</t>
        </is>
      </c>
      <c r="E2332" t="n">
        <v>7.15</v>
      </c>
      <c r="F2332" t="n">
        <v>1</v>
      </c>
      <c r="G2332" t="n">
        <v>2</v>
      </c>
      <c r="H2332" s="5">
        <f>HYPERLINK("https://api.qogita.com/variants/link/5057566223478/", "View Product")</f>
        <v/>
      </c>
    </row>
    <row r="2333">
      <c r="A2333" t="inlineStr">
        <is>
          <t>5057566289528</t>
        </is>
      </c>
      <c r="B2333" t="inlineStr">
        <is>
          <t>Revolution Pro Protect Soft Focus Primer Spf 50 27 Ml</t>
        </is>
      </c>
      <c r="C2333" t="inlineStr">
        <is>
          <t>Face Sun Protection</t>
        </is>
      </c>
      <c r="D2333" t="inlineStr">
        <is>
          <t>Revolution Pro</t>
        </is>
      </c>
      <c r="E2333" t="n">
        <v>11.48</v>
      </c>
      <c r="F2333" t="n">
        <v>1</v>
      </c>
      <c r="G2333" t="n">
        <v>5</v>
      </c>
      <c r="H2333" s="5">
        <f>HYPERLINK("https://api.qogita.com/variants/link/5057566289528/", "View Product")</f>
        <v/>
      </c>
    </row>
    <row r="2334">
      <c r="A2334" t="inlineStr">
        <is>
          <t>5057566295420</t>
        </is>
      </c>
      <c r="B2334" t="inlineStr">
        <is>
          <t>Revolution Skincare Super Salicylic Skin Serum 30 Ml For Problematic Skin With Acne</t>
        </is>
      </c>
      <c r="C2334" t="inlineStr">
        <is>
          <t>Hydrating Serum</t>
        </is>
      </c>
      <c r="D2334" t="inlineStr">
        <is>
          <t>Revolution Skincare</t>
        </is>
      </c>
      <c r="E2334" t="n">
        <v>4.73</v>
      </c>
      <c r="F2334" t="n">
        <v>1</v>
      </c>
      <c r="G2334" t="n">
        <v>20</v>
      </c>
      <c r="H2334" s="5">
        <f>HYPERLINK("https://api.qogita.com/variants/link/5057566295420/", "View Product")</f>
        <v/>
      </c>
    </row>
    <row r="2335">
      <c r="A2335" t="inlineStr">
        <is>
          <t>5057566312103</t>
        </is>
      </c>
      <c r="B2335" t="inlineStr">
        <is>
          <t>Makeup Revolution X Friends Monica Shadow Palette 9 Grams</t>
        </is>
      </c>
      <c r="C2335" t="inlineStr">
        <is>
          <t>Eye Sets &amp; Pallets</t>
        </is>
      </c>
      <c r="D2335" t="inlineStr">
        <is>
          <t>Makeup Revolution</t>
        </is>
      </c>
      <c r="E2335" t="n">
        <v>4.54</v>
      </c>
      <c r="F2335" t="n">
        <v>1</v>
      </c>
      <c r="G2335" t="n">
        <v>3</v>
      </c>
      <c r="H2335" s="5">
        <f>HYPERLINK("https://api.qogita.com/variants/link/5057566312103/", "View Product")</f>
        <v/>
      </c>
    </row>
    <row r="2336">
      <c r="A2336" t="inlineStr">
        <is>
          <t>5057566317962</t>
        </is>
      </c>
      <c r="B2336" t="inlineStr">
        <is>
          <t>Revolution Skincare Prevent Willow Bark Extract Gentle Blemish Serum 30 Ml</t>
        </is>
      </c>
      <c r="C2336" t="inlineStr">
        <is>
          <t>Glow Serum</t>
        </is>
      </c>
      <c r="D2336" t="inlineStr">
        <is>
          <t>Revolution Skincare</t>
        </is>
      </c>
      <c r="E2336" t="n">
        <v>9.83</v>
      </c>
      <c r="F2336" t="n">
        <v>1</v>
      </c>
      <c r="G2336" t="n">
        <v>5</v>
      </c>
      <c r="H2336" s="5">
        <f>HYPERLINK("https://api.qogita.com/variants/link/5057566317962/", "View Product")</f>
        <v/>
      </c>
    </row>
    <row r="2337">
      <c r="A2337" t="inlineStr">
        <is>
          <t>5057566336956</t>
        </is>
      </c>
      <c r="B2337" t="inlineStr">
        <is>
          <t>Makeup Revolution Superdewy Skin Tint Toning Moisturizer 55 Ml Light</t>
        </is>
      </c>
      <c r="C2337" t="inlineStr">
        <is>
          <t>Foundation</t>
        </is>
      </c>
      <c r="D2337" t="inlineStr">
        <is>
          <t>Makeup Revolution</t>
        </is>
      </c>
      <c r="E2337" t="n">
        <v>9.56</v>
      </c>
      <c r="F2337" t="n">
        <v>1</v>
      </c>
      <c r="G2337" t="n">
        <v>2</v>
      </c>
      <c r="H2337" s="5">
        <f>HYPERLINK("https://api.qogita.com/variants/link/5057566336956/", "View Product")</f>
        <v/>
      </c>
    </row>
    <row r="2338">
      <c r="A2338" t="inlineStr">
        <is>
          <t>5057566336963</t>
        </is>
      </c>
      <c r="B2338" t="inlineStr">
        <is>
          <t>Makeup Revolution Superdewy Tinted Moisturiser Fair 55ml</t>
        </is>
      </c>
      <c r="C2338" t="inlineStr">
        <is>
          <t>Bb Cream &amp; Cc Cream</t>
        </is>
      </c>
      <c r="D2338" t="inlineStr">
        <is>
          <t>Makeup Revolution</t>
        </is>
      </c>
      <c r="E2338" t="n">
        <v>9.199999999999999</v>
      </c>
      <c r="F2338" t="n">
        <v>1</v>
      </c>
      <c r="G2338" t="n">
        <v>2</v>
      </c>
      <c r="H2338" s="5">
        <f>HYPERLINK("https://api.qogita.com/variants/link/5057566336963/", "View Product")</f>
        <v/>
      </c>
    </row>
    <row r="2339">
      <c r="A2339" t="inlineStr">
        <is>
          <t>5057566337069</t>
        </is>
      </c>
      <c r="B2339" t="inlineStr">
        <is>
          <t>Makeup Revolution Conceal &amp; Define Infinite Fixing Spray 100ml</t>
        </is>
      </c>
      <c r="C2339" t="inlineStr">
        <is>
          <t>Setting Spray</t>
        </is>
      </c>
      <c r="D2339" t="inlineStr">
        <is>
          <t>Makeup Revolution</t>
        </is>
      </c>
      <c r="E2339" t="n">
        <v>9.68</v>
      </c>
      <c r="F2339" t="n">
        <v>1</v>
      </c>
      <c r="G2339" t="n">
        <v>11</v>
      </c>
      <c r="H2339" s="5">
        <f>HYPERLINK("https://api.qogita.com/variants/link/5057566337069/", "View Product")</f>
        <v/>
      </c>
    </row>
    <row r="2340">
      <c r="A2340" t="inlineStr">
        <is>
          <t>5057566382168</t>
        </is>
      </c>
      <c r="B2340" t="inlineStr">
        <is>
          <t>Makeup Revolution R2 Fluffy Eye Brush</t>
        </is>
      </c>
      <c r="C2340" t="inlineStr">
        <is>
          <t>Eyeshadow Brushes</t>
        </is>
      </c>
      <c r="D2340" t="inlineStr">
        <is>
          <t>Makeup Revolution</t>
        </is>
      </c>
      <c r="E2340" t="n">
        <v>4.9</v>
      </c>
      <c r="F2340" t="n">
        <v>1</v>
      </c>
      <c r="G2340" t="n">
        <v>4</v>
      </c>
      <c r="H2340" s="5">
        <f>HYPERLINK("https://api.qogita.com/variants/link/5057566382168/", "View Product")</f>
        <v/>
      </c>
    </row>
    <row r="2341">
      <c r="A2341" t="inlineStr">
        <is>
          <t>5057566386357</t>
        </is>
      </c>
      <c r="B2341" t="inlineStr">
        <is>
          <t>Makeup Revolution X Friends Strawberry Lobster Bath Fizzer 140g</t>
        </is>
      </c>
      <c r="C2341" t="inlineStr">
        <is>
          <t>Bath Salts &amp; Bath Bombs</t>
        </is>
      </c>
      <c r="D2341" t="inlineStr">
        <is>
          <t>Makeup Revolution</t>
        </is>
      </c>
      <c r="E2341" t="n">
        <v>3.64</v>
      </c>
      <c r="F2341" t="n">
        <v>1</v>
      </c>
      <c r="G2341" t="n">
        <v>3</v>
      </c>
      <c r="H2341" s="5">
        <f>HYPERLINK("https://api.qogita.com/variants/link/5057566386357/", "View Product")</f>
        <v/>
      </c>
    </row>
    <row r="2342">
      <c r="A2342" t="inlineStr">
        <is>
          <t>5057566408295</t>
        </is>
      </c>
      <c r="B2342" t="inlineStr">
        <is>
          <t>Revolution Make Up Vitamin C Shine And Gloss Conditioner 250ml</t>
        </is>
      </c>
      <c r="C2342" t="inlineStr">
        <is>
          <t>Conditioner</t>
        </is>
      </c>
      <c r="D2342" t="inlineStr">
        <is>
          <t>Revolution</t>
        </is>
      </c>
      <c r="E2342" t="n">
        <v>4.56</v>
      </c>
      <c r="F2342" t="n">
        <v>1</v>
      </c>
      <c r="G2342" t="n">
        <v>14</v>
      </c>
      <c r="H2342" s="5">
        <f>HYPERLINK("https://api.qogita.com/variants/link/5057566408295/", "View Product")</f>
        <v/>
      </c>
    </row>
    <row r="2343">
      <c r="A2343" t="inlineStr">
        <is>
          <t>5057566409858</t>
        </is>
      </c>
      <c r="B2343" t="inlineStr">
        <is>
          <t>Revolution Pro Lash Icons Highflyer Mascara 102 Ml Black</t>
        </is>
      </c>
      <c r="C2343" t="inlineStr">
        <is>
          <t>Mascara</t>
        </is>
      </c>
      <c r="D2343" t="inlineStr">
        <is>
          <t>Revolution Pro</t>
        </is>
      </c>
      <c r="E2343" t="n">
        <v>10.56</v>
      </c>
      <c r="F2343" t="n">
        <v>1</v>
      </c>
      <c r="G2343" t="n">
        <v>2</v>
      </c>
      <c r="H2343" s="5">
        <f>HYPERLINK("https://api.qogita.com/variants/link/5057566409858/", "View Product")</f>
        <v/>
      </c>
    </row>
    <row r="2344">
      <c r="A2344" t="inlineStr">
        <is>
          <t>5057566430586</t>
        </is>
      </c>
      <c r="B2344" t="inlineStr">
        <is>
          <t>Makeup Revolution Forever Flawless Dynamic Eyeshadow Palete Chilled 8 Shades 8g</t>
        </is>
      </c>
      <c r="C2344" t="inlineStr">
        <is>
          <t>Eye Sets &amp; Pallets</t>
        </is>
      </c>
      <c r="D2344" t="inlineStr">
        <is>
          <t>Makeup Revolution</t>
        </is>
      </c>
      <c r="E2344" t="n">
        <v>8.06</v>
      </c>
      <c r="F2344" t="n">
        <v>1</v>
      </c>
      <c r="G2344" t="n">
        <v>3</v>
      </c>
      <c r="H2344" s="5">
        <f>HYPERLINK("https://api.qogita.com/variants/link/5057566430586/", "View Product")</f>
        <v/>
      </c>
    </row>
    <row r="2345">
      <c r="A2345" t="inlineStr">
        <is>
          <t>5057566430906</t>
        </is>
      </c>
      <c r="B2345" t="inlineStr">
        <is>
          <t>Makeup Revolution Fast Base Blush 14 G</t>
        </is>
      </c>
      <c r="C2345" t="inlineStr">
        <is>
          <t>Blush</t>
        </is>
      </c>
      <c r="D2345" t="inlineStr">
        <is>
          <t>Makeup Revolution</t>
        </is>
      </c>
      <c r="E2345" t="n">
        <v>7.3</v>
      </c>
      <c r="F2345" t="n">
        <v>1</v>
      </c>
      <c r="G2345" t="n">
        <v>11</v>
      </c>
      <c r="H2345" s="5">
        <f>HYPERLINK("https://api.qogita.com/variants/link/5057566430906/", "View Product")</f>
        <v/>
      </c>
    </row>
    <row r="2346">
      <c r="A2346" t="inlineStr">
        <is>
          <t>5057566430999</t>
        </is>
      </c>
      <c r="B2346" t="inlineStr">
        <is>
          <t>Revolution Rehab Overnight Lip Serum</t>
        </is>
      </c>
      <c r="C2346" t="inlineStr">
        <is>
          <t>Lip Serum</t>
        </is>
      </c>
      <c r="D2346" t="inlineStr">
        <is>
          <t>Makeup Revolution</t>
        </is>
      </c>
      <c r="E2346" t="n">
        <v>7.3</v>
      </c>
      <c r="F2346" t="n">
        <v>1</v>
      </c>
      <c r="G2346" t="n">
        <v>8</v>
      </c>
      <c r="H2346" s="5">
        <f>HYPERLINK("https://api.qogita.com/variants/link/5057566430999/", "View Product")</f>
        <v/>
      </c>
    </row>
    <row r="2347">
      <c r="A2347" t="inlineStr">
        <is>
          <t>5057566434744</t>
        </is>
      </c>
      <c r="B2347" t="inlineStr">
        <is>
          <t>Makeup Revolution Shimmer Bomb Lip Gloss 45 Ml Sparkle</t>
        </is>
      </c>
      <c r="C2347" t="inlineStr">
        <is>
          <t>Lip Gloss</t>
        </is>
      </c>
      <c r="D2347" t="inlineStr">
        <is>
          <t>Makeup Revolution</t>
        </is>
      </c>
      <c r="E2347" t="n">
        <v>7.04</v>
      </c>
      <c r="F2347" t="n">
        <v>1</v>
      </c>
      <c r="G2347" t="n">
        <v>5</v>
      </c>
      <c r="H2347" s="5">
        <f>HYPERLINK("https://api.qogita.com/variants/link/5057566434744/", "View Product")</f>
        <v/>
      </c>
    </row>
    <row r="2348">
      <c r="A2348" t="inlineStr">
        <is>
          <t>5057566434768</t>
        </is>
      </c>
      <c r="B2348" t="inlineStr">
        <is>
          <t>Makeup Revolution Shimmer Bomb Lip Gloss 45 Ml Glimmer</t>
        </is>
      </c>
      <c r="C2348" t="inlineStr">
        <is>
          <t>Lip Gloss</t>
        </is>
      </c>
      <c r="D2348" t="inlineStr">
        <is>
          <t>Makeup Revolution</t>
        </is>
      </c>
      <c r="E2348" t="n">
        <v>7.04</v>
      </c>
      <c r="F2348" t="n">
        <v>1</v>
      </c>
      <c r="G2348" t="n">
        <v>4</v>
      </c>
      <c r="H2348" s="5">
        <f>HYPERLINK("https://api.qogita.com/variants/link/5057566434768/", "View Product")</f>
        <v/>
      </c>
    </row>
    <row r="2349">
      <c r="A2349" t="inlineStr">
        <is>
          <t>5057566434782</t>
        </is>
      </c>
      <c r="B2349" t="inlineStr">
        <is>
          <t>Revolution Shimmer Bomb Lip Gloss 4ml</t>
        </is>
      </c>
      <c r="C2349" t="inlineStr">
        <is>
          <t>Lip Gloss</t>
        </is>
      </c>
      <c r="D2349" t="inlineStr">
        <is>
          <t>Makeup Revolution</t>
        </is>
      </c>
      <c r="E2349" t="n">
        <v>7.02</v>
      </c>
      <c r="F2349" t="n">
        <v>1</v>
      </c>
      <c r="G2349" t="n">
        <v>3</v>
      </c>
      <c r="H2349" s="5">
        <f>HYPERLINK("https://api.qogita.com/variants/link/5057566434782/", "View Product")</f>
        <v/>
      </c>
    </row>
    <row r="2350">
      <c r="A2350" t="inlineStr">
        <is>
          <t>5057566436281</t>
        </is>
      </c>
      <c r="B2350" t="inlineStr">
        <is>
          <t>Revolution Haircare Vitamin C Scalp Serum 50ml Shine Scalp Serum</t>
        </is>
      </c>
      <c r="C2350" t="inlineStr">
        <is>
          <t>Scalp Care</t>
        </is>
      </c>
      <c r="D2350" t="inlineStr">
        <is>
          <t>Revolution Haircare</t>
        </is>
      </c>
      <c r="E2350" t="n">
        <v>6.22</v>
      </c>
      <c r="F2350" t="n">
        <v>1</v>
      </c>
      <c r="G2350" t="n">
        <v>3</v>
      </c>
      <c r="H2350" s="5">
        <f>HYPERLINK("https://api.qogita.com/variants/link/5057566436281/", "View Product")</f>
        <v/>
      </c>
    </row>
    <row r="2351">
      <c r="A2351" t="inlineStr">
        <is>
          <t>5057566439381</t>
        </is>
      </c>
      <c r="B2351" t="inlineStr">
        <is>
          <t>Makeup Revolution Super Matte Pressed Powder Mattifying Powder 6 G Beige</t>
        </is>
      </c>
      <c r="C2351" t="inlineStr">
        <is>
          <t>Powder</t>
        </is>
      </c>
      <c r="D2351" t="inlineStr">
        <is>
          <t>Makeup Revolution</t>
        </is>
      </c>
      <c r="E2351" t="n">
        <v>4.56</v>
      </c>
      <c r="F2351" t="n">
        <v>1</v>
      </c>
      <c r="G2351" t="n">
        <v>4</v>
      </c>
      <c r="H2351" s="5">
        <f>HYPERLINK("https://api.qogita.com/variants/link/5057566439381/", "View Product")</f>
        <v/>
      </c>
    </row>
    <row r="2352">
      <c r="A2352" t="inlineStr">
        <is>
          <t>5057566447577</t>
        </is>
      </c>
      <c r="B2352" t="inlineStr">
        <is>
          <t>Revolution Pro Rockstar Soft Brown Doublesided Eyebrow Pencil 025 G</t>
        </is>
      </c>
      <c r="C2352" t="inlineStr">
        <is>
          <t>Eyebrow Pencil</t>
        </is>
      </c>
      <c r="D2352" t="inlineStr">
        <is>
          <t>Revolution Pro</t>
        </is>
      </c>
      <c r="E2352" t="n">
        <v>6.7</v>
      </c>
      <c r="F2352" t="n">
        <v>1</v>
      </c>
      <c r="G2352" t="n">
        <v>5</v>
      </c>
      <c r="H2352" s="5">
        <f>HYPERLINK("https://api.qogita.com/variants/link/5057566447577/", "View Product")</f>
        <v/>
      </c>
    </row>
    <row r="2353">
      <c r="A2353" t="inlineStr">
        <is>
          <t>5057566455923</t>
        </is>
      </c>
      <c r="B2353" t="inlineStr">
        <is>
          <t>Makeup Revolution Create Super Dewy Stippling Brush Cosmetic Brush</t>
        </is>
      </c>
      <c r="C2353" t="inlineStr">
        <is>
          <t>Foundation Brushes</t>
        </is>
      </c>
      <c r="D2353" t="inlineStr">
        <is>
          <t>Makeup Revolution</t>
        </is>
      </c>
      <c r="E2353" t="n">
        <v>7.3</v>
      </c>
      <c r="F2353" t="n">
        <v>1</v>
      </c>
      <c r="G2353" t="n">
        <v>5</v>
      </c>
      <c r="H2353" s="5">
        <f>HYPERLINK("https://api.qogita.com/variants/link/5057566455923/", "View Product")</f>
        <v/>
      </c>
    </row>
    <row r="2354">
      <c r="A2354" t="inlineStr">
        <is>
          <t>5057566458290</t>
        </is>
      </c>
      <c r="B2354" t="inlineStr">
        <is>
          <t>Revolution Haircare Caffeine Energizing Conditioner For Fine And Brittle Hair 250 Ml</t>
        </is>
      </c>
      <c r="C2354" t="inlineStr">
        <is>
          <t>Conditioner</t>
        </is>
      </c>
      <c r="D2354" t="inlineStr">
        <is>
          <t>Revolution Haircare</t>
        </is>
      </c>
      <c r="E2354" t="n">
        <v>10.56</v>
      </c>
      <c r="F2354" t="n">
        <v>1</v>
      </c>
      <c r="G2354" t="n">
        <v>5</v>
      </c>
      <c r="H2354" s="5">
        <f>HYPERLINK("https://api.qogita.com/variants/link/5057566458290/", "View Product")</f>
        <v/>
      </c>
    </row>
    <row r="2355">
      <c r="A2355" t="inlineStr">
        <is>
          <t>5057566479165</t>
        </is>
      </c>
      <c r="B2355" t="inlineStr">
        <is>
          <t>Revolution Relove H2O Hydrate Primer</t>
        </is>
      </c>
      <c r="C2355" t="inlineStr">
        <is>
          <t>Facial Spray</t>
        </is>
      </c>
      <c r="D2355" t="inlineStr">
        <is>
          <t>Revolution Relove</t>
        </is>
      </c>
      <c r="E2355" t="n">
        <v>5.86</v>
      </c>
      <c r="F2355" t="n">
        <v>1</v>
      </c>
      <c r="G2355" t="n">
        <v>4</v>
      </c>
      <c r="H2355" s="5">
        <f>HYPERLINK("https://api.qogita.com/variants/link/5057566479165/", "View Product")</f>
        <v/>
      </c>
    </row>
    <row r="2356">
      <c r="A2356" t="inlineStr">
        <is>
          <t>5057566479219</t>
        </is>
      </c>
      <c r="B2356" t="inlineStr">
        <is>
          <t>Makeup Revolution Power Fix Mist Transparent</t>
        </is>
      </c>
      <c r="C2356" t="inlineStr">
        <is>
          <t>Setting Spray</t>
        </is>
      </c>
      <c r="D2356" t="inlineStr">
        <is>
          <t>Makeup Revolution</t>
        </is>
      </c>
      <c r="E2356" t="n">
        <v>5.86</v>
      </c>
      <c r="F2356" t="n">
        <v>1</v>
      </c>
      <c r="G2356" t="n">
        <v>4</v>
      </c>
      <c r="H2356" s="5">
        <f>HYPERLINK("https://api.qogita.com/variants/link/5057566479219/", "View Product")</f>
        <v/>
      </c>
    </row>
    <row r="2357">
      <c r="A2357" t="inlineStr">
        <is>
          <t>5057566492027</t>
        </is>
      </c>
      <c r="B2357" t="inlineStr">
        <is>
          <t>Revolution Haircare Deeply Shine My Curls 50 Ml</t>
        </is>
      </c>
      <c r="C2357" t="inlineStr">
        <is>
          <t>Hair Oil &amp; Hair Serum</t>
        </is>
      </c>
      <c r="D2357" t="inlineStr">
        <is>
          <t>Makeup Revolution</t>
        </is>
      </c>
      <c r="E2357" t="n">
        <v>8.59</v>
      </c>
      <c r="F2357" t="n">
        <v>1</v>
      </c>
      <c r="G2357" t="n">
        <v>4</v>
      </c>
      <c r="H2357" s="5">
        <f>HYPERLINK("https://api.qogita.com/variants/link/5057566492027/", "View Product")</f>
        <v/>
      </c>
    </row>
    <row r="2358">
      <c r="A2358" t="inlineStr">
        <is>
          <t>5057566492195</t>
        </is>
      </c>
      <c r="B2358" t="inlineStr">
        <is>
          <t>Revolution Haircare Satin Pink Curl Protector Cosmetic Headband</t>
        </is>
      </c>
      <c r="C2358" t="inlineStr">
        <is>
          <t>Headbands</t>
        </is>
      </c>
      <c r="D2358" t="inlineStr">
        <is>
          <t>Revolution Haircare</t>
        </is>
      </c>
      <c r="E2358" t="n">
        <v>3.75</v>
      </c>
      <c r="F2358" t="n">
        <v>1</v>
      </c>
      <c r="G2358" t="n">
        <v>7</v>
      </c>
      <c r="H2358" s="5">
        <f>HYPERLINK("https://api.qogita.com/variants/link/5057566492195/", "View Product")</f>
        <v/>
      </c>
    </row>
    <row r="2359">
      <c r="A2359" t="inlineStr">
        <is>
          <t>5057566496087</t>
        </is>
      </c>
      <c r="B2359" t="inlineStr">
        <is>
          <t>Revolution Pro Eternal Rose Moisturizing Face Serum 20 Ml</t>
        </is>
      </c>
      <c r="C2359" t="inlineStr">
        <is>
          <t>Hydrating Serum</t>
        </is>
      </c>
      <c r="D2359" t="inlineStr">
        <is>
          <t>Revolution Pro</t>
        </is>
      </c>
      <c r="E2359" t="n">
        <v>13.24</v>
      </c>
      <c r="F2359" t="n">
        <v>1</v>
      </c>
      <c r="G2359" t="n">
        <v>5</v>
      </c>
      <c r="H2359" s="5">
        <f>HYPERLINK("https://api.qogita.com/variants/link/5057566496087/", "View Product")</f>
        <v/>
      </c>
    </row>
    <row r="2360">
      <c r="A2360" t="inlineStr">
        <is>
          <t>5057566511254</t>
        </is>
      </c>
      <c r="B2360" t="inlineStr">
        <is>
          <t>Revolution Pro Influencer Overnight Soft Glam Shadow Book 2 35.2g</t>
        </is>
      </c>
      <c r="C2360" t="inlineStr">
        <is>
          <t>Eye Sets &amp; Pallets</t>
        </is>
      </c>
      <c r="D2360" t="inlineStr">
        <is>
          <t>Revolution Pro</t>
        </is>
      </c>
      <c r="E2360" t="n">
        <v>17.88</v>
      </c>
      <c r="F2360" t="n">
        <v>1</v>
      </c>
      <c r="G2360" t="n">
        <v>4</v>
      </c>
      <c r="H2360" s="5">
        <f>HYPERLINK("https://api.qogita.com/variants/link/5057566511254/", "View Product")</f>
        <v/>
      </c>
    </row>
    <row r="2361">
      <c r="A2361" t="inlineStr">
        <is>
          <t>5057566511285</t>
        </is>
      </c>
      <c r="B2361" t="inlineStr">
        <is>
          <t>Revolution Pro X Influencer Overnight Full Beat Brush Set &amp; Roll A Complete Brush Set For Flawless Makeup Application</t>
        </is>
      </c>
      <c r="C2361" t="inlineStr">
        <is>
          <t>Brush Sets</t>
        </is>
      </c>
      <c r="D2361" t="inlineStr">
        <is>
          <t>Revolution Pro</t>
        </is>
      </c>
      <c r="E2361" t="n">
        <v>39.51</v>
      </c>
      <c r="F2361" t="n">
        <v>1</v>
      </c>
      <c r="G2361" t="n">
        <v>4</v>
      </c>
      <c r="H2361" s="5">
        <f>HYPERLINK("https://api.qogita.com/variants/link/5057566511285/", "View Product")</f>
        <v/>
      </c>
    </row>
    <row r="2362">
      <c r="A2362" t="inlineStr">
        <is>
          <t>5057566518161</t>
        </is>
      </c>
      <c r="B2362" t="inlineStr">
        <is>
          <t>Revolution Relove Baby Roll Lip Oil Goji Berry 5ml</t>
        </is>
      </c>
      <c r="C2362" t="inlineStr">
        <is>
          <t>Lip Gloss</t>
        </is>
      </c>
      <c r="D2362" t="inlineStr">
        <is>
          <t>Revolution</t>
        </is>
      </c>
      <c r="E2362" t="n">
        <v>5.35</v>
      </c>
      <c r="F2362" t="n">
        <v>1</v>
      </c>
      <c r="G2362" t="n">
        <v>5</v>
      </c>
      <c r="H2362" s="5">
        <f>HYPERLINK("https://api.qogita.com/variants/link/5057566518161/", "View Product")</f>
        <v/>
      </c>
    </row>
    <row r="2363">
      <c r="A2363" t="inlineStr">
        <is>
          <t>5057566518178</t>
        </is>
      </c>
      <c r="B2363" t="inlineStr">
        <is>
          <t>Revolution Relove Baby Roll Lip Oil Matcha 5ml</t>
        </is>
      </c>
      <c r="C2363" t="inlineStr">
        <is>
          <t>Lip Gloss</t>
        </is>
      </c>
      <c r="D2363" t="inlineStr">
        <is>
          <t>Revolution</t>
        </is>
      </c>
      <c r="E2363" t="n">
        <v>5.35</v>
      </c>
      <c r="F2363" t="n">
        <v>1</v>
      </c>
      <c r="G2363" t="n">
        <v>3</v>
      </c>
      <c r="H2363" s="5">
        <f>HYPERLINK("https://api.qogita.com/variants/link/5057566518178/", "View Product")</f>
        <v/>
      </c>
    </row>
    <row r="2364">
      <c r="A2364" t="inlineStr">
        <is>
          <t>5057566537803</t>
        </is>
      </c>
      <c r="B2364" t="inlineStr">
        <is>
          <t>Revolution Beauty London Water Activated Liner - Eye Makeup</t>
        </is>
      </c>
      <c r="C2364" t="inlineStr">
        <is>
          <t>Eyeliner</t>
        </is>
      </c>
      <c r="D2364" t="inlineStr">
        <is>
          <t>Revolution Beauty</t>
        </is>
      </c>
      <c r="E2364" t="n">
        <v>6.65</v>
      </c>
      <c r="F2364" t="n">
        <v>1</v>
      </c>
      <c r="G2364" t="n">
        <v>2</v>
      </c>
      <c r="H2364" s="5">
        <f>HYPERLINK("https://api.qogita.com/variants/link/5057566537803/", "View Product")</f>
        <v/>
      </c>
    </row>
    <row r="2365">
      <c r="A2365" t="inlineStr">
        <is>
          <t>5057566547208</t>
        </is>
      </c>
      <c r="B2365" t="inlineStr">
        <is>
          <t>Revolution Beauty Passion Eau de Toilette for Women 100ml</t>
        </is>
      </c>
      <c r="C2365" t="inlineStr">
        <is>
          <t>Eau De Toilette</t>
        </is>
      </c>
      <c r="D2365" t="inlineStr">
        <is>
          <t>Makeup Revolution</t>
        </is>
      </c>
      <c r="E2365" t="n">
        <v>12.83</v>
      </c>
      <c r="F2365" t="n">
        <v>1</v>
      </c>
      <c r="G2365" t="n">
        <v>5</v>
      </c>
      <c r="H2365" s="5">
        <f>HYPERLINK("https://api.qogita.com/variants/link/5057566547208/", "View Product")</f>
        <v/>
      </c>
    </row>
    <row r="2366">
      <c r="A2366" t="inlineStr">
        <is>
          <t>5057566549349</t>
        </is>
      </c>
      <c r="B2366" t="inlineStr">
        <is>
          <t>Revolution Haircare Natural Curl Wide Tooth Comb White For Curly And Thick Hair</t>
        </is>
      </c>
      <c r="C2366" t="inlineStr">
        <is>
          <t>Combs</t>
        </is>
      </c>
      <c r="D2366" t="inlineStr">
        <is>
          <t>Revolution Haircare</t>
        </is>
      </c>
      <c r="E2366" t="n">
        <v>8.59</v>
      </c>
      <c r="F2366" t="n">
        <v>1</v>
      </c>
      <c r="G2366" t="n">
        <v>5</v>
      </c>
      <c r="H2366" s="5">
        <f>HYPERLINK("https://api.qogita.com/variants/link/5057566549349/", "View Product")</f>
        <v/>
      </c>
    </row>
    <row r="2367">
      <c r="A2367" t="inlineStr">
        <is>
          <t>5057566549615</t>
        </is>
      </c>
      <c r="B2367" t="inlineStr">
        <is>
          <t>Revolution Haircare Plex Bond Restore Toner Kit 90 Ml Chestnut</t>
        </is>
      </c>
      <c r="C2367" t="inlineStr">
        <is>
          <t>Hair Care Sets</t>
        </is>
      </c>
      <c r="D2367" t="inlineStr">
        <is>
          <t>Revolution Haircare</t>
        </is>
      </c>
      <c r="E2367" t="n">
        <v>8.42</v>
      </c>
      <c r="F2367" t="n">
        <v>1</v>
      </c>
      <c r="G2367" t="n">
        <v>7</v>
      </c>
      <c r="H2367" s="5">
        <f>HYPERLINK("https://api.qogita.com/variants/link/5057566549615/", "View Product")</f>
        <v/>
      </c>
    </row>
    <row r="2368">
      <c r="A2368" t="inlineStr">
        <is>
          <t>5057566556101</t>
        </is>
      </c>
      <c r="B2368" t="inlineStr">
        <is>
          <t>Rehab Makeup Revolution London 4.6ml</t>
        </is>
      </c>
      <c r="C2368" t="inlineStr">
        <is>
          <t>Concealer</t>
        </is>
      </c>
      <c r="D2368" t="inlineStr">
        <is>
          <t>Makeup Revolution</t>
        </is>
      </c>
      <c r="E2368" t="n">
        <v>7.3</v>
      </c>
      <c r="F2368" t="n">
        <v>1</v>
      </c>
      <c r="G2368" t="n">
        <v>4</v>
      </c>
      <c r="H2368" s="5">
        <f>HYPERLINK("https://api.qogita.com/variants/link/5057566556101/", "View Product")</f>
        <v/>
      </c>
    </row>
    <row r="2369">
      <c r="A2369" t="inlineStr">
        <is>
          <t>5057566560504</t>
        </is>
      </c>
      <c r="B2369" t="inlineStr">
        <is>
          <t>Makeup Revolution Fast Base Blush Stick - Baby 14g</t>
        </is>
      </c>
      <c r="C2369" t="inlineStr">
        <is>
          <t>Blush</t>
        </is>
      </c>
      <c r="D2369" t="inlineStr">
        <is>
          <t>Makeup Revolution</t>
        </is>
      </c>
      <c r="E2369" t="n">
        <v>7.3</v>
      </c>
      <c r="F2369" t="n">
        <v>1</v>
      </c>
      <c r="G2369" t="n">
        <v>10</v>
      </c>
      <c r="H2369" s="5">
        <f>HYPERLINK("https://api.qogita.com/variants/link/5057566560504/", "View Product")</f>
        <v/>
      </c>
    </row>
    <row r="2370">
      <c r="A2370" t="inlineStr">
        <is>
          <t>5057566567954</t>
        </is>
      </c>
      <c r="B2370" t="inlineStr">
        <is>
          <t>Makeup Revolution Pastel Dream Graphic Liner Palettes 54 Grams</t>
        </is>
      </c>
      <c r="C2370" t="inlineStr">
        <is>
          <t>Eye Sets &amp; Pallets</t>
        </is>
      </c>
      <c r="D2370" t="inlineStr">
        <is>
          <t>Makeup Revolution</t>
        </is>
      </c>
      <c r="E2370" t="n">
        <v>7.3</v>
      </c>
      <c r="F2370" t="n">
        <v>1</v>
      </c>
      <c r="G2370" t="n">
        <v>4</v>
      </c>
      <c r="H2370" s="5">
        <f>HYPERLINK("https://api.qogita.com/variants/link/5057566567954/", "View Product")</f>
        <v/>
      </c>
    </row>
    <row r="2371">
      <c r="A2371" t="inlineStr">
        <is>
          <t>5057566570992</t>
        </is>
      </c>
      <c r="B2371" t="inlineStr">
        <is>
          <t>Makeup Revolution Eyebrow Soap Styler Plus Brown 5g</t>
        </is>
      </c>
      <c r="C2371" t="inlineStr">
        <is>
          <t>Other</t>
        </is>
      </c>
      <c r="D2371" t="inlineStr">
        <is>
          <t>Makeup Revolution</t>
        </is>
      </c>
      <c r="E2371" t="n">
        <v>7.3</v>
      </c>
      <c r="F2371" t="n">
        <v>1</v>
      </c>
      <c r="G2371" t="n">
        <v>3</v>
      </c>
      <c r="H2371" s="5">
        <f>HYPERLINK("https://api.qogita.com/variants/link/5057566570992/", "View Product")</f>
        <v/>
      </c>
    </row>
    <row r="2372">
      <c r="A2372" t="inlineStr">
        <is>
          <t>5057566572514</t>
        </is>
      </c>
      <c r="B2372" t="inlineStr">
        <is>
          <t>Makeup Revolution Shadow Bomb Cream Eyeshadow Love Struck Champagne 46 Ml</t>
        </is>
      </c>
      <c r="C2372" t="inlineStr">
        <is>
          <t>Eyeshadow</t>
        </is>
      </c>
      <c r="D2372" t="inlineStr">
        <is>
          <t>Makeup Revolution</t>
        </is>
      </c>
      <c r="E2372" t="n">
        <v>7.3</v>
      </c>
      <c r="F2372" t="n">
        <v>1</v>
      </c>
      <c r="G2372" t="n">
        <v>6</v>
      </c>
      <c r="H2372" s="5">
        <f>HYPERLINK("https://api.qogita.com/variants/link/5057566572514/", "View Product")</f>
        <v/>
      </c>
    </row>
    <row r="2373">
      <c r="A2373" t="inlineStr">
        <is>
          <t>5057566581691</t>
        </is>
      </c>
      <c r="B2373" t="inlineStr">
        <is>
          <t>Makeup Revolution Blush Bomb Cream Blusher 46 Ml Savage Coral</t>
        </is>
      </c>
      <c r="C2373" t="inlineStr">
        <is>
          <t>Blush</t>
        </is>
      </c>
      <c r="D2373" t="inlineStr">
        <is>
          <t>Makeup Revolution</t>
        </is>
      </c>
      <c r="E2373" t="n">
        <v>7.55</v>
      </c>
      <c r="F2373" t="n">
        <v>1</v>
      </c>
      <c r="G2373" t="n">
        <v>2</v>
      </c>
      <c r="H2373" s="5">
        <f>HYPERLINK("https://api.qogita.com/variants/link/5057566581691/", "View Product")</f>
        <v/>
      </c>
    </row>
    <row r="2374">
      <c r="A2374" t="inlineStr">
        <is>
          <t>5057566589697</t>
        </is>
      </c>
      <c r="B2374" t="inlineStr">
        <is>
          <t>Makeup Revolution Relove Volume Mascara 10 Ml Blue</t>
        </is>
      </c>
      <c r="C2374" t="inlineStr">
        <is>
          <t>Mascara</t>
        </is>
      </c>
      <c r="D2374" t="inlineStr">
        <is>
          <t>Makeup Revolution</t>
        </is>
      </c>
      <c r="E2374" t="n">
        <v>4.56</v>
      </c>
      <c r="F2374" t="n">
        <v>1</v>
      </c>
      <c r="G2374" t="n">
        <v>5</v>
      </c>
      <c r="H2374" s="5">
        <f>HYPERLINK("https://api.qogita.com/variants/link/5057566589697/", "View Product")</f>
        <v/>
      </c>
    </row>
    <row r="2375">
      <c r="A2375" t="inlineStr">
        <is>
          <t>5057566599764</t>
        </is>
      </c>
      <c r="B2375" t="inlineStr">
        <is>
          <t>Makeup Revolution X Roxi Cherry Blossom Liquid Blush Duo 15 Ml</t>
        </is>
      </c>
      <c r="C2375" t="inlineStr">
        <is>
          <t>Blush</t>
        </is>
      </c>
      <c r="D2375" t="inlineStr">
        <is>
          <t>Makeup Revolution</t>
        </is>
      </c>
      <c r="E2375" t="n">
        <v>8.85</v>
      </c>
      <c r="F2375" t="n">
        <v>1</v>
      </c>
      <c r="G2375" t="n">
        <v>3</v>
      </c>
      <c r="H2375" s="5">
        <f>HYPERLINK("https://api.qogita.com/variants/link/5057566599764/", "View Product")</f>
        <v/>
      </c>
    </row>
    <row r="2376">
      <c r="A2376" t="inlineStr">
        <is>
          <t>5057566609128</t>
        </is>
      </c>
      <c r="B2376" t="inlineStr">
        <is>
          <t>Revolution Haircare Longer Healthier Hair Shampoo Reduces Breakage Vegan &amp; Cruelty-Free 400ml</t>
        </is>
      </c>
      <c r="C2376" t="inlineStr">
        <is>
          <t>Shampoo</t>
        </is>
      </c>
      <c r="D2376" t="inlineStr">
        <is>
          <t>Revolution Haircare</t>
        </is>
      </c>
      <c r="E2376" t="n">
        <v>11.67</v>
      </c>
      <c r="F2376" t="n">
        <v>1</v>
      </c>
      <c r="G2376" t="n">
        <v>3</v>
      </c>
      <c r="H2376" s="5">
        <f>HYPERLINK("https://api.qogita.com/variants/link/5057566609128/", "View Product")</f>
        <v/>
      </c>
    </row>
    <row r="2377">
      <c r="A2377" t="inlineStr">
        <is>
          <t>5057566621311</t>
        </is>
      </c>
      <c r="B2377" t="inlineStr">
        <is>
          <t>Hydrating Cleansing Cream Hydrate (Hyaluronic Acid Cleanser) 200 ml</t>
        </is>
      </c>
      <c r="C2377" t="inlineStr">
        <is>
          <t>Cleansing Cream</t>
        </is>
      </c>
      <c r="D2377" t="inlineStr">
        <is>
          <t>Revolution Beauty</t>
        </is>
      </c>
      <c r="E2377" t="n">
        <v>7.61</v>
      </c>
      <c r="F2377" t="n">
        <v>1</v>
      </c>
      <c r="G2377" t="n">
        <v>3</v>
      </c>
      <c r="H2377" s="5">
        <f>HYPERLINK("https://api.qogita.com/variants/link/5057566621311/", "View Product")</f>
        <v/>
      </c>
    </row>
    <row r="2378">
      <c r="A2378" t="inlineStr">
        <is>
          <t>5057566621335</t>
        </is>
      </c>
      <c r="B2378" t="inlineStr">
        <is>
          <t>Nurture Meadowfoam Milk Make-up Remover (Oil Cleanser) 200 ml</t>
        </is>
      </c>
      <c r="C2378" t="inlineStr">
        <is>
          <t>Makeup Remover</t>
        </is>
      </c>
      <c r="D2378" t="inlineStr">
        <is>
          <t>Revolution Beauty</t>
        </is>
      </c>
      <c r="E2378" t="n">
        <v>7.61</v>
      </c>
      <c r="F2378" t="n">
        <v>1</v>
      </c>
      <c r="G2378" t="n">
        <v>2</v>
      </c>
      <c r="H2378" s="5">
        <f>HYPERLINK("https://api.qogita.com/variants/link/5057566621335/", "View Product")</f>
        <v/>
      </c>
    </row>
    <row r="2379">
      <c r="A2379" t="inlineStr">
        <is>
          <t>5057566651943</t>
        </is>
      </c>
      <c r="B2379" t="inlineStr">
        <is>
          <t>Plex Bond Barrier Protect Day Cream 50 ml</t>
        </is>
      </c>
      <c r="C2379" t="inlineStr">
        <is>
          <t>Day Cream</t>
        </is>
      </c>
      <c r="D2379" t="inlineStr">
        <is>
          <t>Revolution Beauty</t>
        </is>
      </c>
      <c r="E2379" t="n">
        <v>11.38</v>
      </c>
      <c r="F2379" t="n">
        <v>1</v>
      </c>
      <c r="G2379" t="n">
        <v>3</v>
      </c>
      <c r="H2379" s="5">
        <f>HYPERLINK("https://api.qogita.com/variants/link/5057566651943/", "View Product")</f>
        <v/>
      </c>
    </row>
    <row r="2380">
      <c r="A2380" t="inlineStr">
        <is>
          <t>5057566764513</t>
        </is>
      </c>
      <c r="B2380" t="inlineStr">
        <is>
          <t>Revolution PRO Miracle Night Rescue Face Serum 30 ml</t>
        </is>
      </c>
      <c r="C2380" t="inlineStr">
        <is>
          <t>Hydrating Serum</t>
        </is>
      </c>
      <c r="D2380" t="inlineStr">
        <is>
          <t>Revolution Beauty</t>
        </is>
      </c>
      <c r="E2380" t="n">
        <v>16.53</v>
      </c>
      <c r="F2380" t="n">
        <v>1</v>
      </c>
      <c r="G2380" t="n">
        <v>3</v>
      </c>
      <c r="H2380" s="5">
        <f>HYPERLINK("https://api.qogita.com/variants/link/5057566764513/", "View Product")</f>
        <v/>
      </c>
    </row>
    <row r="2381">
      <c r="A2381" t="inlineStr">
        <is>
          <t>5060103310685</t>
        </is>
      </c>
      <c r="B2381" t="inlineStr">
        <is>
          <t>Escentric Molecules Molecule 01 Patchouli Eau De Toilette 100ml Unisex Spray</t>
        </is>
      </c>
      <c r="C2381" t="inlineStr">
        <is>
          <t>Eau De Toilette</t>
        </is>
      </c>
      <c r="D2381" t="inlineStr">
        <is>
          <t>Escentric Molecules</t>
        </is>
      </c>
      <c r="E2381" t="n">
        <v>127.78</v>
      </c>
      <c r="F2381" t="n">
        <v>1</v>
      </c>
      <c r="G2381" t="n">
        <v>3</v>
      </c>
      <c r="H2381" s="5">
        <f>HYPERLINK("https://api.qogita.com/variants/link/5060103310685/", "View Product")</f>
        <v/>
      </c>
    </row>
    <row r="2382">
      <c r="A2382" t="inlineStr">
        <is>
          <t>5060120163257</t>
        </is>
      </c>
      <c r="B2382" t="inlineStr">
        <is>
          <t>Xpel Tea Tree Antibacterial Handwash</t>
        </is>
      </c>
      <c r="C2382" t="inlineStr">
        <is>
          <t>Hand Soap</t>
        </is>
      </c>
      <c r="D2382" t="inlineStr">
        <is>
          <t>Xpel</t>
        </is>
      </c>
      <c r="E2382" t="n">
        <v>1.89</v>
      </c>
      <c r="F2382" t="n">
        <v>1</v>
      </c>
      <c r="G2382" t="n">
        <v>12</v>
      </c>
      <c r="H2382" s="5">
        <f>HYPERLINK("https://api.qogita.com/variants/link/5060120163257/", "View Product")</f>
        <v/>
      </c>
    </row>
    <row r="2383">
      <c r="A2383" t="inlineStr">
        <is>
          <t>5060120176561</t>
        </is>
      </c>
      <c r="B2383" t="inlineStr">
        <is>
          <t>XHC Keratin Conditioner</t>
        </is>
      </c>
      <c r="C2383" t="inlineStr">
        <is>
          <t>Conditioner</t>
        </is>
      </c>
      <c r="D2383" t="inlineStr">
        <is>
          <t>Xhc</t>
        </is>
      </c>
      <c r="E2383" t="n">
        <v>1.94</v>
      </c>
      <c r="F2383" t="n">
        <v>1</v>
      </c>
      <c r="G2383" t="n">
        <v>5</v>
      </c>
      <c r="H2383" s="5">
        <f>HYPERLINK("https://api.qogita.com/variants/link/5060120176561/", "View Product")</f>
        <v/>
      </c>
    </row>
    <row r="2384">
      <c r="A2384" t="inlineStr">
        <is>
          <t>5060144641663</t>
        </is>
      </c>
      <c r="B2384" t="inlineStr">
        <is>
          <t>Bulldog Sensitive Face Wash Cleansing Gel For Men 150 Ml</t>
        </is>
      </c>
      <c r="C2384" t="inlineStr">
        <is>
          <t>Cleansing Gel</t>
        </is>
      </c>
      <c r="D2384" t="inlineStr">
        <is>
          <t>Bulldog</t>
        </is>
      </c>
      <c r="E2384" t="n">
        <v>5.84</v>
      </c>
      <c r="F2384" t="n">
        <v>1</v>
      </c>
      <c r="G2384" t="n">
        <v>4</v>
      </c>
      <c r="H2384" s="5">
        <f>HYPERLINK("https://api.qogita.com/variants/link/5060144641663/", "View Product")</f>
        <v/>
      </c>
    </row>
    <row r="2385">
      <c r="A2385" t="inlineStr">
        <is>
          <t>5060144641977</t>
        </is>
      </c>
      <c r="B2385" t="inlineStr">
        <is>
          <t>Bulldog Skincare for men Original After Shave Balm 100ml</t>
        </is>
      </c>
      <c r="C2385" t="inlineStr">
        <is>
          <t>Aftershave</t>
        </is>
      </c>
      <c r="D2385" t="inlineStr">
        <is>
          <t>Bulldog</t>
        </is>
      </c>
      <c r="E2385" t="n">
        <v>6.52</v>
      </c>
      <c r="F2385" t="n">
        <v>1</v>
      </c>
      <c r="G2385" t="n">
        <v>7</v>
      </c>
      <c r="H2385" s="5">
        <f>HYPERLINK("https://api.qogita.com/variants/link/5060144641977/", "View Product")</f>
        <v/>
      </c>
    </row>
    <row r="2386">
      <c r="A2386" t="inlineStr">
        <is>
          <t>5060144641984</t>
        </is>
      </c>
      <c r="B2386" t="inlineStr">
        <is>
          <t>Bulldog Sensitive Aftershave Balm 100 Ml</t>
        </is>
      </c>
      <c r="C2386" t="inlineStr">
        <is>
          <t>Aftershave</t>
        </is>
      </c>
      <c r="D2386" t="inlineStr">
        <is>
          <t>Bulldog</t>
        </is>
      </c>
      <c r="E2386" t="n">
        <v>6.52</v>
      </c>
      <c r="F2386" t="n">
        <v>1</v>
      </c>
      <c r="G2386" t="n">
        <v>14</v>
      </c>
      <c r="H2386" s="5">
        <f>HYPERLINK("https://api.qogita.com/variants/link/5060144641984/", "View Product")</f>
        <v/>
      </c>
    </row>
    <row r="2387">
      <c r="A2387" t="inlineStr">
        <is>
          <t>5060144643872</t>
        </is>
      </c>
      <c r="B2387" t="inlineStr">
        <is>
          <t>Age Defence Serum 100g</t>
        </is>
      </c>
      <c r="C2387" t="inlineStr">
        <is>
          <t>Anti-Aging Serum</t>
        </is>
      </c>
      <c r="D2387" t="inlineStr">
        <is>
          <t>Games Workshop</t>
        </is>
      </c>
      <c r="E2387" t="n">
        <v>12.62</v>
      </c>
      <c r="F2387" t="n">
        <v>1</v>
      </c>
      <c r="G2387" t="n">
        <v>4</v>
      </c>
      <c r="H2387" s="5">
        <f>HYPERLINK("https://api.qogita.com/variants/link/5060144643872/", "View Product")</f>
        <v/>
      </c>
    </row>
    <row r="2388">
      <c r="A2388" t="inlineStr">
        <is>
          <t>5060144646149</t>
        </is>
      </c>
      <c r="B2388" t="inlineStr">
        <is>
          <t>Bulldog Energising Moisturiser Face Cream for Men 100ml</t>
        </is>
      </c>
      <c r="C2388" t="inlineStr">
        <is>
          <t>Face Cream</t>
        </is>
      </c>
      <c r="D2388" t="inlineStr">
        <is>
          <t>Bulldog</t>
        </is>
      </c>
      <c r="E2388" t="n">
        <v>8.08</v>
      </c>
      <c r="F2388" t="n">
        <v>1</v>
      </c>
      <c r="G2388" t="n">
        <v>5</v>
      </c>
      <c r="H2388" s="5">
        <f>HYPERLINK("https://api.qogita.com/variants/link/5060144646149/", "View Product")</f>
        <v/>
      </c>
    </row>
    <row r="2389">
      <c r="A2389" t="inlineStr">
        <is>
          <t>5060144646224</t>
        </is>
      </c>
      <c r="B2389" t="inlineStr">
        <is>
          <t>Bulldog Shower Gel Lemon &amp; Bergamot 500 Ml</t>
        </is>
      </c>
      <c r="C2389" t="inlineStr">
        <is>
          <t>Shower Gel</t>
        </is>
      </c>
      <c r="D2389" t="inlineStr">
        <is>
          <t>Bulldog</t>
        </is>
      </c>
      <c r="E2389" t="n">
        <v>7.3</v>
      </c>
      <c r="F2389" t="n">
        <v>1</v>
      </c>
      <c r="G2389" t="n">
        <v>13</v>
      </c>
      <c r="H2389" s="5">
        <f>HYPERLINK("https://api.qogita.com/variants/link/5060144646224/", "View Product")</f>
        <v/>
      </c>
    </row>
    <row r="2390">
      <c r="A2390" t="inlineStr">
        <is>
          <t>5060144646248</t>
        </is>
      </c>
      <c r="B2390" t="inlineStr">
        <is>
          <t>Bulldog Shower Gel Peppermint &amp; Eucalyptus 500 Ml</t>
        </is>
      </c>
      <c r="C2390" t="inlineStr">
        <is>
          <t>Shower Gel</t>
        </is>
      </c>
      <c r="D2390" t="inlineStr">
        <is>
          <t>Bulldog</t>
        </is>
      </c>
      <c r="E2390" t="n">
        <v>7.3</v>
      </c>
      <c r="F2390" t="n">
        <v>1</v>
      </c>
      <c r="G2390" t="n">
        <v>7</v>
      </c>
      <c r="H2390" s="5">
        <f>HYPERLINK("https://api.qogita.com/variants/link/5060144646248/", "View Product")</f>
        <v/>
      </c>
    </row>
    <row r="2391">
      <c r="A2391" t="inlineStr">
        <is>
          <t>5060150182273</t>
        </is>
      </c>
      <c r="B2391" t="inlineStr">
        <is>
          <t>Color Wow Dream Coat Supernatural Spray Anti Frizz Size 50 Ml</t>
        </is>
      </c>
      <c r="C2391" t="inlineStr">
        <is>
          <t>Uv Protection</t>
        </is>
      </c>
      <c r="D2391" t="inlineStr">
        <is>
          <t>Color Wow</t>
        </is>
      </c>
      <c r="E2391" t="n">
        <v>10.88</v>
      </c>
      <c r="F2391" t="n">
        <v>1</v>
      </c>
      <c r="G2391" t="n">
        <v>6</v>
      </c>
      <c r="H2391" s="5">
        <f>HYPERLINK("https://api.qogita.com/variants/link/5060150182273/", "View Product")</f>
        <v/>
      </c>
    </row>
    <row r="2392">
      <c r="A2392" t="inlineStr">
        <is>
          <t>5060150182488</t>
        </is>
      </c>
      <c r="B2392" t="inlineStr">
        <is>
          <t>Color Wow Dream Filter 50ml Travel Free UK Tracked Delivery</t>
        </is>
      </c>
      <c r="C2392" t="inlineStr">
        <is>
          <t>Hair Care Sets</t>
        </is>
      </c>
      <c r="D2392" t="inlineStr">
        <is>
          <t>Color Wow</t>
        </is>
      </c>
      <c r="E2392" t="n">
        <v>11.67</v>
      </c>
      <c r="F2392" t="n">
        <v>1</v>
      </c>
      <c r="G2392" t="n">
        <v>23</v>
      </c>
      <c r="H2392" s="5">
        <f>HYPERLINK("https://api.qogita.com/variants/link/5060150182488/", "View Product")</f>
        <v/>
      </c>
    </row>
    <row r="2393">
      <c r="A2393" t="inlineStr">
        <is>
          <t>5060150185113</t>
        </is>
      </c>
      <c r="B2393" t="inlineStr">
        <is>
          <t>Color Wow Color Security Conditioner For Normal Hair 250ml</t>
        </is>
      </c>
      <c r="C2393" t="inlineStr">
        <is>
          <t>Conditioner</t>
        </is>
      </c>
      <c r="D2393" t="inlineStr">
        <is>
          <t>Color Wow</t>
        </is>
      </c>
      <c r="E2393" t="n">
        <v>20.77</v>
      </c>
      <c r="F2393" t="n">
        <v>1</v>
      </c>
      <c r="G2393" t="n">
        <v>5</v>
      </c>
      <c r="H2393" s="5">
        <f>HYPERLINK("https://api.qogita.com/variants/link/5060150185113/", "View Product")</f>
        <v/>
      </c>
    </row>
    <row r="2394">
      <c r="A2394" t="inlineStr">
        <is>
          <t>5060150185182</t>
        </is>
      </c>
      <c r="B2394" t="inlineStr">
        <is>
          <t>Color Wow Color Security Conditioner Finenormal For Fine To Normal Hair Color Protection Conditioner</t>
        </is>
      </c>
      <c r="C2394" t="inlineStr">
        <is>
          <t>Conditioner</t>
        </is>
      </c>
      <c r="D2394" t="inlineStr">
        <is>
          <t>Color Wow</t>
        </is>
      </c>
      <c r="E2394" t="n">
        <v>60.73</v>
      </c>
      <c r="F2394" t="n">
        <v>1</v>
      </c>
      <c r="G2394" t="n">
        <v>3</v>
      </c>
      <c r="H2394" s="5">
        <f>HYPERLINK("https://api.qogita.com/variants/link/5060150185182/", "View Product")</f>
        <v/>
      </c>
    </row>
    <row r="2395">
      <c r="A2395" t="inlineStr">
        <is>
          <t>5060150185199</t>
        </is>
      </c>
      <c r="B2395" t="inlineStr">
        <is>
          <t>Color Wow Color Security Conditioner Normalthick For Normal To Thick Hair</t>
        </is>
      </c>
      <c r="C2395" t="inlineStr">
        <is>
          <t>Conditioner</t>
        </is>
      </c>
      <c r="D2395" t="inlineStr">
        <is>
          <t>Color Wow</t>
        </is>
      </c>
      <c r="E2395" t="n">
        <v>60.73</v>
      </c>
      <c r="F2395" t="n">
        <v>1</v>
      </c>
      <c r="G2395" t="n">
        <v>2</v>
      </c>
      <c r="H2395" s="5">
        <f>HYPERLINK("https://api.qogita.com/variants/link/5060150185199/", "View Product")</f>
        <v/>
      </c>
    </row>
    <row r="2396">
      <c r="A2396" t="inlineStr">
        <is>
          <t>5060150185359</t>
        </is>
      </c>
      <c r="B2396" t="inlineStr">
        <is>
          <t>Color Wow Cult Favorite Firm + Flexible Hair Spray 295ml</t>
        </is>
      </c>
      <c r="C2396" t="inlineStr">
        <is>
          <t>Hairspray</t>
        </is>
      </c>
      <c r="D2396" t="inlineStr">
        <is>
          <t>Color Wow</t>
        </is>
      </c>
      <c r="E2396" t="n">
        <v>21.11</v>
      </c>
      <c r="F2396" t="n">
        <v>1</v>
      </c>
      <c r="G2396" t="n">
        <v>3</v>
      </c>
      <c r="H2396" s="5">
        <f>HYPERLINK("https://api.qogita.com/variants/link/5060150185359/", "View Product")</f>
        <v/>
      </c>
    </row>
    <row r="2397">
      <c r="A2397" t="inlineStr">
        <is>
          <t>5060150185410</t>
        </is>
      </c>
      <c r="B2397" t="inlineStr">
        <is>
          <t>Color Wow Root Cover Up Blonde Powder For Roots 2.1g</t>
        </is>
      </c>
      <c r="C2397" t="inlineStr">
        <is>
          <t>Hairline Paint</t>
        </is>
      </c>
      <c r="D2397" t="inlineStr">
        <is>
          <t>Color Wow</t>
        </is>
      </c>
      <c r="E2397" t="n">
        <v>29.33</v>
      </c>
      <c r="F2397" t="n">
        <v>1</v>
      </c>
      <c r="G2397" t="n">
        <v>7</v>
      </c>
      <c r="H2397" s="5">
        <f>HYPERLINK("https://api.qogita.com/variants/link/5060150185410/", "View Product")</f>
        <v/>
      </c>
    </row>
    <row r="2398">
      <c r="A2398" t="inlineStr">
        <is>
          <t>5060150185441</t>
        </is>
      </c>
      <c r="B2398" t="inlineStr">
        <is>
          <t>Color Wow Root Cover Up Dark Brown Powder For Roots 2.1g</t>
        </is>
      </c>
      <c r="C2398" t="inlineStr">
        <is>
          <t>Hairline Paint</t>
        </is>
      </c>
      <c r="D2398" t="inlineStr">
        <is>
          <t>Color Wow</t>
        </is>
      </c>
      <c r="E2398" t="n">
        <v>29.09</v>
      </c>
      <c r="F2398" t="n">
        <v>1</v>
      </c>
      <c r="G2398" t="n">
        <v>6</v>
      </c>
      <c r="H2398" s="5">
        <f>HYPERLINK("https://api.qogita.com/variants/link/5060150185441/", "View Product")</f>
        <v/>
      </c>
    </row>
    <row r="2399">
      <c r="A2399" t="inlineStr">
        <is>
          <t>5060173372347</t>
        </is>
      </c>
      <c r="B2399" t="inlineStr">
        <is>
          <t>Tangle Teezer The Thick &amp; Curly Detangling Hairbrush with Strong Two-Tiered Teeth</t>
        </is>
      </c>
      <c r="C2399" t="inlineStr">
        <is>
          <t>Detanglers</t>
        </is>
      </c>
      <c r="D2399" t="inlineStr">
        <is>
          <t>Tangle Teezer</t>
        </is>
      </c>
      <c r="E2399" t="n">
        <v>12.19</v>
      </c>
      <c r="F2399" t="n">
        <v>1</v>
      </c>
      <c r="G2399" t="n">
        <v>18</v>
      </c>
      <c r="H2399" s="5">
        <f>HYPERLINK("https://api.qogita.com/variants/link/5060173372347/", "View Product")</f>
        <v/>
      </c>
    </row>
    <row r="2400">
      <c r="A2400" t="inlineStr">
        <is>
          <t>5060173376215</t>
        </is>
      </c>
      <c r="B2400" t="inlineStr">
        <is>
          <t>Tangle Teezer The Wet Detangler Hairbrush Midnight Black</t>
        </is>
      </c>
      <c r="C2400" t="inlineStr">
        <is>
          <t>Detanglers</t>
        </is>
      </c>
      <c r="D2400" t="inlineStr">
        <is>
          <t>Tangle Teezer</t>
        </is>
      </c>
      <c r="E2400" t="n">
        <v>9.380000000000001</v>
      </c>
      <c r="F2400" t="n">
        <v>1</v>
      </c>
      <c r="G2400" t="n">
        <v>159</v>
      </c>
      <c r="H2400" s="5">
        <f>HYPERLINK("https://api.qogita.com/variants/link/5060173376215/", "View Product")</f>
        <v/>
      </c>
    </row>
    <row r="2401">
      <c r="A2401" t="inlineStr">
        <is>
          <t>5060215061895</t>
        </is>
      </c>
      <c r="B2401" t="inlineStr">
        <is>
          <t>Vetiver Imperial Eau De Parfum 100ml - Boadicea The Victorious</t>
        </is>
      </c>
      <c r="C2401" t="inlineStr">
        <is>
          <t>Eau De Parfum</t>
        </is>
      </c>
      <c r="D2401" t="inlineStr">
        <is>
          <t>Boadicea The Victorious</t>
        </is>
      </c>
      <c r="E2401" t="n">
        <v>190.99</v>
      </c>
      <c r="F2401" t="n">
        <v>1</v>
      </c>
      <c r="G2401" t="n">
        <v>7</v>
      </c>
      <c r="H2401" s="5">
        <f>HYPERLINK("https://api.qogita.com/variants/link/5060215061895/", "View Product")</f>
        <v/>
      </c>
    </row>
    <row r="2402">
      <c r="A2402" t="inlineStr">
        <is>
          <t>5060215066821</t>
        </is>
      </c>
      <c r="B2402" t="inlineStr">
        <is>
          <t>Boadicea The Victorious Hanuman Eau De Parfum 100 Milliliters</t>
        </is>
      </c>
      <c r="C2402" t="inlineStr">
        <is>
          <t>Eau De Parfum</t>
        </is>
      </c>
      <c r="D2402" t="inlineStr">
        <is>
          <t>Boadicea The Victorious</t>
        </is>
      </c>
      <c r="E2402" t="n">
        <v>606.74</v>
      </c>
      <c r="F2402" t="n">
        <v>1</v>
      </c>
      <c r="G2402" t="n">
        <v>5</v>
      </c>
      <c r="H2402" s="5">
        <f>HYPERLINK("https://api.qogita.com/variants/link/5060215066821/", "View Product")</f>
        <v/>
      </c>
    </row>
    <row r="2403">
      <c r="A2403" t="inlineStr">
        <is>
          <t>5060238285582</t>
        </is>
      </c>
      <c r="B2403" t="inlineStr">
        <is>
          <t>Ormonde Jayne Levant - Unisex Eau De Parfum</t>
        </is>
      </c>
      <c r="C2403" t="inlineStr">
        <is>
          <t>Eau De Parfum</t>
        </is>
      </c>
      <c r="D2403" t="inlineStr">
        <is>
          <t>Ormonde Jayne</t>
        </is>
      </c>
      <c r="E2403" t="n">
        <v>134.2</v>
      </c>
      <c r="F2403" t="n">
        <v>1</v>
      </c>
      <c r="G2403" t="n">
        <v>2</v>
      </c>
      <c r="H2403" s="5">
        <f>HYPERLINK("https://api.qogita.com/variants/link/5060238285582/", "View Product")</f>
        <v/>
      </c>
    </row>
    <row r="2404">
      <c r="A2404" t="inlineStr">
        <is>
          <t>5060238285643</t>
        </is>
      </c>
      <c r="B2404" t="inlineStr">
        <is>
          <t>Ormonde Jayne Byzance Eau De Parfum For Women</t>
        </is>
      </c>
      <c r="C2404" t="inlineStr">
        <is>
          <t>Eau De Parfum</t>
        </is>
      </c>
      <c r="D2404" t="inlineStr">
        <is>
          <t>Ormonde Jayne</t>
        </is>
      </c>
      <c r="E2404" t="n">
        <v>109.31</v>
      </c>
      <c r="F2404" t="n">
        <v>1</v>
      </c>
      <c r="G2404" t="n">
        <v>2</v>
      </c>
      <c r="H2404" s="5">
        <f>HYPERLINK("https://api.qogita.com/variants/link/5060238285643/", "View Product")</f>
        <v/>
      </c>
    </row>
    <row r="2405">
      <c r="A2405" t="inlineStr">
        <is>
          <t>5060238286091</t>
        </is>
      </c>
      <c r="B2405" t="inlineStr">
        <is>
          <t>Ormonde Jayne Frangipani Unisex Fragrance</t>
        </is>
      </c>
      <c r="C2405" t="inlineStr">
        <is>
          <t>Eau De Parfum</t>
        </is>
      </c>
      <c r="D2405" t="inlineStr">
        <is>
          <t>Ormonde Jayne</t>
        </is>
      </c>
      <c r="E2405" t="n">
        <v>119.61</v>
      </c>
      <c r="F2405" t="n">
        <v>1</v>
      </c>
      <c r="G2405" t="n">
        <v>4</v>
      </c>
      <c r="H2405" s="5">
        <f>HYPERLINK("https://api.qogita.com/variants/link/5060238286091/", "View Product")</f>
        <v/>
      </c>
    </row>
    <row r="2406">
      <c r="A2406" t="inlineStr">
        <is>
          <t>5060238286107</t>
        </is>
      </c>
      <c r="B2406" t="inlineStr">
        <is>
          <t>Ormonde Jayne Champaca Unisex Fragrance</t>
        </is>
      </c>
      <c r="C2406" t="inlineStr">
        <is>
          <t>Eau De Parfum</t>
        </is>
      </c>
      <c r="D2406" t="inlineStr">
        <is>
          <t>Ormonde Jayne</t>
        </is>
      </c>
      <c r="E2406" t="n">
        <v>125.56</v>
      </c>
      <c r="F2406" t="n">
        <v>1</v>
      </c>
      <c r="G2406" t="n">
        <v>12</v>
      </c>
      <c r="H2406" s="5">
        <f>HYPERLINK("https://api.qogita.com/variants/link/5060238286107/", "View Product")</f>
        <v/>
      </c>
    </row>
    <row r="2407">
      <c r="A2407" t="inlineStr">
        <is>
          <t>5060238286176</t>
        </is>
      </c>
      <c r="B2407" t="inlineStr">
        <is>
          <t>Ormonde Jayne Evernia Unisex Fragrance</t>
        </is>
      </c>
      <c r="C2407" t="inlineStr">
        <is>
          <t>Eau De Parfum</t>
        </is>
      </c>
      <c r="D2407" t="inlineStr">
        <is>
          <t>Ormonde Jayne</t>
        </is>
      </c>
      <c r="E2407" t="n">
        <v>118.34</v>
      </c>
      <c r="F2407" t="n">
        <v>1</v>
      </c>
      <c r="G2407" t="n">
        <v>5</v>
      </c>
      <c r="H2407" s="5">
        <f>HYPERLINK("https://api.qogita.com/variants/link/5060238286176/", "View Product")</f>
        <v/>
      </c>
    </row>
    <row r="2408">
      <c r="A2408" t="inlineStr">
        <is>
          <t>5060238286367</t>
        </is>
      </c>
      <c r="B2408" t="inlineStr">
        <is>
          <t>Ormonde Jayne Nawab Of Oudh Intensivo - Unisex Fragrance</t>
        </is>
      </c>
      <c r="C2408" t="inlineStr">
        <is>
          <t>Eau De Parfum</t>
        </is>
      </c>
      <c r="D2408" t="inlineStr">
        <is>
          <t>Ormonde Jayne</t>
        </is>
      </c>
      <c r="E2408" t="n">
        <v>165.91</v>
      </c>
      <c r="F2408" t="n">
        <v>1</v>
      </c>
      <c r="G2408" t="n">
        <v>2</v>
      </c>
      <c r="H2408" s="5">
        <f>HYPERLINK("https://api.qogita.com/variants/link/5060238286367/", "View Product")</f>
        <v/>
      </c>
    </row>
    <row r="2409">
      <c r="A2409" t="inlineStr">
        <is>
          <t>5060338440140</t>
        </is>
      </c>
      <c r="B2409" t="inlineStr">
        <is>
          <t>Captain Fawcett Expedition Strength Mustache Wax 15 Ml</t>
        </is>
      </c>
      <c r="C2409" t="inlineStr">
        <is>
          <t>Beard Care Accessories</t>
        </is>
      </c>
      <c r="D2409" t="inlineStr">
        <is>
          <t>Captain Fawcett</t>
        </is>
      </c>
      <c r="E2409" t="n">
        <v>11.77</v>
      </c>
      <c r="F2409" t="n">
        <v>1</v>
      </c>
      <c r="G2409" t="n">
        <v>17</v>
      </c>
      <c r="H2409" s="5">
        <f>HYPERLINK("https://api.qogita.com/variants/link/5060338440140/", "View Product")</f>
        <v/>
      </c>
    </row>
    <row r="2410">
      <c r="A2410" t="inlineStr">
        <is>
          <t>5060338440300</t>
        </is>
      </c>
      <c r="B2410" t="inlineStr">
        <is>
          <t>Captain Fawcett's Private Stock Beard Oil Small 10ml</t>
        </is>
      </c>
      <c r="C2410" t="inlineStr">
        <is>
          <t>Beard Care Accessories</t>
        </is>
      </c>
      <c r="D2410" t="inlineStr">
        <is>
          <t>Captain Fawcett</t>
        </is>
      </c>
      <c r="E2410" t="n">
        <v>13.82</v>
      </c>
      <c r="F2410" t="n">
        <v>1</v>
      </c>
      <c r="G2410" t="n">
        <v>3</v>
      </c>
      <c r="H2410" s="5">
        <f>HYPERLINK("https://api.qogita.com/variants/link/5060338440300/", "View Product")</f>
        <v/>
      </c>
    </row>
    <row r="2411">
      <c r="A2411" t="inlineStr">
        <is>
          <t>5060338440393</t>
        </is>
      </c>
      <c r="B2411" t="inlineStr">
        <is>
          <t>Captain Fawcett Hand-Crafted Grooming Scissors 100mm</t>
        </is>
      </c>
      <c r="C2411" t="inlineStr">
        <is>
          <t>Hair Scissors</t>
        </is>
      </c>
      <c r="D2411" t="inlineStr">
        <is>
          <t>Captain Fawcett</t>
        </is>
      </c>
      <c r="E2411" t="n">
        <v>19.33</v>
      </c>
      <c r="F2411" t="n">
        <v>1</v>
      </c>
      <c r="G2411" t="n">
        <v>2</v>
      </c>
      <c r="H2411" s="5">
        <f>HYPERLINK("https://api.qogita.com/variants/link/5060338440393/", "View Product")</f>
        <v/>
      </c>
    </row>
    <row r="2412">
      <c r="A2412" t="inlineStr">
        <is>
          <t>5060338440515</t>
        </is>
      </c>
      <c r="B2412" t="inlineStr">
        <is>
          <t>Captain Fawcett Men's Post Shave Moisturising Balm 125ml</t>
        </is>
      </c>
      <c r="C2412" t="inlineStr">
        <is>
          <t>Shaving</t>
        </is>
      </c>
      <c r="D2412" t="inlineStr">
        <is>
          <t>Captain Fawcett</t>
        </is>
      </c>
      <c r="E2412" t="n">
        <v>19.65</v>
      </c>
      <c r="F2412" t="n">
        <v>1</v>
      </c>
      <c r="G2412" t="n">
        <v>2</v>
      </c>
      <c r="H2412" s="5">
        <f>HYPERLINK("https://api.qogita.com/variants/link/5060338440515/", "View Product")</f>
        <v/>
      </c>
    </row>
    <row r="2413">
      <c r="A2413" t="inlineStr">
        <is>
          <t>5060338441413</t>
        </is>
      </c>
      <c r="B2413" t="inlineStr">
        <is>
          <t>Captain Fawcett's Shaving Soap Scapicchio 110g</t>
        </is>
      </c>
      <c r="C2413" t="inlineStr">
        <is>
          <t>Aftershave</t>
        </is>
      </c>
      <c r="D2413" t="inlineStr">
        <is>
          <t>Captain Fawcett`S</t>
        </is>
      </c>
      <c r="E2413" t="n">
        <v>32.47</v>
      </c>
      <c r="F2413" t="n">
        <v>1</v>
      </c>
      <c r="G2413" t="n">
        <v>2</v>
      </c>
      <c r="H2413" s="5">
        <f>HYPERLINK("https://api.qogita.com/variants/link/5060338441413/", "View Product")</f>
        <v/>
      </c>
    </row>
    <row r="2414">
      <c r="A2414" t="inlineStr">
        <is>
          <t>5060338441727</t>
        </is>
      </c>
      <c r="B2414" t="inlineStr">
        <is>
          <t>Captain Fawcett's Expedition Reserve Shampoo 250ml</t>
        </is>
      </c>
      <c r="C2414" t="inlineStr">
        <is>
          <t>Shampoo</t>
        </is>
      </c>
      <c r="D2414" t="inlineStr">
        <is>
          <t>Captain Fawcett</t>
        </is>
      </c>
      <c r="E2414" t="n">
        <v>17.79</v>
      </c>
      <c r="F2414" t="n">
        <v>1</v>
      </c>
      <c r="G2414" t="n">
        <v>6</v>
      </c>
      <c r="H2414" s="5">
        <f>HYPERLINK("https://api.qogita.com/variants/link/5060338441727/", "View Product")</f>
        <v/>
      </c>
    </row>
    <row r="2415">
      <c r="A2415" t="inlineStr">
        <is>
          <t>5060338441819</t>
        </is>
      </c>
      <c r="B2415" t="inlineStr">
        <is>
          <t>Captain Fawcett's Bay Rum Hair Tonic</t>
        </is>
      </c>
      <c r="C2415" t="inlineStr">
        <is>
          <t>Hair Tonic</t>
        </is>
      </c>
      <c r="D2415" t="inlineStr">
        <is>
          <t>Captain Fawcett</t>
        </is>
      </c>
      <c r="E2415" t="n">
        <v>19.65</v>
      </c>
      <c r="F2415" t="n">
        <v>1</v>
      </c>
      <c r="G2415" t="n">
        <v>3</v>
      </c>
      <c r="H2415" s="5">
        <f>HYPERLINK("https://api.qogita.com/variants/link/5060338441819/", "View Product")</f>
        <v/>
      </c>
    </row>
    <row r="2416">
      <c r="A2416" t="inlineStr">
        <is>
          <t>5060370916894</t>
        </is>
      </c>
      <c r="B2416" t="inlineStr">
        <is>
          <t>Roja Parfums Roja Danger Extrait De Parfum Spray 100ml for Men</t>
        </is>
      </c>
      <c r="C2416" t="inlineStr">
        <is>
          <t>Extrait De Parfum</t>
        </is>
      </c>
      <c r="D2416" t="inlineStr">
        <is>
          <t>Roja Parfums</t>
        </is>
      </c>
      <c r="E2416" t="n">
        <v>144.63</v>
      </c>
      <c r="F2416" t="n">
        <v>1</v>
      </c>
      <c r="G2416" t="n">
        <v>3</v>
      </c>
      <c r="H2416" s="5">
        <f>HYPERLINK("https://api.qogita.com/variants/link/5060370916894/", "View Product")</f>
        <v/>
      </c>
    </row>
    <row r="2417">
      <c r="A2417" t="inlineStr">
        <is>
          <t>5060370919291</t>
        </is>
      </c>
      <c r="B2417" t="inlineStr">
        <is>
          <t>Red Perfumes Risque Essence Eau De Parfum 100 Ml For Women</t>
        </is>
      </c>
      <c r="C2417" t="inlineStr">
        <is>
          <t>Eau De Parfum</t>
        </is>
      </c>
      <c r="D2417" t="inlineStr">
        <is>
          <t>Repetto</t>
        </is>
      </c>
      <c r="E2417" t="n">
        <v>236.93</v>
      </c>
      <c r="F2417" t="n">
        <v>1</v>
      </c>
      <c r="G2417" t="n">
        <v>4</v>
      </c>
      <c r="H2417" s="5">
        <f>HYPERLINK("https://api.qogita.com/variants/link/5060370919291/", "View Product")</f>
        <v/>
      </c>
    </row>
    <row r="2418">
      <c r="A2418" t="inlineStr">
        <is>
          <t>5060399670272</t>
        </is>
      </c>
      <c r="B2418" t="inlineStr">
        <is>
          <t>Roja Parfums Roja Elysium Eau De Parfum For Men 100 Ml</t>
        </is>
      </c>
      <c r="C2418" t="inlineStr">
        <is>
          <t>Eau De Parfum</t>
        </is>
      </c>
      <c r="D2418" t="inlineStr">
        <is>
          <t>Roja Parfums</t>
        </is>
      </c>
      <c r="E2418" t="n">
        <v>156.95</v>
      </c>
      <c r="F2418" t="n">
        <v>1</v>
      </c>
      <c r="G2418" t="n">
        <v>37</v>
      </c>
      <c r="H2418" s="5">
        <f>HYPERLINK("https://api.qogita.com/variants/link/5060399670272/", "View Product")</f>
        <v/>
      </c>
    </row>
    <row r="2419">
      <c r="A2419" t="inlineStr">
        <is>
          <t>5060399670586</t>
        </is>
      </c>
      <c r="B2419" t="inlineStr">
        <is>
          <t>Roja Parfums 51 Eau De Parfum Spray 50ml</t>
        </is>
      </c>
      <c r="C2419" t="inlineStr">
        <is>
          <t>Eau De Parfum</t>
        </is>
      </c>
      <c r="D2419" t="inlineStr">
        <is>
          <t>Roja Parfums</t>
        </is>
      </c>
      <c r="E2419" t="n">
        <v>212.28</v>
      </c>
      <c r="F2419" t="n">
        <v>1</v>
      </c>
      <c r="G2419" t="n">
        <v>3</v>
      </c>
      <c r="H2419" s="5">
        <f>HYPERLINK("https://api.qogita.com/variants/link/5060399670586/", "View Product")</f>
        <v/>
      </c>
    </row>
    <row r="2420">
      <c r="A2420" t="inlineStr">
        <is>
          <t>5060399679381</t>
        </is>
      </c>
      <c r="B2420" t="inlineStr">
        <is>
          <t>Roja Parfums Nuwa Parfum Spray 100ml</t>
        </is>
      </c>
      <c r="C2420" t="inlineStr">
        <is>
          <t>Eau De Parfum</t>
        </is>
      </c>
      <c r="D2420" t="inlineStr">
        <is>
          <t>Roja Parfums</t>
        </is>
      </c>
      <c r="E2420" t="n">
        <v>460.1</v>
      </c>
      <c r="F2420" t="n">
        <v>1</v>
      </c>
      <c r="G2420" t="n">
        <v>9</v>
      </c>
      <c r="H2420" s="5">
        <f>HYPERLINK("https://api.qogita.com/variants/link/5060399679381/", "View Product")</f>
        <v/>
      </c>
    </row>
    <row r="2421">
      <c r="A2421" t="inlineStr">
        <is>
          <t>5060412110211</t>
        </is>
      </c>
      <c r="B2421" t="inlineStr">
        <is>
          <t>Thomas Kosmala No.2 Seve Nouvelle Eau De Parfum Spray 100ml</t>
        </is>
      </c>
      <c r="C2421" t="inlineStr">
        <is>
          <t>Eau De Parfum</t>
        </is>
      </c>
      <c r="D2421" t="inlineStr">
        <is>
          <t>Thomas Kosmala</t>
        </is>
      </c>
      <c r="E2421" t="n">
        <v>65.84</v>
      </c>
      <c r="F2421" t="n">
        <v>1</v>
      </c>
      <c r="G2421" t="n">
        <v>14</v>
      </c>
      <c r="H2421" s="5">
        <f>HYPERLINK("https://api.qogita.com/variants/link/5060412110211/", "View Product")</f>
        <v/>
      </c>
    </row>
    <row r="2422">
      <c r="A2422" t="inlineStr">
        <is>
          <t>5060412110556</t>
        </is>
      </c>
      <c r="B2422" t="inlineStr">
        <is>
          <t>Thomas Kosmala Bliss In Paradise Eau De Parfum Spray 100ml</t>
        </is>
      </c>
      <c r="C2422" t="inlineStr">
        <is>
          <t>Eau De Parfum</t>
        </is>
      </c>
      <c r="D2422" t="inlineStr">
        <is>
          <t>Thomas Kosmala</t>
        </is>
      </c>
      <c r="E2422" t="n">
        <v>85.95</v>
      </c>
      <c r="F2422" t="n">
        <v>1</v>
      </c>
      <c r="G2422" t="n">
        <v>4</v>
      </c>
      <c r="H2422" s="5">
        <f>HYPERLINK("https://api.qogita.com/variants/link/5060412110556/", "View Product")</f>
        <v/>
      </c>
    </row>
    <row r="2423">
      <c r="A2423" t="inlineStr">
        <is>
          <t>5060420337815</t>
        </is>
      </c>
      <c r="B2423" t="inlineStr">
        <is>
          <t>Fudge Professional Elevate Powder Volume Boosting Styling Powder Matte Finish</t>
        </is>
      </c>
      <c r="C2423" t="inlineStr">
        <is>
          <t>Volume Powder</t>
        </is>
      </c>
      <c r="D2423" t="inlineStr">
        <is>
          <t>Fudge</t>
        </is>
      </c>
      <c r="E2423" t="n">
        <v>6.47</v>
      </c>
      <c r="F2423" t="n">
        <v>1</v>
      </c>
      <c r="G2423" t="n">
        <v>8</v>
      </c>
      <c r="H2423" s="5">
        <f>HYPERLINK("https://api.qogita.com/variants/link/5060420337815/", "View Product")</f>
        <v/>
      </c>
    </row>
    <row r="2424">
      <c r="A2424" t="inlineStr">
        <is>
          <t>5060420337860</t>
        </is>
      </c>
      <c r="B2424" t="inlineStr">
        <is>
          <t>Fudge Professional Hair Gum Extreme Hold Hair Gel for Men 150ml</t>
        </is>
      </c>
      <c r="C2424" t="inlineStr">
        <is>
          <t>Gel</t>
        </is>
      </c>
      <c r="D2424" t="inlineStr">
        <is>
          <t>Fudge</t>
        </is>
      </c>
      <c r="E2424" t="n">
        <v>6.62</v>
      </c>
      <c r="F2424" t="n">
        <v>1</v>
      </c>
      <c r="G2424" t="n">
        <v>4</v>
      </c>
      <c r="H2424" s="5">
        <f>HYPERLINK("https://api.qogita.com/variants/link/5060420337860/", "View Product")</f>
        <v/>
      </c>
    </row>
    <row r="2425">
      <c r="A2425" t="inlineStr">
        <is>
          <t>5060426153464</t>
        </is>
      </c>
      <c r="B2425" t="inlineStr">
        <is>
          <t>Born Lovely by SJP EDP Spray for Women - Timelessly Classic Feminine Fragrance</t>
        </is>
      </c>
      <c r="C2425" t="inlineStr">
        <is>
          <t>Eau De Parfum</t>
        </is>
      </c>
      <c r="D2425" t="inlineStr">
        <is>
          <t>Sarah Jessica Parker</t>
        </is>
      </c>
      <c r="E2425" t="n">
        <v>18.95</v>
      </c>
      <c r="F2425" t="n">
        <v>1</v>
      </c>
      <c r="G2425" t="n">
        <v>4</v>
      </c>
      <c r="H2425" s="5">
        <f>HYPERLINK("https://api.qogita.com/variants/link/5060426153464/", "View Product")</f>
        <v/>
      </c>
    </row>
    <row r="2426">
      <c r="A2426" t="inlineStr">
        <is>
          <t>5060475232387</t>
        </is>
      </c>
      <c r="B2426" t="inlineStr">
        <is>
          <t>Boadicea The Victorious Complex Eau De Parfum Spray 2020 Edition 100ml</t>
        </is>
      </c>
      <c r="C2426" t="inlineStr">
        <is>
          <t>Eau De Parfum</t>
        </is>
      </c>
      <c r="D2426" t="inlineStr">
        <is>
          <t>Boadicea The Victorious</t>
        </is>
      </c>
      <c r="E2426" t="n">
        <v>276.4</v>
      </c>
      <c r="F2426" t="n">
        <v>1</v>
      </c>
      <c r="G2426" t="n">
        <v>4</v>
      </c>
      <c r="H2426" s="5">
        <f>HYPERLINK("https://api.qogita.com/variants/link/5060475232387/", "View Product")</f>
        <v/>
      </c>
    </row>
    <row r="2427">
      <c r="A2427" t="inlineStr">
        <is>
          <t>5060475233407</t>
        </is>
      </c>
      <c r="B2427" t="inlineStr">
        <is>
          <t>Boadicea The Victorious Envious Eau De Parfum Spray 100ml</t>
        </is>
      </c>
      <c r="C2427" t="inlineStr">
        <is>
          <t>Eau De Parfum</t>
        </is>
      </c>
      <c r="D2427" t="inlineStr">
        <is>
          <t>Boadicea The Victorious</t>
        </is>
      </c>
      <c r="E2427" t="n">
        <v>139.14</v>
      </c>
      <c r="F2427" t="n">
        <v>1</v>
      </c>
      <c r="G2427" t="n">
        <v>7</v>
      </c>
      <c r="H2427" s="5">
        <f>HYPERLINK("https://api.qogita.com/variants/link/5060475233407/", "View Product")</f>
        <v/>
      </c>
    </row>
    <row r="2428">
      <c r="A2428" t="inlineStr">
        <is>
          <t>5060475234060</t>
        </is>
      </c>
      <c r="B2428" t="inlineStr">
        <is>
          <t>Boadicea The Victorious Tobacco Sapphire Eau De Parfum 100 Milliliters</t>
        </is>
      </c>
      <c r="C2428" t="inlineStr">
        <is>
          <t>Eau De Parfum</t>
        </is>
      </c>
      <c r="D2428" t="inlineStr">
        <is>
          <t>Boadicea The Victorious</t>
        </is>
      </c>
      <c r="E2428" t="n">
        <v>468.79</v>
      </c>
      <c r="F2428" t="n">
        <v>1</v>
      </c>
      <c r="G2428" t="n">
        <v>2</v>
      </c>
      <c r="H2428" s="5">
        <f>HYPERLINK("https://api.qogita.com/variants/link/5060475234060/", "View Product")</f>
        <v/>
      </c>
    </row>
    <row r="2429">
      <c r="A2429" t="inlineStr">
        <is>
          <t>5060485381891</t>
        </is>
      </c>
      <c r="B2429" t="inlineStr">
        <is>
          <t>Electimuss Fragrance Rhodanthe Extrait De Parfum 100ml</t>
        </is>
      </c>
      <c r="C2429" t="inlineStr">
        <is>
          <t>Extrait De Parfum</t>
        </is>
      </c>
      <c r="D2429" t="inlineStr">
        <is>
          <t>Electimuss</t>
        </is>
      </c>
      <c r="E2429" t="n">
        <v>106.44</v>
      </c>
      <c r="F2429" t="n">
        <v>1</v>
      </c>
      <c r="G2429" t="n">
        <v>5</v>
      </c>
      <c r="H2429" s="5">
        <f>HYPERLINK("https://api.qogita.com/variants/link/5060485381891/", "View Product")</f>
        <v/>
      </c>
    </row>
    <row r="2430">
      <c r="A2430" t="inlineStr">
        <is>
          <t>5060485381969</t>
        </is>
      </c>
      <c r="B2430" t="inlineStr">
        <is>
          <t>Emperor Amber Aqularia Extrait de Parfum</t>
        </is>
      </c>
      <c r="C2430" t="inlineStr">
        <is>
          <t>Extrait De Parfum</t>
        </is>
      </c>
      <c r="D2430" t="inlineStr">
        <is>
          <t>Electimuss London</t>
        </is>
      </c>
      <c r="E2430" t="n">
        <v>219.93</v>
      </c>
      <c r="F2430" t="n">
        <v>1</v>
      </c>
      <c r="G2430" t="n">
        <v>3</v>
      </c>
      <c r="H2430" s="5">
        <f>HYPERLINK("https://api.qogita.com/variants/link/5060485381969/", "View Product")</f>
        <v/>
      </c>
    </row>
    <row r="2431">
      <c r="A2431" t="inlineStr">
        <is>
          <t>5060485382591</t>
        </is>
      </c>
      <c r="B2431" t="inlineStr">
        <is>
          <t>Electimuss Patchouli Of The Underworld Parfum Unisex 100 Ml</t>
        </is>
      </c>
      <c r="C2431" t="inlineStr">
        <is>
          <t>Eau De Parfum</t>
        </is>
      </c>
      <c r="D2431" t="inlineStr">
        <is>
          <t>Electimuss</t>
        </is>
      </c>
      <c r="E2431" t="n">
        <v>102.12</v>
      </c>
      <c r="F2431" t="n">
        <v>1</v>
      </c>
      <c r="G2431" t="n">
        <v>8</v>
      </c>
      <c r="H2431" s="5">
        <f>HYPERLINK("https://api.qogita.com/variants/link/5060485382591/", "View Product")</f>
        <v/>
      </c>
    </row>
    <row r="2432">
      <c r="A2432" t="inlineStr">
        <is>
          <t>5060486261918</t>
        </is>
      </c>
      <c r="B2432" t="inlineStr">
        <is>
          <t>Q+A Vitamin A.C.E. Warming Gel Mask - Antioxidant Rich Face Mask</t>
        </is>
      </c>
      <c r="C2432" t="inlineStr">
        <is>
          <t>Anti-Aging Mask</t>
        </is>
      </c>
      <c r="D2432" t="inlineStr">
        <is>
          <t>Q+A</t>
        </is>
      </c>
      <c r="E2432" t="n">
        <v>7.13</v>
      </c>
      <c r="F2432" t="n">
        <v>1</v>
      </c>
      <c r="G2432" t="n">
        <v>2</v>
      </c>
      <c r="H2432" s="5">
        <f>HYPERLINK("https://api.qogita.com/variants/link/5060486261918/", "View Product")</f>
        <v/>
      </c>
    </row>
    <row r="2433">
      <c r="A2433" t="inlineStr">
        <is>
          <t>5060524511494</t>
        </is>
      </c>
      <c r="B2433" t="inlineStr">
        <is>
          <t>Cristiano Ronaldo Cr7 Discover Eau De Toilette Spray 100ml</t>
        </is>
      </c>
      <c r="C2433" t="inlineStr">
        <is>
          <t>Eau De Toilette</t>
        </is>
      </c>
      <c r="D2433" t="inlineStr">
        <is>
          <t>Cristiano Ronaldo</t>
        </is>
      </c>
      <c r="E2433" t="n">
        <v>25.59</v>
      </c>
      <c r="F2433" t="n">
        <v>1</v>
      </c>
      <c r="G2433" t="n">
        <v>2</v>
      </c>
      <c r="H2433" s="5">
        <f>HYPERLINK("https://api.qogita.com/variants/link/5060524511494/", "View Product")</f>
        <v/>
      </c>
    </row>
    <row r="2434">
      <c r="A2434" t="inlineStr">
        <is>
          <t>5060548390075</t>
        </is>
      </c>
      <c r="B2434" t="inlineStr">
        <is>
          <t>My White Secret Whitening Strips with Activated Charcoal and Coconut Oil 14 Pairs</t>
        </is>
      </c>
      <c r="C2434" t="inlineStr">
        <is>
          <t>Teeth Whiteners</t>
        </is>
      </c>
      <c r="D2434" t="inlineStr">
        <is>
          <t>My White Secret</t>
        </is>
      </c>
      <c r="E2434" t="n">
        <v>24.77</v>
      </c>
      <c r="F2434" t="n">
        <v>1</v>
      </c>
      <c r="G2434" t="n">
        <v>5</v>
      </c>
      <c r="H2434" s="5">
        <f>HYPERLINK("https://api.qogita.com/variants/link/5060548390075/", "View Product")</f>
        <v/>
      </c>
    </row>
    <row r="2435">
      <c r="A2435" t="inlineStr">
        <is>
          <t>5060548390297</t>
        </is>
      </c>
      <c r="B2435" t="inlineStr">
        <is>
          <t>Breakoutaid Vegan Facial Cleansing Bar with Salicylic Acid and Hyaluronic Acid 100g 3.5oz</t>
        </is>
      </c>
      <c r="C2435" t="inlineStr">
        <is>
          <t>Facial Soap</t>
        </is>
      </c>
      <c r="D2435" t="inlineStr">
        <is>
          <t>My White Secret</t>
        </is>
      </c>
      <c r="E2435" t="n">
        <v>7.97</v>
      </c>
      <c r="F2435" t="n">
        <v>1</v>
      </c>
      <c r="G2435" t="n">
        <v>14</v>
      </c>
      <c r="H2435" s="5">
        <f>HYPERLINK("https://api.qogita.com/variants/link/5060548390297/", "View Product")</f>
        <v/>
      </c>
    </row>
    <row r="2436">
      <c r="A2436" t="inlineStr">
        <is>
          <t>5060548390457</t>
        </is>
      </c>
      <c r="B2436" t="inlineStr">
        <is>
          <t>Toothpaste Powder - Unknown</t>
        </is>
      </c>
      <c r="C2436" t="inlineStr">
        <is>
          <t>Toothpaste</t>
        </is>
      </c>
      <c r="D2436" t="inlineStr">
        <is>
          <t>‎- Unknown</t>
        </is>
      </c>
      <c r="E2436" t="n">
        <v>9.029999999999999</v>
      </c>
      <c r="F2436" t="n">
        <v>1</v>
      </c>
      <c r="G2436" t="n">
        <v>5</v>
      </c>
      <c r="H2436" s="5">
        <f>HYPERLINK("https://api.qogita.com/variants/link/5060548390457/", "View Product")</f>
        <v/>
      </c>
    </row>
    <row r="2437">
      <c r="A2437" t="inlineStr">
        <is>
          <t>5060548390495</t>
        </is>
      </c>
      <c r="B2437" t="inlineStr">
        <is>
          <t>Whitening Pen with Phytic Acid Phosphate</t>
        </is>
      </c>
      <c r="C2437" t="inlineStr">
        <is>
          <t>Teeth Whiteners</t>
        </is>
      </c>
      <c r="D2437" t="inlineStr">
        <is>
          <t>My White Secret</t>
        </is>
      </c>
      <c r="E2437" t="n">
        <v>8.98</v>
      </c>
      <c r="F2437" t="n">
        <v>1</v>
      </c>
      <c r="G2437" t="n">
        <v>13</v>
      </c>
      <c r="H2437" s="5">
        <f>HYPERLINK("https://api.qogita.com/variants/link/5060548390495/", "View Product")</f>
        <v/>
      </c>
    </row>
    <row r="2438">
      <c r="A2438" t="inlineStr">
        <is>
          <t>5060548390563</t>
        </is>
      </c>
      <c r="B2438" t="inlineStr">
        <is>
          <t>V34 Teeth Whitening Foam</t>
        </is>
      </c>
      <c r="C2438" t="inlineStr">
        <is>
          <t>Teeth Whiteners</t>
        </is>
      </c>
      <c r="D2438" t="inlineStr">
        <is>
          <t>V34</t>
        </is>
      </c>
      <c r="E2438" t="n">
        <v>9.550000000000001</v>
      </c>
      <c r="F2438" t="n">
        <v>1</v>
      </c>
      <c r="G2438" t="n">
        <v>6</v>
      </c>
      <c r="H2438" s="5">
        <f>HYPERLINK("https://api.qogita.com/variants/link/5060548390563/", "View Product")</f>
        <v/>
      </c>
    </row>
    <row r="2439">
      <c r="A2439" t="inlineStr">
        <is>
          <t>5060548390686</t>
        </is>
      </c>
      <c r="B2439" t="inlineStr">
        <is>
          <t>My White Secret Peach Iced Tea Toothpaste - 60 G</t>
        </is>
      </c>
      <c r="C2439" t="inlineStr">
        <is>
          <t>Toothpaste</t>
        </is>
      </c>
      <c r="D2439" t="inlineStr">
        <is>
          <t>My White Secret</t>
        </is>
      </c>
      <c r="E2439" t="n">
        <v>6.09</v>
      </c>
      <c r="F2439" t="n">
        <v>1</v>
      </c>
      <c r="G2439" t="n">
        <v>8</v>
      </c>
      <c r="H2439" s="5">
        <f>HYPERLINK("https://api.qogita.com/variants/link/5060548390686/", "View Product")</f>
        <v/>
      </c>
    </row>
    <row r="2440">
      <c r="A2440" t="inlineStr">
        <is>
          <t>5060548390754</t>
        </is>
      </c>
      <c r="B2440" t="inlineStr">
        <is>
          <t>Breakoutaid Cleansing Patches For Enlarged Pores On The Nose 5 Pieces</t>
        </is>
      </c>
      <c r="C2440" t="inlineStr">
        <is>
          <t>Makeup Remover</t>
        </is>
      </c>
      <c r="D2440" t="inlineStr">
        <is>
          <t>Breakout Aid</t>
        </is>
      </c>
      <c r="E2440" t="n">
        <v>9.75</v>
      </c>
      <c r="F2440" t="n">
        <v>1</v>
      </c>
      <c r="G2440" t="n">
        <v>15</v>
      </c>
      <c r="H2440" s="5">
        <f>HYPERLINK("https://api.qogita.com/variants/link/5060548390754/", "View Product")</f>
        <v/>
      </c>
    </row>
    <row r="2441">
      <c r="A2441" t="inlineStr">
        <is>
          <t>5060548390860</t>
        </is>
      </c>
      <c r="B2441" t="inlineStr">
        <is>
          <t>My White Secret Banana Toothpaste - 60 G</t>
        </is>
      </c>
      <c r="C2441" t="inlineStr">
        <is>
          <t>Toothpaste</t>
        </is>
      </c>
      <c r="D2441" t="inlineStr">
        <is>
          <t>My White Secret</t>
        </is>
      </c>
      <c r="E2441" t="n">
        <v>6.09</v>
      </c>
      <c r="F2441" t="n">
        <v>1</v>
      </c>
      <c r="G2441" t="n">
        <v>7</v>
      </c>
      <c r="H2441" s="5">
        <f>HYPERLINK("https://api.qogita.com/variants/link/5060548390860/", "View Product")</f>
        <v/>
      </c>
    </row>
    <row r="2442">
      <c r="A2442" t="inlineStr">
        <is>
          <t>5060630040635</t>
        </is>
      </c>
      <c r="B2442" t="inlineStr">
        <is>
          <t>Tangle Teezer The Wet Detangling Fine &amp; Fragile Hairbrush - Pink</t>
        </is>
      </c>
      <c r="C2442" t="inlineStr">
        <is>
          <t>Detanglers</t>
        </is>
      </c>
      <c r="D2442" t="inlineStr">
        <is>
          <t>Tangle Teezer</t>
        </is>
      </c>
      <c r="E2442" t="n">
        <v>9.4</v>
      </c>
      <c r="F2442" t="n">
        <v>1</v>
      </c>
      <c r="G2442" t="n">
        <v>14</v>
      </c>
      <c r="H2442" s="5">
        <f>HYPERLINK("https://api.qogita.com/variants/link/5060630040635/", "View Product")</f>
        <v/>
      </c>
    </row>
    <row r="2443">
      <c r="A2443" t="inlineStr">
        <is>
          <t>5060630045388</t>
        </is>
      </c>
      <c r="B2443" t="inlineStr">
        <is>
          <t>Tangle Teezer The Wet Detangler Comb, Denim Blues</t>
        </is>
      </c>
      <c r="C2443" t="inlineStr">
        <is>
          <t>Detanglers</t>
        </is>
      </c>
      <c r="D2443" t="inlineStr">
        <is>
          <t>Tangle Teezer</t>
        </is>
      </c>
      <c r="E2443" t="n">
        <v>9.4</v>
      </c>
      <c r="F2443" t="n">
        <v>1</v>
      </c>
      <c r="G2443" t="n">
        <v>17</v>
      </c>
      <c r="H2443" s="5">
        <f>HYPERLINK("https://api.qogita.com/variants/link/5060630045388/", "View Product")</f>
        <v/>
      </c>
    </row>
    <row r="2444">
      <c r="A2444" t="inlineStr">
        <is>
          <t>5060630046569</t>
        </is>
      </c>
      <c r="B2444" t="inlineStr">
        <is>
          <t>Tangle Teezer Everyday Detangling Spray 150ml</t>
        </is>
      </c>
      <c r="C2444" t="inlineStr">
        <is>
          <t>Leave-In Conditioner</t>
        </is>
      </c>
      <c r="D2444" t="inlineStr">
        <is>
          <t>Tangle Teezer</t>
        </is>
      </c>
      <c r="E2444" t="n">
        <v>9.380000000000001</v>
      </c>
      <c r="F2444" t="n">
        <v>1</v>
      </c>
      <c r="G2444" t="n">
        <v>11</v>
      </c>
      <c r="H2444" s="5">
        <f>HYPERLINK("https://api.qogita.com/variants/link/5060630046569/", "View Product")</f>
        <v/>
      </c>
    </row>
    <row r="2445">
      <c r="A2445" t="inlineStr">
        <is>
          <t>5060656210791</t>
        </is>
      </c>
      <c r="B2445" t="inlineStr">
        <is>
          <t>Slick Gorilla Vitamin Bears For Hair Strengthening - 60 Pieces</t>
        </is>
      </c>
      <c r="C2445" t="inlineStr">
        <is>
          <t>Vitamin</t>
        </is>
      </c>
      <c r="D2445" t="inlineStr">
        <is>
          <t>Slick Gorilla</t>
        </is>
      </c>
      <c r="E2445" t="n">
        <v>17.01</v>
      </c>
      <c r="F2445" t="n">
        <v>1</v>
      </c>
      <c r="G2445" t="n">
        <v>5</v>
      </c>
      <c r="H2445" s="5">
        <f>HYPERLINK("https://api.qogita.com/variants/link/5060656210791/", "View Product")</f>
        <v/>
      </c>
    </row>
    <row r="2446">
      <c r="A2446" t="inlineStr">
        <is>
          <t>5060743581216</t>
        </is>
      </c>
      <c r="B2446" t="inlineStr">
        <is>
          <t>Hairburst Conditioner For Longer And Stronger Hair</t>
        </is>
      </c>
      <c r="C2446" t="inlineStr">
        <is>
          <t>Conditioner</t>
        </is>
      </c>
      <c r="D2446" t="inlineStr">
        <is>
          <t>Hairburst</t>
        </is>
      </c>
      <c r="E2446" t="n">
        <v>7</v>
      </c>
      <c r="F2446" t="n">
        <v>1</v>
      </c>
      <c r="G2446" t="n">
        <v>2</v>
      </c>
      <c r="H2446" s="5">
        <f>HYPERLINK("https://api.qogita.com/variants/link/5060743581216/", "View Product")</f>
        <v/>
      </c>
    </row>
    <row r="2447">
      <c r="A2447" t="inlineStr">
        <is>
          <t>5060784160074</t>
        </is>
      </c>
      <c r="B2447" t="inlineStr">
        <is>
          <t>La Perla Beauty Signature Eau De Parfum Spray 90ml</t>
        </is>
      </c>
      <c r="C2447" t="inlineStr">
        <is>
          <t>Eau De Parfum</t>
        </is>
      </c>
      <c r="D2447" t="inlineStr">
        <is>
          <t>La Perla</t>
        </is>
      </c>
      <c r="E2447" t="n">
        <v>49.36</v>
      </c>
      <c r="F2447" t="n">
        <v>1</v>
      </c>
      <c r="G2447" t="n">
        <v>3</v>
      </c>
      <c r="H2447" s="5">
        <f>HYPERLINK("https://api.qogita.com/variants/link/5060784160074/", "View Product")</f>
        <v/>
      </c>
    </row>
    <row r="2448">
      <c r="A2448" t="inlineStr">
        <is>
          <t>5060796560213</t>
        </is>
      </c>
      <c r="B2448" t="inlineStr">
        <is>
          <t>Men Rock London Awakening Moustache Wax Sicilian Lime 25 Ml</t>
        </is>
      </c>
      <c r="C2448" t="inlineStr">
        <is>
          <t>Beard Care Accessories</t>
        </is>
      </c>
      <c r="D2448" t="inlineStr">
        <is>
          <t>Men Rock</t>
        </is>
      </c>
      <c r="E2448" t="n">
        <v>8.390000000000001</v>
      </c>
      <c r="F2448" t="n">
        <v>1</v>
      </c>
      <c r="G2448" t="n">
        <v>3</v>
      </c>
      <c r="H2448" s="5">
        <f>HYPERLINK("https://api.qogita.com/variants/link/5060796560213/", "View Product")</f>
        <v/>
      </c>
    </row>
    <row r="2449">
      <c r="A2449" t="inlineStr">
        <is>
          <t>5060905832484</t>
        </is>
      </c>
      <c r="B2449" t="inlineStr">
        <is>
          <t>Thameen Unisex Amber Room Extrait De Parfum 3.4 Oz</t>
        </is>
      </c>
      <c r="C2449" t="inlineStr">
        <is>
          <t>Extrait De Parfum</t>
        </is>
      </c>
      <c r="D2449" t="inlineStr">
        <is>
          <t>Thameen</t>
        </is>
      </c>
      <c r="E2449" t="n">
        <v>91.2</v>
      </c>
      <c r="F2449" t="n">
        <v>1</v>
      </c>
      <c r="G2449" t="n">
        <v>7</v>
      </c>
      <c r="H2449" s="5">
        <f>HYPERLINK("https://api.qogita.com/variants/link/5060905832484/", "View Product")</f>
        <v/>
      </c>
    </row>
    <row r="2450">
      <c r="A2450" t="inlineStr">
        <is>
          <t>5060905832569</t>
        </is>
      </c>
      <c r="B2450" t="inlineStr">
        <is>
          <t>Thameen Unisex Patiala Extrait De Parfum 3.4 Ounces</t>
        </is>
      </c>
      <c r="C2450" t="inlineStr">
        <is>
          <t>Extrait De Parfum</t>
        </is>
      </c>
      <c r="D2450" t="inlineStr">
        <is>
          <t>Thameen</t>
        </is>
      </c>
      <c r="E2450" t="n">
        <v>157.16</v>
      </c>
      <c r="F2450" t="n">
        <v>1</v>
      </c>
      <c r="G2450" t="n">
        <v>5</v>
      </c>
      <c r="H2450" s="5">
        <f>HYPERLINK("https://api.qogita.com/variants/link/5060905832569/", "View Product")</f>
        <v/>
      </c>
    </row>
    <row r="2451">
      <c r="A2451" t="inlineStr">
        <is>
          <t>5060926682365</t>
        </is>
      </c>
      <c r="B2451" t="inlineStr">
        <is>
          <t>Tangle Teezer The Thick &amp; Curly Detangling Hairbrush with Strong Two-Tiered Teeth</t>
        </is>
      </c>
      <c r="C2451" t="inlineStr">
        <is>
          <t>Detanglers</t>
        </is>
      </c>
      <c r="D2451" t="inlineStr">
        <is>
          <t>Tangle Teezer</t>
        </is>
      </c>
      <c r="E2451" t="n">
        <v>12.76</v>
      </c>
      <c r="F2451" t="n">
        <v>1</v>
      </c>
      <c r="G2451" t="n">
        <v>5</v>
      </c>
      <c r="H2451" s="5">
        <f>HYPERLINK("https://api.qogita.com/variants/link/5060926682365/", "View Product")</f>
        <v/>
      </c>
    </row>
    <row r="2452">
      <c r="A2452" t="inlineStr">
        <is>
          <t>5060926682945</t>
        </is>
      </c>
      <c r="B2452" t="inlineStr">
        <is>
          <t>Tangle Teezer Ultimate Detangler Fine &amp; Fragile Dark Teal - Hair Brush for All Hair Types, 1 Piece</t>
        </is>
      </c>
      <c r="C2452" t="inlineStr">
        <is>
          <t>Detanglers</t>
        </is>
      </c>
      <c r="D2452" t="inlineStr">
        <is>
          <t>Tangle Teezer</t>
        </is>
      </c>
      <c r="E2452" t="n">
        <v>12.19</v>
      </c>
      <c r="F2452" t="n">
        <v>1</v>
      </c>
      <c r="G2452" t="n">
        <v>11</v>
      </c>
      <c r="H2452" s="5">
        <f>HYPERLINK("https://api.qogita.com/variants/link/5060926682945/", "View Product")</f>
        <v/>
      </c>
    </row>
    <row r="2453">
      <c r="A2453" t="inlineStr">
        <is>
          <t>5060926686714</t>
        </is>
      </c>
      <c r="B2453" t="inlineStr">
        <is>
          <t>Tangle Teezer Ultimate Detangler Hairbrush for Wet &amp; Dry Hair - Eliminates Knots</t>
        </is>
      </c>
      <c r="C2453" t="inlineStr">
        <is>
          <t>Detanglers</t>
        </is>
      </c>
      <c r="D2453" t="inlineStr">
        <is>
          <t>Tangle Teezer</t>
        </is>
      </c>
      <c r="E2453" t="n">
        <v>12.19</v>
      </c>
      <c r="F2453" t="n">
        <v>1</v>
      </c>
      <c r="G2453" t="n">
        <v>13</v>
      </c>
      <c r="H2453" s="5">
        <f>HYPERLINK("https://api.qogita.com/variants/link/5060926686714/", "View Product")</f>
        <v/>
      </c>
    </row>
    <row r="2454">
      <c r="A2454" t="inlineStr">
        <is>
          <t>5065022407072</t>
        </is>
      </c>
      <c r="B2454" t="inlineStr">
        <is>
          <t>Crazy Bull Clay Play Hair Styler Medium Hold with Low Shine</t>
        </is>
      </c>
      <c r="C2454" t="inlineStr">
        <is>
          <t>Wax</t>
        </is>
      </c>
      <c r="D2454" t="inlineStr">
        <is>
          <t>Crazy Bull</t>
        </is>
      </c>
      <c r="E2454" t="n">
        <v>8.220000000000001</v>
      </c>
      <c r="F2454" t="n">
        <v>1</v>
      </c>
      <c r="G2454" t="n">
        <v>3</v>
      </c>
      <c r="H2454" s="5">
        <f>HYPERLINK("https://api.qogita.com/variants/link/5065022407072/", "View Product")</f>
        <v/>
      </c>
    </row>
    <row r="2455">
      <c r="A2455" t="inlineStr">
        <is>
          <t>5081304300916</t>
        </is>
      </c>
      <c r="B2455" t="inlineStr">
        <is>
          <t>Fragrance Du Bois Unisex Oud Vert Intense Perfume 50ml</t>
        </is>
      </c>
      <c r="C2455" t="inlineStr">
        <is>
          <t>Eau De Parfum</t>
        </is>
      </c>
      <c r="D2455" t="inlineStr">
        <is>
          <t>Fragrance Du Bois</t>
        </is>
      </c>
      <c r="E2455" t="n">
        <v>183.43</v>
      </c>
      <c r="F2455" t="n">
        <v>1</v>
      </c>
      <c r="G2455" t="n">
        <v>4</v>
      </c>
      <c r="H2455" s="5">
        <f>HYPERLINK("https://api.qogita.com/variants/link/5081304300916/", "View Product")</f>
        <v/>
      </c>
    </row>
    <row r="2456">
      <c r="A2456" t="inlineStr">
        <is>
          <t>5081304301012</t>
        </is>
      </c>
      <c r="B2456" t="inlineStr">
        <is>
          <t>Fragrance Du Bois Unisex Oud Jaune Intense Perfume 100ml</t>
        </is>
      </c>
      <c r="C2456" t="inlineStr">
        <is>
          <t>Eau De Parfum</t>
        </is>
      </c>
      <c r="D2456" t="inlineStr">
        <is>
          <t>Fragrance Du Bois</t>
        </is>
      </c>
      <c r="E2456" t="n">
        <v>307.73</v>
      </c>
      <c r="F2456" t="n">
        <v>1</v>
      </c>
      <c r="G2456" t="n">
        <v>6</v>
      </c>
      <c r="H2456" s="5">
        <f>HYPERLINK("https://api.qogita.com/variants/link/5081304301012/", "View Product")</f>
        <v/>
      </c>
    </row>
    <row r="2457">
      <c r="A2457" t="inlineStr">
        <is>
          <t>5081304448458</t>
        </is>
      </c>
      <c r="B2457" t="inlineStr">
        <is>
          <t>Siberian Rose Parfum 3.38 Fl Oz</t>
        </is>
      </c>
      <c r="C2457" t="inlineStr">
        <is>
          <t>Eau De Parfum</t>
        </is>
      </c>
      <c r="D2457" t="inlineStr">
        <is>
          <t>Fragrance Du Bois</t>
        </is>
      </c>
      <c r="E2457" t="n">
        <v>156.55</v>
      </c>
      <c r="F2457" t="n">
        <v>1</v>
      </c>
      <c r="G2457" t="n">
        <v>2</v>
      </c>
      <c r="H2457" s="5">
        <f>HYPERLINK("https://api.qogita.com/variants/link/5081304448458/", "View Product")</f>
        <v/>
      </c>
    </row>
    <row r="2458">
      <c r="A2458" t="inlineStr">
        <is>
          <t>5081304448649</t>
        </is>
      </c>
      <c r="B2458" t="inlineStr">
        <is>
          <t>Fragrance Du Bois Solstis Eau de Parfum Spray 3.4 oz</t>
        </is>
      </c>
      <c r="C2458" t="inlineStr">
        <is>
          <t>Eau De Parfum</t>
        </is>
      </c>
      <c r="D2458" t="inlineStr">
        <is>
          <t>Fragrance Du Bois</t>
        </is>
      </c>
      <c r="E2458" t="n">
        <v>183.43</v>
      </c>
      <c r="F2458" t="n">
        <v>1</v>
      </c>
      <c r="G2458" t="n">
        <v>3</v>
      </c>
      <c r="H2458" s="5">
        <f>HYPERLINK("https://api.qogita.com/variants/link/5081304448649/", "View Product")</f>
        <v/>
      </c>
    </row>
    <row r="2459">
      <c r="A2459" t="inlineStr">
        <is>
          <t>5099821001858</t>
        </is>
      </c>
      <c r="B2459" t="inlineStr">
        <is>
          <t>Hawaiian Tropic Glowing Protection Sunscreen Lotion Spf 50 180ml</t>
        </is>
      </c>
      <c r="C2459" t="inlineStr">
        <is>
          <t>Body Sun Protection</t>
        </is>
      </c>
      <c r="D2459" t="inlineStr">
        <is>
          <t>Hawaiian Tropic</t>
        </is>
      </c>
      <c r="E2459" t="n">
        <v>12.62</v>
      </c>
      <c r="F2459" t="n">
        <v>1</v>
      </c>
      <c r="G2459" t="n">
        <v>4</v>
      </c>
      <c r="H2459" s="5">
        <f>HYPERLINK("https://api.qogita.com/variants/link/5099821001858/", "View Product")</f>
        <v/>
      </c>
    </row>
    <row r="2460">
      <c r="A2460" t="inlineStr">
        <is>
          <t>5099821002282</t>
        </is>
      </c>
      <c r="B2460" t="inlineStr">
        <is>
          <t>Hawaiian Tropic Argan Oil Sunscreen Spray SPF 30 177ml</t>
        </is>
      </c>
      <c r="C2460" t="inlineStr">
        <is>
          <t>Body Sun Protection</t>
        </is>
      </c>
      <c r="D2460" t="inlineStr">
        <is>
          <t>Wilkinson Sword</t>
        </is>
      </c>
      <c r="E2460" t="n">
        <v>12.62</v>
      </c>
      <c r="F2460" t="n">
        <v>1</v>
      </c>
      <c r="G2460" t="n">
        <v>6</v>
      </c>
      <c r="H2460" s="5">
        <f>HYPERLINK("https://api.qogita.com/variants/link/5099821002282/", "View Product")</f>
        <v/>
      </c>
    </row>
    <row r="2461">
      <c r="A2461" t="inlineStr">
        <is>
          <t>5099821109219</t>
        </is>
      </c>
      <c r="B2461" t="inlineStr">
        <is>
          <t>Hawaiian Tropic Protective Dry Oil Spray Spf 30 200 Ml</t>
        </is>
      </c>
      <c r="C2461" t="inlineStr">
        <is>
          <t>Body Sun Protection</t>
        </is>
      </c>
      <c r="D2461" t="inlineStr">
        <is>
          <t>Hawaiian Tropic</t>
        </is>
      </c>
      <c r="E2461" t="n">
        <v>13.17</v>
      </c>
      <c r="F2461" t="n">
        <v>1</v>
      </c>
      <c r="G2461" t="n">
        <v>13</v>
      </c>
      <c r="H2461" s="5">
        <f>HYPERLINK("https://api.qogita.com/variants/link/5099821109219/", "View Product")</f>
        <v/>
      </c>
    </row>
    <row r="2462">
      <c r="A2462" t="inlineStr">
        <is>
          <t>5099821128739</t>
        </is>
      </c>
      <c r="B2462" t="inlineStr">
        <is>
          <t>Hawaiian Tropic Silk Hydration Ultra-Light Continuous Sun Lotion Spray SPF 50</t>
        </is>
      </c>
      <c r="C2462" t="inlineStr">
        <is>
          <t>Body Sun Protection</t>
        </is>
      </c>
      <c r="D2462" t="inlineStr">
        <is>
          <t>Hawaiian Tropic</t>
        </is>
      </c>
      <c r="E2462" t="n">
        <v>19.65</v>
      </c>
      <c r="F2462" t="n">
        <v>1</v>
      </c>
      <c r="G2462" t="n">
        <v>14</v>
      </c>
      <c r="H2462" s="5">
        <f>HYPERLINK("https://api.qogita.com/variants/link/5099821128739/", "View Product")</f>
        <v/>
      </c>
    </row>
    <row r="2463">
      <c r="A2463" t="inlineStr">
        <is>
          <t>5201279070335</t>
        </is>
      </c>
      <c r="B2463" t="inlineStr">
        <is>
          <t>Apivita Fig Shower Gel With Essential Oils 250ml</t>
        </is>
      </c>
      <c r="C2463" t="inlineStr">
        <is>
          <t>Shower Gel</t>
        </is>
      </c>
      <c r="D2463" t="inlineStr">
        <is>
          <t>Apivita</t>
        </is>
      </c>
      <c r="E2463" t="n">
        <v>6.16</v>
      </c>
      <c r="F2463" t="n">
        <v>1</v>
      </c>
      <c r="G2463" t="n">
        <v>3</v>
      </c>
      <c r="H2463" s="5">
        <f>HYPERLINK("https://api.qogita.com/variants/link/5201279070335/", "View Product")</f>
        <v/>
      </c>
    </row>
    <row r="2464">
      <c r="A2464" t="inlineStr">
        <is>
          <t>5201279091507</t>
        </is>
      </c>
      <c r="B2464" t="inlineStr">
        <is>
          <t>BEE RADIANT NIGHT GEL-BALM</t>
        </is>
      </c>
      <c r="C2464" t="inlineStr">
        <is>
          <t>Night Cream</t>
        </is>
      </c>
      <c r="D2464" t="inlineStr">
        <is>
          <t>Apivita</t>
        </is>
      </c>
      <c r="E2464" t="n">
        <v>21.8</v>
      </c>
      <c r="F2464" t="n">
        <v>1</v>
      </c>
      <c r="G2464" t="n">
        <v>3</v>
      </c>
      <c r="H2464" s="5">
        <f>HYPERLINK("https://api.qogita.com/variants/link/5201279091507/", "View Product")</f>
        <v/>
      </c>
    </row>
    <row r="2465">
      <c r="A2465" t="inlineStr">
        <is>
          <t>5201279094225</t>
        </is>
      </c>
      <c r="B2465" t="inlineStr">
        <is>
          <t>Apivita Beevine Elixir Eye And Lip Antiwrinkle Cream 15ml</t>
        </is>
      </c>
      <c r="C2465" t="inlineStr">
        <is>
          <t>Anti-Aging Facial Care</t>
        </is>
      </c>
      <c r="D2465" t="inlineStr">
        <is>
          <t>Apivita</t>
        </is>
      </c>
      <c r="E2465" t="n">
        <v>21.66</v>
      </c>
      <c r="F2465" t="n">
        <v>1</v>
      </c>
      <c r="G2465" t="n">
        <v>2</v>
      </c>
      <c r="H2465" s="5">
        <f>HYPERLINK("https://api.qogita.com/variants/link/5201279094225/", "View Product")</f>
        <v/>
      </c>
    </row>
    <row r="2466">
      <c r="A2466" t="inlineStr">
        <is>
          <t>5201314106678</t>
        </is>
      </c>
      <c r="B2466" t="inlineStr">
        <is>
          <t>Str8 Rise EDT 50ml</t>
        </is>
      </c>
      <c r="C2466" t="inlineStr">
        <is>
          <t>Eau De Toilette</t>
        </is>
      </c>
      <c r="D2466" t="inlineStr">
        <is>
          <t>Str8</t>
        </is>
      </c>
      <c r="E2466" t="n">
        <v>5.98</v>
      </c>
      <c r="F2466" t="n">
        <v>1</v>
      </c>
      <c r="G2466" t="n">
        <v>14</v>
      </c>
      <c r="H2466" s="5">
        <f>HYPERLINK("https://api.qogita.com/variants/link/5201314106678/", "View Product")</f>
        <v/>
      </c>
    </row>
    <row r="2467">
      <c r="A2467" t="inlineStr">
        <is>
          <t>5201314107224</t>
        </is>
      </c>
      <c r="B2467" t="inlineStr">
        <is>
          <t>Str8 Rise Deodorant Spray 150ml</t>
        </is>
      </c>
      <c r="C2467" t="inlineStr">
        <is>
          <t>Deodorant &amp; Anti-Perspirant</t>
        </is>
      </c>
      <c r="D2467" t="inlineStr">
        <is>
          <t>Str8</t>
        </is>
      </c>
      <c r="E2467" t="n">
        <v>4.74</v>
      </c>
      <c r="F2467" t="n">
        <v>1</v>
      </c>
      <c r="G2467" t="n">
        <v>14</v>
      </c>
      <c r="H2467" s="5">
        <f>HYPERLINK("https://api.qogita.com/variants/link/5201314107224/", "View Product")</f>
        <v/>
      </c>
    </row>
    <row r="2468">
      <c r="A2468" t="inlineStr">
        <is>
          <t>5201314127352</t>
        </is>
      </c>
      <c r="B2468" t="inlineStr">
        <is>
          <t>Elode - Rich - Eau De Toilette - 100ml</t>
        </is>
      </c>
      <c r="C2468" t="inlineStr">
        <is>
          <t>Eau De Toilette</t>
        </is>
      </c>
      <c r="D2468" t="inlineStr">
        <is>
          <t>Elode</t>
        </is>
      </c>
      <c r="E2468" t="n">
        <v>6.99</v>
      </c>
      <c r="F2468" t="n">
        <v>1</v>
      </c>
      <c r="G2468" t="n">
        <v>22</v>
      </c>
      <c r="H2468" s="5">
        <f>HYPERLINK("https://api.qogita.com/variants/link/5201314127352/", "View Product")</f>
        <v/>
      </c>
    </row>
    <row r="2469">
      <c r="A2469" t="inlineStr">
        <is>
          <t>5201314129363</t>
        </is>
      </c>
      <c r="B2469" t="inlineStr">
        <is>
          <t>B.U. Absolute Me</t>
        </is>
      </c>
      <c r="C2469" t="inlineStr">
        <is>
          <t>Foundation</t>
        </is>
      </c>
      <c r="D2469" t="inlineStr">
        <is>
          <t>B.U.</t>
        </is>
      </c>
      <c r="E2469" t="n">
        <v>10.5</v>
      </c>
      <c r="F2469" t="n">
        <v>1</v>
      </c>
      <c r="G2469" t="n">
        <v>16</v>
      </c>
      <c r="H2469" s="5">
        <f>HYPERLINK("https://api.qogita.com/variants/link/5201314129363/", "View Product")</f>
        <v/>
      </c>
    </row>
    <row r="2470">
      <c r="A2470" t="inlineStr">
        <is>
          <t>5201314145066</t>
        </is>
      </c>
      <c r="B2470" t="inlineStr">
        <is>
          <t>Str8 Freak Deodorant Aerosol 150ml</t>
        </is>
      </c>
      <c r="C2470" t="inlineStr">
        <is>
          <t>Deodorant &amp; Anti-Perspirant</t>
        </is>
      </c>
      <c r="D2470" t="inlineStr">
        <is>
          <t>Str8</t>
        </is>
      </c>
      <c r="E2470" t="n">
        <v>4.67</v>
      </c>
      <c r="F2470" t="n">
        <v>1</v>
      </c>
      <c r="G2470" t="n">
        <v>8</v>
      </c>
      <c r="H2470" s="5">
        <f>HYPERLINK("https://api.qogita.com/variants/link/5201314145066/", "View Product")</f>
        <v/>
      </c>
    </row>
    <row r="2471">
      <c r="A2471" t="inlineStr">
        <is>
          <t>5201314149804</t>
        </is>
      </c>
      <c r="B2471" t="inlineStr">
        <is>
          <t>Str8 Red Code Aftershave Lotion 100ml</t>
        </is>
      </c>
      <c r="C2471" t="inlineStr">
        <is>
          <t>Aftershave</t>
        </is>
      </c>
      <c r="D2471" t="inlineStr">
        <is>
          <t>Str8</t>
        </is>
      </c>
      <c r="E2471" t="n">
        <v>7.17</v>
      </c>
      <c r="F2471" t="n">
        <v>1</v>
      </c>
      <c r="G2471" t="n">
        <v>10</v>
      </c>
      <c r="H2471" s="5">
        <f>HYPERLINK("https://api.qogita.com/variants/link/5201314149804/", "View Product")</f>
        <v/>
      </c>
    </row>
    <row r="2472">
      <c r="A2472" t="inlineStr">
        <is>
          <t>5201314149835</t>
        </is>
      </c>
      <c r="B2472" t="inlineStr">
        <is>
          <t>Str8 Live True Eau De Toilette For Men 100 Ml</t>
        </is>
      </c>
      <c r="C2472" t="inlineStr">
        <is>
          <t>Eau De Toilette</t>
        </is>
      </c>
      <c r="D2472" t="inlineStr">
        <is>
          <t>Str8</t>
        </is>
      </c>
      <c r="E2472" t="n">
        <v>7.45</v>
      </c>
      <c r="F2472" t="n">
        <v>1</v>
      </c>
      <c r="G2472" t="n">
        <v>65</v>
      </c>
      <c r="H2472" s="5">
        <f>HYPERLINK("https://api.qogita.com/variants/link/5201314149835/", "View Product")</f>
        <v/>
      </c>
    </row>
    <row r="2473">
      <c r="A2473" t="inlineStr">
        <is>
          <t>5201314149859</t>
        </is>
      </c>
      <c r="B2473" t="inlineStr">
        <is>
          <t>Str8 Live True Calming Aftershave Lotion 100 Ml For Men</t>
        </is>
      </c>
      <c r="C2473" t="inlineStr">
        <is>
          <t>Aftershave</t>
        </is>
      </c>
      <c r="D2473" t="inlineStr">
        <is>
          <t>Str8</t>
        </is>
      </c>
      <c r="E2473" t="n">
        <v>7.17</v>
      </c>
      <c r="F2473" t="n">
        <v>1</v>
      </c>
      <c r="G2473" t="n">
        <v>19</v>
      </c>
      <c r="H2473" s="5">
        <f>HYPERLINK("https://api.qogita.com/variants/link/5201314149859/", "View Product")</f>
        <v/>
      </c>
    </row>
    <row r="2474">
      <c r="A2474" t="inlineStr">
        <is>
          <t>5201314149903</t>
        </is>
      </c>
      <c r="B2474" t="inlineStr">
        <is>
          <t>Str8 Red Code Shower Gel</t>
        </is>
      </c>
      <c r="C2474" t="inlineStr">
        <is>
          <t>Shower Gel</t>
        </is>
      </c>
      <c r="D2474" t="inlineStr">
        <is>
          <t>Str8</t>
        </is>
      </c>
      <c r="E2474" t="n">
        <v>3.94</v>
      </c>
      <c r="F2474" t="n">
        <v>1</v>
      </c>
      <c r="G2474" t="n">
        <v>13</v>
      </c>
      <c r="H2474" s="5">
        <f>HYPERLINK("https://api.qogita.com/variants/link/5201314149903/", "View Product")</f>
        <v/>
      </c>
    </row>
    <row r="2475">
      <c r="A2475" t="inlineStr">
        <is>
          <t>5201314150565</t>
        </is>
      </c>
      <c r="B2475" t="inlineStr">
        <is>
          <t>C-Thru Harmony Bliss - Eau De Toilette</t>
        </is>
      </c>
      <c r="C2475" t="inlineStr">
        <is>
          <t>Eau De Toilette</t>
        </is>
      </c>
      <c r="D2475" t="inlineStr">
        <is>
          <t>C-Thru</t>
        </is>
      </c>
      <c r="E2475" t="n">
        <v>6.87</v>
      </c>
      <c r="F2475" t="n">
        <v>1</v>
      </c>
      <c r="G2475" t="n">
        <v>24</v>
      </c>
      <c r="H2475" s="5">
        <f>HYPERLINK("https://api.qogita.com/variants/link/5201314150565/", "View Product")</f>
        <v/>
      </c>
    </row>
    <row r="2476">
      <c r="A2476" t="inlineStr">
        <is>
          <t>5201314153191</t>
        </is>
      </c>
      <c r="B2476" t="inlineStr">
        <is>
          <t>One Love - spray deodorant Volume 150 ml</t>
        </is>
      </c>
      <c r="C2476" t="inlineStr">
        <is>
          <t>Deodorant &amp; Anti-Perspirant</t>
        </is>
      </c>
      <c r="D2476" t="inlineStr">
        <is>
          <t>B.U.</t>
        </is>
      </c>
      <c r="E2476" t="n">
        <v>4.08</v>
      </c>
      <c r="F2476" t="n">
        <v>1</v>
      </c>
      <c r="G2476" t="n">
        <v>4</v>
      </c>
      <c r="H2476" s="5">
        <f>HYPERLINK("https://api.qogita.com/variants/link/5201314153191/", "View Product")</f>
        <v/>
      </c>
    </row>
    <row r="2477">
      <c r="A2477" t="inlineStr">
        <is>
          <t>5201314153399</t>
        </is>
      </c>
      <c r="B2477" t="inlineStr">
        <is>
          <t>C-THRU Luminous Emerald 48H Spray Deodorant 150ml</t>
        </is>
      </c>
      <c r="C2477" t="inlineStr">
        <is>
          <t>Deodorant &amp; Anti-Perspirant</t>
        </is>
      </c>
      <c r="D2477" t="inlineStr">
        <is>
          <t>Sarantis</t>
        </is>
      </c>
      <c r="E2477" t="n">
        <v>4.04</v>
      </c>
      <c r="F2477" t="n">
        <v>1</v>
      </c>
      <c r="G2477" t="n">
        <v>29</v>
      </c>
      <c r="H2477" s="5">
        <f>HYPERLINK("https://api.qogita.com/variants/link/5201314153399/", "View Product")</f>
        <v/>
      </c>
    </row>
    <row r="2478">
      <c r="A2478" t="inlineStr">
        <is>
          <t>5201314168737</t>
        </is>
      </c>
      <c r="B2478" t="inlineStr">
        <is>
          <t>Str8 Ahead Deodorant Spray</t>
        </is>
      </c>
      <c r="C2478" t="inlineStr">
        <is>
          <t>Deodorant &amp; Anti-Perspirant</t>
        </is>
      </c>
      <c r="D2478" t="inlineStr">
        <is>
          <t>Str8</t>
        </is>
      </c>
      <c r="E2478" t="n">
        <v>4.45</v>
      </c>
      <c r="F2478" t="n">
        <v>1</v>
      </c>
      <c r="G2478" t="n">
        <v>3</v>
      </c>
      <c r="H2478" s="5">
        <f>HYPERLINK("https://api.qogita.com/variants/link/5201314168737/", "View Product")</f>
        <v/>
      </c>
    </row>
    <row r="2479">
      <c r="A2479" t="inlineStr">
        <is>
          <t>5201314170440</t>
        </is>
      </c>
      <c r="B2479" t="inlineStr">
        <is>
          <t>Game - spray deodorant Volume 150 ml</t>
        </is>
      </c>
      <c r="C2479" t="inlineStr">
        <is>
          <t>Deodorant &amp; Anti-Perspirant</t>
        </is>
      </c>
      <c r="D2479" t="inlineStr">
        <is>
          <t>Str8</t>
        </is>
      </c>
      <c r="E2479" t="n">
        <v>4.74</v>
      </c>
      <c r="F2479" t="n">
        <v>1</v>
      </c>
      <c r="G2479" t="n">
        <v>13</v>
      </c>
      <c r="H2479" s="5">
        <f>HYPERLINK("https://api.qogita.com/variants/link/5201314170440/", "View Product")</f>
        <v/>
      </c>
    </row>
    <row r="2480">
      <c r="A2480" t="inlineStr">
        <is>
          <t>5203069106484</t>
        </is>
      </c>
      <c r="B2480" t="inlineStr">
        <is>
          <t>Korres Nourishing Probiotic Gel-Cream Night Cream Greek Yoghurt 40ml</t>
        </is>
      </c>
      <c r="C2480" t="inlineStr">
        <is>
          <t>Night Cream</t>
        </is>
      </c>
      <c r="D2480" t="inlineStr">
        <is>
          <t>Korres</t>
        </is>
      </c>
      <c r="E2480" t="n">
        <v>26.17</v>
      </c>
      <c r="F2480" t="n">
        <v>1</v>
      </c>
      <c r="G2480" t="n">
        <v>7</v>
      </c>
      <c r="H2480" s="5">
        <f>HYPERLINK("https://api.qogita.com/variants/link/5203069106484/", "View Product")</f>
        <v/>
      </c>
    </row>
    <row r="2481">
      <c r="A2481" t="inlineStr">
        <is>
          <t>5203069117015</t>
        </is>
      </c>
      <c r="B2481" t="inlineStr">
        <is>
          <t>Korres Avgoustos Eau De Toilette for Men 50ml - Vegan</t>
        </is>
      </c>
      <c r="C2481" t="inlineStr">
        <is>
          <t>Eau De Toilette</t>
        </is>
      </c>
      <c r="D2481" t="inlineStr">
        <is>
          <t>Korres</t>
        </is>
      </c>
      <c r="E2481" t="n">
        <v>19.26</v>
      </c>
      <c r="F2481" t="n">
        <v>1</v>
      </c>
      <c r="G2481" t="n">
        <v>6</v>
      </c>
      <c r="H2481" s="5">
        <f>HYPERLINK("https://api.qogita.com/variants/link/5203069117015/", "View Product")</f>
        <v/>
      </c>
    </row>
    <row r="2482">
      <c r="A2482" t="inlineStr">
        <is>
          <t>5212044000747</t>
        </is>
      </c>
      <c r="B2482" t="inlineStr">
        <is>
          <t>Carlo Dali Unisex Perfume Standard</t>
        </is>
      </c>
      <c r="C2482" t="inlineStr">
        <is>
          <t>Eau De Parfum</t>
        </is>
      </c>
      <c r="D2482" t="inlineStr">
        <is>
          <t>Carlo Dali</t>
        </is>
      </c>
      <c r="E2482" t="n">
        <v>124.27</v>
      </c>
      <c r="F2482" t="n">
        <v>1</v>
      </c>
      <c r="G2482" t="n">
        <v>3</v>
      </c>
      <c r="H2482" s="5">
        <f>HYPERLINK("https://api.qogita.com/variants/link/5212044000747/", "View Product")</f>
        <v/>
      </c>
    </row>
    <row r="2483">
      <c r="A2483" t="inlineStr">
        <is>
          <t>5391018045486</t>
        </is>
      </c>
      <c r="B2483" t="inlineStr">
        <is>
          <t>Sosu Cosmetics Sophia False Eyelashes</t>
        </is>
      </c>
      <c r="C2483" t="inlineStr">
        <is>
          <t>False Eyelashes</t>
        </is>
      </c>
      <c r="D2483" t="inlineStr">
        <is>
          <t>Sosu Cosmetics</t>
        </is>
      </c>
      <c r="E2483" t="n">
        <v>5.91</v>
      </c>
      <c r="F2483" t="n">
        <v>1</v>
      </c>
      <c r="G2483" t="n">
        <v>9</v>
      </c>
      <c r="H2483" s="5">
        <f>HYPERLINK("https://api.qogita.com/variants/link/5391018045486/", "View Product")</f>
        <v/>
      </c>
    </row>
    <row r="2484">
      <c r="A2484" t="inlineStr">
        <is>
          <t>5391018045721</t>
        </is>
      </c>
      <c r="B2484" t="inlineStr">
        <is>
          <t>Sosu Sosu Cosmetics Pro Blender Makeup Sponge</t>
        </is>
      </c>
      <c r="C2484" t="inlineStr">
        <is>
          <t>Makeup Sponges</t>
        </is>
      </c>
      <c r="D2484" t="inlineStr">
        <is>
          <t>Sosu Cosmetics</t>
        </is>
      </c>
      <c r="E2484" t="n">
        <v>6.02</v>
      </c>
      <c r="F2484" t="n">
        <v>1</v>
      </c>
      <c r="G2484" t="n">
        <v>8</v>
      </c>
      <c r="H2484" s="5">
        <f>HYPERLINK("https://api.qogita.com/variants/link/5391018045721/", "View Product")</f>
        <v/>
      </c>
    </row>
    <row r="2485">
      <c r="A2485" t="inlineStr">
        <is>
          <t>5391018048333</t>
        </is>
      </c>
      <c r="B2485" t="inlineStr">
        <is>
          <t>Sosu Cosmetics Fallen Angel Salon Nails 24 Pcs Artificial French Nails</t>
        </is>
      </c>
      <c r="C2485" t="inlineStr">
        <is>
          <t>Artificial Nails &amp; Nail Decoration</t>
        </is>
      </c>
      <c r="D2485" t="inlineStr">
        <is>
          <t>Sosu Cosmetics</t>
        </is>
      </c>
      <c r="E2485" t="n">
        <v>9.81</v>
      </c>
      <c r="F2485" t="n">
        <v>1</v>
      </c>
      <c r="G2485" t="n">
        <v>2</v>
      </c>
      <c r="H2485" s="5">
        <f>HYPERLINK("https://api.qogita.com/variants/link/5391018048333/", "View Product")</f>
        <v/>
      </c>
    </row>
    <row r="2486">
      <c r="A2486" t="inlineStr">
        <is>
          <t>5391018053139</t>
        </is>
      </c>
      <c r="B2486" t="inlineStr">
        <is>
          <t>Sosu Cosmetics Let Them Talk Lip Pigment Gloss 37 Ml</t>
        </is>
      </c>
      <c r="C2486" t="inlineStr">
        <is>
          <t>Lip Gloss</t>
        </is>
      </c>
      <c r="D2486" t="inlineStr">
        <is>
          <t>Sosu Cosmetics</t>
        </is>
      </c>
      <c r="E2486" t="n">
        <v>7.78</v>
      </c>
      <c r="F2486" t="n">
        <v>1</v>
      </c>
      <c r="G2486" t="n">
        <v>6</v>
      </c>
      <c r="H2486" s="5">
        <f>HYPERLINK("https://api.qogita.com/variants/link/5391018053139/", "View Product")</f>
        <v/>
      </c>
    </row>
    <row r="2487">
      <c r="A2487" t="inlineStr">
        <is>
          <t>5391018053146</t>
        </is>
      </c>
      <c r="B2487" t="inlineStr">
        <is>
          <t>Sosu Cosmetics Let Them Talk Lip Pigment Gloss 37 Ml</t>
        </is>
      </c>
      <c r="C2487" t="inlineStr">
        <is>
          <t>Lip Gloss</t>
        </is>
      </c>
      <c r="D2487" t="inlineStr">
        <is>
          <t>Sosu Cosmetics</t>
        </is>
      </c>
      <c r="E2487" t="n">
        <v>7.78</v>
      </c>
      <c r="F2487" t="n">
        <v>1</v>
      </c>
      <c r="G2487" t="n">
        <v>3</v>
      </c>
      <c r="H2487" s="5">
        <f>HYPERLINK("https://api.qogita.com/variants/link/5391018053146/", "View Product")</f>
        <v/>
      </c>
    </row>
    <row r="2488">
      <c r="A2488" t="inlineStr">
        <is>
          <t>5391537260544</t>
        </is>
      </c>
      <c r="B2488" t="inlineStr">
        <is>
          <t>Sosu Cosmetics Cc Me In Liquid Makeup Foundation 32 Ml</t>
        </is>
      </c>
      <c r="C2488" t="inlineStr">
        <is>
          <t>Foundation</t>
        </is>
      </c>
      <c r="D2488" t="inlineStr">
        <is>
          <t>Sosu Cosmetics</t>
        </is>
      </c>
      <c r="E2488" t="n">
        <v>22.93</v>
      </c>
      <c r="F2488" t="n">
        <v>1</v>
      </c>
      <c r="G2488" t="n">
        <v>6</v>
      </c>
      <c r="H2488" s="5">
        <f>HYPERLINK("https://api.qogita.com/variants/link/5391537260544/", "View Product")</f>
        <v/>
      </c>
    </row>
    <row r="2489">
      <c r="A2489" t="inlineStr">
        <is>
          <t>5391537260551</t>
        </is>
      </c>
      <c r="B2489" t="inlineStr">
        <is>
          <t>CC Me In Liquid Foundation 32 ml Shade 05</t>
        </is>
      </c>
      <c r="C2489" t="inlineStr">
        <is>
          <t>Foundation</t>
        </is>
      </c>
      <c r="D2489" t="inlineStr">
        <is>
          <t>Sosu Cosmetics</t>
        </is>
      </c>
      <c r="E2489" t="n">
        <v>17.29</v>
      </c>
      <c r="F2489" t="n">
        <v>1</v>
      </c>
      <c r="G2489" t="n">
        <v>2</v>
      </c>
      <c r="H2489" s="5">
        <f>HYPERLINK("https://api.qogita.com/variants/link/5391537260551/", "View Product")</f>
        <v/>
      </c>
    </row>
    <row r="2490">
      <c r="A2490" t="inlineStr">
        <is>
          <t>5391537261084</t>
        </is>
      </c>
      <c r="B2490" t="inlineStr">
        <is>
          <t>Sosu Cosmetics Cc Me In Foundation 32 Ml</t>
        </is>
      </c>
      <c r="C2490" t="inlineStr">
        <is>
          <t>Foundation</t>
        </is>
      </c>
      <c r="D2490" t="inlineStr">
        <is>
          <t>Sosu Cosmetics</t>
        </is>
      </c>
      <c r="E2490" t="n">
        <v>16.76</v>
      </c>
      <c r="F2490" t="n">
        <v>1</v>
      </c>
      <c r="G2490" t="n">
        <v>3</v>
      </c>
      <c r="H2490" s="5">
        <f>HYPERLINK("https://api.qogita.com/variants/link/5391537261084/", "View Product")</f>
        <v/>
      </c>
    </row>
    <row r="2491">
      <c r="A2491" t="inlineStr">
        <is>
          <t>5391537267154</t>
        </is>
      </c>
      <c r="B2491" t="inlineStr">
        <is>
          <t>Sosu Cosmetics Precision Lash Applicator</t>
        </is>
      </c>
      <c r="C2491" t="inlineStr">
        <is>
          <t>Eyelash Extension Accessories</t>
        </is>
      </c>
      <c r="D2491" t="inlineStr">
        <is>
          <t>Sosu Cosmetics</t>
        </is>
      </c>
      <c r="E2491" t="n">
        <v>6.56</v>
      </c>
      <c r="F2491" t="n">
        <v>1</v>
      </c>
      <c r="G2491" t="n">
        <v>4</v>
      </c>
      <c r="H2491" s="5">
        <f>HYPERLINK("https://api.qogita.com/variants/link/5391537267154/", "View Product")</f>
        <v/>
      </c>
    </row>
    <row r="2492">
      <c r="A2492" t="inlineStr">
        <is>
          <t>5391541763611</t>
        </is>
      </c>
      <c r="B2492" t="inlineStr">
        <is>
          <t>Face Brush Set</t>
        </is>
      </c>
      <c r="C2492" t="inlineStr">
        <is>
          <t>Facial Cleansing Brushes</t>
        </is>
      </c>
      <c r="D2492" t="inlineStr">
        <is>
          <t>Sosu Cosmetics</t>
        </is>
      </c>
      <c r="E2492" t="n">
        <v>32.77</v>
      </c>
      <c r="F2492" t="n">
        <v>1</v>
      </c>
      <c r="G2492" t="n">
        <v>2</v>
      </c>
      <c r="H2492" s="5">
        <f>HYPERLINK("https://api.qogita.com/variants/link/5391541763611/", "View Product")</f>
        <v/>
      </c>
    </row>
    <row r="2493">
      <c r="A2493" t="inlineStr">
        <is>
          <t>5391541763628</t>
        </is>
      </c>
      <c r="B2493" t="inlineStr">
        <is>
          <t>Luxury Eye Brush Collection</t>
        </is>
      </c>
      <c r="C2493" t="inlineStr">
        <is>
          <t>Brush Sets</t>
        </is>
      </c>
      <c r="D2493" t="inlineStr">
        <is>
          <t>Sosu Cosmetics</t>
        </is>
      </c>
      <c r="E2493" t="n">
        <v>29.49</v>
      </c>
      <c r="F2493" t="n">
        <v>1</v>
      </c>
      <c r="G2493" t="n">
        <v>4</v>
      </c>
      <c r="H2493" s="5">
        <f>HYPERLINK("https://api.qogita.com/variants/link/5391541763628/", "View Product")</f>
        <v/>
      </c>
    </row>
    <row r="2494">
      <c r="A2494" t="inlineStr">
        <is>
          <t>5391541763734</t>
        </is>
      </c>
      <c r="B2494" t="inlineStr">
        <is>
          <t>Hydrating Multifunctional Mist White Tea (Hydrating Perfecting Mist) 100 ml</t>
        </is>
      </c>
      <c r="C2494" t="inlineStr">
        <is>
          <t>Facial Spray</t>
        </is>
      </c>
      <c r="D2494" t="inlineStr">
        <is>
          <t>Sosu Cosmetics</t>
        </is>
      </c>
      <c r="E2494" t="n">
        <v>11.13</v>
      </c>
      <c r="F2494" t="n">
        <v>1</v>
      </c>
      <c r="G2494" t="n">
        <v>5</v>
      </c>
      <c r="H2494" s="5">
        <f>HYPERLINK("https://api.qogita.com/variants/link/5391541763734/", "View Product")</f>
        <v/>
      </c>
    </row>
    <row r="2495">
      <c r="A2495" t="inlineStr">
        <is>
          <t>5391541763741</t>
        </is>
      </c>
      <c r="B2495" t="inlineStr">
        <is>
          <t>Artificial Nails Chocolate (Salon Nails) 24 pieces</t>
        </is>
      </c>
      <c r="C2495" t="inlineStr">
        <is>
          <t>Artificial Nails &amp; Nail Decoration</t>
        </is>
      </c>
      <c r="D2495" t="inlineStr">
        <is>
          <t>Sosu Cosmetics</t>
        </is>
      </c>
      <c r="E2495" t="n">
        <v>7.78</v>
      </c>
      <c r="F2495" t="n">
        <v>1</v>
      </c>
      <c r="G2495" t="n">
        <v>4</v>
      </c>
      <c r="H2495" s="5">
        <f>HYPERLINK("https://api.qogita.com/variants/link/5391541763741/", "View Product")</f>
        <v/>
      </c>
    </row>
    <row r="2496">
      <c r="A2496" t="inlineStr">
        <is>
          <t>5391541765486</t>
        </is>
      </c>
      <c r="B2496" t="inlineStr">
        <is>
          <t>Sosu Sosu Cosmetics Matte Lipsticks Dont Be Chai 32 G</t>
        </is>
      </c>
      <c r="C2496" t="inlineStr">
        <is>
          <t>Lipstick</t>
        </is>
      </c>
      <c r="D2496" t="inlineStr">
        <is>
          <t>Sosu Cosmetics</t>
        </is>
      </c>
      <c r="E2496" t="n">
        <v>9.630000000000001</v>
      </c>
      <c r="F2496" t="n">
        <v>1</v>
      </c>
      <c r="G2496" t="n">
        <v>2</v>
      </c>
      <c r="H2496" s="5">
        <f>HYPERLINK("https://api.qogita.com/variants/link/5391541765486/", "View Product")</f>
        <v/>
      </c>
    </row>
    <row r="2497">
      <c r="A2497" t="inlineStr">
        <is>
          <t>5391541765509</t>
        </is>
      </c>
      <c r="B2497" t="inlineStr">
        <is>
          <t>Sosu Cosmetics Shimmer Lip Glaze 6 Ml Rose Gold</t>
        </is>
      </c>
      <c r="C2497" t="inlineStr">
        <is>
          <t>Lip Gloss</t>
        </is>
      </c>
      <c r="D2497" t="inlineStr">
        <is>
          <t>Sosu Cosmetics</t>
        </is>
      </c>
      <c r="E2497" t="n">
        <v>9.74</v>
      </c>
      <c r="F2497" t="n">
        <v>1</v>
      </c>
      <c r="G2497" t="n">
        <v>2</v>
      </c>
      <c r="H2497" s="5">
        <f>HYPERLINK("https://api.qogita.com/variants/link/5391541765509/", "View Product")</f>
        <v/>
      </c>
    </row>
    <row r="2498">
      <c r="A2498" t="inlineStr">
        <is>
          <t>5391541766223</t>
        </is>
      </c>
      <c r="B2498" t="inlineStr">
        <is>
          <t>Sosu Cosmetics Satin Lipstick 32 G</t>
        </is>
      </c>
      <c r="C2498" t="inlineStr">
        <is>
          <t>Lipstick</t>
        </is>
      </c>
      <c r="D2498" t="inlineStr">
        <is>
          <t>Sosu Cosmetics</t>
        </is>
      </c>
      <c r="E2498" t="n">
        <v>9.74</v>
      </c>
      <c r="F2498" t="n">
        <v>1</v>
      </c>
      <c r="G2498" t="n">
        <v>2</v>
      </c>
      <c r="H2498" s="5">
        <f>HYPERLINK("https://api.qogita.com/variants/link/5391541766223/", "View Product")</f>
        <v/>
      </c>
    </row>
    <row r="2499">
      <c r="A2499" t="inlineStr">
        <is>
          <t>5391541767534</t>
        </is>
      </c>
      <c r="B2499" t="inlineStr">
        <is>
          <t>Sosu Cosmetics Matte Lipsticks 32 G 32 G In Muted Mauve</t>
        </is>
      </c>
      <c r="C2499" t="inlineStr">
        <is>
          <t>Lipstick</t>
        </is>
      </c>
      <c r="D2499" t="inlineStr">
        <is>
          <t>Sosu Cosmetics</t>
        </is>
      </c>
      <c r="E2499" t="n">
        <v>9.74</v>
      </c>
      <c r="F2499" t="n">
        <v>1</v>
      </c>
      <c r="G2499" t="n">
        <v>2</v>
      </c>
      <c r="H2499" s="5">
        <f>HYPERLINK("https://api.qogita.com/variants/link/5391541767534/", "View Product")</f>
        <v/>
      </c>
    </row>
    <row r="2500">
      <c r="A2500" t="inlineStr">
        <is>
          <t>5391545371621</t>
        </is>
      </c>
      <c r="B2500" t="inlineStr">
        <is>
          <t>Sosu Cosmetics Lip Luxe Duo Pink Gift Set Of Decorative Cosmetics</t>
        </is>
      </c>
      <c r="C2500" t="inlineStr">
        <is>
          <t>Lip Sets</t>
        </is>
      </c>
      <c r="D2500" t="inlineStr">
        <is>
          <t>Sosu Cosmetics</t>
        </is>
      </c>
      <c r="E2500" t="n">
        <v>19.15</v>
      </c>
      <c r="F2500" t="n">
        <v>1</v>
      </c>
      <c r="G2500" t="n">
        <v>18</v>
      </c>
      <c r="H2500" s="5">
        <f>HYPERLINK("https://api.qogita.com/variants/link/5391545371621/", "View Product")</f>
        <v/>
      </c>
    </row>
    <row r="2501">
      <c r="A2501" t="inlineStr">
        <is>
          <t>5410091728922</t>
        </is>
      </c>
      <c r="B2501" t="inlineStr">
        <is>
          <t>Diadermine Waterproof Eye Makeup Remover 125ml</t>
        </is>
      </c>
      <c r="C2501" t="inlineStr">
        <is>
          <t>Makeup Remover</t>
        </is>
      </c>
      <c r="D2501" t="inlineStr">
        <is>
          <t>Diadermine</t>
        </is>
      </c>
      <c r="E2501" t="n">
        <v>3.64</v>
      </c>
      <c r="F2501" t="n">
        <v>1</v>
      </c>
      <c r="G2501" t="n">
        <v>86</v>
      </c>
      <c r="H2501" s="5">
        <f>HYPERLINK("https://api.qogita.com/variants/link/5410091728922/", "View Product")</f>
        <v/>
      </c>
    </row>
    <row r="2502">
      <c r="A2502" t="inlineStr">
        <is>
          <t>5414343013934</t>
        </is>
      </c>
      <c r="B2502" t="inlineStr">
        <is>
          <t>Olivia Garden Finger Brush Medium - Hair Brush</t>
        </is>
      </c>
      <c r="C2502" t="inlineStr">
        <is>
          <t>Flat &amp; Paddle Brushes</t>
        </is>
      </c>
      <c r="D2502" t="inlineStr">
        <is>
          <t>Olivia Garden</t>
        </is>
      </c>
      <c r="E2502" t="n">
        <v>13.25</v>
      </c>
      <c r="F2502" t="n">
        <v>1</v>
      </c>
      <c r="G2502" t="n">
        <v>5</v>
      </c>
      <c r="H2502" s="5">
        <f>HYPERLINK("https://api.qogita.com/variants/link/5414343013934/", "View Product")</f>
        <v/>
      </c>
    </row>
    <row r="2503">
      <c r="A2503" t="inlineStr">
        <is>
          <t>5414343020246</t>
        </is>
      </c>
      <c r="B2503" t="inlineStr">
        <is>
          <t>Olivia Garden Expert Blowout Speed White and Grey Hairbrush 25mm</t>
        </is>
      </c>
      <c r="C2503" t="inlineStr">
        <is>
          <t>Round Brushes</t>
        </is>
      </c>
      <c r="D2503" t="inlineStr">
        <is>
          <t>Olivia Garden</t>
        </is>
      </c>
      <c r="E2503" t="n">
        <v>13.41</v>
      </c>
      <c r="F2503" t="n">
        <v>1</v>
      </c>
      <c r="G2503" t="n">
        <v>3</v>
      </c>
      <c r="H2503" s="5">
        <f>HYPERLINK("https://api.qogita.com/variants/link/5414343020246/", "View Product")</f>
        <v/>
      </c>
    </row>
    <row r="2504">
      <c r="A2504" t="inlineStr">
        <is>
          <t>5414343020970</t>
        </is>
      </c>
      <c r="B2504" t="inlineStr">
        <is>
          <t>Olivia Garden Essential Blowout Classic Silver Hairbrush 35</t>
        </is>
      </c>
      <c r="C2504" t="inlineStr">
        <is>
          <t>Round Brushes</t>
        </is>
      </c>
      <c r="D2504" t="inlineStr">
        <is>
          <t>Olivia Garden</t>
        </is>
      </c>
      <c r="E2504" t="n">
        <v>9.949999999999999</v>
      </c>
      <c r="F2504" t="n">
        <v>1</v>
      </c>
      <c r="G2504" t="n">
        <v>5</v>
      </c>
      <c r="H2504" s="5">
        <f>HYPERLINK("https://api.qogita.com/variants/link/5414343020970/", "View Product")</f>
        <v/>
      </c>
    </row>
    <row r="2505">
      <c r="A2505" t="inlineStr">
        <is>
          <t>5414343021014</t>
        </is>
      </c>
      <c r="B2505" t="inlineStr">
        <is>
          <t>Olivia Garden Essential Blowout Classic Silver Hairbrush 85</t>
        </is>
      </c>
      <c r="C2505" t="inlineStr">
        <is>
          <t>Round Brushes</t>
        </is>
      </c>
      <c r="D2505" t="inlineStr">
        <is>
          <t>Olivia Garden</t>
        </is>
      </c>
      <c r="E2505" t="n">
        <v>19.59</v>
      </c>
      <c r="F2505" t="n">
        <v>1</v>
      </c>
      <c r="G2505" t="n">
        <v>4</v>
      </c>
      <c r="H2505" s="5">
        <f>HYPERLINK("https://api.qogita.com/variants/link/5414343021014/", "View Product")</f>
        <v/>
      </c>
    </row>
    <row r="2506">
      <c r="A2506" t="inlineStr">
        <is>
          <t>5425017730705</t>
        </is>
      </c>
      <c r="B2506" t="inlineStr">
        <is>
          <t>New Brand Perfumes Ice Box Body Men EDT Spray 3.3 oz</t>
        </is>
      </c>
      <c r="C2506" t="inlineStr">
        <is>
          <t>Eau De Toilette</t>
        </is>
      </c>
      <c r="D2506" t="inlineStr">
        <is>
          <t>New Brand</t>
        </is>
      </c>
      <c r="E2506" t="n">
        <v>5.29</v>
      </c>
      <c r="F2506" t="n">
        <v>1</v>
      </c>
      <c r="G2506" t="n">
        <v>43</v>
      </c>
      <c r="H2506" s="5">
        <f>HYPERLINK("https://api.qogita.com/variants/link/5425017730705/", "View Product")</f>
        <v/>
      </c>
    </row>
    <row r="2507">
      <c r="A2507" t="inlineStr">
        <is>
          <t>5425017731962</t>
        </is>
      </c>
      <c r="B2507" t="inlineStr">
        <is>
          <t>Cuba Original Cuba Magnum Gold Eau De Toilette Spray 130ml</t>
        </is>
      </c>
      <c r="C2507" t="inlineStr">
        <is>
          <t>Eau De Toilette</t>
        </is>
      </c>
      <c r="D2507" t="inlineStr">
        <is>
          <t>Cuba Originals</t>
        </is>
      </c>
      <c r="E2507" t="n">
        <v>5.41</v>
      </c>
      <c r="F2507" t="n">
        <v>1</v>
      </c>
      <c r="G2507" t="n">
        <v>2771</v>
      </c>
      <c r="H2507" s="5">
        <f>HYPERLINK("https://api.qogita.com/variants/link/5425017731962/", "View Product")</f>
        <v/>
      </c>
    </row>
    <row r="2508">
      <c r="A2508" t="inlineStr">
        <is>
          <t>5425017732105</t>
        </is>
      </c>
      <c r="B2508" t="inlineStr">
        <is>
          <t>Cuba Gold Gift Set - Eau De Toilette Spray 100ml, Deodorant Spray 200ml, After Shave 100ml</t>
        </is>
      </c>
      <c r="C2508" t="inlineStr">
        <is>
          <t>Fragrance</t>
        </is>
      </c>
      <c r="D2508" t="inlineStr">
        <is>
          <t>Cuba</t>
        </is>
      </c>
      <c r="E2508" t="n">
        <v>8.44</v>
      </c>
      <c r="F2508" t="n">
        <v>1</v>
      </c>
      <c r="G2508" t="n">
        <v>219</v>
      </c>
      <c r="H2508" s="5">
        <f>HYPERLINK("https://api.qogita.com/variants/link/5425017732105/", "View Product")</f>
        <v/>
      </c>
    </row>
    <row r="2509">
      <c r="A2509" t="inlineStr">
        <is>
          <t>5425017732181</t>
        </is>
      </c>
      <c r="B2509" t="inlineStr">
        <is>
          <t>Cuba Original Cuba Brown Eau De Toilette Spray 35ml</t>
        </is>
      </c>
      <c r="C2509" t="inlineStr">
        <is>
          <t>Eau De Toilette</t>
        </is>
      </c>
      <c r="D2509" t="inlineStr">
        <is>
          <t>Cuba Originals</t>
        </is>
      </c>
      <c r="E2509" t="n">
        <v>3.86</v>
      </c>
      <c r="F2509" t="n">
        <v>1</v>
      </c>
      <c r="G2509" t="n">
        <v>4</v>
      </c>
      <c r="H2509" s="5">
        <f>HYPERLINK("https://api.qogita.com/variants/link/5425017732181/", "View Product")</f>
        <v/>
      </c>
    </row>
    <row r="2510">
      <c r="A2510" t="inlineStr">
        <is>
          <t>5425017732211</t>
        </is>
      </c>
      <c r="B2510" t="inlineStr">
        <is>
          <t>Cuba Original Cuba Jungle Zebra Eau De Parfum Spray 35ml</t>
        </is>
      </c>
      <c r="C2510" t="inlineStr">
        <is>
          <t>Eau De Parfum</t>
        </is>
      </c>
      <c r="D2510" t="inlineStr">
        <is>
          <t>Cuba Originals</t>
        </is>
      </c>
      <c r="E2510" t="n">
        <v>3.36</v>
      </c>
      <c r="F2510" t="n">
        <v>1</v>
      </c>
      <c r="G2510" t="n">
        <v>139</v>
      </c>
      <c r="H2510" s="5">
        <f>HYPERLINK("https://api.qogita.com/variants/link/5425017732211/", "View Product")</f>
        <v/>
      </c>
    </row>
    <row r="2511">
      <c r="A2511" t="inlineStr">
        <is>
          <t>5425017732341</t>
        </is>
      </c>
      <c r="B2511" t="inlineStr">
        <is>
          <t>Cuba Gold After Shave Spray 100ml - Cuba</t>
        </is>
      </c>
      <c r="C2511" t="inlineStr">
        <is>
          <t>Aftershave</t>
        </is>
      </c>
      <c r="D2511" t="inlineStr">
        <is>
          <t>Cuba</t>
        </is>
      </c>
      <c r="E2511" t="n">
        <v>2.6</v>
      </c>
      <c r="F2511" t="n">
        <v>1</v>
      </c>
      <c r="G2511" t="n">
        <v>221</v>
      </c>
      <c r="H2511" s="5">
        <f>HYPERLINK("https://api.qogita.com/variants/link/5425017732341/", "View Product")</f>
        <v/>
      </c>
    </row>
    <row r="2512">
      <c r="A2512" t="inlineStr">
        <is>
          <t>5425017732402</t>
        </is>
      </c>
      <c r="B2512" t="inlineStr">
        <is>
          <t>Cuba Original Black Eau De Toilette Spray 100ml</t>
        </is>
      </c>
      <c r="C2512" t="inlineStr">
        <is>
          <t>Eau De Toilette</t>
        </is>
      </c>
      <c r="D2512" t="inlineStr">
        <is>
          <t>Cuba Originals</t>
        </is>
      </c>
      <c r="E2512" t="n">
        <v>4.79</v>
      </c>
      <c r="F2512" t="n">
        <v>1</v>
      </c>
      <c r="G2512" t="n">
        <v>256</v>
      </c>
      <c r="H2512" s="5">
        <f>HYPERLINK("https://api.qogita.com/variants/link/5425017732402/", "View Product")</f>
        <v/>
      </c>
    </row>
    <row r="2513">
      <c r="A2513" t="inlineStr">
        <is>
          <t>5425017732457</t>
        </is>
      </c>
      <c r="B2513" t="inlineStr">
        <is>
          <t>Cuba Original Cuba Gold Eau De Toilette Spray Set - 100ml + After Shave Spray - 100ml + Keychain</t>
        </is>
      </c>
      <c r="C2513" t="inlineStr">
        <is>
          <t>Fragrance Sets</t>
        </is>
      </c>
      <c r="D2513" t="inlineStr">
        <is>
          <t>Cuba Originals</t>
        </is>
      </c>
      <c r="E2513" t="n">
        <v>7.51</v>
      </c>
      <c r="F2513" t="n">
        <v>1</v>
      </c>
      <c r="G2513" t="n">
        <v>8</v>
      </c>
      <c r="H2513" s="5">
        <f>HYPERLINK("https://api.qogita.com/variants/link/5425017732457/", "View Product")</f>
        <v/>
      </c>
    </row>
    <row r="2514">
      <c r="A2514" t="inlineStr">
        <is>
          <t>5425017733515</t>
        </is>
      </c>
      <c r="B2514" t="inlineStr">
        <is>
          <t>Cuba Original Cuba Strass Snake Eau De Parfum Spray 100ml</t>
        </is>
      </c>
      <c r="C2514" t="inlineStr">
        <is>
          <t>Eau De Parfum</t>
        </is>
      </c>
      <c r="D2514" t="inlineStr">
        <is>
          <t>Cuba Originals</t>
        </is>
      </c>
      <c r="E2514" t="n">
        <v>5.9</v>
      </c>
      <c r="F2514" t="n">
        <v>1</v>
      </c>
      <c r="G2514" t="n">
        <v>5</v>
      </c>
      <c r="H2514" s="5">
        <f>HYPERLINK("https://api.qogita.com/variants/link/5425017733515/", "View Product")</f>
        <v/>
      </c>
    </row>
    <row r="2515">
      <c r="A2515" t="inlineStr">
        <is>
          <t>5425017733690</t>
        </is>
      </c>
      <c r="B2515" t="inlineStr">
        <is>
          <t>Cuba Original Cuba Gold Deodorant Roll-On 50ml</t>
        </is>
      </c>
      <c r="C2515" t="inlineStr">
        <is>
          <t>Deodorant &amp; Anti-Perspirant</t>
        </is>
      </c>
      <c r="D2515" t="inlineStr">
        <is>
          <t>Cuba Originals</t>
        </is>
      </c>
      <c r="E2515" t="n">
        <v>1.27</v>
      </c>
      <c r="F2515" t="n">
        <v>1</v>
      </c>
      <c r="G2515" t="n">
        <v>650</v>
      </c>
      <c r="H2515" s="5">
        <f>HYPERLINK("https://api.qogita.com/variants/link/5425017733690/", "View Product")</f>
        <v/>
      </c>
    </row>
    <row r="2516">
      <c r="A2516" t="inlineStr">
        <is>
          <t>5425017735755</t>
        </is>
      </c>
      <c r="B2516" t="inlineStr">
        <is>
          <t>Cuba Original Cuba Prestige Platinum Eau De Toilette Spray 100ml</t>
        </is>
      </c>
      <c r="C2516" t="inlineStr">
        <is>
          <t>Eau De Toilette</t>
        </is>
      </c>
      <c r="D2516" t="inlineStr">
        <is>
          <t>Cuba Originals</t>
        </is>
      </c>
      <c r="E2516" t="n">
        <v>6.66</v>
      </c>
      <c r="F2516" t="n">
        <v>1</v>
      </c>
      <c r="G2516" t="n">
        <v>83</v>
      </c>
      <c r="H2516" s="5">
        <f>HYPERLINK("https://api.qogita.com/variants/link/5425017735755/", "View Product")</f>
        <v/>
      </c>
    </row>
    <row r="2517">
      <c r="A2517" t="inlineStr">
        <is>
          <t>5425017735946</t>
        </is>
      </c>
      <c r="B2517" t="inlineStr">
        <is>
          <t>Cuba Original Cuba City Las Vegas Eau De Toilette Spray 100ml</t>
        </is>
      </c>
      <c r="C2517" t="inlineStr">
        <is>
          <t>Eau De Toilette</t>
        </is>
      </c>
      <c r="D2517" t="inlineStr">
        <is>
          <t>Cuba Originals</t>
        </is>
      </c>
      <c r="E2517" t="n">
        <v>4.79</v>
      </c>
      <c r="F2517" t="n">
        <v>1</v>
      </c>
      <c r="G2517" t="n">
        <v>123</v>
      </c>
      <c r="H2517" s="5">
        <f>HYPERLINK("https://api.qogita.com/variants/link/5425017735946/", "View Product")</f>
        <v/>
      </c>
    </row>
    <row r="2518">
      <c r="A2518" t="inlineStr">
        <is>
          <t>5425017735953</t>
        </is>
      </c>
      <c r="B2518" t="inlineStr">
        <is>
          <t>Cuba Original Cuba Copacabana Eau De Toilette Spray 100ml</t>
        </is>
      </c>
      <c r="C2518" t="inlineStr">
        <is>
          <t>Eau De Toilette</t>
        </is>
      </c>
      <c r="D2518" t="inlineStr">
        <is>
          <t>Cuba Originals</t>
        </is>
      </c>
      <c r="E2518" t="n">
        <v>4.79</v>
      </c>
      <c r="F2518" t="n">
        <v>1</v>
      </c>
      <c r="G2518" t="n">
        <v>213</v>
      </c>
      <c r="H2518" s="5">
        <f>HYPERLINK("https://api.qogita.com/variants/link/5425017735953/", "View Product")</f>
        <v/>
      </c>
    </row>
    <row r="2519">
      <c r="A2519" t="inlineStr">
        <is>
          <t>5425017735960</t>
        </is>
      </c>
      <c r="B2519" t="inlineStr">
        <is>
          <t>Cuba Gold Set Eau De Toilette 100 Ml And Eau De Toilette 35 Ml By Cuba</t>
        </is>
      </c>
      <c r="C2519" t="inlineStr">
        <is>
          <t>Fragrance Sets</t>
        </is>
      </c>
      <c r="D2519" t="inlineStr">
        <is>
          <t>Cuba</t>
        </is>
      </c>
      <c r="E2519" t="n">
        <v>5.74</v>
      </c>
      <c r="F2519" t="n">
        <v>1</v>
      </c>
      <c r="G2519" t="n">
        <v>109</v>
      </c>
      <c r="H2519" s="5">
        <f>HYPERLINK("https://api.qogita.com/variants/link/5425017735960/", "View Product")</f>
        <v/>
      </c>
    </row>
    <row r="2520">
      <c r="A2520" t="inlineStr">
        <is>
          <t>5425017735984</t>
        </is>
      </c>
      <c r="B2520" t="inlineStr">
        <is>
          <t>Cuba Original Cuba Prestige Black Eau De Toilette Spray 35ml</t>
        </is>
      </c>
      <c r="C2520" t="inlineStr">
        <is>
          <t>Eau De Toilette</t>
        </is>
      </c>
      <c r="D2520" t="inlineStr">
        <is>
          <t>Cuba Originals</t>
        </is>
      </c>
      <c r="E2520" t="n">
        <v>3.36</v>
      </c>
      <c r="F2520" t="n">
        <v>1</v>
      </c>
      <c r="G2520" t="n">
        <v>119</v>
      </c>
      <c r="H2520" s="5">
        <f>HYPERLINK("https://api.qogita.com/variants/link/5425017735984/", "View Product")</f>
        <v/>
      </c>
    </row>
    <row r="2521">
      <c r="A2521" t="inlineStr">
        <is>
          <t>5425017736028</t>
        </is>
      </c>
      <c r="B2521" t="inlineStr">
        <is>
          <t>Cuba Original Cuba Chic Eau De Parfum Spray 100ml</t>
        </is>
      </c>
      <c r="C2521" t="inlineStr">
        <is>
          <t>Eau De Parfum</t>
        </is>
      </c>
      <c r="D2521" t="inlineStr">
        <is>
          <t>Cuba Originals</t>
        </is>
      </c>
      <c r="E2521" t="n">
        <v>4.79</v>
      </c>
      <c r="F2521" t="n">
        <v>1</v>
      </c>
      <c r="G2521" t="n">
        <v>43</v>
      </c>
      <c r="H2521" s="5">
        <f>HYPERLINK("https://api.qogita.com/variants/link/5425017736028/", "View Product")</f>
        <v/>
      </c>
    </row>
    <row r="2522">
      <c r="A2522" t="inlineStr">
        <is>
          <t>5425017736233</t>
        </is>
      </c>
      <c r="B2522" t="inlineStr">
        <is>
          <t>Cuba Original Grey Eau De Toilette Spray 100ml By Cuba</t>
        </is>
      </c>
      <c r="C2522" t="inlineStr">
        <is>
          <t>Eau De Toilette</t>
        </is>
      </c>
      <c r="D2522" t="inlineStr">
        <is>
          <t>Cuba</t>
        </is>
      </c>
      <c r="E2522" t="n">
        <v>4.79</v>
      </c>
      <c r="F2522" t="n">
        <v>1</v>
      </c>
      <c r="G2522" t="n">
        <v>83</v>
      </c>
      <c r="H2522" s="5">
        <f>HYPERLINK("https://api.qogita.com/variants/link/5425017736233/", "View Product")</f>
        <v/>
      </c>
    </row>
    <row r="2523">
      <c r="A2523" t="inlineStr">
        <is>
          <t>5425017736240</t>
        </is>
      </c>
      <c r="B2523" t="inlineStr">
        <is>
          <t>Cuba Original Brown Eau De Toilette Spray 100ml By Cuba</t>
        </is>
      </c>
      <c r="C2523" t="inlineStr">
        <is>
          <t>Eau De Toilette</t>
        </is>
      </c>
      <c r="D2523" t="inlineStr">
        <is>
          <t>Cuba</t>
        </is>
      </c>
      <c r="E2523" t="n">
        <v>4.79</v>
      </c>
      <c r="F2523" t="n">
        <v>1</v>
      </c>
      <c r="G2523" t="n">
        <v>458</v>
      </c>
      <c r="H2523" s="5">
        <f>HYPERLINK("https://api.qogita.com/variants/link/5425017736240/", "View Product")</f>
        <v/>
      </c>
    </row>
    <row r="2524">
      <c r="A2524" t="inlineStr">
        <is>
          <t>5425017736363</t>
        </is>
      </c>
      <c r="B2524" t="inlineStr">
        <is>
          <t>Cuba Original Cuba Royal Eau De Toilette Spray 100ml</t>
        </is>
      </c>
      <c r="C2524" t="inlineStr">
        <is>
          <t>Eau De Toilette</t>
        </is>
      </c>
      <c r="D2524" t="inlineStr">
        <is>
          <t>Cuba Originals</t>
        </is>
      </c>
      <c r="E2524" t="n">
        <v>4.24</v>
      </c>
      <c r="F2524" t="n">
        <v>1</v>
      </c>
      <c r="G2524" t="n">
        <v>2</v>
      </c>
      <c r="H2524" s="5">
        <f>HYPERLINK("https://api.qogita.com/variants/link/5425017736363/", "View Product")</f>
        <v/>
      </c>
    </row>
    <row r="2525">
      <c r="A2525" t="inlineStr">
        <is>
          <t>5425017736417</t>
        </is>
      </c>
      <c r="B2525" t="inlineStr">
        <is>
          <t>Cuba Royal Gift Set - Eau De Toilette Spray 100ml, Eau De Toilette Spray 15ml, Shower Gel 200ml, After Shave 100ml</t>
        </is>
      </c>
      <c r="C2525" t="inlineStr">
        <is>
          <t>Fragrance Sets</t>
        </is>
      </c>
      <c r="D2525" t="inlineStr">
        <is>
          <t>Cuba</t>
        </is>
      </c>
      <c r="E2525" t="n">
        <v>10.19</v>
      </c>
      <c r="F2525" t="n">
        <v>1</v>
      </c>
      <c r="G2525" t="n">
        <v>64</v>
      </c>
      <c r="H2525" s="5">
        <f>HYPERLINK("https://api.qogita.com/variants/link/5425017736417/", "View Product")</f>
        <v/>
      </c>
    </row>
    <row r="2526">
      <c r="A2526" t="inlineStr">
        <is>
          <t>5425017737001</t>
        </is>
      </c>
      <c r="B2526" t="inlineStr">
        <is>
          <t>Cuba Original Cuba Heartbreaker Deodorant Spray 200ml</t>
        </is>
      </c>
      <c r="C2526" t="inlineStr">
        <is>
          <t>Deodorant &amp; Anti-Perspirant</t>
        </is>
      </c>
      <c r="D2526" t="inlineStr">
        <is>
          <t>Cuba Originals</t>
        </is>
      </c>
      <c r="E2526" t="n">
        <v>2.33</v>
      </c>
      <c r="F2526" t="n">
        <v>1</v>
      </c>
      <c r="G2526" t="n">
        <v>17</v>
      </c>
      <c r="H2526" s="5">
        <f>HYPERLINK("https://api.qogita.com/variants/link/5425017737001/", "View Product")</f>
        <v/>
      </c>
    </row>
    <row r="2527">
      <c r="A2527" t="inlineStr">
        <is>
          <t>5425017737056</t>
        </is>
      </c>
      <c r="B2527" t="inlineStr">
        <is>
          <t>Cuba Original Cuba Jungle Zebra Deodorant Spray 200ml</t>
        </is>
      </c>
      <c r="C2527" t="inlineStr">
        <is>
          <t>Deodorant &amp; Anti-Perspirant</t>
        </is>
      </c>
      <c r="D2527" t="inlineStr">
        <is>
          <t>Cuba Originals</t>
        </is>
      </c>
      <c r="E2527" t="n">
        <v>2.01</v>
      </c>
      <c r="F2527" t="n">
        <v>1</v>
      </c>
      <c r="G2527" t="n">
        <v>24</v>
      </c>
      <c r="H2527" s="5">
        <f>HYPERLINK("https://api.qogita.com/variants/link/5425017737056/", "View Product")</f>
        <v/>
      </c>
    </row>
    <row r="2528">
      <c r="A2528" t="inlineStr">
        <is>
          <t>5425017737155</t>
        </is>
      </c>
      <c r="B2528" t="inlineStr">
        <is>
          <t>Cuba Heartbreaker Set Eau De Parfum Spray 100ml + Eau De Parfum Spray 35ml + Deodorant Spray 200ml + Body Mist 200ml By Cuba</t>
        </is>
      </c>
      <c r="C2528" t="inlineStr">
        <is>
          <t>Fragrance Sets</t>
        </is>
      </c>
      <c r="D2528" t="inlineStr">
        <is>
          <t>Cuba</t>
        </is>
      </c>
      <c r="E2528" t="n">
        <v>11.41</v>
      </c>
      <c r="F2528" t="n">
        <v>1</v>
      </c>
      <c r="G2528" t="n">
        <v>116</v>
      </c>
      <c r="H2528" s="5">
        <f>HYPERLINK("https://api.qogita.com/variants/link/5425017737155/", "View Product")</f>
        <v/>
      </c>
    </row>
    <row r="2529">
      <c r="A2529" t="inlineStr">
        <is>
          <t>5425036420120</t>
        </is>
      </c>
      <c r="B2529" t="inlineStr">
        <is>
          <t>Laboratoires Procrinis Application Gloves For Selftanning Spray</t>
        </is>
      </c>
      <c r="C2529" t="inlineStr">
        <is>
          <t>Self-Tanning Gloves</t>
        </is>
      </c>
      <c r="D2529" t="inlineStr">
        <is>
          <t>Laboratoires Procrinis</t>
        </is>
      </c>
      <c r="E2529" t="n">
        <v>6.02</v>
      </c>
      <c r="F2529" t="n">
        <v>1</v>
      </c>
      <c r="G2529" t="n">
        <v>3</v>
      </c>
      <c r="H2529" s="5">
        <f>HYPERLINK("https://api.qogita.com/variants/link/5425036420120/", "View Product")</f>
        <v/>
      </c>
    </row>
    <row r="2530">
      <c r="A2530" t="inlineStr">
        <is>
          <t>5425039220116</t>
        </is>
      </c>
      <c r="B2530" t="inlineStr">
        <is>
          <t>New Brand Perfumes Gt Edt Spray Men 3.3 Oz Sem Numero</t>
        </is>
      </c>
      <c r="C2530" t="inlineStr">
        <is>
          <t>Eau De Toilette</t>
        </is>
      </c>
      <c r="D2530" t="inlineStr">
        <is>
          <t>New Brand</t>
        </is>
      </c>
      <c r="E2530" t="n">
        <v>4.88</v>
      </c>
      <c r="F2530" t="n">
        <v>1</v>
      </c>
      <c r="G2530" t="n">
        <v>43</v>
      </c>
      <c r="H2530" s="5">
        <f>HYPERLINK("https://api.qogita.com/variants/link/5425039220116/", "View Product")</f>
        <v/>
      </c>
    </row>
    <row r="2531">
      <c r="A2531" t="inlineStr">
        <is>
          <t>5425039220239</t>
        </is>
      </c>
      <c r="B2531" t="inlineStr">
        <is>
          <t>Jean-Pierre Sand Cool Women Fragrance Eau De Parfum 100ml</t>
        </is>
      </c>
      <c r="C2531" t="inlineStr">
        <is>
          <t>Eau De Parfum</t>
        </is>
      </c>
      <c r="D2531" t="inlineStr">
        <is>
          <t>Jean-Pierre Sand</t>
        </is>
      </c>
      <c r="E2531" t="n">
        <v>5.29</v>
      </c>
      <c r="F2531" t="n">
        <v>1</v>
      </c>
      <c r="G2531" t="n">
        <v>43</v>
      </c>
      <c r="H2531" s="5">
        <f>HYPERLINK("https://api.qogita.com/variants/link/5425039220239/", "View Product")</f>
        <v/>
      </c>
    </row>
    <row r="2532">
      <c r="A2532" t="inlineStr">
        <is>
          <t>5425039220338</t>
        </is>
      </c>
      <c r="B2532" t="inlineStr">
        <is>
          <t>New Brand Perfumes Fashionista EDP Spray Women 3.3 oz</t>
        </is>
      </c>
      <c r="C2532" t="inlineStr">
        <is>
          <t>Eau De Parfum</t>
        </is>
      </c>
      <c r="D2532" t="inlineStr">
        <is>
          <t>New Brand</t>
        </is>
      </c>
      <c r="E2532" t="n">
        <v>5.29</v>
      </c>
      <c r="F2532" t="n">
        <v>1</v>
      </c>
      <c r="G2532" t="n">
        <v>43</v>
      </c>
      <c r="H2532" s="5">
        <f>HYPERLINK("https://api.qogita.com/variants/link/5425039220338/", "View Product")</f>
        <v/>
      </c>
    </row>
    <row r="2533">
      <c r="A2533" t="inlineStr">
        <is>
          <t>5425039220550</t>
        </is>
      </c>
      <c r="B2533" t="inlineStr">
        <is>
          <t>New Brand My Brand For Women 3.3 oz EDP Spray</t>
        </is>
      </c>
      <c r="C2533" t="inlineStr">
        <is>
          <t>Eau De Parfum</t>
        </is>
      </c>
      <c r="D2533" t="inlineStr">
        <is>
          <t>New Brand</t>
        </is>
      </c>
      <c r="E2533" t="n">
        <v>6.09</v>
      </c>
      <c r="F2533" t="n">
        <v>1</v>
      </c>
      <c r="G2533" t="n">
        <v>8</v>
      </c>
      <c r="H2533" s="5">
        <f>HYPERLINK("https://api.qogita.com/variants/link/5425039220550/", "View Product")</f>
        <v/>
      </c>
    </row>
    <row r="2534">
      <c r="A2534" t="inlineStr">
        <is>
          <t>5425039220628</t>
        </is>
      </c>
      <c r="B2534" t="inlineStr">
        <is>
          <t>Cuba Victory For Women Perfumed Spray 100ml By Cuba</t>
        </is>
      </c>
      <c r="C2534" t="inlineStr">
        <is>
          <t>Eau De Parfum</t>
        </is>
      </c>
      <c r="D2534" t="inlineStr">
        <is>
          <t>Cuba</t>
        </is>
      </c>
      <c r="E2534" t="n">
        <v>4.63</v>
      </c>
      <c r="F2534" t="n">
        <v>1</v>
      </c>
      <c r="G2534" t="n">
        <v>2</v>
      </c>
      <c r="H2534" s="5">
        <f>HYPERLINK("https://api.qogita.com/variants/link/5425039220628/", "View Product")</f>
        <v/>
      </c>
    </row>
    <row r="2535">
      <c r="A2535" t="inlineStr">
        <is>
          <t>5425039220635</t>
        </is>
      </c>
      <c r="B2535" t="inlineStr">
        <is>
          <t>Cuba Original Cuba Shadow For Men Eau De Toilette Spray 35ml</t>
        </is>
      </c>
      <c r="C2535" t="inlineStr">
        <is>
          <t>Eau De Toilette</t>
        </is>
      </c>
      <c r="D2535" t="inlineStr">
        <is>
          <t>Cuba Originals</t>
        </is>
      </c>
      <c r="E2535" t="n">
        <v>4.07</v>
      </c>
      <c r="F2535" t="n">
        <v>1</v>
      </c>
      <c r="G2535" t="n">
        <v>7</v>
      </c>
      <c r="H2535" s="5">
        <f>HYPERLINK("https://api.qogita.com/variants/link/5425039220635/", "View Product")</f>
        <v/>
      </c>
    </row>
    <row r="2536">
      <c r="A2536" t="inlineStr">
        <is>
          <t>5425039221052</t>
        </is>
      </c>
      <c r="B2536" t="inlineStr">
        <is>
          <t>Cuba Original Cuba La Vida For Women Eau De Parfum Spray 35ml</t>
        </is>
      </c>
      <c r="C2536" t="inlineStr">
        <is>
          <t>Eau De Parfum</t>
        </is>
      </c>
      <c r="D2536" t="inlineStr">
        <is>
          <t>Cuba Originals</t>
        </is>
      </c>
      <c r="E2536" t="n">
        <v>3.03</v>
      </c>
      <c r="F2536" t="n">
        <v>1</v>
      </c>
      <c r="G2536" t="n">
        <v>14</v>
      </c>
      <c r="H2536" s="5">
        <f>HYPERLINK("https://api.qogita.com/variants/link/5425039221052/", "View Product")</f>
        <v/>
      </c>
    </row>
    <row r="2537">
      <c r="A2537" t="inlineStr">
        <is>
          <t>5425039221083</t>
        </is>
      </c>
      <c r="B2537" t="inlineStr">
        <is>
          <t>New Brand Perfumes Secret EDP 100ml</t>
        </is>
      </c>
      <c r="C2537" t="inlineStr">
        <is>
          <t>Eau De Parfum</t>
        </is>
      </c>
      <c r="D2537" t="inlineStr">
        <is>
          <t>New Brand</t>
        </is>
      </c>
      <c r="E2537" t="n">
        <v>5.29</v>
      </c>
      <c r="F2537" t="n">
        <v>1</v>
      </c>
      <c r="G2537" t="n">
        <v>43</v>
      </c>
      <c r="H2537" s="5">
        <f>HYPERLINK("https://api.qogita.com/variants/link/5425039221083/", "View Product")</f>
        <v/>
      </c>
    </row>
    <row r="2538">
      <c r="A2538" t="inlineStr">
        <is>
          <t>5425039221687</t>
        </is>
      </c>
      <c r="B2538" t="inlineStr">
        <is>
          <t>Cuba Shadow for Men 6.6 Oz Body Spray</t>
        </is>
      </c>
      <c r="C2538" t="inlineStr">
        <is>
          <t>Eau De Toilette</t>
        </is>
      </c>
      <c r="D2538" t="inlineStr">
        <is>
          <t>Cuba</t>
        </is>
      </c>
      <c r="E2538" t="n">
        <v>2.22</v>
      </c>
      <c r="F2538" t="n">
        <v>1</v>
      </c>
      <c r="G2538" t="n">
        <v>63</v>
      </c>
      <c r="H2538" s="5">
        <f>HYPERLINK("https://api.qogita.com/variants/link/5425039221687/", "View Product")</f>
        <v/>
      </c>
    </row>
    <row r="2539">
      <c r="A2539" t="inlineStr">
        <is>
          <t>5425039221786</t>
        </is>
      </c>
      <c r="B2539" t="inlineStr">
        <is>
          <t>Bijoux Sisi Eau De Parfum For Women - 200ml</t>
        </is>
      </c>
      <c r="C2539" t="inlineStr">
        <is>
          <t>Eau De Parfum</t>
        </is>
      </c>
      <c r="D2539" t="inlineStr">
        <is>
          <t>Bijoux</t>
        </is>
      </c>
      <c r="E2539" t="n">
        <v>6.51</v>
      </c>
      <c r="F2539" t="n">
        <v>1</v>
      </c>
      <c r="G2539" t="n">
        <v>22</v>
      </c>
      <c r="H2539" s="5">
        <f>HYPERLINK("https://api.qogita.com/variants/link/5425039221786/", "View Product")</f>
        <v/>
      </c>
    </row>
    <row r="2540">
      <c r="A2540" t="inlineStr">
        <is>
          <t>5425039221823</t>
        </is>
      </c>
      <c r="B2540" t="inlineStr">
        <is>
          <t>Bijoux Koko Eau De Parfum For Women - 200ml</t>
        </is>
      </c>
      <c r="C2540" t="inlineStr">
        <is>
          <t>Eau De Parfum</t>
        </is>
      </c>
      <c r="D2540" t="inlineStr">
        <is>
          <t>Bijoux</t>
        </is>
      </c>
      <c r="E2540" t="n">
        <v>6.51</v>
      </c>
      <c r="F2540" t="n">
        <v>1</v>
      </c>
      <c r="G2540" t="n">
        <v>22</v>
      </c>
      <c r="H2540" s="5">
        <f>HYPERLINK("https://api.qogita.com/variants/link/5425039221823/", "View Product")</f>
        <v/>
      </c>
    </row>
    <row r="2541">
      <c r="A2541" t="inlineStr">
        <is>
          <t>5425039221847</t>
        </is>
      </c>
      <c r="B2541" t="inlineStr">
        <is>
          <t>Bijoux Escandalo Eau De Parfum For Women - 200ml</t>
        </is>
      </c>
      <c r="C2541" t="inlineStr">
        <is>
          <t>Eau De Parfum</t>
        </is>
      </c>
      <c r="D2541" t="inlineStr">
        <is>
          <t>Bijoux</t>
        </is>
      </c>
      <c r="E2541" t="n">
        <v>6.51</v>
      </c>
      <c r="F2541" t="n">
        <v>1</v>
      </c>
      <c r="G2541" t="n">
        <v>22</v>
      </c>
      <c r="H2541" s="5">
        <f>HYPERLINK("https://api.qogita.com/variants/link/5425039221847/", "View Product")</f>
        <v/>
      </c>
    </row>
    <row r="2542">
      <c r="A2542" t="inlineStr">
        <is>
          <t>5425039221861</t>
        </is>
      </c>
      <c r="B2542" t="inlineStr">
        <is>
          <t>Bijoux Bad Girl Eau De Parfum For Women - 200ml</t>
        </is>
      </c>
      <c r="C2542" t="inlineStr">
        <is>
          <t>Eau De Parfum</t>
        </is>
      </c>
      <c r="D2542" t="inlineStr">
        <is>
          <t>Bijoux</t>
        </is>
      </c>
      <c r="E2542" t="n">
        <v>6.51</v>
      </c>
      <c r="F2542" t="n">
        <v>1</v>
      </c>
      <c r="G2542" t="n">
        <v>22</v>
      </c>
      <c r="H2542" s="5">
        <f>HYPERLINK("https://api.qogita.com/variants/link/5425039221861/", "View Product")</f>
        <v/>
      </c>
    </row>
    <row r="2543">
      <c r="A2543" t="inlineStr">
        <is>
          <t>5425039222028</t>
        </is>
      </c>
      <c r="B2543" t="inlineStr">
        <is>
          <t>Cuba Original Cuba Authentic Dark For Men Eau De Toilette Spray 100ml</t>
        </is>
      </c>
      <c r="C2543" t="inlineStr">
        <is>
          <t>Eau De Toilette</t>
        </is>
      </c>
      <c r="D2543" t="inlineStr">
        <is>
          <t>Cuba Originals</t>
        </is>
      </c>
      <c r="E2543" t="n">
        <v>7.41</v>
      </c>
      <c r="F2543" t="n">
        <v>1</v>
      </c>
      <c r="G2543" t="n">
        <v>7</v>
      </c>
      <c r="H2543" s="5">
        <f>HYPERLINK("https://api.qogita.com/variants/link/5425039222028/", "View Product")</f>
        <v/>
      </c>
    </row>
    <row r="2544">
      <c r="A2544" t="inlineStr">
        <is>
          <t>5425039222066</t>
        </is>
      </c>
      <c r="B2544" t="inlineStr">
        <is>
          <t>Cuba Original Cuba Authentic Happy For Women Eau De Parfum Spray 100ml</t>
        </is>
      </c>
      <c r="C2544" t="inlineStr">
        <is>
          <t>Eau De Parfum</t>
        </is>
      </c>
      <c r="D2544" t="inlineStr">
        <is>
          <t>Cuba Originals</t>
        </is>
      </c>
      <c r="E2544" t="n">
        <v>7.38</v>
      </c>
      <c r="F2544" t="n">
        <v>1</v>
      </c>
      <c r="G2544" t="n">
        <v>3</v>
      </c>
      <c r="H2544" s="5">
        <f>HYPERLINK("https://api.qogita.com/variants/link/5425039222066/", "View Product")</f>
        <v/>
      </c>
    </row>
    <row r="2545">
      <c r="A2545" t="inlineStr">
        <is>
          <t>5425039222189</t>
        </is>
      </c>
      <c r="B2545" t="inlineStr">
        <is>
          <t>Cuba Original Woman Blossom Eau De Parfum Spray 100ml</t>
        </is>
      </c>
      <c r="C2545" t="inlineStr">
        <is>
          <t>Eau De Parfum</t>
        </is>
      </c>
      <c r="D2545" t="inlineStr">
        <is>
          <t>Cuba Originals</t>
        </is>
      </c>
      <c r="E2545" t="n">
        <v>4.79</v>
      </c>
      <c r="F2545" t="n">
        <v>1</v>
      </c>
      <c r="G2545" t="n">
        <v>43</v>
      </c>
      <c r="H2545" s="5">
        <f>HYPERLINK("https://api.qogita.com/variants/link/5425039222189/", "View Product")</f>
        <v/>
      </c>
    </row>
    <row r="2546">
      <c r="A2546" t="inlineStr">
        <is>
          <t>5425039222660</t>
        </is>
      </c>
      <c r="B2546" t="inlineStr">
        <is>
          <t>Cuba Royal Gift Set - Eau De Toilette Spray 100ml, After Shave 100ml, Keychain</t>
        </is>
      </c>
      <c r="C2546" t="inlineStr">
        <is>
          <t>Fragrance</t>
        </is>
      </c>
      <c r="D2546" t="inlineStr">
        <is>
          <t>Cuba</t>
        </is>
      </c>
      <c r="E2546" t="n">
        <v>7.37</v>
      </c>
      <c r="F2546" t="n">
        <v>1</v>
      </c>
      <c r="G2546" t="n">
        <v>13</v>
      </c>
      <c r="H2546" s="5">
        <f>HYPERLINK("https://api.qogita.com/variants/link/5425039222660/", "View Product")</f>
        <v/>
      </c>
    </row>
    <row r="2547">
      <c r="A2547" t="inlineStr">
        <is>
          <t>5425039222707</t>
        </is>
      </c>
      <c r="B2547" t="inlineStr">
        <is>
          <t>Cuba Original Cuba Royal Fortune For Men Eau De Toilette Spray 100ml</t>
        </is>
      </c>
      <c r="C2547" t="inlineStr">
        <is>
          <t>Eau De Toilette</t>
        </is>
      </c>
      <c r="D2547" t="inlineStr">
        <is>
          <t>Cuba Originals</t>
        </is>
      </c>
      <c r="E2547" t="n">
        <v>4.79</v>
      </c>
      <c r="F2547" t="n">
        <v>1</v>
      </c>
      <c r="G2547" t="n">
        <v>77</v>
      </c>
      <c r="H2547" s="5">
        <f>HYPERLINK("https://api.qogita.com/variants/link/5425039222707/", "View Product")</f>
        <v/>
      </c>
    </row>
    <row r="2548">
      <c r="A2548" t="inlineStr">
        <is>
          <t>5425039222844</t>
        </is>
      </c>
      <c r="B2548" t="inlineStr">
        <is>
          <t>Cuba Original Fierce Eau De Toilette Spray 100ml By Cuba</t>
        </is>
      </c>
      <c r="C2548" t="inlineStr">
        <is>
          <t>Eau De Toilette</t>
        </is>
      </c>
      <c r="D2548" t="inlineStr">
        <is>
          <t>Cuba</t>
        </is>
      </c>
      <c r="E2548" t="n">
        <v>4.39</v>
      </c>
      <c r="F2548" t="n">
        <v>1</v>
      </c>
      <c r="G2548" t="n">
        <v>7</v>
      </c>
      <c r="H2548" s="5">
        <f>HYPERLINK("https://api.qogita.com/variants/link/5425039222844/", "View Product")</f>
        <v/>
      </c>
    </row>
    <row r="2549">
      <c r="A2549" t="inlineStr">
        <is>
          <t>5425039222912</t>
        </is>
      </c>
      <c r="B2549" t="inlineStr">
        <is>
          <t>Cuba Original Black After Shave Lotion 100ml</t>
        </is>
      </c>
      <c r="C2549" t="inlineStr">
        <is>
          <t>Aftershave</t>
        </is>
      </c>
      <c r="D2549" t="inlineStr">
        <is>
          <t>Cuba Originals</t>
        </is>
      </c>
      <c r="E2549" t="n">
        <v>2.6</v>
      </c>
      <c r="F2549" t="n">
        <v>1</v>
      </c>
      <c r="G2549" t="n">
        <v>37</v>
      </c>
      <c r="H2549" s="5">
        <f>HYPERLINK("https://api.qogita.com/variants/link/5425039222912/", "View Product")</f>
        <v/>
      </c>
    </row>
    <row r="2550">
      <c r="A2550" t="inlineStr">
        <is>
          <t>5425039223407</t>
        </is>
      </c>
      <c r="B2550" t="inlineStr">
        <is>
          <t>Prime Royal Arabian Oud by Assala Unisex 3.3 Oz EDP Spray</t>
        </is>
      </c>
      <c r="C2550" t="inlineStr">
        <is>
          <t>Eau De Parfum</t>
        </is>
      </c>
      <c r="D2550" t="inlineStr">
        <is>
          <t>Asala</t>
        </is>
      </c>
      <c r="E2550" t="n">
        <v>20</v>
      </c>
      <c r="F2550" t="n">
        <v>1</v>
      </c>
      <c r="G2550" t="n">
        <v>2</v>
      </c>
      <c r="H2550" s="5">
        <f>HYPERLINK("https://api.qogita.com/variants/link/5425039223407/", "View Product")</f>
        <v/>
      </c>
    </row>
    <row r="2551">
      <c r="A2551" t="inlineStr">
        <is>
          <t>5425039223414</t>
        </is>
      </c>
      <c r="B2551" t="inlineStr">
        <is>
          <t>Prime Royal Fame by Assala for Unisex 3.3 Oz EDP Spray</t>
        </is>
      </c>
      <c r="C2551" t="inlineStr">
        <is>
          <t>Eau De Parfum</t>
        </is>
      </c>
      <c r="D2551" t="inlineStr">
        <is>
          <t>Asala</t>
        </is>
      </c>
      <c r="E2551" t="n">
        <v>18.38</v>
      </c>
      <c r="F2551" t="n">
        <v>1</v>
      </c>
      <c r="G2551" t="n">
        <v>4</v>
      </c>
      <c r="H2551" s="5">
        <f>HYPERLINK("https://api.qogita.com/variants/link/5425039223414/", "View Product")</f>
        <v/>
      </c>
    </row>
    <row r="2552">
      <c r="A2552" t="inlineStr">
        <is>
          <t>5425039223742</t>
        </is>
      </c>
      <c r="B2552" t="inlineStr">
        <is>
          <t>Cuba Oud by Cuba for Men 33oz EDT Spray</t>
        </is>
      </c>
      <c r="C2552" t="inlineStr">
        <is>
          <t>Eau De Toilette</t>
        </is>
      </c>
      <c r="D2552" t="inlineStr">
        <is>
          <t>Cuba</t>
        </is>
      </c>
      <c r="E2552" t="n">
        <v>4.79</v>
      </c>
      <c r="F2552" t="n">
        <v>1</v>
      </c>
      <c r="G2552" t="n">
        <v>43</v>
      </c>
      <c r="H2552" s="5">
        <f>HYPERLINK("https://api.qogita.com/variants/link/5425039223742/", "View Product")</f>
        <v/>
      </c>
    </row>
    <row r="2553">
      <c r="A2553" t="inlineStr">
        <is>
          <t>5701278563505</t>
        </is>
      </c>
      <c r="B2553" t="inlineStr">
        <is>
          <t>Gosh Mineral Waterproof Eye Shadow 001pearly White</t>
        </is>
      </c>
      <c r="C2553" t="inlineStr">
        <is>
          <t>Eyeshadow</t>
        </is>
      </c>
      <c r="D2553" t="inlineStr">
        <is>
          <t>Gosh</t>
        </is>
      </c>
      <c r="E2553" t="n">
        <v>6.76</v>
      </c>
      <c r="F2553" t="n">
        <v>1</v>
      </c>
      <c r="G2553" t="n">
        <v>4</v>
      </c>
      <c r="H2553" s="5">
        <f>HYPERLINK("https://api.qogita.com/variants/link/5701278563505/", "View Product")</f>
        <v/>
      </c>
    </row>
    <row r="2554">
      <c r="A2554" t="inlineStr">
        <is>
          <t>5712598000328</t>
        </is>
      </c>
      <c r="B2554" t="inlineStr">
        <is>
          <t>Zarkoperfume Menage A Trois Eau De Parfum Spray 100ml</t>
        </is>
      </c>
      <c r="C2554" t="inlineStr">
        <is>
          <t>Eau De Parfum</t>
        </is>
      </c>
      <c r="D2554" t="inlineStr">
        <is>
          <t>Zarkoperfume</t>
        </is>
      </c>
      <c r="E2554" t="n">
        <v>74.09</v>
      </c>
      <c r="F2554" t="n">
        <v>1</v>
      </c>
      <c r="G2554" t="n">
        <v>5</v>
      </c>
      <c r="H2554" s="5">
        <f>HYPERLINK("https://api.qogita.com/variants/link/5712598000328/", "View Product")</f>
        <v/>
      </c>
    </row>
    <row r="2555">
      <c r="A2555" t="inlineStr">
        <is>
          <t>5712980000097</t>
        </is>
      </c>
      <c r="B2555" t="inlineStr">
        <is>
          <t>Zarkoperfume Cloud Collection No.1 Eau De Parfum Spray 100ml</t>
        </is>
      </c>
      <c r="C2555" t="inlineStr">
        <is>
          <t>Eau De Parfum</t>
        </is>
      </c>
      <c r="D2555" t="inlineStr">
        <is>
          <t>Zarkoperfume</t>
        </is>
      </c>
      <c r="E2555" t="n">
        <v>153.65</v>
      </c>
      <c r="F2555" t="n">
        <v>1</v>
      </c>
      <c r="G2555" t="n">
        <v>3</v>
      </c>
      <c r="H2555" s="5">
        <f>HYPERLINK("https://api.qogita.com/variants/link/5712980000097/", "View Product")</f>
        <v/>
      </c>
    </row>
    <row r="2556">
      <c r="A2556" t="inlineStr">
        <is>
          <t>5900017052458</t>
        </is>
      </c>
      <c r="B2556" t="inlineStr">
        <is>
          <t>Nivea Diamond Volume Care Hair Mousse 150ml</t>
        </is>
      </c>
      <c r="C2556" t="inlineStr">
        <is>
          <t>Mousse</t>
        </is>
      </c>
      <c r="D2556" t="inlineStr">
        <is>
          <t>Nivea</t>
        </is>
      </c>
      <c r="E2556" t="n">
        <v>5.88</v>
      </c>
      <c r="F2556" t="n">
        <v>1</v>
      </c>
      <c r="G2556" t="n">
        <v>6</v>
      </c>
      <c r="H2556" s="5">
        <f>HYPERLINK("https://api.qogita.com/variants/link/5900017052458/", "View Product")</f>
        <v/>
      </c>
    </row>
    <row r="2557">
      <c r="A2557" t="inlineStr">
        <is>
          <t>5900116091839</t>
        </is>
      </c>
      <c r="B2557" t="inlineStr">
        <is>
          <t>More4care Luxury Boob Shaper Concentrated Serum For Bust And Decollete 100ml</t>
        </is>
      </c>
      <c r="C2557" t="inlineStr">
        <is>
          <t>Intimate Care</t>
        </is>
      </c>
      <c r="D2557" t="inlineStr">
        <is>
          <t>More4care</t>
        </is>
      </c>
      <c r="E2557" t="n">
        <v>10.36</v>
      </c>
      <c r="F2557" t="n">
        <v>1</v>
      </c>
      <c r="G2557" t="n">
        <v>4</v>
      </c>
      <c r="H2557" s="5">
        <f>HYPERLINK("https://api.qogita.com/variants/link/5900116091839/", "View Product")</f>
        <v/>
      </c>
    </row>
    <row r="2558">
      <c r="A2558" t="inlineStr">
        <is>
          <t>5900627081473</t>
        </is>
      </c>
      <c r="B2558" t="inlineStr">
        <is>
          <t>Veet Depilatory Shower Cream For Sensitive Skin Men Silk Fresh 150 Ml</t>
        </is>
      </c>
      <c r="C2558" t="inlineStr">
        <is>
          <t>Razors &amp; Hair Removal Tools</t>
        </is>
      </c>
      <c r="D2558" t="inlineStr">
        <is>
          <t>Veet</t>
        </is>
      </c>
      <c r="E2558" t="n">
        <v>7.87</v>
      </c>
      <c r="F2558" t="n">
        <v>1</v>
      </c>
      <c r="G2558" t="n">
        <v>34</v>
      </c>
      <c r="H2558" s="5">
        <f>HYPERLINK("https://api.qogita.com/variants/link/5900627081473/", "View Product")</f>
        <v/>
      </c>
    </row>
    <row r="2559">
      <c r="A2559" t="inlineStr">
        <is>
          <t>5900627095883</t>
        </is>
      </c>
      <c r="B2559" t="inlineStr">
        <is>
          <t>Minima Easy-Gel Wax Strips For Face - 20 Pieces</t>
        </is>
      </c>
      <c r="C2559" t="inlineStr">
        <is>
          <t>Razors &amp; Hair Removal Tools</t>
        </is>
      </c>
      <c r="D2559" t="inlineStr">
        <is>
          <t>Minima</t>
        </is>
      </c>
      <c r="E2559" t="n">
        <v>6.78</v>
      </c>
      <c r="F2559" t="n">
        <v>1</v>
      </c>
      <c r="G2559" t="n">
        <v>13</v>
      </c>
      <c r="H2559" s="5">
        <f>HYPERLINK("https://api.qogita.com/variants/link/5900627095883/", "View Product")</f>
        <v/>
      </c>
    </row>
    <row r="2560">
      <c r="A2560" t="inlineStr">
        <is>
          <t>5900717060074</t>
        </is>
      </c>
      <c r="B2560" t="inlineStr">
        <is>
          <t>Lirene Concealing Foundation Camouflaging Imperfections With Vitamin E 25 Tanned 30ml</t>
        </is>
      </c>
      <c r="C2560" t="inlineStr">
        <is>
          <t>Foundation</t>
        </is>
      </c>
      <c r="D2560" t="inlineStr">
        <is>
          <t>Lirene</t>
        </is>
      </c>
      <c r="E2560" t="n">
        <v>4.75</v>
      </c>
      <c r="F2560" t="n">
        <v>1</v>
      </c>
      <c r="G2560" t="n">
        <v>2</v>
      </c>
      <c r="H2560" s="5">
        <f>HYPERLINK("https://api.qogita.com/variants/link/5900717060074/", "View Product")</f>
        <v/>
      </c>
    </row>
    <row r="2561">
      <c r="A2561" t="inlineStr">
        <is>
          <t>5900717062078</t>
        </is>
      </c>
      <c r="B2561" t="inlineStr">
        <is>
          <t>Lirene City Matt Fluid Mattifying And Smoothing Face Fluid 207 Beige 30ml</t>
        </is>
      </c>
      <c r="C2561" t="inlineStr">
        <is>
          <t>Tinted Day Cream</t>
        </is>
      </c>
      <c r="D2561" t="inlineStr">
        <is>
          <t>Lirene</t>
        </is>
      </c>
      <c r="E2561" t="n">
        <v>6.88</v>
      </c>
      <c r="F2561" t="n">
        <v>1</v>
      </c>
      <c r="G2561" t="n">
        <v>3</v>
      </c>
      <c r="H2561" s="5">
        <f>HYPERLINK("https://api.qogita.com/variants/link/5900717062078/", "View Product")</f>
        <v/>
      </c>
    </row>
    <row r="2562">
      <c r="A2562" t="inlineStr">
        <is>
          <t>5900717204416</t>
        </is>
      </c>
      <c r="B2562" t="inlineStr">
        <is>
          <t>Dr Irena Eris Lumissima Luminizing and Age Correcting Serum</t>
        </is>
      </c>
      <c r="C2562" t="inlineStr">
        <is>
          <t>Anti-Aging Serum</t>
        </is>
      </c>
      <c r="D2562" t="inlineStr">
        <is>
          <t>Dr Irena Eris</t>
        </is>
      </c>
      <c r="E2562" t="n">
        <v>27.02</v>
      </c>
      <c r="F2562" t="n">
        <v>1</v>
      </c>
      <c r="G2562" t="n">
        <v>3</v>
      </c>
      <c r="H2562" s="5">
        <f>HYPERLINK("https://api.qogita.com/variants/link/5900717204416/", "View Product")</f>
        <v/>
      </c>
    </row>
    <row r="2563">
      <c r="A2563" t="inlineStr">
        <is>
          <t>5900717207318</t>
        </is>
      </c>
      <c r="B2563" t="inlineStr">
        <is>
          <t>Dr Irena Eris Volumetric Neck and Décolleté Concentrate</t>
        </is>
      </c>
      <c r="C2563" t="inlineStr">
        <is>
          <t>Neck &amp; Decollete</t>
        </is>
      </c>
      <c r="D2563" t="inlineStr">
        <is>
          <t>Dr Irena Eris</t>
        </is>
      </c>
      <c r="E2563" t="n">
        <v>19.45</v>
      </c>
      <c r="F2563" t="n">
        <v>1</v>
      </c>
      <c r="G2563" t="n">
        <v>5</v>
      </c>
      <c r="H2563" s="5">
        <f>HYPERLINK("https://api.qogita.com/variants/link/5900717207318/", "View Product")</f>
        <v/>
      </c>
    </row>
    <row r="2564">
      <c r="A2564" t="inlineStr">
        <is>
          <t>5900717267510</t>
        </is>
      </c>
      <c r="B2564" t="inlineStr">
        <is>
          <t>Dr Irena Eris Aquality Oil-Control Moisturizing Cream Spf 30 50ml</t>
        </is>
      </c>
      <c r="C2564" t="inlineStr">
        <is>
          <t>Day Cream</t>
        </is>
      </c>
      <c r="D2564" t="inlineStr">
        <is>
          <t>Dr Irena Eris</t>
        </is>
      </c>
      <c r="E2564" t="n">
        <v>19.92</v>
      </c>
      <c r="F2564" t="n">
        <v>1</v>
      </c>
      <c r="G2564" t="n">
        <v>5</v>
      </c>
      <c r="H2564" s="5">
        <f>HYPERLINK("https://api.qogita.com/variants/link/5900717267510/", "View Product")</f>
        <v/>
      </c>
    </row>
    <row r="2565">
      <c r="A2565" t="inlineStr">
        <is>
          <t>5900717291539</t>
        </is>
      </c>
      <c r="B2565" t="inlineStr">
        <is>
          <t>Dr Irena Eris Splendid Wrinkle Filler Eye Cream</t>
        </is>
      </c>
      <c r="C2565" t="inlineStr">
        <is>
          <t>Eye Cream</t>
        </is>
      </c>
      <c r="D2565" t="inlineStr">
        <is>
          <t>Dr Irena Eris</t>
        </is>
      </c>
      <c r="E2565" t="n">
        <v>19.96</v>
      </c>
      <c r="F2565" t="n">
        <v>1</v>
      </c>
      <c r="G2565" t="n">
        <v>2</v>
      </c>
      <c r="H2565" s="5">
        <f>HYPERLINK("https://api.qogita.com/variants/link/5900717291539/", "View Product")</f>
        <v/>
      </c>
    </row>
    <row r="2566">
      <c r="A2566" t="inlineStr">
        <is>
          <t>5900717600614</t>
        </is>
      </c>
      <c r="B2566" t="inlineStr">
        <is>
          <t>Lirene Vitamin E Infused Concealing Foundation In Shade 24 Warm Beige, 30 Ml</t>
        </is>
      </c>
      <c r="C2566" t="inlineStr">
        <is>
          <t>Foundation</t>
        </is>
      </c>
      <c r="D2566" t="inlineStr">
        <is>
          <t>Lirene</t>
        </is>
      </c>
      <c r="E2566" t="n">
        <v>4.75</v>
      </c>
      <c r="F2566" t="n">
        <v>1</v>
      </c>
      <c r="G2566" t="n">
        <v>2</v>
      </c>
      <c r="H2566" s="5">
        <f>HYPERLINK("https://api.qogita.com/variants/link/5900717600614/", "View Product")</f>
        <v/>
      </c>
    </row>
    <row r="2567">
      <c r="A2567" t="inlineStr">
        <is>
          <t>5901691854024</t>
        </is>
      </c>
      <c r="B2567" t="inlineStr">
        <is>
          <t>Pack Of 2 Lovi Plates - Pistachio</t>
        </is>
      </c>
      <c r="C2567" t="inlineStr">
        <is>
          <t>Incense</t>
        </is>
      </c>
      <c r="D2567" t="inlineStr">
        <is>
          <t>Lovi</t>
        </is>
      </c>
      <c r="E2567" t="n">
        <v>9.699999999999999</v>
      </c>
      <c r="F2567" t="n">
        <v>1</v>
      </c>
      <c r="G2567" t="n">
        <v>2</v>
      </c>
      <c r="H2567" s="5">
        <f>HYPERLINK("https://api.qogita.com/variants/link/5901691854024/", "View Product")</f>
        <v/>
      </c>
    </row>
    <row r="2568">
      <c r="A2568" t="inlineStr">
        <is>
          <t>5901761904529</t>
        </is>
      </c>
      <c r="B2568" t="inlineStr">
        <is>
          <t>Eveline Art Make-Up Anti-Shine Complex Pressed Powder - 34 Medium Beige, 14g</t>
        </is>
      </c>
      <c r="C2568" t="inlineStr">
        <is>
          <t>Powder</t>
        </is>
      </c>
      <c r="D2568" t="inlineStr">
        <is>
          <t>Eveline</t>
        </is>
      </c>
      <c r="E2568" t="n">
        <v>4.15</v>
      </c>
      <c r="F2568" t="n">
        <v>1</v>
      </c>
      <c r="G2568" t="n">
        <v>3</v>
      </c>
      <c r="H2568" s="5">
        <f>HYPERLINK("https://api.qogita.com/variants/link/5901761904529/", "View Product")</f>
        <v/>
      </c>
    </row>
    <row r="2569">
      <c r="A2569" t="inlineStr">
        <is>
          <t>5901761941951</t>
        </is>
      </c>
      <c r="B2569" t="inlineStr">
        <is>
          <t>Eveline Gold Lift Expert 60+ Luxury Rejuvenating Cream-Serum With 24k Gold Day/Night 50ml</t>
        </is>
      </c>
      <c r="C2569" t="inlineStr">
        <is>
          <t>Anti-Aging Facial Care</t>
        </is>
      </c>
      <c r="D2569" t="inlineStr">
        <is>
          <t>Eveline</t>
        </is>
      </c>
      <c r="E2569" t="n">
        <v>6.07</v>
      </c>
      <c r="F2569" t="n">
        <v>1</v>
      </c>
      <c r="G2569" t="n">
        <v>2</v>
      </c>
      <c r="H2569" s="5">
        <f>HYPERLINK("https://api.qogita.com/variants/link/5901761941951/", "View Product")</f>
        <v/>
      </c>
    </row>
    <row r="2570">
      <c r="A2570" t="inlineStr">
        <is>
          <t>5901761965346</t>
        </is>
      </c>
      <c r="B2570" t="inlineStr">
        <is>
          <t>Eveline Extra Soft Sos Cream Intensively Regenerating For Face And Body 175ml</t>
        </is>
      </c>
      <c r="C2570" t="inlineStr">
        <is>
          <t>Body Lotion</t>
        </is>
      </c>
      <c r="D2570" t="inlineStr">
        <is>
          <t>Eveline</t>
        </is>
      </c>
      <c r="E2570" t="n">
        <v>3.96</v>
      </c>
      <c r="F2570" t="n">
        <v>1</v>
      </c>
      <c r="G2570" t="n">
        <v>2</v>
      </c>
      <c r="H2570" s="5">
        <f>HYPERLINK("https://api.qogita.com/variants/link/5901761965346/", "View Product")</f>
        <v/>
      </c>
    </row>
    <row r="2571">
      <c r="A2571" t="inlineStr">
        <is>
          <t>5901761966138</t>
        </is>
      </c>
      <c r="B2571" t="inlineStr">
        <is>
          <t>Eveline Volume Extension Push Up Volume &amp; Curl Mascara - 10ml</t>
        </is>
      </c>
      <c r="C2571" t="inlineStr">
        <is>
          <t>Mascara</t>
        </is>
      </c>
      <c r="D2571" t="inlineStr">
        <is>
          <t>Eveline</t>
        </is>
      </c>
      <c r="E2571" t="n">
        <v>3.52</v>
      </c>
      <c r="F2571" t="n">
        <v>1</v>
      </c>
      <c r="G2571" t="n">
        <v>2</v>
      </c>
      <c r="H2571" s="5">
        <f>HYPERLINK("https://api.qogita.com/variants/link/5901761966138/", "View Product")</f>
        <v/>
      </c>
    </row>
    <row r="2572">
      <c r="A2572" t="inlineStr">
        <is>
          <t>5901761967708</t>
        </is>
      </c>
      <c r="B2572" t="inlineStr">
        <is>
          <t>Eveline Slim Extreme 4d Scalpel Super Concentrated Serum Reducing Fat Tissue Heating Formula 250ml</t>
        </is>
      </c>
      <c r="C2572" t="inlineStr">
        <is>
          <t>Anti-Cellulite</t>
        </is>
      </c>
      <c r="D2572" t="inlineStr">
        <is>
          <t>Eveline</t>
        </is>
      </c>
      <c r="E2572" t="n">
        <v>5.59</v>
      </c>
      <c r="F2572" t="n">
        <v>1</v>
      </c>
      <c r="G2572" t="n">
        <v>5</v>
      </c>
      <c r="H2572" s="5">
        <f>HYPERLINK("https://api.qogita.com/variants/link/5901761967708/", "View Product")</f>
        <v/>
      </c>
    </row>
    <row r="2573">
      <c r="A2573" t="inlineStr">
        <is>
          <t>5901761981018</t>
        </is>
      </c>
      <c r="B2573" t="inlineStr">
        <is>
          <t>Eveline Royal Snail 50+/70+ Concentrated Eye And Eyelid Lifting Cream With Snail Mucus For Day And Night 20ml</t>
        </is>
      </c>
      <c r="C2573" t="inlineStr">
        <is>
          <t>Eye Cream</t>
        </is>
      </c>
      <c r="D2573" t="inlineStr">
        <is>
          <t>Eveline</t>
        </is>
      </c>
      <c r="E2573" t="n">
        <v>5.74</v>
      </c>
      <c r="F2573" t="n">
        <v>1</v>
      </c>
      <c r="G2573" t="n">
        <v>2</v>
      </c>
      <c r="H2573" s="5">
        <f>HYPERLINK("https://api.qogita.com/variants/link/5901761981018/", "View Product")</f>
        <v/>
      </c>
    </row>
    <row r="2574">
      <c r="A2574" t="inlineStr">
        <is>
          <t>5901761983975</t>
        </is>
      </c>
      <c r="B2574" t="inlineStr">
        <is>
          <t>Eveline Facemed+ Hyaluronic Micellar Liquid 3 In 1 For Very Sensitive And Dry Skin 650ml</t>
        </is>
      </c>
      <c r="C2574" t="inlineStr">
        <is>
          <t>Micellar Water</t>
        </is>
      </c>
      <c r="D2574" t="inlineStr">
        <is>
          <t>Eveline</t>
        </is>
      </c>
      <c r="E2574" t="n">
        <v>6.61</v>
      </c>
      <c r="F2574" t="n">
        <v>1</v>
      </c>
      <c r="G2574" t="n">
        <v>3</v>
      </c>
      <c r="H2574" s="5">
        <f>HYPERLINK("https://api.qogita.com/variants/link/5901761983975/", "View Product")</f>
        <v/>
      </c>
    </row>
    <row r="2575">
      <c r="A2575" t="inlineStr">
        <is>
          <t>5901761987058</t>
        </is>
      </c>
      <c r="B2575" t="inlineStr">
        <is>
          <t>Eveline Facemed+ Enzymatic Peeling For Dry, Sensitive, And Capillary Skin Gommage 50ml</t>
        </is>
      </c>
      <c r="C2575" t="inlineStr">
        <is>
          <t>Facial Scrub &amp; Peeling</t>
        </is>
      </c>
      <c r="D2575" t="inlineStr">
        <is>
          <t>Eveline</t>
        </is>
      </c>
      <c r="E2575" t="n">
        <v>3.3</v>
      </c>
      <c r="F2575" t="n">
        <v>1</v>
      </c>
      <c r="G2575" t="n">
        <v>2</v>
      </c>
      <c r="H2575" s="5">
        <f>HYPERLINK("https://api.qogita.com/variants/link/5901761987058/", "View Product")</f>
        <v/>
      </c>
    </row>
    <row r="2576">
      <c r="A2576" t="inlineStr">
        <is>
          <t>5901832060178</t>
        </is>
      </c>
      <c r="B2576" t="inlineStr">
        <is>
          <t>La Rive Cuté Woman Deodorant Spray 150ml</t>
        </is>
      </c>
      <c r="C2576" t="inlineStr">
        <is>
          <t>Deodorant &amp; Anti-Perspirant</t>
        </is>
      </c>
      <c r="D2576" t="inlineStr">
        <is>
          <t>La Rive</t>
        </is>
      </c>
      <c r="E2576" t="n">
        <v>3.75</v>
      </c>
      <c r="F2576" t="n">
        <v>1</v>
      </c>
      <c r="G2576" t="n">
        <v>2</v>
      </c>
      <c r="H2576" s="5">
        <f>HYPERLINK("https://api.qogita.com/variants/link/5901832060178/", "View Product")</f>
        <v/>
      </c>
    </row>
    <row r="2577">
      <c r="A2577" t="inlineStr">
        <is>
          <t>5901887001676</t>
        </is>
      </c>
      <c r="B2577" t="inlineStr">
        <is>
          <t>Lifting Solution Nanotechnology Anti-Wrinkle Night Cream 40+ 50ml</t>
        </is>
      </c>
      <c r="C2577" t="inlineStr">
        <is>
          <t>Night Cream</t>
        </is>
      </c>
      <c r="D2577" t="inlineStr">
        <is>
          <t>Floslek</t>
        </is>
      </c>
      <c r="E2577" t="n">
        <v>5.93</v>
      </c>
      <c r="F2577" t="n">
        <v>1</v>
      </c>
      <c r="G2577" t="n">
        <v>2</v>
      </c>
      <c r="H2577" s="5">
        <f>HYPERLINK("https://api.qogita.com/variants/link/5901887001676/", "View Product")</f>
        <v/>
      </c>
    </row>
    <row r="2578">
      <c r="A2578" t="inlineStr">
        <is>
          <t>5901887001683</t>
        </is>
      </c>
      <c r="B2578" t="inlineStr">
        <is>
          <t>Lifting Solution Concentrated Eye and Lip Serum 30ml</t>
        </is>
      </c>
      <c r="C2578" t="inlineStr">
        <is>
          <t>Anti-Aging Serum</t>
        </is>
      </c>
      <c r="D2578" t="inlineStr">
        <is>
          <t>Ziaja</t>
        </is>
      </c>
      <c r="E2578" t="n">
        <v>5.4</v>
      </c>
      <c r="F2578" t="n">
        <v>1</v>
      </c>
      <c r="G2578" t="n">
        <v>4</v>
      </c>
      <c r="H2578" s="5">
        <f>HYPERLINK("https://api.qogita.com/variants/link/5901887001683/", "View Product")</f>
        <v/>
      </c>
    </row>
    <row r="2579">
      <c r="A2579" t="inlineStr">
        <is>
          <t>5901887004318</t>
        </is>
      </c>
      <c r="B2579" t="inlineStr">
        <is>
          <t>Ziaja Vitamin Massage Oil 500ml</t>
        </is>
      </c>
      <c r="C2579" t="inlineStr">
        <is>
          <t>Body Oil</t>
        </is>
      </c>
      <c r="D2579" t="inlineStr">
        <is>
          <t>Ziaja</t>
        </is>
      </c>
      <c r="E2579" t="n">
        <v>6.74</v>
      </c>
      <c r="F2579" t="n">
        <v>1</v>
      </c>
      <c r="G2579" t="n">
        <v>14</v>
      </c>
      <c r="H2579" s="5">
        <f>HYPERLINK("https://api.qogita.com/variants/link/5901887004318/", "View Product")</f>
        <v/>
      </c>
    </row>
    <row r="2580">
      <c r="A2580" t="inlineStr">
        <is>
          <t>5901887004622</t>
        </is>
      </c>
      <c r="B2580" t="inlineStr">
        <is>
          <t>Ziaja Bio Eye Gel With Eyebright 15ml - Soothing Eye Gel</t>
        </is>
      </c>
      <c r="C2580" t="inlineStr">
        <is>
          <t>Eye Gel</t>
        </is>
      </c>
      <c r="D2580" t="inlineStr">
        <is>
          <t>Ziaja</t>
        </is>
      </c>
      <c r="E2580" t="n">
        <v>4.36</v>
      </c>
      <c r="F2580" t="n">
        <v>1</v>
      </c>
      <c r="G2580" t="n">
        <v>3</v>
      </c>
      <c r="H2580" s="5">
        <f>HYPERLINK("https://api.qogita.com/variants/link/5901887004622/", "View Product")</f>
        <v/>
      </c>
    </row>
    <row r="2581">
      <c r="A2581" t="inlineStr">
        <is>
          <t>5901887004646</t>
        </is>
      </c>
      <c r="B2581" t="inlineStr">
        <is>
          <t>Ziaja Creamy Body Wash With Cashmere Softens And Moisturizes 500ml</t>
        </is>
      </c>
      <c r="C2581" t="inlineStr">
        <is>
          <t>Shower Gel</t>
        </is>
      </c>
      <c r="D2581" t="inlineStr">
        <is>
          <t>Ziaja</t>
        </is>
      </c>
      <c r="E2581" t="n">
        <v>3.02</v>
      </c>
      <c r="F2581" t="n">
        <v>1</v>
      </c>
      <c r="G2581" t="n">
        <v>7</v>
      </c>
      <c r="H2581" s="5">
        <f>HYPERLINK("https://api.qogita.com/variants/link/5901887004646/", "View Product")</f>
        <v/>
      </c>
    </row>
    <row r="2582">
      <c r="A2582" t="inlineStr">
        <is>
          <t>5901887006930</t>
        </is>
      </c>
      <c r="B2582" t="inlineStr">
        <is>
          <t>Ziaja Sensitive Micellar Water 200 Ml For Sensitive Skin</t>
        </is>
      </c>
      <c r="C2582" t="inlineStr">
        <is>
          <t>Micellar Water</t>
        </is>
      </c>
      <c r="D2582" t="inlineStr">
        <is>
          <t>Ziaja</t>
        </is>
      </c>
      <c r="E2582" t="n">
        <v>4.08</v>
      </c>
      <c r="F2582" t="n">
        <v>1</v>
      </c>
      <c r="G2582" t="n">
        <v>10</v>
      </c>
      <c r="H2582" s="5">
        <f>HYPERLINK("https://api.qogita.com/variants/link/5901887006930/", "View Product")</f>
        <v/>
      </c>
    </row>
    <row r="2583">
      <c r="A2583" t="inlineStr">
        <is>
          <t>5901887006954</t>
        </is>
      </c>
      <c r="B2583" t="inlineStr">
        <is>
          <t>Sensitive Enzymatic Exfoliant for Sensitive Skin 60ml</t>
        </is>
      </c>
      <c r="C2583" t="inlineStr">
        <is>
          <t>Facial Scrub &amp; Peeling</t>
        </is>
      </c>
      <c r="D2583" t="inlineStr">
        <is>
          <t>Ziaja</t>
        </is>
      </c>
      <c r="E2583" t="n">
        <v>4.36</v>
      </c>
      <c r="F2583" t="n">
        <v>1</v>
      </c>
      <c r="G2583" t="n">
        <v>2</v>
      </c>
      <c r="H2583" s="5">
        <f>HYPERLINK("https://api.qogita.com/variants/link/5901887006954/", "View Product")</f>
        <v/>
      </c>
    </row>
    <row r="2584">
      <c r="A2584" t="inlineStr">
        <is>
          <t>5901887007906</t>
        </is>
      </c>
      <c r="B2584" t="inlineStr">
        <is>
          <t>Anti-Wrinkle Daily Cream with Coenzyme Q10 50 ml</t>
        </is>
      </c>
      <c r="C2584" t="inlineStr">
        <is>
          <t>Anti-Aging Facial Care</t>
        </is>
      </c>
      <c r="D2584" t="inlineStr">
        <is>
          <t>Ziaja</t>
        </is>
      </c>
      <c r="E2584" t="n">
        <v>4.36</v>
      </c>
      <c r="F2584" t="n">
        <v>1</v>
      </c>
      <c r="G2584" t="n">
        <v>14</v>
      </c>
      <c r="H2584" s="5">
        <f>HYPERLINK("https://api.qogita.com/variants/link/5901887007906/", "View Product")</f>
        <v/>
      </c>
    </row>
    <row r="2585">
      <c r="A2585" t="inlineStr">
        <is>
          <t>5901887009894</t>
        </is>
      </c>
      <c r="B2585" t="inlineStr">
        <is>
          <t>Ziaja Mamma Mia Firming Body Butter 200 Ml Ideal For Postchildbirth Skin Care</t>
        </is>
      </c>
      <c r="C2585" t="inlineStr">
        <is>
          <t>Body Butter</t>
        </is>
      </c>
      <c r="D2585" t="inlineStr">
        <is>
          <t>Ziaja</t>
        </is>
      </c>
      <c r="E2585" t="n">
        <v>4.11</v>
      </c>
      <c r="F2585" t="n">
        <v>1</v>
      </c>
      <c r="G2585" t="n">
        <v>32</v>
      </c>
      <c r="H2585" s="5">
        <f>HYPERLINK("https://api.qogita.com/variants/link/5901887009894/", "View Product")</f>
        <v/>
      </c>
    </row>
    <row r="2586">
      <c r="A2586" t="inlineStr">
        <is>
          <t>5901887009924</t>
        </is>
      </c>
      <c r="B2586" t="inlineStr">
        <is>
          <t>Ziaja Goat Milk Creamy Shower Soap 500ml</t>
        </is>
      </c>
      <c r="C2586" t="inlineStr">
        <is>
          <t>Soap</t>
        </is>
      </c>
      <c r="D2586" t="inlineStr">
        <is>
          <t>Ziaja</t>
        </is>
      </c>
      <c r="E2586" t="n">
        <v>2.46</v>
      </c>
      <c r="F2586" t="n">
        <v>1</v>
      </c>
      <c r="G2586" t="n">
        <v>6</v>
      </c>
      <c r="H2586" s="5">
        <f>HYPERLINK("https://api.qogita.com/variants/link/5901887009924/", "View Product")</f>
        <v/>
      </c>
    </row>
    <row r="2587">
      <c r="A2587" t="inlineStr">
        <is>
          <t>5901887013310</t>
        </is>
      </c>
      <c r="B2587" t="inlineStr">
        <is>
          <t>Ziaja Aloe Cleansing Milk For Dry And Normal Skin 200 Ml</t>
        </is>
      </c>
      <c r="C2587" t="inlineStr">
        <is>
          <t>Cleansing Milk</t>
        </is>
      </c>
      <c r="D2587" t="inlineStr">
        <is>
          <t>Ziaja</t>
        </is>
      </c>
      <c r="E2587" t="n">
        <v>4.08</v>
      </c>
      <c r="F2587" t="n">
        <v>1</v>
      </c>
      <c r="G2587" t="n">
        <v>7</v>
      </c>
      <c r="H2587" s="5">
        <f>HYPERLINK("https://api.qogita.com/variants/link/5901887013310/", "View Product")</f>
        <v/>
      </c>
    </row>
    <row r="2588">
      <c r="A2588" t="inlineStr">
        <is>
          <t>5901887013334</t>
        </is>
      </c>
      <c r="B2588" t="inlineStr">
        <is>
          <t>Subtle Bronze Face Cream</t>
        </is>
      </c>
      <c r="C2588" t="inlineStr">
        <is>
          <t>Face Cream</t>
        </is>
      </c>
      <c r="D2588" t="inlineStr">
        <is>
          <t>Ziaja</t>
        </is>
      </c>
      <c r="E2588" t="n">
        <v>4.62</v>
      </c>
      <c r="F2588" t="n">
        <v>1</v>
      </c>
      <c r="G2588" t="n">
        <v>15</v>
      </c>
      <c r="H2588" s="5">
        <f>HYPERLINK("https://api.qogita.com/variants/link/5901887013334/", "View Product")</f>
        <v/>
      </c>
    </row>
    <row r="2589">
      <c r="A2589" t="inlineStr">
        <is>
          <t>5901887017028</t>
        </is>
      </c>
      <c r="B2589" t="inlineStr">
        <is>
          <t>Ziaja Jasmin Anti-Aging Day Cream 50+ 50ml</t>
        </is>
      </c>
      <c r="C2589" t="inlineStr">
        <is>
          <t>Day Cream</t>
        </is>
      </c>
      <c r="D2589" t="inlineStr">
        <is>
          <t>Ziaja</t>
        </is>
      </c>
      <c r="E2589" t="n">
        <v>3.74</v>
      </c>
      <c r="F2589" t="n">
        <v>1</v>
      </c>
      <c r="G2589" t="n">
        <v>7</v>
      </c>
      <c r="H2589" s="5">
        <f>HYPERLINK("https://api.qogita.com/variants/link/5901887017028/", "View Product")</f>
        <v/>
      </c>
    </row>
    <row r="2590">
      <c r="A2590" t="inlineStr">
        <is>
          <t>5901887017752</t>
        </is>
      </c>
      <c r="B2590" t="inlineStr">
        <is>
          <t>Ziaja Goat Milk Body Lotion For Dry And Normal Skin 400ml</t>
        </is>
      </c>
      <c r="C2590" t="inlineStr">
        <is>
          <t>Body Lotion</t>
        </is>
      </c>
      <c r="D2590" t="inlineStr">
        <is>
          <t>Ziaja</t>
        </is>
      </c>
      <c r="E2590" t="n">
        <v>3.48</v>
      </c>
      <c r="F2590" t="n">
        <v>1</v>
      </c>
      <c r="G2590" t="n">
        <v>2</v>
      </c>
      <c r="H2590" s="5">
        <f>HYPERLINK("https://api.qogita.com/variants/link/5901887017752/", "View Product")</f>
        <v/>
      </c>
    </row>
    <row r="2591">
      <c r="A2591" t="inlineStr">
        <is>
          <t>5901887019039</t>
        </is>
      </c>
      <c r="B2591" t="inlineStr">
        <is>
          <t>ZIAJA Sunflower Extract Shampoo for Colored Hair 500ml</t>
        </is>
      </c>
      <c r="C2591" t="inlineStr">
        <is>
          <t>Shampoo</t>
        </is>
      </c>
      <c r="D2591" t="inlineStr">
        <is>
          <t>Ziaja</t>
        </is>
      </c>
      <c r="E2591" t="n">
        <v>4.08</v>
      </c>
      <c r="F2591" t="n">
        <v>1</v>
      </c>
      <c r="G2591" t="n">
        <v>24</v>
      </c>
      <c r="H2591" s="5">
        <f>HYPERLINK("https://api.qogita.com/variants/link/5901887019039/", "View Product")</f>
        <v/>
      </c>
    </row>
    <row r="2592">
      <c r="A2592" t="inlineStr">
        <is>
          <t>5901887019473</t>
        </is>
      </c>
      <c r="B2592" t="inlineStr">
        <is>
          <t>Ziaja Moisturizing Repair Cream With Ceramides 50+ For All Skin Types Day Spf6 50ml</t>
        </is>
      </c>
      <c r="C2592" t="inlineStr">
        <is>
          <t>Day Cream</t>
        </is>
      </c>
      <c r="D2592" t="inlineStr">
        <is>
          <t>Ziaja</t>
        </is>
      </c>
      <c r="E2592" t="n">
        <v>4.56</v>
      </c>
      <c r="F2592" t="n">
        <v>1</v>
      </c>
      <c r="G2592" t="n">
        <v>5</v>
      </c>
      <c r="H2592" s="5">
        <f>HYPERLINK("https://api.qogita.com/variants/link/5901887019473/", "View Product")</f>
        <v/>
      </c>
    </row>
    <row r="2593">
      <c r="A2593" t="inlineStr">
        <is>
          <t>5901887019664</t>
        </is>
      </c>
      <c r="B2593" t="inlineStr">
        <is>
          <t>Ziaja Med Micellar Water Makeup Remover 200ml</t>
        </is>
      </c>
      <c r="C2593" t="inlineStr">
        <is>
          <t>Micellar Water</t>
        </is>
      </c>
      <c r="D2593" t="inlineStr">
        <is>
          <t>Ziaja</t>
        </is>
      </c>
      <c r="E2593" t="n">
        <v>5.67</v>
      </c>
      <c r="F2593" t="n">
        <v>1</v>
      </c>
      <c r="G2593" t="n">
        <v>6</v>
      </c>
      <c r="H2593" s="5">
        <f>HYPERLINK("https://api.qogita.com/variants/link/5901887019664/", "View Product")</f>
        <v/>
      </c>
    </row>
    <row r="2594">
      <c r="A2594" t="inlineStr">
        <is>
          <t>5901887021766</t>
        </is>
      </c>
      <c r="B2594" t="inlineStr">
        <is>
          <t>Ziaja Firming Massage Oil 500ml</t>
        </is>
      </c>
      <c r="C2594" t="inlineStr">
        <is>
          <t>Body Oil</t>
        </is>
      </c>
      <c r="D2594" t="inlineStr">
        <is>
          <t>Ziaja</t>
        </is>
      </c>
      <c r="E2594" t="n">
        <v>4.8</v>
      </c>
      <c r="F2594" t="n">
        <v>1</v>
      </c>
      <c r="G2594" t="n">
        <v>20</v>
      </c>
      <c r="H2594" s="5">
        <f>HYPERLINK("https://api.qogita.com/variants/link/5901887021766/", "View Product")</f>
        <v/>
      </c>
    </row>
    <row r="2595">
      <c r="A2595" t="inlineStr">
        <is>
          <t>5901887023630</t>
        </is>
      </c>
      <c r="B2595" t="inlineStr">
        <is>
          <t>Ziaja Cream Regenerative Intimate Hygiene With 500 Ml Lactobionic Acid</t>
        </is>
      </c>
      <c r="C2595" t="inlineStr">
        <is>
          <t>Intimate Hygiene</t>
        </is>
      </c>
      <c r="D2595" t="inlineStr">
        <is>
          <t>Ziaja</t>
        </is>
      </c>
      <c r="E2595" t="n">
        <v>4.36</v>
      </c>
      <c r="F2595" t="n">
        <v>1</v>
      </c>
      <c r="G2595" t="n">
        <v>8</v>
      </c>
      <c r="H2595" s="5">
        <f>HYPERLINK("https://api.qogita.com/variants/link/5901887023630/", "View Product")</f>
        <v/>
      </c>
    </row>
    <row r="2596">
      <c r="A2596" t="inlineStr">
        <is>
          <t>5901887026488</t>
        </is>
      </c>
      <c r="B2596" t="inlineStr">
        <is>
          <t>Ziaja Kids Cookies 'N' Vanilla Ice Cream Shampoo and Shower Gel 400ml</t>
        </is>
      </c>
      <c r="C2596" t="inlineStr">
        <is>
          <t>Children's Hair Cleaning</t>
        </is>
      </c>
      <c r="D2596" t="inlineStr">
        <is>
          <t>Ziaja</t>
        </is>
      </c>
      <c r="E2596" t="n">
        <v>4.08</v>
      </c>
      <c r="F2596" t="n">
        <v>1</v>
      </c>
      <c r="G2596" t="n">
        <v>10</v>
      </c>
      <c r="H2596" s="5">
        <f>HYPERLINK("https://api.qogita.com/variants/link/5901887026488/", "View Product")</f>
        <v/>
      </c>
    </row>
    <row r="2597">
      <c r="A2597" t="inlineStr">
        <is>
          <t>5901887027812</t>
        </is>
      </c>
      <c r="B2597" t="inlineStr">
        <is>
          <t>Ziaja Olive Oil Regenerating Shampoo 400 Ml</t>
        </is>
      </c>
      <c r="C2597" t="inlineStr">
        <is>
          <t>Shampoo</t>
        </is>
      </c>
      <c r="D2597" t="inlineStr">
        <is>
          <t>Ziaja</t>
        </is>
      </c>
      <c r="E2597" t="n">
        <v>4.08</v>
      </c>
      <c r="F2597" t="n">
        <v>1</v>
      </c>
      <c r="G2597" t="n">
        <v>10</v>
      </c>
      <c r="H2597" s="5">
        <f>HYPERLINK("https://api.qogita.com/variants/link/5901887027812/", "View Product")</f>
        <v/>
      </c>
    </row>
    <row r="2598">
      <c r="A2598" t="inlineStr">
        <is>
          <t>5901887029038</t>
        </is>
      </c>
      <c r="B2598" t="inlineStr">
        <is>
          <t>Ziaja Nettle Shampoo 500ml</t>
        </is>
      </c>
      <c r="C2598" t="inlineStr">
        <is>
          <t>Shampoo</t>
        </is>
      </c>
      <c r="D2598" t="inlineStr">
        <is>
          <t>Ziaja</t>
        </is>
      </c>
      <c r="E2598" t="n">
        <v>4.08</v>
      </c>
      <c r="F2598" t="n">
        <v>1</v>
      </c>
      <c r="G2598" t="n">
        <v>4</v>
      </c>
      <c r="H2598" s="5">
        <f>HYPERLINK("https://api.qogita.com/variants/link/5901887029038/", "View Product")</f>
        <v/>
      </c>
    </row>
    <row r="2599">
      <c r="A2599" t="inlineStr">
        <is>
          <t>5901887029120</t>
        </is>
      </c>
      <c r="B2599" t="inlineStr">
        <is>
          <t>Ziaja Manuka Leaf Cleansing Gel With Exfoliating Properties For Day/Night 200ml</t>
        </is>
      </c>
      <c r="C2599" t="inlineStr">
        <is>
          <t>Cleansing Gel</t>
        </is>
      </c>
      <c r="D2599" t="inlineStr">
        <is>
          <t>Ziaja</t>
        </is>
      </c>
      <c r="E2599" t="n">
        <v>5.13</v>
      </c>
      <c r="F2599" t="n">
        <v>1</v>
      </c>
      <c r="G2599" t="n">
        <v>5</v>
      </c>
      <c r="H2599" s="5">
        <f>HYPERLINK("https://api.qogita.com/variants/link/5901887029120/", "View Product")</f>
        <v/>
      </c>
    </row>
    <row r="2600">
      <c r="A2600" t="inlineStr">
        <is>
          <t>5901887029724</t>
        </is>
      </c>
      <c r="B2600" t="inlineStr">
        <is>
          <t>Ziaja Saffron Hyaluronic Lifting Gel 30ml</t>
        </is>
      </c>
      <c r="C2600" t="inlineStr">
        <is>
          <t>Hyaluronic Acid Serum</t>
        </is>
      </c>
      <c r="D2600" t="inlineStr">
        <is>
          <t>Ziaja</t>
        </is>
      </c>
      <c r="E2600" t="n">
        <v>5.4</v>
      </c>
      <c r="F2600" t="n">
        <v>1</v>
      </c>
      <c r="G2600" t="n">
        <v>3</v>
      </c>
      <c r="H2600" s="5">
        <f>HYPERLINK("https://api.qogita.com/variants/link/5901887029724/", "View Product")</f>
        <v/>
      </c>
    </row>
    <row r="2601">
      <c r="A2601" t="inlineStr">
        <is>
          <t>5901887030324</t>
        </is>
      </c>
      <c r="B2601" t="inlineStr">
        <is>
          <t>Ziaja Sun Tan Prolonger After Sun 200 Ml</t>
        </is>
      </c>
      <c r="C2601" t="inlineStr">
        <is>
          <t>Aftersun</t>
        </is>
      </c>
      <c r="D2601" t="inlineStr">
        <is>
          <t>Ziaja</t>
        </is>
      </c>
      <c r="E2601" t="n">
        <v>4.08</v>
      </c>
      <c r="F2601" t="n">
        <v>1</v>
      </c>
      <c r="G2601" t="n">
        <v>5</v>
      </c>
      <c r="H2601" s="5">
        <f>HYPERLINK("https://api.qogita.com/variants/link/5901887030324/", "View Product")</f>
        <v/>
      </c>
    </row>
    <row r="2602">
      <c r="A2602" t="inlineStr">
        <is>
          <t>5901887030478</t>
        </is>
      </c>
      <c r="B2602" t="inlineStr">
        <is>
          <t>ZIAJA BB Face Cream for Normal Dry Sensitive Skin SPF15 50ml Tanned Shade</t>
        </is>
      </c>
      <c r="C2602" t="inlineStr">
        <is>
          <t>Tinted Day Cream</t>
        </is>
      </c>
      <c r="D2602" t="inlineStr">
        <is>
          <t>Ziaja</t>
        </is>
      </c>
      <c r="E2602" t="n">
        <v>2.73</v>
      </c>
      <c r="F2602" t="n">
        <v>1</v>
      </c>
      <c r="G2602" t="n">
        <v>11</v>
      </c>
      <c r="H2602" s="5">
        <f>HYPERLINK("https://api.qogita.com/variants/link/5901887030478/", "View Product")</f>
        <v/>
      </c>
    </row>
    <row r="2603">
      <c r="A2603" t="inlineStr">
        <is>
          <t>5901887030843</t>
        </is>
      </c>
      <c r="B2603" t="inlineStr">
        <is>
          <t>Ziaja Med Anti-Hair Loss Shampoo Strengthening Dermatological Formula 300ml</t>
        </is>
      </c>
      <c r="C2603" t="inlineStr">
        <is>
          <t>Shampoo</t>
        </is>
      </c>
      <c r="D2603" t="inlineStr">
        <is>
          <t>Ziaja</t>
        </is>
      </c>
      <c r="E2603" t="n">
        <v>5.4</v>
      </c>
      <c r="F2603" t="n">
        <v>1</v>
      </c>
      <c r="G2603" t="n">
        <v>3</v>
      </c>
      <c r="H2603" s="5">
        <f>HYPERLINK("https://api.qogita.com/variants/link/5901887030843/", "View Product")</f>
        <v/>
      </c>
    </row>
    <row r="2604">
      <c r="A2604" t="inlineStr">
        <is>
          <t>5901887031420</t>
        </is>
      </c>
      <c r="B2604" t="inlineStr">
        <is>
          <t>Ziaja Goats Milk - 80 Ml Moisturizer For Dry Skin</t>
        </is>
      </c>
      <c r="C2604" t="inlineStr">
        <is>
          <t>Face Cream</t>
        </is>
      </c>
      <c r="D2604" t="inlineStr">
        <is>
          <t>Ziaja</t>
        </is>
      </c>
      <c r="E2604" t="n">
        <v>6.49</v>
      </c>
      <c r="F2604" t="n">
        <v>1</v>
      </c>
      <c r="G2604" t="n">
        <v>32</v>
      </c>
      <c r="H2604" s="5">
        <f>HYPERLINK("https://api.qogita.com/variants/link/5901887031420/", "View Product")</f>
        <v/>
      </c>
    </row>
    <row r="2605">
      <c r="A2605" t="inlineStr">
        <is>
          <t>5901887033868</t>
        </is>
      </c>
      <c r="B2605" t="inlineStr">
        <is>
          <t>Ziaja Mintperfect Sensitive Dental Rinse Reducing Sensitivity 500ml</t>
        </is>
      </c>
      <c r="C2605" t="inlineStr">
        <is>
          <t>Mouthwash</t>
        </is>
      </c>
      <c r="D2605" t="inlineStr">
        <is>
          <t>Ziaja</t>
        </is>
      </c>
      <c r="E2605" t="n">
        <v>4.62</v>
      </c>
      <c r="F2605" t="n">
        <v>1</v>
      </c>
      <c r="G2605" t="n">
        <v>5</v>
      </c>
      <c r="H2605" s="5">
        <f>HYPERLINK("https://api.qogita.com/variants/link/5901887033868/", "View Product")</f>
        <v/>
      </c>
    </row>
    <row r="2606">
      <c r="A2606" t="inlineStr">
        <is>
          <t>5901887034247</t>
        </is>
      </c>
      <c r="B2606" t="inlineStr">
        <is>
          <t>ZIAJA BB Cream for Normal Dry Skin Light 50ml</t>
        </is>
      </c>
      <c r="C2606" t="inlineStr">
        <is>
          <t>Tinted Day Cream</t>
        </is>
      </c>
      <c r="D2606" t="inlineStr">
        <is>
          <t>Ziaja</t>
        </is>
      </c>
      <c r="E2606" t="n">
        <v>2.73</v>
      </c>
      <c r="F2606" t="n">
        <v>1</v>
      </c>
      <c r="G2606" t="n">
        <v>11</v>
      </c>
      <c r="H2606" s="5">
        <f>HYPERLINK("https://api.qogita.com/variants/link/5901887034247/", "View Product")</f>
        <v/>
      </c>
    </row>
    <row r="2607">
      <c r="A2607" t="inlineStr">
        <is>
          <t>5901887035435</t>
        </is>
      </c>
      <c r="B2607" t="inlineStr">
        <is>
          <t>Ziaja Mask For Dry And Matt Hair With Keratin Goat's Milk 200 Ml</t>
        </is>
      </c>
      <c r="C2607" t="inlineStr">
        <is>
          <t>Hair Masks</t>
        </is>
      </c>
      <c r="D2607" t="inlineStr">
        <is>
          <t>Ziaja</t>
        </is>
      </c>
      <c r="E2607" t="n">
        <v>2.42</v>
      </c>
      <c r="F2607" t="n">
        <v>1</v>
      </c>
      <c r="G2607" t="n">
        <v>6</v>
      </c>
      <c r="H2607" s="5">
        <f>HYPERLINK("https://api.qogita.com/variants/link/5901887035435/", "View Product")</f>
        <v/>
      </c>
    </row>
    <row r="2608">
      <c r="A2608" t="inlineStr">
        <is>
          <t>5901887038405</t>
        </is>
      </c>
      <c r="B2608" t="inlineStr">
        <is>
          <t>Ziaja BB Cream for Normal, Dry &amp; Sensitive Skin - Light Tone 50ml</t>
        </is>
      </c>
      <c r="C2608" t="inlineStr">
        <is>
          <t>Tinted Day Cream</t>
        </is>
      </c>
      <c r="D2608" t="inlineStr">
        <is>
          <t>Ziaja</t>
        </is>
      </c>
      <c r="E2608" t="n">
        <v>5.4</v>
      </c>
      <c r="F2608" t="n">
        <v>1</v>
      </c>
      <c r="G2608" t="n">
        <v>5</v>
      </c>
      <c r="H2608" s="5">
        <f>HYPERLINK("https://api.qogita.com/variants/link/5901887038405/", "View Product")</f>
        <v/>
      </c>
    </row>
    <row r="2609">
      <c r="A2609" t="inlineStr">
        <is>
          <t>5901887039877</t>
        </is>
      </c>
      <c r="B2609" t="inlineStr">
        <is>
          <t>Ziaja Mineral Shampoo For Hair And Scalp Keratolytic 200ml</t>
        </is>
      </c>
      <c r="C2609" t="inlineStr">
        <is>
          <t>Shampoo</t>
        </is>
      </c>
      <c r="D2609" t="inlineStr">
        <is>
          <t>Ziaja</t>
        </is>
      </c>
      <c r="E2609" t="n">
        <v>2.88</v>
      </c>
      <c r="F2609" t="n">
        <v>1</v>
      </c>
      <c r="G2609" t="n">
        <v>7</v>
      </c>
      <c r="H2609" s="5">
        <f>HYPERLINK("https://api.qogita.com/variants/link/5901887039877/", "View Product")</f>
        <v/>
      </c>
    </row>
    <row r="2610">
      <c r="A2610" t="inlineStr">
        <is>
          <t>5901887040170</t>
        </is>
      </c>
      <c r="B2610" t="inlineStr">
        <is>
          <t>Ziaja Cupuacu Crystalline Sugar Scrub 200ml</t>
        </is>
      </c>
      <c r="C2610" t="inlineStr">
        <is>
          <t>Body Scrub &amp; Peeling</t>
        </is>
      </c>
      <c r="D2610" t="inlineStr">
        <is>
          <t>Ziaja</t>
        </is>
      </c>
      <c r="E2610" t="n">
        <v>5.93</v>
      </c>
      <c r="F2610" t="n">
        <v>1</v>
      </c>
      <c r="G2610" t="n">
        <v>20</v>
      </c>
      <c r="H2610" s="5">
        <f>HYPERLINK("https://api.qogita.com/variants/link/5901887040170/", "View Product")</f>
        <v/>
      </c>
    </row>
    <row r="2611">
      <c r="A2611" t="inlineStr">
        <is>
          <t>5901887042006</t>
        </is>
      </c>
      <c r="B2611" t="inlineStr">
        <is>
          <t>Ziaja Shining Shampoo For Dry And Damaged Hair With Argan Oil 300 Ml</t>
        </is>
      </c>
      <c r="C2611" t="inlineStr">
        <is>
          <t>Shampoo</t>
        </is>
      </c>
      <c r="D2611" t="inlineStr">
        <is>
          <t>Ziaja</t>
        </is>
      </c>
      <c r="E2611" t="n">
        <v>4.36</v>
      </c>
      <c r="F2611" t="n">
        <v>1</v>
      </c>
      <c r="G2611" t="n">
        <v>6</v>
      </c>
      <c r="H2611" s="5">
        <f>HYPERLINK("https://api.qogita.com/variants/link/5901887042006/", "View Product")</f>
        <v/>
      </c>
    </row>
    <row r="2612">
      <c r="A2612" t="inlineStr">
        <is>
          <t>5901887042259</t>
        </is>
      </c>
      <c r="B2612" t="inlineStr">
        <is>
          <t>Ziaja Acai Face Tonic Spray Transparent 200ml</t>
        </is>
      </c>
      <c r="C2612" t="inlineStr">
        <is>
          <t>Facial Spray</t>
        </is>
      </c>
      <c r="D2612" t="inlineStr">
        <is>
          <t>Ziaja</t>
        </is>
      </c>
      <c r="E2612" t="n">
        <v>4.85</v>
      </c>
      <c r="F2612" t="n">
        <v>1</v>
      </c>
      <c r="G2612" t="n">
        <v>6</v>
      </c>
      <c r="H2612" s="5">
        <f>HYPERLINK("https://api.qogita.com/variants/link/5901887042259/", "View Product")</f>
        <v/>
      </c>
    </row>
    <row r="2613">
      <c r="A2613" t="inlineStr">
        <is>
          <t>5901887043768</t>
        </is>
      </c>
      <c r="B2613" t="inlineStr">
        <is>
          <t>Ziaja Goat's Milk Milky Face Wash 200ml</t>
        </is>
      </c>
      <c r="C2613" t="inlineStr">
        <is>
          <t>Cleansing Milk</t>
        </is>
      </c>
      <c r="D2613" t="inlineStr">
        <is>
          <t>Ziaja</t>
        </is>
      </c>
      <c r="E2613" t="n">
        <v>2.74</v>
      </c>
      <c r="F2613" t="n">
        <v>1</v>
      </c>
      <c r="G2613" t="n">
        <v>3</v>
      </c>
      <c r="H2613" s="5">
        <f>HYPERLINK("https://api.qogita.com/variants/link/5901887043768/", "View Product")</f>
        <v/>
      </c>
    </row>
    <row r="2614">
      <c r="A2614" t="inlineStr">
        <is>
          <t>5901887043775</t>
        </is>
      </c>
      <c r="B2614" t="inlineStr">
        <is>
          <t>Leche De Cabra Enzymatic Face and Neck Peel 75ml</t>
        </is>
      </c>
      <c r="C2614" t="inlineStr">
        <is>
          <t>Facial Scrub &amp; Peeling</t>
        </is>
      </c>
      <c r="D2614" t="inlineStr">
        <is>
          <t>Ziaja</t>
        </is>
      </c>
      <c r="E2614" t="n">
        <v>4.85</v>
      </c>
      <c r="F2614" t="n">
        <v>1</v>
      </c>
      <c r="G2614" t="n">
        <v>14</v>
      </c>
      <c r="H2614" s="5">
        <f>HYPERLINK("https://api.qogita.com/variants/link/5901887043775/", "View Product")</f>
        <v/>
      </c>
    </row>
    <row r="2615">
      <c r="A2615" t="inlineStr">
        <is>
          <t>5901887044642</t>
        </is>
      </c>
      <c r="B2615" t="inlineStr">
        <is>
          <t>Ziaja Lanolin Cosmetic 10g - Moisturizing Skin Care</t>
        </is>
      </c>
      <c r="C2615" t="inlineStr">
        <is>
          <t>Face Cream</t>
        </is>
      </c>
      <c r="D2615" t="inlineStr">
        <is>
          <t>Ziaja</t>
        </is>
      </c>
      <c r="E2615" t="n">
        <v>5.67</v>
      </c>
      <c r="F2615" t="n">
        <v>1</v>
      </c>
      <c r="G2615" t="n">
        <v>11</v>
      </c>
      <c r="H2615" s="5">
        <f>HYPERLINK("https://api.qogita.com/variants/link/5901887044642/", "View Product")</f>
        <v/>
      </c>
    </row>
    <row r="2616">
      <c r="A2616" t="inlineStr">
        <is>
          <t>5901887044932</t>
        </is>
      </c>
      <c r="B2616" t="inlineStr">
        <is>
          <t>Ziaja Hand and Nail Cream 50ml</t>
        </is>
      </c>
      <c r="C2616" t="inlineStr">
        <is>
          <t>Hand Cream</t>
        </is>
      </c>
      <c r="D2616" t="inlineStr">
        <is>
          <t>Ziaja</t>
        </is>
      </c>
      <c r="E2616" t="n">
        <v>4.08</v>
      </c>
      <c r="F2616" t="n">
        <v>1</v>
      </c>
      <c r="G2616" t="n">
        <v>6</v>
      </c>
      <c r="H2616" s="5">
        <f>HYPERLINK("https://api.qogita.com/variants/link/5901887044932/", "View Product")</f>
        <v/>
      </c>
    </row>
    <row r="2617">
      <c r="A2617" t="inlineStr">
        <is>
          <t>5901887045113</t>
        </is>
      </c>
      <c r="B2617" t="inlineStr">
        <is>
          <t>Ziaja Jeju Sugar Body Scrub With Black Dots 200ml</t>
        </is>
      </c>
      <c r="C2617" t="inlineStr">
        <is>
          <t>Body Scrub &amp; Peeling</t>
        </is>
      </c>
      <c r="D2617" t="inlineStr">
        <is>
          <t>Ziaja</t>
        </is>
      </c>
      <c r="E2617" t="n">
        <v>6.2</v>
      </c>
      <c r="F2617" t="n">
        <v>1</v>
      </c>
      <c r="G2617" t="n">
        <v>8</v>
      </c>
      <c r="H2617" s="5">
        <f>HYPERLINK("https://api.qogita.com/variants/link/5901887045113/", "View Product")</f>
        <v/>
      </c>
    </row>
    <row r="2618">
      <c r="A2618" t="inlineStr">
        <is>
          <t>5901887045250</t>
        </is>
      </c>
      <c r="B2618" t="inlineStr">
        <is>
          <t>Ziaja Jeju White Face Soap Against Sebum Mango Coconut Papaya 75ml</t>
        </is>
      </c>
      <c r="C2618" t="inlineStr">
        <is>
          <t>Facial Soap</t>
        </is>
      </c>
      <c r="D2618" t="inlineStr">
        <is>
          <t>Ziaja</t>
        </is>
      </c>
      <c r="E2618" t="n">
        <v>4.36</v>
      </c>
      <c r="F2618" t="n">
        <v>1</v>
      </c>
      <c r="G2618" t="n">
        <v>7</v>
      </c>
      <c r="H2618" s="5">
        <f>HYPERLINK("https://api.qogita.com/variants/link/5901887045250/", "View Product")</f>
        <v/>
      </c>
    </row>
    <row r="2619">
      <c r="A2619" t="inlineStr">
        <is>
          <t>5901887045656</t>
        </is>
      </c>
      <c r="B2619" t="inlineStr">
        <is>
          <t>Ziaja Jeju Micellar Liquid For Makeup Removal For Face, Eyes, And Lips 390ml</t>
        </is>
      </c>
      <c r="C2619" t="inlineStr">
        <is>
          <t>Micellar Water</t>
        </is>
      </c>
      <c r="D2619" t="inlineStr">
        <is>
          <t>Ziaja</t>
        </is>
      </c>
      <c r="E2619" t="n">
        <v>5.93</v>
      </c>
      <c r="F2619" t="n">
        <v>1</v>
      </c>
      <c r="G2619" t="n">
        <v>2</v>
      </c>
      <c r="H2619" s="5">
        <f>HYPERLINK("https://api.qogita.com/variants/link/5901887045656/", "View Product")</f>
        <v/>
      </c>
    </row>
    <row r="2620">
      <c r="A2620" t="inlineStr">
        <is>
          <t>5901887047872</t>
        </is>
      </c>
      <c r="B2620" t="inlineStr">
        <is>
          <t>Jeju Facial and Body Mist 200ml</t>
        </is>
      </c>
      <c r="C2620" t="inlineStr">
        <is>
          <t>Facial Spray</t>
        </is>
      </c>
      <c r="D2620" t="inlineStr">
        <is>
          <t>Ziaja</t>
        </is>
      </c>
      <c r="E2620" t="n">
        <v>4.62</v>
      </c>
      <c r="F2620" t="n">
        <v>1</v>
      </c>
      <c r="G2620" t="n">
        <v>21</v>
      </c>
      <c r="H2620" s="5">
        <f>HYPERLINK("https://api.qogita.com/variants/link/5901887047872/", "View Product")</f>
        <v/>
      </c>
    </row>
    <row r="2621">
      <c r="A2621" t="inlineStr">
        <is>
          <t>5901887049180</t>
        </is>
      </c>
      <c r="B2621" t="inlineStr">
        <is>
          <t>Ziaja Baltic Home SPA Fit Moisturizing Body Serum 400ml</t>
        </is>
      </c>
      <c r="C2621" t="inlineStr">
        <is>
          <t>Body Lotion</t>
        </is>
      </c>
      <c r="D2621" t="inlineStr">
        <is>
          <t>Ziaja</t>
        </is>
      </c>
      <c r="E2621" t="n">
        <v>9.18</v>
      </c>
      <c r="F2621" t="n">
        <v>1</v>
      </c>
      <c r="G2621" t="n">
        <v>9</v>
      </c>
      <c r="H2621" s="5">
        <f>HYPERLINK("https://api.qogita.com/variants/link/5901887049180/", "View Product")</f>
        <v/>
      </c>
    </row>
    <row r="2622">
      <c r="A2622" t="inlineStr">
        <is>
          <t>5901887050018</t>
        </is>
      </c>
      <c r="B2622" t="inlineStr">
        <is>
          <t>Moisturizing Micellar Water 390 ml</t>
        </is>
      </c>
      <c r="C2622" t="inlineStr">
        <is>
          <t>Micellar Water</t>
        </is>
      </c>
      <c r="D2622" t="inlineStr">
        <is>
          <t>Ziaja</t>
        </is>
      </c>
      <c r="E2622" t="n">
        <v>5.67</v>
      </c>
      <c r="F2622" t="n">
        <v>1</v>
      </c>
      <c r="G2622" t="n">
        <v>3</v>
      </c>
      <c r="H2622" s="5">
        <f>HYPERLINK("https://api.qogita.com/variants/link/5901887050018/", "View Product")</f>
        <v/>
      </c>
    </row>
    <row r="2623">
      <c r="A2623" t="inlineStr">
        <is>
          <t>5901887050056</t>
        </is>
      </c>
      <c r="B2623" t="inlineStr">
        <is>
          <t>Foam Facial Cleanser for Sensitive and Redness-Prone Skin 150ml</t>
        </is>
      </c>
      <c r="C2623" t="inlineStr">
        <is>
          <t>Cleansing Foam</t>
        </is>
      </c>
      <c r="D2623" t="inlineStr">
        <is>
          <t>Ziaja</t>
        </is>
      </c>
      <c r="E2623" t="n">
        <v>5.67</v>
      </c>
      <c r="F2623" t="n">
        <v>1</v>
      </c>
      <c r="G2623" t="n">
        <v>13</v>
      </c>
      <c r="H2623" s="5">
        <f>HYPERLINK("https://api.qogita.com/variants/link/5901887050056/", "View Product")</f>
        <v/>
      </c>
    </row>
    <row r="2624">
      <c r="A2624" t="inlineStr">
        <is>
          <t>5901887051039</t>
        </is>
      </c>
      <c r="B2624" t="inlineStr">
        <is>
          <t>Ziaja Mintperfect Aroma Gel For Washing And Oral Hygiene Lime-Mint 100ml</t>
        </is>
      </c>
      <c r="C2624" t="inlineStr">
        <is>
          <t>Mouth &amp; Gum Care</t>
        </is>
      </c>
      <c r="D2624" t="inlineStr">
        <is>
          <t>Ziaja</t>
        </is>
      </c>
      <c r="E2624" t="n">
        <v>4.62</v>
      </c>
      <c r="F2624" t="n">
        <v>1</v>
      </c>
      <c r="G2624" t="n">
        <v>7</v>
      </c>
      <c r="H2624" s="5">
        <f>HYPERLINK("https://api.qogita.com/variants/link/5901887051039/", "View Product")</f>
        <v/>
      </c>
    </row>
    <row r="2625">
      <c r="A2625" t="inlineStr">
        <is>
          <t>5901887051435</t>
        </is>
      </c>
      <c r="B2625" t="inlineStr">
        <is>
          <t>Baltic Home Spa Wrinkle Wellness Serum for Face and Neck 90ml</t>
        </is>
      </c>
      <c r="C2625" t="inlineStr">
        <is>
          <t>Anti-Aging Serum</t>
        </is>
      </c>
      <c r="D2625" t="inlineStr">
        <is>
          <t>Ziaja</t>
        </is>
      </c>
      <c r="E2625" t="n">
        <v>7.8</v>
      </c>
      <c r="F2625" t="n">
        <v>1</v>
      </c>
      <c r="G2625" t="n">
        <v>3</v>
      </c>
      <c r="H2625" s="5">
        <f>HYPERLINK("https://api.qogita.com/variants/link/5901887051435/", "View Product")</f>
        <v/>
      </c>
    </row>
    <row r="2626">
      <c r="A2626" t="inlineStr">
        <is>
          <t>5901887053149</t>
        </is>
      </c>
      <c r="B2626" t="inlineStr">
        <is>
          <t>Baltic Home Spa Hyaluronic Serum Active Moisturizing Body Apricot Ume 400ml</t>
        </is>
      </c>
      <c r="C2626" t="inlineStr">
        <is>
          <t>Body Lotion</t>
        </is>
      </c>
      <c r="D2626" t="inlineStr">
        <is>
          <t>Baltic Home Spa</t>
        </is>
      </c>
      <c r="E2626" t="n">
        <v>5.18</v>
      </c>
      <c r="F2626" t="n">
        <v>1</v>
      </c>
      <c r="G2626" t="n">
        <v>19</v>
      </c>
      <c r="H2626" s="5">
        <f>HYPERLINK("https://api.qogita.com/variants/link/5901887053149/", "View Product")</f>
        <v/>
      </c>
    </row>
    <row r="2627">
      <c r="A2627" t="inlineStr">
        <is>
          <t>5901887053262</t>
        </is>
      </c>
      <c r="B2627" t="inlineStr">
        <is>
          <t>GdanSkin Night Collagen Cream 50 ml</t>
        </is>
      </c>
      <c r="C2627" t="inlineStr">
        <is>
          <t>Night Cream</t>
        </is>
      </c>
      <c r="D2627" t="inlineStr">
        <is>
          <t>Ziaja</t>
        </is>
      </c>
      <c r="E2627" t="n">
        <v>5.4</v>
      </c>
      <c r="F2627" t="n">
        <v>1</v>
      </c>
      <c r="G2627" t="n">
        <v>8</v>
      </c>
      <c r="H2627" s="5">
        <f>HYPERLINK("https://api.qogita.com/variants/link/5901887053262/", "View Product")</f>
        <v/>
      </c>
    </row>
    <row r="2628">
      <c r="A2628" t="inlineStr">
        <is>
          <t>5901887053446</t>
        </is>
      </c>
      <c r="B2628" t="inlineStr">
        <is>
          <t>Ziaja Natural Care Night Cream 50ml</t>
        </is>
      </c>
      <c r="C2628" t="inlineStr">
        <is>
          <t>Night Cream</t>
        </is>
      </c>
      <c r="D2628" t="inlineStr">
        <is>
          <t>Ziaja</t>
        </is>
      </c>
      <c r="E2628" t="n">
        <v>5.13</v>
      </c>
      <c r="F2628" t="n">
        <v>1</v>
      </c>
      <c r="G2628" t="n">
        <v>5</v>
      </c>
      <c r="H2628" s="5">
        <f>HYPERLINK("https://api.qogita.com/variants/link/5901887053446/", "View Product")</f>
        <v/>
      </c>
    </row>
    <row r="2629">
      <c r="A2629" t="inlineStr">
        <is>
          <t>5901887053453</t>
        </is>
      </c>
      <c r="B2629" t="inlineStr">
        <is>
          <t>Ziaja Intensive Nourishing Day And Night Cream Natural Care 50 Ml</t>
        </is>
      </c>
      <c r="C2629" t="inlineStr">
        <is>
          <t>Day Cream</t>
        </is>
      </c>
      <c r="D2629" t="inlineStr">
        <is>
          <t>Ziaja</t>
        </is>
      </c>
      <c r="E2629" t="n">
        <v>5.13</v>
      </c>
      <c r="F2629" t="n">
        <v>1</v>
      </c>
      <c r="G2629" t="n">
        <v>8</v>
      </c>
      <c r="H2629" s="5">
        <f>HYPERLINK("https://api.qogita.com/variants/link/5901887053453/", "View Product")</f>
        <v/>
      </c>
    </row>
    <row r="2630">
      <c r="A2630" t="inlineStr">
        <is>
          <t>5901887053996</t>
        </is>
      </c>
      <c r="B2630" t="inlineStr">
        <is>
          <t>Ziaja Chocolate Fusion Sugar Body Scrub 300ml</t>
        </is>
      </c>
      <c r="C2630" t="inlineStr">
        <is>
          <t>Body Scrub &amp; Peeling</t>
        </is>
      </c>
      <c r="D2630" t="inlineStr">
        <is>
          <t>Ziaja</t>
        </is>
      </c>
      <c r="E2630" t="n">
        <v>7.53</v>
      </c>
      <c r="F2630" t="n">
        <v>1</v>
      </c>
      <c r="G2630" t="n">
        <v>5</v>
      </c>
      <c r="H2630" s="5">
        <f>HYPERLINK("https://api.qogita.com/variants/link/5901887053996/", "View Product")</f>
        <v/>
      </c>
    </row>
    <row r="2631">
      <c r="A2631" t="inlineStr">
        <is>
          <t>5901887056676</t>
        </is>
      </c>
      <c r="B2631" t="inlineStr">
        <is>
          <t>Ziaja Sweet Mirabelle Plum Lip Gloss 12 Ml</t>
        </is>
      </c>
      <c r="C2631" t="inlineStr">
        <is>
          <t>Lip Gloss</t>
        </is>
      </c>
      <c r="D2631" t="inlineStr">
        <is>
          <t>Ziaja</t>
        </is>
      </c>
      <c r="E2631" t="n">
        <v>4.62</v>
      </c>
      <c r="F2631" t="n">
        <v>1</v>
      </c>
      <c r="G2631" t="n">
        <v>3</v>
      </c>
      <c r="H2631" s="5">
        <f>HYPERLINK("https://api.qogita.com/variants/link/5901887056676/", "View Product")</f>
        <v/>
      </c>
    </row>
    <row r="2632">
      <c r="A2632" t="inlineStr">
        <is>
          <t>5903018900186</t>
        </is>
      </c>
      <c r="B2632" t="inlineStr">
        <is>
          <t>Mimo Oliveshaped Blending Sponge Purple</t>
        </is>
      </c>
      <c r="C2632" t="inlineStr">
        <is>
          <t>Makeup Sponges</t>
        </is>
      </c>
      <c r="D2632" t="inlineStr">
        <is>
          <t>‎Mimo</t>
        </is>
      </c>
      <c r="E2632" t="n">
        <v>0.84</v>
      </c>
      <c r="F2632" t="n">
        <v>1</v>
      </c>
      <c r="G2632" t="n">
        <v>18</v>
      </c>
      <c r="H2632" s="5">
        <f>HYPERLINK("https://api.qogita.com/variants/link/5903018900186/", "View Product")</f>
        <v/>
      </c>
    </row>
    <row r="2633">
      <c r="A2633" t="inlineStr">
        <is>
          <t>5903018900230</t>
        </is>
      </c>
      <c r="B2633" t="inlineStr">
        <is>
          <t>Mimo Mini Concealer Sponge Purple Pack Of 2 Perfect For Flawless Makeup Application</t>
        </is>
      </c>
      <c r="C2633" t="inlineStr">
        <is>
          <t>Makeup Sponges</t>
        </is>
      </c>
      <c r="D2633" t="inlineStr">
        <is>
          <t>‎Mimo</t>
        </is>
      </c>
      <c r="E2633" t="n">
        <v>1.02</v>
      </c>
      <c r="F2633" t="n">
        <v>1</v>
      </c>
      <c r="G2633" t="n">
        <v>9</v>
      </c>
      <c r="H2633" s="5">
        <f>HYPERLINK("https://api.qogita.com/variants/link/5903018900230/", "View Product")</f>
        <v/>
      </c>
    </row>
    <row r="2634">
      <c r="A2634" t="inlineStr">
        <is>
          <t>5903018919614</t>
        </is>
      </c>
      <c r="B2634" t="inlineStr">
        <is>
          <t>T4B MIMO 8-Piece Makeup Brush Set Cosmetic Brush Set Beauty Foundation Powder Brush Eyeshadow Flawless Makeup Premium Brush Set Kabuki Blush Brush Foundation Contouring Unicorn</t>
        </is>
      </c>
      <c r="C2634" t="inlineStr">
        <is>
          <t>Brush Sets</t>
        </is>
      </c>
      <c r="D2634" t="inlineStr">
        <is>
          <t>Tb Tools For Beauty</t>
        </is>
      </c>
      <c r="E2634" t="n">
        <v>4.84</v>
      </c>
      <c r="F2634" t="n">
        <v>1</v>
      </c>
      <c r="G2634" t="n">
        <v>5</v>
      </c>
      <c r="H2634" s="5">
        <f>HYPERLINK("https://api.qogita.com/variants/link/5903018919614/", "View Product")</f>
        <v/>
      </c>
    </row>
    <row r="2635">
      <c r="A2635" t="inlineStr">
        <is>
          <t>5903018919997</t>
        </is>
      </c>
      <c r="B2635" t="inlineStr">
        <is>
          <t>T4B MIMO Unicorn Makeup Brush Set 6-Piece Pastel Color</t>
        </is>
      </c>
      <c r="C2635" t="inlineStr">
        <is>
          <t>Brush Sets</t>
        </is>
      </c>
      <c r="D2635" t="inlineStr">
        <is>
          <t>Tb Tools For Beauty</t>
        </is>
      </c>
      <c r="E2635" t="n">
        <v>4.11</v>
      </c>
      <c r="F2635" t="n">
        <v>1</v>
      </c>
      <c r="G2635" t="n">
        <v>3</v>
      </c>
      <c r="H2635" s="5">
        <f>HYPERLINK("https://api.qogita.com/variants/link/5903018919997/", "View Product")</f>
        <v/>
      </c>
    </row>
    <row r="2636">
      <c r="A2636" t="inlineStr">
        <is>
          <t>5903416000273</t>
        </is>
      </c>
      <c r="B2636" t="inlineStr">
        <is>
          <t>Eveline 24k Snail &amp; Caviar Anti-Wrinkle Night Cream - 50ml</t>
        </is>
      </c>
      <c r="C2636" t="inlineStr">
        <is>
          <t>Night Cream</t>
        </is>
      </c>
      <c r="D2636" t="inlineStr">
        <is>
          <t>Eveline</t>
        </is>
      </c>
      <c r="E2636" t="n">
        <v>9.609999999999999</v>
      </c>
      <c r="F2636" t="n">
        <v>1</v>
      </c>
      <c r="G2636" t="n">
        <v>2</v>
      </c>
      <c r="H2636" s="5">
        <f>HYPERLINK("https://api.qogita.com/variants/link/5903416000273/", "View Product")</f>
        <v/>
      </c>
    </row>
    <row r="2637">
      <c r="A2637" t="inlineStr">
        <is>
          <t>5903416001775</t>
        </is>
      </c>
      <c r="B2637" t="inlineStr">
        <is>
          <t>Eveline Cosmetics Selfie Time Hydrating Concealer &amp; Foundation No 04 Natural</t>
        </is>
      </c>
      <c r="C2637" t="inlineStr">
        <is>
          <t>Foundation</t>
        </is>
      </c>
      <c r="D2637" t="inlineStr">
        <is>
          <t>Eveline Cosmetics</t>
        </is>
      </c>
      <c r="E2637" t="n">
        <v>3.98</v>
      </c>
      <c r="F2637" t="n">
        <v>1</v>
      </c>
      <c r="G2637" t="n">
        <v>3</v>
      </c>
      <c r="H2637" s="5">
        <f>HYPERLINK("https://api.qogita.com/variants/link/5903416001775/", "View Product")</f>
        <v/>
      </c>
    </row>
    <row r="2638">
      <c r="A2638" t="inlineStr">
        <is>
          <t>5903416004158</t>
        </is>
      </c>
      <c r="B2638" t="inlineStr">
        <is>
          <t>Eveline Quattro Professional Eyeshadow Palette - 06, 7.2g</t>
        </is>
      </c>
      <c r="C2638" t="inlineStr">
        <is>
          <t>Eye Sets &amp; Pallets</t>
        </is>
      </c>
      <c r="D2638" t="inlineStr">
        <is>
          <t>Eveline</t>
        </is>
      </c>
      <c r="E2638" t="n">
        <v>3.81</v>
      </c>
      <c r="F2638" t="n">
        <v>1</v>
      </c>
      <c r="G2638" t="n">
        <v>2</v>
      </c>
      <c r="H2638" s="5">
        <f>HYPERLINK("https://api.qogita.com/variants/link/5903416004158/", "View Product")</f>
        <v/>
      </c>
    </row>
    <row r="2639">
      <c r="A2639" t="inlineStr">
        <is>
          <t>5903416016779</t>
        </is>
      </c>
      <c r="B2639" t="inlineStr">
        <is>
          <t>Eveline Velvet Matte Lip Kit: 4.5ml Liquid Lipstick &amp; Cookie Milkshake Lip Liner</t>
        </is>
      </c>
      <c r="C2639" t="inlineStr">
        <is>
          <t>Lip Sets</t>
        </is>
      </c>
      <c r="D2639" t="inlineStr">
        <is>
          <t>Eveline</t>
        </is>
      </c>
      <c r="E2639" t="n">
        <v>4.57</v>
      </c>
      <c r="F2639" t="n">
        <v>1</v>
      </c>
      <c r="G2639" t="n">
        <v>2</v>
      </c>
      <c r="H2639" s="5">
        <f>HYPERLINK("https://api.qogita.com/variants/link/5903416016779/", "View Product")</f>
        <v/>
      </c>
    </row>
    <row r="2640">
      <c r="A2640" t="inlineStr">
        <is>
          <t>5903416017745</t>
        </is>
      </c>
      <c r="B2640" t="inlineStr">
        <is>
          <t>Eveline Wonder Match Luxury Foundation Adapting 10 Light Vanilla 30ml</t>
        </is>
      </c>
      <c r="C2640" t="inlineStr">
        <is>
          <t>Foundation</t>
        </is>
      </c>
      <c r="D2640" t="inlineStr">
        <is>
          <t>Eveline</t>
        </is>
      </c>
      <c r="E2640" t="n">
        <v>8.65</v>
      </c>
      <c r="F2640" t="n">
        <v>1</v>
      </c>
      <c r="G2640" t="n">
        <v>3</v>
      </c>
      <c r="H2640" s="5">
        <f>HYPERLINK("https://api.qogita.com/variants/link/5903416017745/", "View Product")</f>
        <v/>
      </c>
    </row>
    <row r="2641">
      <c r="A2641" t="inlineStr">
        <is>
          <t>5903416017776</t>
        </is>
      </c>
      <c r="B2641" t="inlineStr">
        <is>
          <t>Eveline Wonder Match Luxury Foundation Adjusting 30 Cool Beige 30ml</t>
        </is>
      </c>
      <c r="C2641" t="inlineStr">
        <is>
          <t>Foundation</t>
        </is>
      </c>
      <c r="D2641" t="inlineStr">
        <is>
          <t>Eveline</t>
        </is>
      </c>
      <c r="E2641" t="n">
        <v>8.65</v>
      </c>
      <c r="F2641" t="n">
        <v>1</v>
      </c>
      <c r="G2641" t="n">
        <v>3</v>
      </c>
      <c r="H2641" s="5">
        <f>HYPERLINK("https://api.qogita.com/variants/link/5903416017776/", "View Product")</f>
        <v/>
      </c>
    </row>
    <row r="2642">
      <c r="A2642" t="inlineStr">
        <is>
          <t>5903416017844</t>
        </is>
      </c>
      <c r="B2642" t="inlineStr">
        <is>
          <t>Eveline Egyptian Miracle Regenerating And Soothing Lip Balm 12ml</t>
        </is>
      </c>
      <c r="C2642" t="inlineStr">
        <is>
          <t>Medicated Treatments</t>
        </is>
      </c>
      <c r="D2642" t="inlineStr">
        <is>
          <t>Eveline</t>
        </is>
      </c>
      <c r="E2642" t="n">
        <v>3.63</v>
      </c>
      <c r="F2642" t="n">
        <v>1</v>
      </c>
      <c r="G2642" t="n">
        <v>4</v>
      </c>
      <c r="H2642" s="5">
        <f>HYPERLINK("https://api.qogita.com/variants/link/5903416017844/", "View Product")</f>
        <v/>
      </c>
    </row>
    <row r="2643">
      <c r="A2643" t="inlineStr">
        <is>
          <t>5903416030232</t>
        </is>
      </c>
      <c r="B2643" t="inlineStr">
        <is>
          <t>Eveline Rich Coconut Ultra-Rich Coconut Eye Cream 20ml</t>
        </is>
      </c>
      <c r="C2643" t="inlineStr">
        <is>
          <t>Eye Cream</t>
        </is>
      </c>
      <c r="D2643" t="inlineStr">
        <is>
          <t>Eveline</t>
        </is>
      </c>
      <c r="E2643" t="n">
        <v>5.73</v>
      </c>
      <c r="F2643" t="n">
        <v>1</v>
      </c>
      <c r="G2643" t="n">
        <v>3</v>
      </c>
      <c r="H2643" s="5">
        <f>HYPERLINK("https://api.qogita.com/variants/link/5903416030232/", "View Product")</f>
        <v/>
      </c>
    </row>
    <row r="2644">
      <c r="A2644" t="inlineStr">
        <is>
          <t>5903416033691</t>
        </is>
      </c>
      <c r="B2644" t="inlineStr">
        <is>
          <t>Eveline Diamond Glow Lip Luminizer Lip Gloss 05 Toffee 4.5ml</t>
        </is>
      </c>
      <c r="C2644" t="inlineStr">
        <is>
          <t>Lip Gloss</t>
        </is>
      </c>
      <c r="D2644" t="inlineStr">
        <is>
          <t>Eveline</t>
        </is>
      </c>
      <c r="E2644" t="n">
        <v>4.03</v>
      </c>
      <c r="F2644" t="n">
        <v>1</v>
      </c>
      <c r="G2644" t="n">
        <v>4</v>
      </c>
      <c r="H2644" s="5">
        <f>HYPERLINK("https://api.qogita.com/variants/link/5903416033691/", "View Product")</f>
        <v/>
      </c>
    </row>
    <row r="2645">
      <c r="A2645" t="inlineStr">
        <is>
          <t>5905076587507</t>
        </is>
      </c>
      <c r="B2645" t="inlineStr">
        <is>
          <t>La Roche Posay Hyalu B5 Skin Care Gift Set</t>
        </is>
      </c>
      <c r="C2645" t="inlineStr">
        <is>
          <t>Face</t>
        </is>
      </c>
      <c r="D2645" t="inlineStr">
        <is>
          <t>La Roche-Posay</t>
        </is>
      </c>
      <c r="E2645" t="n">
        <v>61.78</v>
      </c>
      <c r="F2645" t="n">
        <v>1</v>
      </c>
      <c r="G2645" t="n">
        <v>21</v>
      </c>
      <c r="H2645" s="5">
        <f>HYPERLINK("https://api.qogita.com/variants/link/5905076587507/", "View Product")</f>
        <v/>
      </c>
    </row>
    <row r="2646">
      <c r="A2646" t="inlineStr">
        <is>
          <t>5905669547093</t>
        </is>
      </c>
      <c r="B2646" t="inlineStr">
        <is>
          <t>Nanoil Aloe &amp; White Tea Face Serum 50ml - Nourishing Revitalizing Age-Defying</t>
        </is>
      </c>
      <c r="C2646" t="inlineStr">
        <is>
          <t>Anti-Aging Serum</t>
        </is>
      </c>
      <c r="D2646" t="inlineStr">
        <is>
          <t>Nanoil</t>
        </is>
      </c>
      <c r="E2646" t="n">
        <v>16.17</v>
      </c>
      <c r="F2646" t="n">
        <v>1</v>
      </c>
      <c r="G2646" t="n">
        <v>3</v>
      </c>
      <c r="H2646" s="5">
        <f>HYPERLINK("https://api.qogita.com/variants/link/5905669547093/", "View Product")</f>
        <v/>
      </c>
    </row>
    <row r="2647">
      <c r="A2647" t="inlineStr">
        <is>
          <t>5905669547109</t>
        </is>
      </c>
      <c r="B2647" t="inlineStr">
        <is>
          <t>Nanoil Hyaluronic Acid 2% Face Serum - 50ml</t>
        </is>
      </c>
      <c r="C2647" t="inlineStr">
        <is>
          <t>Hyaluronic Acid Serum</t>
        </is>
      </c>
      <c r="D2647" t="inlineStr">
        <is>
          <t>Nanoil</t>
        </is>
      </c>
      <c r="E2647" t="n">
        <v>16.37</v>
      </c>
      <c r="F2647" t="n">
        <v>1</v>
      </c>
      <c r="G2647" t="n">
        <v>5</v>
      </c>
      <c r="H2647" s="5">
        <f>HYPERLINK("https://api.qogita.com/variants/link/5905669547109/", "View Product")</f>
        <v/>
      </c>
    </row>
    <row r="2648">
      <c r="A2648" t="inlineStr">
        <is>
          <t>5905669547208</t>
        </is>
      </c>
      <c r="B2648" t="inlineStr">
        <is>
          <t>Nanoil Retinol Vitamin A Face Serum - 50ml</t>
        </is>
      </c>
      <c r="C2648" t="inlineStr">
        <is>
          <t>Anti-Aging Serum</t>
        </is>
      </c>
      <c r="D2648" t="inlineStr">
        <is>
          <t>Nanoil</t>
        </is>
      </c>
      <c r="E2648" t="n">
        <v>16.23</v>
      </c>
      <c r="F2648" t="n">
        <v>1</v>
      </c>
      <c r="G2648" t="n">
        <v>9</v>
      </c>
      <c r="H2648" s="5">
        <f>HYPERLINK("https://api.qogita.com/variants/link/5905669547208/", "View Product")</f>
        <v/>
      </c>
    </row>
    <row r="2649">
      <c r="A2649" t="inlineStr">
        <is>
          <t>5905669547215</t>
        </is>
      </c>
      <c r="B2649" t="inlineStr">
        <is>
          <t>Nanoil Vitamin C Face Serum - 50ml</t>
        </is>
      </c>
      <c r="C2649" t="inlineStr">
        <is>
          <t>Vitamin Serum</t>
        </is>
      </c>
      <c r="D2649" t="inlineStr">
        <is>
          <t>Nanoil</t>
        </is>
      </c>
      <c r="E2649" t="n">
        <v>16.38</v>
      </c>
      <c r="F2649" t="n">
        <v>1</v>
      </c>
      <c r="G2649" t="n">
        <v>3</v>
      </c>
      <c r="H2649" s="5">
        <f>HYPERLINK("https://api.qogita.com/variants/link/5905669547215/", "View Product")</f>
        <v/>
      </c>
    </row>
    <row r="2650">
      <c r="A2650" t="inlineStr">
        <is>
          <t>5905669547239</t>
        </is>
      </c>
      <c r="B2650" t="inlineStr">
        <is>
          <t>Nanoil Algae Hair Conditioner - 125ml</t>
        </is>
      </c>
      <c r="C2650" t="inlineStr">
        <is>
          <t>Conditioner</t>
        </is>
      </c>
      <c r="D2650" t="inlineStr">
        <is>
          <t>Nanoil</t>
        </is>
      </c>
      <c r="E2650" t="n">
        <v>10.28</v>
      </c>
      <c r="F2650" t="n">
        <v>1</v>
      </c>
      <c r="G2650" t="n">
        <v>3</v>
      </c>
      <c r="H2650" s="5">
        <f>HYPERLINK("https://api.qogita.com/variants/link/5905669547239/", "View Product")</f>
        <v/>
      </c>
    </row>
    <row r="2651">
      <c r="A2651" t="inlineStr">
        <is>
          <t>5905669547260</t>
        </is>
      </c>
      <c r="B2651" t="inlineStr">
        <is>
          <t>Nanoil Keratin Micellar Shampoo - 300ml</t>
        </is>
      </c>
      <c r="C2651" t="inlineStr">
        <is>
          <t>Shampoo</t>
        </is>
      </c>
      <c r="D2651" t="inlineStr">
        <is>
          <t>Nanoil</t>
        </is>
      </c>
      <c r="E2651" t="n">
        <v>8.890000000000001</v>
      </c>
      <c r="F2651" t="n">
        <v>1</v>
      </c>
      <c r="G2651" t="n">
        <v>8</v>
      </c>
      <c r="H2651" s="5">
        <f>HYPERLINK("https://api.qogita.com/variants/link/5905669547260/", "View Product")</f>
        <v/>
      </c>
    </row>
    <row r="2652">
      <c r="A2652" t="inlineStr">
        <is>
          <t>5905669547314</t>
        </is>
      </c>
      <c r="B2652" t="inlineStr">
        <is>
          <t>Nanoil Collagen Face Serum 50ml - Smoothing, Plumping and Rejuvenating</t>
        </is>
      </c>
      <c r="C2652" t="inlineStr">
        <is>
          <t>Collagen Serum</t>
        </is>
      </c>
      <c r="D2652" t="inlineStr">
        <is>
          <t>Nanoil</t>
        </is>
      </c>
      <c r="E2652" t="n">
        <v>16.2</v>
      </c>
      <c r="F2652" t="n">
        <v>1</v>
      </c>
      <c r="G2652" t="n">
        <v>9</v>
      </c>
      <c r="H2652" s="5">
        <f>HYPERLINK("https://api.qogita.com/variants/link/5905669547314/", "View Product")</f>
        <v/>
      </c>
    </row>
    <row r="2653">
      <c r="A2653" t="inlineStr">
        <is>
          <t>5905669547345</t>
        </is>
      </c>
      <c r="B2653" t="inlineStr">
        <is>
          <t>Nanoil Heat Protectant Spray 200ml for Thermal Protection</t>
        </is>
      </c>
      <c r="C2653" t="inlineStr">
        <is>
          <t>Uv Protection</t>
        </is>
      </c>
      <c r="D2653" t="inlineStr">
        <is>
          <t>Nanoil</t>
        </is>
      </c>
      <c r="E2653" t="n">
        <v>10.54</v>
      </c>
      <c r="F2653" t="n">
        <v>1</v>
      </c>
      <c r="G2653" t="n">
        <v>3</v>
      </c>
      <c r="H2653" s="5">
        <f>HYPERLINK("https://api.qogita.com/variants/link/5905669547345/", "View Product")</f>
        <v/>
      </c>
    </row>
    <row r="2654">
      <c r="A2654" t="inlineStr">
        <is>
          <t>5905669547376</t>
        </is>
      </c>
      <c r="B2654" t="inlineStr">
        <is>
          <t>Nanobrow Shape Mascara for Perfect Brow Definition</t>
        </is>
      </c>
      <c r="C2654" t="inlineStr">
        <is>
          <t>Eyebrow Gel</t>
        </is>
      </c>
      <c r="D2654" t="inlineStr">
        <is>
          <t>Nanobrow</t>
        </is>
      </c>
      <c r="E2654" t="n">
        <v>74.65000000000001</v>
      </c>
      <c r="F2654" t="n">
        <v>1</v>
      </c>
      <c r="G2654" t="n">
        <v>3</v>
      </c>
      <c r="H2654" s="5">
        <f>HYPERLINK("https://api.qogita.com/variants/link/5905669547376/", "View Product")</f>
        <v/>
      </c>
    </row>
    <row r="2655">
      <c r="A2655" t="inlineStr">
        <is>
          <t>5905669547383</t>
        </is>
      </c>
      <c r="B2655" t="inlineStr">
        <is>
          <t>Nanobrow Lamination Gel - Brow Gel for Precisely Styled and Filled Brows</t>
        </is>
      </c>
      <c r="C2655" t="inlineStr">
        <is>
          <t>Eyebrow Gel</t>
        </is>
      </c>
      <c r="D2655" t="inlineStr">
        <is>
          <t>Nanobrow</t>
        </is>
      </c>
      <c r="E2655" t="n">
        <v>26.43</v>
      </c>
      <c r="F2655" t="n">
        <v>1</v>
      </c>
      <c r="G2655" t="n">
        <v>3</v>
      </c>
      <c r="H2655" s="5">
        <f>HYPERLINK("https://api.qogita.com/variants/link/5905669547383/", "View Product")</f>
        <v/>
      </c>
    </row>
    <row r="2656">
      <c r="A2656" t="inlineStr">
        <is>
          <t>5905669547406</t>
        </is>
      </c>
      <c r="B2656" t="inlineStr">
        <is>
          <t>Nanobrow Lamination Gel - Brow Gel for Precisely Styled and Filled Brows in Brown</t>
        </is>
      </c>
      <c r="C2656" t="inlineStr">
        <is>
          <t>Eyebrow Gel</t>
        </is>
      </c>
      <c r="D2656" t="inlineStr">
        <is>
          <t>Nanobrow</t>
        </is>
      </c>
      <c r="E2656" t="n">
        <v>44.92</v>
      </c>
      <c r="F2656" t="n">
        <v>1</v>
      </c>
      <c r="G2656" t="n">
        <v>2</v>
      </c>
      <c r="H2656" s="5">
        <f>HYPERLINK("https://api.qogita.com/variants/link/5905669547406/", "View Product")</f>
        <v/>
      </c>
    </row>
    <row r="2657">
      <c r="A2657" t="inlineStr">
        <is>
          <t>5905669547505</t>
        </is>
      </c>
      <c r="B2657" t="inlineStr">
        <is>
          <t>Nanobrow Eyebrow Pencil Blonde 1g</t>
        </is>
      </c>
      <c r="C2657" t="inlineStr">
        <is>
          <t>Eyebrow Pencil</t>
        </is>
      </c>
      <c r="D2657" t="inlineStr">
        <is>
          <t>Nanobrow</t>
        </is>
      </c>
      <c r="E2657" t="n">
        <v>8.84</v>
      </c>
      <c r="F2657" t="n">
        <v>1</v>
      </c>
      <c r="G2657" t="n">
        <v>3</v>
      </c>
      <c r="H2657" s="5">
        <f>HYPERLINK("https://api.qogita.com/variants/link/5905669547505/", "View Product")</f>
        <v/>
      </c>
    </row>
    <row r="2658">
      <c r="A2658" t="inlineStr">
        <is>
          <t>5905669547574</t>
        </is>
      </c>
      <c r="B2658" t="inlineStr">
        <is>
          <t>Nanobrow Microblading Pen - Enhancing, Thickening Eyebrow Filling</t>
        </is>
      </c>
      <c r="C2658" t="inlineStr">
        <is>
          <t>Eyebrow Pencil</t>
        </is>
      </c>
      <c r="D2658" t="inlineStr">
        <is>
          <t>Nanobrow</t>
        </is>
      </c>
      <c r="E2658" t="n">
        <v>12.51</v>
      </c>
      <c r="F2658" t="n">
        <v>1</v>
      </c>
      <c r="G2658" t="n">
        <v>5</v>
      </c>
      <c r="H2658" s="5">
        <f>HYPERLINK("https://api.qogita.com/variants/link/5905669547574/", "View Product")</f>
        <v/>
      </c>
    </row>
    <row r="2659">
      <c r="A2659" t="inlineStr">
        <is>
          <t>5907609335982</t>
        </is>
      </c>
      <c r="B2659" t="inlineStr">
        <is>
          <t>Eveline Extension 4d Extreme Volume Mascara - Black, 10ml</t>
        </is>
      </c>
      <c r="C2659" t="inlineStr">
        <is>
          <t>Mascara</t>
        </is>
      </c>
      <c r="D2659" t="inlineStr">
        <is>
          <t>Eveline</t>
        </is>
      </c>
      <c r="E2659" t="n">
        <v>3.56</v>
      </c>
      <c r="F2659" t="n">
        <v>1</v>
      </c>
      <c r="G2659" t="n">
        <v>5</v>
      </c>
      <c r="H2659" s="5">
        <f>HYPERLINK("https://api.qogita.com/variants/link/5907609335982/", "View Product")</f>
        <v/>
      </c>
    </row>
    <row r="2660">
      <c r="A2660" t="inlineStr">
        <is>
          <t>5907609389206</t>
        </is>
      </c>
      <c r="B2660" t="inlineStr">
        <is>
          <t>Eveline Magnetic Look Ultra Volume Mascara - 10ml</t>
        </is>
      </c>
      <c r="C2660" t="inlineStr">
        <is>
          <t>Mascara</t>
        </is>
      </c>
      <c r="D2660" t="inlineStr">
        <is>
          <t>Eveline</t>
        </is>
      </c>
      <c r="E2660" t="n">
        <v>3.75</v>
      </c>
      <c r="F2660" t="n">
        <v>1</v>
      </c>
      <c r="G2660" t="n">
        <v>3</v>
      </c>
      <c r="H2660" s="5">
        <f>HYPERLINK("https://api.qogita.com/variants/link/5907609389206/", "View Product")</f>
        <v/>
      </c>
    </row>
    <row r="2661">
      <c r="A2661" t="inlineStr">
        <is>
          <t>5908229301722</t>
        </is>
      </c>
      <c r="B2661" t="inlineStr">
        <is>
          <t>Bepanthen Baby Protective Ointment 100g</t>
        </is>
      </c>
      <c r="C2661" t="inlineStr">
        <is>
          <t>Baby Cream &amp; Oil</t>
        </is>
      </c>
      <c r="D2661" t="inlineStr">
        <is>
          <t>Bayer</t>
        </is>
      </c>
      <c r="E2661" t="n">
        <v>9.34</v>
      </c>
      <c r="F2661" t="n">
        <v>1</v>
      </c>
      <c r="G2661" t="n">
        <v>129</v>
      </c>
      <c r="H2661" s="5">
        <f>HYPERLINK("https://api.qogita.com/variants/link/5908229301722/", "View Product")</f>
        <v/>
      </c>
    </row>
    <row r="2662">
      <c r="A2662" t="inlineStr">
        <is>
          <t>5997321772714</t>
        </is>
      </c>
      <c r="B2662" t="inlineStr">
        <is>
          <t>Scholl Inbalance Lower Back Pain Relief Insole Large Orthopedic Insoles For Shoes 1 Pair</t>
        </is>
      </c>
      <c r="C2662" t="inlineStr">
        <is>
          <t>Sporting Tension</t>
        </is>
      </c>
      <c r="D2662" t="inlineStr">
        <is>
          <t>Scholl</t>
        </is>
      </c>
      <c r="E2662" t="n">
        <v>11.18</v>
      </c>
      <c r="F2662" t="n">
        <v>1</v>
      </c>
      <c r="G2662" t="n">
        <v>14</v>
      </c>
      <c r="H2662" s="5">
        <f>HYPERLINK("https://api.qogita.com/variants/link/5997321772714/", "View Product")</f>
        <v/>
      </c>
    </row>
    <row r="2663">
      <c r="A2663" t="inlineStr">
        <is>
          <t>5998889501099</t>
        </is>
      </c>
      <c r="B2663" t="inlineStr">
        <is>
          <t>Kjmn Silk Hair Mask With Olive Oil And Silk Proteins 275ml</t>
        </is>
      </c>
      <c r="C2663" t="inlineStr">
        <is>
          <t>Hair Masks</t>
        </is>
      </c>
      <c r="D2663" t="inlineStr">
        <is>
          <t>Kérastase</t>
        </is>
      </c>
      <c r="E2663" t="n">
        <v>1.94</v>
      </c>
      <c r="F2663" t="n">
        <v>1</v>
      </c>
      <c r="G2663" t="n">
        <v>5</v>
      </c>
      <c r="H2663" s="5">
        <f>HYPERLINK("https://api.qogita.com/variants/link/5998889501099/", "View Product")</f>
        <v/>
      </c>
    </row>
    <row r="2664">
      <c r="A2664" t="inlineStr">
        <is>
          <t>5998889502225</t>
        </is>
      </c>
      <c r="B2664" t="inlineStr">
        <is>
          <t>Almond Shampoo 1000ml</t>
        </is>
      </c>
      <c r="C2664" t="inlineStr">
        <is>
          <t>Shampoo</t>
        </is>
      </c>
      <c r="D2664" t="inlineStr">
        <is>
          <t>Kallos</t>
        </is>
      </c>
      <c r="E2664" t="n">
        <v>2.78</v>
      </c>
      <c r="F2664" t="n">
        <v>1</v>
      </c>
      <c r="G2664" t="n">
        <v>3</v>
      </c>
      <c r="H2664" s="5">
        <f>HYPERLINK("https://api.qogita.com/variants/link/5998889502225/", "View Product")</f>
        <v/>
      </c>
    </row>
    <row r="2665">
      <c r="A2665" t="inlineStr">
        <is>
          <t>5998889503567</t>
        </is>
      </c>
      <c r="B2665" t="inlineStr">
        <is>
          <t>Kallos Kjmn Flat Iron Spray Hair Straightening Protection Spray 200ml</t>
        </is>
      </c>
      <c r="C2665" t="inlineStr">
        <is>
          <t>Heat Protection</t>
        </is>
      </c>
      <c r="D2665" t="inlineStr">
        <is>
          <t>Kallos</t>
        </is>
      </c>
      <c r="E2665" t="n">
        <v>2.51</v>
      </c>
      <c r="F2665" t="n">
        <v>1</v>
      </c>
      <c r="G2665" t="n">
        <v>21</v>
      </c>
      <c r="H2665" s="5">
        <f>HYPERLINK("https://api.qogita.com/variants/link/5998889503567/", "View Product")</f>
        <v/>
      </c>
    </row>
    <row r="2666">
      <c r="A2666" t="inlineStr">
        <is>
          <t>5998889503574</t>
        </is>
      </c>
      <c r="B2666" t="inlineStr">
        <is>
          <t>Kjmn Fortifying Anti-Dandruff Shampoo - 500ml</t>
        </is>
      </c>
      <c r="C2666" t="inlineStr">
        <is>
          <t>Shampoo</t>
        </is>
      </c>
      <c r="D2666" t="inlineStr">
        <is>
          <t>Kérastase</t>
        </is>
      </c>
      <c r="E2666" t="n">
        <v>3.78</v>
      </c>
      <c r="F2666" t="n">
        <v>1</v>
      </c>
      <c r="G2666" t="n">
        <v>5</v>
      </c>
      <c r="H2666" s="5">
        <f>HYPERLINK("https://api.qogita.com/variants/link/5998889503574/", "View Product")</f>
        <v/>
      </c>
    </row>
    <row r="2667">
      <c r="A2667" t="inlineStr">
        <is>
          <t>5998889503581</t>
        </is>
      </c>
      <c r="B2667" t="inlineStr">
        <is>
          <t>Kallos KJMN Unisex Conditioner for Damaged and Dry Hair</t>
        </is>
      </c>
      <c r="C2667" t="inlineStr">
        <is>
          <t>Conditioner</t>
        </is>
      </c>
      <c r="D2667" t="inlineStr">
        <is>
          <t>Kallos</t>
        </is>
      </c>
      <c r="E2667" t="n">
        <v>4.36</v>
      </c>
      <c r="F2667" t="n">
        <v>1</v>
      </c>
      <c r="G2667" t="n">
        <v>4</v>
      </c>
      <c r="H2667" s="5">
        <f>HYPERLINK("https://api.qogita.com/variants/link/5998889503581/", "View Product")</f>
        <v/>
      </c>
    </row>
    <row r="2668">
      <c r="A2668" t="inlineStr">
        <is>
          <t>5998889504144</t>
        </is>
      </c>
      <c r="B2668" t="inlineStr">
        <is>
          <t>Kallos Kjmn Dry Ends Serum 30ml</t>
        </is>
      </c>
      <c r="C2668" t="inlineStr">
        <is>
          <t>Hair Oil &amp; Hair Serum</t>
        </is>
      </c>
      <c r="D2668" t="inlineStr">
        <is>
          <t>Kallos</t>
        </is>
      </c>
      <c r="E2668" t="n">
        <v>2.3</v>
      </c>
      <c r="F2668" t="n">
        <v>1</v>
      </c>
      <c r="G2668" t="n">
        <v>8</v>
      </c>
      <c r="H2668" s="5">
        <f>HYPERLINK("https://api.qogita.com/variants/link/5998889504144/", "View Product")</f>
        <v/>
      </c>
    </row>
    <row r="2669">
      <c r="A2669" t="inlineStr">
        <is>
          <t>5998889505059</t>
        </is>
      </c>
      <c r="B2669" t="inlineStr">
        <is>
          <t>Kallos Styling Gel Extra Strong - 275ml</t>
        </is>
      </c>
      <c r="C2669" t="inlineStr">
        <is>
          <t>Gel</t>
        </is>
      </c>
      <c r="D2669" t="inlineStr">
        <is>
          <t>Kallos</t>
        </is>
      </c>
      <c r="E2669" t="n">
        <v>1.52</v>
      </c>
      <c r="F2669" t="n">
        <v>1</v>
      </c>
      <c r="G2669" t="n">
        <v>10</v>
      </c>
      <c r="H2669" s="5">
        <f>HYPERLINK("https://api.qogita.com/variants/link/5998889505059/", "View Product")</f>
        <v/>
      </c>
    </row>
    <row r="2670">
      <c r="A2670" t="inlineStr">
        <is>
          <t>5998889505929</t>
        </is>
      </c>
      <c r="B2670" t="inlineStr">
        <is>
          <t>Kallos Vanilla Shine Shampoo For Dry Hair - 1000ml</t>
        </is>
      </c>
      <c r="C2670" t="inlineStr">
        <is>
          <t>Shampoo</t>
        </is>
      </c>
      <c r="D2670" t="inlineStr">
        <is>
          <t>Kallos</t>
        </is>
      </c>
      <c r="E2670" t="n">
        <v>2.93</v>
      </c>
      <c r="F2670" t="n">
        <v>1</v>
      </c>
      <c r="G2670" t="n">
        <v>21</v>
      </c>
      <c r="H2670" s="5">
        <f>HYPERLINK("https://api.qogita.com/variants/link/5998889505929/", "View Product")</f>
        <v/>
      </c>
    </row>
    <row r="2671">
      <c r="A2671" t="inlineStr">
        <is>
          <t>5998889505943</t>
        </is>
      </c>
      <c r="B2671" t="inlineStr">
        <is>
          <t>Kallos Vanilla Shine Hair Mask For Dry Hair - 1000ml</t>
        </is>
      </c>
      <c r="C2671" t="inlineStr">
        <is>
          <t>Hair Masks</t>
        </is>
      </c>
      <c r="D2671" t="inlineStr">
        <is>
          <t>Kallos</t>
        </is>
      </c>
      <c r="E2671" t="n">
        <v>2.97</v>
      </c>
      <c r="F2671" t="n">
        <v>1</v>
      </c>
      <c r="G2671" t="n">
        <v>2</v>
      </c>
      <c r="H2671" s="5">
        <f>HYPERLINK("https://api.qogita.com/variants/link/5998889505943/", "View Product")</f>
        <v/>
      </c>
    </row>
    <row r="2672">
      <c r="A2672" t="inlineStr">
        <is>
          <t>5998889507251</t>
        </is>
      </c>
      <c r="B2672" t="inlineStr">
        <is>
          <t>Kallos KJMN Root Lift Spray Mousse 300ml</t>
        </is>
      </c>
      <c r="C2672" t="inlineStr">
        <is>
          <t>Mousse</t>
        </is>
      </c>
      <c r="D2672" t="inlineStr">
        <is>
          <t>Kallos</t>
        </is>
      </c>
      <c r="E2672" t="n">
        <v>4.85</v>
      </c>
      <c r="F2672" t="n">
        <v>1</v>
      </c>
      <c r="G2672" t="n">
        <v>4</v>
      </c>
      <c r="H2672" s="5">
        <f>HYPERLINK("https://api.qogita.com/variants/link/5998889507251/", "View Product")</f>
        <v/>
      </c>
    </row>
    <row r="2673">
      <c r="A2673" t="inlineStr">
        <is>
          <t>5998889508012</t>
        </is>
      </c>
      <c r="B2673" t="inlineStr">
        <is>
          <t>Prestige Hair Spray Extra Strong 750ml</t>
        </is>
      </c>
      <c r="C2673" t="inlineStr">
        <is>
          <t>Hairspray</t>
        </is>
      </c>
      <c r="D2673" t="inlineStr">
        <is>
          <t>Prestige</t>
        </is>
      </c>
      <c r="E2673" t="n">
        <v>5.09</v>
      </c>
      <c r="F2673" t="n">
        <v>1</v>
      </c>
      <c r="G2673" t="n">
        <v>2</v>
      </c>
      <c r="H2673" s="5">
        <f>HYPERLINK("https://api.qogita.com/variants/link/5998889508012/", "View Product")</f>
        <v/>
      </c>
    </row>
    <row r="2674">
      <c r="A2674" t="inlineStr">
        <is>
          <t>5998889508029</t>
        </is>
      </c>
      <c r="B2674" t="inlineStr">
        <is>
          <t>Kallos Placenta Hair Mask For Dry And Damaged Hair 275 Ml</t>
        </is>
      </c>
      <c r="C2674" t="inlineStr">
        <is>
          <t>Hair Masks</t>
        </is>
      </c>
      <c r="D2674" t="inlineStr">
        <is>
          <t>Kallos</t>
        </is>
      </c>
      <c r="E2674" t="n">
        <v>1.81</v>
      </c>
      <c r="F2674" t="n">
        <v>1</v>
      </c>
      <c r="G2674" t="n">
        <v>3</v>
      </c>
      <c r="H2674" s="5">
        <f>HYPERLINK("https://api.qogita.com/variants/link/5998889508029/", "View Product")</f>
        <v/>
      </c>
    </row>
    <row r="2675">
      <c r="A2675" t="inlineStr">
        <is>
          <t>5998889508043</t>
        </is>
      </c>
      <c r="B2675" t="inlineStr">
        <is>
          <t>Kallos Placenta Hair Mask With Vegetable Extract For Dry And Damaged Hair - 800ml</t>
        </is>
      </c>
      <c r="C2675" t="inlineStr">
        <is>
          <t>Hair Masks</t>
        </is>
      </c>
      <c r="D2675" t="inlineStr">
        <is>
          <t>Kallos</t>
        </is>
      </c>
      <c r="E2675" t="n">
        <v>2.98</v>
      </c>
      <c r="F2675" t="n">
        <v>1</v>
      </c>
      <c r="G2675" t="n">
        <v>11</v>
      </c>
      <c r="H2675" s="5">
        <f>HYPERLINK("https://api.qogita.com/variants/link/5998889508043/", "View Product")</f>
        <v/>
      </c>
    </row>
    <row r="2676">
      <c r="A2676" t="inlineStr">
        <is>
          <t>5998889508050</t>
        </is>
      </c>
      <c r="B2676" t="inlineStr">
        <is>
          <t>Kallos Latte Hair Mask With Milk Protein - 275ml</t>
        </is>
      </c>
      <c r="C2676" t="inlineStr">
        <is>
          <t>Hair Masks</t>
        </is>
      </c>
      <c r="D2676" t="inlineStr">
        <is>
          <t>Kallos</t>
        </is>
      </c>
      <c r="E2676" t="n">
        <v>1.79</v>
      </c>
      <c r="F2676" t="n">
        <v>1</v>
      </c>
      <c r="G2676" t="n">
        <v>9</v>
      </c>
      <c r="H2676" s="5">
        <f>HYPERLINK("https://api.qogita.com/variants/link/5998889508050/", "View Product")</f>
        <v/>
      </c>
    </row>
    <row r="2677">
      <c r="A2677" t="inlineStr">
        <is>
          <t>5998889508142</t>
        </is>
      </c>
      <c r="B2677" t="inlineStr">
        <is>
          <t>Kjmn Keratin Hair Mask - 1000ml</t>
        </is>
      </c>
      <c r="C2677" t="inlineStr">
        <is>
          <t>Hair Masks</t>
        </is>
      </c>
      <c r="D2677" t="inlineStr">
        <is>
          <t>Kérastase</t>
        </is>
      </c>
      <c r="E2677" t="n">
        <v>3.18</v>
      </c>
      <c r="F2677" t="n">
        <v>1</v>
      </c>
      <c r="G2677" t="n">
        <v>143</v>
      </c>
      <c r="H2677" s="5">
        <f>HYPERLINK("https://api.qogita.com/variants/link/5998889508142/", "View Product")</f>
        <v/>
      </c>
    </row>
    <row r="2678">
      <c r="A2678" t="inlineStr">
        <is>
          <t>5998889508395</t>
        </is>
      </c>
      <c r="B2678" t="inlineStr">
        <is>
          <t>Kallos Professional Repair Hair Conditioner With Keratin And Cashmere 1000ml</t>
        </is>
      </c>
      <c r="C2678" t="inlineStr">
        <is>
          <t>Conditioner</t>
        </is>
      </c>
      <c r="D2678" t="inlineStr">
        <is>
          <t>Kallos</t>
        </is>
      </c>
      <c r="E2678" t="n">
        <v>3.66</v>
      </c>
      <c r="F2678" t="n">
        <v>1</v>
      </c>
      <c r="G2678" t="n">
        <v>2</v>
      </c>
      <c r="H2678" s="5">
        <f>HYPERLINK("https://api.qogita.com/variants/link/5998889508395/", "View Product")</f>
        <v/>
      </c>
    </row>
    <row r="2679">
      <c r="A2679" t="inlineStr">
        <is>
          <t>5998889508401</t>
        </is>
      </c>
      <c r="B2679" t="inlineStr">
        <is>
          <t>Kallos Professional Repair Hair Conditioner With Cashmere Keratin 500 Ml</t>
        </is>
      </c>
      <c r="C2679" t="inlineStr">
        <is>
          <t>Conditioner</t>
        </is>
      </c>
      <c r="D2679" t="inlineStr">
        <is>
          <t>Kallos</t>
        </is>
      </c>
      <c r="E2679" t="n">
        <v>2.8</v>
      </c>
      <c r="F2679" t="n">
        <v>1</v>
      </c>
      <c r="G2679" t="n">
        <v>7</v>
      </c>
      <c r="H2679" s="5">
        <f>HYPERLINK("https://api.qogita.com/variants/link/5998889508401/", "View Product")</f>
        <v/>
      </c>
    </row>
    <row r="2680">
      <c r="A2680" t="inlineStr">
        <is>
          <t>5998889508456</t>
        </is>
      </c>
      <c r="B2680" t="inlineStr">
        <is>
          <t>Kallos Extra Strong Hold Hair Spray With Keratin 750 Ml</t>
        </is>
      </c>
      <c r="C2680" t="inlineStr">
        <is>
          <t>Hairspray</t>
        </is>
      </c>
      <c r="D2680" t="inlineStr">
        <is>
          <t>Kallos</t>
        </is>
      </c>
      <c r="E2680" t="n">
        <v>5.04</v>
      </c>
      <c r="F2680" t="n">
        <v>1</v>
      </c>
      <c r="G2680" t="n">
        <v>32</v>
      </c>
      <c r="H2680" s="5">
        <f>HYPERLINK("https://api.qogita.com/variants/link/5998889508456/", "View Product")</f>
        <v/>
      </c>
    </row>
    <row r="2681">
      <c r="A2681" t="inlineStr">
        <is>
          <t>5998889511395</t>
        </is>
      </c>
      <c r="B2681" t="inlineStr">
        <is>
          <t>Kallos Milk Hair Mask With Milk Protein 1 Liter For Dry And Damaged Hair</t>
        </is>
      </c>
      <c r="C2681" t="inlineStr">
        <is>
          <t>Hair Masks</t>
        </is>
      </c>
      <c r="D2681" t="inlineStr">
        <is>
          <t>Kallos</t>
        </is>
      </c>
      <c r="E2681" t="n">
        <v>2.81</v>
      </c>
      <c r="F2681" t="n">
        <v>1</v>
      </c>
      <c r="G2681" t="n">
        <v>9</v>
      </c>
      <c r="H2681" s="5">
        <f>HYPERLINK("https://api.qogita.com/variants/link/5998889511395/", "View Product")</f>
        <v/>
      </c>
    </row>
    <row r="2682">
      <c r="A2682" t="inlineStr">
        <is>
          <t>5998889511401</t>
        </is>
      </c>
      <c r="B2682" t="inlineStr">
        <is>
          <t>Kallos Hair Pro-Tox Leave-In Conditioner With Keratin, Collagen, And Hyaluronic Acid 250ml</t>
        </is>
      </c>
      <c r="C2682" t="inlineStr">
        <is>
          <t>Leave-In Conditioner</t>
        </is>
      </c>
      <c r="D2682" t="inlineStr">
        <is>
          <t>Kallos</t>
        </is>
      </c>
      <c r="E2682" t="n">
        <v>3.04</v>
      </c>
      <c r="F2682" t="n">
        <v>1</v>
      </c>
      <c r="G2682" t="n">
        <v>18</v>
      </c>
      <c r="H2682" s="5">
        <f>HYPERLINK("https://api.qogita.com/variants/link/5998889511401/", "View Product")</f>
        <v/>
      </c>
    </row>
    <row r="2683">
      <c r="A2683" t="inlineStr">
        <is>
          <t>5998889511418</t>
        </is>
      </c>
      <c r="B2683" t="inlineStr">
        <is>
          <t>Kallos Hair Pro-Tox Hair Mask With Keratin, Collagen, And Hyaluronic Acid 1000ml</t>
        </is>
      </c>
      <c r="C2683" t="inlineStr">
        <is>
          <t>Hair Masks</t>
        </is>
      </c>
      <c r="D2683" t="inlineStr">
        <is>
          <t>Kallos</t>
        </is>
      </c>
      <c r="E2683" t="n">
        <v>2.93</v>
      </c>
      <c r="F2683" t="n">
        <v>1</v>
      </c>
      <c r="G2683" t="n">
        <v>2</v>
      </c>
      <c r="H2683" s="5">
        <f>HYPERLINK("https://api.qogita.com/variants/link/5998889511418/", "View Product")</f>
        <v/>
      </c>
    </row>
    <row r="2684">
      <c r="A2684" t="inlineStr">
        <is>
          <t>5998889511494</t>
        </is>
      </c>
      <c r="B2684" t="inlineStr">
        <is>
          <t>Kallos Pro-Tox Shampoo with Keratin, Collagen, and Hyaluronic Acid 500ml</t>
        </is>
      </c>
      <c r="C2684" t="inlineStr">
        <is>
          <t>Shampoo</t>
        </is>
      </c>
      <c r="D2684" t="inlineStr">
        <is>
          <t>Kallos</t>
        </is>
      </c>
      <c r="E2684" t="n">
        <v>2.18</v>
      </c>
      <c r="F2684" t="n">
        <v>1</v>
      </c>
      <c r="G2684" t="n">
        <v>8</v>
      </c>
      <c r="H2684" s="5">
        <f>HYPERLINK("https://api.qogita.com/variants/link/5998889511494/", "View Product")</f>
        <v/>
      </c>
    </row>
    <row r="2685">
      <c r="A2685" t="inlineStr">
        <is>
          <t>5998889511944</t>
        </is>
      </c>
      <c r="B2685" t="inlineStr">
        <is>
          <t>Kallos Banana Fortifying Hair Mask With Multivitamin Complex - 275ml</t>
        </is>
      </c>
      <c r="C2685" t="inlineStr">
        <is>
          <t>Hair Masks</t>
        </is>
      </c>
      <c r="D2685" t="inlineStr">
        <is>
          <t>Kallos</t>
        </is>
      </c>
      <c r="E2685" t="n">
        <v>1.87</v>
      </c>
      <c r="F2685" t="n">
        <v>1</v>
      </c>
      <c r="G2685" t="n">
        <v>3</v>
      </c>
      <c r="H2685" s="5">
        <f>HYPERLINK("https://api.qogita.com/variants/link/5998889511944/", "View Product")</f>
        <v/>
      </c>
    </row>
    <row r="2686">
      <c r="A2686" t="inlineStr">
        <is>
          <t>5998889512019</t>
        </is>
      </c>
      <c r="B2686" t="inlineStr">
        <is>
          <t>Kallos Milk Hair Mask With Milk Protein - 275ml For Dry And Damaged Hair</t>
        </is>
      </c>
      <c r="C2686" t="inlineStr">
        <is>
          <t>Hair Masks</t>
        </is>
      </c>
      <c r="D2686" t="inlineStr">
        <is>
          <t>Kallos</t>
        </is>
      </c>
      <c r="E2686" t="n">
        <v>1.54</v>
      </c>
      <c r="F2686" t="n">
        <v>1</v>
      </c>
      <c r="G2686" t="n">
        <v>8</v>
      </c>
      <c r="H2686" s="5">
        <f>HYPERLINK("https://api.qogita.com/variants/link/5998889512019/", "View Product")</f>
        <v/>
      </c>
    </row>
    <row r="2687">
      <c r="A2687" t="inlineStr">
        <is>
          <t>5998889512088</t>
        </is>
      </c>
      <c r="B2687" t="inlineStr">
        <is>
          <t>Kallos Lab 35 Duo-Phase Detangling Conditioner - 500ml</t>
        </is>
      </c>
      <c r="C2687" t="inlineStr">
        <is>
          <t>Conditioner</t>
        </is>
      </c>
      <c r="D2687" t="inlineStr">
        <is>
          <t>Kallos</t>
        </is>
      </c>
      <c r="E2687" t="n">
        <v>5.29</v>
      </c>
      <c r="F2687" t="n">
        <v>1</v>
      </c>
      <c r="G2687" t="n">
        <v>3</v>
      </c>
      <c r="H2687" s="5">
        <f>HYPERLINK("https://api.qogita.com/variants/link/5998889512088/", "View Product")</f>
        <v/>
      </c>
    </row>
    <row r="2688">
      <c r="A2688" t="inlineStr">
        <is>
          <t>5998889512422</t>
        </is>
      </c>
      <c r="B2688" t="inlineStr">
        <is>
          <t>Kallos Caviar Restorative Hair Shampoo With Caviar Extract - 1000ml</t>
        </is>
      </c>
      <c r="C2688" t="inlineStr">
        <is>
          <t>Shampoo</t>
        </is>
      </c>
      <c r="D2688" t="inlineStr">
        <is>
          <t>Kallos</t>
        </is>
      </c>
      <c r="E2688" t="n">
        <v>3.14</v>
      </c>
      <c r="F2688" t="n">
        <v>1</v>
      </c>
      <c r="G2688" t="n">
        <v>6</v>
      </c>
      <c r="H2688" s="5">
        <f>HYPERLINK("https://api.qogita.com/variants/link/5998889512422/", "View Product")</f>
        <v/>
      </c>
    </row>
    <row r="2689">
      <c r="A2689" t="inlineStr">
        <is>
          <t>5998889512453</t>
        </is>
      </c>
      <c r="B2689" t="inlineStr">
        <is>
          <t>Kallos Hair Pro-Tox Best In 1 Liquid Hair Conditioner Hair Bomb - 200ml</t>
        </is>
      </c>
      <c r="C2689" t="inlineStr">
        <is>
          <t>Conditioner</t>
        </is>
      </c>
      <c r="D2689" t="inlineStr">
        <is>
          <t>Kallos</t>
        </is>
      </c>
      <c r="E2689" t="n">
        <v>2.67</v>
      </c>
      <c r="F2689" t="n">
        <v>1</v>
      </c>
      <c r="G2689" t="n">
        <v>7</v>
      </c>
      <c r="H2689" s="5">
        <f>HYPERLINK("https://api.qogita.com/variants/link/5998889512453/", "View Product")</f>
        <v/>
      </c>
    </row>
    <row r="2690">
      <c r="A2690" t="inlineStr">
        <is>
          <t>5998889513474</t>
        </is>
      </c>
      <c r="B2690" t="inlineStr">
        <is>
          <t>Kjmn Luminous Shine Shampoo For Dry And Sensitive Hair 1000ml</t>
        </is>
      </c>
      <c r="C2690" t="inlineStr">
        <is>
          <t>Shampoo</t>
        </is>
      </c>
      <c r="D2690" t="inlineStr">
        <is>
          <t>Kérastase</t>
        </is>
      </c>
      <c r="E2690" t="n">
        <v>3.77</v>
      </c>
      <c r="F2690" t="n">
        <v>1</v>
      </c>
      <c r="G2690" t="n">
        <v>7</v>
      </c>
      <c r="H2690" s="5">
        <f>HYPERLINK("https://api.qogita.com/variants/link/5998889513474/", "View Product")</f>
        <v/>
      </c>
    </row>
    <row r="2691">
      <c r="A2691" t="inlineStr">
        <is>
          <t>5998889515430</t>
        </is>
      </c>
      <c r="B2691" t="inlineStr">
        <is>
          <t>Kallos Kjmn Moisture Repair Shampoo - 1000ml</t>
        </is>
      </c>
      <c r="C2691" t="inlineStr">
        <is>
          <t>Shampoo</t>
        </is>
      </c>
      <c r="D2691" t="inlineStr">
        <is>
          <t>Kallos</t>
        </is>
      </c>
      <c r="E2691" t="n">
        <v>2.56</v>
      </c>
      <c r="F2691" t="n">
        <v>1</v>
      </c>
      <c r="G2691" t="n">
        <v>6</v>
      </c>
      <c r="H2691" s="5">
        <f>HYPERLINK("https://api.qogita.com/variants/link/5998889515430/", "View Product")</f>
        <v/>
      </c>
    </row>
    <row r="2692">
      <c r="A2692" t="inlineStr">
        <is>
          <t>5998889516093</t>
        </is>
      </c>
      <c r="B2692" t="inlineStr">
        <is>
          <t>Kjmn Coconut Nutritive Hair Strengthening Shampoo - 1000ml</t>
        </is>
      </c>
      <c r="C2692" t="inlineStr">
        <is>
          <t>Shampoo</t>
        </is>
      </c>
      <c r="D2692" t="inlineStr">
        <is>
          <t>Kérastase</t>
        </is>
      </c>
      <c r="E2692" t="n">
        <v>2.54</v>
      </c>
      <c r="F2692" t="n">
        <v>1</v>
      </c>
      <c r="G2692" t="n">
        <v>23</v>
      </c>
      <c r="H2692" s="5">
        <f>HYPERLINK("https://api.qogita.com/variants/link/5998889516093/", "View Product")</f>
        <v/>
      </c>
    </row>
    <row r="2693">
      <c r="A2693" t="inlineStr">
        <is>
          <t>5998889516154</t>
        </is>
      </c>
      <c r="B2693" t="inlineStr">
        <is>
          <t>Kallos Kjmn Regenerating Hair Shampoo with Honey Extract 1000ml</t>
        </is>
      </c>
      <c r="C2693" t="inlineStr">
        <is>
          <t>Shampoo</t>
        </is>
      </c>
      <c r="D2693" t="inlineStr">
        <is>
          <t>Kallos</t>
        </is>
      </c>
      <c r="E2693" t="n">
        <v>3.18</v>
      </c>
      <c r="F2693" t="n">
        <v>1</v>
      </c>
      <c r="G2693" t="n">
        <v>6</v>
      </c>
      <c r="H2693" s="5">
        <f>HYPERLINK("https://api.qogita.com/variants/link/5998889516154/", "View Product")</f>
        <v/>
      </c>
    </row>
    <row r="2694">
      <c r="A2694" t="inlineStr">
        <is>
          <t>5998889516840</t>
        </is>
      </c>
      <c r="B2694" t="inlineStr">
        <is>
          <t>KALLOS COSMETICS KJMN Vegan Soul Nourishing Shampoo 1L</t>
        </is>
      </c>
      <c r="C2694" t="inlineStr">
        <is>
          <t>Shampoo</t>
        </is>
      </c>
      <c r="D2694" t="inlineStr">
        <is>
          <t>Kallos</t>
        </is>
      </c>
      <c r="E2694" t="n">
        <v>3.1</v>
      </c>
      <c r="F2694" t="n">
        <v>1</v>
      </c>
      <c r="G2694" t="n">
        <v>5</v>
      </c>
      <c r="H2694" s="5">
        <f>HYPERLINK("https://api.qogita.com/variants/link/5998889516840/", "View Product")</f>
        <v/>
      </c>
    </row>
    <row r="2695">
      <c r="A2695" t="inlineStr">
        <is>
          <t>5998889518264</t>
        </is>
      </c>
      <c r="B2695" t="inlineStr">
        <is>
          <t>Kallos Plex Bond Builder - Hair Treatment &amp; Repair</t>
        </is>
      </c>
      <c r="C2695" t="inlineStr">
        <is>
          <t>Hair Masks</t>
        </is>
      </c>
      <c r="D2695" t="inlineStr">
        <is>
          <t>Kallos</t>
        </is>
      </c>
      <c r="E2695" t="n">
        <v>5.27</v>
      </c>
      <c r="F2695" t="n">
        <v>1</v>
      </c>
      <c r="G2695" t="n">
        <v>5</v>
      </c>
      <c r="H2695" s="5">
        <f>HYPERLINK("https://api.qogita.com/variants/link/5998889518264/", "View Product")</f>
        <v/>
      </c>
    </row>
    <row r="2696">
      <c r="A2696" t="inlineStr">
        <is>
          <t>5998889520106</t>
        </is>
      </c>
      <c r="B2696" t="inlineStr">
        <is>
          <t>Kallos Egg Shampoo For Dry And Normal Hair 1 Liter</t>
        </is>
      </c>
      <c r="C2696" t="inlineStr">
        <is>
          <t>Shampoo</t>
        </is>
      </c>
      <c r="D2696" t="inlineStr">
        <is>
          <t>Kallos</t>
        </is>
      </c>
      <c r="E2696" t="n">
        <v>2.82</v>
      </c>
      <c r="F2696" t="n">
        <v>1</v>
      </c>
      <c r="G2696" t="n">
        <v>8</v>
      </c>
      <c r="H2696" s="5">
        <f>HYPERLINK("https://api.qogita.com/variants/link/5998889520106/", "View Product")</f>
        <v/>
      </c>
    </row>
    <row r="2697">
      <c r="A2697" t="inlineStr">
        <is>
          <t>5999518572060</t>
        </is>
      </c>
      <c r="B2697" t="inlineStr">
        <is>
          <t>Protefix Strong Denture Fixing Cream with Aloe Vera 47g</t>
        </is>
      </c>
      <c r="C2697" t="inlineStr">
        <is>
          <t>Denture Accessories</t>
        </is>
      </c>
      <c r="D2697" t="inlineStr">
        <is>
          <t>Protefix</t>
        </is>
      </c>
      <c r="E2697" t="n">
        <v>3.88</v>
      </c>
      <c r="F2697" t="n">
        <v>1</v>
      </c>
      <c r="G2697" t="n">
        <v>36</v>
      </c>
      <c r="H2697" s="5">
        <f>HYPERLINK("https://api.qogita.com/variants/link/5999518572060/", "View Product")</f>
        <v/>
      </c>
    </row>
    <row r="2698">
      <c r="A2698" t="inlineStr">
        <is>
          <t>5999556680628</t>
        </is>
      </c>
      <c r="B2698" t="inlineStr">
        <is>
          <t>Omorovicza Cleansing Foam 150ml</t>
        </is>
      </c>
      <c r="C2698" t="inlineStr">
        <is>
          <t>Cleansing Foam</t>
        </is>
      </c>
      <c r="D2698" t="inlineStr">
        <is>
          <t>Omorovicza</t>
        </is>
      </c>
      <c r="E2698" t="n">
        <v>66.89</v>
      </c>
      <c r="F2698" t="n">
        <v>1</v>
      </c>
      <c r="G2698" t="n">
        <v>2</v>
      </c>
      <c r="H2698" s="5">
        <f>HYPERLINK("https://api.qogita.com/variants/link/5999556680628/", "View Product")</f>
        <v/>
      </c>
    </row>
    <row r="2699">
      <c r="A2699" t="inlineStr">
        <is>
          <t>5999556685524</t>
        </is>
      </c>
      <c r="B2699" t="inlineStr">
        <is>
          <t>Omorovicza Budapest Even Tone 30ml</t>
        </is>
      </c>
      <c r="C2699" t="inlineStr">
        <is>
          <t>Anti-Pigmentation Spot Cream</t>
        </is>
      </c>
      <c r="D2699" t="inlineStr">
        <is>
          <t>Omorovicza</t>
        </is>
      </c>
      <c r="E2699" t="n">
        <v>119.05</v>
      </c>
      <c r="F2699" t="n">
        <v>1</v>
      </c>
      <c r="G2699" t="n">
        <v>2</v>
      </c>
      <c r="H2699" s="5">
        <f>HYPERLINK("https://api.qogita.com/variants/link/5999556685524/", "View Product")</f>
        <v/>
      </c>
    </row>
    <row r="2700">
      <c r="A2700" t="inlineStr">
        <is>
          <t>6001159124542</t>
        </is>
      </c>
      <c r="B2700" t="inlineStr">
        <is>
          <t>Bi-Oil Care Oil (Natural) Volume 125 ml</t>
        </is>
      </c>
      <c r="C2700" t="inlineStr">
        <is>
          <t>Body Oil</t>
        </is>
      </c>
      <c r="D2700" t="inlineStr">
        <is>
          <t>Bi-Oil</t>
        </is>
      </c>
      <c r="E2700" t="n">
        <v>19.33</v>
      </c>
      <c r="F2700" t="n">
        <v>1</v>
      </c>
      <c r="G2700" t="n">
        <v>6</v>
      </c>
      <c r="H2700" s="5">
        <f>HYPERLINK("https://api.qogita.com/variants/link/6001159124542/", "View Product")</f>
        <v/>
      </c>
    </row>
    <row r="2701">
      <c r="A2701" t="inlineStr">
        <is>
          <t>6001159128908</t>
        </is>
      </c>
      <c r="B2701" t="inlineStr">
        <is>
          <t>Bioil Body Gel For Dry Skin With Purcellin Oil</t>
        </is>
      </c>
      <c r="C2701" t="inlineStr">
        <is>
          <t>Body Oil</t>
        </is>
      </c>
      <c r="D2701" t="inlineStr">
        <is>
          <t>Bi-oil</t>
        </is>
      </c>
      <c r="E2701" t="n">
        <v>7.3</v>
      </c>
      <c r="F2701" t="n">
        <v>1</v>
      </c>
      <c r="G2701" t="n">
        <v>4</v>
      </c>
      <c r="H2701" s="5">
        <f>HYPERLINK("https://api.qogita.com/variants/link/6001159128908/", "View Product")</f>
        <v/>
      </c>
    </row>
    <row r="2702">
      <c r="A2702" t="inlineStr">
        <is>
          <t>6001159128915</t>
        </is>
      </c>
      <c r="B2702" t="inlineStr">
        <is>
          <t>Bioil Body Gel For Dry Skin With Purcellin Oil</t>
        </is>
      </c>
      <c r="C2702" t="inlineStr">
        <is>
          <t>Body Oil</t>
        </is>
      </c>
      <c r="D2702" t="inlineStr">
        <is>
          <t>Bi-oil</t>
        </is>
      </c>
      <c r="E2702" t="n">
        <v>8.25</v>
      </c>
      <c r="F2702" t="n">
        <v>1</v>
      </c>
      <c r="G2702" t="n">
        <v>21</v>
      </c>
      <c r="H2702" s="5">
        <f>HYPERLINK("https://api.qogita.com/variants/link/6001159128915/", "View Product")</f>
        <v/>
      </c>
    </row>
    <row r="2703">
      <c r="A2703" t="inlineStr">
        <is>
          <t>6001159129493</t>
        </is>
      </c>
      <c r="B2703" t="inlineStr">
        <is>
          <t>Bioil Body Lotion For Intensive Hydration</t>
        </is>
      </c>
      <c r="C2703" t="inlineStr">
        <is>
          <t>Body Lotion</t>
        </is>
      </c>
      <c r="D2703" t="inlineStr">
        <is>
          <t>Bi-oil</t>
        </is>
      </c>
      <c r="E2703" t="n">
        <v>9.1</v>
      </c>
      <c r="F2703" t="n">
        <v>1</v>
      </c>
      <c r="G2703" t="n">
        <v>10</v>
      </c>
      <c r="H2703" s="5">
        <f>HYPERLINK("https://api.qogita.com/variants/link/6001159129493/", "View Product")</f>
        <v/>
      </c>
    </row>
    <row r="2704">
      <c r="A2704" t="inlineStr">
        <is>
          <t>6085010041803</t>
        </is>
      </c>
      <c r="B2704" t="inlineStr">
        <is>
          <t>Armaf Niche Parfums Pink Coral 3 Oz</t>
        </is>
      </c>
      <c r="C2704" t="inlineStr">
        <is>
          <t>Eau De Parfum</t>
        </is>
      </c>
      <c r="D2704" t="inlineStr">
        <is>
          <t>Armaf</t>
        </is>
      </c>
      <c r="E2704" t="n">
        <v>17.41</v>
      </c>
      <c r="F2704" t="n">
        <v>1</v>
      </c>
      <c r="G2704" t="n">
        <v>60</v>
      </c>
      <c r="H2704" s="5">
        <f>HYPERLINK("https://api.qogita.com/variants/link/6085010041803/", "View Product")</f>
        <v/>
      </c>
    </row>
    <row r="2705">
      <c r="A2705" t="inlineStr">
        <is>
          <t>6085010092065</t>
        </is>
      </c>
      <c r="B2705" t="inlineStr">
        <is>
          <t>Armaf The Warrior Eau De Toilette Spray 100ml</t>
        </is>
      </c>
      <c r="C2705" t="inlineStr">
        <is>
          <t>Eau De Toilette</t>
        </is>
      </c>
      <c r="D2705" t="inlineStr">
        <is>
          <t>Armaf</t>
        </is>
      </c>
      <c r="E2705" t="n">
        <v>11.65</v>
      </c>
      <c r="F2705" t="n">
        <v>1</v>
      </c>
      <c r="G2705" t="n">
        <v>16</v>
      </c>
      <c r="H2705" s="5">
        <f>HYPERLINK("https://api.qogita.com/variants/link/6085010092065/", "View Product")</f>
        <v/>
      </c>
    </row>
    <row r="2706">
      <c r="A2706" t="inlineStr">
        <is>
          <t>6085010092515</t>
        </is>
      </c>
      <c r="B2706" t="inlineStr">
        <is>
          <t>Armaf High Street Deospray</t>
        </is>
      </c>
      <c r="C2706" t="inlineStr">
        <is>
          <t>Deodorant &amp; Anti-Perspirant</t>
        </is>
      </c>
      <c r="D2706" t="inlineStr">
        <is>
          <t>Armaf</t>
        </is>
      </c>
      <c r="E2706" t="n">
        <v>4.28</v>
      </c>
      <c r="F2706" t="n">
        <v>1</v>
      </c>
      <c r="G2706" t="n">
        <v>5</v>
      </c>
      <c r="H2706" s="5">
        <f>HYPERLINK("https://api.qogita.com/variants/link/6085010092515/", "View Product")</f>
        <v/>
      </c>
    </row>
    <row r="2707">
      <c r="A2707" t="inlineStr">
        <is>
          <t>6085010094182</t>
        </is>
      </c>
      <c r="B2707" t="inlineStr">
        <is>
          <t>ARMAF Hunter For Men Eau De Toilette 100ml</t>
        </is>
      </c>
      <c r="C2707" t="inlineStr">
        <is>
          <t>Eau De Toilette</t>
        </is>
      </c>
      <c r="D2707" t="inlineStr">
        <is>
          <t>Armaf</t>
        </is>
      </c>
      <c r="E2707" t="n">
        <v>15.55</v>
      </c>
      <c r="F2707" t="n">
        <v>1</v>
      </c>
      <c r="G2707" t="n">
        <v>17</v>
      </c>
      <c r="H2707" s="5">
        <f>HYPERLINK("https://api.qogita.com/variants/link/6085010094182/", "View Product")</f>
        <v/>
      </c>
    </row>
    <row r="2708">
      <c r="A2708" t="inlineStr">
        <is>
          <t>6085010094977</t>
        </is>
      </c>
      <c r="B2708" t="inlineStr">
        <is>
          <t>Armaf Club De Nuit Intense Woman Eau De Parfum Spray 105ml</t>
        </is>
      </c>
      <c r="C2708" t="inlineStr">
        <is>
          <t>Eau De Parfum</t>
        </is>
      </c>
      <c r="D2708" t="inlineStr">
        <is>
          <t>Armaf</t>
        </is>
      </c>
      <c r="E2708" t="n">
        <v>20.86</v>
      </c>
      <c r="F2708" t="n">
        <v>1</v>
      </c>
      <c r="G2708" t="n">
        <v>457</v>
      </c>
      <c r="H2708" s="5">
        <f>HYPERLINK("https://api.qogita.com/variants/link/6085010094977/", "View Product")</f>
        <v/>
      </c>
    </row>
    <row r="2709">
      <c r="A2709" t="inlineStr">
        <is>
          <t>6192430009228</t>
        </is>
      </c>
      <c r="B2709" t="inlineStr">
        <is>
          <t>Syoss Keratin Shampoo For Weak And Easily Breakable Hair 500 Ml</t>
        </is>
      </c>
      <c r="C2709" t="inlineStr">
        <is>
          <t>Shampoo</t>
        </is>
      </c>
      <c r="D2709" t="inlineStr">
        <is>
          <t>Syoss</t>
        </is>
      </c>
      <c r="E2709" t="n">
        <v>3.3</v>
      </c>
      <c r="F2709" t="n">
        <v>1</v>
      </c>
      <c r="G2709" t="n">
        <v>43</v>
      </c>
      <c r="H2709" s="5">
        <f>HYPERLINK("https://api.qogita.com/variants/link/6192430009228/", "View Product")</f>
        <v/>
      </c>
    </row>
    <row r="2710">
      <c r="A2710" t="inlineStr">
        <is>
          <t>6192430012433</t>
        </is>
      </c>
      <c r="B2710" t="inlineStr">
        <is>
          <t>Syoss Ceramide Complex Shampoo For Fragile And Brittle Hair 500 Ml</t>
        </is>
      </c>
      <c r="C2710" t="inlineStr">
        <is>
          <t>Shampoo</t>
        </is>
      </c>
      <c r="D2710" t="inlineStr">
        <is>
          <t>Syoss</t>
        </is>
      </c>
      <c r="E2710" t="n">
        <v>3.3</v>
      </c>
      <c r="F2710" t="n">
        <v>1</v>
      </c>
      <c r="G2710" t="n">
        <v>41</v>
      </c>
      <c r="H2710" s="5">
        <f>HYPERLINK("https://api.qogita.com/variants/link/6192430012433/", "View Product")</f>
        <v/>
      </c>
    </row>
    <row r="2711">
      <c r="A2711" t="inlineStr">
        <is>
          <t>6192430017193</t>
        </is>
      </c>
      <c r="B2711" t="inlineStr">
        <is>
          <t>Syoss Men Power Shampoo 500 ml - Syoss</t>
        </is>
      </c>
      <c r="C2711" t="inlineStr">
        <is>
          <t>Shampoo</t>
        </is>
      </c>
      <c r="D2711" t="inlineStr">
        <is>
          <t>Syoss</t>
        </is>
      </c>
      <c r="E2711" t="n">
        <v>3.3</v>
      </c>
      <c r="F2711" t="n">
        <v>1</v>
      </c>
      <c r="G2711" t="n">
        <v>15</v>
      </c>
      <c r="H2711" s="5">
        <f>HYPERLINK("https://api.qogita.com/variants/link/6192430017193/", "View Product")</f>
        <v/>
      </c>
    </row>
    <row r="2712">
      <c r="A2712" t="inlineStr">
        <is>
          <t>6200221339253</t>
        </is>
      </c>
      <c r="B2712" t="inlineStr">
        <is>
          <t>Emir A Chaos In The Ocean Eau De Parfum Spray 100ml</t>
        </is>
      </c>
      <c r="C2712" t="inlineStr">
        <is>
          <t>Eau De Parfum</t>
        </is>
      </c>
      <c r="D2712" t="inlineStr">
        <is>
          <t>Emir</t>
        </is>
      </c>
      <c r="E2712" t="n">
        <v>12.51</v>
      </c>
      <c r="F2712" t="n">
        <v>1</v>
      </c>
      <c r="G2712" t="n">
        <v>64</v>
      </c>
      <c r="H2712" s="5">
        <f>HYPERLINK("https://api.qogita.com/variants/link/6200221339253/", "View Product")</f>
        <v/>
      </c>
    </row>
    <row r="2713">
      <c r="A2713" t="inlineStr">
        <is>
          <t>6237312896517</t>
        </is>
      </c>
      <c r="B2713" t="inlineStr">
        <is>
          <t>Pendora Scents Charuto Regal Reserve Eau De Parfum 100ml</t>
        </is>
      </c>
      <c r="C2713" t="inlineStr">
        <is>
          <t>Eau De Parfum</t>
        </is>
      </c>
      <c r="D2713" t="inlineStr">
        <is>
          <t>Pendora Scents</t>
        </is>
      </c>
      <c r="E2713" t="n">
        <v>11.85</v>
      </c>
      <c r="F2713" t="n">
        <v>1</v>
      </c>
      <c r="G2713" t="n">
        <v>56</v>
      </c>
      <c r="H2713" s="5">
        <f>HYPERLINK("https://api.qogita.com/variants/link/6237312896517/", "View Product")</f>
        <v/>
      </c>
    </row>
    <row r="2714">
      <c r="A2714" t="inlineStr">
        <is>
          <t>6238542876317</t>
        </is>
      </c>
      <c r="B2714" t="inlineStr">
        <is>
          <t>Paris Corner Bayn Al Asrar Eau De Parfum 80ml</t>
        </is>
      </c>
      <c r="C2714" t="inlineStr">
        <is>
          <t>Eau De Parfum</t>
        </is>
      </c>
      <c r="D2714" t="inlineStr">
        <is>
          <t>Paris Corner</t>
        </is>
      </c>
      <c r="E2714" t="n">
        <v>19.78</v>
      </c>
      <c r="F2714" t="n">
        <v>1</v>
      </c>
      <c r="G2714" t="n">
        <v>65</v>
      </c>
      <c r="H2714" s="5">
        <f>HYPERLINK("https://api.qogita.com/variants/link/6238542876317/", "View Product")</f>
        <v/>
      </c>
    </row>
    <row r="2715">
      <c r="A2715" t="inlineStr">
        <is>
          <t>6239318796310</t>
        </is>
      </c>
      <c r="B2715" t="inlineStr">
        <is>
          <t>Emir Serene Grove Lueur D'Espoir Eau De Parfum 100ml</t>
        </is>
      </c>
      <c r="C2715" t="inlineStr">
        <is>
          <t>Eau De Parfum</t>
        </is>
      </c>
      <c r="D2715" t="inlineStr">
        <is>
          <t>Emir</t>
        </is>
      </c>
      <c r="E2715" t="n">
        <v>15.02</v>
      </c>
      <c r="F2715" t="n">
        <v>1</v>
      </c>
      <c r="G2715" t="n">
        <v>67</v>
      </c>
      <c r="H2715" s="5">
        <f>HYPERLINK("https://api.qogita.com/variants/link/6239318796310/", "View Product")</f>
        <v/>
      </c>
    </row>
    <row r="2716">
      <c r="A2716" t="inlineStr">
        <is>
          <t>6239518796318</t>
        </is>
      </c>
      <c r="B2716" t="inlineStr">
        <is>
          <t>Emir Memories Of Summer Lueur D'Espoir Eau De Parfum 100ml</t>
        </is>
      </c>
      <c r="C2716" t="inlineStr">
        <is>
          <t>Eau De Parfum</t>
        </is>
      </c>
      <c r="D2716" t="inlineStr">
        <is>
          <t>Emir</t>
        </is>
      </c>
      <c r="E2716" t="n">
        <v>17.98</v>
      </c>
      <c r="F2716" t="n">
        <v>1</v>
      </c>
      <c r="G2716" t="n">
        <v>74</v>
      </c>
      <c r="H2716" s="5">
        <f>HYPERLINK("https://api.qogita.com/variants/link/6239518796318/", "View Product")</f>
        <v/>
      </c>
    </row>
    <row r="2717">
      <c r="A2717" t="inlineStr">
        <is>
          <t>6246717622157</t>
        </is>
      </c>
      <c r="B2717" t="inlineStr">
        <is>
          <t>Emir La Charme Eau De Parfum 100ml</t>
        </is>
      </c>
      <c r="C2717" t="inlineStr">
        <is>
          <t>Eau De Parfum</t>
        </is>
      </c>
      <c r="D2717" t="inlineStr">
        <is>
          <t>Emir</t>
        </is>
      </c>
      <c r="E2717" t="n">
        <v>16.58</v>
      </c>
      <c r="F2717" t="n">
        <v>1</v>
      </c>
      <c r="G2717" t="n">
        <v>20</v>
      </c>
      <c r="H2717" s="5">
        <f>HYPERLINK("https://api.qogita.com/variants/link/6246717622157/", "View Product")</f>
        <v/>
      </c>
    </row>
    <row r="2718">
      <c r="A2718" t="inlineStr">
        <is>
          <t>6246717622218</t>
        </is>
      </c>
      <c r="B2718" t="inlineStr">
        <is>
          <t>Emir Lueur Despoir Noche Eau De Parfum 100ml</t>
        </is>
      </c>
      <c r="C2718" t="inlineStr">
        <is>
          <t>Eau De Parfum</t>
        </is>
      </c>
      <c r="D2718" t="inlineStr">
        <is>
          <t>Emir</t>
        </is>
      </c>
      <c r="E2718" t="n">
        <v>19.1</v>
      </c>
      <c r="F2718" t="n">
        <v>1</v>
      </c>
      <c r="G2718" t="n">
        <v>5</v>
      </c>
      <c r="H2718" s="5">
        <f>HYPERLINK("https://api.qogita.com/variants/link/6246717622218/", "View Product")</f>
        <v/>
      </c>
    </row>
    <row r="2719">
      <c r="A2719" t="inlineStr">
        <is>
          <t>6246717622270</t>
        </is>
      </c>
      <c r="B2719" t="inlineStr">
        <is>
          <t>Paris Corner Daar Al Oud Eau De Parfum 100ml</t>
        </is>
      </c>
      <c r="C2719" t="inlineStr">
        <is>
          <t>Eau De Parfum</t>
        </is>
      </c>
      <c r="D2719" t="inlineStr">
        <is>
          <t>Paris Corner</t>
        </is>
      </c>
      <c r="E2719" t="n">
        <v>12.02</v>
      </c>
      <c r="F2719" t="n">
        <v>1</v>
      </c>
      <c r="G2719" t="n">
        <v>5</v>
      </c>
      <c r="H2719" s="5">
        <f>HYPERLINK("https://api.qogita.com/variants/link/6246717622270/", "View Product")</f>
        <v/>
      </c>
    </row>
    <row r="2720">
      <c r="A2720" t="inlineStr">
        <is>
          <t>6246717622294</t>
        </is>
      </c>
      <c r="B2720" t="inlineStr">
        <is>
          <t>Paris Corner Kaheela Lux Eau De Parfum 85ml</t>
        </is>
      </c>
      <c r="C2720" t="inlineStr">
        <is>
          <t>Eau De Parfum</t>
        </is>
      </c>
      <c r="D2720" t="inlineStr">
        <is>
          <t>Paris Corner</t>
        </is>
      </c>
      <c r="E2720" t="n">
        <v>22.38</v>
      </c>
      <c r="F2720" t="n">
        <v>1</v>
      </c>
      <c r="G2720" t="n">
        <v>59</v>
      </c>
      <c r="H2720" s="5">
        <f>HYPERLINK("https://api.qogita.com/variants/link/6246717622294/", "View Product")</f>
        <v/>
      </c>
    </row>
    <row r="2721">
      <c r="A2721" t="inlineStr">
        <is>
          <t>6246717622300</t>
        </is>
      </c>
      <c r="B2721" t="inlineStr">
        <is>
          <t>Nouf By Paris Corner Oriental Fragrance Arabic Perfumed Water Unisex 100ml Spray</t>
        </is>
      </c>
      <c r="C2721" t="inlineStr">
        <is>
          <t>Eau De Parfum</t>
        </is>
      </c>
      <c r="D2721" t="inlineStr">
        <is>
          <t>Paris Corner</t>
        </is>
      </c>
      <c r="E2721" t="n">
        <v>15.06</v>
      </c>
      <c r="F2721" t="n">
        <v>1</v>
      </c>
      <c r="G2721" t="n">
        <v>4</v>
      </c>
      <c r="H2721" s="5">
        <f>HYPERLINK("https://api.qogita.com/variants/link/6246717622300/", "View Product")</f>
        <v/>
      </c>
    </row>
    <row r="2722">
      <c r="A2722" t="inlineStr">
        <is>
          <t>6289885998723</t>
        </is>
      </c>
      <c r="B2722" t="inlineStr">
        <is>
          <t>Paris Corner Zodiac Lunaris Eau De Parfum 100ml</t>
        </is>
      </c>
      <c r="C2722" t="inlineStr">
        <is>
          <t>Eau De Parfum</t>
        </is>
      </c>
      <c r="D2722" t="inlineStr">
        <is>
          <t>Paris Corner</t>
        </is>
      </c>
      <c r="E2722" t="n">
        <v>14.7</v>
      </c>
      <c r="F2722" t="n">
        <v>1</v>
      </c>
      <c r="G2722" t="n">
        <v>26</v>
      </c>
      <c r="H2722" s="5">
        <f>HYPERLINK("https://api.qogita.com/variants/link/6289885998723/", "View Product")</f>
        <v/>
      </c>
    </row>
    <row r="2723">
      <c r="A2723" t="inlineStr">
        <is>
          <t>6290025488349</t>
        </is>
      </c>
      <c r="B2723" t="inlineStr">
        <is>
          <t>North Stag Expressions Ii Deux Extrait De Parfum Spray 100ml</t>
        </is>
      </c>
      <c r="C2723" t="inlineStr">
        <is>
          <t>Extrait De Parfum</t>
        </is>
      </c>
      <c r="D2723" t="inlineStr">
        <is>
          <t>Northeast Stag</t>
        </is>
      </c>
      <c r="E2723" t="n">
        <v>21.12</v>
      </c>
      <c r="F2723" t="n">
        <v>1</v>
      </c>
      <c r="G2723" t="n">
        <v>17</v>
      </c>
      <c r="H2723" s="5">
        <f>HYPERLINK("https://api.qogita.com/variants/link/6290025488349/", "View Product")</f>
        <v/>
      </c>
    </row>
    <row r="2724">
      <c r="A2724" t="inlineStr">
        <is>
          <t>6290171000235</t>
        </is>
      </c>
      <c r="B2724" t="inlineStr">
        <is>
          <t>AFNAN Mukhallat Abiyad Oud Perfume Eau De Parfum Spray 100ml Stylish Bottle for Men and Women</t>
        </is>
      </c>
      <c r="C2724" t="inlineStr">
        <is>
          <t>Eau De Parfum</t>
        </is>
      </c>
      <c r="D2724" t="inlineStr">
        <is>
          <t>Afnan</t>
        </is>
      </c>
      <c r="E2724" t="n">
        <v>9.34</v>
      </c>
      <c r="F2724" t="n">
        <v>1</v>
      </c>
      <c r="G2724" t="n">
        <v>55</v>
      </c>
      <c r="H2724" s="5">
        <f>HYPERLINK("https://api.qogita.com/variants/link/6290171000235/", "View Product")</f>
        <v/>
      </c>
    </row>
    <row r="2725">
      <c r="A2725" t="inlineStr">
        <is>
          <t>6290171000341</t>
        </is>
      </c>
      <c r="B2725" t="inlineStr">
        <is>
          <t>Dehn al Oudh Abiyad by Afnan Perfumes Unisex Eau De Parfum 100ml</t>
        </is>
      </c>
      <c r="C2725" t="inlineStr">
        <is>
          <t>Eau De Parfum</t>
        </is>
      </c>
      <c r="D2725" t="inlineStr">
        <is>
          <t>Afnan</t>
        </is>
      </c>
      <c r="E2725" t="n">
        <v>8.380000000000001</v>
      </c>
      <c r="F2725" t="n">
        <v>1</v>
      </c>
      <c r="G2725" t="n">
        <v>29</v>
      </c>
      <c r="H2725" s="5">
        <f>HYPERLINK("https://api.qogita.com/variants/link/6290171000341/", "View Product")</f>
        <v/>
      </c>
    </row>
    <row r="2726">
      <c r="A2726" t="inlineStr">
        <is>
          <t>6290171000983</t>
        </is>
      </c>
      <c r="B2726" t="inlineStr">
        <is>
          <t>Afnan Supremacy Gold Eau De Parfum for Women 3.4 Fl. Oz</t>
        </is>
      </c>
      <c r="C2726" t="inlineStr">
        <is>
          <t>Eau De Parfum</t>
        </is>
      </c>
      <c r="D2726" t="inlineStr">
        <is>
          <t>Afnan</t>
        </is>
      </c>
      <c r="E2726" t="n">
        <v>20.35</v>
      </c>
      <c r="F2726" t="n">
        <v>1</v>
      </c>
      <c r="G2726" t="n">
        <v>5</v>
      </c>
      <c r="H2726" s="5">
        <f>HYPERLINK("https://api.qogita.com/variants/link/6290171000983/", "View Product")</f>
        <v/>
      </c>
    </row>
    <row r="2727">
      <c r="A2727" t="inlineStr">
        <is>
          <t>6290171001935</t>
        </is>
      </c>
      <c r="B2727" t="inlineStr">
        <is>
          <t>Afnan Modest Deux Eau De Parfum 100ml</t>
        </is>
      </c>
      <c r="C2727" t="inlineStr">
        <is>
          <t>Eau De Parfum</t>
        </is>
      </c>
      <c r="D2727" t="inlineStr">
        <is>
          <t>Afnan</t>
        </is>
      </c>
      <c r="E2727" t="n">
        <v>17.77</v>
      </c>
      <c r="F2727" t="n">
        <v>1</v>
      </c>
      <c r="G2727" t="n">
        <v>63</v>
      </c>
      <c r="H2727" s="5">
        <f>HYPERLINK("https://api.qogita.com/variants/link/6290171001935/", "View Product")</f>
        <v/>
      </c>
    </row>
    <row r="2728">
      <c r="A2728" t="inlineStr">
        <is>
          <t>6290171002130</t>
        </is>
      </c>
      <c r="B2728" t="inlineStr">
        <is>
          <t>Afnan Pure Musk Eau De Parfum 100ml Unisex</t>
        </is>
      </c>
      <c r="C2728" t="inlineStr">
        <is>
          <t>Eau De Parfum</t>
        </is>
      </c>
      <c r="D2728" t="inlineStr">
        <is>
          <t>Afnan</t>
        </is>
      </c>
      <c r="E2728" t="n">
        <v>14.54</v>
      </c>
      <c r="F2728" t="n">
        <v>1</v>
      </c>
      <c r="G2728" t="n">
        <v>40</v>
      </c>
      <c r="H2728" s="5">
        <f>HYPERLINK("https://api.qogita.com/variants/link/6290171002130/", "View Product")</f>
        <v/>
      </c>
    </row>
    <row r="2729">
      <c r="A2729" t="inlineStr">
        <is>
          <t>6290171002161</t>
        </is>
      </c>
      <c r="B2729" t="inlineStr">
        <is>
          <t>Afnan Ornament Pour Femme Eau De Parfum Spray 100ml</t>
        </is>
      </c>
      <c r="C2729" t="inlineStr">
        <is>
          <t>Eau De Parfum</t>
        </is>
      </c>
      <c r="D2729" t="inlineStr">
        <is>
          <t>Afnan</t>
        </is>
      </c>
      <c r="E2729" t="n">
        <v>19.24</v>
      </c>
      <c r="F2729" t="n">
        <v>1</v>
      </c>
      <c r="G2729" t="n">
        <v>8</v>
      </c>
      <c r="H2729" s="5">
        <f>HYPERLINK("https://api.qogita.com/variants/link/6290171002161/", "View Product")</f>
        <v/>
      </c>
    </row>
    <row r="2730">
      <c r="A2730" t="inlineStr">
        <is>
          <t>6290171002178</t>
        </is>
      </c>
      <c r="B2730" t="inlineStr">
        <is>
          <t>Afnan Mirsaal With Love Eau De Parfum Spray 90ml</t>
        </is>
      </c>
      <c r="C2730" t="inlineStr">
        <is>
          <t>Eau De Parfum</t>
        </is>
      </c>
      <c r="D2730" t="inlineStr">
        <is>
          <t>Afnan</t>
        </is>
      </c>
      <c r="E2730" t="n">
        <v>26.52</v>
      </c>
      <c r="F2730" t="n">
        <v>1</v>
      </c>
      <c r="G2730" t="n">
        <v>30</v>
      </c>
      <c r="H2730" s="5">
        <f>HYPERLINK("https://api.qogita.com/variants/link/6290171002178/", "View Product")</f>
        <v/>
      </c>
    </row>
    <row r="2731">
      <c r="A2731" t="inlineStr">
        <is>
          <t>6290171002222</t>
        </is>
      </c>
      <c r="B2731" t="inlineStr">
        <is>
          <t>Afnan His Highness EDP Spray 3.4 fl. oz. - Unisex</t>
        </is>
      </c>
      <c r="C2731" t="inlineStr">
        <is>
          <t>Eau De Parfum</t>
        </is>
      </c>
      <c r="D2731" t="inlineStr">
        <is>
          <t>Afnan</t>
        </is>
      </c>
      <c r="E2731" t="n">
        <v>55.27</v>
      </c>
      <c r="F2731" t="n">
        <v>1</v>
      </c>
      <c r="G2731" t="n">
        <v>15</v>
      </c>
      <c r="H2731" s="5">
        <f>HYPERLINK("https://api.qogita.com/variants/link/6290171002222/", "View Product")</f>
        <v/>
      </c>
    </row>
    <row r="2732">
      <c r="A2732" t="inlineStr">
        <is>
          <t>6290171002284</t>
        </is>
      </c>
      <c r="B2732" t="inlineStr">
        <is>
          <t>Afnan Rare Tiffany Eau De Parfum Spray by Afnan 100Ml</t>
        </is>
      </c>
      <c r="C2732" t="inlineStr">
        <is>
          <t>Eau De Parfum</t>
        </is>
      </c>
      <c r="D2732" t="inlineStr">
        <is>
          <t>Afnan</t>
        </is>
      </c>
      <c r="E2732" t="n">
        <v>19.83</v>
      </c>
      <c r="F2732" t="n">
        <v>1</v>
      </c>
      <c r="G2732" t="n">
        <v>46</v>
      </c>
      <c r="H2732" s="5">
        <f>HYPERLINK("https://api.qogita.com/variants/link/6290171002284/", "View Product")</f>
        <v/>
      </c>
    </row>
    <row r="2733">
      <c r="A2733" t="inlineStr">
        <is>
          <t>6290171010463</t>
        </is>
      </c>
      <c r="B2733" t="inlineStr">
        <is>
          <t>Rue Broca Penthouse Versailles Eau De Parfum Spray 80ml</t>
        </is>
      </c>
      <c r="C2733" t="inlineStr">
        <is>
          <t>Eau De Parfum</t>
        </is>
      </c>
      <c r="D2733" t="inlineStr">
        <is>
          <t>Rue Broca</t>
        </is>
      </c>
      <c r="E2733" t="n">
        <v>15.47</v>
      </c>
      <c r="F2733" t="n">
        <v>1</v>
      </c>
      <c r="G2733" t="n">
        <v>94</v>
      </c>
      <c r="H2733" s="5">
        <f>HYPERLINK("https://api.qogita.com/variants/link/6290171010463/", "View Product")</f>
        <v/>
      </c>
    </row>
    <row r="2734">
      <c r="A2734" t="inlineStr">
        <is>
          <t>6290171010487</t>
        </is>
      </c>
      <c r="B2734" t="inlineStr">
        <is>
          <t>Rue Broca Penthouse Ginza Eau De Parfum Spray 80ml</t>
        </is>
      </c>
      <c r="C2734" t="inlineStr">
        <is>
          <t>Eau De Parfum</t>
        </is>
      </c>
      <c r="D2734" t="inlineStr">
        <is>
          <t>Rue Broca</t>
        </is>
      </c>
      <c r="E2734" t="n">
        <v>14.14</v>
      </c>
      <c r="F2734" t="n">
        <v>1</v>
      </c>
      <c r="G2734" t="n">
        <v>11</v>
      </c>
      <c r="H2734" s="5">
        <f>HYPERLINK("https://api.qogita.com/variants/link/6290171010487/", "View Product")</f>
        <v/>
      </c>
    </row>
    <row r="2735">
      <c r="A2735" t="inlineStr">
        <is>
          <t>6290171070177</t>
        </is>
      </c>
      <c r="B2735" t="inlineStr">
        <is>
          <t>Afnan Highness X Brown Eau De Parfum Spray 3.4 Ounce</t>
        </is>
      </c>
      <c r="C2735" t="inlineStr">
        <is>
          <t>Eau De Parfum</t>
        </is>
      </c>
      <c r="D2735" t="inlineStr">
        <is>
          <t>Afnan</t>
        </is>
      </c>
      <c r="E2735" t="n">
        <v>53.74</v>
      </c>
      <c r="F2735" t="n">
        <v>1</v>
      </c>
      <c r="G2735" t="n">
        <v>6</v>
      </c>
      <c r="H2735" s="5">
        <f>HYPERLINK("https://api.qogita.com/variants/link/6290171070177/", "View Product")</f>
        <v/>
      </c>
    </row>
    <row r="2736">
      <c r="A2736" t="inlineStr">
        <is>
          <t>6290171070207</t>
        </is>
      </c>
      <c r="B2736" t="inlineStr">
        <is>
          <t>Afnan Supremacy In Oud Extrait De Parfum 100ml Unisex Spray</t>
        </is>
      </c>
      <c r="C2736" t="inlineStr">
        <is>
          <t>Extrait De Parfum</t>
        </is>
      </c>
      <c r="D2736" t="inlineStr">
        <is>
          <t>Afnan</t>
        </is>
      </c>
      <c r="E2736" t="n">
        <v>30.93</v>
      </c>
      <c r="F2736" t="n">
        <v>1</v>
      </c>
      <c r="G2736" t="n">
        <v>10</v>
      </c>
      <c r="H2736" s="5">
        <f>HYPERLINK("https://api.qogita.com/variants/link/6290171070207/", "View Product")</f>
        <v/>
      </c>
    </row>
    <row r="2737">
      <c r="A2737" t="inlineStr">
        <is>
          <t>6290171070276</t>
        </is>
      </c>
      <c r="B2737" t="inlineStr">
        <is>
          <t>Zimaya Musk Is Great Extrait De Parfum 100ml Unisex Fragrance</t>
        </is>
      </c>
      <c r="C2737" t="inlineStr">
        <is>
          <t>Extrait De Parfum</t>
        </is>
      </c>
      <c r="D2737" t="inlineStr">
        <is>
          <t>Zimaya</t>
        </is>
      </c>
      <c r="E2737" t="n">
        <v>10.87</v>
      </c>
      <c r="F2737" t="n">
        <v>1</v>
      </c>
      <c r="G2737" t="n">
        <v>35</v>
      </c>
      <c r="H2737" s="5">
        <f>HYPERLINK("https://api.qogita.com/variants/link/6290171070276/", "View Product")</f>
        <v/>
      </c>
    </row>
    <row r="2738">
      <c r="A2738" t="inlineStr">
        <is>
          <t>6290171070320</t>
        </is>
      </c>
      <c r="B2738" t="inlineStr">
        <is>
          <t>Rue Broca Theoreme Eau De Parfum for Women 3.0 Fl. Oz - Luxurious Floral</t>
        </is>
      </c>
      <c r="C2738" t="inlineStr">
        <is>
          <t>Eau De Parfum</t>
        </is>
      </c>
      <c r="D2738" t="inlineStr">
        <is>
          <t>Rue Broca</t>
        </is>
      </c>
      <c r="E2738" t="n">
        <v>13.21</v>
      </c>
      <c r="F2738" t="n">
        <v>1</v>
      </c>
      <c r="G2738" t="n">
        <v>63</v>
      </c>
      <c r="H2738" s="5">
        <f>HYPERLINK("https://api.qogita.com/variants/link/6290171070320/", "View Product")</f>
        <v/>
      </c>
    </row>
    <row r="2739">
      <c r="A2739" t="inlineStr">
        <is>
          <t>6290171071136</t>
        </is>
      </c>
      <c r="B2739" t="inlineStr">
        <is>
          <t>Afnan Historic Doria Eau De Parfum 100ml Unisex Spray</t>
        </is>
      </c>
      <c r="C2739" t="inlineStr">
        <is>
          <t>Eau De Parfum</t>
        </is>
      </c>
      <c r="D2739" t="inlineStr">
        <is>
          <t>Afnan</t>
        </is>
      </c>
      <c r="E2739" t="n">
        <v>24.41</v>
      </c>
      <c r="F2739" t="n">
        <v>1</v>
      </c>
      <c r="G2739" t="n">
        <v>2</v>
      </c>
      <c r="H2739" s="5">
        <f>HYPERLINK("https://api.qogita.com/variants/link/6290171071136/", "View Product")</f>
        <v/>
      </c>
    </row>
    <row r="2740">
      <c r="A2740" t="inlineStr">
        <is>
          <t>6290171071983</t>
        </is>
      </c>
      <c r="B2740" t="inlineStr">
        <is>
          <t>Zimaya Yaa Umree Eau De Parfum Spray 100ml</t>
        </is>
      </c>
      <c r="C2740" t="inlineStr">
        <is>
          <t>Eau De Parfum</t>
        </is>
      </c>
      <c r="D2740" t="inlineStr">
        <is>
          <t>Zimaya</t>
        </is>
      </c>
      <c r="E2740" t="n">
        <v>9.68</v>
      </c>
      <c r="F2740" t="n">
        <v>1</v>
      </c>
      <c r="G2740" t="n">
        <v>14</v>
      </c>
      <c r="H2740" s="5">
        <f>HYPERLINK("https://api.qogita.com/variants/link/6290171071983/", "View Product")</f>
        <v/>
      </c>
    </row>
    <row r="2741">
      <c r="A2741" t="inlineStr">
        <is>
          <t>6290171072171</t>
        </is>
      </c>
      <c r="B2741" t="inlineStr">
        <is>
          <t>Zimaya Magma Love Eau De Parfum 100ml</t>
        </is>
      </c>
      <c r="C2741" t="inlineStr">
        <is>
          <t>Eau De Parfum</t>
        </is>
      </c>
      <c r="D2741" t="inlineStr">
        <is>
          <t>Procter &amp; Gamble</t>
        </is>
      </c>
      <c r="E2741" t="n">
        <v>14.63</v>
      </c>
      <c r="F2741" t="n">
        <v>1</v>
      </c>
      <c r="G2741" t="n">
        <v>3</v>
      </c>
      <c r="H2741" s="5">
        <f>HYPERLINK("https://api.qogita.com/variants/link/6290171072171/", "View Product")</f>
        <v/>
      </c>
    </row>
    <row r="2742">
      <c r="A2742" t="inlineStr">
        <is>
          <t>6290171072607</t>
        </is>
      </c>
      <c r="B2742" t="inlineStr">
        <is>
          <t>Afnan 9 Pm Pour Femme Eau De Parfum Spray 100ml</t>
        </is>
      </c>
      <c r="C2742" t="inlineStr">
        <is>
          <t>Eau De Parfum</t>
        </is>
      </c>
      <c r="D2742" t="inlineStr">
        <is>
          <t>Afnan</t>
        </is>
      </c>
      <c r="E2742" t="n">
        <v>21.11</v>
      </c>
      <c r="F2742" t="n">
        <v>1</v>
      </c>
      <c r="G2742" t="n">
        <v>406</v>
      </c>
      <c r="H2742" s="5">
        <f>HYPERLINK("https://api.qogita.com/variants/link/6290171072607/", "View Product")</f>
        <v/>
      </c>
    </row>
    <row r="2743">
      <c r="A2743" t="inlineStr">
        <is>
          <t>6290171072614</t>
        </is>
      </c>
      <c r="B2743" t="inlineStr">
        <is>
          <t>Afnan Rare Passion Eau de Parfum Spray for Women 3.4oz 100ml</t>
        </is>
      </c>
      <c r="C2743" t="inlineStr">
        <is>
          <t>Eau De Parfum</t>
        </is>
      </c>
      <c r="D2743" t="inlineStr">
        <is>
          <t>Afnan</t>
        </is>
      </c>
      <c r="E2743" t="n">
        <v>21.18</v>
      </c>
      <c r="F2743" t="n">
        <v>1</v>
      </c>
      <c r="G2743" t="n">
        <v>28</v>
      </c>
      <c r="H2743" s="5">
        <f>HYPERLINK("https://api.qogita.com/variants/link/6290171072614/", "View Product")</f>
        <v/>
      </c>
    </row>
    <row r="2744">
      <c r="A2744" t="inlineStr">
        <is>
          <t>6290171072775</t>
        </is>
      </c>
      <c r="B2744" t="inlineStr">
        <is>
          <t>Afnan Supremacy Not Only Intense Eau De Parfum 150ml</t>
        </is>
      </c>
      <c r="C2744" t="inlineStr">
        <is>
          <t>Eau De Parfum</t>
        </is>
      </c>
      <c r="D2744" t="inlineStr">
        <is>
          <t>Afnan</t>
        </is>
      </c>
      <c r="E2744" t="n">
        <v>35.9</v>
      </c>
      <c r="F2744" t="n">
        <v>1</v>
      </c>
      <c r="G2744" t="n">
        <v>1008</v>
      </c>
      <c r="H2744" s="5">
        <f>HYPERLINK("https://api.qogita.com/variants/link/6290171072775/", "View Product")</f>
        <v/>
      </c>
    </row>
    <row r="2745">
      <c r="A2745" t="inlineStr">
        <is>
          <t>6290171072850</t>
        </is>
      </c>
      <c r="B2745" t="inlineStr">
        <is>
          <t>Zimaya Roses Are White Edp</t>
        </is>
      </c>
      <c r="C2745" t="inlineStr">
        <is>
          <t>Eau De Parfum</t>
        </is>
      </c>
      <c r="D2745" t="inlineStr">
        <is>
          <t>Zimaya</t>
        </is>
      </c>
      <c r="E2745" t="n">
        <v>12.57</v>
      </c>
      <c r="F2745" t="n">
        <v>1</v>
      </c>
      <c r="G2745" t="n">
        <v>13</v>
      </c>
      <c r="H2745" s="5">
        <f>HYPERLINK("https://api.qogita.com/variants/link/6290171072850/", "View Product")</f>
        <v/>
      </c>
    </row>
    <row r="2746">
      <c r="A2746" t="inlineStr">
        <is>
          <t>6290171073178</t>
        </is>
      </c>
      <c r="B2746" t="inlineStr">
        <is>
          <t>Afnan Supermacy Silver Eau De Parfum Spray 100ml Set With Shower Gel And Balm</t>
        </is>
      </c>
      <c r="C2746" t="inlineStr">
        <is>
          <t>Fragrance Sets</t>
        </is>
      </c>
      <c r="D2746" t="inlineStr">
        <is>
          <t>Afnan</t>
        </is>
      </c>
      <c r="E2746" t="n">
        <v>28.84</v>
      </c>
      <c r="F2746" t="n">
        <v>1</v>
      </c>
      <c r="G2746" t="n">
        <v>32</v>
      </c>
      <c r="H2746" s="5">
        <f>HYPERLINK("https://api.qogita.com/variants/link/6290171073178/", "View Product")</f>
        <v/>
      </c>
    </row>
    <row r="2747">
      <c r="A2747" t="inlineStr">
        <is>
          <t>6290171073482</t>
        </is>
      </c>
      <c r="B2747" t="inlineStr">
        <is>
          <t>Zimaya Bouquet Red Eau De Parfum Spray 100ml</t>
        </is>
      </c>
      <c r="C2747" t="inlineStr">
        <is>
          <t>Eau De Parfum</t>
        </is>
      </c>
      <c r="D2747" t="inlineStr">
        <is>
          <t>Zimaya</t>
        </is>
      </c>
      <c r="E2747" t="n">
        <v>12.18</v>
      </c>
      <c r="F2747" t="n">
        <v>1</v>
      </c>
      <c r="G2747" t="n">
        <v>25</v>
      </c>
      <c r="H2747" s="5">
        <f>HYPERLINK("https://api.qogita.com/variants/link/6290171073482/", "View Product")</f>
        <v/>
      </c>
    </row>
    <row r="2748">
      <c r="A2748" t="inlineStr">
        <is>
          <t>6290171073666</t>
        </is>
      </c>
      <c r="B2748" t="inlineStr">
        <is>
          <t>Riiffs Women's Perfume Prive Oros EDP 100ml Fragrance for Women</t>
        </is>
      </c>
      <c r="C2748" t="inlineStr">
        <is>
          <t>Eau De Parfum</t>
        </is>
      </c>
      <c r="D2748" t="inlineStr">
        <is>
          <t>Riiffs</t>
        </is>
      </c>
      <c r="E2748" t="n">
        <v>15.03</v>
      </c>
      <c r="F2748" t="n">
        <v>1</v>
      </c>
      <c r="G2748" t="n">
        <v>2</v>
      </c>
      <c r="H2748" s="5">
        <f>HYPERLINK("https://api.qogita.com/variants/link/6290171073666/", "View Product")</f>
        <v/>
      </c>
    </row>
    <row r="2749">
      <c r="A2749" t="inlineStr">
        <is>
          <t>6290171073840</t>
        </is>
      </c>
      <c r="B2749" t="inlineStr">
        <is>
          <t>Afnan Mystique Bouquet Eau de Parfum 80ml</t>
        </is>
      </c>
      <c r="C2749" t="inlineStr">
        <is>
          <t>Eau De Parfum</t>
        </is>
      </c>
      <c r="D2749" t="inlineStr">
        <is>
          <t>Afnan</t>
        </is>
      </c>
      <c r="E2749" t="n">
        <v>29.12</v>
      </c>
      <c r="F2749" t="n">
        <v>1</v>
      </c>
      <c r="G2749" t="n">
        <v>45</v>
      </c>
      <c r="H2749" s="5">
        <f>HYPERLINK("https://api.qogita.com/variants/link/6290171073840/", "View Product")</f>
        <v/>
      </c>
    </row>
    <row r="2750">
      <c r="A2750" t="inlineStr">
        <is>
          <t>6290171073857</t>
        </is>
      </c>
      <c r="B2750" t="inlineStr">
        <is>
          <t>Afnan Oud Rising Eau De Parfum 80ml</t>
        </is>
      </c>
      <c r="C2750" t="inlineStr">
        <is>
          <t>Eau De Parfum</t>
        </is>
      </c>
      <c r="D2750" t="inlineStr">
        <is>
          <t>Afnan</t>
        </is>
      </c>
      <c r="E2750" t="n">
        <v>29.07</v>
      </c>
      <c r="F2750" t="n">
        <v>1</v>
      </c>
      <c r="G2750" t="n">
        <v>27</v>
      </c>
      <c r="H2750" s="5">
        <f>HYPERLINK("https://api.qogita.com/variants/link/6290171073857/", "View Product")</f>
        <v/>
      </c>
    </row>
    <row r="2751">
      <c r="A2751" t="inlineStr">
        <is>
          <t>6290171074151</t>
        </is>
      </c>
      <c r="B2751" t="inlineStr">
        <is>
          <t>Zimaya Khafaya Blue Eau De Parfum 100ml</t>
        </is>
      </c>
      <c r="C2751" t="inlineStr">
        <is>
          <t>Eau De Parfum</t>
        </is>
      </c>
      <c r="D2751" t="inlineStr">
        <is>
          <t>Zimaya</t>
        </is>
      </c>
      <c r="E2751" t="n">
        <v>12.56</v>
      </c>
      <c r="F2751" t="n">
        <v>1</v>
      </c>
      <c r="G2751" t="n">
        <v>5</v>
      </c>
      <c r="H2751" s="5">
        <f>HYPERLINK("https://api.qogita.com/variants/link/6290171074151/", "View Product")</f>
        <v/>
      </c>
    </row>
    <row r="2752">
      <c r="A2752" t="inlineStr">
        <is>
          <t>6290171074373</t>
        </is>
      </c>
      <c r="B2752" t="inlineStr">
        <is>
          <t>Afnan 9 am Pour Femme EDP 100ml SG 100ml Bodyspray 150ml BL 100ml - Pack of 4</t>
        </is>
      </c>
      <c r="C2752" t="inlineStr">
        <is>
          <t>Fragrance Sets</t>
        </is>
      </c>
      <c r="D2752" t="inlineStr">
        <is>
          <t>Afnan</t>
        </is>
      </c>
      <c r="E2752" t="n">
        <v>30.19</v>
      </c>
      <c r="F2752" t="n">
        <v>1</v>
      </c>
      <c r="G2752" t="n">
        <v>16</v>
      </c>
      <c r="H2752" s="5">
        <f>HYPERLINK("https://api.qogita.com/variants/link/6290171074373/", "View Product")</f>
        <v/>
      </c>
    </row>
    <row r="2753">
      <c r="A2753" t="inlineStr">
        <is>
          <t>6290171074656</t>
        </is>
      </c>
      <c r="B2753" t="inlineStr">
        <is>
          <t>Rue Broca L'Alliance Spirit Eau De Parfum Spray</t>
        </is>
      </c>
      <c r="C2753" t="inlineStr">
        <is>
          <t>Eau De Parfum</t>
        </is>
      </c>
      <c r="D2753" t="inlineStr">
        <is>
          <t>Rue Broca</t>
        </is>
      </c>
      <c r="E2753" t="n">
        <v>12.51</v>
      </c>
      <c r="F2753" t="n">
        <v>1</v>
      </c>
      <c r="G2753" t="n">
        <v>38</v>
      </c>
      <c r="H2753" s="5">
        <f>HYPERLINK("https://api.qogita.com/variants/link/6290171074656/", "View Product")</f>
        <v/>
      </c>
    </row>
    <row r="2754">
      <c r="A2754" t="inlineStr">
        <is>
          <t>6290171074687</t>
        </is>
      </c>
      <c r="B2754" t="inlineStr">
        <is>
          <t>Zimaya Zahir Gold - Eau De Parfum</t>
        </is>
      </c>
      <c r="C2754" t="inlineStr">
        <is>
          <t>Eau De Parfum</t>
        </is>
      </c>
      <c r="D2754" t="inlineStr">
        <is>
          <t>Zimaya</t>
        </is>
      </c>
      <c r="E2754" t="n">
        <v>13.11</v>
      </c>
      <c r="F2754" t="n">
        <v>1</v>
      </c>
      <c r="G2754" t="n">
        <v>21</v>
      </c>
      <c r="H2754" s="5">
        <f>HYPERLINK("https://api.qogita.com/variants/link/6290171074687/", "View Product")</f>
        <v/>
      </c>
    </row>
    <row r="2755">
      <c r="A2755" t="inlineStr">
        <is>
          <t>6290171074700</t>
        </is>
      </c>
      <c r="B2755" t="inlineStr">
        <is>
          <t>Zimaya Zukhruf Cherry - Eau De Parfum</t>
        </is>
      </c>
      <c r="C2755" t="inlineStr">
        <is>
          <t>Eau De Parfum</t>
        </is>
      </c>
      <c r="D2755" t="inlineStr">
        <is>
          <t>Zimaya</t>
        </is>
      </c>
      <c r="E2755" t="n">
        <v>13.23</v>
      </c>
      <c r="F2755" t="n">
        <v>1</v>
      </c>
      <c r="G2755" t="n">
        <v>178</v>
      </c>
      <c r="H2755" s="5">
        <f>HYPERLINK("https://api.qogita.com/variants/link/6290171074700/", "View Product")</f>
        <v/>
      </c>
    </row>
    <row r="2756">
      <c r="A2756" t="inlineStr">
        <is>
          <t>6290171074823</t>
        </is>
      </c>
      <c r="B2756" t="inlineStr">
        <is>
          <t>Zimaya Swar Al Dahab - Eau De Parfum</t>
        </is>
      </c>
      <c r="C2756" t="inlineStr">
        <is>
          <t>Eau De Parfum</t>
        </is>
      </c>
      <c r="D2756" t="inlineStr">
        <is>
          <t>Zimaya</t>
        </is>
      </c>
      <c r="E2756" t="n">
        <v>13.15</v>
      </c>
      <c r="F2756" t="n">
        <v>1</v>
      </c>
      <c r="G2756" t="n">
        <v>30</v>
      </c>
      <c r="H2756" s="5">
        <f>HYPERLINK("https://api.qogita.com/variants/link/6290171074823/", "View Product")</f>
        <v/>
      </c>
    </row>
    <row r="2757">
      <c r="A2757" t="inlineStr">
        <is>
          <t>6290171074861</t>
        </is>
      </c>
      <c r="B2757" t="inlineStr">
        <is>
          <t>Zimaya Infrad Luxe Edition Eau De Parfum</t>
        </is>
      </c>
      <c r="C2757" t="inlineStr">
        <is>
          <t>Eau De Parfum</t>
        </is>
      </c>
      <c r="D2757" t="inlineStr">
        <is>
          <t>Zimaya</t>
        </is>
      </c>
      <c r="E2757" t="n">
        <v>13.67</v>
      </c>
      <c r="F2757" t="n">
        <v>1</v>
      </c>
      <c r="G2757" t="n">
        <v>134</v>
      </c>
      <c r="H2757" s="5">
        <f>HYPERLINK("https://api.qogita.com/variants/link/6290171074861/", "View Product")</f>
        <v/>
      </c>
    </row>
    <row r="2758">
      <c r="A2758" t="inlineStr">
        <is>
          <t>6290171074946</t>
        </is>
      </c>
      <c r="B2758" t="inlineStr">
        <is>
          <t>Awatif Pour Femme Eau De Parfum 3.4 Fl. Oz</t>
        </is>
      </c>
      <c r="C2758" t="inlineStr">
        <is>
          <t>Eau De Parfum</t>
        </is>
      </c>
      <c r="D2758" t="inlineStr">
        <is>
          <t>Zimaya</t>
        </is>
      </c>
      <c r="E2758" t="n">
        <v>15.49</v>
      </c>
      <c r="F2758" t="n">
        <v>1</v>
      </c>
      <c r="G2758" t="n">
        <v>104</v>
      </c>
      <c r="H2758" s="5">
        <f>HYPERLINK("https://api.qogita.com/variants/link/6290171074946/", "View Product")</f>
        <v/>
      </c>
    </row>
    <row r="2759">
      <c r="A2759" t="inlineStr">
        <is>
          <t>6290171075035</t>
        </is>
      </c>
      <c r="B2759" t="inlineStr">
        <is>
          <t>Rue Broca Carino Pour Homme - Eau De Parfum</t>
        </is>
      </c>
      <c r="C2759" t="inlineStr">
        <is>
          <t>Eau De Parfum</t>
        </is>
      </c>
      <c r="D2759" t="inlineStr">
        <is>
          <t>Rue Broca</t>
        </is>
      </c>
      <c r="E2759" t="n">
        <v>14.97</v>
      </c>
      <c r="F2759" t="n">
        <v>1</v>
      </c>
      <c r="G2759" t="n">
        <v>36</v>
      </c>
      <c r="H2759" s="5">
        <f>HYPERLINK("https://api.qogita.com/variants/link/6290171075035/", "View Product")</f>
        <v/>
      </c>
    </row>
    <row r="2760">
      <c r="A2760" t="inlineStr">
        <is>
          <t>6290171075080</t>
        </is>
      </c>
      <c r="B2760" t="inlineStr">
        <is>
          <t>Afnan Zimaya Men's Abadi Saga Eau De Parfum Spray 34 Oz</t>
        </is>
      </c>
      <c r="C2760" t="inlineStr">
        <is>
          <t>Eau De Parfum</t>
        </is>
      </c>
      <c r="D2760" t="inlineStr">
        <is>
          <t>Afnan</t>
        </is>
      </c>
      <c r="E2760" t="n">
        <v>13.75</v>
      </c>
      <c r="F2760" t="n">
        <v>1</v>
      </c>
      <c r="G2760" t="n">
        <v>23</v>
      </c>
      <c r="H2760" s="5">
        <f>HYPERLINK("https://api.qogita.com/variants/link/6290171075080/", "View Product")</f>
        <v/>
      </c>
    </row>
    <row r="2761">
      <c r="A2761" t="inlineStr">
        <is>
          <t>6290171075141</t>
        </is>
      </c>
      <c r="B2761" t="inlineStr">
        <is>
          <t>Afnan Kiaana Angel Eau De Parfum 100ml</t>
        </is>
      </c>
      <c r="C2761" t="inlineStr">
        <is>
          <t>Eau De Parfum</t>
        </is>
      </c>
      <c r="D2761" t="inlineStr">
        <is>
          <t>Afnan</t>
        </is>
      </c>
      <c r="E2761" t="n">
        <v>21.57</v>
      </c>
      <c r="F2761" t="n">
        <v>1</v>
      </c>
      <c r="G2761" t="n">
        <v>737</v>
      </c>
      <c r="H2761" s="5">
        <f>HYPERLINK("https://api.qogita.com/variants/link/6290171075141/", "View Product")</f>
        <v/>
      </c>
    </row>
    <row r="2762">
      <c r="A2762" t="inlineStr">
        <is>
          <t>6290171075288</t>
        </is>
      </c>
      <c r="B2762" t="inlineStr">
        <is>
          <t>Afnan 9 Pm Rebel Unisex Eau De Parfum</t>
        </is>
      </c>
      <c r="C2762" t="inlineStr">
        <is>
          <t>Eau De Parfum</t>
        </is>
      </c>
      <c r="D2762" t="inlineStr">
        <is>
          <t>Afnan</t>
        </is>
      </c>
      <c r="E2762" t="n">
        <v>22.37</v>
      </c>
      <c r="F2762" t="n">
        <v>1</v>
      </c>
      <c r="G2762" t="n">
        <v>163</v>
      </c>
      <c r="H2762" s="5">
        <f>HYPERLINK("https://api.qogita.com/variants/link/6290171075288/", "View Product")</f>
        <v/>
      </c>
    </row>
    <row r="2763">
      <c r="A2763" t="inlineStr">
        <is>
          <t>6290171075295</t>
        </is>
      </c>
      <c r="B2763" t="inlineStr">
        <is>
          <t>Zimaya Ladies Ramsh Diva Perfume</t>
        </is>
      </c>
      <c r="C2763" t="inlineStr">
        <is>
          <t>Eau De Parfum</t>
        </is>
      </c>
      <c r="D2763" t="inlineStr">
        <is>
          <t>Zimaya</t>
        </is>
      </c>
      <c r="E2763" t="n">
        <v>16.65</v>
      </c>
      <c r="F2763" t="n">
        <v>1</v>
      </c>
      <c r="G2763" t="n">
        <v>63</v>
      </c>
      <c r="H2763" s="5">
        <f>HYPERLINK("https://api.qogita.com/variants/link/6290171075295/", "View Product")</f>
        <v/>
      </c>
    </row>
    <row r="2764">
      <c r="A2764" t="inlineStr">
        <is>
          <t>6290360370200</t>
        </is>
      </c>
      <c r="B2764" t="inlineStr">
        <is>
          <t>Fragrance World Tobacco D'Feu Eau De Parfum 100ml</t>
        </is>
      </c>
      <c r="C2764" t="inlineStr">
        <is>
          <t>Eau De Parfum</t>
        </is>
      </c>
      <c r="D2764" t="inlineStr">
        <is>
          <t>Fragrance World</t>
        </is>
      </c>
      <c r="E2764" t="n">
        <v>20.68</v>
      </c>
      <c r="F2764" t="n">
        <v>1</v>
      </c>
      <c r="G2764" t="n">
        <v>83</v>
      </c>
      <c r="H2764" s="5">
        <f>HYPERLINK("https://api.qogita.com/variants/link/6290360370200/", "View Product")</f>
        <v/>
      </c>
    </row>
    <row r="2765">
      <c r="A2765" t="inlineStr">
        <is>
          <t>6290360370781</t>
        </is>
      </c>
      <c r="B2765" t="inlineStr">
        <is>
          <t>Francique 107.9 by Fragrance World Eau De Parfum Unisex Fragrances 3.4 oz</t>
        </is>
      </c>
      <c r="C2765" t="inlineStr">
        <is>
          <t>Eau De Parfum</t>
        </is>
      </c>
      <c r="D2765" t="inlineStr">
        <is>
          <t>Fragrance World</t>
        </is>
      </c>
      <c r="E2765" t="n">
        <v>19.23</v>
      </c>
      <c r="F2765" t="n">
        <v>1</v>
      </c>
      <c r="G2765" t="n">
        <v>47</v>
      </c>
      <c r="H2765" s="5">
        <f>HYPERLINK("https://api.qogita.com/variants/link/6290360370781/", "View Product")</f>
        <v/>
      </c>
    </row>
    <row r="2766">
      <c r="A2766" t="inlineStr">
        <is>
          <t>6290360371443</t>
        </is>
      </c>
      <c r="B2766" t="inlineStr">
        <is>
          <t>Fragrance World Queen of Hearts Q Eau de Parfum 80ml</t>
        </is>
      </c>
      <c r="C2766" t="inlineStr">
        <is>
          <t>Eau De Parfum</t>
        </is>
      </c>
      <c r="D2766" t="inlineStr">
        <is>
          <t>Fragrance World</t>
        </is>
      </c>
      <c r="E2766" t="n">
        <v>18.56</v>
      </c>
      <c r="F2766" t="n">
        <v>1</v>
      </c>
      <c r="G2766" t="n">
        <v>31</v>
      </c>
      <c r="H2766" s="5">
        <f>HYPERLINK("https://api.qogita.com/variants/link/6290360371443/", "View Product")</f>
        <v/>
      </c>
    </row>
    <row r="2767">
      <c r="A2767" t="inlineStr">
        <is>
          <t>6290360371610</t>
        </is>
      </c>
      <c r="B2767" t="inlineStr">
        <is>
          <t>French Avenue Rose Explosion Extract De Parfum 80ml</t>
        </is>
      </c>
      <c r="C2767" t="inlineStr">
        <is>
          <t>Extrait De Parfum</t>
        </is>
      </c>
      <c r="D2767" t="inlineStr">
        <is>
          <t>French Avenue</t>
        </is>
      </c>
      <c r="E2767" t="n">
        <v>21.81</v>
      </c>
      <c r="F2767" t="n">
        <v>1</v>
      </c>
      <c r="G2767" t="n">
        <v>3</v>
      </c>
      <c r="H2767" s="5">
        <f>HYPERLINK("https://api.qogita.com/variants/link/6290360371610/", "View Product")</f>
        <v/>
      </c>
    </row>
    <row r="2768">
      <c r="A2768" t="inlineStr">
        <is>
          <t>6290360372723</t>
        </is>
      </c>
      <c r="B2768" t="inlineStr">
        <is>
          <t>Spectre Ghost Eau De Parfum 80ml</t>
        </is>
      </c>
      <c r="C2768" t="inlineStr">
        <is>
          <t>Eau De Parfum</t>
        </is>
      </c>
      <c r="D2768" t="inlineStr">
        <is>
          <t>French Avenue</t>
        </is>
      </c>
      <c r="E2768" t="n">
        <v>27.63</v>
      </c>
      <c r="F2768" t="n">
        <v>1</v>
      </c>
      <c r="G2768" t="n">
        <v>459</v>
      </c>
      <c r="H2768" s="5">
        <f>HYPERLINK("https://api.qogita.com/variants/link/6290360372723/", "View Product")</f>
        <v/>
      </c>
    </row>
    <row r="2769">
      <c r="A2769" t="inlineStr">
        <is>
          <t>6290360372945</t>
        </is>
      </c>
      <c r="B2769" t="inlineStr">
        <is>
          <t>Fragrance World Vie Brise Eau De Parfum 80ml for Men - Arabic Perfumed Water</t>
        </is>
      </c>
      <c r="C2769" t="inlineStr">
        <is>
          <t>Eau De Parfum</t>
        </is>
      </c>
      <c r="D2769" t="inlineStr">
        <is>
          <t>Fragrance World</t>
        </is>
      </c>
      <c r="E2769" t="n">
        <v>23.76</v>
      </c>
      <c r="F2769" t="n">
        <v>1</v>
      </c>
      <c r="G2769" t="n">
        <v>23</v>
      </c>
      <c r="H2769" s="5">
        <f>HYPERLINK("https://api.qogita.com/variants/link/6290360372945/", "View Product")</f>
        <v/>
      </c>
    </row>
    <row r="2770">
      <c r="A2770" t="inlineStr">
        <is>
          <t>6290360373317</t>
        </is>
      </c>
      <c r="B2770" t="inlineStr">
        <is>
          <t>Fragrance World Alpha Eau De Parfum Spray 100ml</t>
        </is>
      </c>
      <c r="C2770" t="inlineStr">
        <is>
          <t>Eau De Parfum</t>
        </is>
      </c>
      <c r="D2770" t="inlineStr">
        <is>
          <t>Fragrance World</t>
        </is>
      </c>
      <c r="E2770" t="n">
        <v>30.7</v>
      </c>
      <c r="F2770" t="n">
        <v>1</v>
      </c>
      <c r="G2770" t="n">
        <v>2</v>
      </c>
      <c r="H2770" s="5">
        <f>HYPERLINK("https://api.qogita.com/variants/link/6290360373317/", "View Product")</f>
        <v/>
      </c>
    </row>
    <row r="2771">
      <c r="A2771" t="inlineStr">
        <is>
          <t>6290360374017</t>
        </is>
      </c>
      <c r="B2771" t="inlineStr">
        <is>
          <t>Fragrance World Caramel Macchiato Eau De Parfum 100ml</t>
        </is>
      </c>
      <c r="C2771" t="inlineStr">
        <is>
          <t>Eau De Parfum</t>
        </is>
      </c>
      <c r="D2771" t="inlineStr">
        <is>
          <t>Fragrance World</t>
        </is>
      </c>
      <c r="E2771" t="n">
        <v>18.83</v>
      </c>
      <c r="F2771" t="n">
        <v>1</v>
      </c>
      <c r="G2771" t="n">
        <v>59</v>
      </c>
      <c r="H2771" s="5">
        <f>HYPERLINK("https://api.qogita.com/variants/link/6290360374017/", "View Product")</f>
        <v/>
      </c>
    </row>
    <row r="2772">
      <c r="A2772" t="inlineStr">
        <is>
          <t>6290360374055</t>
        </is>
      </c>
      <c r="B2772" t="inlineStr">
        <is>
          <t>Fragrance World Mocha Eau De Parfum 100ml</t>
        </is>
      </c>
      <c r="C2772" t="inlineStr">
        <is>
          <t>Eau De Parfum</t>
        </is>
      </c>
      <c r="D2772" t="inlineStr">
        <is>
          <t>Fragrance World</t>
        </is>
      </c>
      <c r="E2772" t="n">
        <v>18.83</v>
      </c>
      <c r="F2772" t="n">
        <v>1</v>
      </c>
      <c r="G2772" t="n">
        <v>32</v>
      </c>
      <c r="H2772" s="5">
        <f>HYPERLINK("https://api.qogita.com/variants/link/6290360374055/", "View Product")</f>
        <v/>
      </c>
    </row>
    <row r="2773">
      <c r="A2773" t="inlineStr">
        <is>
          <t>6290360374789</t>
        </is>
      </c>
      <c r="B2773" t="inlineStr">
        <is>
          <t>Fragrance World Mystic Leather Eau De Parfum 100ml for Men and Women Arabic Perfumed Water Saffron Amber</t>
        </is>
      </c>
      <c r="C2773" t="inlineStr">
        <is>
          <t>Eau De Parfum</t>
        </is>
      </c>
      <c r="D2773" t="inlineStr">
        <is>
          <t>Fragrance World</t>
        </is>
      </c>
      <c r="E2773" t="n">
        <v>19.46</v>
      </c>
      <c r="F2773" t="n">
        <v>1</v>
      </c>
      <c r="G2773" t="n">
        <v>13</v>
      </c>
      <c r="H2773" s="5">
        <f>HYPERLINK("https://api.qogita.com/variants/link/6290360374789/", "View Product")</f>
        <v/>
      </c>
    </row>
    <row r="2774">
      <c r="A2774" t="inlineStr">
        <is>
          <t>6290360375625</t>
        </is>
      </c>
      <c r="B2774" t="inlineStr">
        <is>
          <t>French Avenue By Ighwa Eau De Parfum 100ml</t>
        </is>
      </c>
      <c r="C2774" t="inlineStr">
        <is>
          <t>Eau De Parfum</t>
        </is>
      </c>
      <c r="D2774" t="inlineStr">
        <is>
          <t>Fragrance World</t>
        </is>
      </c>
      <c r="E2774" t="n">
        <v>34.96</v>
      </c>
      <c r="F2774" t="n">
        <v>1</v>
      </c>
      <c r="G2774" t="n">
        <v>7</v>
      </c>
      <c r="H2774" s="5">
        <f>HYPERLINK("https://api.qogita.com/variants/link/6290360375625/", "View Product")</f>
        <v/>
      </c>
    </row>
    <row r="2775">
      <c r="A2775" t="inlineStr">
        <is>
          <t>6290360375649</t>
        </is>
      </c>
      <c r="B2775" t="inlineStr">
        <is>
          <t>French Avenue Tropical Kiss Eau De Parfum 80ml</t>
        </is>
      </c>
      <c r="C2775" t="inlineStr">
        <is>
          <t>Eau De Parfum</t>
        </is>
      </c>
      <c r="D2775" t="inlineStr">
        <is>
          <t>French Avenue</t>
        </is>
      </c>
      <c r="E2775" t="n">
        <v>26.17</v>
      </c>
      <c r="F2775" t="n">
        <v>1</v>
      </c>
      <c r="G2775" t="n">
        <v>86</v>
      </c>
      <c r="H2775" s="5">
        <f>HYPERLINK("https://api.qogita.com/variants/link/6290360375649/", "View Product")</f>
        <v/>
      </c>
    </row>
    <row r="2776">
      <c r="A2776" t="inlineStr">
        <is>
          <t>6290360375656</t>
        </is>
      </c>
      <c r="B2776" t="inlineStr">
        <is>
          <t>French Avenue Sultry Woods Eau De Parfum 80ml</t>
        </is>
      </c>
      <c r="C2776" t="inlineStr">
        <is>
          <t>Eau De Parfum</t>
        </is>
      </c>
      <c r="D2776" t="inlineStr">
        <is>
          <t>French Avenue</t>
        </is>
      </c>
      <c r="E2776" t="n">
        <v>30.34</v>
      </c>
      <c r="F2776" t="n">
        <v>1</v>
      </c>
      <c r="G2776" t="n">
        <v>11</v>
      </c>
      <c r="H2776" s="5">
        <f>HYPERLINK("https://api.qogita.com/variants/link/6290360375656/", "View Product")</f>
        <v/>
      </c>
    </row>
    <row r="2777">
      <c r="A2777" t="inlineStr">
        <is>
          <t>6290360375687</t>
        </is>
      </c>
      <c r="B2777" t="inlineStr">
        <is>
          <t>French Avenue Azzure Aoud Eau De Parfum 100ml</t>
        </is>
      </c>
      <c r="C2777" t="inlineStr">
        <is>
          <t>Eau De Parfum</t>
        </is>
      </c>
      <c r="D2777" t="inlineStr">
        <is>
          <t>French Avenue</t>
        </is>
      </c>
      <c r="E2777" t="n">
        <v>24.74</v>
      </c>
      <c r="F2777" t="n">
        <v>1</v>
      </c>
      <c r="G2777" t="n">
        <v>343</v>
      </c>
      <c r="H2777" s="5">
        <f>HYPERLINK("https://api.qogita.com/variants/link/6290360375687/", "View Product")</f>
        <v/>
      </c>
    </row>
    <row r="2778">
      <c r="A2778" t="inlineStr">
        <is>
          <t>6290360375694</t>
        </is>
      </c>
      <c r="B2778" t="inlineStr">
        <is>
          <t>Liquid Brun Eau De Parfum 100ml</t>
        </is>
      </c>
      <c r="C2778" t="inlineStr">
        <is>
          <t>Eau De Parfum</t>
        </is>
      </c>
      <c r="D2778" t="inlineStr">
        <is>
          <t>French Avenue</t>
        </is>
      </c>
      <c r="E2778" t="n">
        <v>24.74</v>
      </c>
      <c r="F2778" t="n">
        <v>1</v>
      </c>
      <c r="G2778" t="n">
        <v>365</v>
      </c>
      <c r="H2778" s="5">
        <f>HYPERLINK("https://api.qogita.com/variants/link/6290360375694/", "View Product")</f>
        <v/>
      </c>
    </row>
    <row r="2779">
      <c r="A2779" t="inlineStr">
        <is>
          <t>6290360375731</t>
        </is>
      </c>
      <c r="B2779" t="inlineStr">
        <is>
          <t>Fragrance World French Avenue Inej Parfum for Men 80ml Eau de Parfum</t>
        </is>
      </c>
      <c r="C2779" t="inlineStr">
        <is>
          <t>Eau De Parfum</t>
        </is>
      </c>
      <c r="D2779" t="inlineStr">
        <is>
          <t>Fragrance World</t>
        </is>
      </c>
      <c r="E2779" t="n">
        <v>39.63</v>
      </c>
      <c r="F2779" t="n">
        <v>1</v>
      </c>
      <c r="G2779" t="n">
        <v>19</v>
      </c>
      <c r="H2779" s="5">
        <f>HYPERLINK("https://api.qogita.com/variants/link/6290360375731/", "View Product")</f>
        <v/>
      </c>
    </row>
    <row r="2780">
      <c r="A2780" t="inlineStr">
        <is>
          <t>6290360375823</t>
        </is>
      </c>
      <c r="B2780" t="inlineStr">
        <is>
          <t>French Avenue Spectre Wraith Eau De Parfum 80ml</t>
        </is>
      </c>
      <c r="C2780" t="inlineStr">
        <is>
          <t>Eau De Parfum</t>
        </is>
      </c>
      <c r="D2780" t="inlineStr">
        <is>
          <t>French Avenue</t>
        </is>
      </c>
      <c r="E2780" t="n">
        <v>26.94</v>
      </c>
      <c r="F2780" t="n">
        <v>1</v>
      </c>
      <c r="G2780" t="n">
        <v>25</v>
      </c>
      <c r="H2780" s="5">
        <f>HYPERLINK("https://api.qogita.com/variants/link/6290360375823/", "View Product")</f>
        <v/>
      </c>
    </row>
    <row r="2781">
      <c r="A2781" t="inlineStr">
        <is>
          <t>6290360375861</t>
        </is>
      </c>
      <c r="B2781" t="inlineStr">
        <is>
          <t>Fragrance World Just Aswad Eau De Parfum 100ml</t>
        </is>
      </c>
      <c r="C2781" t="inlineStr">
        <is>
          <t>Eau De Parfum</t>
        </is>
      </c>
      <c r="D2781" t="inlineStr">
        <is>
          <t>Fragrance World</t>
        </is>
      </c>
      <c r="E2781" t="n">
        <v>12.26</v>
      </c>
      <c r="F2781" t="n">
        <v>1</v>
      </c>
      <c r="G2781" t="n">
        <v>19</v>
      </c>
      <c r="H2781" s="5">
        <f>HYPERLINK("https://api.qogita.com/variants/link/6290360375861/", "View Product")</f>
        <v/>
      </c>
    </row>
    <row r="2782">
      <c r="A2782" t="inlineStr">
        <is>
          <t>6290360375953</t>
        </is>
      </c>
      <c r="B2782" t="inlineStr">
        <is>
          <t>Fragrance World Nectar Of Ecstasy Eau De Parfum 100ml</t>
        </is>
      </c>
      <c r="C2782" t="inlineStr">
        <is>
          <t>Eau De Parfum</t>
        </is>
      </c>
      <c r="D2782" t="inlineStr">
        <is>
          <t>Fragrance World</t>
        </is>
      </c>
      <c r="E2782" t="n">
        <v>15.74</v>
      </c>
      <c r="F2782" t="n">
        <v>1</v>
      </c>
      <c r="G2782" t="n">
        <v>23</v>
      </c>
      <c r="H2782" s="5">
        <f>HYPERLINK("https://api.qogita.com/variants/link/6290360375953/", "View Product")</f>
        <v/>
      </c>
    </row>
    <row r="2783">
      <c r="A2783" t="inlineStr">
        <is>
          <t>6290360375991</t>
        </is>
      </c>
      <c r="B2783" t="inlineStr">
        <is>
          <t>Fragrance World Nuit Eau De Parfum 80ml</t>
        </is>
      </c>
      <c r="C2783" t="inlineStr">
        <is>
          <t>Eau De Parfum</t>
        </is>
      </c>
      <c r="D2783" t="inlineStr">
        <is>
          <t>Fragrance World</t>
        </is>
      </c>
      <c r="E2783" t="n">
        <v>12.36</v>
      </c>
      <c r="F2783" t="n">
        <v>1</v>
      </c>
      <c r="G2783" t="n">
        <v>27</v>
      </c>
      <c r="H2783" s="5">
        <f>HYPERLINK("https://api.qogita.com/variants/link/6290360375991/", "View Product")</f>
        <v/>
      </c>
    </row>
    <row r="2784">
      <c r="A2784" t="inlineStr">
        <is>
          <t>6290360376226</t>
        </is>
      </c>
      <c r="B2784" t="inlineStr">
        <is>
          <t>Fragrance World Varakh Gold Eau De Parfum 100ml</t>
        </is>
      </c>
      <c r="C2784" t="inlineStr">
        <is>
          <t>Eau De Parfum</t>
        </is>
      </c>
      <c r="D2784" t="inlineStr">
        <is>
          <t>Fragrance World</t>
        </is>
      </c>
      <c r="E2784" t="n">
        <v>14.61</v>
      </c>
      <c r="F2784" t="n">
        <v>1</v>
      </c>
      <c r="G2784" t="n">
        <v>35</v>
      </c>
      <c r="H2784" s="5">
        <f>HYPERLINK("https://api.qogita.com/variants/link/6290360376226/", "View Product")</f>
        <v/>
      </c>
    </row>
    <row r="2785">
      <c r="A2785" t="inlineStr">
        <is>
          <t>6290360376301</t>
        </is>
      </c>
      <c r="B2785" t="inlineStr">
        <is>
          <t>Fragrance World Taj 1 Green Eau De Parfum 90ml</t>
        </is>
      </c>
      <c r="C2785" t="inlineStr">
        <is>
          <t>Eau De Parfum</t>
        </is>
      </c>
      <c r="D2785" t="inlineStr">
        <is>
          <t>Fragrance World</t>
        </is>
      </c>
      <c r="E2785" t="n">
        <v>21.01</v>
      </c>
      <c r="F2785" t="n">
        <v>1</v>
      </c>
      <c r="G2785" t="n">
        <v>14</v>
      </c>
      <c r="H2785" s="5">
        <f>HYPERLINK("https://api.qogita.com/variants/link/6290360376301/", "View Product")</f>
        <v/>
      </c>
    </row>
    <row r="2786">
      <c r="A2786" t="inlineStr">
        <is>
          <t>6290360378039</t>
        </is>
      </c>
      <c r="B2786" t="inlineStr">
        <is>
          <t>Fragrance World Chic Unique 100 Ml Eau De Parfum</t>
        </is>
      </c>
      <c r="C2786" t="inlineStr">
        <is>
          <t>Eau De Parfum</t>
        </is>
      </c>
      <c r="D2786" t="inlineStr">
        <is>
          <t>Fragrance World</t>
        </is>
      </c>
      <c r="E2786" t="n">
        <v>21.79</v>
      </c>
      <c r="F2786" t="n">
        <v>1</v>
      </c>
      <c r="G2786" t="n">
        <v>243</v>
      </c>
      <c r="H2786" s="5">
        <f>HYPERLINK("https://api.qogita.com/variants/link/6290360378039/", "View Product")</f>
        <v/>
      </c>
    </row>
    <row r="2787">
      <c r="A2787" t="inlineStr">
        <is>
          <t>6290360378046</t>
        </is>
      </c>
      <c r="B2787" t="inlineStr">
        <is>
          <t>Fragrance World Sui Generis 100 Ml Eau De Parfum</t>
        </is>
      </c>
      <c r="C2787" t="inlineStr">
        <is>
          <t>Eau De Parfum</t>
        </is>
      </c>
      <c r="D2787" t="inlineStr">
        <is>
          <t>Fragrance World</t>
        </is>
      </c>
      <c r="E2787" t="n">
        <v>20.37</v>
      </c>
      <c r="F2787" t="n">
        <v>1</v>
      </c>
      <c r="G2787" t="n">
        <v>224</v>
      </c>
      <c r="H2787" s="5">
        <f>HYPERLINK("https://api.qogita.com/variants/link/6290360378046/", "View Product")</f>
        <v/>
      </c>
    </row>
    <row r="2788">
      <c r="A2788" t="inlineStr">
        <is>
          <t>6290360378428</t>
        </is>
      </c>
      <c r="B2788" t="inlineStr">
        <is>
          <t>French Avenue Royal Blend Vintage Eau De Parfum Spray 100ml</t>
        </is>
      </c>
      <c r="C2788" t="inlineStr">
        <is>
          <t>Eau De Parfum</t>
        </is>
      </c>
      <c r="D2788" t="inlineStr">
        <is>
          <t>French Avenue</t>
        </is>
      </c>
      <c r="E2788" t="n">
        <v>26.43</v>
      </c>
      <c r="F2788" t="n">
        <v>1</v>
      </c>
      <c r="G2788" t="n">
        <v>72</v>
      </c>
      <c r="H2788" s="5">
        <f>HYPERLINK("https://api.qogita.com/variants/link/6290360378428/", "View Product")</f>
        <v/>
      </c>
    </row>
    <row r="2789">
      <c r="A2789" t="inlineStr">
        <is>
          <t>6290360378510</t>
        </is>
      </c>
      <c r="B2789" t="inlineStr">
        <is>
          <t>Fragrance World Champion Money Eau De Parfum 100ml</t>
        </is>
      </c>
      <c r="C2789" t="inlineStr">
        <is>
          <t>Eau De Parfum</t>
        </is>
      </c>
      <c r="D2789" t="inlineStr">
        <is>
          <t>Fragrance World</t>
        </is>
      </c>
      <c r="E2789" t="n">
        <v>18.9</v>
      </c>
      <c r="F2789" t="n">
        <v>1</v>
      </c>
      <c r="G2789" t="n">
        <v>25</v>
      </c>
      <c r="H2789" s="5">
        <f>HYPERLINK("https://api.qogita.com/variants/link/6290360378510/", "View Product")</f>
        <v/>
      </c>
    </row>
    <row r="2790">
      <c r="A2790" t="inlineStr">
        <is>
          <t>6290360378589</t>
        </is>
      </c>
      <c r="B2790" t="inlineStr">
        <is>
          <t>Fragrance World Allure Couture Women Eau De Parfum 100ml</t>
        </is>
      </c>
      <c r="C2790" t="inlineStr">
        <is>
          <t>Eau De Parfum</t>
        </is>
      </c>
      <c r="D2790" t="inlineStr">
        <is>
          <t>Fragrance World</t>
        </is>
      </c>
      <c r="E2790" t="n">
        <v>25.26</v>
      </c>
      <c r="F2790" t="n">
        <v>1</v>
      </c>
      <c r="G2790" t="n">
        <v>15</v>
      </c>
      <c r="H2790" s="5">
        <f>HYPERLINK("https://api.qogita.com/variants/link/6290360378589/", "View Product")</f>
        <v/>
      </c>
    </row>
    <row r="2791">
      <c r="A2791" t="inlineStr">
        <is>
          <t>6290360378619</t>
        </is>
      </c>
      <c r="B2791" t="inlineStr">
        <is>
          <t>French Avenue Genesis Collection Libra</t>
        </is>
      </c>
      <c r="C2791" t="inlineStr">
        <is>
          <t>Eau De Parfum</t>
        </is>
      </c>
      <c r="D2791" t="inlineStr">
        <is>
          <t>French Avenue</t>
        </is>
      </c>
      <c r="E2791" t="n">
        <v>29.56</v>
      </c>
      <c r="F2791" t="n">
        <v>1</v>
      </c>
      <c r="G2791" t="n">
        <v>64</v>
      </c>
      <c r="H2791" s="5">
        <f>HYPERLINK("https://api.qogita.com/variants/link/6290360378619/", "View Product")</f>
        <v/>
      </c>
    </row>
    <row r="2792">
      <c r="A2792" t="inlineStr">
        <is>
          <t>6290360378671</t>
        </is>
      </c>
      <c r="B2792" t="inlineStr">
        <is>
          <t>Fragrance World French Avenue Genesis Aries Eau De Parfum 90ml</t>
        </is>
      </c>
      <c r="C2792" t="inlineStr">
        <is>
          <t>Eau De Parfum</t>
        </is>
      </c>
      <c r="D2792" t="inlineStr">
        <is>
          <t>Fragrance World</t>
        </is>
      </c>
      <c r="E2792" t="n">
        <v>29.56</v>
      </c>
      <c r="F2792" t="n">
        <v>1</v>
      </c>
      <c r="G2792" t="n">
        <v>59</v>
      </c>
      <c r="H2792" s="5">
        <f>HYPERLINK("https://api.qogita.com/variants/link/6290360378671/", "View Product")</f>
        <v/>
      </c>
    </row>
    <row r="2793">
      <c r="A2793" t="inlineStr">
        <is>
          <t>6290360378688</t>
        </is>
      </c>
      <c r="B2793" t="inlineStr">
        <is>
          <t>French Avenue Genesis Collection Sagittarius</t>
        </is>
      </c>
      <c r="C2793" t="inlineStr">
        <is>
          <t>Eau De Parfum</t>
        </is>
      </c>
      <c r="D2793" t="inlineStr">
        <is>
          <t>French Avenue</t>
        </is>
      </c>
      <c r="E2793" t="n">
        <v>29.56</v>
      </c>
      <c r="F2793" t="n">
        <v>1</v>
      </c>
      <c r="G2793" t="n">
        <v>68</v>
      </c>
      <c r="H2793" s="5">
        <f>HYPERLINK("https://api.qogita.com/variants/link/6290360378688/", "View Product")</f>
        <v/>
      </c>
    </row>
    <row r="2794">
      <c r="A2794" t="inlineStr">
        <is>
          <t>6290360378923</t>
        </is>
      </c>
      <c r="B2794" t="inlineStr">
        <is>
          <t>French Avenue Elinor Green For Women Eau De Parfum 100ml</t>
        </is>
      </c>
      <c r="C2794" t="inlineStr">
        <is>
          <t>Eau De Parfum</t>
        </is>
      </c>
      <c r="D2794" t="inlineStr">
        <is>
          <t>French Avenue</t>
        </is>
      </c>
      <c r="E2794" t="n">
        <v>28.11</v>
      </c>
      <c r="F2794" t="n">
        <v>1</v>
      </c>
      <c r="G2794" t="n">
        <v>94</v>
      </c>
      <c r="H2794" s="5">
        <f>HYPERLINK("https://api.qogita.com/variants/link/6290360378923/", "View Product")</f>
        <v/>
      </c>
    </row>
    <row r="2795">
      <c r="A2795" t="inlineStr">
        <is>
          <t>6290360379197</t>
        </is>
      </c>
      <c r="B2795" t="inlineStr">
        <is>
          <t>French Avenue Chocola Addict Eau De Parfum 100ml</t>
        </is>
      </c>
      <c r="C2795" t="inlineStr">
        <is>
          <t>Eau De Parfum</t>
        </is>
      </c>
      <c r="D2795" t="inlineStr">
        <is>
          <t>French Avenue</t>
        </is>
      </c>
      <c r="E2795" t="n">
        <v>26.1</v>
      </c>
      <c r="F2795" t="n">
        <v>1</v>
      </c>
      <c r="G2795" t="n">
        <v>35</v>
      </c>
      <c r="H2795" s="5">
        <f>HYPERLINK("https://api.qogita.com/variants/link/6290360379197/", "View Product")</f>
        <v/>
      </c>
    </row>
    <row r="2796">
      <c r="A2796" t="inlineStr">
        <is>
          <t>6290360379319</t>
        </is>
      </c>
      <c r="B2796" t="inlineStr">
        <is>
          <t>Fragrance World Caf N'Cream 100 Ml Eau De Parfum</t>
        </is>
      </c>
      <c r="C2796" t="inlineStr">
        <is>
          <t>Eau De Parfum</t>
        </is>
      </c>
      <c r="D2796" t="inlineStr">
        <is>
          <t>Fragrance World</t>
        </is>
      </c>
      <c r="E2796" t="n">
        <v>21.11</v>
      </c>
      <c r="F2796" t="n">
        <v>1</v>
      </c>
      <c r="G2796" t="n">
        <v>64</v>
      </c>
      <c r="H2796" s="5">
        <f>HYPERLINK("https://api.qogita.com/variants/link/6290360379319/", "View Product")</f>
        <v/>
      </c>
    </row>
    <row r="2797">
      <c r="A2797" t="inlineStr">
        <is>
          <t>6290360379517</t>
        </is>
      </c>
      <c r="B2797" t="inlineStr">
        <is>
          <t>French Avenue Thunder Unisex Eau De Parfum 100ml</t>
        </is>
      </c>
      <c r="C2797" t="inlineStr">
        <is>
          <t>Eau De Parfum</t>
        </is>
      </c>
      <c r="D2797" t="inlineStr">
        <is>
          <t>French Avenue</t>
        </is>
      </c>
      <c r="E2797" t="n">
        <v>33.31</v>
      </c>
      <c r="F2797" t="n">
        <v>1</v>
      </c>
      <c r="G2797" t="n">
        <v>12</v>
      </c>
      <c r="H2797" s="5">
        <f>HYPERLINK("https://api.qogita.com/variants/link/6290360379517/", "View Product")</f>
        <v/>
      </c>
    </row>
    <row r="2798">
      <c r="A2798" t="inlineStr">
        <is>
          <t>6290360590141</t>
        </is>
      </c>
      <c r="B2798" t="inlineStr">
        <is>
          <t>Lattafa Safwaan L'Autre Musk Eau De Parfum Spray 100ml</t>
        </is>
      </c>
      <c r="C2798" t="inlineStr">
        <is>
          <t>Eau De Parfum</t>
        </is>
      </c>
      <c r="D2798" t="inlineStr">
        <is>
          <t>Lattafa</t>
        </is>
      </c>
      <c r="E2798" t="n">
        <v>12.33</v>
      </c>
      <c r="F2798" t="n">
        <v>1</v>
      </c>
      <c r="G2798" t="n">
        <v>47</v>
      </c>
      <c r="H2798" s="5">
        <f>HYPERLINK("https://api.qogita.com/variants/link/6290360590141/", "View Product")</f>
        <v/>
      </c>
    </row>
    <row r="2799">
      <c r="A2799" t="inlineStr">
        <is>
          <t>6290360590158</t>
        </is>
      </c>
      <c r="B2799" t="inlineStr">
        <is>
          <t>Lattafa Taweel Eau De Parfum Spray 100ml</t>
        </is>
      </c>
      <c r="C2799" t="inlineStr">
        <is>
          <t>Eau De Parfum</t>
        </is>
      </c>
      <c r="D2799" t="inlineStr">
        <is>
          <t>Lattafa</t>
        </is>
      </c>
      <c r="E2799" t="n">
        <v>16.71</v>
      </c>
      <c r="F2799" t="n">
        <v>1</v>
      </c>
      <c r="G2799" t="n">
        <v>48</v>
      </c>
      <c r="H2799" s="5">
        <f>HYPERLINK("https://api.qogita.com/variants/link/6290360590158/", "View Product")</f>
        <v/>
      </c>
    </row>
    <row r="2800">
      <c r="A2800" t="inlineStr">
        <is>
          <t>6290360590172</t>
        </is>
      </c>
      <c r="B2800" t="inlineStr">
        <is>
          <t>Lattafa Perfumes Sondos Eau De Parfum</t>
        </is>
      </c>
      <c r="C2800" t="inlineStr">
        <is>
          <t>Eau De Parfum</t>
        </is>
      </c>
      <c r="D2800" t="inlineStr">
        <is>
          <t>Lattafa</t>
        </is>
      </c>
      <c r="E2800" t="n">
        <v>25.33</v>
      </c>
      <c r="F2800" t="n">
        <v>1</v>
      </c>
      <c r="G2800" t="n">
        <v>6</v>
      </c>
      <c r="H2800" s="5">
        <f>HYPERLINK("https://api.qogita.com/variants/link/6290360590172/", "View Product")</f>
        <v/>
      </c>
    </row>
    <row r="2801">
      <c r="A2801" t="inlineStr">
        <is>
          <t>6290360590189</t>
        </is>
      </c>
      <c r="B2801" t="inlineStr">
        <is>
          <t>Lattafa Maahir Legacy Eau De Parfum Spray 100ml</t>
        </is>
      </c>
      <c r="C2801" t="inlineStr">
        <is>
          <t>Eau De Parfum</t>
        </is>
      </c>
      <c r="D2801" t="inlineStr">
        <is>
          <t>Lattafa</t>
        </is>
      </c>
      <c r="E2801" t="n">
        <v>19.91</v>
      </c>
      <c r="F2801" t="n">
        <v>1</v>
      </c>
      <c r="G2801" t="n">
        <v>459</v>
      </c>
      <c r="H2801" s="5">
        <f>HYPERLINK("https://api.qogita.com/variants/link/6290360590189/", "View Product")</f>
        <v/>
      </c>
    </row>
    <row r="2802">
      <c r="A2802" t="inlineStr">
        <is>
          <t>6290360590349</t>
        </is>
      </c>
      <c r="B2802" t="inlineStr">
        <is>
          <t>RAVE Now White Eau de Parfum Spray for Unisex 3.4 Ounce</t>
        </is>
      </c>
      <c r="C2802" t="inlineStr">
        <is>
          <t>Eau De Parfum</t>
        </is>
      </c>
      <c r="D2802" t="inlineStr">
        <is>
          <t>Rave</t>
        </is>
      </c>
      <c r="E2802" t="n">
        <v>12.05</v>
      </c>
      <c r="F2802" t="n">
        <v>1</v>
      </c>
      <c r="G2802" t="n">
        <v>292</v>
      </c>
      <c r="H2802" s="5">
        <f>HYPERLINK("https://api.qogita.com/variants/link/6290360590349/", "View Product")</f>
        <v/>
      </c>
    </row>
    <row r="2803">
      <c r="A2803" t="inlineStr">
        <is>
          <t>6290360590561</t>
        </is>
      </c>
      <c r="B2803" t="inlineStr">
        <is>
          <t>Maison Alhambra Infini Oud Joyous Eau De Parfum Spray 100ml</t>
        </is>
      </c>
      <c r="C2803" t="inlineStr">
        <is>
          <t>Eau De Parfum</t>
        </is>
      </c>
      <c r="D2803" t="inlineStr">
        <is>
          <t>Maison Alhambra</t>
        </is>
      </c>
      <c r="E2803" t="n">
        <v>11.81</v>
      </c>
      <c r="F2803" t="n">
        <v>1</v>
      </c>
      <c r="G2803" t="n">
        <v>14</v>
      </c>
      <c r="H2803" s="5">
        <f>HYPERLINK("https://api.qogita.com/variants/link/6290360590561/", "View Product")</f>
        <v/>
      </c>
    </row>
    <row r="2804">
      <c r="A2804" t="inlineStr">
        <is>
          <t>6290360590615</t>
        </is>
      </c>
      <c r="B2804" t="inlineStr">
        <is>
          <t>Glacier Pour Homme 100ml</t>
        </is>
      </c>
      <c r="C2804" t="inlineStr">
        <is>
          <t>Eau De Toilette</t>
        </is>
      </c>
      <c r="D2804" t="inlineStr">
        <is>
          <t>Maison Alhambra</t>
        </is>
      </c>
      <c r="E2804" t="n">
        <v>12.41</v>
      </c>
      <c r="F2804" t="n">
        <v>1</v>
      </c>
      <c r="G2804" t="n">
        <v>77</v>
      </c>
      <c r="H2804" s="5">
        <f>HYPERLINK("https://api.qogita.com/variants/link/6290360590615/", "View Product")</f>
        <v/>
      </c>
    </row>
    <row r="2805">
      <c r="A2805" t="inlineStr">
        <is>
          <t>6290360590677</t>
        </is>
      </c>
      <c r="B2805" t="inlineStr">
        <is>
          <t>Maison Alhambra Lattafa Daring Blue For Life EDP 100ml</t>
        </is>
      </c>
      <c r="C2805" t="inlineStr">
        <is>
          <t>Eau De Parfum</t>
        </is>
      </c>
      <c r="D2805" t="inlineStr">
        <is>
          <t>Maison Alhambra</t>
        </is>
      </c>
      <c r="E2805" t="n">
        <v>10.28</v>
      </c>
      <c r="F2805" t="n">
        <v>1</v>
      </c>
      <c r="G2805" t="n">
        <v>295</v>
      </c>
      <c r="H2805" s="5">
        <f>HYPERLINK("https://api.qogita.com/variants/link/6290360590677/", "View Product")</f>
        <v/>
      </c>
    </row>
    <row r="2806">
      <c r="A2806" t="inlineStr">
        <is>
          <t>6290360590752</t>
        </is>
      </c>
      <c r="B2806" t="inlineStr">
        <is>
          <t>Maison Alhambra Libbra Eau De Parfum 100ml</t>
        </is>
      </c>
      <c r="C2806" t="inlineStr">
        <is>
          <t>Eau De Parfum</t>
        </is>
      </c>
      <c r="D2806" t="inlineStr">
        <is>
          <t>Maison Alhambra</t>
        </is>
      </c>
      <c r="E2806" t="n">
        <v>10.13</v>
      </c>
      <c r="F2806" t="n">
        <v>1</v>
      </c>
      <c r="G2806" t="n">
        <v>12</v>
      </c>
      <c r="H2806" s="5">
        <f>HYPERLINK("https://api.qogita.com/variants/link/6290360590752/", "View Product")</f>
        <v/>
      </c>
    </row>
    <row r="2807">
      <c r="A2807" t="inlineStr">
        <is>
          <t>6290360590806</t>
        </is>
      </c>
      <c r="B2807" t="inlineStr">
        <is>
          <t>Maison Alhambra Montaigne Vanille Eau De Parfum 100ml Spray</t>
        </is>
      </c>
      <c r="C2807" t="inlineStr">
        <is>
          <t>Eau De Parfum</t>
        </is>
      </c>
      <c r="D2807" t="inlineStr">
        <is>
          <t>Maison Alhambra</t>
        </is>
      </c>
      <c r="E2807" t="n">
        <v>8.68</v>
      </c>
      <c r="F2807" t="n">
        <v>1</v>
      </c>
      <c r="G2807" t="n">
        <v>19</v>
      </c>
      <c r="H2807" s="5">
        <f>HYPERLINK("https://api.qogita.com/variants/link/6290360590806/", "View Product")</f>
        <v/>
      </c>
    </row>
    <row r="2808">
      <c r="A2808" t="inlineStr">
        <is>
          <t>6290360591421</t>
        </is>
      </c>
      <c r="B2808" t="inlineStr">
        <is>
          <t>Lattafa Yara Moi Eau De Parfum Spray 100ml</t>
        </is>
      </c>
      <c r="C2808" t="inlineStr">
        <is>
          <t>Eau De Parfum</t>
        </is>
      </c>
      <c r="D2808" t="inlineStr">
        <is>
          <t>Lattafa</t>
        </is>
      </c>
      <c r="E2808" t="n">
        <v>16.29</v>
      </c>
      <c r="F2808" t="n">
        <v>1</v>
      </c>
      <c r="G2808" t="n">
        <v>101</v>
      </c>
      <c r="H2808" s="5">
        <f>HYPERLINK("https://api.qogita.com/variants/link/6290360591421/", "View Product")</f>
        <v/>
      </c>
    </row>
    <row r="2809">
      <c r="A2809" t="inlineStr">
        <is>
          <t>6290360591452</t>
        </is>
      </c>
      <c r="B2809" t="inlineStr">
        <is>
          <t>Riiffs Carbon Noir Eau De Parfum Spray 3.4 Oz 100 Ml for Men</t>
        </is>
      </c>
      <c r="C2809" t="inlineStr">
        <is>
          <t>Eau De Parfum</t>
        </is>
      </c>
      <c r="D2809" t="inlineStr">
        <is>
          <t>Riiffs</t>
        </is>
      </c>
      <c r="E2809" t="n">
        <v>11.05</v>
      </c>
      <c r="F2809" t="n">
        <v>1</v>
      </c>
      <c r="G2809" t="n">
        <v>40</v>
      </c>
      <c r="H2809" s="5">
        <f>HYPERLINK("https://api.qogita.com/variants/link/6290360591452/", "View Product")</f>
        <v/>
      </c>
    </row>
    <row r="2810">
      <c r="A2810" t="inlineStr">
        <is>
          <t>6290360591469</t>
        </is>
      </c>
      <c r="B2810" t="inlineStr">
        <is>
          <t>Mystere, Eau de Parfum, Riiffs, Woman, 80 ml</t>
        </is>
      </c>
      <c r="C2810" t="inlineStr">
        <is>
          <t>Eau De Parfum</t>
        </is>
      </c>
      <c r="D2810" t="inlineStr">
        <is>
          <t>Riiffs</t>
        </is>
      </c>
      <c r="E2810" t="n">
        <v>11.05</v>
      </c>
      <c r="F2810" t="n">
        <v>1</v>
      </c>
      <c r="G2810" t="n">
        <v>39</v>
      </c>
      <c r="H2810" s="5">
        <f>HYPERLINK("https://api.qogita.com/variants/link/6290360591469/", "View Product")</f>
        <v/>
      </c>
    </row>
    <row r="2811">
      <c r="A2811" t="inlineStr">
        <is>
          <t>6290360591490</t>
        </is>
      </c>
      <c r="B2811" t="inlineStr">
        <is>
          <t>Lattafa Bayaan Eau De Parfum Spray 100ml</t>
        </is>
      </c>
      <c r="C2811" t="inlineStr">
        <is>
          <t>Eau De Parfum</t>
        </is>
      </c>
      <c r="D2811" t="inlineStr">
        <is>
          <t>Lattafa</t>
        </is>
      </c>
      <c r="E2811" t="n">
        <v>16.04</v>
      </c>
      <c r="F2811" t="n">
        <v>1</v>
      </c>
      <c r="G2811" t="n">
        <v>32</v>
      </c>
      <c r="H2811" s="5">
        <f>HYPERLINK("https://api.qogita.com/variants/link/6290360591490/", "View Product")</f>
        <v/>
      </c>
    </row>
    <row r="2812">
      <c r="A2812" t="inlineStr">
        <is>
          <t>6290360591506</t>
        </is>
      </c>
      <c r="B2812" t="inlineStr">
        <is>
          <t>Lattafa Perfumes Emeer Eau De Parfum</t>
        </is>
      </c>
      <c r="C2812" t="inlineStr">
        <is>
          <t>Eau De Parfum</t>
        </is>
      </c>
      <c r="D2812" t="inlineStr">
        <is>
          <t>Lattafa</t>
        </is>
      </c>
      <c r="E2812" t="n">
        <v>53.13</v>
      </c>
      <c r="F2812" t="n">
        <v>1</v>
      </c>
      <c r="G2812" t="n">
        <v>176</v>
      </c>
      <c r="H2812" s="5">
        <f>HYPERLINK("https://api.qogita.com/variants/link/6290360591506/", "View Product")</f>
        <v/>
      </c>
    </row>
    <row r="2813">
      <c r="A2813" t="inlineStr">
        <is>
          <t>6290360591544</t>
        </is>
      </c>
      <c r="B2813" t="inlineStr">
        <is>
          <t>Lattafa Al Nashama Eau De Parfum 100ml</t>
        </is>
      </c>
      <c r="C2813" t="inlineStr">
        <is>
          <t>Eau De Parfum</t>
        </is>
      </c>
      <c r="D2813" t="inlineStr">
        <is>
          <t>Lattafa</t>
        </is>
      </c>
      <c r="E2813" t="n">
        <v>18.61</v>
      </c>
      <c r="F2813" t="n">
        <v>1</v>
      </c>
      <c r="G2813" t="n">
        <v>21</v>
      </c>
      <c r="H2813" s="5">
        <f>HYPERLINK("https://api.qogita.com/variants/link/6290360591544/", "View Product")</f>
        <v/>
      </c>
    </row>
    <row r="2814">
      <c r="A2814" t="inlineStr">
        <is>
          <t>6290360591599</t>
        </is>
      </c>
      <c r="B2814" t="inlineStr">
        <is>
          <t>Sceptre Malachite Perfumed Water Spray 100ml</t>
        </is>
      </c>
      <c r="C2814" t="inlineStr">
        <is>
          <t>Eau De Parfum</t>
        </is>
      </c>
      <c r="D2814" t="inlineStr">
        <is>
          <t>Sèptre</t>
        </is>
      </c>
      <c r="E2814" t="n">
        <v>21.2</v>
      </c>
      <c r="F2814" t="n">
        <v>1</v>
      </c>
      <c r="G2814" t="n">
        <v>1449</v>
      </c>
      <c r="H2814" s="5">
        <f>HYPERLINK("https://api.qogita.com/variants/link/6290360591599/", "View Product")</f>
        <v/>
      </c>
    </row>
    <row r="2815">
      <c r="A2815" t="inlineStr">
        <is>
          <t>6290360591629</t>
        </is>
      </c>
      <c r="B2815" t="inlineStr">
        <is>
          <t>Sceptre Bronzite Perfumed Water Spray 100ml</t>
        </is>
      </c>
      <c r="C2815" t="inlineStr">
        <is>
          <t>Eau De Toilette</t>
        </is>
      </c>
      <c r="D2815" t="inlineStr">
        <is>
          <t>Maison Alhambra</t>
        </is>
      </c>
      <c r="E2815" t="n">
        <v>14.97</v>
      </c>
      <c r="F2815" t="n">
        <v>1</v>
      </c>
      <c r="G2815" t="n">
        <v>518</v>
      </c>
      <c r="H2815" s="5">
        <f>HYPERLINK("https://api.qogita.com/variants/link/6290360591629/", "View Product")</f>
        <v/>
      </c>
    </row>
    <row r="2816">
      <c r="A2816" t="inlineStr">
        <is>
          <t>6290360591964</t>
        </is>
      </c>
      <c r="B2816" t="inlineStr">
        <is>
          <t>Lattafa Pride Art Of Arabia Ii Eau De Parfum Spray 100ml</t>
        </is>
      </c>
      <c r="C2816" t="inlineStr">
        <is>
          <t>Eau De Parfum</t>
        </is>
      </c>
      <c r="D2816" t="inlineStr">
        <is>
          <t>Lattafa</t>
        </is>
      </c>
      <c r="E2816" t="n">
        <v>26.2</v>
      </c>
      <c r="F2816" t="n">
        <v>1</v>
      </c>
      <c r="G2816" t="n">
        <v>71</v>
      </c>
      <c r="H2816" s="5">
        <f>HYPERLINK("https://api.qogita.com/variants/link/6290360591964/", "View Product")</f>
        <v/>
      </c>
    </row>
    <row r="2817">
      <c r="A2817" t="inlineStr">
        <is>
          <t>6290360592084</t>
        </is>
      </c>
      <c r="B2817" t="inlineStr">
        <is>
          <t>Lattafa Niche Emarati Toleen 2.7 Eau de Parfum Spray Metal Bottle</t>
        </is>
      </c>
      <c r="C2817" t="inlineStr">
        <is>
          <t>Eau De Parfum</t>
        </is>
      </c>
      <c r="D2817" t="inlineStr">
        <is>
          <t>Lattafa</t>
        </is>
      </c>
      <c r="E2817" t="n">
        <v>47.25</v>
      </c>
      <c r="F2817" t="n">
        <v>1</v>
      </c>
      <c r="G2817" t="n">
        <v>25</v>
      </c>
      <c r="H2817" s="5">
        <f>HYPERLINK("https://api.qogita.com/variants/link/6290360592084/", "View Product")</f>
        <v/>
      </c>
    </row>
    <row r="2818">
      <c r="A2818" t="inlineStr">
        <is>
          <t>6290360592138</t>
        </is>
      </c>
      <c r="B2818" t="inlineStr">
        <is>
          <t>Lattafa Niche Emarati Al Dana Eau De Parfum Spray 100ml</t>
        </is>
      </c>
      <c r="C2818" t="inlineStr">
        <is>
          <t>Eau De Parfum</t>
        </is>
      </c>
      <c r="D2818" t="inlineStr">
        <is>
          <t>Lattafa</t>
        </is>
      </c>
      <c r="E2818" t="n">
        <v>26.66</v>
      </c>
      <c r="F2818" t="n">
        <v>1</v>
      </c>
      <c r="G2818" t="n">
        <v>9</v>
      </c>
      <c r="H2818" s="5">
        <f>HYPERLINK("https://api.qogita.com/variants/link/6290360592138/", "View Product")</f>
        <v/>
      </c>
    </row>
    <row r="2819">
      <c r="A2819" t="inlineStr">
        <is>
          <t>6290360592145</t>
        </is>
      </c>
      <c r="B2819" t="inlineStr">
        <is>
          <t>Lattafa Niche Emarati Al Jawhara Eau De Parfum Spray 100ml</t>
        </is>
      </c>
      <c r="C2819" t="inlineStr">
        <is>
          <t>Eau De Parfum</t>
        </is>
      </c>
      <c r="D2819" t="inlineStr">
        <is>
          <t>Lattafa</t>
        </is>
      </c>
      <c r="E2819" t="n">
        <v>34.99</v>
      </c>
      <c r="F2819" t="n">
        <v>1</v>
      </c>
      <c r="G2819" t="n">
        <v>200</v>
      </c>
      <c r="H2819" s="5">
        <f>HYPERLINK("https://api.qogita.com/variants/link/6290360592145/", "View Product")</f>
        <v/>
      </c>
    </row>
    <row r="2820">
      <c r="A2820" t="inlineStr">
        <is>
          <t>6290360592183</t>
        </is>
      </c>
      <c r="B2820" t="inlineStr">
        <is>
          <t>Lattafa Mughal Fort Eau De Parfum 100ml</t>
        </is>
      </c>
      <c r="C2820" t="inlineStr">
        <is>
          <t>Eau De Parfum</t>
        </is>
      </c>
      <c r="D2820" t="inlineStr">
        <is>
          <t>Lattafa</t>
        </is>
      </c>
      <c r="E2820" t="n">
        <v>32.97</v>
      </c>
      <c r="F2820" t="n">
        <v>1</v>
      </c>
      <c r="G2820" t="n">
        <v>81</v>
      </c>
      <c r="H2820" s="5">
        <f>HYPERLINK("https://api.qogita.com/variants/link/6290360592183/", "View Product")</f>
        <v/>
      </c>
    </row>
    <row r="2821">
      <c r="A2821" t="inlineStr">
        <is>
          <t>6290360592794</t>
        </is>
      </c>
      <c r="B2821" t="inlineStr">
        <is>
          <t>Lattafa Pride Embrace Eau De Parfum Spray 100ml</t>
        </is>
      </c>
      <c r="C2821" t="inlineStr">
        <is>
          <t>Eau De Parfum</t>
        </is>
      </c>
      <c r="D2821" t="inlineStr">
        <is>
          <t>Lattafa</t>
        </is>
      </c>
      <c r="E2821" t="n">
        <v>16.51</v>
      </c>
      <c r="F2821" t="n">
        <v>1</v>
      </c>
      <c r="G2821" t="n">
        <v>33</v>
      </c>
      <c r="H2821" s="5">
        <f>HYPERLINK("https://api.qogita.com/variants/link/6290360592794/", "View Product")</f>
        <v/>
      </c>
    </row>
    <row r="2822">
      <c r="A2822" t="inlineStr">
        <is>
          <t>6290360593036</t>
        </is>
      </c>
      <c r="B2822" t="inlineStr">
        <is>
          <t>Lattafa Pride Pisa Eau De Parfum Spray 100ml</t>
        </is>
      </c>
      <c r="C2822" t="inlineStr">
        <is>
          <t>Eau De Parfum</t>
        </is>
      </c>
      <c r="D2822" t="inlineStr">
        <is>
          <t>Lattafa</t>
        </is>
      </c>
      <c r="E2822" t="n">
        <v>31.87</v>
      </c>
      <c r="F2822" t="n">
        <v>1</v>
      </c>
      <c r="G2822" t="n">
        <v>109</v>
      </c>
      <c r="H2822" s="5">
        <f>HYPERLINK("https://api.qogita.com/variants/link/6290360593036/", "View Product")</f>
        <v/>
      </c>
    </row>
    <row r="2823">
      <c r="A2823" t="inlineStr">
        <is>
          <t>6290360593098</t>
        </is>
      </c>
      <c r="B2823" t="inlineStr">
        <is>
          <t>Lattafa Niche Emarati Durrah Eau De Parfum 100ml</t>
        </is>
      </c>
      <c r="C2823" t="inlineStr">
        <is>
          <t>Eau De Parfum</t>
        </is>
      </c>
      <c r="D2823" t="inlineStr">
        <is>
          <t>Lattafa</t>
        </is>
      </c>
      <c r="E2823" t="n">
        <v>39.96</v>
      </c>
      <c r="F2823" t="n">
        <v>1</v>
      </c>
      <c r="G2823" t="n">
        <v>250</v>
      </c>
      <c r="H2823" s="5">
        <f>HYPERLINK("https://api.qogita.com/variants/link/6290360593098/", "View Product")</f>
        <v/>
      </c>
    </row>
    <row r="2824">
      <c r="A2824" t="inlineStr">
        <is>
          <t>6290360593142</t>
        </is>
      </c>
      <c r="B2824" t="inlineStr">
        <is>
          <t>Lattafa Bade'e Al Oud Sublime Eau De Parfum 100ml</t>
        </is>
      </c>
      <c r="C2824" t="inlineStr">
        <is>
          <t>Eau De Parfum</t>
        </is>
      </c>
      <c r="D2824" t="inlineStr">
        <is>
          <t>Lattafa</t>
        </is>
      </c>
      <c r="E2824" t="n">
        <v>19.65</v>
      </c>
      <c r="F2824" t="n">
        <v>1</v>
      </c>
      <c r="G2824" t="n">
        <v>487</v>
      </c>
      <c r="H2824" s="5">
        <f>HYPERLINK("https://api.qogita.com/variants/link/6290360593142/", "View Product")</f>
        <v/>
      </c>
    </row>
    <row r="2825">
      <c r="A2825" t="inlineStr">
        <is>
          <t>6290360593661</t>
        </is>
      </c>
      <c r="B2825" t="inlineStr">
        <is>
          <t>Lattafa Khamrah Qahwa Eau De Parfum Spray 100ml</t>
        </is>
      </c>
      <c r="C2825" t="inlineStr">
        <is>
          <t>Eau De Parfum</t>
        </is>
      </c>
      <c r="D2825" t="inlineStr">
        <is>
          <t>Lattafa</t>
        </is>
      </c>
      <c r="E2825" t="n">
        <v>21.72</v>
      </c>
      <c r="F2825" t="n">
        <v>1</v>
      </c>
      <c r="G2825" t="n">
        <v>459</v>
      </c>
      <c r="H2825" s="5">
        <f>HYPERLINK("https://api.qogita.com/variants/link/6290360593661/", "View Product")</f>
        <v/>
      </c>
    </row>
    <row r="2826">
      <c r="A2826" t="inlineStr">
        <is>
          <t>6290360595764</t>
        </is>
      </c>
      <c r="B2826" t="inlineStr">
        <is>
          <t>Lattafa Teriaq Eau De Parfum 100ml Unisex Fragrance</t>
        </is>
      </c>
      <c r="C2826" t="inlineStr">
        <is>
          <t>Eau De Parfum</t>
        </is>
      </c>
      <c r="D2826" t="inlineStr">
        <is>
          <t>Lattafa</t>
        </is>
      </c>
      <c r="E2826" t="n">
        <v>22.32</v>
      </c>
      <c r="F2826" t="n">
        <v>1</v>
      </c>
      <c r="G2826" t="n">
        <v>214</v>
      </c>
      <c r="H2826" s="5">
        <f>HYPERLINK("https://api.qogita.com/variants/link/6290360595764/", "View Product")</f>
        <v/>
      </c>
    </row>
    <row r="2827">
      <c r="A2827" t="inlineStr">
        <is>
          <t>6290360595771</t>
        </is>
      </c>
      <c r="B2827" t="inlineStr">
        <is>
          <t>Lattafa Teriaq Intense Eau De Parfum 100ml</t>
        </is>
      </c>
      <c r="C2827" t="inlineStr">
        <is>
          <t>Eau De Parfum</t>
        </is>
      </c>
      <c r="D2827" t="inlineStr">
        <is>
          <t>Lattafa</t>
        </is>
      </c>
      <c r="E2827" t="n">
        <v>22.92</v>
      </c>
      <c r="F2827" t="n">
        <v>1</v>
      </c>
      <c r="G2827" t="n">
        <v>459</v>
      </c>
      <c r="H2827" s="5">
        <f>HYPERLINK("https://api.qogita.com/variants/link/6290360595771/", "View Product")</f>
        <v/>
      </c>
    </row>
    <row r="2828">
      <c r="A2828" t="inlineStr">
        <is>
          <t>6290360596174</t>
        </is>
      </c>
      <c r="B2828" t="inlineStr">
        <is>
          <t>Riiffs Celesto Intense Eau De Parfum 100ml Spray Perfume Fruity Heart</t>
        </is>
      </c>
      <c r="C2828" t="inlineStr">
        <is>
          <t>Eau De Parfum</t>
        </is>
      </c>
      <c r="D2828" t="inlineStr">
        <is>
          <t>Riiffs</t>
        </is>
      </c>
      <c r="E2828" t="n">
        <v>11.74</v>
      </c>
      <c r="F2828" t="n">
        <v>1</v>
      </c>
      <c r="G2828" t="n">
        <v>34</v>
      </c>
      <c r="H2828" s="5">
        <f>HYPERLINK("https://api.qogita.com/variants/link/6290360596174/", "View Product")</f>
        <v/>
      </c>
    </row>
    <row r="2829">
      <c r="A2829" t="inlineStr">
        <is>
          <t>6290360598338</t>
        </is>
      </c>
      <c r="B2829" t="inlineStr">
        <is>
          <t>Lattafa Angham Eau De Parfum 100ml</t>
        </is>
      </c>
      <c r="C2829" t="inlineStr">
        <is>
          <t>Eau De Parfum</t>
        </is>
      </c>
      <c r="D2829" t="inlineStr">
        <is>
          <t>Lattafa</t>
        </is>
      </c>
      <c r="E2829" t="n">
        <v>26.54</v>
      </c>
      <c r="F2829" t="n">
        <v>1</v>
      </c>
      <c r="G2829" t="n">
        <v>2224</v>
      </c>
      <c r="H2829" s="5">
        <f>HYPERLINK("https://api.qogita.com/variants/link/6290360598338/", "View Product")</f>
        <v/>
      </c>
    </row>
    <row r="2830">
      <c r="A2830" t="inlineStr">
        <is>
          <t>6290360598680</t>
        </is>
      </c>
      <c r="B2830" t="inlineStr">
        <is>
          <t>Maison Alhambra Vogue Party Eau De Parfum 100ml</t>
        </is>
      </c>
      <c r="C2830" t="inlineStr">
        <is>
          <t>Eau De Parfum</t>
        </is>
      </c>
      <c r="D2830" t="inlineStr">
        <is>
          <t>Maison Alhambra</t>
        </is>
      </c>
      <c r="E2830" t="n">
        <v>13.09</v>
      </c>
      <c r="F2830" t="n">
        <v>1</v>
      </c>
      <c r="G2830" t="n">
        <v>146</v>
      </c>
      <c r="H2830" s="5">
        <f>HYPERLINK("https://api.qogita.com/variants/link/6290360598680/", "View Product")</f>
        <v/>
      </c>
    </row>
    <row r="2831">
      <c r="A2831" t="inlineStr">
        <is>
          <t>6290360598758</t>
        </is>
      </c>
      <c r="B2831" t="inlineStr">
        <is>
          <t>Nusuk Ajwaa Roses Eau De Parfum Spray 3.4 Oz 100 Ml</t>
        </is>
      </c>
      <c r="C2831" t="inlineStr">
        <is>
          <t>Eau De Parfum</t>
        </is>
      </c>
      <c r="D2831" t="inlineStr">
        <is>
          <t>Rituals</t>
        </is>
      </c>
      <c r="E2831" t="n">
        <v>13.33</v>
      </c>
      <c r="F2831" t="n">
        <v>1</v>
      </c>
      <c r="G2831" t="n">
        <v>2</v>
      </c>
      <c r="H2831" s="5">
        <f>HYPERLINK("https://api.qogita.com/variants/link/6290360598758/", "View Product")</f>
        <v/>
      </c>
    </row>
    <row r="2832">
      <c r="A2832" t="inlineStr">
        <is>
          <t>6290360598796</t>
        </is>
      </c>
      <c r="B2832" t="inlineStr">
        <is>
          <t>Lattafa Petra Eau De Parfum 100 Ml</t>
        </is>
      </c>
      <c r="C2832" t="inlineStr">
        <is>
          <t>Eau De Parfum</t>
        </is>
      </c>
      <c r="D2832" t="inlineStr">
        <is>
          <t>Lattafa</t>
        </is>
      </c>
      <c r="E2832" t="n">
        <v>24.97</v>
      </c>
      <c r="F2832" t="n">
        <v>1</v>
      </c>
      <c r="G2832" t="n">
        <v>459</v>
      </c>
      <c r="H2832" s="5">
        <f>HYPERLINK("https://api.qogita.com/variants/link/6290360598796/", "View Product")</f>
        <v/>
      </c>
    </row>
    <row r="2833">
      <c r="A2833" t="inlineStr">
        <is>
          <t>6290360598857</t>
        </is>
      </c>
      <c r="B2833" t="inlineStr">
        <is>
          <t>Lattafa Dynasty Unisex Eau De Parfum 100ml</t>
        </is>
      </c>
      <c r="C2833" t="inlineStr">
        <is>
          <t>Eau De Parfum</t>
        </is>
      </c>
      <c r="D2833" t="inlineStr">
        <is>
          <t>Lattafa</t>
        </is>
      </c>
      <c r="E2833" t="n">
        <v>19.31</v>
      </c>
      <c r="F2833" t="n">
        <v>1</v>
      </c>
      <c r="G2833" t="n">
        <v>459</v>
      </c>
      <c r="H2833" s="5">
        <f>HYPERLINK("https://api.qogita.com/variants/link/6290360598857/", "View Product")</f>
        <v/>
      </c>
    </row>
    <row r="2834">
      <c r="A2834" t="inlineStr">
        <is>
          <t>6290360598901</t>
        </is>
      </c>
      <c r="B2834" t="inlineStr">
        <is>
          <t>Lattafa Fire On Ice Eau De Parfum 110ml</t>
        </is>
      </c>
      <c r="C2834" t="inlineStr">
        <is>
          <t>Travel Sets</t>
        </is>
      </c>
      <c r="D2834" t="inlineStr">
        <is>
          <t>Lattafa</t>
        </is>
      </c>
      <c r="E2834" t="n">
        <v>24.74</v>
      </c>
      <c r="F2834" t="n">
        <v>1</v>
      </c>
      <c r="G2834" t="n">
        <v>459</v>
      </c>
      <c r="H2834" s="5">
        <f>HYPERLINK("https://api.qogita.com/variants/link/6290360598901/", "View Product")</f>
        <v/>
      </c>
    </row>
    <row r="2835">
      <c r="A2835" t="inlineStr">
        <is>
          <t>6290360598918</t>
        </is>
      </c>
      <c r="B2835" t="inlineStr">
        <is>
          <t>Lattafa Atheeri Eau De Parfum 100ml</t>
        </is>
      </c>
      <c r="C2835" t="inlineStr">
        <is>
          <t>Eau De Parfum</t>
        </is>
      </c>
      <c r="D2835" t="inlineStr">
        <is>
          <t>Lattafa</t>
        </is>
      </c>
      <c r="E2835" t="n">
        <v>24.74</v>
      </c>
      <c r="F2835" t="n">
        <v>1</v>
      </c>
      <c r="G2835" t="n">
        <v>459</v>
      </c>
      <c r="H2835" s="5">
        <f>HYPERLINK("https://api.qogita.com/variants/link/6290360598918/", "View Product")</f>
        <v/>
      </c>
    </row>
    <row r="2836">
      <c r="A2836" t="inlineStr">
        <is>
          <t>6290360598963</t>
        </is>
      </c>
      <c r="B2836" t="inlineStr">
        <is>
          <t>Lattafa Mayar Cherry Intense Eau De Parfum Spray 100ml</t>
        </is>
      </c>
      <c r="C2836" t="inlineStr">
        <is>
          <t>Eau De Parfum</t>
        </is>
      </c>
      <c r="D2836" t="inlineStr">
        <is>
          <t>Lattafa</t>
        </is>
      </c>
      <c r="E2836" t="n">
        <v>15.68</v>
      </c>
      <c r="F2836" t="n">
        <v>1</v>
      </c>
      <c r="G2836" t="n">
        <v>459</v>
      </c>
      <c r="H2836" s="5">
        <f>HYPERLINK("https://api.qogita.com/variants/link/6290360598963/", "View Product")</f>
        <v/>
      </c>
    </row>
    <row r="2837">
      <c r="A2837" t="inlineStr">
        <is>
          <t>6290360599274</t>
        </is>
      </c>
      <c r="B2837" t="inlineStr">
        <is>
          <t>Maison Alhambra Imperium Eau De Parfum 100 Ml</t>
        </is>
      </c>
      <c r="C2837" t="inlineStr">
        <is>
          <t>Eau De Parfum</t>
        </is>
      </c>
      <c r="D2837" t="inlineStr">
        <is>
          <t>Maison Alhambra</t>
        </is>
      </c>
      <c r="E2837" t="n">
        <v>13.46</v>
      </c>
      <c r="F2837" t="n">
        <v>1</v>
      </c>
      <c r="G2837" t="n">
        <v>194</v>
      </c>
      <c r="H2837" s="5">
        <f>HYPERLINK("https://api.qogita.com/variants/link/6290360599274/", "View Product")</f>
        <v/>
      </c>
    </row>
    <row r="2838">
      <c r="A2838" t="inlineStr">
        <is>
          <t>6290360599441</t>
        </is>
      </c>
      <c r="B2838" t="inlineStr">
        <is>
          <t>Lattafa Bade'e Al Oud Noble Blush Eau De Parfum 100ml</t>
        </is>
      </c>
      <c r="C2838" t="inlineStr">
        <is>
          <t>Eau De Parfum</t>
        </is>
      </c>
      <c r="D2838" t="inlineStr">
        <is>
          <t>Lattafa</t>
        </is>
      </c>
      <c r="E2838" t="n">
        <v>20.51</v>
      </c>
      <c r="F2838" t="n">
        <v>1</v>
      </c>
      <c r="G2838" t="n">
        <v>459</v>
      </c>
      <c r="H2838" s="5">
        <f>HYPERLINK("https://api.qogita.com/variants/link/6290360599441/", "View Product")</f>
        <v/>
      </c>
    </row>
    <row r="2839">
      <c r="A2839" t="inlineStr">
        <is>
          <t>6290360599748</t>
        </is>
      </c>
      <c r="B2839" t="inlineStr">
        <is>
          <t>Lattafa Pride Play For Kids Eau De Parfum Spray 2.53 Ounce 75ml</t>
        </is>
      </c>
      <c r="C2839" t="inlineStr">
        <is>
          <t>Eau De Parfum</t>
        </is>
      </c>
      <c r="D2839" t="inlineStr">
        <is>
          <t>Lattafa</t>
        </is>
      </c>
      <c r="E2839" t="n">
        <v>13.34</v>
      </c>
      <c r="F2839" t="n">
        <v>1</v>
      </c>
      <c r="G2839" t="n">
        <v>176</v>
      </c>
      <c r="H2839" s="5">
        <f>HYPERLINK("https://api.qogita.com/variants/link/6290360599748/", "View Product")</f>
        <v/>
      </c>
    </row>
    <row r="2840">
      <c r="A2840" t="inlineStr">
        <is>
          <t>6290360599779</t>
        </is>
      </c>
      <c r="B2840" t="inlineStr">
        <is>
          <t>Lattafa Pride Stop Wait Go Eau De Parfum Spray 75ml</t>
        </is>
      </c>
      <c r="C2840" t="inlineStr">
        <is>
          <t>Eau De Parfum</t>
        </is>
      </c>
      <c r="D2840" t="inlineStr">
        <is>
          <t>Lattafa</t>
        </is>
      </c>
      <c r="E2840" t="n">
        <v>13.34</v>
      </c>
      <c r="F2840" t="n">
        <v>1</v>
      </c>
      <c r="G2840" t="n">
        <v>189</v>
      </c>
      <c r="H2840" s="5">
        <f>HYPERLINK("https://api.qogita.com/variants/link/6290360599779/", "View Product")</f>
        <v/>
      </c>
    </row>
    <row r="2841">
      <c r="A2841" t="inlineStr">
        <is>
          <t>6290360610320</t>
        </is>
      </c>
      <c r="B2841" t="inlineStr">
        <is>
          <t>Little Hearts Perfume Spray 50ml by Ahmed for Women</t>
        </is>
      </c>
      <c r="C2841" t="inlineStr">
        <is>
          <t>Eau De Parfum</t>
        </is>
      </c>
      <c r="D2841" t="inlineStr">
        <is>
          <t>Ahmed</t>
        </is>
      </c>
      <c r="E2841" t="n">
        <v>9.69</v>
      </c>
      <c r="F2841" t="n">
        <v>1</v>
      </c>
      <c r="G2841" t="n">
        <v>24</v>
      </c>
      <c r="H2841" s="5">
        <f>HYPERLINK("https://api.qogita.com/variants/link/6290360610320/", "View Product")</f>
        <v/>
      </c>
    </row>
    <row r="2842">
      <c r="A2842" t="inlineStr">
        <is>
          <t>6290360610634</t>
        </is>
      </c>
      <c r="B2842" t="inlineStr">
        <is>
          <t>Ahmed Al Maghribi Pearl Oud - Eau De Parfum</t>
        </is>
      </c>
      <c r="C2842" t="inlineStr">
        <is>
          <t>Eau De Parfum</t>
        </is>
      </c>
      <c r="D2842" t="inlineStr">
        <is>
          <t>Ahmed Al Maghribi</t>
        </is>
      </c>
      <c r="E2842" t="n">
        <v>26.25</v>
      </c>
      <c r="F2842" t="n">
        <v>1</v>
      </c>
      <c r="G2842" t="n">
        <v>2</v>
      </c>
      <c r="H2842" s="5">
        <f>HYPERLINK("https://api.qogita.com/variants/link/6290360610634/", "View Product")</f>
        <v/>
      </c>
    </row>
    <row r="2843">
      <c r="A2843" t="inlineStr">
        <is>
          <t>6290362340164</t>
        </is>
      </c>
      <c r="B2843" t="inlineStr">
        <is>
          <t>Maison Alhambra La Charmante Eau De Parfum 100ml</t>
        </is>
      </c>
      <c r="C2843" t="inlineStr">
        <is>
          <t>Eau De Parfum</t>
        </is>
      </c>
      <c r="D2843" t="inlineStr">
        <is>
          <t>Maison Alhambra</t>
        </is>
      </c>
      <c r="E2843" t="n">
        <v>14.87</v>
      </c>
      <c r="F2843" t="n">
        <v>1</v>
      </c>
      <c r="G2843" t="n">
        <v>428</v>
      </c>
      <c r="H2843" s="5">
        <f>HYPERLINK("https://api.qogita.com/variants/link/6290362340164/", "View Product")</f>
        <v/>
      </c>
    </row>
    <row r="2844">
      <c r="A2844" t="inlineStr">
        <is>
          <t>6290362340584</t>
        </is>
      </c>
      <c r="B2844" t="inlineStr">
        <is>
          <t>Maison Alhambra Victorioso Heroic For Men Eau De Parfum Spray 3.4 Ounce</t>
        </is>
      </c>
      <c r="C2844" t="inlineStr">
        <is>
          <t>Eau De Parfum</t>
        </is>
      </c>
      <c r="D2844" t="inlineStr">
        <is>
          <t>Maison Alhambra</t>
        </is>
      </c>
      <c r="E2844" t="n">
        <v>11.9</v>
      </c>
      <c r="F2844" t="n">
        <v>1</v>
      </c>
      <c r="G2844" t="n">
        <v>192</v>
      </c>
      <c r="H2844" s="5">
        <f>HYPERLINK("https://api.qogita.com/variants/link/6290362340584/", "View Product")</f>
        <v/>
      </c>
    </row>
    <row r="2845">
      <c r="A2845" t="inlineStr">
        <is>
          <t>6290362340591</t>
        </is>
      </c>
      <c r="B2845" t="inlineStr">
        <is>
          <t>Maison Alhambra Victorioso Fearless EDP 100 ml</t>
        </is>
      </c>
      <c r="C2845" t="inlineStr">
        <is>
          <t>Eau De Parfum</t>
        </is>
      </c>
      <c r="D2845" t="inlineStr">
        <is>
          <t>Maison Alhambra</t>
        </is>
      </c>
      <c r="E2845" t="n">
        <v>11.85</v>
      </c>
      <c r="F2845" t="n">
        <v>1</v>
      </c>
      <c r="G2845" t="n">
        <v>396</v>
      </c>
      <c r="H2845" s="5">
        <f>HYPERLINK("https://api.qogita.com/variants/link/6290362340591/", "View Product")</f>
        <v/>
      </c>
    </row>
    <row r="2846">
      <c r="A2846" t="inlineStr">
        <is>
          <t>6290362340706</t>
        </is>
      </c>
      <c r="B2846" t="inlineStr">
        <is>
          <t>Maison Alhambra Renee Carmine Eau De Parfum 100ml</t>
        </is>
      </c>
      <c r="C2846" t="inlineStr">
        <is>
          <t>Eau De Parfum</t>
        </is>
      </c>
      <c r="D2846" t="inlineStr">
        <is>
          <t>Maison Alhambra</t>
        </is>
      </c>
      <c r="E2846" t="n">
        <v>16.58</v>
      </c>
      <c r="F2846" t="n">
        <v>1</v>
      </c>
      <c r="G2846" t="n">
        <v>459</v>
      </c>
      <c r="H2846" s="5">
        <f>HYPERLINK("https://api.qogita.com/variants/link/6290362340706/", "View Product")</f>
        <v/>
      </c>
    </row>
    <row r="2847">
      <c r="A2847" t="inlineStr">
        <is>
          <t>6290362340720</t>
        </is>
      </c>
      <c r="B2847" t="inlineStr">
        <is>
          <t>Maison Alhambra Infini Intoxicating Cherry EDP 100 ml</t>
        </is>
      </c>
      <c r="C2847" t="inlineStr">
        <is>
          <t>Eau De Parfum</t>
        </is>
      </c>
      <c r="D2847" t="inlineStr">
        <is>
          <t>Lattafa</t>
        </is>
      </c>
      <c r="E2847" t="n">
        <v>16.72</v>
      </c>
      <c r="F2847" t="n">
        <v>1</v>
      </c>
      <c r="G2847" t="n">
        <v>66</v>
      </c>
      <c r="H2847" s="5">
        <f>HYPERLINK("https://api.qogita.com/variants/link/6290362340720/", "View Product")</f>
        <v/>
      </c>
    </row>
    <row r="2848">
      <c r="A2848" t="inlineStr">
        <is>
          <t>6290362340782</t>
        </is>
      </c>
      <c r="B2848" t="inlineStr">
        <is>
          <t>Maison Alhambra Decadent Wonder Eau De Parfum Spray 100ml 3.4 Oz</t>
        </is>
      </c>
      <c r="C2848" t="inlineStr">
        <is>
          <t>Eau De Parfum</t>
        </is>
      </c>
      <c r="D2848" t="inlineStr">
        <is>
          <t>Maison Alhambra</t>
        </is>
      </c>
      <c r="E2848" t="n">
        <v>16.66</v>
      </c>
      <c r="F2848" t="n">
        <v>1</v>
      </c>
      <c r="G2848" t="n">
        <v>122</v>
      </c>
      <c r="H2848" s="5">
        <f>HYPERLINK("https://api.qogita.com/variants/link/6290362340782/", "View Product")</f>
        <v/>
      </c>
    </row>
    <row r="2849">
      <c r="A2849" t="inlineStr">
        <is>
          <t>6290362340829</t>
        </is>
      </c>
      <c r="B2849" t="inlineStr">
        <is>
          <t>Maison Alhambra Exquisite Prive Eau De Parfum 100ml</t>
        </is>
      </c>
      <c r="C2849" t="inlineStr">
        <is>
          <t>Eau De Parfum</t>
        </is>
      </c>
      <c r="D2849" t="inlineStr">
        <is>
          <t>Maison Alhambra</t>
        </is>
      </c>
      <c r="E2849" t="n">
        <v>9.949999999999999</v>
      </c>
      <c r="F2849" t="n">
        <v>1</v>
      </c>
      <c r="G2849" t="n">
        <v>404</v>
      </c>
      <c r="H2849" s="5">
        <f>HYPERLINK("https://api.qogita.com/variants/link/6290362340829/", "View Product")</f>
        <v/>
      </c>
    </row>
    <row r="2850">
      <c r="A2850" t="inlineStr">
        <is>
          <t>6290362340874</t>
        </is>
      </c>
      <c r="B2850" t="inlineStr">
        <is>
          <t>Maison Alhambra Narissa Et Moi Eau De Parfum Spray 3.4 Ounce 100ml</t>
        </is>
      </c>
      <c r="C2850" t="inlineStr">
        <is>
          <t>Eau De Parfum</t>
        </is>
      </c>
      <c r="D2850" t="inlineStr">
        <is>
          <t>Maison Alhambra</t>
        </is>
      </c>
      <c r="E2850" t="n">
        <v>9.460000000000001</v>
      </c>
      <c r="F2850" t="n">
        <v>1</v>
      </c>
      <c r="G2850" t="n">
        <v>258</v>
      </c>
      <c r="H2850" s="5">
        <f>HYPERLINK("https://api.qogita.com/variants/link/6290362340874/", "View Product")</f>
        <v/>
      </c>
    </row>
    <row r="2851">
      <c r="A2851" t="inlineStr">
        <is>
          <t>6290362340881</t>
        </is>
      </c>
      <c r="B2851" t="inlineStr">
        <is>
          <t>Maison Alhambra Opera Rouge Eau De Parfum Spray 100ml 3.4 Oz - Playful Blend</t>
        </is>
      </c>
      <c r="C2851" t="inlineStr">
        <is>
          <t>Eau De Parfum</t>
        </is>
      </c>
      <c r="D2851" t="inlineStr">
        <is>
          <t>Maison Alhambra</t>
        </is>
      </c>
      <c r="E2851" t="n">
        <v>10.44</v>
      </c>
      <c r="F2851" t="n">
        <v>1</v>
      </c>
      <c r="G2851" t="n">
        <v>330</v>
      </c>
      <c r="H2851" s="5">
        <f>HYPERLINK("https://api.qogita.com/variants/link/6290362340881/", "View Product")</f>
        <v/>
      </c>
    </row>
    <row r="2852">
      <c r="A2852" t="inlineStr">
        <is>
          <t>6290362340904</t>
        </is>
      </c>
      <c r="B2852" t="inlineStr">
        <is>
          <t>Maison Alhambra Philos Shine Eau De Parfum 100ml</t>
        </is>
      </c>
      <c r="C2852" t="inlineStr">
        <is>
          <t>Eau De Parfum</t>
        </is>
      </c>
      <c r="D2852" t="inlineStr">
        <is>
          <t>Maison Alhambra</t>
        </is>
      </c>
      <c r="E2852" t="n">
        <v>14.92</v>
      </c>
      <c r="F2852" t="n">
        <v>1</v>
      </c>
      <c r="G2852" t="n">
        <v>362</v>
      </c>
      <c r="H2852" s="5">
        <f>HYPERLINK("https://api.qogita.com/variants/link/6290362340904/", "View Product")</f>
        <v/>
      </c>
    </row>
    <row r="2853">
      <c r="A2853" t="inlineStr">
        <is>
          <t>6290362340942</t>
        </is>
      </c>
      <c r="B2853" t="inlineStr">
        <is>
          <t>Maison Alhambra Toro Pour Homme Glace Eau De Parfum 100ml</t>
        </is>
      </c>
      <c r="C2853" t="inlineStr">
        <is>
          <t>Eau De Parfum</t>
        </is>
      </c>
      <c r="D2853" t="inlineStr">
        <is>
          <t>Maison Alhambra</t>
        </is>
      </c>
      <c r="E2853" t="n">
        <v>9.460000000000001</v>
      </c>
      <c r="F2853" t="n">
        <v>1</v>
      </c>
      <c r="G2853" t="n">
        <v>269</v>
      </c>
      <c r="H2853" s="5">
        <f>HYPERLINK("https://api.qogita.com/variants/link/6290362340942/", "View Product")</f>
        <v/>
      </c>
    </row>
    <row r="2854">
      <c r="A2854" t="inlineStr">
        <is>
          <t>6290362341000</t>
        </is>
      </c>
      <c r="B2854" t="inlineStr">
        <is>
          <t>Maison Alhambra Your Touch Oud Eau De Parfum Spray 100ml 3.4oz - Rich Blend</t>
        </is>
      </c>
      <c r="C2854" t="inlineStr">
        <is>
          <t>Eau De Parfum</t>
        </is>
      </c>
      <c r="D2854" t="inlineStr">
        <is>
          <t>Maison Alhambra</t>
        </is>
      </c>
      <c r="E2854" t="n">
        <v>11.97</v>
      </c>
      <c r="F2854" t="n">
        <v>1</v>
      </c>
      <c r="G2854" t="n">
        <v>160</v>
      </c>
      <c r="H2854" s="5">
        <f>HYPERLINK("https://api.qogita.com/variants/link/6290362341000/", "View Product")</f>
        <v/>
      </c>
    </row>
    <row r="2855">
      <c r="A2855" t="inlineStr">
        <is>
          <t>6290362341017</t>
        </is>
      </c>
      <c r="B2855" t="inlineStr">
        <is>
          <t>Maison Alhambra Your Touch Tobacco EDP for Men 3.4 Fl Oz</t>
        </is>
      </c>
      <c r="C2855" t="inlineStr">
        <is>
          <t>Eau De Parfum</t>
        </is>
      </c>
      <c r="D2855" t="inlineStr">
        <is>
          <t>Maison Alhambra</t>
        </is>
      </c>
      <c r="E2855" t="n">
        <v>9.550000000000001</v>
      </c>
      <c r="F2855" t="n">
        <v>1</v>
      </c>
      <c r="G2855" t="n">
        <v>128</v>
      </c>
      <c r="H2855" s="5">
        <f>HYPERLINK("https://api.qogita.com/variants/link/6290362341017/", "View Product")</f>
        <v/>
      </c>
    </row>
    <row r="2856">
      <c r="A2856" t="inlineStr">
        <is>
          <t>6290362341161</t>
        </is>
      </c>
      <c r="B2856" t="inlineStr">
        <is>
          <t>Maison Alhambra Luxe Gold Eau De Parfum 100 Ml</t>
        </is>
      </c>
      <c r="C2856" t="inlineStr">
        <is>
          <t>Eau De Parfum</t>
        </is>
      </c>
      <c r="D2856" t="inlineStr">
        <is>
          <t>Maison Alhambra</t>
        </is>
      </c>
      <c r="E2856" t="n">
        <v>17.01</v>
      </c>
      <c r="F2856" t="n">
        <v>1</v>
      </c>
      <c r="G2856" t="n">
        <v>411</v>
      </c>
      <c r="H2856" s="5">
        <f>HYPERLINK("https://api.qogita.com/variants/link/6290362341161/", "View Product")</f>
        <v/>
      </c>
    </row>
    <row r="2857">
      <c r="A2857" t="inlineStr">
        <is>
          <t>6290362341468</t>
        </is>
      </c>
      <c r="B2857" t="inlineStr">
        <is>
          <t>Lattafa Qaed Al Fursan Deodorant 200 Milliliters</t>
        </is>
      </c>
      <c r="C2857" t="inlineStr">
        <is>
          <t>Deodorant &amp; Anti-Perspirant</t>
        </is>
      </c>
      <c r="D2857" t="inlineStr">
        <is>
          <t>Lattafa</t>
        </is>
      </c>
      <c r="E2857" t="n">
        <v>3.66</v>
      </c>
      <c r="F2857" t="n">
        <v>1</v>
      </c>
      <c r="G2857" t="n">
        <v>8</v>
      </c>
      <c r="H2857" s="5">
        <f>HYPERLINK("https://api.qogita.com/variants/link/6290362341468/", "View Product")</f>
        <v/>
      </c>
    </row>
    <row r="2858">
      <c r="A2858" t="inlineStr">
        <is>
          <t>6290362345480</t>
        </is>
      </c>
      <c r="B2858" t="inlineStr">
        <is>
          <t>Lattafa Unisex Khamrah Qahwa Body Spray 6.7 oz Fragrances</t>
        </is>
      </c>
      <c r="C2858" t="inlineStr">
        <is>
          <t>Deodorant &amp; Anti-Perspirant</t>
        </is>
      </c>
      <c r="D2858" t="inlineStr">
        <is>
          <t>Lattafa</t>
        </is>
      </c>
      <c r="E2858" t="n">
        <v>4.58</v>
      </c>
      <c r="F2858" t="n">
        <v>1</v>
      </c>
      <c r="G2858" t="n">
        <v>400</v>
      </c>
      <c r="H2858" s="5">
        <f>HYPERLINK("https://api.qogita.com/variants/link/6290362345480/", "View Product")</f>
        <v/>
      </c>
    </row>
    <row r="2859">
      <c r="A2859" t="inlineStr">
        <is>
          <t>6290362345817</t>
        </is>
      </c>
      <c r="B2859" t="inlineStr">
        <is>
          <t>Lattafa Fakhar Platin Eau De Parfum for Men 100ml - Spicy Woody Fragrance</t>
        </is>
      </c>
      <c r="C2859" t="inlineStr">
        <is>
          <t>Eau De Parfum</t>
        </is>
      </c>
      <c r="D2859" t="inlineStr">
        <is>
          <t>Lattafa</t>
        </is>
      </c>
      <c r="E2859" t="n">
        <v>21.47</v>
      </c>
      <c r="F2859" t="n">
        <v>1</v>
      </c>
      <c r="G2859" t="n">
        <v>459</v>
      </c>
      <c r="H2859" s="5">
        <f>HYPERLINK("https://api.qogita.com/variants/link/6290362345817/", "View Product")</f>
        <v/>
      </c>
    </row>
    <row r="2860">
      <c r="A2860" t="inlineStr">
        <is>
          <t>6290362349112</t>
        </is>
      </c>
      <c r="B2860" t="inlineStr">
        <is>
          <t>Lattafa Eclaire Banoffi Eau De Parfum 100 Ml</t>
        </is>
      </c>
      <c r="C2860" t="inlineStr">
        <is>
          <t>Eau De Parfum</t>
        </is>
      </c>
      <c r="D2860" t="inlineStr">
        <is>
          <t>Lattafa</t>
        </is>
      </c>
      <c r="E2860" t="n">
        <v>28.58</v>
      </c>
      <c r="F2860" t="n">
        <v>1</v>
      </c>
      <c r="G2860" t="n">
        <v>190</v>
      </c>
      <c r="H2860" s="5">
        <f>HYPERLINK("https://api.qogita.com/variants/link/6290362349112/", "View Product")</f>
        <v/>
      </c>
    </row>
    <row r="2861">
      <c r="A2861" t="inlineStr">
        <is>
          <t>6291100130054</t>
        </is>
      </c>
      <c r="B2861" t="inlineStr">
        <is>
          <t>Al Haramain Musk Black Vanilla 12ml Unisex Arabian Attar Oil Luxurious Amber</t>
        </is>
      </c>
      <c r="C2861" t="inlineStr">
        <is>
          <t>Extrait De Parfum</t>
        </is>
      </c>
      <c r="D2861" t="inlineStr">
        <is>
          <t>Al Haramain</t>
        </is>
      </c>
      <c r="E2861" t="n">
        <v>12.75</v>
      </c>
      <c r="F2861" t="n">
        <v>1</v>
      </c>
      <c r="G2861" t="n">
        <v>4</v>
      </c>
      <c r="H2861" s="5">
        <f>HYPERLINK("https://api.qogita.com/variants/link/6291100130054/", "View Product")</f>
        <v/>
      </c>
    </row>
    <row r="2862">
      <c r="A2862" t="inlineStr">
        <is>
          <t>6291100130115</t>
        </is>
      </c>
      <c r="B2862" t="inlineStr">
        <is>
          <t>Al Haramain Amber Oud White Edition Eau De Parfum Spray 100ml</t>
        </is>
      </c>
      <c r="C2862" t="inlineStr">
        <is>
          <t>Eau De Parfum</t>
        </is>
      </c>
      <c r="D2862" t="inlineStr">
        <is>
          <t>Al Haramain</t>
        </is>
      </c>
      <c r="E2862" t="n">
        <v>41.72</v>
      </c>
      <c r="F2862" t="n">
        <v>1</v>
      </c>
      <c r="G2862" t="n">
        <v>13</v>
      </c>
      <c r="H2862" s="5">
        <f>HYPERLINK("https://api.qogita.com/variants/link/6291100130115/", "View Product")</f>
        <v/>
      </c>
    </row>
    <row r="2863">
      <c r="A2863" t="inlineStr">
        <is>
          <t>6291100130122</t>
        </is>
      </c>
      <c r="B2863" t="inlineStr">
        <is>
          <t>Al Haramain Amber Oud Gold Edition Eau De Parfum Spray 100ml</t>
        </is>
      </c>
      <c r="C2863" t="inlineStr">
        <is>
          <t>Eau De Parfum</t>
        </is>
      </c>
      <c r="D2863" t="inlineStr">
        <is>
          <t>Al Haramain</t>
        </is>
      </c>
      <c r="E2863" t="n">
        <v>40.46</v>
      </c>
      <c r="F2863" t="n">
        <v>1</v>
      </c>
      <c r="G2863" t="n">
        <v>72</v>
      </c>
      <c r="H2863" s="5">
        <f>HYPERLINK("https://api.qogita.com/variants/link/6291100130122/", "View Product")</f>
        <v/>
      </c>
    </row>
    <row r="2864">
      <c r="A2864" t="inlineStr">
        <is>
          <t>6291100130139</t>
        </is>
      </c>
      <c r="B2864" t="inlineStr">
        <is>
          <t>Al Haramain Hayati Gold Perfume Oil</t>
        </is>
      </c>
      <c r="C2864" t="inlineStr">
        <is>
          <t>Extrait De Parfum</t>
        </is>
      </c>
      <c r="D2864" t="inlineStr">
        <is>
          <t>Al Haramain</t>
        </is>
      </c>
      <c r="E2864" t="n">
        <v>52.55</v>
      </c>
      <c r="F2864" t="n">
        <v>1</v>
      </c>
      <c r="G2864" t="n">
        <v>2</v>
      </c>
      <c r="H2864" s="5">
        <f>HYPERLINK("https://api.qogita.com/variants/link/6291100130139/", "View Product")</f>
        <v/>
      </c>
    </row>
    <row r="2865">
      <c r="A2865" t="inlineStr">
        <is>
          <t>6291100130160</t>
        </is>
      </c>
      <c r="B2865" t="inlineStr">
        <is>
          <t>Al Haramain Amber Oud Carbon Edition Eau De Parfum Spray 100ml</t>
        </is>
      </c>
      <c r="C2865" t="inlineStr">
        <is>
          <t>Eau De Parfum</t>
        </is>
      </c>
      <c r="D2865" t="inlineStr">
        <is>
          <t>Al Haramain</t>
        </is>
      </c>
      <c r="E2865" t="n">
        <v>42.1</v>
      </c>
      <c r="F2865" t="n">
        <v>1</v>
      </c>
      <c r="G2865" t="n">
        <v>3</v>
      </c>
      <c r="H2865" s="5">
        <f>HYPERLINK("https://api.qogita.com/variants/link/6291100130160/", "View Product")</f>
        <v/>
      </c>
    </row>
    <row r="2866">
      <c r="A2866" t="inlineStr">
        <is>
          <t>6291100130337</t>
        </is>
      </c>
      <c r="B2866" t="inlineStr">
        <is>
          <t>Sadaf Perfumed Oil 15ml - Product Without Packaging</t>
        </is>
      </c>
      <c r="C2866" t="inlineStr">
        <is>
          <t>Refillable Fragrances &amp; Refills</t>
        </is>
      </c>
      <c r="D2866" t="inlineStr">
        <is>
          <t>Sadaf</t>
        </is>
      </c>
      <c r="E2866" t="n">
        <v>10.53</v>
      </c>
      <c r="F2866" t="n">
        <v>1</v>
      </c>
      <c r="G2866" t="n">
        <v>10</v>
      </c>
      <c r="H2866" s="5">
        <f>HYPERLINK("https://api.qogita.com/variants/link/6291100130337/", "View Product")</f>
        <v/>
      </c>
    </row>
    <row r="2867">
      <c r="A2867" t="inlineStr">
        <is>
          <t>6291100130504</t>
        </is>
      </c>
      <c r="B2867" t="inlineStr">
        <is>
          <t>Al Haramain Jameela Eau De Parfum Spray 100ml</t>
        </is>
      </c>
      <c r="C2867" t="inlineStr">
        <is>
          <t>Eau De Parfum</t>
        </is>
      </c>
      <c r="D2867" t="inlineStr">
        <is>
          <t>Al Haramain</t>
        </is>
      </c>
      <c r="E2867" t="n">
        <v>16.97</v>
      </c>
      <c r="F2867" t="n">
        <v>1</v>
      </c>
      <c r="G2867" t="n">
        <v>10</v>
      </c>
      <c r="H2867" s="5">
        <f>HYPERLINK("https://api.qogita.com/variants/link/6291100130504/", "View Product")</f>
        <v/>
      </c>
    </row>
    <row r="2868">
      <c r="A2868" t="inlineStr">
        <is>
          <t>6291100130580</t>
        </is>
      </c>
      <c r="B2868" t="inlineStr">
        <is>
          <t>Al Haramain Farasha Eau De Parfum Spray 100ml</t>
        </is>
      </c>
      <c r="C2868" t="inlineStr">
        <is>
          <t>Eau De Parfum</t>
        </is>
      </c>
      <c r="D2868" t="inlineStr">
        <is>
          <t>Al Haramain</t>
        </is>
      </c>
      <c r="E2868" t="n">
        <v>16.91</v>
      </c>
      <c r="F2868" t="n">
        <v>1</v>
      </c>
      <c r="G2868" t="n">
        <v>7</v>
      </c>
      <c r="H2868" s="5">
        <f>HYPERLINK("https://api.qogita.com/variants/link/6291100130580/", "View Product")</f>
        <v/>
      </c>
    </row>
    <row r="2869">
      <c r="A2869" t="inlineStr">
        <is>
          <t>6291100130597</t>
        </is>
      </c>
      <c r="B2869" t="inlineStr">
        <is>
          <t>Al Haramain L'Aventure Intense Eau De Parfum Spray 100ml</t>
        </is>
      </c>
      <c r="C2869" t="inlineStr">
        <is>
          <t>Eau De Parfum</t>
        </is>
      </c>
      <c r="D2869" t="inlineStr">
        <is>
          <t>Al Haramain</t>
        </is>
      </c>
      <c r="E2869" t="n">
        <v>23.98</v>
      </c>
      <c r="F2869" t="n">
        <v>1</v>
      </c>
      <c r="G2869" t="n">
        <v>46</v>
      </c>
      <c r="H2869" s="5">
        <f>HYPERLINK("https://api.qogita.com/variants/link/6291100130597/", "View Product")</f>
        <v/>
      </c>
    </row>
    <row r="2870">
      <c r="A2870" t="inlineStr">
        <is>
          <t>6291100130825</t>
        </is>
      </c>
      <c r="B2870" t="inlineStr">
        <is>
          <t>Al Haramain Portfolio Royale Stallion Eau De Parfum Spray 75ml</t>
        </is>
      </c>
      <c r="C2870" t="inlineStr">
        <is>
          <t>Eau De Parfum</t>
        </is>
      </c>
      <c r="D2870" t="inlineStr">
        <is>
          <t>Al Haramain</t>
        </is>
      </c>
      <c r="E2870" t="n">
        <v>60.31</v>
      </c>
      <c r="F2870" t="n">
        <v>1</v>
      </c>
      <c r="G2870" t="n">
        <v>11</v>
      </c>
      <c r="H2870" s="5">
        <f>HYPERLINK("https://api.qogita.com/variants/link/6291100130825/", "View Product")</f>
        <v/>
      </c>
    </row>
    <row r="2871">
      <c r="A2871" t="inlineStr">
        <is>
          <t>6291100130832</t>
        </is>
      </c>
      <c r="B2871" t="inlineStr">
        <is>
          <t>Al Haramain Portfolio Euphoric Roots Eau De Parfum Spray 75ml</t>
        </is>
      </c>
      <c r="C2871" t="inlineStr">
        <is>
          <t>Eau De Parfum</t>
        </is>
      </c>
      <c r="D2871" t="inlineStr">
        <is>
          <t>Al Haramain</t>
        </is>
      </c>
      <c r="E2871" t="n">
        <v>49.41</v>
      </c>
      <c r="F2871" t="n">
        <v>1</v>
      </c>
      <c r="G2871" t="n">
        <v>2</v>
      </c>
      <c r="H2871" s="5">
        <f>HYPERLINK("https://api.qogita.com/variants/link/6291100130832/", "View Product")</f>
        <v/>
      </c>
    </row>
    <row r="2872">
      <c r="A2872" t="inlineStr">
        <is>
          <t>6291100130849</t>
        </is>
      </c>
      <c r="B2872" t="inlineStr">
        <is>
          <t>Al Haramain Junoon Rose Eau De Parfum Spray 75ml</t>
        </is>
      </c>
      <c r="C2872" t="inlineStr">
        <is>
          <t>Eau De Parfum</t>
        </is>
      </c>
      <c r="D2872" t="inlineStr">
        <is>
          <t>Al Haramain</t>
        </is>
      </c>
      <c r="E2872" t="n">
        <v>34.91</v>
      </c>
      <c r="F2872" t="n">
        <v>1</v>
      </c>
      <c r="G2872" t="n">
        <v>11</v>
      </c>
      <c r="H2872" s="5">
        <f>HYPERLINK("https://api.qogita.com/variants/link/6291100130849/", "View Product")</f>
        <v/>
      </c>
    </row>
    <row r="2873">
      <c r="A2873" t="inlineStr">
        <is>
          <t>6291100130979</t>
        </is>
      </c>
      <c r="B2873" t="inlineStr">
        <is>
          <t>Al Haramain Royal Musk 100ml Women's Eau De Parfum Spray Unisex Fragrance</t>
        </is>
      </c>
      <c r="C2873" t="inlineStr">
        <is>
          <t>Eau De Parfum</t>
        </is>
      </c>
      <c r="D2873" t="inlineStr">
        <is>
          <t>Al Haramain</t>
        </is>
      </c>
      <c r="E2873" t="n">
        <v>33.15</v>
      </c>
      <c r="F2873" t="n">
        <v>1</v>
      </c>
      <c r="G2873" t="n">
        <v>33</v>
      </c>
      <c r="H2873" s="5">
        <f>HYPERLINK("https://api.qogita.com/variants/link/6291100130979/", "View Product")</f>
        <v/>
      </c>
    </row>
    <row r="2874">
      <c r="A2874" t="inlineStr">
        <is>
          <t>6291100130986</t>
        </is>
      </c>
      <c r="B2874" t="inlineStr">
        <is>
          <t>Al Haramain Musk Maliki Eau De Parfum Spray 100ml</t>
        </is>
      </c>
      <c r="C2874" t="inlineStr">
        <is>
          <t>Eau De Parfum</t>
        </is>
      </c>
      <c r="D2874" t="inlineStr">
        <is>
          <t>Al Haramain</t>
        </is>
      </c>
      <c r="E2874" t="n">
        <v>29.87</v>
      </c>
      <c r="F2874" t="n">
        <v>1</v>
      </c>
      <c r="G2874" t="n">
        <v>5</v>
      </c>
      <c r="H2874" s="5">
        <f>HYPERLINK("https://api.qogita.com/variants/link/6291100130986/", "View Product")</f>
        <v/>
      </c>
    </row>
    <row r="2875">
      <c r="A2875" t="inlineStr">
        <is>
          <t>6291100131273</t>
        </is>
      </c>
      <c r="B2875" t="inlineStr">
        <is>
          <t>Al Haramain Oppulent Sapphire Eau De Parfum Spray 100ml</t>
        </is>
      </c>
      <c r="C2875" t="inlineStr">
        <is>
          <t>Eau De Parfum</t>
        </is>
      </c>
      <c r="D2875" t="inlineStr">
        <is>
          <t>Al Haramain</t>
        </is>
      </c>
      <c r="E2875" t="n">
        <v>32.33</v>
      </c>
      <c r="F2875" t="n">
        <v>1</v>
      </c>
      <c r="G2875" t="n">
        <v>5</v>
      </c>
      <c r="H2875" s="5">
        <f>HYPERLINK("https://api.qogita.com/variants/link/6291100131273/", "View Product")</f>
        <v/>
      </c>
    </row>
    <row r="2876">
      <c r="A2876" t="inlineStr">
        <is>
          <t>6291100131297</t>
        </is>
      </c>
      <c r="B2876" t="inlineStr">
        <is>
          <t>Al Haramain Oppulent Saffron Eau De Parfum Spray 100ml</t>
        </is>
      </c>
      <c r="C2876" t="inlineStr">
        <is>
          <t>Eau De Parfum</t>
        </is>
      </c>
      <c r="D2876" t="inlineStr">
        <is>
          <t>Al Haramain</t>
        </is>
      </c>
      <c r="E2876" t="n">
        <v>28.12</v>
      </c>
      <c r="F2876" t="n">
        <v>1</v>
      </c>
      <c r="G2876" t="n">
        <v>23</v>
      </c>
      <c r="H2876" s="5">
        <f>HYPERLINK("https://api.qogita.com/variants/link/6291100131297/", "View Product")</f>
        <v/>
      </c>
    </row>
    <row r="2877">
      <c r="A2877" t="inlineStr">
        <is>
          <t>6291100131525</t>
        </is>
      </c>
      <c r="B2877" t="inlineStr">
        <is>
          <t>Al Haramain Attar Al Kaaba Parfum Perfumed Oil</t>
        </is>
      </c>
      <c r="C2877" t="inlineStr">
        <is>
          <t>Eau De Parfum</t>
        </is>
      </c>
      <c r="D2877" t="inlineStr">
        <is>
          <t>Al Haramain</t>
        </is>
      </c>
      <c r="E2877" t="n">
        <v>27.9</v>
      </c>
      <c r="F2877" t="n">
        <v>1</v>
      </c>
      <c r="G2877" t="n">
        <v>8</v>
      </c>
      <c r="H2877" s="5">
        <f>HYPERLINK("https://api.qogita.com/variants/link/6291100131525/", "View Product")</f>
        <v/>
      </c>
    </row>
    <row r="2878">
      <c r="A2878" t="inlineStr">
        <is>
          <t>6291100131594</t>
        </is>
      </c>
      <c r="B2878" t="inlineStr">
        <is>
          <t>Al Haramain L'Aventure Rose Eau De Parfum Spray 200ml</t>
        </is>
      </c>
      <c r="C2878" t="inlineStr">
        <is>
          <t>Eau De Parfum</t>
        </is>
      </c>
      <c r="D2878" t="inlineStr">
        <is>
          <t>Al Haramain</t>
        </is>
      </c>
      <c r="E2878" t="n">
        <v>32.87</v>
      </c>
      <c r="F2878" t="n">
        <v>1</v>
      </c>
      <c r="G2878" t="n">
        <v>5</v>
      </c>
      <c r="H2878" s="5">
        <f>HYPERLINK("https://api.qogita.com/variants/link/6291100131594/", "View Product")</f>
        <v/>
      </c>
    </row>
    <row r="2879">
      <c r="A2879" t="inlineStr">
        <is>
          <t>6291100131617</t>
        </is>
      </c>
      <c r="B2879" t="inlineStr">
        <is>
          <t>Al Haramain White Edition 60ml Eau De Parfum Arabian Perfume for Women</t>
        </is>
      </c>
      <c r="C2879" t="inlineStr">
        <is>
          <t>Eau De Parfum</t>
        </is>
      </c>
      <c r="D2879" t="inlineStr">
        <is>
          <t>Al Haramain</t>
        </is>
      </c>
      <c r="E2879" t="n">
        <v>38.02</v>
      </c>
      <c r="F2879" t="n">
        <v>1</v>
      </c>
      <c r="G2879" t="n">
        <v>6</v>
      </c>
      <c r="H2879" s="5">
        <f>HYPERLINK("https://api.qogita.com/variants/link/6291100131617/", "View Product")</f>
        <v/>
      </c>
    </row>
    <row r="2880">
      <c r="A2880" t="inlineStr">
        <is>
          <t>6291100131716</t>
        </is>
      </c>
      <c r="B2880" t="inlineStr">
        <is>
          <t>Al Haramain Amber Oud Gold Edition Eau De Parfum 60ml Unisex Spray</t>
        </is>
      </c>
      <c r="C2880" t="inlineStr">
        <is>
          <t>Eau De Parfum</t>
        </is>
      </c>
      <c r="D2880" t="inlineStr">
        <is>
          <t>Al Haramain</t>
        </is>
      </c>
      <c r="E2880" t="n">
        <v>29.89</v>
      </c>
      <c r="F2880" t="n">
        <v>1</v>
      </c>
      <c r="G2880" t="n">
        <v>266</v>
      </c>
      <c r="H2880" s="5">
        <f>HYPERLINK("https://api.qogita.com/variants/link/6291100131716/", "View Product")</f>
        <v/>
      </c>
    </row>
    <row r="2881">
      <c r="A2881" t="inlineStr">
        <is>
          <t>6291100131730</t>
        </is>
      </c>
      <c r="B2881" t="inlineStr">
        <is>
          <t>Al Haramain Portfolio Oriental Forest Eau De Parfum</t>
        </is>
      </c>
      <c r="C2881" t="inlineStr">
        <is>
          <t>Eau De Parfum</t>
        </is>
      </c>
      <c r="D2881" t="inlineStr">
        <is>
          <t>Al Haramain</t>
        </is>
      </c>
      <c r="E2881" t="n">
        <v>59.19</v>
      </c>
      <c r="F2881" t="n">
        <v>1</v>
      </c>
      <c r="G2881" t="n">
        <v>20</v>
      </c>
      <c r="H2881" s="5">
        <f>HYPERLINK("https://api.qogita.com/variants/link/6291100131730/", "View Product")</f>
        <v/>
      </c>
    </row>
    <row r="2882">
      <c r="A2882" t="inlineStr">
        <is>
          <t>6291100131754</t>
        </is>
      </c>
      <c r="B2882" t="inlineStr">
        <is>
          <t>Al Haramain Portfolio Floral Sculpture Unisex Eau De Parfum Spray 75ml</t>
        </is>
      </c>
      <c r="C2882" t="inlineStr">
        <is>
          <t>Eau De Parfum</t>
        </is>
      </c>
      <c r="D2882" t="inlineStr">
        <is>
          <t>Al Haramain</t>
        </is>
      </c>
      <c r="E2882" t="n">
        <v>31.85</v>
      </c>
      <c r="F2882" t="n">
        <v>1</v>
      </c>
      <c r="G2882" t="n">
        <v>8</v>
      </c>
      <c r="H2882" s="5">
        <f>HYPERLINK("https://api.qogita.com/variants/link/6291100131754/", "View Product")</f>
        <v/>
      </c>
    </row>
    <row r="2883">
      <c r="A2883" t="inlineStr">
        <is>
          <t>6291100131884</t>
        </is>
      </c>
      <c r="B2883" t="inlineStr">
        <is>
          <t>Al Haramain Hayati Gold Unisex Eau De Parfum Spray 100ml</t>
        </is>
      </c>
      <c r="C2883" t="inlineStr">
        <is>
          <t>Eau De Parfum</t>
        </is>
      </c>
      <c r="D2883" t="inlineStr">
        <is>
          <t>Al Haramain</t>
        </is>
      </c>
      <c r="E2883" t="n">
        <v>48.65</v>
      </c>
      <c r="F2883" t="n">
        <v>1</v>
      </c>
      <c r="G2883" t="n">
        <v>4</v>
      </c>
      <c r="H2883" s="5">
        <f>HYPERLINK("https://api.qogita.com/variants/link/6291100131884/", "View Product")</f>
        <v/>
      </c>
    </row>
    <row r="2884">
      <c r="A2884" t="inlineStr">
        <is>
          <t>6291100132089</t>
        </is>
      </c>
      <c r="B2884" t="inlineStr">
        <is>
          <t>Al Haramain Blanche Eau De Parfum Spray 100ml</t>
        </is>
      </c>
      <c r="C2884" t="inlineStr">
        <is>
          <t>Eau De Parfum</t>
        </is>
      </c>
      <c r="D2884" t="inlineStr">
        <is>
          <t>Al Haramain</t>
        </is>
      </c>
      <c r="E2884" t="n">
        <v>33.51</v>
      </c>
      <c r="F2884" t="n">
        <v>1</v>
      </c>
      <c r="G2884" t="n">
        <v>24</v>
      </c>
      <c r="H2884" s="5">
        <f>HYPERLINK("https://api.qogita.com/variants/link/6291100132089/", "View Product")</f>
        <v/>
      </c>
    </row>
    <row r="2885">
      <c r="A2885" t="inlineStr">
        <is>
          <t>6291100132317</t>
        </is>
      </c>
      <c r="B2885" t="inlineStr">
        <is>
          <t>Al Haramain Amber Oud Black Edition Eau De Parfum Spray 100ml</t>
        </is>
      </c>
      <c r="C2885" t="inlineStr">
        <is>
          <t>Eau De Parfum</t>
        </is>
      </c>
      <c r="D2885" t="inlineStr">
        <is>
          <t>Al Haramain</t>
        </is>
      </c>
      <c r="E2885" t="n">
        <v>31.26</v>
      </c>
      <c r="F2885" t="n">
        <v>1</v>
      </c>
      <c r="G2885" t="n">
        <v>100</v>
      </c>
      <c r="H2885" s="5">
        <f>HYPERLINK("https://api.qogita.com/variants/link/6291100132317/", "View Product")</f>
        <v/>
      </c>
    </row>
    <row r="2886">
      <c r="A2886" t="inlineStr">
        <is>
          <t>6291100133147</t>
        </is>
      </c>
      <c r="B2886" t="inlineStr">
        <is>
          <t>Al Haramain Madinah Unisex Eau De Parfum Spray 100ml</t>
        </is>
      </c>
      <c r="C2886" t="inlineStr">
        <is>
          <t>Eau De Parfum</t>
        </is>
      </c>
      <c r="D2886" t="inlineStr">
        <is>
          <t>Al Haramain</t>
        </is>
      </c>
      <c r="E2886" t="n">
        <v>12.92</v>
      </c>
      <c r="F2886" t="n">
        <v>1</v>
      </c>
      <c r="G2886" t="n">
        <v>12</v>
      </c>
      <c r="H2886" s="5">
        <f>HYPERLINK("https://api.qogita.com/variants/link/6291100133147/", "View Product")</f>
        <v/>
      </c>
    </row>
    <row r="2887">
      <c r="A2887" t="inlineStr">
        <is>
          <t>6291100133437</t>
        </is>
      </c>
      <c r="B2887" t="inlineStr">
        <is>
          <t>Al Haramain Black Musk Eau De Parfum Spray 100ml</t>
        </is>
      </c>
      <c r="C2887" t="inlineStr">
        <is>
          <t>Eau De Parfum</t>
        </is>
      </c>
      <c r="D2887" t="inlineStr">
        <is>
          <t>Al Haramain</t>
        </is>
      </c>
      <c r="E2887" t="n">
        <v>36.83</v>
      </c>
      <c r="F2887" t="n">
        <v>1</v>
      </c>
      <c r="G2887" t="n">
        <v>32</v>
      </c>
      <c r="H2887" s="5">
        <f>HYPERLINK("https://api.qogita.com/variants/link/6291100133437/", "View Product")</f>
        <v/>
      </c>
    </row>
    <row r="2888">
      <c r="A2888" t="inlineStr">
        <is>
          <t>6291100134267</t>
        </is>
      </c>
      <c r="B2888" t="inlineStr">
        <is>
          <t>Al Haramain L'Aventure Knight Eau De Parfum for Women 100ml</t>
        </is>
      </c>
      <c r="C2888" t="inlineStr">
        <is>
          <t>Eau De Parfum</t>
        </is>
      </c>
      <c r="D2888" t="inlineStr">
        <is>
          <t>Al Haramain</t>
        </is>
      </c>
      <c r="E2888" t="n">
        <v>24.26</v>
      </c>
      <c r="F2888" t="n">
        <v>1</v>
      </c>
      <c r="G2888" t="n">
        <v>14</v>
      </c>
      <c r="H2888" s="5">
        <f>HYPERLINK("https://api.qogita.com/variants/link/6291100134267/", "View Product")</f>
        <v/>
      </c>
    </row>
    <row r="2889">
      <c r="A2889" t="inlineStr">
        <is>
          <t>6291100134748</t>
        </is>
      </c>
      <c r="B2889" t="inlineStr">
        <is>
          <t>Al Haramain Maryam Eau De Parfum Spray 100ml</t>
        </is>
      </c>
      <c r="C2889" t="inlineStr">
        <is>
          <t>Eau De Parfum</t>
        </is>
      </c>
      <c r="D2889" t="inlineStr">
        <is>
          <t>Al Haramain</t>
        </is>
      </c>
      <c r="E2889" t="n">
        <v>17.12</v>
      </c>
      <c r="F2889" t="n">
        <v>1</v>
      </c>
      <c r="G2889" t="n">
        <v>3</v>
      </c>
      <c r="H2889" s="5">
        <f>HYPERLINK("https://api.qogita.com/variants/link/6291100134748/", "View Product")</f>
        <v/>
      </c>
    </row>
    <row r="2890">
      <c r="A2890" t="inlineStr">
        <is>
          <t>6291100136117</t>
        </is>
      </c>
      <c r="B2890" t="inlineStr">
        <is>
          <t>Al Haramain Dazzle For Woman Eau De Parfum Spray 100ml</t>
        </is>
      </c>
      <c r="C2890" t="inlineStr">
        <is>
          <t>Eau De Parfum</t>
        </is>
      </c>
      <c r="D2890" t="inlineStr">
        <is>
          <t>Al Haramain</t>
        </is>
      </c>
      <c r="E2890" t="n">
        <v>20.2</v>
      </c>
      <c r="F2890" t="n">
        <v>1</v>
      </c>
      <c r="G2890" t="n">
        <v>30</v>
      </c>
      <c r="H2890" s="5">
        <f>HYPERLINK("https://api.qogita.com/variants/link/6291100136117/", "View Product")</f>
        <v/>
      </c>
    </row>
    <row r="2891">
      <c r="A2891" t="inlineStr">
        <is>
          <t>6291100136124</t>
        </is>
      </c>
      <c r="B2891" t="inlineStr">
        <is>
          <t>Al Haramain Dazzle Intense Unisex Eau De Parfum Spray 100ml</t>
        </is>
      </c>
      <c r="C2891" t="inlineStr">
        <is>
          <t>Eau De Parfum</t>
        </is>
      </c>
      <c r="D2891" t="inlineStr">
        <is>
          <t>Al Haramain</t>
        </is>
      </c>
      <c r="E2891" t="n">
        <v>19.72</v>
      </c>
      <c r="F2891" t="n">
        <v>1</v>
      </c>
      <c r="G2891" t="n">
        <v>32</v>
      </c>
      <c r="H2891" s="5">
        <f>HYPERLINK("https://api.qogita.com/variants/link/6291100136124/", "View Product")</f>
        <v/>
      </c>
    </row>
    <row r="2892">
      <c r="A2892" t="inlineStr">
        <is>
          <t>6291100136438</t>
        </is>
      </c>
      <c r="B2892" t="inlineStr">
        <is>
          <t>Al Haramain Haramain Belle Eau De Parfum Size 75 Ml</t>
        </is>
      </c>
      <c r="C2892" t="inlineStr">
        <is>
          <t>Eau De Parfum</t>
        </is>
      </c>
      <c r="D2892" t="inlineStr">
        <is>
          <t>Al Haramain</t>
        </is>
      </c>
      <c r="E2892" t="n">
        <v>9.9</v>
      </c>
      <c r="F2892" t="n">
        <v>1</v>
      </c>
      <c r="G2892" t="n">
        <v>5</v>
      </c>
      <c r="H2892" s="5">
        <f>HYPERLINK("https://api.qogita.com/variants/link/6291100136438/", "View Product")</f>
        <v/>
      </c>
    </row>
    <row r="2893">
      <c r="A2893" t="inlineStr">
        <is>
          <t>6291100136605</t>
        </is>
      </c>
      <c r="B2893" t="inlineStr">
        <is>
          <t>Al Haramain L'Aventure Blanche Woman Eau De Parfum Spray 100ml</t>
        </is>
      </c>
      <c r="C2893" t="inlineStr">
        <is>
          <t>Eau De Parfum</t>
        </is>
      </c>
      <c r="D2893" t="inlineStr">
        <is>
          <t>Al Haramain</t>
        </is>
      </c>
      <c r="E2893" t="n">
        <v>22.87</v>
      </c>
      <c r="F2893" t="n">
        <v>1</v>
      </c>
      <c r="G2893" t="n">
        <v>21</v>
      </c>
      <c r="H2893" s="5">
        <f>HYPERLINK("https://api.qogita.com/variants/link/6291100136605/", "View Product")</f>
        <v/>
      </c>
    </row>
    <row r="2894">
      <c r="A2894" t="inlineStr">
        <is>
          <t>6291100137930</t>
        </is>
      </c>
      <c r="B2894" t="inlineStr">
        <is>
          <t>Al Haramain L'Aventure EDP Spray 30ml</t>
        </is>
      </c>
      <c r="C2894" t="inlineStr">
        <is>
          <t>Eau De Parfum</t>
        </is>
      </c>
      <c r="D2894" t="inlineStr">
        <is>
          <t>Al Haramain</t>
        </is>
      </c>
      <c r="E2894" t="n">
        <v>24.14</v>
      </c>
      <c r="F2894" t="n">
        <v>1</v>
      </c>
      <c r="G2894" t="n">
        <v>5</v>
      </c>
      <c r="H2894" s="5">
        <f>HYPERLINK("https://api.qogita.com/variants/link/6291100137930/", "View Product")</f>
        <v/>
      </c>
    </row>
    <row r="2895">
      <c r="A2895" t="inlineStr">
        <is>
          <t>6291100138685</t>
        </is>
      </c>
      <c r="B2895" t="inlineStr">
        <is>
          <t>Rich &amp; Ruitz Ruitz Club Eau De Parfum</t>
        </is>
      </c>
      <c r="C2895" t="inlineStr">
        <is>
          <t>Eau De Parfum</t>
        </is>
      </c>
      <c r="D2895" t="inlineStr">
        <is>
          <t>Rich &amp; Ruez</t>
        </is>
      </c>
      <c r="E2895" t="n">
        <v>12.81</v>
      </c>
      <c r="F2895" t="n">
        <v>1</v>
      </c>
      <c r="G2895" t="n">
        <v>5</v>
      </c>
      <c r="H2895" s="5">
        <f>HYPERLINK("https://api.qogita.com/variants/link/6291100138685/", "View Product")</f>
        <v/>
      </c>
    </row>
    <row r="2896">
      <c r="A2896" t="inlineStr">
        <is>
          <t>6291100139668</t>
        </is>
      </c>
      <c r="B2896" t="inlineStr">
        <is>
          <t>Al Haramain L'Aventure Men Eau De Parfum Spray 100ml</t>
        </is>
      </c>
      <c r="C2896" t="inlineStr">
        <is>
          <t>Eau De Parfum</t>
        </is>
      </c>
      <c r="D2896" t="inlineStr">
        <is>
          <t>Al Haramain</t>
        </is>
      </c>
      <c r="E2896" t="n">
        <v>25</v>
      </c>
      <c r="F2896" t="n">
        <v>1</v>
      </c>
      <c r="G2896" t="n">
        <v>110</v>
      </c>
      <c r="H2896" s="5">
        <f>HYPERLINK("https://api.qogita.com/variants/link/6291100139668/", "View Product")</f>
        <v/>
      </c>
    </row>
    <row r="2897">
      <c r="A2897" t="inlineStr">
        <is>
          <t>6291106030020</t>
        </is>
      </c>
      <c r="B2897" t="inlineStr">
        <is>
          <t>Huda Beauty Artificial Eyelashes 03 Monique Classic Lash</t>
        </is>
      </c>
      <c r="C2897" t="inlineStr">
        <is>
          <t>False Eyelashes</t>
        </is>
      </c>
      <c r="D2897" t="inlineStr">
        <is>
          <t>Huda Beauty</t>
        </is>
      </c>
      <c r="E2897" t="n">
        <v>7.63</v>
      </c>
      <c r="F2897" t="n">
        <v>1</v>
      </c>
      <c r="G2897" t="n">
        <v>12</v>
      </c>
      <c r="H2897" s="5">
        <f>HYPERLINK("https://api.qogita.com/variants/link/6291106030020/", "View Product")</f>
        <v/>
      </c>
    </row>
    <row r="2898">
      <c r="A2898" t="inlineStr">
        <is>
          <t>6291106035711</t>
        </is>
      </c>
      <c r="B2898" t="inlineStr">
        <is>
          <t>Huda Beauty Fauxfilter Luminous Matte Foundation 35 Ml Nutmeg</t>
        </is>
      </c>
      <c r="C2898" t="inlineStr">
        <is>
          <t>Foundation</t>
        </is>
      </c>
      <c r="D2898" t="inlineStr">
        <is>
          <t>Huda Beauty</t>
        </is>
      </c>
      <c r="E2898" t="n">
        <v>47.92</v>
      </c>
      <c r="F2898" t="n">
        <v>1</v>
      </c>
      <c r="G2898" t="n">
        <v>6</v>
      </c>
      <c r="H2898" s="5">
        <f>HYPERLINK("https://api.qogita.com/variants/link/6291106035711/", "View Product")</f>
        <v/>
      </c>
    </row>
    <row r="2899">
      <c r="A2899" t="inlineStr">
        <is>
          <t>6291106036169</t>
        </is>
      </c>
      <c r="B2899" t="inlineStr">
        <is>
          <t>Huda Beauty Fauxfilter Luminous Matte Foundation 35 Ml 255b Apple Pie</t>
        </is>
      </c>
      <c r="C2899" t="inlineStr">
        <is>
          <t>Foundation</t>
        </is>
      </c>
      <c r="D2899" t="inlineStr">
        <is>
          <t>Huda Beauty</t>
        </is>
      </c>
      <c r="E2899" t="n">
        <v>47.92</v>
      </c>
      <c r="F2899" t="n">
        <v>1</v>
      </c>
      <c r="G2899" t="n">
        <v>10</v>
      </c>
      <c r="H2899" s="5">
        <f>HYPERLINK("https://api.qogita.com/variants/link/6291106036169/", "View Product")</f>
        <v/>
      </c>
    </row>
    <row r="2900">
      <c r="A2900" t="inlineStr">
        <is>
          <t>6291106036275</t>
        </is>
      </c>
      <c r="B2900" t="inlineStr">
        <is>
          <t>Huda Beauty Fauxfilter Luminous Matte Foundation 35 Ml 420g Toffee</t>
        </is>
      </c>
      <c r="C2900" t="inlineStr">
        <is>
          <t>Foundation</t>
        </is>
      </c>
      <c r="D2900" t="inlineStr">
        <is>
          <t>Huda Beauty</t>
        </is>
      </c>
      <c r="E2900" t="n">
        <v>47.92</v>
      </c>
      <c r="F2900" t="n">
        <v>1</v>
      </c>
      <c r="G2900" t="n">
        <v>14</v>
      </c>
      <c r="H2900" s="5">
        <f>HYPERLINK("https://api.qogita.com/variants/link/6291106036275/", "View Product")</f>
        <v/>
      </c>
    </row>
    <row r="2901">
      <c r="A2901" t="inlineStr">
        <is>
          <t>6291106037685</t>
        </is>
      </c>
      <c r="B2901" t="inlineStr">
        <is>
          <t>Huda Beauty Glowish Multidew Skin Tint Foundation 40 Ml Brightening Makeup In Shade 11 Deep</t>
        </is>
      </c>
      <c r="C2901" t="inlineStr">
        <is>
          <t>Foundation</t>
        </is>
      </c>
      <c r="D2901" t="inlineStr">
        <is>
          <t>Huda Beauty</t>
        </is>
      </c>
      <c r="E2901" t="n">
        <v>24.07</v>
      </c>
      <c r="F2901" t="n">
        <v>1</v>
      </c>
      <c r="G2901" t="n">
        <v>11</v>
      </c>
      <c r="H2901" s="5">
        <f>HYPERLINK("https://api.qogita.com/variants/link/6291106037685/", "View Product")</f>
        <v/>
      </c>
    </row>
    <row r="2902">
      <c r="A2902" t="inlineStr">
        <is>
          <t>6291106038484</t>
        </is>
      </c>
      <c r="B2902" t="inlineStr">
        <is>
          <t>Huda Beauty Glowish Luminous Pressed Powder 10 G 09 Extra Tan</t>
        </is>
      </c>
      <c r="C2902" t="inlineStr">
        <is>
          <t>Powder</t>
        </is>
      </c>
      <c r="D2902" t="inlineStr">
        <is>
          <t>Huda Beauty</t>
        </is>
      </c>
      <c r="E2902" t="n">
        <v>19.2</v>
      </c>
      <c r="F2902" t="n">
        <v>1</v>
      </c>
      <c r="G2902" t="n">
        <v>10</v>
      </c>
      <c r="H2902" s="5">
        <f>HYPERLINK("https://api.qogita.com/variants/link/6291106038484/", "View Product")</f>
        <v/>
      </c>
    </row>
    <row r="2903">
      <c r="A2903" t="inlineStr">
        <is>
          <t>6291106061826</t>
        </is>
      </c>
      <c r="B2903" t="inlineStr">
        <is>
          <t>Lattafa Raghba Perfume 200ml</t>
        </is>
      </c>
      <c r="C2903" t="inlineStr">
        <is>
          <t>Eau De Parfum</t>
        </is>
      </c>
      <c r="D2903" t="inlineStr">
        <is>
          <t>Lattafa</t>
        </is>
      </c>
      <c r="E2903" t="n">
        <v>3.66</v>
      </c>
      <c r="F2903" t="n">
        <v>1</v>
      </c>
      <c r="G2903" t="n">
        <v>7</v>
      </c>
      <c r="H2903" s="5">
        <f>HYPERLINK("https://api.qogita.com/variants/link/6291106061826/", "View Product")</f>
        <v/>
      </c>
    </row>
    <row r="2904">
      <c r="A2904" t="inlineStr">
        <is>
          <t>6291106063233</t>
        </is>
      </c>
      <c r="B2904" t="inlineStr">
        <is>
          <t>Lattafa Najdia Eau De Parfum 100ml And Deodorant Spray 50ml Gift Set</t>
        </is>
      </c>
      <c r="C2904" t="inlineStr">
        <is>
          <t>Fragrance</t>
        </is>
      </c>
      <c r="D2904" t="inlineStr">
        <is>
          <t>Lattafa</t>
        </is>
      </c>
      <c r="E2904" t="n">
        <v>11.2</v>
      </c>
      <c r="F2904" t="n">
        <v>1</v>
      </c>
      <c r="G2904" t="n">
        <v>5</v>
      </c>
      <c r="H2904" s="5">
        <f>HYPERLINK("https://api.qogita.com/variants/link/6291106063233/", "View Product")</f>
        <v/>
      </c>
    </row>
    <row r="2905">
      <c r="A2905" t="inlineStr">
        <is>
          <t>6291106063684</t>
        </is>
      </c>
      <c r="B2905" t="inlineStr">
        <is>
          <t>Lattafa Mahasin Crystal Eau De Parfum Spray 100ml</t>
        </is>
      </c>
      <c r="C2905" t="inlineStr">
        <is>
          <t>Eau De Parfum</t>
        </is>
      </c>
      <c r="D2905" t="inlineStr">
        <is>
          <t>Lattafa</t>
        </is>
      </c>
      <c r="E2905" t="n">
        <v>9.039999999999999</v>
      </c>
      <c r="F2905" t="n">
        <v>1</v>
      </c>
      <c r="G2905" t="n">
        <v>55</v>
      </c>
      <c r="H2905" s="5">
        <f>HYPERLINK("https://api.qogita.com/variants/link/6291106063684/", "View Product")</f>
        <v/>
      </c>
    </row>
    <row r="2906">
      <c r="A2906" t="inlineStr">
        <is>
          <t>6291106064001</t>
        </is>
      </c>
      <c r="B2906" t="inlineStr">
        <is>
          <t>Lattafa 24 Carat White Gold Eau De Parfum Spray 100ml</t>
        </is>
      </c>
      <c r="C2906" t="inlineStr">
        <is>
          <t>Eau De Parfum</t>
        </is>
      </c>
      <c r="D2906" t="inlineStr">
        <is>
          <t>Lattafa</t>
        </is>
      </c>
      <c r="E2906" t="n">
        <v>11.46</v>
      </c>
      <c r="F2906" t="n">
        <v>1</v>
      </c>
      <c r="G2906" t="n">
        <v>341</v>
      </c>
      <c r="H2906" s="5">
        <f>HYPERLINK("https://api.qogita.com/variants/link/6291106064001/", "View Product")</f>
        <v/>
      </c>
    </row>
    <row r="2907">
      <c r="A2907" t="inlineStr">
        <is>
          <t>6291106064841</t>
        </is>
      </c>
      <c r="B2907" t="inlineStr">
        <is>
          <t>Lattafa Rouat Al Oud Eau De Parfum Spray 100ml</t>
        </is>
      </c>
      <c r="C2907" t="inlineStr">
        <is>
          <t>Eau De Parfum</t>
        </is>
      </c>
      <c r="D2907" t="inlineStr">
        <is>
          <t>Lattafa</t>
        </is>
      </c>
      <c r="E2907" t="n">
        <v>11.17</v>
      </c>
      <c r="F2907" t="n">
        <v>1</v>
      </c>
      <c r="G2907" t="n">
        <v>44</v>
      </c>
      <c r="H2907" s="5">
        <f>HYPERLINK("https://api.qogita.com/variants/link/6291106064841/", "View Product")</f>
        <v/>
      </c>
    </row>
    <row r="2908">
      <c r="A2908" t="inlineStr">
        <is>
          <t>6291106065060</t>
        </is>
      </c>
      <c r="B2908" t="inlineStr">
        <is>
          <t>Lattafa Khaltaat Al Arabia Royal Delight Eau De Parfum Spray 100ml</t>
        </is>
      </c>
      <c r="C2908" t="inlineStr">
        <is>
          <t>Eau De Parfum</t>
        </is>
      </c>
      <c r="D2908" t="inlineStr">
        <is>
          <t>Lattafa</t>
        </is>
      </c>
      <c r="E2908" t="n">
        <v>9.02</v>
      </c>
      <c r="F2908" t="n">
        <v>1</v>
      </c>
      <c r="G2908" t="n">
        <v>78</v>
      </c>
      <c r="H2908" s="5">
        <f>HYPERLINK("https://api.qogita.com/variants/link/6291106065060/", "View Product")</f>
        <v/>
      </c>
    </row>
    <row r="2909">
      <c r="A2909" t="inlineStr">
        <is>
          <t>6291106066319</t>
        </is>
      </c>
      <c r="B2909" t="inlineStr">
        <is>
          <t>Lattafa Ser Al Khulood Gold Eau De Parfum Spray 100ml</t>
        </is>
      </c>
      <c r="C2909" t="inlineStr">
        <is>
          <t>Eau De Parfum</t>
        </is>
      </c>
      <c r="D2909" t="inlineStr">
        <is>
          <t>Lattafa</t>
        </is>
      </c>
      <c r="E2909" t="n">
        <v>10.25</v>
      </c>
      <c r="F2909" t="n">
        <v>1</v>
      </c>
      <c r="G2909" t="n">
        <v>358</v>
      </c>
      <c r="H2909" s="5">
        <f>HYPERLINK("https://api.qogita.com/variants/link/6291106066319/", "View Product")</f>
        <v/>
      </c>
    </row>
    <row r="2910">
      <c r="A2910" t="inlineStr">
        <is>
          <t>6291106066715</t>
        </is>
      </c>
      <c r="B2910" t="inlineStr">
        <is>
          <t>Lattafa Ramz Gold Eau De Parfum Spray 100ml</t>
        </is>
      </c>
      <c r="C2910" t="inlineStr">
        <is>
          <t>Eau De Parfum</t>
        </is>
      </c>
      <c r="D2910" t="inlineStr">
        <is>
          <t>Lattafa</t>
        </is>
      </c>
      <c r="E2910" t="n">
        <v>10.85</v>
      </c>
      <c r="F2910" t="n">
        <v>1</v>
      </c>
      <c r="G2910" t="n">
        <v>113</v>
      </c>
      <c r="H2910" s="5">
        <f>HYPERLINK("https://api.qogita.com/variants/link/6291106066715/", "View Product")</f>
        <v/>
      </c>
    </row>
    <row r="2911">
      <c r="A2911" t="inlineStr">
        <is>
          <t>6291106068153</t>
        </is>
      </c>
      <c r="B2911" t="inlineStr">
        <is>
          <t>Lattafa Ser Al Malika Eau De Parfum Spray 100ml</t>
        </is>
      </c>
      <c r="C2911" t="inlineStr">
        <is>
          <t>Eau De Parfum</t>
        </is>
      </c>
      <c r="D2911" t="inlineStr">
        <is>
          <t>Lattafa</t>
        </is>
      </c>
      <c r="E2911" t="n">
        <v>11.98</v>
      </c>
      <c r="F2911" t="n">
        <v>1</v>
      </c>
      <c r="G2911" t="n">
        <v>21</v>
      </c>
      <c r="H2911" s="5">
        <f>HYPERLINK("https://api.qogita.com/variants/link/6291106068153/", "View Product")</f>
        <v/>
      </c>
    </row>
    <row r="2912">
      <c r="A2912" t="inlineStr">
        <is>
          <t>6291106068450</t>
        </is>
      </c>
      <c r="B2912" t="inlineStr">
        <is>
          <t>Rave Ambre Bleu Eau De Parfum</t>
        </is>
      </c>
      <c r="C2912" t="inlineStr">
        <is>
          <t>Eau De Parfum</t>
        </is>
      </c>
      <c r="D2912" t="inlineStr">
        <is>
          <t>Rave</t>
        </is>
      </c>
      <c r="E2912" t="n">
        <v>12.79</v>
      </c>
      <c r="F2912" t="n">
        <v>1</v>
      </c>
      <c r="G2912" t="n">
        <v>7</v>
      </c>
      <c r="H2912" s="5">
        <f>HYPERLINK("https://api.qogita.com/variants/link/6291106068450/", "View Product")</f>
        <v/>
      </c>
    </row>
    <row r="2913">
      <c r="A2913" t="inlineStr">
        <is>
          <t>6291106069020</t>
        </is>
      </c>
      <c r="B2913" t="inlineStr">
        <is>
          <t>Lattafa Ejaazi Eau De Parfum Spray 100ml</t>
        </is>
      </c>
      <c r="C2913" t="inlineStr">
        <is>
          <t>Eau De Parfum</t>
        </is>
      </c>
      <c r="D2913" t="inlineStr">
        <is>
          <t>Lattafa</t>
        </is>
      </c>
      <c r="E2913" t="n">
        <v>9.6</v>
      </c>
      <c r="F2913" t="n">
        <v>1</v>
      </c>
      <c r="G2913" t="n">
        <v>282</v>
      </c>
      <c r="H2913" s="5">
        <f>HYPERLINK("https://api.qogita.com/variants/link/6291106069020/", "View Product")</f>
        <v/>
      </c>
    </row>
    <row r="2914">
      <c r="A2914" t="inlineStr">
        <is>
          <t>6291106812282</t>
        </is>
      </c>
      <c r="B2914" t="inlineStr">
        <is>
          <t>Al Haramain L'Aventure Rose Eau De Parfum Spray 100ml</t>
        </is>
      </c>
      <c r="C2914" t="inlineStr">
        <is>
          <t>Eau De Parfum</t>
        </is>
      </c>
      <c r="D2914" t="inlineStr">
        <is>
          <t>Al Haramain</t>
        </is>
      </c>
      <c r="E2914" t="n">
        <v>25.71</v>
      </c>
      <c r="F2914" t="n">
        <v>1</v>
      </c>
      <c r="G2914" t="n">
        <v>35</v>
      </c>
      <c r="H2914" s="5">
        <f>HYPERLINK("https://api.qogita.com/variants/link/6291106812282/", "View Product")</f>
        <v/>
      </c>
    </row>
    <row r="2915">
      <c r="A2915" t="inlineStr">
        <is>
          <t>6291106813067</t>
        </is>
      </c>
      <c r="B2915" t="inlineStr">
        <is>
          <t>Al Haramain Amber Oud Extreme Gold Edition Extrait De Parfum Spray 100ml</t>
        </is>
      </c>
      <c r="C2915" t="inlineStr">
        <is>
          <t>Extrait De Parfum</t>
        </is>
      </c>
      <c r="D2915" t="inlineStr">
        <is>
          <t>Al Haramain</t>
        </is>
      </c>
      <c r="E2915" t="n">
        <v>47.58</v>
      </c>
      <c r="F2915" t="n">
        <v>1</v>
      </c>
      <c r="G2915" t="n">
        <v>2</v>
      </c>
      <c r="H2915" s="5">
        <f>HYPERLINK("https://api.qogita.com/variants/link/6291106813067/", "View Product")</f>
        <v/>
      </c>
    </row>
    <row r="2916">
      <c r="A2916" t="inlineStr">
        <is>
          <t>6291106813494</t>
        </is>
      </c>
      <c r="B2916" t="inlineStr">
        <is>
          <t>Al Haramain La Lune Extrait De Parfum Spray 100ml</t>
        </is>
      </c>
      <c r="C2916" t="inlineStr">
        <is>
          <t>Extrait De Parfum</t>
        </is>
      </c>
      <c r="D2916" t="inlineStr">
        <is>
          <t>Al Haramain</t>
        </is>
      </c>
      <c r="E2916" t="n">
        <v>37.52</v>
      </c>
      <c r="F2916" t="n">
        <v>1</v>
      </c>
      <c r="G2916" t="n">
        <v>25</v>
      </c>
      <c r="H2916" s="5">
        <f>HYPERLINK("https://api.qogita.com/variants/link/6291106813494/", "View Product")</f>
        <v/>
      </c>
    </row>
    <row r="2917">
      <c r="A2917" t="inlineStr">
        <is>
          <t>6291106813739</t>
        </is>
      </c>
      <c r="B2917" t="inlineStr">
        <is>
          <t>Al Haramain Bon Cherie - Perfumed Extract</t>
        </is>
      </c>
      <c r="C2917" t="inlineStr">
        <is>
          <t>Extrait De Parfum</t>
        </is>
      </c>
      <c r="D2917" t="inlineStr">
        <is>
          <t>Al Haramain</t>
        </is>
      </c>
      <c r="E2917" t="n">
        <v>43.15</v>
      </c>
      <c r="F2917" t="n">
        <v>1</v>
      </c>
      <c r="G2917" t="n">
        <v>5</v>
      </c>
      <c r="H2917" s="5">
        <f>HYPERLINK("https://api.qogita.com/variants/link/6291106813739/", "View Product")</f>
        <v/>
      </c>
    </row>
    <row r="2918">
      <c r="A2918" t="inlineStr">
        <is>
          <t>6291106813951</t>
        </is>
      </c>
      <c r="B2918" t="inlineStr">
        <is>
          <t>Al Haramain Loulou Rose Eau De Parfum Spray 100ml</t>
        </is>
      </c>
      <c r="C2918" t="inlineStr">
        <is>
          <t>Eau De Parfum</t>
        </is>
      </c>
      <c r="D2918" t="inlineStr">
        <is>
          <t>Al Haramain</t>
        </is>
      </c>
      <c r="E2918" t="n">
        <v>22.12</v>
      </c>
      <c r="F2918" t="n">
        <v>1</v>
      </c>
      <c r="G2918" t="n">
        <v>2</v>
      </c>
      <c r="H2918" s="5">
        <f>HYPERLINK("https://api.qogita.com/variants/link/6291106813951/", "View Product")</f>
        <v/>
      </c>
    </row>
    <row r="2919">
      <c r="A2919" t="inlineStr">
        <is>
          <t>6291106814026</t>
        </is>
      </c>
      <c r="B2919" t="inlineStr">
        <is>
          <t>Al Haramain Loulou Joy Eau De Parfum Spray 100ml</t>
        </is>
      </c>
      <c r="C2919" t="inlineStr">
        <is>
          <t>Eau De Parfum</t>
        </is>
      </c>
      <c r="D2919" t="inlineStr">
        <is>
          <t>Al Haramain</t>
        </is>
      </c>
      <c r="E2919" t="n">
        <v>20.14</v>
      </c>
      <c r="F2919" t="n">
        <v>1</v>
      </c>
      <c r="G2919" t="n">
        <v>5</v>
      </c>
      <c r="H2919" s="5">
        <f>HYPERLINK("https://api.qogita.com/variants/link/6291106814026/", "View Product")</f>
        <v/>
      </c>
    </row>
    <row r="2920">
      <c r="A2920" t="inlineStr">
        <is>
          <t>6291106814040</t>
        </is>
      </c>
      <c r="B2920" t="inlineStr">
        <is>
          <t>Al Haramain Loulou Noir Eau De Parfum Spray 100ml</t>
        </is>
      </c>
      <c r="C2920" t="inlineStr">
        <is>
          <t>Eau De Parfum</t>
        </is>
      </c>
      <c r="D2920" t="inlineStr">
        <is>
          <t>Al Haramain</t>
        </is>
      </c>
      <c r="E2920" t="n">
        <v>23.99</v>
      </c>
      <c r="F2920" t="n">
        <v>1</v>
      </c>
      <c r="G2920" t="n">
        <v>11</v>
      </c>
      <c r="H2920" s="5">
        <f>HYPERLINK("https://api.qogita.com/variants/link/6291106814040/", "View Product")</f>
        <v/>
      </c>
    </row>
    <row r="2921">
      <c r="A2921" t="inlineStr">
        <is>
          <t>6291106814354</t>
        </is>
      </c>
      <c r="B2921" t="inlineStr">
        <is>
          <t>Al Haramain Le Reve D'Eve White Orchid Extrait De Parfum Spray 100ml</t>
        </is>
      </c>
      <c r="C2921" t="inlineStr">
        <is>
          <t>Extrait De Parfum</t>
        </is>
      </c>
      <c r="D2921" t="inlineStr">
        <is>
          <t>Al Haramain</t>
        </is>
      </c>
      <c r="E2921" t="n">
        <v>38.39</v>
      </c>
      <c r="F2921" t="n">
        <v>1</v>
      </c>
      <c r="G2921" t="n">
        <v>14</v>
      </c>
      <c r="H2921" s="5">
        <f>HYPERLINK("https://api.qogita.com/variants/link/6291106814354/", "View Product")</f>
        <v/>
      </c>
    </row>
    <row r="2922">
      <c r="A2922" t="inlineStr">
        <is>
          <t>6291106814439</t>
        </is>
      </c>
      <c r="B2922" t="inlineStr">
        <is>
          <t>Al Haramain Vergine Rosa Eau De Parfum Spray 100ml</t>
        </is>
      </c>
      <c r="C2922" t="inlineStr">
        <is>
          <t>Eau De Parfum</t>
        </is>
      </c>
      <c r="D2922" t="inlineStr">
        <is>
          <t>Al Haramain</t>
        </is>
      </c>
      <c r="E2922" t="n">
        <v>33.51</v>
      </c>
      <c r="F2922" t="n">
        <v>1</v>
      </c>
      <c r="G2922" t="n">
        <v>23</v>
      </c>
      <c r="H2922" s="5">
        <f>HYPERLINK("https://api.qogita.com/variants/link/6291106814439/", "View Product")</f>
        <v/>
      </c>
    </row>
    <row r="2923">
      <c r="A2923" t="inlineStr">
        <is>
          <t>6291106814514</t>
        </is>
      </c>
      <c r="B2923" t="inlineStr">
        <is>
          <t>Al Haramain The Goal Shine Extrait De Parfum 98ml</t>
        </is>
      </c>
      <c r="C2923" t="inlineStr">
        <is>
          <t>Extrait De Parfum</t>
        </is>
      </c>
      <c r="D2923" t="inlineStr">
        <is>
          <t>Al Haramain</t>
        </is>
      </c>
      <c r="E2923" t="n">
        <v>32.18</v>
      </c>
      <c r="F2923" t="n">
        <v>1</v>
      </c>
      <c r="G2923" t="n">
        <v>35</v>
      </c>
      <c r="H2923" s="5">
        <f>HYPERLINK("https://api.qogita.com/variants/link/6291106814514/", "View Product")</f>
        <v/>
      </c>
    </row>
    <row r="2924">
      <c r="A2924" t="inlineStr">
        <is>
          <t>6291106814699</t>
        </is>
      </c>
      <c r="B2924" t="inlineStr">
        <is>
          <t>Al Haramain Zahara Sage Dubai Extrait De Parfum Spray 100ml</t>
        </is>
      </c>
      <c r="C2924" t="inlineStr">
        <is>
          <t>Extrait De Parfum</t>
        </is>
      </c>
      <c r="D2924" t="inlineStr">
        <is>
          <t>Al Haramain</t>
        </is>
      </c>
      <c r="E2924" t="n">
        <v>37.52</v>
      </c>
      <c r="F2924" t="n">
        <v>1</v>
      </c>
      <c r="G2924" t="n">
        <v>23</v>
      </c>
      <c r="H2924" s="5">
        <f>HYPERLINK("https://api.qogita.com/variants/link/6291106814699/", "View Product")</f>
        <v/>
      </c>
    </row>
    <row r="2925">
      <c r="A2925" t="inlineStr">
        <is>
          <t>6291106814811</t>
        </is>
      </c>
      <c r="B2925" t="inlineStr">
        <is>
          <t>Al Haramain Amber Oud Gold 999.9 Dubai Edition Extrait De Parfum Spray 75ml</t>
        </is>
      </c>
      <c r="C2925" t="inlineStr">
        <is>
          <t>Extrait De Parfum</t>
        </is>
      </c>
      <c r="D2925" t="inlineStr">
        <is>
          <t>Al Haramain</t>
        </is>
      </c>
      <c r="E2925" t="n">
        <v>37.49</v>
      </c>
      <c r="F2925" t="n">
        <v>1</v>
      </c>
      <c r="G2925" t="n">
        <v>5</v>
      </c>
      <c r="H2925" s="5">
        <f>HYPERLINK("https://api.qogita.com/variants/link/6291106814811/", "View Product")</f>
        <v/>
      </c>
    </row>
    <row r="2926">
      <c r="A2926" t="inlineStr">
        <is>
          <t>6291106816228</t>
        </is>
      </c>
      <c r="B2926" t="inlineStr">
        <is>
          <t>Al Haramain Musk Concentrated Perfume Oil 12ml</t>
        </is>
      </c>
      <c r="C2926" t="inlineStr">
        <is>
          <t>Extrait De Parfum</t>
        </is>
      </c>
      <c r="D2926" t="inlineStr">
        <is>
          <t>Al Haramain</t>
        </is>
      </c>
      <c r="E2926" t="n">
        <v>10.67</v>
      </c>
      <c r="F2926" t="n">
        <v>1</v>
      </c>
      <c r="G2926" t="n">
        <v>28</v>
      </c>
      <c r="H2926" s="5">
        <f>HYPERLINK("https://api.qogita.com/variants/link/6291106816228/", "View Product")</f>
        <v/>
      </c>
    </row>
    <row r="2927">
      <c r="A2927" t="inlineStr">
        <is>
          <t>6291106816266</t>
        </is>
      </c>
      <c r="B2927" t="inlineStr">
        <is>
          <t>Al Haramain Bahr For Men 0.4 Oz Concentrated Perfume Oil Mini</t>
        </is>
      </c>
      <c r="C2927" t="inlineStr">
        <is>
          <t>Extrait De Parfum</t>
        </is>
      </c>
      <c r="D2927" t="inlineStr">
        <is>
          <t>Al Haramain</t>
        </is>
      </c>
      <c r="E2927" t="n">
        <v>12.02</v>
      </c>
      <c r="F2927" t="n">
        <v>1</v>
      </c>
      <c r="G2927" t="n">
        <v>5</v>
      </c>
      <c r="H2927" s="5">
        <f>HYPERLINK("https://api.qogita.com/variants/link/6291106816266/", "View Product")</f>
        <v/>
      </c>
    </row>
    <row r="2928">
      <c r="A2928" t="inlineStr">
        <is>
          <t>6291106816310</t>
        </is>
      </c>
      <c r="B2928" t="inlineStr">
        <is>
          <t>Al Haramain Kawthar for Women 0.4 Oz Parfum Oil Mini</t>
        </is>
      </c>
      <c r="C2928" t="inlineStr">
        <is>
          <t>Extrait De Parfum</t>
        </is>
      </c>
      <c r="D2928" t="inlineStr">
        <is>
          <t>Al Haramain</t>
        </is>
      </c>
      <c r="E2928" t="n">
        <v>12.61</v>
      </c>
      <c r="F2928" t="n">
        <v>1</v>
      </c>
      <c r="G2928" t="n">
        <v>4</v>
      </c>
      <c r="H2928" s="5">
        <f>HYPERLINK("https://api.qogita.com/variants/link/6291106816310/", "View Product")</f>
        <v/>
      </c>
    </row>
    <row r="2929">
      <c r="A2929" t="inlineStr">
        <is>
          <t>6291107451206</t>
        </is>
      </c>
      <c r="B2929" t="inlineStr">
        <is>
          <t>Vurv Royce Black Eau De Parfum Spray 100ml</t>
        </is>
      </c>
      <c r="C2929" t="inlineStr">
        <is>
          <t>Eau De Parfum</t>
        </is>
      </c>
      <c r="D2929" t="inlineStr">
        <is>
          <t>Vurv</t>
        </is>
      </c>
      <c r="E2929" t="n">
        <v>14.17</v>
      </c>
      <c r="F2929" t="n">
        <v>1</v>
      </c>
      <c r="G2929" t="n">
        <v>129</v>
      </c>
      <c r="H2929" s="5">
        <f>HYPERLINK("https://api.qogita.com/variants/link/6291107451206/", "View Product")</f>
        <v/>
      </c>
    </row>
    <row r="2930">
      <c r="A2930" t="inlineStr">
        <is>
          <t>6291107451251</t>
        </is>
      </c>
      <c r="B2930" t="inlineStr">
        <is>
          <t>Lattafa Oud Mood Perfumed Deodorant Spray 6.67 Ounce</t>
        </is>
      </c>
      <c r="C2930" t="inlineStr">
        <is>
          <t>Deodorant &amp; Anti-Perspirant</t>
        </is>
      </c>
      <c r="D2930" t="inlineStr">
        <is>
          <t>Lattafa</t>
        </is>
      </c>
      <c r="E2930" t="n">
        <v>4.58</v>
      </c>
      <c r="F2930" t="n">
        <v>1</v>
      </c>
      <c r="G2930" t="n">
        <v>448</v>
      </c>
      <c r="H2930" s="5">
        <f>HYPERLINK("https://api.qogita.com/variants/link/6291107451251/", "View Product")</f>
        <v/>
      </c>
    </row>
    <row r="2931">
      <c r="A2931" t="inlineStr">
        <is>
          <t>6291107451527</t>
        </is>
      </c>
      <c r="B2931" t="inlineStr">
        <is>
          <t>Lattafa Lail Maleki Eau De Parfum Spray 100ml</t>
        </is>
      </c>
      <c r="C2931" t="inlineStr">
        <is>
          <t>Eau De Parfum</t>
        </is>
      </c>
      <c r="D2931" t="inlineStr">
        <is>
          <t>Lattafa</t>
        </is>
      </c>
      <c r="E2931" t="n">
        <v>10.99</v>
      </c>
      <c r="F2931" t="n">
        <v>1</v>
      </c>
      <c r="G2931" t="n">
        <v>433</v>
      </c>
      <c r="H2931" s="5">
        <f>HYPERLINK("https://api.qogita.com/variants/link/6291107451527/", "View Product")</f>
        <v/>
      </c>
    </row>
    <row r="2932">
      <c r="A2932" t="inlineStr">
        <is>
          <t>6291107452357</t>
        </is>
      </c>
      <c r="B2932" t="inlineStr">
        <is>
          <t>Lattafa Musk Mood Eau De Parfum Spray 100ml</t>
        </is>
      </c>
      <c r="C2932" t="inlineStr">
        <is>
          <t>Eau De Parfum</t>
        </is>
      </c>
      <c r="D2932" t="inlineStr">
        <is>
          <t>Lattafa</t>
        </is>
      </c>
      <c r="E2932" t="n">
        <v>11.94</v>
      </c>
      <c r="F2932" t="n">
        <v>1</v>
      </c>
      <c r="G2932" t="n">
        <v>55</v>
      </c>
      <c r="H2932" s="5">
        <f>HYPERLINK("https://api.qogita.com/variants/link/6291107452357/", "View Product")</f>
        <v/>
      </c>
    </row>
    <row r="2933">
      <c r="A2933" t="inlineStr">
        <is>
          <t>6291107453675</t>
        </is>
      </c>
      <c r="B2933" t="inlineStr">
        <is>
          <t>Urooq Al Oud by Lattafa Eau De Parfum 100ml Unisex</t>
        </is>
      </c>
      <c r="C2933" t="inlineStr">
        <is>
          <t>Eau De Parfum</t>
        </is>
      </c>
      <c r="D2933" t="inlineStr">
        <is>
          <t>Lattafa</t>
        </is>
      </c>
      <c r="E2933" t="n">
        <v>8.31</v>
      </c>
      <c r="F2933" t="n">
        <v>1</v>
      </c>
      <c r="G2933" t="n">
        <v>203</v>
      </c>
      <c r="H2933" s="5">
        <f>HYPERLINK("https://api.qogita.com/variants/link/6291107453675/", "View Product")</f>
        <v/>
      </c>
    </row>
    <row r="2934">
      <c r="A2934" t="inlineStr">
        <is>
          <t>6291107453842</t>
        </is>
      </c>
      <c r="B2934" t="inlineStr">
        <is>
          <t>Vurv Craft Noire Eau De Parfum Spray 100ml</t>
        </is>
      </c>
      <c r="C2934" t="inlineStr">
        <is>
          <t>Eau De Parfum</t>
        </is>
      </c>
      <c r="D2934" t="inlineStr">
        <is>
          <t>Vurv</t>
        </is>
      </c>
      <c r="E2934" t="n">
        <v>12.05</v>
      </c>
      <c r="F2934" t="n">
        <v>1</v>
      </c>
      <c r="G2934" t="n">
        <v>40</v>
      </c>
      <c r="H2934" s="5">
        <f>HYPERLINK("https://api.qogita.com/variants/link/6291107453842/", "View Product")</f>
        <v/>
      </c>
    </row>
    <row r="2935">
      <c r="A2935" t="inlineStr">
        <is>
          <t>6291107454825</t>
        </is>
      </c>
      <c r="B2935" t="inlineStr">
        <is>
          <t>Cafe Noir by RIIFFS Eau De Parfum Spray 3.4 oz 100 ml - New in Sealed Box</t>
        </is>
      </c>
      <c r="C2935" t="inlineStr">
        <is>
          <t>Eau De Parfum</t>
        </is>
      </c>
      <c r="D2935" t="inlineStr">
        <is>
          <t>Riiffs</t>
        </is>
      </c>
      <c r="E2935" t="n">
        <v>11.05</v>
      </c>
      <c r="F2935" t="n">
        <v>1</v>
      </c>
      <c r="G2935" t="n">
        <v>25</v>
      </c>
      <c r="H2935" s="5">
        <f>HYPERLINK("https://api.qogita.com/variants/link/6291107454825/", "View Product")</f>
        <v/>
      </c>
    </row>
    <row r="2936">
      <c r="A2936" t="inlineStr">
        <is>
          <t>6291107454863</t>
        </is>
      </c>
      <c r="B2936" t="inlineStr">
        <is>
          <t>Riiffs La Femme Bloom Eau De Parfum Spray 100ml</t>
        </is>
      </c>
      <c r="C2936" t="inlineStr">
        <is>
          <t>Eau De Parfum</t>
        </is>
      </c>
      <c r="D2936" t="inlineStr">
        <is>
          <t>Riiffs</t>
        </is>
      </c>
      <c r="E2936" t="n">
        <v>11.05</v>
      </c>
      <c r="F2936" t="n">
        <v>1</v>
      </c>
      <c r="G2936" t="n">
        <v>65</v>
      </c>
      <c r="H2936" s="5">
        <f>HYPERLINK("https://api.qogita.com/variants/link/6291107454863/", "View Product")</f>
        <v/>
      </c>
    </row>
    <row r="2937">
      <c r="A2937" t="inlineStr">
        <is>
          <t>6291107455228</t>
        </is>
      </c>
      <c r="B2937" t="inlineStr">
        <is>
          <t>Ana Al Awwal EDP Spray 100ml</t>
        </is>
      </c>
      <c r="C2937" t="inlineStr">
        <is>
          <t>Eau De Parfum</t>
        </is>
      </c>
      <c r="D2937" t="inlineStr">
        <is>
          <t>Rituals</t>
        </is>
      </c>
      <c r="E2937" t="n">
        <v>10.44</v>
      </c>
      <c r="F2937" t="n">
        <v>1</v>
      </c>
      <c r="G2937" t="n">
        <v>33</v>
      </c>
      <c r="H2937" s="5">
        <f>HYPERLINK("https://api.qogita.com/variants/link/6291107455228/", "View Product")</f>
        <v/>
      </c>
    </row>
    <row r="2938">
      <c r="A2938" t="inlineStr">
        <is>
          <t>6291107456058</t>
        </is>
      </c>
      <c r="B2938" t="inlineStr">
        <is>
          <t>Lattafa Fakhar Eau De Parfum Spray 100ml</t>
        </is>
      </c>
      <c r="C2938" t="inlineStr">
        <is>
          <t>Eau De Parfum</t>
        </is>
      </c>
      <c r="D2938" t="inlineStr">
        <is>
          <t>Lattafa</t>
        </is>
      </c>
      <c r="E2938" t="n">
        <v>19.26</v>
      </c>
      <c r="F2938" t="n">
        <v>1</v>
      </c>
      <c r="G2938" t="n">
        <v>8</v>
      </c>
      <c r="H2938" s="5">
        <f>HYPERLINK("https://api.qogita.com/variants/link/6291107456058/", "View Product")</f>
        <v/>
      </c>
    </row>
    <row r="2939">
      <c r="A2939" t="inlineStr">
        <is>
          <t>6291107456065</t>
        </is>
      </c>
      <c r="B2939" t="inlineStr">
        <is>
          <t>Lattafa Ra'ed Luxe Eau De Parfum Spray 100ml</t>
        </is>
      </c>
      <c r="C2939" t="inlineStr">
        <is>
          <t>Eau De Parfum</t>
        </is>
      </c>
      <c r="D2939" t="inlineStr">
        <is>
          <t>Lattafa</t>
        </is>
      </c>
      <c r="E2939" t="n">
        <v>15.47</v>
      </c>
      <c r="F2939" t="n">
        <v>1</v>
      </c>
      <c r="G2939" t="n">
        <v>100</v>
      </c>
      <c r="H2939" s="5">
        <f>HYPERLINK("https://api.qogita.com/variants/link/6291107456065/", "View Product")</f>
        <v/>
      </c>
    </row>
    <row r="2940">
      <c r="A2940" t="inlineStr">
        <is>
          <t>6291107456072</t>
        </is>
      </c>
      <c r="B2940" t="inlineStr">
        <is>
          <t>Lattafa Raed Silver Eau De Parfum Spray 100ml</t>
        </is>
      </c>
      <c r="C2940" t="inlineStr">
        <is>
          <t>Eau De Parfum</t>
        </is>
      </c>
      <c r="D2940" t="inlineStr">
        <is>
          <t>Lattafa</t>
        </is>
      </c>
      <c r="E2940" t="n">
        <v>8.390000000000001</v>
      </c>
      <c r="F2940" t="n">
        <v>1</v>
      </c>
      <c r="G2940" t="n">
        <v>8</v>
      </c>
      <c r="H2940" s="5">
        <f>HYPERLINK("https://api.qogita.com/variants/link/6291107456072/", "View Product")</f>
        <v/>
      </c>
    </row>
    <row r="2941">
      <c r="A2941" t="inlineStr">
        <is>
          <t>6291107456485</t>
        </is>
      </c>
      <c r="B2941" t="inlineStr">
        <is>
          <t>Lattafa Rave Now 100ml</t>
        </is>
      </c>
      <c r="C2941" t="inlineStr">
        <is>
          <t>Eau De Parfum</t>
        </is>
      </c>
      <c r="D2941" t="inlineStr">
        <is>
          <t>Lattafa</t>
        </is>
      </c>
      <c r="E2941" t="n">
        <v>11.01</v>
      </c>
      <c r="F2941" t="n">
        <v>1</v>
      </c>
      <c r="G2941" t="n">
        <v>83</v>
      </c>
      <c r="H2941" s="5">
        <f>HYPERLINK("https://api.qogita.com/variants/link/6291107456485/", "View Product")</f>
        <v/>
      </c>
    </row>
    <row r="2942">
      <c r="A2942" t="inlineStr">
        <is>
          <t>6291107459035</t>
        </is>
      </c>
      <c r="B2942" t="inlineStr">
        <is>
          <t>Lattafa Oud Lail Maleki Eau De Parfum Spray 100ml</t>
        </is>
      </c>
      <c r="C2942" t="inlineStr">
        <is>
          <t>Eau De Parfum</t>
        </is>
      </c>
      <c r="D2942" t="inlineStr">
        <is>
          <t>Lattafa</t>
        </is>
      </c>
      <c r="E2942" t="n">
        <v>10.85</v>
      </c>
      <c r="F2942" t="n">
        <v>1</v>
      </c>
      <c r="G2942" t="n">
        <v>98</v>
      </c>
      <c r="H2942" s="5">
        <f>HYPERLINK("https://api.qogita.com/variants/link/6291107459035/", "View Product")</f>
        <v/>
      </c>
    </row>
    <row r="2943">
      <c r="A2943" t="inlineStr">
        <is>
          <t>6291107459080</t>
        </is>
      </c>
      <c r="B2943" t="inlineStr">
        <is>
          <t>Maison Alhambra Anarch Eau De Parfum Spray 100ml</t>
        </is>
      </c>
      <c r="C2943" t="inlineStr">
        <is>
          <t>Eau De Parfum</t>
        </is>
      </c>
      <c r="D2943" t="inlineStr">
        <is>
          <t>Maison Alhambra</t>
        </is>
      </c>
      <c r="E2943" t="n">
        <v>11.93</v>
      </c>
      <c r="F2943" t="n">
        <v>1</v>
      </c>
      <c r="G2943" t="n">
        <v>49</v>
      </c>
      <c r="H2943" s="5">
        <f>HYPERLINK("https://api.qogita.com/variants/link/6291107459080/", "View Product")</f>
        <v/>
      </c>
    </row>
    <row r="2944">
      <c r="A2944" t="inlineStr">
        <is>
          <t>6291107459134</t>
        </is>
      </c>
      <c r="B2944" t="inlineStr">
        <is>
          <t>Maison Alhambra B.A.D Homme EDP 100ml</t>
        </is>
      </c>
      <c r="C2944" t="inlineStr">
        <is>
          <t>Eau De Parfum</t>
        </is>
      </c>
      <c r="D2944" t="inlineStr">
        <is>
          <t>Maison Alhambra</t>
        </is>
      </c>
      <c r="E2944" t="n">
        <v>9.890000000000001</v>
      </c>
      <c r="F2944" t="n">
        <v>1</v>
      </c>
      <c r="G2944" t="n">
        <v>70</v>
      </c>
      <c r="H2944" s="5">
        <f>HYPERLINK("https://api.qogita.com/variants/link/6291107459134/", "View Product")</f>
        <v/>
      </c>
    </row>
    <row r="2945">
      <c r="A2945" t="inlineStr">
        <is>
          <t>6291107459240</t>
        </is>
      </c>
      <c r="B2945" t="inlineStr">
        <is>
          <t>Maison Alhambra Karat Eau De Parfum 100ml</t>
        </is>
      </c>
      <c r="C2945" t="inlineStr">
        <is>
          <t>Eau De Parfum</t>
        </is>
      </c>
      <c r="D2945" t="inlineStr">
        <is>
          <t>Maison Alhambra</t>
        </is>
      </c>
      <c r="E2945" t="n">
        <v>13.41</v>
      </c>
      <c r="F2945" t="n">
        <v>1</v>
      </c>
      <c r="G2945" t="n">
        <v>138</v>
      </c>
      <c r="H2945" s="5">
        <f>HYPERLINK("https://api.qogita.com/variants/link/6291107459240/", "View Product")</f>
        <v/>
      </c>
    </row>
    <row r="2946">
      <c r="A2946" t="inlineStr">
        <is>
          <t>6291107459288</t>
        </is>
      </c>
      <c r="B2946" t="inlineStr">
        <is>
          <t>Maison Alhambra Monocline 01 Eau De Parfum Spray 100ml</t>
        </is>
      </c>
      <c r="C2946" t="inlineStr">
        <is>
          <t>Eau De Parfum</t>
        </is>
      </c>
      <c r="D2946" t="inlineStr">
        <is>
          <t>Maison Alhambra</t>
        </is>
      </c>
      <c r="E2946" t="n">
        <v>9.83</v>
      </c>
      <c r="F2946" t="n">
        <v>1</v>
      </c>
      <c r="G2946" t="n">
        <v>28</v>
      </c>
      <c r="H2946" s="5">
        <f>HYPERLINK("https://api.qogita.com/variants/link/6291107459288/", "View Product")</f>
        <v/>
      </c>
    </row>
    <row r="2947">
      <c r="A2947" t="inlineStr">
        <is>
          <t>6291107459356</t>
        </is>
      </c>
      <c r="B2947" t="inlineStr">
        <is>
          <t>Maison Alhambra Philos Rosso Eau De Parfum Spray 100ml</t>
        </is>
      </c>
      <c r="C2947" t="inlineStr">
        <is>
          <t>Eau De Parfum</t>
        </is>
      </c>
      <c r="D2947" t="inlineStr">
        <is>
          <t>Maison Alhambra</t>
        </is>
      </c>
      <c r="E2947" t="n">
        <v>9.960000000000001</v>
      </c>
      <c r="F2947" t="n">
        <v>1</v>
      </c>
      <c r="G2947" t="n">
        <v>459</v>
      </c>
      <c r="H2947" s="5">
        <f>HYPERLINK("https://api.qogita.com/variants/link/6291107459356/", "View Product")</f>
        <v/>
      </c>
    </row>
    <row r="2948">
      <c r="A2948" t="inlineStr">
        <is>
          <t>6291107459707</t>
        </is>
      </c>
      <c r="B2948" t="inlineStr">
        <is>
          <t>Lattafa Confidential Private Gold Eau De Parfum Spray 100ml</t>
        </is>
      </c>
      <c r="C2948" t="inlineStr">
        <is>
          <t>Eau De Parfum</t>
        </is>
      </c>
      <c r="D2948" t="inlineStr">
        <is>
          <t>Lattafa</t>
        </is>
      </c>
      <c r="E2948" t="n">
        <v>13.77</v>
      </c>
      <c r="F2948" t="n">
        <v>1</v>
      </c>
      <c r="G2948" t="n">
        <v>2</v>
      </c>
      <c r="H2948" s="5">
        <f>HYPERLINK("https://api.qogita.com/variants/link/6291107459707/", "View Product")</f>
        <v/>
      </c>
    </row>
    <row r="2949">
      <c r="A2949" t="inlineStr">
        <is>
          <t>6291107921433</t>
        </is>
      </c>
      <c r="B2949" t="inlineStr">
        <is>
          <t>Verato Women's Eau De Parfum EDP 3.4 Fl. Oz 100ml</t>
        </is>
      </c>
      <c r="C2949" t="inlineStr">
        <is>
          <t>Eau De Parfum</t>
        </is>
      </c>
      <c r="D2949" t="inlineStr">
        <is>
          <t>Mirada</t>
        </is>
      </c>
      <c r="E2949" t="n">
        <v>13.17</v>
      </c>
      <c r="F2949" t="n">
        <v>1</v>
      </c>
      <c r="G2949" t="n">
        <v>20</v>
      </c>
      <c r="H2949" s="5">
        <f>HYPERLINK("https://api.qogita.com/variants/link/6291107921433/", "View Product")</f>
        <v/>
      </c>
    </row>
    <row r="2950">
      <c r="A2950" t="inlineStr">
        <is>
          <t>6291107970110</t>
        </is>
      </c>
      <c r="B2950" t="inlineStr">
        <is>
          <t>KHADLAJ Oud Pour Noble Wood Fragrance Eau De Parfum for Men 100ml</t>
        </is>
      </c>
      <c r="C2950" t="inlineStr">
        <is>
          <t>Eau De Parfum</t>
        </is>
      </c>
      <c r="D2950" t="inlineStr">
        <is>
          <t>Khadlaj</t>
        </is>
      </c>
      <c r="E2950" t="n">
        <v>28.19</v>
      </c>
      <c r="F2950" t="n">
        <v>1</v>
      </c>
      <c r="G2950" t="n">
        <v>31</v>
      </c>
      <c r="H2950" s="5">
        <f>HYPERLINK("https://api.qogita.com/variants/link/6291107970110/", "View Product")</f>
        <v/>
      </c>
    </row>
    <row r="2951">
      <c r="A2951" t="inlineStr">
        <is>
          <t>6291107971193</t>
        </is>
      </c>
      <c r="B2951" t="inlineStr">
        <is>
          <t>Khadlaj Shiyaaka Silver Eau De Parfum 100ml</t>
        </is>
      </c>
      <c r="C2951" t="inlineStr">
        <is>
          <t>Eau De Parfum</t>
        </is>
      </c>
      <c r="D2951" t="inlineStr">
        <is>
          <t>Khadlaj</t>
        </is>
      </c>
      <c r="E2951" t="n">
        <v>10.99</v>
      </c>
      <c r="F2951" t="n">
        <v>1</v>
      </c>
      <c r="G2951" t="n">
        <v>1273</v>
      </c>
      <c r="H2951" s="5">
        <f>HYPERLINK("https://api.qogita.com/variants/link/6291107971193/", "View Product")</f>
        <v/>
      </c>
    </row>
    <row r="2952">
      <c r="A2952" t="inlineStr">
        <is>
          <t>6291107971827</t>
        </is>
      </c>
      <c r="B2952" t="inlineStr">
        <is>
          <t>Ghazlaan Concentrated Perfume Oil by Khadlaj A Complex and Intriguing Fragrance</t>
        </is>
      </c>
      <c r="C2952" t="inlineStr">
        <is>
          <t>Extrait De Parfum</t>
        </is>
      </c>
      <c r="D2952" t="inlineStr">
        <is>
          <t>Khadlaj</t>
        </is>
      </c>
      <c r="E2952" t="n">
        <v>7.53</v>
      </c>
      <c r="F2952" t="n">
        <v>1</v>
      </c>
      <c r="G2952" t="n">
        <v>14</v>
      </c>
      <c r="H2952" s="5">
        <f>HYPERLINK("https://api.qogita.com/variants/link/6291107971827/", "View Product")</f>
        <v/>
      </c>
    </row>
    <row r="2953">
      <c r="A2953" t="inlineStr">
        <is>
          <t>6291107972930</t>
        </is>
      </c>
      <c r="B2953" t="inlineStr">
        <is>
          <t>Khadlaj Ibhaar Olio Profumato Unisex Fragrance 18 ml</t>
        </is>
      </c>
      <c r="C2953" t="inlineStr">
        <is>
          <t>Eau De Parfum</t>
        </is>
      </c>
      <c r="D2953" t="inlineStr">
        <is>
          <t>Khadlaj</t>
        </is>
      </c>
      <c r="E2953" t="n">
        <v>7.37</v>
      </c>
      <c r="F2953" t="n">
        <v>1</v>
      </c>
      <c r="G2953" t="n">
        <v>19</v>
      </c>
      <c r="H2953" s="5">
        <f>HYPERLINK("https://api.qogita.com/variants/link/6291107972930/", "View Product")</f>
        <v/>
      </c>
    </row>
    <row r="2954">
      <c r="A2954" t="inlineStr">
        <is>
          <t>6291107972947</t>
        </is>
      </c>
      <c r="B2954" t="inlineStr">
        <is>
          <t>Farasha 28ml Concentrated Perfume Oil for Women by Khadlaj Musk</t>
        </is>
      </c>
      <c r="C2954" t="inlineStr">
        <is>
          <t>Extrait De Parfum</t>
        </is>
      </c>
      <c r="D2954" t="inlineStr">
        <is>
          <t>Khadlaj</t>
        </is>
      </c>
      <c r="E2954" t="n">
        <v>9.41</v>
      </c>
      <c r="F2954" t="n">
        <v>1</v>
      </c>
      <c r="G2954" t="n">
        <v>83</v>
      </c>
      <c r="H2954" s="5">
        <f>HYPERLINK("https://api.qogita.com/variants/link/6291107972947/", "View Product")</f>
        <v/>
      </c>
    </row>
    <row r="2955">
      <c r="A2955" t="inlineStr">
        <is>
          <t>6291107973852</t>
        </is>
      </c>
      <c r="B2955" t="inlineStr">
        <is>
          <t>Khadlaj Lulu Al Khaleej Olio Profumato Unisex Fragrance 18 ml</t>
        </is>
      </c>
      <c r="C2955" t="inlineStr">
        <is>
          <t>Eau De Parfum</t>
        </is>
      </c>
      <c r="D2955" t="inlineStr">
        <is>
          <t>Khadlaj</t>
        </is>
      </c>
      <c r="E2955" t="n">
        <v>7.3</v>
      </c>
      <c r="F2955" t="n">
        <v>1</v>
      </c>
      <c r="G2955" t="n">
        <v>61</v>
      </c>
      <c r="H2955" s="5">
        <f>HYPERLINK("https://api.qogita.com/variants/link/6291107973852/", "View Product")</f>
        <v/>
      </c>
    </row>
    <row r="2956">
      <c r="A2956" t="inlineStr">
        <is>
          <t>6291107974002</t>
        </is>
      </c>
      <c r="B2956" t="inlineStr">
        <is>
          <t>Khadlaj Shiyaaka Blue Eau De Parfum 100ml</t>
        </is>
      </c>
      <c r="C2956" t="inlineStr">
        <is>
          <t>Eau De Parfum</t>
        </is>
      </c>
      <c r="D2956" t="inlineStr">
        <is>
          <t>Khadlaj</t>
        </is>
      </c>
      <c r="E2956" t="n">
        <v>12.05</v>
      </c>
      <c r="F2956" t="n">
        <v>1</v>
      </c>
      <c r="G2956" t="n">
        <v>38</v>
      </c>
      <c r="H2956" s="5">
        <f>HYPERLINK("https://api.qogita.com/variants/link/6291107974002/", "View Product")</f>
        <v/>
      </c>
    </row>
    <row r="2957">
      <c r="A2957" t="inlineStr">
        <is>
          <t>6291107974149</t>
        </is>
      </c>
      <c r="B2957" t="inlineStr">
        <is>
          <t>Rose Couture Eau De Parfum Spray 100ml by Khadlaj Perfumes - Floral Fragrance</t>
        </is>
      </c>
      <c r="C2957" t="inlineStr">
        <is>
          <t>Eau De Parfum</t>
        </is>
      </c>
      <c r="D2957" t="inlineStr">
        <is>
          <t>Khadlaj</t>
        </is>
      </c>
      <c r="E2957" t="n">
        <v>11.96</v>
      </c>
      <c r="F2957" t="n">
        <v>1</v>
      </c>
      <c r="G2957" t="n">
        <v>15</v>
      </c>
      <c r="H2957" s="5">
        <f>HYPERLINK("https://api.qogita.com/variants/link/6291107974149/", "View Product")</f>
        <v/>
      </c>
    </row>
    <row r="2958">
      <c r="A2958" t="inlineStr">
        <is>
          <t>6291107974781</t>
        </is>
      </c>
      <c r="B2958" t="inlineStr">
        <is>
          <t>Khadlaj Cashmere Warm Oud Eau De Parfum Spray 100ml</t>
        </is>
      </c>
      <c r="C2958" t="inlineStr">
        <is>
          <t>Eau De Parfum</t>
        </is>
      </c>
      <c r="D2958" t="inlineStr">
        <is>
          <t>Khadlaj</t>
        </is>
      </c>
      <c r="E2958" t="n">
        <v>13.77</v>
      </c>
      <c r="F2958" t="n">
        <v>1</v>
      </c>
      <c r="G2958" t="n">
        <v>41</v>
      </c>
      <c r="H2958" s="5">
        <f>HYPERLINK("https://api.qogita.com/variants/link/6291107974781/", "View Product")</f>
        <v/>
      </c>
    </row>
    <row r="2959">
      <c r="A2959" t="inlineStr">
        <is>
          <t>6291107975481</t>
        </is>
      </c>
      <c r="B2959" t="inlineStr">
        <is>
          <t>Khadlaj Infini Absolute Edp</t>
        </is>
      </c>
      <c r="C2959" t="inlineStr">
        <is>
          <t>Eau De Parfum</t>
        </is>
      </c>
      <c r="D2959" t="inlineStr">
        <is>
          <t>Khadlaj</t>
        </is>
      </c>
      <c r="E2959" t="n">
        <v>24.59</v>
      </c>
      <c r="F2959" t="n">
        <v>1</v>
      </c>
      <c r="G2959" t="n">
        <v>15</v>
      </c>
      <c r="H2959" s="5">
        <f>HYPERLINK("https://api.qogita.com/variants/link/6291107975481/", "View Product")</f>
        <v/>
      </c>
    </row>
    <row r="2960">
      <c r="A2960" t="inlineStr">
        <is>
          <t>6291107975825</t>
        </is>
      </c>
      <c r="B2960" t="inlineStr">
        <is>
          <t>Khadlaj The Proposal Special Occasion Unisex Eau de Perfume Spray 3.4 Ounce</t>
        </is>
      </c>
      <c r="C2960" t="inlineStr">
        <is>
          <t>Eau De Parfum</t>
        </is>
      </c>
      <c r="D2960" t="inlineStr">
        <is>
          <t>Khadlaj</t>
        </is>
      </c>
      <c r="E2960" t="n">
        <v>23.59</v>
      </c>
      <c r="F2960" t="n">
        <v>1</v>
      </c>
      <c r="G2960" t="n">
        <v>17</v>
      </c>
      <c r="H2960" s="5">
        <f>HYPERLINK("https://api.qogita.com/variants/link/6291107975825/", "View Product")</f>
        <v/>
      </c>
    </row>
    <row r="2961">
      <c r="A2961" t="inlineStr">
        <is>
          <t>6291107975955</t>
        </is>
      </c>
      <c r="B2961" t="inlineStr">
        <is>
          <t>Khadlaj Le Prestige King Eau De Parfum 100ml</t>
        </is>
      </c>
      <c r="C2961" t="inlineStr">
        <is>
          <t>Eau De Parfum</t>
        </is>
      </c>
      <c r="D2961" t="inlineStr">
        <is>
          <t>Khadlaj</t>
        </is>
      </c>
      <c r="E2961" t="n">
        <v>15.94</v>
      </c>
      <c r="F2961" t="n">
        <v>1</v>
      </c>
      <c r="G2961" t="n">
        <v>10</v>
      </c>
      <c r="H2961" s="5">
        <f>HYPERLINK("https://api.qogita.com/variants/link/6291107975955/", "View Product")</f>
        <v/>
      </c>
    </row>
    <row r="2962">
      <c r="A2962" t="inlineStr">
        <is>
          <t>6291107975993</t>
        </is>
      </c>
      <c r="B2962" t="inlineStr">
        <is>
          <t>Valor Mystique Perfumed Water Spray 100ml</t>
        </is>
      </c>
      <c r="C2962" t="inlineStr">
        <is>
          <t>Eau De Parfum</t>
        </is>
      </c>
      <c r="D2962" t="inlineStr">
        <is>
          <t>Valor</t>
        </is>
      </c>
      <c r="E2962" t="n">
        <v>18.16</v>
      </c>
      <c r="F2962" t="n">
        <v>1</v>
      </c>
      <c r="G2962" t="n">
        <v>18</v>
      </c>
      <c r="H2962" s="5">
        <f>HYPERLINK("https://api.qogita.com/variants/link/6291107975993/", "View Product")</f>
        <v/>
      </c>
    </row>
    <row r="2963">
      <c r="A2963" t="inlineStr">
        <is>
          <t>6291107976020</t>
        </is>
      </c>
      <c r="B2963" t="inlineStr">
        <is>
          <t>Khadlaj Maison L'or Noir Eau De Parfum Spray 3.4 Ounce Unisex</t>
        </is>
      </c>
      <c r="C2963" t="inlineStr">
        <is>
          <t>Eau De Parfum</t>
        </is>
      </c>
      <c r="D2963" t="inlineStr">
        <is>
          <t>Khadlaj</t>
        </is>
      </c>
      <c r="E2963" t="n">
        <v>16.36</v>
      </c>
      <c r="F2963" t="n">
        <v>1</v>
      </c>
      <c r="G2963" t="n">
        <v>56</v>
      </c>
      <c r="H2963" s="5">
        <f>HYPERLINK("https://api.qogita.com/variants/link/6291107976020/", "View Product")</f>
        <v/>
      </c>
    </row>
    <row r="2964">
      <c r="A2964" t="inlineStr">
        <is>
          <t>6291107976037</t>
        </is>
      </c>
      <c r="B2964" t="inlineStr">
        <is>
          <t>Khadlaj Maison Creation De Reve Eau De Parfum Spray 3.4 Ounce Unisex</t>
        </is>
      </c>
      <c r="C2964" t="inlineStr">
        <is>
          <t>Eau De Parfum</t>
        </is>
      </c>
      <c r="D2964" t="inlineStr">
        <is>
          <t>Khadlaj</t>
        </is>
      </c>
      <c r="E2964" t="n">
        <v>16.78</v>
      </c>
      <c r="F2964" t="n">
        <v>1</v>
      </c>
      <c r="G2964" t="n">
        <v>119</v>
      </c>
      <c r="H2964" s="5">
        <f>HYPERLINK("https://api.qogita.com/variants/link/6291107976037/", "View Product")</f>
        <v/>
      </c>
    </row>
    <row r="2965">
      <c r="A2965" t="inlineStr">
        <is>
          <t>6291107976068</t>
        </is>
      </c>
      <c r="B2965" t="inlineStr">
        <is>
          <t>Khadlaj Flor Oud Eau De Parfum Spray 100ml</t>
        </is>
      </c>
      <c r="C2965" t="inlineStr">
        <is>
          <t>Eau De Parfum</t>
        </is>
      </c>
      <c r="D2965" t="inlineStr">
        <is>
          <t>Khadlaj</t>
        </is>
      </c>
      <c r="E2965" t="n">
        <v>17.74</v>
      </c>
      <c r="F2965" t="n">
        <v>1</v>
      </c>
      <c r="G2965" t="n">
        <v>61</v>
      </c>
      <c r="H2965" s="5">
        <f>HYPERLINK("https://api.qogita.com/variants/link/6291107976068/", "View Product")</f>
        <v/>
      </c>
    </row>
    <row r="2966">
      <c r="A2966" t="inlineStr">
        <is>
          <t>6291107976150</t>
        </is>
      </c>
      <c r="B2966" t="inlineStr">
        <is>
          <t>Khadlaj Nuha Eau De Parfum 85ml</t>
        </is>
      </c>
      <c r="C2966" t="inlineStr">
        <is>
          <t>Eau De Parfum</t>
        </is>
      </c>
      <c r="D2966" t="inlineStr">
        <is>
          <t>Khadlaj</t>
        </is>
      </c>
      <c r="E2966" t="n">
        <v>11.94</v>
      </c>
      <c r="F2966" t="n">
        <v>1</v>
      </c>
      <c r="G2966" t="n">
        <v>60</v>
      </c>
      <c r="H2966" s="5">
        <f>HYPERLINK("https://api.qogita.com/variants/link/6291107976150/", "View Product")</f>
        <v/>
      </c>
    </row>
    <row r="2967">
      <c r="A2967" t="inlineStr">
        <is>
          <t>6291107976556</t>
        </is>
      </c>
      <c r="B2967" t="inlineStr">
        <is>
          <t>Khadlaj Hareem Al Sultan Eau De Parfum Spray 75ml</t>
        </is>
      </c>
      <c r="C2967" t="inlineStr">
        <is>
          <t>Eau De Parfum</t>
        </is>
      </c>
      <c r="D2967" t="inlineStr">
        <is>
          <t>Khadlaj</t>
        </is>
      </c>
      <c r="E2967" t="n">
        <v>20.53</v>
      </c>
      <c r="F2967" t="n">
        <v>1</v>
      </c>
      <c r="G2967" t="n">
        <v>231</v>
      </c>
      <c r="H2967" s="5">
        <f>HYPERLINK("https://api.qogita.com/variants/link/6291107976556/", "View Product")</f>
        <v/>
      </c>
    </row>
    <row r="2968">
      <c r="A2968" t="inlineStr">
        <is>
          <t>6291107976938</t>
        </is>
      </c>
      <c r="B2968" t="inlineStr">
        <is>
          <t>Extreme Blue Eau de Parfum - Magnum - Volume 100 ml</t>
        </is>
      </c>
      <c r="C2968" t="inlineStr">
        <is>
          <t>Eau De Parfum</t>
        </is>
      </c>
      <c r="D2968" t="inlineStr">
        <is>
          <t>Magnum</t>
        </is>
      </c>
      <c r="E2968" t="n">
        <v>19.1</v>
      </c>
      <c r="F2968" t="n">
        <v>1</v>
      </c>
      <c r="G2968" t="n">
        <v>14</v>
      </c>
      <c r="H2968" s="5">
        <f>HYPERLINK("https://api.qogita.com/variants/link/6291107976938/", "View Product")</f>
        <v/>
      </c>
    </row>
    <row r="2969">
      <c r="A2969" t="inlineStr">
        <is>
          <t>6291107976990</t>
        </is>
      </c>
      <c r="B2969" t="inlineStr">
        <is>
          <t>La Fede Opera Noir L'Or Edp</t>
        </is>
      </c>
      <c r="C2969" t="inlineStr">
        <is>
          <t>Eau De Parfum</t>
        </is>
      </c>
      <c r="D2969" t="inlineStr">
        <is>
          <t>La Fede</t>
        </is>
      </c>
      <c r="E2969" t="n">
        <v>14.22</v>
      </c>
      <c r="F2969" t="n">
        <v>1</v>
      </c>
      <c r="G2969" t="n">
        <v>74</v>
      </c>
      <c r="H2969" s="5">
        <f>HYPERLINK("https://api.qogita.com/variants/link/6291107976990/", "View Product")</f>
        <v/>
      </c>
    </row>
    <row r="2970">
      <c r="A2970" t="inlineStr">
        <is>
          <t>6291107977010</t>
        </is>
      </c>
      <c r="B2970" t="inlineStr">
        <is>
          <t>Khadlaj Ghadeer Silver Eau de Parfum 100 ml for Men</t>
        </is>
      </c>
      <c r="C2970" t="inlineStr">
        <is>
          <t>Eau De Parfum</t>
        </is>
      </c>
      <c r="D2970" t="inlineStr">
        <is>
          <t>Khadlaj</t>
        </is>
      </c>
      <c r="E2970" t="n">
        <v>10.92</v>
      </c>
      <c r="F2970" t="n">
        <v>1</v>
      </c>
      <c r="G2970" t="n">
        <v>13</v>
      </c>
      <c r="H2970" s="5">
        <f>HYPERLINK("https://api.qogita.com/variants/link/6291107977010/", "View Product")</f>
        <v/>
      </c>
    </row>
    <row r="2971">
      <c r="A2971" t="inlineStr">
        <is>
          <t>6291107977317</t>
        </is>
      </c>
      <c r="B2971" t="inlineStr">
        <is>
          <t>Khadlaj Johayna Green - Concentrated Perfumed Oil</t>
        </is>
      </c>
      <c r="C2971" t="inlineStr">
        <is>
          <t>Extrait De Parfum</t>
        </is>
      </c>
      <c r="D2971" t="inlineStr">
        <is>
          <t>Khadlaj</t>
        </is>
      </c>
      <c r="E2971" t="n">
        <v>9.66</v>
      </c>
      <c r="F2971" t="n">
        <v>1</v>
      </c>
      <c r="G2971" t="n">
        <v>69</v>
      </c>
      <c r="H2971" s="5">
        <f>HYPERLINK("https://api.qogita.com/variants/link/6291107977317/", "View Product")</f>
        <v/>
      </c>
    </row>
    <row r="2972">
      <c r="A2972" t="inlineStr">
        <is>
          <t>6291107977324</t>
        </is>
      </c>
      <c r="B2972" t="inlineStr">
        <is>
          <t>Khadlaj Johayna Purple Oil 20 Ml</t>
        </is>
      </c>
      <c r="C2972" t="inlineStr">
        <is>
          <t>Eau De Parfum</t>
        </is>
      </c>
      <c r="D2972" t="inlineStr">
        <is>
          <t>Khadlaj</t>
        </is>
      </c>
      <c r="E2972" t="n">
        <v>7.3</v>
      </c>
      <c r="F2972" t="n">
        <v>1</v>
      </c>
      <c r="G2972" t="n">
        <v>8</v>
      </c>
      <c r="H2972" s="5">
        <f>HYPERLINK("https://api.qogita.com/variants/link/6291107977324/", "View Product")</f>
        <v/>
      </c>
    </row>
    <row r="2973">
      <c r="A2973" t="inlineStr">
        <is>
          <t>6291107977751</t>
        </is>
      </c>
      <c r="B2973" t="inlineStr">
        <is>
          <t>Khadlaj Fursan White Eau De Parfum 100 Ml</t>
        </is>
      </c>
      <c r="C2973" t="inlineStr">
        <is>
          <t>Eau De Parfum</t>
        </is>
      </c>
      <c r="D2973" t="inlineStr">
        <is>
          <t>Khadlaj</t>
        </is>
      </c>
      <c r="E2973" t="n">
        <v>13.25</v>
      </c>
      <c r="F2973" t="n">
        <v>1</v>
      </c>
      <c r="G2973" t="n">
        <v>452</v>
      </c>
      <c r="H2973" s="5">
        <f>HYPERLINK("https://api.qogita.com/variants/link/6291107977751/", "View Product")</f>
        <v/>
      </c>
    </row>
    <row r="2974">
      <c r="A2974" t="inlineStr">
        <is>
          <t>6291107979045</t>
        </is>
      </c>
      <c r="B2974" t="inlineStr">
        <is>
          <t>La Fede Eau De Parfum Celeste Fleur For Women, 100 Ml</t>
        </is>
      </c>
      <c r="C2974" t="inlineStr">
        <is>
          <t>Eau De Parfum</t>
        </is>
      </c>
      <c r="D2974" t="inlineStr">
        <is>
          <t>La Fede</t>
        </is>
      </c>
      <c r="E2974" t="n">
        <v>13.61</v>
      </c>
      <c r="F2974" t="n">
        <v>1</v>
      </c>
      <c r="G2974" t="n">
        <v>31</v>
      </c>
      <c r="H2974" s="5">
        <f>HYPERLINK("https://api.qogita.com/variants/link/6291107979045/", "View Product")</f>
        <v/>
      </c>
    </row>
    <row r="2975">
      <c r="A2975" t="inlineStr">
        <is>
          <t>6291107979076</t>
        </is>
      </c>
      <c r="B2975" t="inlineStr">
        <is>
          <t>La Fede Coveted Diamond Eau De Parfum 100ml</t>
        </is>
      </c>
      <c r="C2975" t="inlineStr">
        <is>
          <t>Eau De Parfum</t>
        </is>
      </c>
      <c r="D2975" t="inlineStr">
        <is>
          <t>La Fede</t>
        </is>
      </c>
      <c r="E2975" t="n">
        <v>11.52</v>
      </c>
      <c r="F2975" t="n">
        <v>1</v>
      </c>
      <c r="G2975" t="n">
        <v>40</v>
      </c>
      <c r="H2975" s="5">
        <f>HYPERLINK("https://api.qogita.com/variants/link/6291107979076/", "View Product")</f>
        <v/>
      </c>
    </row>
    <row r="2976">
      <c r="A2976" t="inlineStr">
        <is>
          <t>6291107979175</t>
        </is>
      </c>
      <c r="B2976" t="inlineStr">
        <is>
          <t>Khadlaj Nuha Cherry Blush Eau De Parfum 85ml</t>
        </is>
      </c>
      <c r="C2976" t="inlineStr">
        <is>
          <t>Eau De Parfum</t>
        </is>
      </c>
      <c r="D2976" t="inlineStr">
        <is>
          <t>Khadlaj</t>
        </is>
      </c>
      <c r="E2976" t="n">
        <v>12.68</v>
      </c>
      <c r="F2976" t="n">
        <v>1</v>
      </c>
      <c r="G2976" t="n">
        <v>35</v>
      </c>
      <c r="H2976" s="5">
        <f>HYPERLINK("https://api.qogita.com/variants/link/6291107979175/", "View Product")</f>
        <v/>
      </c>
    </row>
    <row r="2977">
      <c r="A2977" t="inlineStr">
        <is>
          <t>6291108322093</t>
        </is>
      </c>
      <c r="B2977" t="inlineStr">
        <is>
          <t>Fragrance World Divin Aoud Unisex 3.4 Oz EDP Spray</t>
        </is>
      </c>
      <c r="C2977" t="inlineStr">
        <is>
          <t>Eau De Parfum</t>
        </is>
      </c>
      <c r="D2977" t="inlineStr">
        <is>
          <t>Maison Alhambra</t>
        </is>
      </c>
      <c r="E2977" t="n">
        <v>28.47</v>
      </c>
      <c r="F2977" t="n">
        <v>1</v>
      </c>
      <c r="G2977" t="n">
        <v>23</v>
      </c>
      <c r="H2977" s="5">
        <f>HYPERLINK("https://api.qogita.com/variants/link/6291108322093/", "View Product")</f>
        <v/>
      </c>
    </row>
    <row r="2978">
      <c r="A2978" t="inlineStr">
        <is>
          <t>6291108323946</t>
        </is>
      </c>
      <c r="B2978" t="inlineStr">
        <is>
          <t>Fragrance World Glorious Oud Royal Blanc Extrait De Parfum Unisex 2.7 Fl Oz Musk</t>
        </is>
      </c>
      <c r="C2978" t="inlineStr">
        <is>
          <t>Extrait De Parfum</t>
        </is>
      </c>
      <c r="D2978" t="inlineStr">
        <is>
          <t>Fragrance World</t>
        </is>
      </c>
      <c r="E2978" t="n">
        <v>17.71</v>
      </c>
      <c r="F2978" t="n">
        <v>1</v>
      </c>
      <c r="G2978" t="n">
        <v>2</v>
      </c>
      <c r="H2978" s="5">
        <f>HYPERLINK("https://api.qogita.com/variants/link/6291108323946/", "View Product")</f>
        <v/>
      </c>
    </row>
    <row r="2979">
      <c r="A2979" t="inlineStr">
        <is>
          <t>6291108327654</t>
        </is>
      </c>
      <c r="B2979" t="inlineStr">
        <is>
          <t>The Promise Extrait de Parfum</t>
        </is>
      </c>
      <c r="C2979" t="inlineStr">
        <is>
          <t>Extrait De Parfum</t>
        </is>
      </c>
      <c r="D2979" t="inlineStr">
        <is>
          <t>Fragrance World</t>
        </is>
      </c>
      <c r="E2979" t="n">
        <v>30.41</v>
      </c>
      <c r="F2979" t="n">
        <v>1</v>
      </c>
      <c r="G2979" t="n">
        <v>40</v>
      </c>
      <c r="H2979" s="5">
        <f>HYPERLINK("https://api.qogita.com/variants/link/6291108327654/", "View Product")</f>
        <v/>
      </c>
    </row>
    <row r="2980">
      <c r="A2980" t="inlineStr">
        <is>
          <t>6291108329238</t>
        </is>
      </c>
      <c r="B2980" t="inlineStr">
        <is>
          <t>Fragrance World Happiness Oud Extrait De Parfum 80ml Unisex Perfume</t>
        </is>
      </c>
      <c r="C2980" t="inlineStr">
        <is>
          <t>Extrait De Parfum</t>
        </is>
      </c>
      <c r="D2980" t="inlineStr">
        <is>
          <t>Fragrance World</t>
        </is>
      </c>
      <c r="E2980" t="n">
        <v>21.81</v>
      </c>
      <c r="F2980" t="n">
        <v>1</v>
      </c>
      <c r="G2980" t="n">
        <v>14</v>
      </c>
      <c r="H2980" s="5">
        <f>HYPERLINK("https://api.qogita.com/variants/link/6291108329238/", "View Product")</f>
        <v/>
      </c>
    </row>
    <row r="2981">
      <c r="A2981" t="inlineStr">
        <is>
          <t>6291108329276</t>
        </is>
      </c>
      <c r="B2981" t="inlineStr">
        <is>
          <t>Enigma Deux 100ml Eau De Parfum by FA Paris Sweet Musky Powdery Unisex Perfume</t>
        </is>
      </c>
      <c r="C2981" t="inlineStr">
        <is>
          <t>Eau De Parfum</t>
        </is>
      </c>
      <c r="D2981" t="inlineStr">
        <is>
          <t>Fa Paris</t>
        </is>
      </c>
      <c r="E2981" t="n">
        <v>22.98</v>
      </c>
      <c r="F2981" t="n">
        <v>1</v>
      </c>
      <c r="G2981" t="n">
        <v>18</v>
      </c>
      <c r="H2981" s="5">
        <f>HYPERLINK("https://api.qogita.com/variants/link/6291108329276/", "View Product")</f>
        <v/>
      </c>
    </row>
    <row r="2982">
      <c r="A2982" t="inlineStr">
        <is>
          <t>6291108527009</t>
        </is>
      </c>
      <c r="B2982" t="inlineStr">
        <is>
          <t>La Sera Tuhfa Eau De Parfum 100ml</t>
        </is>
      </c>
      <c r="C2982" t="inlineStr">
        <is>
          <t>Eau De Parfum</t>
        </is>
      </c>
      <c r="D2982" t="inlineStr">
        <is>
          <t>La Sera</t>
        </is>
      </c>
      <c r="E2982" t="n">
        <v>11.98</v>
      </c>
      <c r="F2982" t="n">
        <v>1</v>
      </c>
      <c r="G2982" t="n">
        <v>5</v>
      </c>
      <c r="H2982" s="5">
        <f>HYPERLINK("https://api.qogita.com/variants/link/6291108527009/", "View Product")</f>
        <v/>
      </c>
    </row>
    <row r="2983">
      <c r="A2983" t="inlineStr">
        <is>
          <t>6291108727744</t>
        </is>
      </c>
      <c r="B2983" t="inlineStr">
        <is>
          <t>Amaran Kings &amp; Queens Blossom Women's EDP Spray 3.3 Oz 100ml</t>
        </is>
      </c>
      <c r="C2983" t="inlineStr">
        <is>
          <t>Eau De Parfum</t>
        </is>
      </c>
      <c r="D2983" t="inlineStr">
        <is>
          <t>Amaran</t>
        </is>
      </c>
      <c r="E2983" t="n">
        <v>16.04</v>
      </c>
      <c r="F2983" t="n">
        <v>1</v>
      </c>
      <c r="G2983" t="n">
        <v>21</v>
      </c>
      <c r="H2983" s="5">
        <f>HYPERLINK("https://api.qogita.com/variants/link/6291108727744/", "View Product")</f>
        <v/>
      </c>
    </row>
    <row r="2984">
      <c r="A2984" t="inlineStr">
        <is>
          <t>6291108730089</t>
        </is>
      </c>
      <c r="B2984" t="inlineStr">
        <is>
          <t>Como Moiselle by Maison Alhambra Eau De Parfum Vaporisateur Floral Herbal 100ml</t>
        </is>
      </c>
      <c r="C2984" t="inlineStr">
        <is>
          <t>Eau De Parfum</t>
        </is>
      </c>
      <c r="D2984" t="inlineStr">
        <is>
          <t>Maison Alhambra</t>
        </is>
      </c>
      <c r="E2984" t="n">
        <v>10.15</v>
      </c>
      <c r="F2984" t="n">
        <v>1</v>
      </c>
      <c r="G2984" t="n">
        <v>264</v>
      </c>
      <c r="H2984" s="5">
        <f>HYPERLINK("https://api.qogita.com/variants/link/6291108730089/", "View Product")</f>
        <v/>
      </c>
    </row>
    <row r="2985">
      <c r="A2985" t="inlineStr">
        <is>
          <t>6291108730270</t>
        </is>
      </c>
      <c r="B2985" t="inlineStr">
        <is>
          <t>Toro By Maison Alhambra For Men 3.4 Oz EDP Spray</t>
        </is>
      </c>
      <c r="C2985" t="inlineStr">
        <is>
          <t>Eau De Parfum</t>
        </is>
      </c>
      <c r="D2985" t="inlineStr">
        <is>
          <t>Maison Alhambra</t>
        </is>
      </c>
      <c r="E2985" t="n">
        <v>11.35</v>
      </c>
      <c r="F2985" t="n">
        <v>1</v>
      </c>
      <c r="G2985" t="n">
        <v>9</v>
      </c>
      <c r="H2985" s="5">
        <f>HYPERLINK("https://api.qogita.com/variants/link/6291108730270/", "View Product")</f>
        <v/>
      </c>
    </row>
    <row r="2986">
      <c r="A2986" t="inlineStr">
        <is>
          <t>6291108732045</t>
        </is>
      </c>
      <c r="B2986" t="inlineStr">
        <is>
          <t>Lattafa Suqraat Eau De Parfum 100ml</t>
        </is>
      </c>
      <c r="C2986" t="inlineStr">
        <is>
          <t>Eau De Parfum</t>
        </is>
      </c>
      <c r="D2986" t="inlineStr">
        <is>
          <t>Lattafa</t>
        </is>
      </c>
      <c r="E2986" t="n">
        <v>12.07</v>
      </c>
      <c r="F2986" t="n">
        <v>1</v>
      </c>
      <c r="G2986" t="n">
        <v>459</v>
      </c>
      <c r="H2986" s="5">
        <f>HYPERLINK("https://api.qogita.com/variants/link/6291108732045/", "View Product")</f>
        <v/>
      </c>
    </row>
    <row r="2987">
      <c r="A2987" t="inlineStr">
        <is>
          <t>6291108733226</t>
        </is>
      </c>
      <c r="B2987" t="inlineStr">
        <is>
          <t>Ana Abiyedh Poudree 60ml Musky Woody</t>
        </is>
      </c>
      <c r="C2987" t="inlineStr">
        <is>
          <t>Eau De Parfum</t>
        </is>
      </c>
      <c r="D2987" t="inlineStr">
        <is>
          <t>Lattafa</t>
        </is>
      </c>
      <c r="E2987" t="n">
        <v>11.16</v>
      </c>
      <c r="F2987" t="n">
        <v>1</v>
      </c>
      <c r="G2987" t="n">
        <v>84</v>
      </c>
      <c r="H2987" s="5">
        <f>HYPERLINK("https://api.qogita.com/variants/link/6291108733226/", "View Product")</f>
        <v/>
      </c>
    </row>
    <row r="2988">
      <c r="A2988" t="inlineStr">
        <is>
          <t>6291108733691</t>
        </is>
      </c>
      <c r="B2988" t="inlineStr">
        <is>
          <t>Emir Paris Corner You're Drugged Eau De Parfum 100ml</t>
        </is>
      </c>
      <c r="C2988" t="inlineStr">
        <is>
          <t>Eau De Parfum</t>
        </is>
      </c>
      <c r="D2988" t="inlineStr">
        <is>
          <t>Emir</t>
        </is>
      </c>
      <c r="E2988" t="n">
        <v>18.7</v>
      </c>
      <c r="F2988" t="n">
        <v>1</v>
      </c>
      <c r="G2988" t="n">
        <v>46</v>
      </c>
      <c r="H2988" s="5">
        <f>HYPERLINK("https://api.qogita.com/variants/link/6291108733691/", "View Product")</f>
        <v/>
      </c>
    </row>
    <row r="2989">
      <c r="A2989" t="inlineStr">
        <is>
          <t>6291108733721</t>
        </is>
      </c>
      <c r="B2989" t="inlineStr">
        <is>
          <t>Emir Fire Your Desire Eau De Parfum Spray 100ml</t>
        </is>
      </c>
      <c r="C2989" t="inlineStr">
        <is>
          <t>Eau De Parfum</t>
        </is>
      </c>
      <c r="D2989" t="inlineStr">
        <is>
          <t>Emir</t>
        </is>
      </c>
      <c r="E2989" t="n">
        <v>18.53</v>
      </c>
      <c r="F2989" t="n">
        <v>1</v>
      </c>
      <c r="G2989" t="n">
        <v>11</v>
      </c>
      <c r="H2989" s="5">
        <f>HYPERLINK("https://api.qogita.com/variants/link/6291108733721/", "View Product")</f>
        <v/>
      </c>
    </row>
    <row r="2990">
      <c r="A2990" t="inlineStr">
        <is>
          <t>6291108734049</t>
        </is>
      </c>
      <c r="B2990" t="inlineStr">
        <is>
          <t>Riiffs Imperial Rouge Eau De Parfum Spray for Women 3.4oz B5058W</t>
        </is>
      </c>
      <c r="C2990" t="inlineStr">
        <is>
          <t>Eau De Parfum</t>
        </is>
      </c>
      <c r="D2990" t="inlineStr">
        <is>
          <t>Riiffs</t>
        </is>
      </c>
      <c r="E2990" t="n">
        <v>12.42</v>
      </c>
      <c r="F2990" t="n">
        <v>1</v>
      </c>
      <c r="G2990" t="n">
        <v>31</v>
      </c>
      <c r="H2990" s="5">
        <f>HYPERLINK("https://api.qogita.com/variants/link/6291108734049/", "View Product")</f>
        <v/>
      </c>
    </row>
    <row r="2991">
      <c r="A2991" t="inlineStr">
        <is>
          <t>6291108734513</t>
        </is>
      </c>
      <c r="B2991" t="inlineStr">
        <is>
          <t>Lattafa Musk Candy Rose Eau De Parfum Spray 100ml</t>
        </is>
      </c>
      <c r="C2991" t="inlineStr">
        <is>
          <t>Eau De Parfum</t>
        </is>
      </c>
      <c r="D2991" t="inlineStr">
        <is>
          <t>Lattafa</t>
        </is>
      </c>
      <c r="E2991" t="n">
        <v>13.27</v>
      </c>
      <c r="F2991" t="n">
        <v>1</v>
      </c>
      <c r="G2991" t="n">
        <v>281</v>
      </c>
      <c r="H2991" s="5">
        <f>HYPERLINK("https://api.qogita.com/variants/link/6291108734513/", "View Product")</f>
        <v/>
      </c>
    </row>
    <row r="2992">
      <c r="A2992" t="inlineStr">
        <is>
          <t>6291108735435</t>
        </is>
      </c>
      <c r="B2992" t="inlineStr">
        <is>
          <t>Maison Alhambra Infini Rose Eau De Parfum Spray 100ml</t>
        </is>
      </c>
      <c r="C2992" t="inlineStr">
        <is>
          <t>Eau De Parfum</t>
        </is>
      </c>
      <c r="D2992" t="inlineStr">
        <is>
          <t>Maison Alhambra</t>
        </is>
      </c>
      <c r="E2992" t="n">
        <v>18.13</v>
      </c>
      <c r="F2992" t="n">
        <v>1</v>
      </c>
      <c r="G2992" t="n">
        <v>119</v>
      </c>
      <c r="H2992" s="5">
        <f>HYPERLINK("https://api.qogita.com/variants/link/6291108735435/", "View Product")</f>
        <v/>
      </c>
    </row>
    <row r="2993">
      <c r="A2993" t="inlineStr">
        <is>
          <t>6291108735442</t>
        </is>
      </c>
      <c r="B2993" t="inlineStr">
        <is>
          <t>Maison Alhambra Kismet Moscow Eau De Parfum 100ml Spray</t>
        </is>
      </c>
      <c r="C2993" t="inlineStr">
        <is>
          <t>Eau De Parfum</t>
        </is>
      </c>
      <c r="D2993" t="inlineStr">
        <is>
          <t>Maison Alhambra</t>
        </is>
      </c>
      <c r="E2993" t="n">
        <v>13.6</v>
      </c>
      <c r="F2993" t="n">
        <v>1</v>
      </c>
      <c r="G2993" t="n">
        <v>102</v>
      </c>
      <c r="H2993" s="5">
        <f>HYPERLINK("https://api.qogita.com/variants/link/6291108735442/", "View Product")</f>
        <v/>
      </c>
    </row>
    <row r="2994">
      <c r="A2994" t="inlineStr">
        <is>
          <t>6291108735459</t>
        </is>
      </c>
      <c r="B2994" t="inlineStr">
        <is>
          <t>Maison Alhambra By Saffron Eau De Parfum 100ml Spray</t>
        </is>
      </c>
      <c r="C2994" t="inlineStr">
        <is>
          <t>Eau De Parfum</t>
        </is>
      </c>
      <c r="D2994" t="inlineStr">
        <is>
          <t>Maison Alhambra</t>
        </is>
      </c>
      <c r="E2994" t="n">
        <v>11.73</v>
      </c>
      <c r="F2994" t="n">
        <v>1</v>
      </c>
      <c r="G2994" t="n">
        <v>2</v>
      </c>
      <c r="H2994" s="5">
        <f>HYPERLINK("https://api.qogita.com/variants/link/6291108735459/", "View Product")</f>
        <v/>
      </c>
    </row>
    <row r="2995">
      <c r="A2995" t="inlineStr">
        <is>
          <t>6291108735534</t>
        </is>
      </c>
      <c r="B2995" t="inlineStr">
        <is>
          <t>Maison Alhambra Jean Lowe Ombre/Noir Eau De Parfum Spray 3.4 oz</t>
        </is>
      </c>
      <c r="C2995" t="inlineStr">
        <is>
          <t>Eau De Parfum</t>
        </is>
      </c>
      <c r="D2995" t="inlineStr">
        <is>
          <t>Maison Alhambra</t>
        </is>
      </c>
      <c r="E2995" t="n">
        <v>18.82</v>
      </c>
      <c r="F2995" t="n">
        <v>1</v>
      </c>
      <c r="G2995" t="n">
        <v>655</v>
      </c>
      <c r="H2995" s="5">
        <f>HYPERLINK("https://api.qogita.com/variants/link/6291108735534/", "View Product")</f>
        <v/>
      </c>
    </row>
    <row r="2996">
      <c r="A2996" t="inlineStr">
        <is>
          <t>6291108735589</t>
        </is>
      </c>
      <c r="B2996" t="inlineStr">
        <is>
          <t>Lattafa Perfumes Mohra Eau De Parfum 100ml</t>
        </is>
      </c>
      <c r="C2996" t="inlineStr">
        <is>
          <t>Eau De Parfum</t>
        </is>
      </c>
      <c r="D2996" t="inlineStr">
        <is>
          <t>Lattafa</t>
        </is>
      </c>
      <c r="E2996" t="n">
        <v>12.13</v>
      </c>
      <c r="F2996" t="n">
        <v>1</v>
      </c>
      <c r="G2996" t="n">
        <v>89</v>
      </c>
      <c r="H2996" s="5">
        <f>HYPERLINK("https://api.qogita.com/variants/link/6291108735589/", "View Product")</f>
        <v/>
      </c>
    </row>
    <row r="2997">
      <c r="A2997" t="inlineStr">
        <is>
          <t>6291108735633</t>
        </is>
      </c>
      <c r="B2997" t="inlineStr">
        <is>
          <t>LATTAFA Ente Faqat Eau De Parfum Spray 3.4 Ounce Unisex</t>
        </is>
      </c>
      <c r="C2997" t="inlineStr">
        <is>
          <t>Eau De Parfum</t>
        </is>
      </c>
      <c r="D2997" t="inlineStr">
        <is>
          <t>Lattafa</t>
        </is>
      </c>
      <c r="E2997" t="n">
        <v>8.380000000000001</v>
      </c>
      <c r="F2997" t="n">
        <v>1</v>
      </c>
      <c r="G2997" t="n">
        <v>40</v>
      </c>
      <c r="H2997" s="5">
        <f>HYPERLINK("https://api.qogita.com/variants/link/6291108735633/", "View Product")</f>
        <v/>
      </c>
    </row>
    <row r="2998">
      <c r="A2998" t="inlineStr">
        <is>
          <t>6291108735879</t>
        </is>
      </c>
      <c r="B2998" t="inlineStr">
        <is>
          <t>Maison Alhambra Alpine Homme Sport Eau De Parfum 100ml</t>
        </is>
      </c>
      <c r="C2998" t="inlineStr">
        <is>
          <t>Eau De Parfum</t>
        </is>
      </c>
      <c r="D2998" t="inlineStr">
        <is>
          <t>Maison Alhambra</t>
        </is>
      </c>
      <c r="E2998" t="n">
        <v>11.37</v>
      </c>
      <c r="F2998" t="n">
        <v>1</v>
      </c>
      <c r="G2998" t="n">
        <v>177</v>
      </c>
      <c r="H2998" s="5">
        <f>HYPERLINK("https://api.qogita.com/variants/link/6291108735879/", "View Product")</f>
        <v/>
      </c>
    </row>
    <row r="2999">
      <c r="A2999" t="inlineStr">
        <is>
          <t>6291108735930</t>
        </is>
      </c>
      <c r="B2999" t="inlineStr">
        <is>
          <t>Victorioso Victory Perfumed Water Spray 100ml</t>
        </is>
      </c>
      <c r="C2999" t="inlineStr">
        <is>
          <t>Eau De Parfum</t>
        </is>
      </c>
      <c r="D2999" t="inlineStr">
        <is>
          <t>Victorio &amp; Lucchino</t>
        </is>
      </c>
      <c r="E2999" t="n">
        <v>10.19</v>
      </c>
      <c r="F2999" t="n">
        <v>1</v>
      </c>
      <c r="G2999" t="n">
        <v>14</v>
      </c>
      <c r="H2999" s="5">
        <f>HYPERLINK("https://api.qogita.com/variants/link/6291108735930/", "View Product")</f>
        <v/>
      </c>
    </row>
    <row r="3000">
      <c r="A3000" t="inlineStr">
        <is>
          <t>6291108735954</t>
        </is>
      </c>
      <c r="B3000" t="inlineStr">
        <is>
          <t>Maison Alhambra La Vivacit Intense Eau De Parfum</t>
        </is>
      </c>
      <c r="C3000" t="inlineStr">
        <is>
          <t>Eau De Parfum</t>
        </is>
      </c>
      <c r="D3000" t="inlineStr">
        <is>
          <t>Maison Alhambra</t>
        </is>
      </c>
      <c r="E3000" t="n">
        <v>9.65</v>
      </c>
      <c r="F3000" t="n">
        <v>1</v>
      </c>
      <c r="G3000" t="n">
        <v>459</v>
      </c>
      <c r="H3000" s="5">
        <f>HYPERLINK("https://api.qogita.com/variants/link/6291108735954/", "View Product")</f>
        <v/>
      </c>
    </row>
    <row r="3001">
      <c r="A3001" t="inlineStr">
        <is>
          <t>6291108735992</t>
        </is>
      </c>
      <c r="B3001" t="inlineStr">
        <is>
          <t>Maison Alhambra Original Flower Perfume for Women 100ml EDP Paris</t>
        </is>
      </c>
      <c r="C3001" t="inlineStr">
        <is>
          <t>Eau De Parfum</t>
        </is>
      </c>
      <c r="D3001" t="inlineStr">
        <is>
          <t>Maison Alhambra</t>
        </is>
      </c>
      <c r="E3001" t="n">
        <v>9.58</v>
      </c>
      <c r="F3001" t="n">
        <v>1</v>
      </c>
      <c r="G3001" t="n">
        <v>308</v>
      </c>
      <c r="H3001" s="5">
        <f>HYPERLINK("https://api.qogita.com/variants/link/6291108735992/", "View Product")</f>
        <v/>
      </c>
    </row>
    <row r="3002">
      <c r="A3002" t="inlineStr">
        <is>
          <t>6291108736067</t>
        </is>
      </c>
      <c r="B3002" t="inlineStr">
        <is>
          <t>Maison Alhambra La Rouge Baroque Extreme Eau De Parfum Spray 100ml</t>
        </is>
      </c>
      <c r="C3002" t="inlineStr">
        <is>
          <t>Eau De Parfum</t>
        </is>
      </c>
      <c r="D3002" t="inlineStr">
        <is>
          <t>Maison Alhambra</t>
        </is>
      </c>
      <c r="E3002" t="n">
        <v>9.94</v>
      </c>
      <c r="F3002" t="n">
        <v>1</v>
      </c>
      <c r="G3002" t="n">
        <v>197</v>
      </c>
      <c r="H3002" s="5">
        <f>HYPERLINK("https://api.qogita.com/variants/link/6291108736067/", "View Product")</f>
        <v/>
      </c>
    </row>
    <row r="3003">
      <c r="A3003" t="inlineStr">
        <is>
          <t>6291108736548</t>
        </is>
      </c>
      <c r="B3003" t="inlineStr">
        <is>
          <t>Lattafa Raed Oud Eau De Parfum Spray 100ml</t>
        </is>
      </c>
      <c r="C3003" t="inlineStr">
        <is>
          <t>Eau De Parfum</t>
        </is>
      </c>
      <c r="D3003" t="inlineStr">
        <is>
          <t>Lattafa</t>
        </is>
      </c>
      <c r="E3003" t="n">
        <v>12.41</v>
      </c>
      <c r="F3003" t="n">
        <v>1</v>
      </c>
      <c r="G3003" t="n">
        <v>155</v>
      </c>
      <c r="H3003" s="5">
        <f>HYPERLINK("https://api.qogita.com/variants/link/6291108736548/", "View Product")</f>
        <v/>
      </c>
    </row>
    <row r="3004">
      <c r="A3004" t="inlineStr">
        <is>
          <t>6291108736579</t>
        </is>
      </c>
      <c r="B3004" t="inlineStr">
        <is>
          <t>Maison Alhambra Kismet Magic Eau De Parfum Spray 100ml</t>
        </is>
      </c>
      <c r="C3004" t="inlineStr">
        <is>
          <t>Eau De Parfum</t>
        </is>
      </c>
      <c r="D3004" t="inlineStr">
        <is>
          <t>Maison Alhambra</t>
        </is>
      </c>
      <c r="E3004" t="n">
        <v>13.66</v>
      </c>
      <c r="F3004" t="n">
        <v>1</v>
      </c>
      <c r="G3004" t="n">
        <v>842</v>
      </c>
      <c r="H3004" s="5">
        <f>HYPERLINK("https://api.qogita.com/variants/link/6291108736579/", "View Product")</f>
        <v/>
      </c>
    </row>
    <row r="3005">
      <c r="A3005" t="inlineStr">
        <is>
          <t>6291108737040</t>
        </is>
      </c>
      <c r="B3005" t="inlineStr">
        <is>
          <t>Maison Alhambra Glossy Eau De Parfum 100ml Spray</t>
        </is>
      </c>
      <c r="C3005" t="inlineStr">
        <is>
          <t>Eau De Parfum</t>
        </is>
      </c>
      <c r="D3005" t="inlineStr">
        <is>
          <t>Maison Alhambra</t>
        </is>
      </c>
      <c r="E3005" t="n">
        <v>7.97</v>
      </c>
      <c r="F3005" t="n">
        <v>1</v>
      </c>
      <c r="G3005" t="n">
        <v>31</v>
      </c>
      <c r="H3005" s="5">
        <f>HYPERLINK("https://api.qogita.com/variants/link/6291108737040/", "View Product")</f>
        <v/>
      </c>
    </row>
    <row r="3006">
      <c r="A3006" t="inlineStr">
        <is>
          <t>6291108737057</t>
        </is>
      </c>
      <c r="B3006" t="inlineStr">
        <is>
          <t>Maison Alhambra Men's Perfume Standard</t>
        </is>
      </c>
      <c r="C3006" t="inlineStr">
        <is>
          <t>Eau De Parfum</t>
        </is>
      </c>
      <c r="D3006" t="inlineStr">
        <is>
          <t>Maison Alhambra</t>
        </is>
      </c>
      <c r="E3006" t="n">
        <v>11.05</v>
      </c>
      <c r="F3006" t="n">
        <v>1</v>
      </c>
      <c r="G3006" t="n">
        <v>186</v>
      </c>
      <c r="H3006" s="5">
        <f>HYPERLINK("https://api.qogita.com/variants/link/6291108737057/", "View Product")</f>
        <v/>
      </c>
    </row>
    <row r="3007">
      <c r="A3007" t="inlineStr">
        <is>
          <t>6291108737897</t>
        </is>
      </c>
      <c r="B3007" t="inlineStr">
        <is>
          <t>Lattafa Perfumes Nasheet Eau De Parfum 100ml Unisex</t>
        </is>
      </c>
      <c r="C3007" t="inlineStr">
        <is>
          <t>Eau De Parfum</t>
        </is>
      </c>
      <c r="D3007" t="inlineStr">
        <is>
          <t>Lattafa</t>
        </is>
      </c>
      <c r="E3007" t="n">
        <v>13.27</v>
      </c>
      <c r="F3007" t="n">
        <v>1</v>
      </c>
      <c r="G3007" t="n">
        <v>35</v>
      </c>
      <c r="H3007" s="5">
        <f>HYPERLINK("https://api.qogita.com/variants/link/6291108737897/", "View Product")</f>
        <v/>
      </c>
    </row>
    <row r="3008">
      <c r="A3008" t="inlineStr">
        <is>
          <t>6291108738009</t>
        </is>
      </c>
      <c r="B3008" t="inlineStr">
        <is>
          <t>Lattafa Al Noble Safeer Green Eau De Parfum Spray 100ml</t>
        </is>
      </c>
      <c r="C3008" t="inlineStr">
        <is>
          <t>Eau De Parfum</t>
        </is>
      </c>
      <c r="D3008" t="inlineStr">
        <is>
          <t>Lattafa</t>
        </is>
      </c>
      <c r="E3008" t="n">
        <v>15.09</v>
      </c>
      <c r="F3008" t="n">
        <v>1</v>
      </c>
      <c r="G3008" t="n">
        <v>324</v>
      </c>
      <c r="H3008" s="5">
        <f>HYPERLINK("https://api.qogita.com/variants/link/6291108738009/", "View Product")</f>
        <v/>
      </c>
    </row>
    <row r="3009">
      <c r="A3009" t="inlineStr">
        <is>
          <t>6291108738016</t>
        </is>
      </c>
      <c r="B3009" t="inlineStr">
        <is>
          <t>Lattafa Shaheen Gold Eau De Parfum Spray 100ml</t>
        </is>
      </c>
      <c r="C3009" t="inlineStr">
        <is>
          <t>Eau De Parfum</t>
        </is>
      </c>
      <c r="D3009" t="inlineStr">
        <is>
          <t>Lattafa</t>
        </is>
      </c>
      <c r="E3009" t="n">
        <v>20.01</v>
      </c>
      <c r="F3009" t="n">
        <v>1</v>
      </c>
      <c r="G3009" t="n">
        <v>795</v>
      </c>
      <c r="H3009" s="5">
        <f>HYPERLINK("https://api.qogita.com/variants/link/6291108738016/", "View Product")</f>
        <v/>
      </c>
    </row>
    <row r="3010">
      <c r="A3010" t="inlineStr">
        <is>
          <t>6291108738221</t>
        </is>
      </c>
      <c r="B3010" t="inlineStr">
        <is>
          <t>Al Qiam Silver Perfumed Water Spray 100ml</t>
        </is>
      </c>
      <c r="C3010" t="inlineStr">
        <is>
          <t>Eau De Parfum</t>
        </is>
      </c>
      <c r="D3010" t="inlineStr">
        <is>
          <t>Al Qiam</t>
        </is>
      </c>
      <c r="E3010" t="n">
        <v>22.72</v>
      </c>
      <c r="F3010" t="n">
        <v>1</v>
      </c>
      <c r="G3010" t="n">
        <v>140</v>
      </c>
      <c r="H3010" s="5">
        <f>HYPERLINK("https://api.qogita.com/variants/link/6291108738221/", "View Product")</f>
        <v/>
      </c>
    </row>
    <row r="3011">
      <c r="A3011" t="inlineStr">
        <is>
          <t>6291108738245</t>
        </is>
      </c>
      <c r="B3011" t="inlineStr">
        <is>
          <t>Blue Sapphire 100ml</t>
        </is>
      </c>
      <c r="C3011" t="inlineStr">
        <is>
          <t>Eau De Parfum</t>
        </is>
      </c>
      <c r="D3011" t="inlineStr">
        <is>
          <t>Lattafa</t>
        </is>
      </c>
      <c r="E3011" t="n">
        <v>22.17</v>
      </c>
      <c r="F3011" t="n">
        <v>1</v>
      </c>
      <c r="G3011" t="n">
        <v>430</v>
      </c>
      <c r="H3011" s="5">
        <f>HYPERLINK("https://api.qogita.com/variants/link/6291108738245/", "View Product")</f>
        <v/>
      </c>
    </row>
    <row r="3012">
      <c r="A3012" t="inlineStr">
        <is>
          <t>6291108738283</t>
        </is>
      </c>
      <c r="B3012" t="inlineStr">
        <is>
          <t>Pride Wajood Perfumed Water Spray 100ml</t>
        </is>
      </c>
      <c r="C3012" t="inlineStr">
        <is>
          <t>Eau De Parfum</t>
        </is>
      </c>
      <c r="D3012" t="inlineStr">
        <is>
          <t>Pride</t>
        </is>
      </c>
      <c r="E3012" t="n">
        <v>21.43</v>
      </c>
      <c r="F3012" t="n">
        <v>1</v>
      </c>
      <c r="G3012" t="n">
        <v>57</v>
      </c>
      <c r="H3012" s="5">
        <f>HYPERLINK("https://api.qogita.com/variants/link/6291108738283/", "View Product")</f>
        <v/>
      </c>
    </row>
    <row r="3013">
      <c r="A3013" t="inlineStr">
        <is>
          <t>6291108738665</t>
        </is>
      </c>
      <c r="B3013" t="inlineStr">
        <is>
          <t>Lattafa Ishq Al Shuyukh Gold Eau De Parfum Spray 100ml</t>
        </is>
      </c>
      <c r="C3013" t="inlineStr">
        <is>
          <t>Eau De Parfum</t>
        </is>
      </c>
      <c r="D3013" t="inlineStr">
        <is>
          <t>Lattafa</t>
        </is>
      </c>
      <c r="E3013" t="n">
        <v>18.1</v>
      </c>
      <c r="F3013" t="n">
        <v>1</v>
      </c>
      <c r="G3013" t="n">
        <v>1970</v>
      </c>
      <c r="H3013" s="5">
        <f>HYPERLINK("https://api.qogita.com/variants/link/6291108738665/", "View Product")</f>
        <v/>
      </c>
    </row>
    <row r="3014">
      <c r="A3014" t="inlineStr">
        <is>
          <t>6291108738689</t>
        </is>
      </c>
      <c r="B3014" t="inlineStr">
        <is>
          <t>Lattafa Al Areeq Silver Eau De Parfum Spray 100ml</t>
        </is>
      </c>
      <c r="C3014" t="inlineStr">
        <is>
          <t>Eau De Parfum</t>
        </is>
      </c>
      <c r="D3014" t="inlineStr">
        <is>
          <t>Lattafa</t>
        </is>
      </c>
      <c r="E3014" t="n">
        <v>19.58</v>
      </c>
      <c r="F3014" t="n">
        <v>1</v>
      </c>
      <c r="G3014" t="n">
        <v>2</v>
      </c>
      <c r="H3014" s="5">
        <f>HYPERLINK("https://api.qogita.com/variants/link/6291108738689/", "View Product")</f>
        <v/>
      </c>
    </row>
    <row r="3015">
      <c r="A3015" t="inlineStr">
        <is>
          <t>6291108738696</t>
        </is>
      </c>
      <c r="B3015" t="inlineStr">
        <is>
          <t>Lattafa Pride Al Areeq Gold Eau De Parfum Spray 100ml</t>
        </is>
      </c>
      <c r="C3015" t="inlineStr">
        <is>
          <t>Eau De Parfum</t>
        </is>
      </c>
      <c r="D3015" t="inlineStr">
        <is>
          <t>Lattafa</t>
        </is>
      </c>
      <c r="E3015" t="n">
        <v>18.31</v>
      </c>
      <c r="F3015" t="n">
        <v>1</v>
      </c>
      <c r="G3015" t="n">
        <v>253</v>
      </c>
      <c r="H3015" s="5">
        <f>HYPERLINK("https://api.qogita.com/variants/link/6291108738696/", "View Product")</f>
        <v/>
      </c>
    </row>
    <row r="3016">
      <c r="A3016" t="inlineStr">
        <is>
          <t>6291108739341</t>
        </is>
      </c>
      <c r="B3016" t="inlineStr">
        <is>
          <t>Nusuk Ana Al Awwal Malaki 100ml EDP Unisex Coconut Vanilla Myrrh Sandalwood</t>
        </is>
      </c>
      <c r="C3016" t="inlineStr">
        <is>
          <t>Eau De Parfum</t>
        </is>
      </c>
      <c r="D3016" t="inlineStr">
        <is>
          <t>Rituals</t>
        </is>
      </c>
      <c r="E3016" t="n">
        <v>10.38</v>
      </c>
      <c r="F3016" t="n">
        <v>1</v>
      </c>
      <c r="G3016" t="n">
        <v>61</v>
      </c>
      <c r="H3016" s="5">
        <f>HYPERLINK("https://api.qogita.com/variants/link/6291108739341/", "View Product")</f>
        <v/>
      </c>
    </row>
    <row r="3017">
      <c r="A3017" t="inlineStr">
        <is>
          <t>6291109270454</t>
        </is>
      </c>
      <c r="B3017" t="inlineStr">
        <is>
          <t>Melodie de Orientica Eau de Parfum 90ml</t>
        </is>
      </c>
      <c r="C3017" t="inlineStr">
        <is>
          <t>Eau De Parfum</t>
        </is>
      </c>
      <c r="D3017" t="inlineStr">
        <is>
          <t>Orientica</t>
        </is>
      </c>
      <c r="E3017" t="n">
        <v>54.15</v>
      </c>
      <c r="F3017" t="n">
        <v>1</v>
      </c>
      <c r="G3017" t="n">
        <v>10</v>
      </c>
      <c r="H3017" s="5">
        <f>HYPERLINK("https://api.qogita.com/variants/link/6291109270454/", "View Product")</f>
        <v/>
      </c>
    </row>
    <row r="3018">
      <c r="A3018" t="inlineStr">
        <is>
          <t>6291109270584</t>
        </is>
      </c>
      <c r="B3018" t="inlineStr">
        <is>
          <t>Orientica Luxury Collection Velvet Gold EDP Spray for Unisex 2.7oz 80ml</t>
        </is>
      </c>
      <c r="C3018" t="inlineStr">
        <is>
          <t>Eau De Parfum</t>
        </is>
      </c>
      <c r="D3018" t="inlineStr">
        <is>
          <t>Orientica</t>
        </is>
      </c>
      <c r="E3018" t="n">
        <v>64.29000000000001</v>
      </c>
      <c r="F3018" t="n">
        <v>1</v>
      </c>
      <c r="G3018" t="n">
        <v>5</v>
      </c>
      <c r="H3018" s="5">
        <f>HYPERLINK("https://api.qogita.com/variants/link/6291109270584/", "View Product")</f>
        <v/>
      </c>
    </row>
    <row r="3019">
      <c r="A3019" t="inlineStr">
        <is>
          <t>6291109844921</t>
        </is>
      </c>
      <c r="B3019" t="inlineStr">
        <is>
          <t>Shield Rouge 1881 Unisex Eau De Parfum 3.4 Fl. Oz 100ml</t>
        </is>
      </c>
      <c r="C3019" t="inlineStr">
        <is>
          <t>Eau De Parfum</t>
        </is>
      </c>
      <c r="D3019" t="inlineStr">
        <is>
          <t>Mirada</t>
        </is>
      </c>
      <c r="E3019" t="n">
        <v>12.89</v>
      </c>
      <c r="F3019" t="n">
        <v>1</v>
      </c>
      <c r="G3019" t="n">
        <v>22</v>
      </c>
      <c r="H3019" s="5">
        <f>HYPERLINK("https://api.qogita.com/variants/link/6291109844921/", "View Product")</f>
        <v/>
      </c>
    </row>
    <row r="3020">
      <c r="A3020" t="inlineStr">
        <is>
          <t>6291112131445</t>
        </is>
      </c>
      <c r="B3020" t="inlineStr">
        <is>
          <t>Paris Corner Rifaaqat Adorn Eau De Parfum 85ml</t>
        </is>
      </c>
      <c r="C3020" t="inlineStr">
        <is>
          <t>Eau De Parfum</t>
        </is>
      </c>
      <c r="D3020" t="inlineStr">
        <is>
          <t>Paris Corner</t>
        </is>
      </c>
      <c r="E3020" t="n">
        <v>12.25</v>
      </c>
      <c r="F3020" t="n">
        <v>1</v>
      </c>
      <c r="G3020" t="n">
        <v>6</v>
      </c>
      <c r="H3020" s="5">
        <f>HYPERLINK("https://api.qogita.com/variants/link/6291112131445/", "View Product")</f>
        <v/>
      </c>
    </row>
    <row r="3021">
      <c r="A3021" t="inlineStr">
        <is>
          <t>6291419205566</t>
        </is>
      </c>
      <c r="B3021" t="inlineStr">
        <is>
          <t>Paris Corner Khair Pistachio Eau De Parfum Spray 100ml</t>
        </is>
      </c>
      <c r="C3021" t="inlineStr">
        <is>
          <t>Eau De Parfum</t>
        </is>
      </c>
      <c r="D3021" t="inlineStr">
        <is>
          <t>Paris Corner</t>
        </is>
      </c>
      <c r="E3021" t="n">
        <v>12.26</v>
      </c>
      <c r="F3021" t="n">
        <v>1</v>
      </c>
      <c r="G3021" t="n">
        <v>561</v>
      </c>
      <c r="H3021" s="5">
        <f>HYPERLINK("https://api.qogita.com/variants/link/6291419205566/", "View Product")</f>
        <v/>
      </c>
    </row>
    <row r="3022">
      <c r="A3022" t="inlineStr">
        <is>
          <t>6291419205986</t>
        </is>
      </c>
      <c r="B3022" t="inlineStr">
        <is>
          <t>Paris Corner Khair Fusion Eau De Parfum</t>
        </is>
      </c>
      <c r="C3022" t="inlineStr">
        <is>
          <t>Eau De Parfum</t>
        </is>
      </c>
      <c r="D3022" t="inlineStr">
        <is>
          <t>Paris Corner</t>
        </is>
      </c>
      <c r="E3022" t="n">
        <v>12.9</v>
      </c>
      <c r="F3022" t="n">
        <v>1</v>
      </c>
      <c r="G3022" t="n">
        <v>459</v>
      </c>
      <c r="H3022" s="5">
        <f>HYPERLINK("https://api.qogita.com/variants/link/6291419205986/", "View Product")</f>
        <v/>
      </c>
    </row>
    <row r="3023">
      <c r="A3023" t="inlineStr">
        <is>
          <t>6291853599757</t>
        </is>
      </c>
      <c r="B3023" t="inlineStr">
        <is>
          <t>Paris Corner Mawj Appletini Eau De Parfum 100ml</t>
        </is>
      </c>
      <c r="C3023" t="inlineStr">
        <is>
          <t>Eau De Parfum</t>
        </is>
      </c>
      <c r="D3023" t="inlineStr">
        <is>
          <t>Paris Corner</t>
        </is>
      </c>
      <c r="E3023" t="n">
        <v>19.91</v>
      </c>
      <c r="F3023" t="n">
        <v>1</v>
      </c>
      <c r="G3023" t="n">
        <v>303</v>
      </c>
      <c r="H3023" s="5">
        <f>HYPERLINK("https://api.qogita.com/variants/link/6291853599757/", "View Product")</f>
        <v/>
      </c>
    </row>
    <row r="3024">
      <c r="A3024" t="inlineStr">
        <is>
          <t>6291978025421</t>
        </is>
      </c>
      <c r="B3024" t="inlineStr">
        <is>
          <t>Paris Corner Oriental Collection Taskeen Marina Eau De Parfum For Women</t>
        </is>
      </c>
      <c r="C3024" t="inlineStr">
        <is>
          <t>Eau De Parfum</t>
        </is>
      </c>
      <c r="D3024" t="inlineStr">
        <is>
          <t>Paris Corner</t>
        </is>
      </c>
      <c r="E3024" t="n">
        <v>13.63</v>
      </c>
      <c r="F3024" t="n">
        <v>1</v>
      </c>
      <c r="G3024" t="n">
        <v>43</v>
      </c>
      <c r="H3024" s="5">
        <f>HYPERLINK("https://api.qogita.com/variants/link/6291978025421/", "View Product")</f>
        <v/>
      </c>
    </row>
    <row r="3025">
      <c r="A3025" t="inlineStr">
        <is>
          <t>6292021552253</t>
        </is>
      </c>
      <c r="B3025" t="inlineStr">
        <is>
          <t>Paris Corner Taskeen Caramel Cascade Eau De Parfum 100ml</t>
        </is>
      </c>
      <c r="C3025" t="inlineStr">
        <is>
          <t>Eau De Parfum</t>
        </is>
      </c>
      <c r="D3025" t="inlineStr">
        <is>
          <t>Paris Corner</t>
        </is>
      </c>
      <c r="E3025" t="n">
        <v>12.36</v>
      </c>
      <c r="F3025" t="n">
        <v>1</v>
      </c>
      <c r="G3025" t="n">
        <v>184</v>
      </c>
      <c r="H3025" s="5">
        <f>HYPERLINK("https://api.qogita.com/variants/link/6292021552253/", "View Product")</f>
        <v/>
      </c>
    </row>
    <row r="3026">
      <c r="A3026" t="inlineStr">
        <is>
          <t>6292257588811</t>
        </is>
      </c>
      <c r="B3026" t="inlineStr">
        <is>
          <t>Italian Bergamot for Men 1.7 Oz Extrait De Parfum Spray</t>
        </is>
      </c>
      <c r="C3026" t="inlineStr">
        <is>
          <t>Extrait De Parfum</t>
        </is>
      </c>
      <c r="D3026" t="inlineStr">
        <is>
          <t>Anfar</t>
        </is>
      </c>
      <c r="E3026" t="n">
        <v>28.28</v>
      </c>
      <c r="F3026" t="n">
        <v>1</v>
      </c>
      <c r="G3026" t="n">
        <v>15</v>
      </c>
      <c r="H3026" s="5">
        <f>HYPERLINK("https://api.qogita.com/variants/link/6292257588811/", "View Product")</f>
        <v/>
      </c>
    </row>
    <row r="3027">
      <c r="A3027" t="inlineStr">
        <is>
          <t>6292257588989</t>
        </is>
      </c>
      <c r="B3027" t="inlineStr">
        <is>
          <t>Anfar The Pearl For Women 3.0 Fl. Oz. Edp Spray. Sealed Box</t>
        </is>
      </c>
      <c r="C3027" t="inlineStr">
        <is>
          <t>Eau De Parfum</t>
        </is>
      </c>
      <c r="D3027" t="inlineStr">
        <is>
          <t>Anfar</t>
        </is>
      </c>
      <c r="E3027" t="n">
        <v>16.82</v>
      </c>
      <c r="F3027" t="n">
        <v>1</v>
      </c>
      <c r="G3027" t="n">
        <v>22</v>
      </c>
      <c r="H3027" s="5">
        <f>HYPERLINK("https://api.qogita.com/variants/link/6292257588989/", "View Product")</f>
        <v/>
      </c>
    </row>
    <row r="3028">
      <c r="A3028" t="inlineStr">
        <is>
          <t>6292257640090</t>
        </is>
      </c>
      <c r="B3028" t="inlineStr">
        <is>
          <t>Sarah by Adyan Anfar Since 1950 EDP 100ml Women Made in United Arab Emirates</t>
        </is>
      </c>
      <c r="C3028" t="inlineStr">
        <is>
          <t>Eau De Parfum</t>
        </is>
      </c>
      <c r="D3028" t="inlineStr">
        <is>
          <t>Ajmal</t>
        </is>
      </c>
      <c r="E3028" t="n">
        <v>14.7</v>
      </c>
      <c r="F3028" t="n">
        <v>1</v>
      </c>
      <c r="G3028" t="n">
        <v>20</v>
      </c>
      <c r="H3028" s="5">
        <f>HYPERLINK("https://api.qogita.com/variants/link/6292257640090/", "View Product")</f>
        <v/>
      </c>
    </row>
    <row r="3029">
      <c r="A3029" t="inlineStr">
        <is>
          <t>6292257640250</t>
        </is>
      </c>
      <c r="B3029" t="inlineStr">
        <is>
          <t>Oud Essential 100ml</t>
        </is>
      </c>
      <c r="C3029" t="inlineStr">
        <is>
          <t>Eau De Parfum</t>
        </is>
      </c>
      <c r="D3029" t="inlineStr">
        <is>
          <t>Ajmal</t>
        </is>
      </c>
      <c r="E3029" t="n">
        <v>14.7</v>
      </c>
      <c r="F3029" t="n">
        <v>1</v>
      </c>
      <c r="G3029" t="n">
        <v>14</v>
      </c>
      <c r="H3029" s="5">
        <f>HYPERLINK("https://api.qogita.com/variants/link/6292257640250/", "View Product")</f>
        <v/>
      </c>
    </row>
    <row r="3030">
      <c r="A3030" t="inlineStr">
        <is>
          <t>6292257641707</t>
        </is>
      </c>
      <c r="B3030" t="inlineStr">
        <is>
          <t>LONDON The Jewel Of Paradise Extrait De Parfum 3.4 FL. OZ Women Neroli, Pink Pepper, Orange, Blossom, Honeysuckle, Vanilla, Caramel &amp; Musk Luxury &amp; Sophisticated Sensual Fragrance Long Lasting</t>
        </is>
      </c>
      <c r="C3030" t="inlineStr">
        <is>
          <t>Extrait De Parfum</t>
        </is>
      </c>
      <c r="D3030" t="inlineStr">
        <is>
          <t>Anfar</t>
        </is>
      </c>
      <c r="E3030" t="n">
        <v>30.41</v>
      </c>
      <c r="F3030" t="n">
        <v>1</v>
      </c>
      <c r="G3030" t="n">
        <v>8</v>
      </c>
      <c r="H3030" s="5">
        <f>HYPERLINK("https://api.qogita.com/variants/link/6292257641707/", "View Product")</f>
        <v/>
      </c>
    </row>
    <row r="3031">
      <c r="A3031" t="inlineStr">
        <is>
          <t>6292257641806</t>
        </is>
      </c>
      <c r="B3031" t="inlineStr">
        <is>
          <t>London Musc D'Orient for Women 3.9 Oz Extrait De Parfum Spray</t>
        </is>
      </c>
      <c r="C3031" t="inlineStr">
        <is>
          <t>Extrait De Parfum</t>
        </is>
      </c>
      <c r="D3031" t="inlineStr">
        <is>
          <t>Anfar</t>
        </is>
      </c>
      <c r="E3031" t="n">
        <v>26.85</v>
      </c>
      <c r="F3031" t="n">
        <v>1</v>
      </c>
      <c r="G3031" t="n">
        <v>19</v>
      </c>
      <c r="H3031" s="5">
        <f>HYPERLINK("https://api.qogita.com/variants/link/6292257641806/", "View Product")</f>
        <v/>
      </c>
    </row>
    <row r="3032">
      <c r="A3032" t="inlineStr">
        <is>
          <t>6292257641820</t>
        </is>
      </c>
      <c r="B3032" t="inlineStr">
        <is>
          <t>Anfar Retro Wood Extrait De Parfum Spray for Unisex 3.4 Oz</t>
        </is>
      </c>
      <c r="C3032" t="inlineStr">
        <is>
          <t>Extrait De Parfum</t>
        </is>
      </c>
      <c r="D3032" t="inlineStr">
        <is>
          <t>Anfar</t>
        </is>
      </c>
      <c r="E3032" t="n">
        <v>27.55</v>
      </c>
      <c r="F3032" t="n">
        <v>1</v>
      </c>
      <c r="G3032" t="n">
        <v>12</v>
      </c>
      <c r="H3032" s="5">
        <f>HYPERLINK("https://api.qogita.com/variants/link/6292257641820/", "View Product")</f>
        <v/>
      </c>
    </row>
    <row r="3033">
      <c r="A3033" t="inlineStr">
        <is>
          <t>6292257641943</t>
        </is>
      </c>
      <c r="B3033" t="inlineStr">
        <is>
          <t>Namoos Perfume 100ml Unisex Citrus and Spice Elegance with Orange, Grapefruit, Pepper, Vetiver, Cedar, and Patchouli Captivating Fragrance for Lasting Impressions and Everyday Luxury</t>
        </is>
      </c>
      <c r="C3033" t="inlineStr">
        <is>
          <t>Eau De Parfum</t>
        </is>
      </c>
      <c r="D3033" t="inlineStr">
        <is>
          <t>Ajmal</t>
        </is>
      </c>
      <c r="E3033" t="n">
        <v>14.7</v>
      </c>
      <c r="F3033" t="n">
        <v>1</v>
      </c>
      <c r="G3033" t="n">
        <v>16</v>
      </c>
      <c r="H3033" s="5">
        <f>HYPERLINK("https://api.qogita.com/variants/link/6292257641943/", "View Product")</f>
        <v/>
      </c>
    </row>
    <row r="3034">
      <c r="A3034" t="inlineStr">
        <is>
          <t>6292257641981</t>
        </is>
      </c>
      <c r="B3034" t="inlineStr">
        <is>
          <t>Emira Perfume for Women Eau de Parfum 100ml Romantic Floral Fragrance with Rose Amber Patchouli Musk</t>
        </is>
      </c>
      <c r="C3034" t="inlineStr">
        <is>
          <t>Eau De Parfum</t>
        </is>
      </c>
      <c r="D3034" t="inlineStr">
        <is>
          <t>Ajmal</t>
        </is>
      </c>
      <c r="E3034" t="n">
        <v>14.7</v>
      </c>
      <c r="F3034" t="n">
        <v>1</v>
      </c>
      <c r="G3034" t="n">
        <v>18</v>
      </c>
      <c r="H3034" s="5">
        <f>HYPERLINK("https://api.qogita.com/variants/link/6292257641981/", "View Product")</f>
        <v/>
      </c>
    </row>
    <row r="3035">
      <c r="A3035" t="inlineStr">
        <is>
          <t>6292257642094</t>
        </is>
      </c>
      <c r="B3035" t="inlineStr">
        <is>
          <t>Anfar London Date Night Pour Homme Extrait De Parfum 3.3 Oz</t>
        </is>
      </c>
      <c r="C3035" t="inlineStr">
        <is>
          <t>Extrait De Parfum</t>
        </is>
      </c>
      <c r="D3035" t="inlineStr">
        <is>
          <t>Anfar</t>
        </is>
      </c>
      <c r="E3035" t="n">
        <v>29.3</v>
      </c>
      <c r="F3035" t="n">
        <v>1</v>
      </c>
      <c r="G3035" t="n">
        <v>5</v>
      </c>
      <c r="H3035" s="5">
        <f>HYPERLINK("https://api.qogita.com/variants/link/6292257642094/", "View Product")</f>
        <v/>
      </c>
    </row>
    <row r="3036">
      <c r="A3036" t="inlineStr">
        <is>
          <t>6292257642100</t>
        </is>
      </c>
      <c r="B3036" t="inlineStr">
        <is>
          <t>London Date Nights Femme Extrait De Parfum For Women 3.4 fl oz Seductive and Long Lasting Arabian Perfume Sophisticate High Oil Concentration Notes Mango, Bergamot, Jasmine, Vanilla, Sandalwood</t>
        </is>
      </c>
      <c r="C3036" t="inlineStr">
        <is>
          <t>Extrait De Parfum</t>
        </is>
      </c>
      <c r="D3036" t="inlineStr">
        <is>
          <t>Anfar</t>
        </is>
      </c>
      <c r="E3036" t="n">
        <v>30.41</v>
      </c>
      <c r="F3036" t="n">
        <v>1</v>
      </c>
      <c r="G3036" t="n">
        <v>7</v>
      </c>
      <c r="H3036" s="5">
        <f>HYPERLINK("https://api.qogita.com/variants/link/6292257642100/", "View Product")</f>
        <v/>
      </c>
    </row>
    <row r="3037">
      <c r="A3037" t="inlineStr">
        <is>
          <t>6292257642117</t>
        </is>
      </c>
      <c r="B3037" t="inlineStr">
        <is>
          <t>Anfar London Intense Sport for Men 3.4 Oz Extrait De Parfum Spray</t>
        </is>
      </c>
      <c r="C3037" t="inlineStr">
        <is>
          <t>Extrait De Parfum</t>
        </is>
      </c>
      <c r="D3037" t="inlineStr">
        <is>
          <t>Anfar</t>
        </is>
      </c>
      <c r="E3037" t="n">
        <v>30.41</v>
      </c>
      <c r="F3037" t="n">
        <v>1</v>
      </c>
      <c r="G3037" t="n">
        <v>5</v>
      </c>
      <c r="H3037" s="5">
        <f>HYPERLINK("https://api.qogita.com/variants/link/6292257642117/", "View Product")</f>
        <v/>
      </c>
    </row>
    <row r="3038">
      <c r="A3038" t="inlineStr">
        <is>
          <t>6292257643527</t>
        </is>
      </c>
      <c r="B3038" t="inlineStr">
        <is>
          <t>Serie De Velvet Edition Cameo Rosie by Anfar for Women 3.4 Oz Extrait</t>
        </is>
      </c>
      <c r="C3038" t="inlineStr">
        <is>
          <t>Extrait De Parfum</t>
        </is>
      </c>
      <c r="D3038" t="inlineStr">
        <is>
          <t>Anfar</t>
        </is>
      </c>
      <c r="E3038" t="n">
        <v>31.85</v>
      </c>
      <c r="F3038" t="n">
        <v>1</v>
      </c>
      <c r="G3038" t="n">
        <v>20</v>
      </c>
      <c r="H3038" s="5">
        <f>HYPERLINK("https://api.qogita.com/variants/link/6292257643527/", "View Product")</f>
        <v/>
      </c>
    </row>
    <row r="3039">
      <c r="A3039" t="inlineStr">
        <is>
          <t>6292257643565</t>
        </is>
      </c>
      <c r="B3039" t="inlineStr">
        <is>
          <t>Serie De Marbre Edition Bruno Imperial by Anfar for Men 3.4 Oz Extrait</t>
        </is>
      </c>
      <c r="C3039" t="inlineStr">
        <is>
          <t>Extrait De Parfum</t>
        </is>
      </c>
      <c r="D3039" t="inlineStr">
        <is>
          <t>Anfar</t>
        </is>
      </c>
      <c r="E3039" t="n">
        <v>31.85</v>
      </c>
      <c r="F3039" t="n">
        <v>1</v>
      </c>
      <c r="G3039" t="n">
        <v>21</v>
      </c>
      <c r="H3039" s="5">
        <f>HYPERLINK("https://api.qogita.com/variants/link/6292257643565/", "View Product")</f>
        <v/>
      </c>
    </row>
    <row r="3040">
      <c r="A3040" t="inlineStr">
        <is>
          <t>6292257643633</t>
        </is>
      </c>
      <c r="B3040" t="inlineStr">
        <is>
          <t>Adyan Majestic Aura Extrait Perfume for Women 100ml 3.4oz</t>
        </is>
      </c>
      <c r="C3040" t="inlineStr">
        <is>
          <t>Extrait De Parfum</t>
        </is>
      </c>
      <c r="D3040" t="inlineStr">
        <is>
          <t>Ajmal</t>
        </is>
      </c>
      <c r="E3040" t="n">
        <v>29.71</v>
      </c>
      <c r="F3040" t="n">
        <v>1</v>
      </c>
      <c r="G3040" t="n">
        <v>18</v>
      </c>
      <c r="H3040" s="5">
        <f>HYPERLINK("https://api.qogita.com/variants/link/6292257643633/", "View Product")</f>
        <v/>
      </c>
    </row>
    <row r="3041">
      <c r="A3041" t="inlineStr">
        <is>
          <t>6292257643640</t>
        </is>
      </c>
      <c r="B3041" t="inlineStr">
        <is>
          <t>Adyan Mystic Melody Extrait Perfume for Women 100ml 3.4oz</t>
        </is>
      </c>
      <c r="C3041" t="inlineStr">
        <is>
          <t>Extrait De Parfum</t>
        </is>
      </c>
      <c r="D3041" t="inlineStr">
        <is>
          <t>Ajmal</t>
        </is>
      </c>
      <c r="E3041" t="n">
        <v>16.12</v>
      </c>
      <c r="F3041" t="n">
        <v>1</v>
      </c>
      <c r="G3041" t="n">
        <v>8</v>
      </c>
      <c r="H3041" s="5">
        <f>HYPERLINK("https://api.qogita.com/variants/link/6292257643640/", "View Product")</f>
        <v/>
      </c>
    </row>
    <row r="3042">
      <c r="A3042" t="inlineStr">
        <is>
          <t>6292257643930</t>
        </is>
      </c>
      <c r="B3042" t="inlineStr">
        <is>
          <t>Luna For Women 3.4 Oz Extrait De Parfum Spray</t>
        </is>
      </c>
      <c r="C3042" t="inlineStr">
        <is>
          <t>Extrait De Parfum</t>
        </is>
      </c>
      <c r="D3042" t="inlineStr">
        <is>
          <t>Anfar</t>
        </is>
      </c>
      <c r="E3042" t="n">
        <v>26.85</v>
      </c>
      <c r="F3042" t="n">
        <v>1</v>
      </c>
      <c r="G3042" t="n">
        <v>21</v>
      </c>
      <c r="H3042" s="5">
        <f>HYPERLINK("https://api.qogita.com/variants/link/6292257643930/", "View Product")</f>
        <v/>
      </c>
    </row>
    <row r="3043">
      <c r="A3043" t="inlineStr">
        <is>
          <t>6292257644067</t>
        </is>
      </c>
      <c r="B3043" t="inlineStr">
        <is>
          <t>Odyssee I For Women 3.4 Oz Extrait De Parfum Spray</t>
        </is>
      </c>
      <c r="C3043" t="inlineStr">
        <is>
          <t>Extrait De Parfum</t>
        </is>
      </c>
      <c r="D3043" t="inlineStr">
        <is>
          <t>Anfar</t>
        </is>
      </c>
      <c r="E3043" t="n">
        <v>27.73</v>
      </c>
      <c r="F3043" t="n">
        <v>1</v>
      </c>
      <c r="G3043" t="n">
        <v>3</v>
      </c>
      <c r="H3043" s="5">
        <f>HYPERLINK("https://api.qogita.com/variants/link/6292257644067/", "View Product")</f>
        <v/>
      </c>
    </row>
    <row r="3044">
      <c r="A3044" t="inlineStr">
        <is>
          <t>6292257644159</t>
        </is>
      </c>
      <c r="B3044" t="inlineStr">
        <is>
          <t>Awaken For Women 3.4 Oz Extrait De Parfum Spray</t>
        </is>
      </c>
      <c r="C3044" t="inlineStr">
        <is>
          <t>Extrait De Parfum</t>
        </is>
      </c>
      <c r="D3044" t="inlineStr">
        <is>
          <t>Anfar</t>
        </is>
      </c>
      <c r="E3044" t="n">
        <v>27.73</v>
      </c>
      <c r="F3044" t="n">
        <v>1</v>
      </c>
      <c r="G3044" t="n">
        <v>2</v>
      </c>
      <c r="H3044" s="5">
        <f>HYPERLINK("https://api.qogita.com/variants/link/6292257644159/", "View Product")</f>
        <v/>
      </c>
    </row>
    <row r="3045">
      <c r="A3045" t="inlineStr">
        <is>
          <t>6293499141710</t>
        </is>
      </c>
      <c r="B3045" t="inlineStr">
        <is>
          <t>Paris Corner Emir Mango Punch Eau De Parfum 100ml</t>
        </is>
      </c>
      <c r="C3045" t="inlineStr">
        <is>
          <t>Eau De Parfum</t>
        </is>
      </c>
      <c r="D3045" t="inlineStr">
        <is>
          <t>Paris Corner</t>
        </is>
      </c>
      <c r="E3045" t="n">
        <v>16.8</v>
      </c>
      <c r="F3045" t="n">
        <v>1</v>
      </c>
      <c r="G3045" t="n">
        <v>187</v>
      </c>
      <c r="H3045" s="5">
        <f>HYPERLINK("https://api.qogita.com/variants/link/6293499141710/", "View Product")</f>
        <v/>
      </c>
    </row>
    <row r="3046">
      <c r="A3046" t="inlineStr">
        <is>
          <t>6293708005352</t>
        </is>
      </c>
      <c r="B3046" t="inlineStr">
        <is>
          <t>Ajmal Silver Shade Eau De Parfum Spray 100ml</t>
        </is>
      </c>
      <c r="C3046" t="inlineStr">
        <is>
          <t>Eau De Parfum</t>
        </is>
      </c>
      <c r="D3046" t="inlineStr">
        <is>
          <t>Ajmal</t>
        </is>
      </c>
      <c r="E3046" t="n">
        <v>8.890000000000001</v>
      </c>
      <c r="F3046" t="n">
        <v>1</v>
      </c>
      <c r="G3046" t="n">
        <v>123</v>
      </c>
      <c r="H3046" s="5">
        <f>HYPERLINK("https://api.qogita.com/variants/link/6293708005352/", "View Product")</f>
        <v/>
      </c>
    </row>
    <row r="3047">
      <c r="A3047" t="inlineStr">
        <is>
          <t>6293708007486</t>
        </is>
      </c>
      <c r="B3047" t="inlineStr">
        <is>
          <t>Ajmal Amber Musc Eau De Parfum Spray 100ml</t>
        </is>
      </c>
      <c r="C3047" t="inlineStr">
        <is>
          <t>Eau De Parfum</t>
        </is>
      </c>
      <c r="D3047" t="inlineStr">
        <is>
          <t>Ajmal</t>
        </is>
      </c>
      <c r="E3047" t="n">
        <v>50.03</v>
      </c>
      <c r="F3047" t="n">
        <v>1</v>
      </c>
      <c r="G3047" t="n">
        <v>26</v>
      </c>
      <c r="H3047" s="5">
        <f>HYPERLINK("https://api.qogita.com/variants/link/6293708007486/", "View Product")</f>
        <v/>
      </c>
    </row>
    <row r="3048">
      <c r="A3048" t="inlineStr">
        <is>
          <t>6293708009893</t>
        </is>
      </c>
      <c r="B3048" t="inlineStr">
        <is>
          <t>Ajmal Shine 2.5 Oz for Women - Made in Dubai 2.53 Fl Oz</t>
        </is>
      </c>
      <c r="C3048" t="inlineStr">
        <is>
          <t>Eau De Parfum</t>
        </is>
      </c>
      <c r="D3048" t="inlineStr">
        <is>
          <t>Ajmal</t>
        </is>
      </c>
      <c r="E3048" t="n">
        <v>15.72</v>
      </c>
      <c r="F3048" t="n">
        <v>1</v>
      </c>
      <c r="G3048" t="n">
        <v>32</v>
      </c>
      <c r="H3048" s="5">
        <f>HYPERLINK("https://api.qogita.com/variants/link/6293708009893/", "View Product")</f>
        <v/>
      </c>
    </row>
    <row r="3049">
      <c r="A3049" t="inlineStr">
        <is>
          <t>6293708010233</t>
        </is>
      </c>
      <c r="B3049" t="inlineStr">
        <is>
          <t>Ajmal Aristocrat For Him Eau De Parfum Spray 75ml</t>
        </is>
      </c>
      <c r="C3049" t="inlineStr">
        <is>
          <t>Eau De Parfum</t>
        </is>
      </c>
      <c r="D3049" t="inlineStr">
        <is>
          <t>Ajmal</t>
        </is>
      </c>
      <c r="E3049" t="n">
        <v>28.71</v>
      </c>
      <c r="F3049" t="n">
        <v>1</v>
      </c>
      <c r="G3049" t="n">
        <v>63</v>
      </c>
      <c r="H3049" s="5">
        <f>HYPERLINK("https://api.qogita.com/variants/link/6293708010233/", "View Product")</f>
        <v/>
      </c>
    </row>
    <row r="3050">
      <c r="A3050" t="inlineStr">
        <is>
          <t>6293708011186</t>
        </is>
      </c>
      <c r="B3050" t="inlineStr">
        <is>
          <t>Ajmal Shiro Eau De Parfum Spray 90ml</t>
        </is>
      </c>
      <c r="C3050" t="inlineStr">
        <is>
          <t>Eau De Parfum</t>
        </is>
      </c>
      <c r="D3050" t="inlineStr">
        <is>
          <t>Ajmal</t>
        </is>
      </c>
      <c r="E3050" t="n">
        <v>17.94</v>
      </c>
      <c r="F3050" t="n">
        <v>1</v>
      </c>
      <c r="G3050" t="n">
        <v>48</v>
      </c>
      <c r="H3050" s="5">
        <f>HYPERLINK("https://api.qogita.com/variants/link/6293708011186/", "View Product")</f>
        <v/>
      </c>
    </row>
    <row r="3051">
      <c r="A3051" t="inlineStr">
        <is>
          <t>6293708011520</t>
        </is>
      </c>
      <c r="B3051" t="inlineStr">
        <is>
          <t>Ajmal Purely Orient Tonka Eau De Parfum Spray 75ml</t>
        </is>
      </c>
      <c r="C3051" t="inlineStr">
        <is>
          <t>Eau De Parfum</t>
        </is>
      </c>
      <c r="D3051" t="inlineStr">
        <is>
          <t>Ajmal</t>
        </is>
      </c>
      <c r="E3051" t="n">
        <v>79.15000000000001</v>
      </c>
      <c r="F3051" t="n">
        <v>1</v>
      </c>
      <c r="G3051" t="n">
        <v>5</v>
      </c>
      <c r="H3051" s="5">
        <f>HYPERLINK("https://api.qogita.com/variants/link/6293708011520/", "View Product")</f>
        <v/>
      </c>
    </row>
    <row r="3052">
      <c r="A3052" t="inlineStr">
        <is>
          <t>6293708012220</t>
        </is>
      </c>
      <c r="B3052" t="inlineStr">
        <is>
          <t>Ajmal Incense Wood Eau De Parfum Spray 100ml</t>
        </is>
      </c>
      <c r="C3052" t="inlineStr">
        <is>
          <t>Eau De Parfum</t>
        </is>
      </c>
      <c r="D3052" t="inlineStr">
        <is>
          <t>Ajmal</t>
        </is>
      </c>
      <c r="E3052" t="n">
        <v>70.12</v>
      </c>
      <c r="F3052" t="n">
        <v>1</v>
      </c>
      <c r="G3052" t="n">
        <v>14</v>
      </c>
      <c r="H3052" s="5">
        <f>HYPERLINK("https://api.qogita.com/variants/link/6293708012220/", "View Product")</f>
        <v/>
      </c>
    </row>
    <row r="3053">
      <c r="A3053" t="inlineStr">
        <is>
          <t>6293708013692</t>
        </is>
      </c>
      <c r="B3053" t="inlineStr">
        <is>
          <t>Ajmal Aurum Summer for Women 2.5oz EDP Spray</t>
        </is>
      </c>
      <c r="C3053" t="inlineStr">
        <is>
          <t>Eau De Parfum</t>
        </is>
      </c>
      <c r="D3053" t="inlineStr">
        <is>
          <t>Ajmal</t>
        </is>
      </c>
      <c r="E3053" t="n">
        <v>19.43</v>
      </c>
      <c r="F3053" t="n">
        <v>1</v>
      </c>
      <c r="G3053" t="n">
        <v>36</v>
      </c>
      <c r="H3053" s="5">
        <f>HYPERLINK("https://api.qogita.com/variants/link/6293708013692/", "View Product")</f>
        <v/>
      </c>
    </row>
    <row r="3054">
      <c r="A3054" t="inlineStr">
        <is>
          <t>6293708014156</t>
        </is>
      </c>
      <c r="B3054" t="inlineStr">
        <is>
          <t>Amber Wood Hair Spray Volume 100 ml</t>
        </is>
      </c>
      <c r="C3054" t="inlineStr">
        <is>
          <t>Hairspray</t>
        </is>
      </c>
      <c r="D3054" t="inlineStr">
        <is>
          <t>Ajmal</t>
        </is>
      </c>
      <c r="E3054" t="n">
        <v>15.11</v>
      </c>
      <c r="F3054" t="n">
        <v>1</v>
      </c>
      <c r="G3054" t="n">
        <v>41</v>
      </c>
      <c r="H3054" s="5">
        <f>HYPERLINK("https://api.qogita.com/variants/link/6293708014156/", "View Product")</f>
        <v/>
      </c>
    </row>
    <row r="3055">
      <c r="A3055" t="inlineStr">
        <is>
          <t>6293708014163</t>
        </is>
      </c>
      <c r="B3055" t="inlineStr">
        <is>
          <t>Violet Musk Hair Spray Volume 100 ml</t>
        </is>
      </c>
      <c r="C3055" t="inlineStr">
        <is>
          <t>Hairspray</t>
        </is>
      </c>
      <c r="D3055" t="inlineStr">
        <is>
          <t>Ajmal</t>
        </is>
      </c>
      <c r="E3055" t="n">
        <v>15.4</v>
      </c>
      <c r="F3055" t="n">
        <v>1</v>
      </c>
      <c r="G3055" t="n">
        <v>14</v>
      </c>
      <c r="H3055" s="5">
        <f>HYPERLINK("https://api.qogita.com/variants/link/6293708014163/", "View Product")</f>
        <v/>
      </c>
    </row>
    <row r="3056">
      <c r="A3056" t="inlineStr">
        <is>
          <t>6293708015368</t>
        </is>
      </c>
      <c r="B3056" t="inlineStr">
        <is>
          <t>Ajmal Qasida - Edp</t>
        </is>
      </c>
      <c r="C3056" t="inlineStr">
        <is>
          <t>Eau De Parfum</t>
        </is>
      </c>
      <c r="D3056" t="inlineStr">
        <is>
          <t>Ajmal</t>
        </is>
      </c>
      <c r="E3056" t="n">
        <v>29.8</v>
      </c>
      <c r="F3056" t="n">
        <v>1</v>
      </c>
      <c r="G3056" t="n">
        <v>38</v>
      </c>
      <c r="H3056" s="5">
        <f>HYPERLINK("https://api.qogita.com/variants/link/6293708015368/", "View Product")</f>
        <v/>
      </c>
    </row>
    <row r="3057">
      <c r="A3057" t="inlineStr">
        <is>
          <t>6293708015672</t>
        </is>
      </c>
      <c r="B3057" t="inlineStr">
        <is>
          <t>Ajmal Mywonder Him Eau De Parfum 100ml</t>
        </is>
      </c>
      <c r="C3057" t="inlineStr">
        <is>
          <t>Eau De Parfum</t>
        </is>
      </c>
      <c r="D3057" t="inlineStr">
        <is>
          <t>Ajmal</t>
        </is>
      </c>
      <c r="E3057" t="n">
        <v>25.16</v>
      </c>
      <c r="F3057" t="n">
        <v>1</v>
      </c>
      <c r="G3057" t="n">
        <v>14</v>
      </c>
      <c r="H3057" s="5">
        <f>HYPERLINK("https://api.qogita.com/variants/link/6293708015672/", "View Product")</f>
        <v/>
      </c>
    </row>
    <row r="3058">
      <c r="A3058" t="inlineStr">
        <is>
          <t>6293708016266</t>
        </is>
      </c>
      <c r="B3058" t="inlineStr">
        <is>
          <t>Ajmal Magnifica Eau De Parfum Spray 100ml</t>
        </is>
      </c>
      <c r="C3058" t="inlineStr">
        <is>
          <t>Eau De Parfum</t>
        </is>
      </c>
      <c r="D3058" t="inlineStr">
        <is>
          <t>Ajmal</t>
        </is>
      </c>
      <c r="E3058" t="n">
        <v>6.86</v>
      </c>
      <c r="F3058" t="n">
        <v>1</v>
      </c>
      <c r="G3058" t="n">
        <v>119</v>
      </c>
      <c r="H3058" s="5">
        <f>HYPERLINK("https://api.qogita.com/variants/link/6293708016266/", "View Product")</f>
        <v/>
      </c>
    </row>
    <row r="3059">
      <c r="A3059" t="inlineStr">
        <is>
          <t>6293708016532</t>
        </is>
      </c>
      <c r="B3059" t="inlineStr">
        <is>
          <t>Ajmal Amber Wood Noir Eau De Parfum Spray 50ml</t>
        </is>
      </c>
      <c r="C3059" t="inlineStr">
        <is>
          <t>Eau De Parfum</t>
        </is>
      </c>
      <c r="D3059" t="inlineStr">
        <is>
          <t>Ajmal</t>
        </is>
      </c>
      <c r="E3059" t="n">
        <v>45.96</v>
      </c>
      <c r="F3059" t="n">
        <v>1</v>
      </c>
      <c r="G3059" t="n">
        <v>26</v>
      </c>
      <c r="H3059" s="5">
        <f>HYPERLINK("https://api.qogita.com/variants/link/6293708016532/", "View Product")</f>
        <v/>
      </c>
    </row>
    <row r="3060">
      <c r="A3060" t="inlineStr">
        <is>
          <t>6293708018680</t>
        </is>
      </c>
      <c r="B3060" t="inlineStr">
        <is>
          <t>Ajmal Qasida Gift Set Edp 60 Ml, Body Powder 80 G, Body Mist 50 Ml, And Hair Mist 30 Ml</t>
        </is>
      </c>
      <c r="C3060" t="inlineStr">
        <is>
          <t>Fragrance Sets</t>
        </is>
      </c>
      <c r="D3060" t="inlineStr">
        <is>
          <t>Ajmal</t>
        </is>
      </c>
      <c r="E3060" t="n">
        <v>55.56</v>
      </c>
      <c r="F3060" t="n">
        <v>1</v>
      </c>
      <c r="G3060" t="n">
        <v>4</v>
      </c>
      <c r="H3060" s="5">
        <f>HYPERLINK("https://api.qogita.com/variants/link/6293708018680/", "View Product")</f>
        <v/>
      </c>
    </row>
    <row r="3061">
      <c r="A3061" t="inlineStr">
        <is>
          <t>6293708018703</t>
        </is>
      </c>
      <c r="B3061" t="inlineStr">
        <is>
          <t>Ajmal Amber Leather 3.4 FL OZ Long-lasting Fragrance Handpicked Luxury Perfume for Men Women Made in Dubai</t>
        </is>
      </c>
      <c r="C3061" t="inlineStr">
        <is>
          <t>Eau De Parfum</t>
        </is>
      </c>
      <c r="D3061" t="inlineStr">
        <is>
          <t>Ajmal</t>
        </is>
      </c>
      <c r="E3061" t="n">
        <v>55.41</v>
      </c>
      <c r="F3061" t="n">
        <v>1</v>
      </c>
      <c r="G3061" t="n">
        <v>23</v>
      </c>
      <c r="H3061" s="5">
        <f>HYPERLINK("https://api.qogita.com/variants/link/6293708018703/", "View Product")</f>
        <v/>
      </c>
    </row>
    <row r="3062">
      <c r="A3062" t="inlineStr">
        <is>
          <t>6293708018840</t>
        </is>
      </c>
      <c r="B3062" t="inlineStr">
        <is>
          <t>Song Of Oud by Ajmal for Unisex 2.5 oz EDP Spray</t>
        </is>
      </c>
      <c r="C3062" t="inlineStr">
        <is>
          <t>Eau De Parfum</t>
        </is>
      </c>
      <c r="D3062" t="inlineStr">
        <is>
          <t>Ajmal</t>
        </is>
      </c>
      <c r="E3062" t="n">
        <v>39.1</v>
      </c>
      <c r="F3062" t="n">
        <v>1</v>
      </c>
      <c r="G3062" t="n">
        <v>24</v>
      </c>
      <c r="H3062" s="5">
        <f>HYPERLINK("https://api.qogita.com/variants/link/6293708018840/", "View Product")</f>
        <v/>
      </c>
    </row>
    <row r="3063">
      <c r="A3063" t="inlineStr">
        <is>
          <t>6293708019533</t>
        </is>
      </c>
      <c r="B3063" t="inlineStr">
        <is>
          <t>Ajmal Majestic Melange - Eau De Parfum</t>
        </is>
      </c>
      <c r="C3063" t="inlineStr">
        <is>
          <t>Eau De Parfum</t>
        </is>
      </c>
      <c r="D3063" t="inlineStr">
        <is>
          <t>Ajmal</t>
        </is>
      </c>
      <c r="E3063" t="n">
        <v>47.54</v>
      </c>
      <c r="F3063" t="n">
        <v>1</v>
      </c>
      <c r="G3063" t="n">
        <v>21</v>
      </c>
      <c r="H3063" s="5">
        <f>HYPERLINK("https://api.qogita.com/variants/link/6293708019533/", "View Product")</f>
        <v/>
      </c>
    </row>
    <row r="3064">
      <c r="A3064" t="inlineStr">
        <is>
          <t>6293708019557</t>
        </is>
      </c>
      <c r="B3064" t="inlineStr">
        <is>
          <t>Ajmal Noble Notes - Eau De Parfum</t>
        </is>
      </c>
      <c r="C3064" t="inlineStr">
        <is>
          <t>Eau De Parfum</t>
        </is>
      </c>
      <c r="D3064" t="inlineStr">
        <is>
          <t>Ajmal</t>
        </is>
      </c>
      <c r="E3064" t="n">
        <v>47.55</v>
      </c>
      <c r="F3064" t="n">
        <v>1</v>
      </c>
      <c r="G3064" t="n">
        <v>5</v>
      </c>
      <c r="H3064" s="5">
        <f>HYPERLINK("https://api.qogita.com/variants/link/6293708019557/", "View Product")</f>
        <v/>
      </c>
    </row>
    <row r="3065">
      <c r="A3065" t="inlineStr">
        <is>
          <t>6293708019601</t>
        </is>
      </c>
      <c r="B3065" t="inlineStr">
        <is>
          <t>Aristocrat Coastal Eau de Parfum Volume 75 ml</t>
        </is>
      </c>
      <c r="C3065" t="inlineStr">
        <is>
          <t>Eau De Parfum</t>
        </is>
      </c>
      <c r="D3065" t="inlineStr">
        <is>
          <t>Ajmal</t>
        </is>
      </c>
      <c r="E3065" t="n">
        <v>39.85</v>
      </c>
      <c r="F3065" t="n">
        <v>1</v>
      </c>
      <c r="G3065" t="n">
        <v>21</v>
      </c>
      <c r="H3065" s="5">
        <f>HYPERLINK("https://api.qogita.com/variants/link/6293708019601/", "View Product")</f>
        <v/>
      </c>
    </row>
    <row r="3066">
      <c r="A3066" t="inlineStr">
        <is>
          <t>6293708019861</t>
        </is>
      </c>
      <c r="B3066" t="inlineStr">
        <is>
          <t>Ajmal Qasida Dahabia Eau De Parfum</t>
        </is>
      </c>
      <c r="C3066" t="inlineStr">
        <is>
          <t>Eau De Parfum</t>
        </is>
      </c>
      <c r="D3066" t="inlineStr">
        <is>
          <t>Ajmal</t>
        </is>
      </c>
      <c r="E3066" t="n">
        <v>34.32</v>
      </c>
      <c r="F3066" t="n">
        <v>1</v>
      </c>
      <c r="G3066" t="n">
        <v>40</v>
      </c>
      <c r="H3066" s="5">
        <f>HYPERLINK("https://api.qogita.com/variants/link/6293708019861/", "View Product")</f>
        <v/>
      </c>
    </row>
    <row r="3067">
      <c r="A3067" t="inlineStr">
        <is>
          <t>6293708020256</t>
        </is>
      </c>
      <c r="B3067" t="inlineStr">
        <is>
          <t>Ajmal Entice Allura - Eau De Parfum</t>
        </is>
      </c>
      <c r="C3067" t="inlineStr">
        <is>
          <t>Eau De Parfum</t>
        </is>
      </c>
      <c r="D3067" t="inlineStr">
        <is>
          <t>Ajmal</t>
        </is>
      </c>
      <c r="E3067" t="n">
        <v>16.79</v>
      </c>
      <c r="F3067" t="n">
        <v>1</v>
      </c>
      <c r="G3067" t="n">
        <v>113</v>
      </c>
      <c r="H3067" s="5">
        <f>HYPERLINK("https://api.qogita.com/variants/link/6293708020256/", "View Product")</f>
        <v/>
      </c>
    </row>
    <row r="3068">
      <c r="A3068" t="inlineStr">
        <is>
          <t>6294015101324</t>
        </is>
      </c>
      <c r="B3068" t="inlineStr">
        <is>
          <t>Armaf Voyage Bleu Eau de Parfum Spray 100ml</t>
        </is>
      </c>
      <c r="C3068" t="inlineStr">
        <is>
          <t>Eau De Parfum</t>
        </is>
      </c>
      <c r="D3068" t="inlineStr">
        <is>
          <t>Armaf</t>
        </is>
      </c>
      <c r="E3068" t="n">
        <v>14.86</v>
      </c>
      <c r="F3068" t="n">
        <v>1</v>
      </c>
      <c r="G3068" t="n">
        <v>48</v>
      </c>
      <c r="H3068" s="5">
        <f>HYPERLINK("https://api.qogita.com/variants/link/6294015101324/", "View Product")</f>
        <v/>
      </c>
    </row>
    <row r="3069">
      <c r="A3069" t="inlineStr">
        <is>
          <t>6294015101386</t>
        </is>
      </c>
      <c r="B3069" t="inlineStr">
        <is>
          <t>Signature Night Fragrance 100ml</t>
        </is>
      </c>
      <c r="C3069" t="inlineStr">
        <is>
          <t>Eau De Parfum</t>
        </is>
      </c>
      <c r="D3069" t="inlineStr">
        <is>
          <t>Armaf</t>
        </is>
      </c>
      <c r="E3069" t="n">
        <v>19.59</v>
      </c>
      <c r="F3069" t="n">
        <v>1</v>
      </c>
      <c r="G3069" t="n">
        <v>39</v>
      </c>
      <c r="H3069" s="5">
        <f>HYPERLINK("https://api.qogita.com/variants/link/6294015101386/", "View Product")</f>
        <v/>
      </c>
    </row>
    <row r="3070">
      <c r="A3070" t="inlineStr">
        <is>
          <t>6294015102239</t>
        </is>
      </c>
      <c r="B3070" t="inlineStr">
        <is>
          <t>Armaf Le Parfait Pour Homme Eau De Toilette 100ml</t>
        </is>
      </c>
      <c r="C3070" t="inlineStr">
        <is>
          <t>Eau De Toilette</t>
        </is>
      </c>
      <c r="D3070" t="inlineStr">
        <is>
          <t>Armaf</t>
        </is>
      </c>
      <c r="E3070" t="n">
        <v>13.27</v>
      </c>
      <c r="F3070" t="n">
        <v>1</v>
      </c>
      <c r="G3070" t="n">
        <v>4</v>
      </c>
      <c r="H3070" s="5">
        <f>HYPERLINK("https://api.qogita.com/variants/link/6294015102239/", "View Product")</f>
        <v/>
      </c>
    </row>
    <row r="3071">
      <c r="A3071" t="inlineStr">
        <is>
          <t>6294015102246</t>
        </is>
      </c>
      <c r="B3071" t="inlineStr">
        <is>
          <t>Armaf Le Parfait Eau De Parfum Spray 100ml</t>
        </is>
      </c>
      <c r="C3071" t="inlineStr">
        <is>
          <t>Eau De Parfum</t>
        </is>
      </c>
      <c r="D3071" t="inlineStr">
        <is>
          <t>Armaf</t>
        </is>
      </c>
      <c r="E3071" t="n">
        <v>13.34</v>
      </c>
      <c r="F3071" t="n">
        <v>1</v>
      </c>
      <c r="G3071" t="n">
        <v>6</v>
      </c>
      <c r="H3071" s="5">
        <f>HYPERLINK("https://api.qogita.com/variants/link/6294015102246/", "View Product")</f>
        <v/>
      </c>
    </row>
    <row r="3072">
      <c r="A3072" t="inlineStr">
        <is>
          <t>6294015102260</t>
        </is>
      </c>
      <c r="B3072" t="inlineStr">
        <is>
          <t>ARMAF Ventana Pour Homme Eau De Parfum 100ml</t>
        </is>
      </c>
      <c r="C3072" t="inlineStr">
        <is>
          <t>Eau De Parfum</t>
        </is>
      </c>
      <c r="D3072" t="inlineStr">
        <is>
          <t>Armaf</t>
        </is>
      </c>
      <c r="E3072" t="n">
        <v>16.2</v>
      </c>
      <c r="F3072" t="n">
        <v>1</v>
      </c>
      <c r="G3072" t="n">
        <v>66</v>
      </c>
      <c r="H3072" s="5">
        <f>HYPERLINK("https://api.qogita.com/variants/link/6294015102260/", "View Product")</f>
        <v/>
      </c>
    </row>
    <row r="3073">
      <c r="A3073" t="inlineStr">
        <is>
          <t>6294015102642</t>
        </is>
      </c>
      <c r="B3073" t="inlineStr">
        <is>
          <t>Armaf Club De Nuit Urban Man Eau De Parfum 105ml For Men</t>
        </is>
      </c>
      <c r="C3073" t="inlineStr">
        <is>
          <t>Eau De Parfum</t>
        </is>
      </c>
      <c r="D3073" t="inlineStr">
        <is>
          <t>Armaf</t>
        </is>
      </c>
      <c r="E3073" t="n">
        <v>19.85</v>
      </c>
      <c r="F3073" t="n">
        <v>1</v>
      </c>
      <c r="G3073" t="n">
        <v>2</v>
      </c>
      <c r="H3073" s="5">
        <f>HYPERLINK("https://api.qogita.com/variants/link/6294015102642/", "View Product")</f>
        <v/>
      </c>
    </row>
    <row r="3074">
      <c r="A3074" t="inlineStr">
        <is>
          <t>6294015107098</t>
        </is>
      </c>
      <c r="B3074" t="inlineStr">
        <is>
          <t>Armaf Legesi Eau De Parfum 100ml Women's Fragrance</t>
        </is>
      </c>
      <c r="C3074" t="inlineStr">
        <is>
          <t>Eau De Parfum</t>
        </is>
      </c>
      <c r="D3074" t="inlineStr">
        <is>
          <t>Armaf</t>
        </is>
      </c>
      <c r="E3074" t="n">
        <v>13.09</v>
      </c>
      <c r="F3074" t="n">
        <v>1</v>
      </c>
      <c r="G3074" t="n">
        <v>32</v>
      </c>
      <c r="H3074" s="5">
        <f>HYPERLINK("https://api.qogita.com/variants/link/6294015107098/", "View Product")</f>
        <v/>
      </c>
    </row>
    <row r="3075">
      <c r="A3075" t="inlineStr">
        <is>
          <t>6294015107135</t>
        </is>
      </c>
      <c r="B3075" t="inlineStr">
        <is>
          <t>Armaf Radical Blue Eau De Parfum Spray 100ml</t>
        </is>
      </c>
      <c r="C3075" t="inlineStr">
        <is>
          <t>Eau De Parfum</t>
        </is>
      </c>
      <c r="D3075" t="inlineStr">
        <is>
          <t>Armaf</t>
        </is>
      </c>
      <c r="E3075" t="n">
        <v>16.34</v>
      </c>
      <c r="F3075" t="n">
        <v>1</v>
      </c>
      <c r="G3075" t="n">
        <v>30</v>
      </c>
      <c r="H3075" s="5">
        <f>HYPERLINK("https://api.qogita.com/variants/link/6294015107135/", "View Product")</f>
        <v/>
      </c>
    </row>
    <row r="3076">
      <c r="A3076" t="inlineStr">
        <is>
          <t>6294015108163</t>
        </is>
      </c>
      <c r="B3076" t="inlineStr">
        <is>
          <t>Armaf The Pride Of Armaf Pour Femme Eau De Parfum Spray 100ml</t>
        </is>
      </c>
      <c r="C3076" t="inlineStr">
        <is>
          <t>Eau De Parfum</t>
        </is>
      </c>
      <c r="D3076" t="inlineStr">
        <is>
          <t>Armaf</t>
        </is>
      </c>
      <c r="E3076" t="n">
        <v>23.91</v>
      </c>
      <c r="F3076" t="n">
        <v>1</v>
      </c>
      <c r="G3076" t="n">
        <v>5</v>
      </c>
      <c r="H3076" s="5">
        <f>HYPERLINK("https://api.qogita.com/variants/link/6294015108163/", "View Product")</f>
        <v/>
      </c>
    </row>
    <row r="3077">
      <c r="A3077" t="inlineStr">
        <is>
          <t>6294015108170</t>
        </is>
      </c>
      <c r="B3077" t="inlineStr">
        <is>
          <t>Armaf The Pride Eau De Parfum Spray 100ml</t>
        </is>
      </c>
      <c r="C3077" t="inlineStr">
        <is>
          <t>Eau De Parfum</t>
        </is>
      </c>
      <c r="D3077" t="inlineStr">
        <is>
          <t>Armaf</t>
        </is>
      </c>
      <c r="E3077" t="n">
        <v>26.52</v>
      </c>
      <c r="F3077" t="n">
        <v>1</v>
      </c>
      <c r="G3077" t="n">
        <v>32</v>
      </c>
      <c r="H3077" s="5">
        <f>HYPERLINK("https://api.qogita.com/variants/link/6294015108170/", "View Product")</f>
        <v/>
      </c>
    </row>
    <row r="3078">
      <c r="A3078" t="inlineStr">
        <is>
          <t>6294015109276</t>
        </is>
      </c>
      <c r="B3078" t="inlineStr">
        <is>
          <t>Armaf Women's Eau de Parfum 100ml</t>
        </is>
      </c>
      <c r="C3078" t="inlineStr">
        <is>
          <t>Eau De Parfum</t>
        </is>
      </c>
      <c r="D3078" t="inlineStr">
        <is>
          <t>Armaf</t>
        </is>
      </c>
      <c r="E3078" t="n">
        <v>15.97</v>
      </c>
      <c r="F3078" t="n">
        <v>1</v>
      </c>
      <c r="G3078" t="n">
        <v>23</v>
      </c>
      <c r="H3078" s="5">
        <f>HYPERLINK("https://api.qogita.com/variants/link/6294015109276/", "View Product")</f>
        <v/>
      </c>
    </row>
    <row r="3079">
      <c r="A3079" t="inlineStr">
        <is>
          <t>6294015109320</t>
        </is>
      </c>
      <c r="B3079" t="inlineStr">
        <is>
          <t>Armaf Odyssey Homme White Edition Eau De Parfum Spray 100ml</t>
        </is>
      </c>
      <c r="C3079" t="inlineStr">
        <is>
          <t>Eau De Parfum</t>
        </is>
      </c>
      <c r="D3079" t="inlineStr">
        <is>
          <t>Armaf</t>
        </is>
      </c>
      <c r="E3079" t="n">
        <v>15.09</v>
      </c>
      <c r="F3079" t="n">
        <v>1</v>
      </c>
      <c r="G3079" t="n">
        <v>796</v>
      </c>
      <c r="H3079" s="5">
        <f>HYPERLINK("https://api.qogita.com/variants/link/6294015109320/", "View Product")</f>
        <v/>
      </c>
    </row>
    <row r="3080">
      <c r="A3080" t="inlineStr">
        <is>
          <t>6294015118865</t>
        </is>
      </c>
      <c r="B3080" t="inlineStr">
        <is>
          <t>Armaf Bucephalus No. Xi Eau De Parfum Spray 100ml</t>
        </is>
      </c>
      <c r="C3080" t="inlineStr">
        <is>
          <t>Eau De Parfum</t>
        </is>
      </c>
      <c r="D3080" t="inlineStr">
        <is>
          <t>Armaf</t>
        </is>
      </c>
      <c r="E3080" t="n">
        <v>21.02</v>
      </c>
      <c r="F3080" t="n">
        <v>1</v>
      </c>
      <c r="G3080" t="n">
        <v>16</v>
      </c>
      <c r="H3080" s="5">
        <f>HYPERLINK("https://api.qogita.com/variants/link/6294015118865/", "View Product")</f>
        <v/>
      </c>
    </row>
    <row r="3081">
      <c r="A3081" t="inlineStr">
        <is>
          <t>6294015128215</t>
        </is>
      </c>
      <c r="B3081" t="inlineStr">
        <is>
          <t>OROS Pure Blooming Maguey Eau De Parfum 100ml</t>
        </is>
      </c>
      <c r="C3081" t="inlineStr">
        <is>
          <t>Eau De Parfum</t>
        </is>
      </c>
      <c r="D3081" t="inlineStr">
        <is>
          <t>Armaf</t>
        </is>
      </c>
      <c r="E3081" t="n">
        <v>57.93</v>
      </c>
      <c r="F3081" t="n">
        <v>1</v>
      </c>
      <c r="G3081" t="n">
        <v>2</v>
      </c>
      <c r="H3081" s="5">
        <f>HYPERLINK("https://api.qogita.com/variants/link/6294015128215/", "View Product")</f>
        <v/>
      </c>
    </row>
    <row r="3082">
      <c r="A3082" t="inlineStr">
        <is>
          <t>6294015138306</t>
        </is>
      </c>
      <c r="B3082" t="inlineStr">
        <is>
          <t>Armaf Magnificent Blue Eau De Parfum Spray 100ml</t>
        </is>
      </c>
      <c r="C3082" t="inlineStr">
        <is>
          <t>Eau De Parfum</t>
        </is>
      </c>
      <c r="D3082" t="inlineStr">
        <is>
          <t>Armaf</t>
        </is>
      </c>
      <c r="E3082" t="n">
        <v>29.52</v>
      </c>
      <c r="F3082" t="n">
        <v>1</v>
      </c>
      <c r="G3082" t="n">
        <v>27</v>
      </c>
      <c r="H3082" s="5">
        <f>HYPERLINK("https://api.qogita.com/variants/link/6294015138306/", "View Product")</f>
        <v/>
      </c>
    </row>
    <row r="3083">
      <c r="A3083" t="inlineStr">
        <is>
          <t>6294015138320</t>
        </is>
      </c>
      <c r="B3083" t="inlineStr">
        <is>
          <t>Armaf The Pride Of Armaf Rouge Pour Femme Perfumed Spray 100ml</t>
        </is>
      </c>
      <c r="C3083" t="inlineStr">
        <is>
          <t>Eau De Parfum</t>
        </is>
      </c>
      <c r="D3083" t="inlineStr">
        <is>
          <t>Armaf</t>
        </is>
      </c>
      <c r="E3083" t="n">
        <v>27.61</v>
      </c>
      <c r="F3083" t="n">
        <v>1</v>
      </c>
      <c r="G3083" t="n">
        <v>22</v>
      </c>
      <c r="H3083" s="5">
        <f>HYPERLINK("https://api.qogita.com/variants/link/6294015138320/", "View Product")</f>
        <v/>
      </c>
    </row>
    <row r="3084">
      <c r="A3084" t="inlineStr">
        <is>
          <t>6294015139846</t>
        </is>
      </c>
      <c r="B3084" t="inlineStr">
        <is>
          <t>Armaf Eternia Man Eau De Parfum</t>
        </is>
      </c>
      <c r="C3084" t="inlineStr">
        <is>
          <t>Eau De Parfum</t>
        </is>
      </c>
      <c r="D3084" t="inlineStr">
        <is>
          <t>Armaf</t>
        </is>
      </c>
      <c r="E3084" t="n">
        <v>12.54</v>
      </c>
      <c r="F3084" t="n">
        <v>1</v>
      </c>
      <c r="G3084" t="n">
        <v>23</v>
      </c>
      <c r="H3084" s="5">
        <f>HYPERLINK("https://api.qogita.com/variants/link/6294015139846/", "View Product")</f>
        <v/>
      </c>
    </row>
    <row r="3085">
      <c r="A3085" t="inlineStr">
        <is>
          <t>6294015149371</t>
        </is>
      </c>
      <c r="B3085" t="inlineStr">
        <is>
          <t>Armaf Odyssey Mandarin Sky Eau De Toilette Spray 96.4g</t>
        </is>
      </c>
      <c r="C3085" t="inlineStr">
        <is>
          <t>Eau De Toilette</t>
        </is>
      </c>
      <c r="D3085" t="inlineStr">
        <is>
          <t>Armaf</t>
        </is>
      </c>
      <c r="E3085" t="n">
        <v>20.37</v>
      </c>
      <c r="F3085" t="n">
        <v>1</v>
      </c>
      <c r="G3085" t="n">
        <v>116</v>
      </c>
      <c r="H3085" s="5">
        <f>HYPERLINK("https://api.qogita.com/variants/link/6294015149371/", "View Product")</f>
        <v/>
      </c>
    </row>
    <row r="3086">
      <c r="A3086" t="inlineStr">
        <is>
          <t>6294015151701</t>
        </is>
      </c>
      <c r="B3086" t="inlineStr">
        <is>
          <t>Blackart Intense Red - Eau de Parfum Volume 100 ml</t>
        </is>
      </c>
      <c r="C3086" t="inlineStr">
        <is>
          <t>Eau De Parfum</t>
        </is>
      </c>
      <c r="D3086" t="inlineStr">
        <is>
          <t>Flavia</t>
        </is>
      </c>
      <c r="E3086" t="n">
        <v>19.48</v>
      </c>
      <c r="F3086" t="n">
        <v>1</v>
      </c>
      <c r="G3086" t="n">
        <v>204</v>
      </c>
      <c r="H3086" s="5">
        <f>HYPERLINK("https://api.qogita.com/variants/link/6294015151701/", "View Product")</f>
        <v/>
      </c>
    </row>
    <row r="3087">
      <c r="A3087" t="inlineStr">
        <is>
          <t>6294015153583</t>
        </is>
      </c>
      <c r="B3087" t="inlineStr">
        <is>
          <t>Armaf Tres Nuit Valentina Eau De Parfum for Women 100ml</t>
        </is>
      </c>
      <c r="C3087" t="inlineStr">
        <is>
          <t>Eau De Parfum</t>
        </is>
      </c>
      <c r="D3087" t="inlineStr">
        <is>
          <t>Armaf</t>
        </is>
      </c>
      <c r="E3087" t="n">
        <v>19.42</v>
      </c>
      <c r="F3087" t="n">
        <v>1</v>
      </c>
      <c r="G3087" t="n">
        <v>64</v>
      </c>
      <c r="H3087" s="5">
        <f>HYPERLINK("https://api.qogita.com/variants/link/6294015153583/", "View Product")</f>
        <v/>
      </c>
    </row>
    <row r="3088">
      <c r="A3088" t="inlineStr">
        <is>
          <t>6294015156102</t>
        </is>
      </c>
      <c r="B3088" t="inlineStr">
        <is>
          <t>Hamidi Midnight Amber Eau De Parfum 110ml</t>
        </is>
      </c>
      <c r="C3088" t="inlineStr">
        <is>
          <t>Eau De Parfum</t>
        </is>
      </c>
      <c r="D3088" t="inlineStr">
        <is>
          <t>Hamidi</t>
        </is>
      </c>
      <c r="E3088" t="n">
        <v>16.79</v>
      </c>
      <c r="F3088" t="n">
        <v>1</v>
      </c>
      <c r="G3088" t="n">
        <v>90</v>
      </c>
      <c r="H3088" s="5">
        <f>HYPERLINK("https://api.qogita.com/variants/link/6294015156102/", "View Product")</f>
        <v/>
      </c>
    </row>
    <row r="3089">
      <c r="A3089" t="inlineStr">
        <is>
          <t>6294015156225</t>
        </is>
      </c>
      <c r="B3089" t="inlineStr">
        <is>
          <t>Hamidi By Armaf Alcohol-Free Addicted Intense Perfume 120ml Black</t>
        </is>
      </c>
      <c r="C3089" t="inlineStr">
        <is>
          <t>Eau De Parfum</t>
        </is>
      </c>
      <c r="D3089" t="inlineStr">
        <is>
          <t>Hamidi</t>
        </is>
      </c>
      <c r="E3089" t="n">
        <v>20.67</v>
      </c>
      <c r="F3089" t="n">
        <v>1</v>
      </c>
      <c r="G3089" t="n">
        <v>25</v>
      </c>
      <c r="H3089" s="5">
        <f>HYPERLINK("https://api.qogita.com/variants/link/6294015156225/", "View Product")</f>
        <v/>
      </c>
    </row>
    <row r="3090">
      <c r="A3090" t="inlineStr">
        <is>
          <t>6294015157772</t>
        </is>
      </c>
      <c r="B3090" t="inlineStr">
        <is>
          <t>Armaf Club De Nuit Milestone Eau De Parfum 30ml</t>
        </is>
      </c>
      <c r="C3090" t="inlineStr">
        <is>
          <t>Eau De Parfum</t>
        </is>
      </c>
      <c r="D3090" t="inlineStr">
        <is>
          <t>Armaf</t>
        </is>
      </c>
      <c r="E3090" t="n">
        <v>20.31</v>
      </c>
      <c r="F3090" t="n">
        <v>1</v>
      </c>
      <c r="G3090" t="n">
        <v>12</v>
      </c>
      <c r="H3090" s="5">
        <f>HYPERLINK("https://api.qogita.com/variants/link/6294015157772/", "View Product")</f>
        <v/>
      </c>
    </row>
    <row r="3091">
      <c r="A3091" t="inlineStr">
        <is>
          <t>6294015157789</t>
        </is>
      </c>
      <c r="B3091" t="inlineStr">
        <is>
          <t>Armaf Club De Nuit Women Eau De Parfum 30ml</t>
        </is>
      </c>
      <c r="C3091" t="inlineStr">
        <is>
          <t>Eau De Parfum</t>
        </is>
      </c>
      <c r="D3091" t="inlineStr">
        <is>
          <t>Armaf</t>
        </is>
      </c>
      <c r="E3091" t="n">
        <v>14.89</v>
      </c>
      <c r="F3091" t="n">
        <v>1</v>
      </c>
      <c r="G3091" t="n">
        <v>56</v>
      </c>
      <c r="H3091" s="5">
        <f>HYPERLINK("https://api.qogita.com/variants/link/6294015157789/", "View Product")</f>
        <v/>
      </c>
    </row>
    <row r="3092">
      <c r="A3092" t="inlineStr">
        <is>
          <t>6294015161526</t>
        </is>
      </c>
      <c r="B3092" t="inlineStr">
        <is>
          <t>ARMAF Voyage Hawaii Pour Femme Eau De Parfum 100ml</t>
        </is>
      </c>
      <c r="C3092" t="inlineStr">
        <is>
          <t>Eau De Parfum</t>
        </is>
      </c>
      <c r="D3092" t="inlineStr">
        <is>
          <t>Armaf</t>
        </is>
      </c>
      <c r="E3092" t="n">
        <v>15.85</v>
      </c>
      <c r="F3092" t="n">
        <v>1</v>
      </c>
      <c r="G3092" t="n">
        <v>9</v>
      </c>
      <c r="H3092" s="5">
        <f>HYPERLINK("https://api.qogita.com/variants/link/6294015161526/", "View Product")</f>
        <v/>
      </c>
    </row>
    <row r="3093">
      <c r="A3093" t="inlineStr">
        <is>
          <t>6294015161687</t>
        </is>
      </c>
      <c r="B3093" t="inlineStr">
        <is>
          <t>Hamidi Dahab Eau De Parfum Spray Unisex 100ml</t>
        </is>
      </c>
      <c r="C3093" t="inlineStr">
        <is>
          <t>Eau De Parfum</t>
        </is>
      </c>
      <c r="D3093" t="inlineStr">
        <is>
          <t>Hamidi</t>
        </is>
      </c>
      <c r="E3093" t="n">
        <v>9.82</v>
      </c>
      <c r="F3093" t="n">
        <v>1</v>
      </c>
      <c r="G3093" t="n">
        <v>41</v>
      </c>
      <c r="H3093" s="5">
        <f>HYPERLINK("https://api.qogita.com/variants/link/6294015161687/", "View Product")</f>
        <v/>
      </c>
    </row>
    <row r="3094">
      <c r="A3094" t="inlineStr">
        <is>
          <t>6294015161724</t>
        </is>
      </c>
      <c r="B3094" t="inlineStr">
        <is>
          <t>Hamidi Oud Suyufi 110ml Eau De Parfum</t>
        </is>
      </c>
      <c r="C3094" t="inlineStr">
        <is>
          <t>Eau De Parfum</t>
        </is>
      </c>
      <c r="D3094" t="inlineStr">
        <is>
          <t>Hamidi</t>
        </is>
      </c>
      <c r="E3094" t="n">
        <v>9.82</v>
      </c>
      <c r="F3094" t="n">
        <v>1</v>
      </c>
      <c r="G3094" t="n">
        <v>43</v>
      </c>
      <c r="H3094" s="5">
        <f>HYPERLINK("https://api.qogita.com/variants/link/6294015161724/", "View Product")</f>
        <v/>
      </c>
    </row>
    <row r="3095">
      <c r="A3095" t="inlineStr">
        <is>
          <t>6294015163483</t>
        </is>
      </c>
      <c r="B3095" t="inlineStr">
        <is>
          <t>Just Jack Classic Eau de Parfum Volume 100 ml</t>
        </is>
      </c>
      <c r="C3095" t="inlineStr">
        <is>
          <t>Eau De Parfum</t>
        </is>
      </c>
      <c r="D3095" t="inlineStr">
        <is>
          <t>Just Jack</t>
        </is>
      </c>
      <c r="E3095" t="n">
        <v>13.96</v>
      </c>
      <c r="F3095" t="n">
        <v>1</v>
      </c>
      <c r="G3095" t="n">
        <v>5</v>
      </c>
      <c r="H3095" s="5">
        <f>HYPERLINK("https://api.qogita.com/variants/link/6294015163483/", "View Product")</f>
        <v/>
      </c>
    </row>
    <row r="3096">
      <c r="A3096" t="inlineStr">
        <is>
          <t>6294015163490</t>
        </is>
      </c>
      <c r="B3096" t="inlineStr">
        <is>
          <t>Just Jack Niveau Eau de Parfum Volume 100 ml</t>
        </is>
      </c>
      <c r="C3096" t="inlineStr">
        <is>
          <t>Eau De Parfum</t>
        </is>
      </c>
      <c r="D3096" t="inlineStr">
        <is>
          <t>Just Jack</t>
        </is>
      </c>
      <c r="E3096" t="n">
        <v>31.26</v>
      </c>
      <c r="F3096" t="n">
        <v>1</v>
      </c>
      <c r="G3096" t="n">
        <v>28</v>
      </c>
      <c r="H3096" s="5">
        <f>HYPERLINK("https://api.qogita.com/variants/link/6294015163490/", "View Product")</f>
        <v/>
      </c>
    </row>
    <row r="3097">
      <c r="A3097" t="inlineStr">
        <is>
          <t>6294015163902</t>
        </is>
      </c>
      <c r="B3097" t="inlineStr">
        <is>
          <t>Armaf Tag Her Donna Colorata Eau De Parfum 100ml</t>
        </is>
      </c>
      <c r="C3097" t="inlineStr">
        <is>
          <t>Eau De Parfum</t>
        </is>
      </c>
      <c r="D3097" t="inlineStr">
        <is>
          <t>Armaf</t>
        </is>
      </c>
      <c r="E3097" t="n">
        <v>17.77</v>
      </c>
      <c r="F3097" t="n">
        <v>1</v>
      </c>
      <c r="G3097" t="n">
        <v>38</v>
      </c>
      <c r="H3097" s="5">
        <f>HYPERLINK("https://api.qogita.com/variants/link/6294015163902/", "View Product")</f>
        <v/>
      </c>
    </row>
    <row r="3098">
      <c r="A3098" t="inlineStr">
        <is>
          <t>6294015163926</t>
        </is>
      </c>
      <c r="B3098" t="inlineStr">
        <is>
          <t>Armaf Odyssey Homme Eau De Parfum 200ml A Premium Fragrance For Men</t>
        </is>
      </c>
      <c r="C3098" t="inlineStr">
        <is>
          <t>Eau De Parfum</t>
        </is>
      </c>
      <c r="D3098" t="inlineStr">
        <is>
          <t>Armaf</t>
        </is>
      </c>
      <c r="E3098" t="n">
        <v>30.73</v>
      </c>
      <c r="F3098" t="n">
        <v>1</v>
      </c>
      <c r="G3098" t="n">
        <v>214</v>
      </c>
      <c r="H3098" s="5">
        <f>HYPERLINK("https://api.qogita.com/variants/link/6294015163926/", "View Product")</f>
        <v/>
      </c>
    </row>
    <row r="3099">
      <c r="A3099" t="inlineStr">
        <is>
          <t>6294015163940</t>
        </is>
      </c>
      <c r="B3099" t="inlineStr">
        <is>
          <t>ARMAF Club De Nuit Urban Man Elixir Eau De Parfum 30ml</t>
        </is>
      </c>
      <c r="C3099" t="inlineStr">
        <is>
          <t>Eau De Parfum</t>
        </is>
      </c>
      <c r="D3099" t="inlineStr">
        <is>
          <t>Armaf</t>
        </is>
      </c>
      <c r="E3099" t="n">
        <v>14.13</v>
      </c>
      <c r="F3099" t="n">
        <v>1</v>
      </c>
      <c r="G3099" t="n">
        <v>43</v>
      </c>
      <c r="H3099" s="5">
        <f>HYPERLINK("https://api.qogita.com/variants/link/6294015163940/", "View Product")</f>
        <v/>
      </c>
    </row>
    <row r="3100">
      <c r="A3100" t="inlineStr">
        <is>
          <t>6294015163957</t>
        </is>
      </c>
      <c r="B3100" t="inlineStr">
        <is>
          <t>Armaf Le Parfait Azure For Women Eau De Parfum Spray 200ml</t>
        </is>
      </c>
      <c r="C3100" t="inlineStr">
        <is>
          <t>Eau De Parfum</t>
        </is>
      </c>
      <c r="D3100" t="inlineStr">
        <is>
          <t>Armaf</t>
        </is>
      </c>
      <c r="E3100" t="n">
        <v>25.49</v>
      </c>
      <c r="F3100" t="n">
        <v>1</v>
      </c>
      <c r="G3100" t="n">
        <v>9</v>
      </c>
      <c r="H3100" s="5">
        <f>HYPERLINK("https://api.qogita.com/variants/link/6294015163957/", "View Product")</f>
        <v/>
      </c>
    </row>
    <row r="3101">
      <c r="A3101" t="inlineStr">
        <is>
          <t>6294015163964</t>
        </is>
      </c>
      <c r="B3101" t="inlineStr">
        <is>
          <t>Armaf Le Parfait Panache Femme Eau De Parfum Spray 200ml</t>
        </is>
      </c>
      <c r="C3101" t="inlineStr">
        <is>
          <t>Eau De Parfum</t>
        </is>
      </c>
      <c r="D3101" t="inlineStr">
        <is>
          <t>Armaf</t>
        </is>
      </c>
      <c r="E3101" t="n">
        <v>28.16</v>
      </c>
      <c r="F3101" t="n">
        <v>1</v>
      </c>
      <c r="G3101" t="n">
        <v>20</v>
      </c>
      <c r="H3101" s="5">
        <f>HYPERLINK("https://api.qogita.com/variants/link/6294015163964/", "View Product")</f>
        <v/>
      </c>
    </row>
    <row r="3102">
      <c r="A3102" t="inlineStr">
        <is>
          <t>6294015164176</t>
        </is>
      </c>
      <c r="B3102" t="inlineStr">
        <is>
          <t>Armaf Club De Nuit Untold Eau De Parfum 105ml Spray</t>
        </is>
      </c>
      <c r="C3102" t="inlineStr">
        <is>
          <t>Eau De Parfum</t>
        </is>
      </c>
      <c r="D3102" t="inlineStr">
        <is>
          <t>Armaf</t>
        </is>
      </c>
      <c r="E3102" t="n">
        <v>33.2</v>
      </c>
      <c r="F3102" t="n">
        <v>1</v>
      </c>
      <c r="G3102" t="n">
        <v>1939</v>
      </c>
      <c r="H3102" s="5">
        <f>HYPERLINK("https://api.qogita.com/variants/link/6294015164176/", "View Product")</f>
        <v/>
      </c>
    </row>
    <row r="3103">
      <c r="A3103" t="inlineStr">
        <is>
          <t>6294015164305</t>
        </is>
      </c>
      <c r="B3103" t="inlineStr">
        <is>
          <t>Armaf Club De Nuit Imperiale Eau De Parfum Spray 200ml</t>
        </is>
      </c>
      <c r="C3103" t="inlineStr">
        <is>
          <t>Eau De Parfum</t>
        </is>
      </c>
      <c r="D3103" t="inlineStr">
        <is>
          <t>Armaf</t>
        </is>
      </c>
      <c r="E3103" t="n">
        <v>45.95</v>
      </c>
      <c r="F3103" t="n">
        <v>1</v>
      </c>
      <c r="G3103" t="n">
        <v>11</v>
      </c>
      <c r="H3103" s="5">
        <f>HYPERLINK("https://api.qogita.com/variants/link/6294015164305/", "View Product")</f>
        <v/>
      </c>
    </row>
    <row r="3104">
      <c r="A3104" t="inlineStr">
        <is>
          <t>6294015164350</t>
        </is>
      </c>
      <c r="B3104" t="inlineStr">
        <is>
          <t>Armaf Club De Nuit Intense Women Perfume Oil 18ml</t>
        </is>
      </c>
      <c r="C3104" t="inlineStr">
        <is>
          <t>Eau De Parfum</t>
        </is>
      </c>
      <c r="D3104" t="inlineStr">
        <is>
          <t>Armaf</t>
        </is>
      </c>
      <c r="E3104" t="n">
        <v>28.03</v>
      </c>
      <c r="F3104" t="n">
        <v>1</v>
      </c>
      <c r="G3104" t="n">
        <v>7</v>
      </c>
      <c r="H3104" s="5">
        <f>HYPERLINK("https://api.qogita.com/variants/link/6294015164350/", "View Product")</f>
        <v/>
      </c>
    </row>
    <row r="3105">
      <c r="A3105" t="inlineStr">
        <is>
          <t>6294015164619</t>
        </is>
      </c>
      <c r="B3105" t="inlineStr">
        <is>
          <t>Fusion Amity Eau de Parfum Volume 85 ml</t>
        </is>
      </c>
      <c r="C3105" t="inlineStr">
        <is>
          <t>Eau De Parfum</t>
        </is>
      </c>
      <c r="D3105" t="inlineStr">
        <is>
          <t>Hamidi</t>
        </is>
      </c>
      <c r="E3105" t="n">
        <v>14.43</v>
      </c>
      <c r="F3105" t="n">
        <v>1</v>
      </c>
      <c r="G3105" t="n">
        <v>39</v>
      </c>
      <c r="H3105" s="5">
        <f>HYPERLINK("https://api.qogita.com/variants/link/6294015164619/", "View Product")</f>
        <v/>
      </c>
    </row>
    <row r="3106">
      <c r="A3106" t="inlineStr">
        <is>
          <t>6294015164633</t>
        </is>
      </c>
      <c r="B3106" t="inlineStr">
        <is>
          <t>Hamidi Fusion Harmony Eau De Parfum EDP 85ml Unisex</t>
        </is>
      </c>
      <c r="C3106" t="inlineStr">
        <is>
          <t>Eau De Parfum</t>
        </is>
      </c>
      <c r="D3106" t="inlineStr">
        <is>
          <t>Hamidi</t>
        </is>
      </c>
      <c r="E3106" t="n">
        <v>14.43</v>
      </c>
      <c r="F3106" t="n">
        <v>1</v>
      </c>
      <c r="G3106" t="n">
        <v>41</v>
      </c>
      <c r="H3106" s="5">
        <f>HYPERLINK("https://api.qogita.com/variants/link/6294015164633/", "View Product")</f>
        <v/>
      </c>
    </row>
    <row r="3107">
      <c r="A3107" t="inlineStr">
        <is>
          <t>6294015164640</t>
        </is>
      </c>
      <c r="B3107" t="inlineStr">
        <is>
          <t>Hamidi Majestic Royal Amber Eau De Parfum 85ml Unisex</t>
        </is>
      </c>
      <c r="C3107" t="inlineStr">
        <is>
          <t>Eau De Parfum</t>
        </is>
      </c>
      <c r="D3107" t="inlineStr">
        <is>
          <t>Hamidi</t>
        </is>
      </c>
      <c r="E3107" t="n">
        <v>16.54</v>
      </c>
      <c r="F3107" t="n">
        <v>1</v>
      </c>
      <c r="G3107" t="n">
        <v>40</v>
      </c>
      <c r="H3107" s="5">
        <f>HYPERLINK("https://api.qogita.com/variants/link/6294015164640/", "View Product")</f>
        <v/>
      </c>
    </row>
    <row r="3108">
      <c r="A3108" t="inlineStr">
        <is>
          <t>6294015164657</t>
        </is>
      </c>
      <c r="B3108" t="inlineStr">
        <is>
          <t>Hamidi Majestic Heavenly Santal Eau De Parfum 85ml Unisex</t>
        </is>
      </c>
      <c r="C3108" t="inlineStr">
        <is>
          <t>Eau De Parfum</t>
        </is>
      </c>
      <c r="D3108" t="inlineStr">
        <is>
          <t>Hamidi</t>
        </is>
      </c>
      <c r="E3108" t="n">
        <v>16.54</v>
      </c>
      <c r="F3108" t="n">
        <v>1</v>
      </c>
      <c r="G3108" t="n">
        <v>23</v>
      </c>
      <c r="H3108" s="5">
        <f>HYPERLINK("https://api.qogita.com/variants/link/6294015164657/", "View Product")</f>
        <v/>
      </c>
    </row>
    <row r="3109">
      <c r="A3109" t="inlineStr">
        <is>
          <t>6294015164664</t>
        </is>
      </c>
      <c r="B3109" t="inlineStr">
        <is>
          <t>Majestic Aristocratic Oud Eau de Parfum Volume 85 ml</t>
        </is>
      </c>
      <c r="C3109" t="inlineStr">
        <is>
          <t>Eau De Parfum</t>
        </is>
      </c>
      <c r="D3109" t="inlineStr">
        <is>
          <t>Hamidi</t>
        </is>
      </c>
      <c r="E3109" t="n">
        <v>16.54</v>
      </c>
      <c r="F3109" t="n">
        <v>1</v>
      </c>
      <c r="G3109" t="n">
        <v>25</v>
      </c>
      <c r="H3109" s="5">
        <f>HYPERLINK("https://api.qogita.com/variants/link/6294015164664/", "View Product")</f>
        <v/>
      </c>
    </row>
    <row r="3110">
      <c r="A3110" t="inlineStr">
        <is>
          <t>6294015164688</t>
        </is>
      </c>
      <c r="B3110" t="inlineStr">
        <is>
          <t>Prestige Status Eau de Parfum Volume 80 ml</t>
        </is>
      </c>
      <c r="C3110" t="inlineStr">
        <is>
          <t>Eau De Parfum</t>
        </is>
      </c>
      <c r="D3110" t="inlineStr">
        <is>
          <t>Hamidi</t>
        </is>
      </c>
      <c r="E3110" t="n">
        <v>13</v>
      </c>
      <c r="F3110" t="n">
        <v>1</v>
      </c>
      <c r="G3110" t="n">
        <v>39</v>
      </c>
      <c r="H3110" s="5">
        <f>HYPERLINK("https://api.qogita.com/variants/link/6294015164688/", "View Product")</f>
        <v/>
      </c>
    </row>
    <row r="3111">
      <c r="A3111" t="inlineStr">
        <is>
          <t>6294015164718</t>
        </is>
      </c>
      <c r="B3111" t="inlineStr">
        <is>
          <t>Prestige Honor Eau de Parfum Volume 80 ml</t>
        </is>
      </c>
      <c r="C3111" t="inlineStr">
        <is>
          <t>Eau De Parfum</t>
        </is>
      </c>
      <c r="D3111" t="inlineStr">
        <is>
          <t>Hamidi</t>
        </is>
      </c>
      <c r="E3111" t="n">
        <v>13</v>
      </c>
      <c r="F3111" t="n">
        <v>1</v>
      </c>
      <c r="G3111" t="n">
        <v>18</v>
      </c>
      <c r="H3111" s="5">
        <f>HYPERLINK("https://api.qogita.com/variants/link/6294015164718/", "View Product")</f>
        <v/>
      </c>
    </row>
    <row r="3112">
      <c r="A3112" t="inlineStr">
        <is>
          <t>6294015166125</t>
        </is>
      </c>
      <c r="B3112" t="inlineStr">
        <is>
          <t>Armaf Eternia Italia Eau De Parfum Spray 80ml</t>
        </is>
      </c>
      <c r="C3112" t="inlineStr">
        <is>
          <t>Eau De Parfum</t>
        </is>
      </c>
      <c r="D3112" t="inlineStr">
        <is>
          <t>Armaf</t>
        </is>
      </c>
      <c r="E3112" t="n">
        <v>13.41</v>
      </c>
      <c r="F3112" t="n">
        <v>1</v>
      </c>
      <c r="G3112" t="n">
        <v>39</v>
      </c>
      <c r="H3112" s="5">
        <f>HYPERLINK("https://api.qogita.com/variants/link/6294015166125/", "View Product")</f>
        <v/>
      </c>
    </row>
    <row r="3113">
      <c r="A3113" t="inlineStr">
        <is>
          <t>6294015166156</t>
        </is>
      </c>
      <c r="B3113" t="inlineStr">
        <is>
          <t>Armaf Black Saffron Eau De Parfum 100ml</t>
        </is>
      </c>
      <c r="C3113" t="inlineStr">
        <is>
          <t>Eau De Parfum</t>
        </is>
      </c>
      <c r="D3113" t="inlineStr">
        <is>
          <t>Armaf</t>
        </is>
      </c>
      <c r="E3113" t="n">
        <v>21.37</v>
      </c>
      <c r="F3113" t="n">
        <v>1</v>
      </c>
      <c r="G3113" t="n">
        <v>81</v>
      </c>
      <c r="H3113" s="5">
        <f>HYPERLINK("https://api.qogita.com/variants/link/6294015166156/", "View Product")</f>
        <v/>
      </c>
    </row>
    <row r="3114">
      <c r="A3114" t="inlineStr">
        <is>
          <t>6294015166217</t>
        </is>
      </c>
      <c r="B3114" t="inlineStr">
        <is>
          <t>Armaf Hunter Killer Red Eau De Parfum 100ml</t>
        </is>
      </c>
      <c r="C3114" t="inlineStr">
        <is>
          <t>Eau De Parfum</t>
        </is>
      </c>
      <c r="D3114" t="inlineStr">
        <is>
          <t>Armaf</t>
        </is>
      </c>
      <c r="E3114" t="n">
        <v>17.69</v>
      </c>
      <c r="F3114" t="n">
        <v>1</v>
      </c>
      <c r="G3114" t="n">
        <v>36</v>
      </c>
      <c r="H3114" s="5">
        <f>HYPERLINK("https://api.qogita.com/variants/link/6294015166217/", "View Product")</f>
        <v/>
      </c>
    </row>
    <row r="3115">
      <c r="A3115" t="inlineStr">
        <is>
          <t>6294015166224</t>
        </is>
      </c>
      <c r="B3115" t="inlineStr">
        <is>
          <t>Armaf Hunter Jungle Eau De Parfum Spray 100ml</t>
        </is>
      </c>
      <c r="C3115" t="inlineStr">
        <is>
          <t>Eau De Parfum</t>
        </is>
      </c>
      <c r="D3115" t="inlineStr">
        <is>
          <t>Armaf</t>
        </is>
      </c>
      <c r="E3115" t="n">
        <v>13.96</v>
      </c>
      <c r="F3115" t="n">
        <v>1</v>
      </c>
      <c r="G3115" t="n">
        <v>287</v>
      </c>
      <c r="H3115" s="5">
        <f>HYPERLINK("https://api.qogita.com/variants/link/6294015166224/", "View Product")</f>
        <v/>
      </c>
    </row>
    <row r="3116">
      <c r="A3116" t="inlineStr">
        <is>
          <t>6294015167931</t>
        </is>
      </c>
      <c r="B3116" t="inlineStr">
        <is>
          <t>Armaf Club De Nuit Untold Deodorant Stick 75ml</t>
        </is>
      </c>
      <c r="C3116" t="inlineStr">
        <is>
          <t>Deodorant &amp; Anti-Perspirant</t>
        </is>
      </c>
      <c r="D3116" t="inlineStr">
        <is>
          <t>Armaf</t>
        </is>
      </c>
      <c r="E3116" t="n">
        <v>10.96</v>
      </c>
      <c r="F3116" t="n">
        <v>1</v>
      </c>
      <c r="G3116" t="n">
        <v>10</v>
      </c>
      <c r="H3116" s="5">
        <f>HYPERLINK("https://api.qogita.com/variants/link/6294015167931/", "View Product")</f>
        <v/>
      </c>
    </row>
    <row r="3117">
      <c r="A3117" t="inlineStr">
        <is>
          <t>6294015167955</t>
        </is>
      </c>
      <c r="B3117" t="inlineStr">
        <is>
          <t>Armaf Club De Nuit Milestone Deodorant Stick 75 Grams</t>
        </is>
      </c>
      <c r="C3117" t="inlineStr">
        <is>
          <t>Deodorant &amp; Anti-Perspirant</t>
        </is>
      </c>
      <c r="D3117" t="inlineStr">
        <is>
          <t>Armaf</t>
        </is>
      </c>
      <c r="E3117" t="n">
        <v>10.57</v>
      </c>
      <c r="F3117" t="n">
        <v>1</v>
      </c>
      <c r="G3117" t="n">
        <v>77</v>
      </c>
      <c r="H3117" s="5">
        <f>HYPERLINK("https://api.qogita.com/variants/link/6294015167955/", "View Product")</f>
        <v/>
      </c>
    </row>
    <row r="3118">
      <c r="A3118" t="inlineStr">
        <is>
          <t>6294015167962</t>
        </is>
      </c>
      <c r="B3118" t="inlineStr">
        <is>
          <t>Armaf Club De Nuit Sillage Deostick</t>
        </is>
      </c>
      <c r="C3118" t="inlineStr">
        <is>
          <t>Deodorant &amp; Anti-Perspirant</t>
        </is>
      </c>
      <c r="D3118" t="inlineStr">
        <is>
          <t>Armaf</t>
        </is>
      </c>
      <c r="E3118" t="n">
        <v>9.720000000000001</v>
      </c>
      <c r="F3118" t="n">
        <v>1</v>
      </c>
      <c r="G3118" t="n">
        <v>67</v>
      </c>
      <c r="H3118" s="5">
        <f>HYPERLINK("https://api.qogita.com/variants/link/6294015167962/", "View Product")</f>
        <v/>
      </c>
    </row>
    <row r="3119">
      <c r="A3119" t="inlineStr">
        <is>
          <t>6294015167986</t>
        </is>
      </c>
      <c r="B3119" t="inlineStr">
        <is>
          <t>Hamidi Shams Aoud L'eau de Aqua Parfum Eau de Parfum 100ml</t>
        </is>
      </c>
      <c r="C3119" t="inlineStr">
        <is>
          <t>Eau De Parfum</t>
        </is>
      </c>
      <c r="D3119" t="inlineStr">
        <is>
          <t>Hamidi</t>
        </is>
      </c>
      <c r="E3119" t="n">
        <v>13.94</v>
      </c>
      <c r="F3119" t="n">
        <v>1</v>
      </c>
      <c r="G3119" t="n">
        <v>41</v>
      </c>
      <c r="H3119" s="5">
        <f>HYPERLINK("https://api.qogita.com/variants/link/6294015167986/", "View Product")</f>
        <v/>
      </c>
    </row>
    <row r="3120">
      <c r="A3120" t="inlineStr">
        <is>
          <t>6294015168006</t>
        </is>
      </c>
      <c r="B3120" t="inlineStr">
        <is>
          <t>Hamidi Shams Misk Fleur L'eau de Aqua Parfum Eau de Parfum 100ml</t>
        </is>
      </c>
      <c r="C3120" t="inlineStr">
        <is>
          <t>Eau De Parfum</t>
        </is>
      </c>
      <c r="D3120" t="inlineStr">
        <is>
          <t>Hamidi</t>
        </is>
      </c>
      <c r="E3120" t="n">
        <v>13.94</v>
      </c>
      <c r="F3120" t="n">
        <v>1</v>
      </c>
      <c r="G3120" t="n">
        <v>17</v>
      </c>
      <c r="H3120" s="5">
        <f>HYPERLINK("https://api.qogita.com/variants/link/6294015168006/", "View Product")</f>
        <v/>
      </c>
    </row>
    <row r="3121">
      <c r="A3121" t="inlineStr">
        <is>
          <t>6294015168136</t>
        </is>
      </c>
      <c r="B3121" t="inlineStr">
        <is>
          <t>Armaf Miss Dazzling Eau De Parfum Spray 100ml</t>
        </is>
      </c>
      <c r="C3121" t="inlineStr">
        <is>
          <t>Eau De Parfum</t>
        </is>
      </c>
      <c r="D3121" t="inlineStr">
        <is>
          <t>Armaf</t>
        </is>
      </c>
      <c r="E3121" t="n">
        <v>24.39</v>
      </c>
      <c r="F3121" t="n">
        <v>1</v>
      </c>
      <c r="G3121" t="n">
        <v>9</v>
      </c>
      <c r="H3121" s="5">
        <f>HYPERLINK("https://api.qogita.com/variants/link/6294015168136/", "View Product")</f>
        <v/>
      </c>
    </row>
    <row r="3122">
      <c r="A3122" t="inlineStr">
        <is>
          <t>6294015168143</t>
        </is>
      </c>
      <c r="B3122" t="inlineStr">
        <is>
          <t>Armaf Mystique Eau De Parfum Spray 100ml</t>
        </is>
      </c>
      <c r="C3122" t="inlineStr">
        <is>
          <t>Eau De Parfum</t>
        </is>
      </c>
      <c r="D3122" t="inlineStr">
        <is>
          <t>Armaf</t>
        </is>
      </c>
      <c r="E3122" t="n">
        <v>23.38</v>
      </c>
      <c r="F3122" t="n">
        <v>1</v>
      </c>
      <c r="G3122" t="n">
        <v>3</v>
      </c>
      <c r="H3122" s="5">
        <f>HYPERLINK("https://api.qogita.com/variants/link/6294015168143/", "View Product")</f>
        <v/>
      </c>
    </row>
    <row r="3123">
      <c r="A3123" t="inlineStr">
        <is>
          <t>6294015168150</t>
        </is>
      </c>
      <c r="B3123" t="inlineStr">
        <is>
          <t>Armaf Miss Magnifiq Eau De Parfum Spray 100ml</t>
        </is>
      </c>
      <c r="C3123" t="inlineStr">
        <is>
          <t>Eau De Parfum</t>
        </is>
      </c>
      <c r="D3123" t="inlineStr">
        <is>
          <t>Armaf</t>
        </is>
      </c>
      <c r="E3123" t="n">
        <v>27.35</v>
      </c>
      <c r="F3123" t="n">
        <v>1</v>
      </c>
      <c r="G3123" t="n">
        <v>7</v>
      </c>
      <c r="H3123" s="5">
        <f>HYPERLINK("https://api.qogita.com/variants/link/6294015168150/", "View Product")</f>
        <v/>
      </c>
    </row>
    <row r="3124">
      <c r="A3124" t="inlineStr">
        <is>
          <t>6294015175264</t>
        </is>
      </c>
      <c r="B3124" t="inlineStr">
        <is>
          <t>Armaf Club De Nuit Blue Iconic Gift Set - Edp 105 Ml, Shower Gel 100 Ml, Deostick 75 G</t>
        </is>
      </c>
      <c r="C3124" t="inlineStr">
        <is>
          <t>Fragrance</t>
        </is>
      </c>
      <c r="D3124" t="inlineStr">
        <is>
          <t>Armaf</t>
        </is>
      </c>
      <c r="E3124" t="n">
        <v>41.81</v>
      </c>
      <c r="F3124" t="n">
        <v>1</v>
      </c>
      <c r="G3124" t="n">
        <v>13</v>
      </c>
      <c r="H3124" s="5">
        <f>HYPERLINK("https://api.qogita.com/variants/link/6294015175264/", "View Product")</f>
        <v/>
      </c>
    </row>
    <row r="3125">
      <c r="A3125" t="inlineStr">
        <is>
          <t>6294015175356</t>
        </is>
      </c>
      <c r="B3125" t="inlineStr">
        <is>
          <t>Armaf Club De Nuit Milestone Eau De Parfum 130g Spray Hair Mist 55ml Body Spray 50ml Soap 130g</t>
        </is>
      </c>
      <c r="C3125" t="inlineStr">
        <is>
          <t>Eau De Parfum</t>
        </is>
      </c>
      <c r="D3125" t="inlineStr">
        <is>
          <t>Armaf</t>
        </is>
      </c>
      <c r="E3125" t="n">
        <v>40.78</v>
      </c>
      <c r="F3125" t="n">
        <v>1</v>
      </c>
      <c r="G3125" t="n">
        <v>19</v>
      </c>
      <c r="H3125" s="5">
        <f>HYPERLINK("https://api.qogita.com/variants/link/6294015175356/", "View Product")</f>
        <v/>
      </c>
    </row>
    <row r="3126">
      <c r="A3126" t="inlineStr">
        <is>
          <t>6294015175752</t>
        </is>
      </c>
      <c r="B3126" t="inlineStr">
        <is>
          <t>Armaf Club De Nuit Intense Women Eau De Parfum Miniature</t>
        </is>
      </c>
      <c r="C3126" t="inlineStr">
        <is>
          <t>Eau De Parfum</t>
        </is>
      </c>
      <c r="D3126" t="inlineStr">
        <is>
          <t>Armaf</t>
        </is>
      </c>
      <c r="E3126" t="n">
        <v>7.37</v>
      </c>
      <c r="F3126" t="n">
        <v>1</v>
      </c>
      <c r="G3126" t="n">
        <v>40</v>
      </c>
      <c r="H3126" s="5">
        <f>HYPERLINK("https://api.qogita.com/variants/link/6294015175752/", "View Product")</f>
        <v/>
      </c>
    </row>
    <row r="3127">
      <c r="A3127" t="inlineStr">
        <is>
          <t>6294015175844</t>
        </is>
      </c>
      <c r="B3127" t="inlineStr">
        <is>
          <t>Just Jack Oud Oak Eau De Parfum 100ml</t>
        </is>
      </c>
      <c r="C3127" t="inlineStr">
        <is>
          <t>Eau De Parfum</t>
        </is>
      </c>
      <c r="D3127" t="inlineStr">
        <is>
          <t>Just Jack</t>
        </is>
      </c>
      <c r="E3127" t="n">
        <v>14.64</v>
      </c>
      <c r="F3127" t="n">
        <v>1</v>
      </c>
      <c r="G3127" t="n">
        <v>20</v>
      </c>
      <c r="H3127" s="5">
        <f>HYPERLINK("https://api.qogita.com/variants/link/6294015175844/", "View Product")</f>
        <v/>
      </c>
    </row>
    <row r="3128">
      <c r="A3128" t="inlineStr">
        <is>
          <t>6294015175981</t>
        </is>
      </c>
      <c r="B3128" t="inlineStr">
        <is>
          <t>Hamidi Maison Luxe Woody Delight 110ml Eau De Parfum Unisex</t>
        </is>
      </c>
      <c r="C3128" t="inlineStr">
        <is>
          <t>Eau De Parfum</t>
        </is>
      </c>
      <c r="D3128" t="inlineStr">
        <is>
          <t>Hamidi</t>
        </is>
      </c>
      <c r="E3128" t="n">
        <v>17.24</v>
      </c>
      <c r="F3128" t="n">
        <v>1</v>
      </c>
      <c r="G3128" t="n">
        <v>37</v>
      </c>
      <c r="H3128" s="5">
        <f>HYPERLINK("https://api.qogita.com/variants/link/6294015175981/", "View Product")</f>
        <v/>
      </c>
    </row>
    <row r="3129">
      <c r="A3129" t="inlineStr">
        <is>
          <t>6294015176117</t>
        </is>
      </c>
      <c r="B3129" t="inlineStr">
        <is>
          <t>Armaf Desert Rose Eau De Parfum 100ml</t>
        </is>
      </c>
      <c r="C3129" t="inlineStr">
        <is>
          <t>Eau De Parfum</t>
        </is>
      </c>
      <c r="D3129" t="inlineStr">
        <is>
          <t>Armaf</t>
        </is>
      </c>
      <c r="E3129" t="n">
        <v>25.2</v>
      </c>
      <c r="F3129" t="n">
        <v>1</v>
      </c>
      <c r="G3129" t="n">
        <v>38</v>
      </c>
      <c r="H3129" s="5">
        <f>HYPERLINK("https://api.qogita.com/variants/link/6294015176117/", "View Product")</f>
        <v/>
      </c>
    </row>
    <row r="3130">
      <c r="A3130" t="inlineStr">
        <is>
          <t>6294015176261</t>
        </is>
      </c>
      <c r="B3130" t="inlineStr">
        <is>
          <t>Hamidi Al Mukhmal EDP Spray 100ml 3.4 Oz - A Harmonious Blend of Refreshing</t>
        </is>
      </c>
      <c r="C3130" t="inlineStr">
        <is>
          <t>Eau De Parfum</t>
        </is>
      </c>
      <c r="D3130" t="inlineStr">
        <is>
          <t>Hamidi</t>
        </is>
      </c>
      <c r="E3130" t="n">
        <v>18.65</v>
      </c>
      <c r="F3130" t="n">
        <v>1</v>
      </c>
      <c r="G3130" t="n">
        <v>34</v>
      </c>
      <c r="H3130" s="5">
        <f>HYPERLINK("https://api.qogita.com/variants/link/6294015176261/", "View Product")</f>
        <v/>
      </c>
    </row>
    <row r="3131">
      <c r="A3131" t="inlineStr">
        <is>
          <t>6294015176278</t>
        </is>
      </c>
      <c r="B3131" t="inlineStr">
        <is>
          <t>Hamidi Al Mukhmal Enjezab Eau De Parfum Spray 100ml</t>
        </is>
      </c>
      <c r="C3131" t="inlineStr">
        <is>
          <t>Eau De Parfum</t>
        </is>
      </c>
      <c r="D3131" t="inlineStr">
        <is>
          <t>Hamidi</t>
        </is>
      </c>
      <c r="E3131" t="n">
        <v>18.65</v>
      </c>
      <c r="F3131" t="n">
        <v>1</v>
      </c>
      <c r="G3131" t="n">
        <v>38</v>
      </c>
      <c r="H3131" s="5">
        <f>HYPERLINK("https://api.qogita.com/variants/link/6294015176278/", "View Product")</f>
        <v/>
      </c>
    </row>
    <row r="3132">
      <c r="A3132" t="inlineStr">
        <is>
          <t>6294015176414</t>
        </is>
      </c>
      <c r="B3132" t="inlineStr">
        <is>
          <t>Armaf Beauty Armaf Beaute Parfaite Fix Compact Powder - 01 Fair</t>
        </is>
      </c>
      <c r="C3132" t="inlineStr">
        <is>
          <t>Powder</t>
        </is>
      </c>
      <c r="D3132" t="inlineStr">
        <is>
          <t>Armaf Beauty</t>
        </is>
      </c>
      <c r="E3132" t="n">
        <v>6.47</v>
      </c>
      <c r="F3132" t="n">
        <v>1</v>
      </c>
      <c r="G3132" t="n">
        <v>2</v>
      </c>
      <c r="H3132" s="5">
        <f>HYPERLINK("https://api.qogita.com/variants/link/6294015176414/", "View Product")</f>
        <v/>
      </c>
    </row>
    <row r="3133">
      <c r="A3133" t="inlineStr">
        <is>
          <t>6294015176605</t>
        </is>
      </c>
      <c r="B3133" t="inlineStr">
        <is>
          <t>Armaf Beauty Armaf Beaute Parfaite Fix Concealer - 03 Beige</t>
        </is>
      </c>
      <c r="C3133" t="inlineStr">
        <is>
          <t>Concealer</t>
        </is>
      </c>
      <c r="D3133" t="inlineStr">
        <is>
          <t>Armaf Beauty</t>
        </is>
      </c>
      <c r="E3133" t="n">
        <v>5.69</v>
      </c>
      <c r="F3133" t="n">
        <v>1</v>
      </c>
      <c r="G3133" t="n">
        <v>10</v>
      </c>
      <c r="H3133" s="5">
        <f>HYPERLINK("https://api.qogita.com/variants/link/6294015176605/", "View Product")</f>
        <v/>
      </c>
    </row>
    <row r="3134">
      <c r="A3134" t="inlineStr">
        <is>
          <t>6294015176612</t>
        </is>
      </c>
      <c r="B3134" t="inlineStr">
        <is>
          <t>Armaf Beauté Parfaite Fix Concealer Medium-Buildable Coverage Lasts Up to 16 Hours 6 Shades for Fair/Medium/Deep Tones Warm Beige</t>
        </is>
      </c>
      <c r="C3134" t="inlineStr">
        <is>
          <t>Concealer</t>
        </is>
      </c>
      <c r="D3134" t="inlineStr">
        <is>
          <t>Armaf</t>
        </is>
      </c>
      <c r="E3134" t="n">
        <v>5.69</v>
      </c>
      <c r="F3134" t="n">
        <v>1</v>
      </c>
      <c r="G3134" t="n">
        <v>11</v>
      </c>
      <c r="H3134" s="5">
        <f>HYPERLINK("https://api.qogita.com/variants/link/6294015176612/", "View Product")</f>
        <v/>
      </c>
    </row>
    <row r="3135">
      <c r="A3135" t="inlineStr">
        <is>
          <t>6294015176629</t>
        </is>
      </c>
      <c r="B3135" t="inlineStr">
        <is>
          <t>Armaf Beauty Armaf Beaute Parfaite Fix Concealer 5.8g 05 Sand</t>
        </is>
      </c>
      <c r="C3135" t="inlineStr">
        <is>
          <t>Concealer</t>
        </is>
      </c>
      <c r="D3135" t="inlineStr">
        <is>
          <t>Armaf Beauty</t>
        </is>
      </c>
      <c r="E3135" t="n">
        <v>5.69</v>
      </c>
      <c r="F3135" t="n">
        <v>1</v>
      </c>
      <c r="G3135" t="n">
        <v>9</v>
      </c>
      <c r="H3135" s="5">
        <f>HYPERLINK("https://api.qogita.com/variants/link/6294015176629/", "View Product")</f>
        <v/>
      </c>
    </row>
    <row r="3136">
      <c r="A3136" t="inlineStr">
        <is>
          <t>6294015176803</t>
        </is>
      </c>
      <c r="B3136" t="inlineStr">
        <is>
          <t>Armaf Beauty True Matte Transferproof Liquid Lipstick 4ml 04 Shades</t>
        </is>
      </c>
      <c r="C3136" t="inlineStr">
        <is>
          <t>Lipstick</t>
        </is>
      </c>
      <c r="D3136" t="inlineStr">
        <is>
          <t>Armaf Beauty</t>
        </is>
      </c>
      <c r="E3136" t="n">
        <v>6.68</v>
      </c>
      <c r="F3136" t="n">
        <v>1</v>
      </c>
      <c r="G3136" t="n">
        <v>10</v>
      </c>
      <c r="H3136" s="5">
        <f>HYPERLINK("https://api.qogita.com/variants/link/6294015176803/", "View Product")</f>
        <v/>
      </c>
    </row>
    <row r="3137">
      <c r="A3137" t="inlineStr">
        <is>
          <t>6294015176827</t>
        </is>
      </c>
      <c r="B3137" t="inlineStr">
        <is>
          <t>Armaf Beauty Transferproof Liquid Lipstick Matte Liquid Lipstick 4 Ml</t>
        </is>
      </c>
      <c r="C3137" t="inlineStr">
        <is>
          <t>Lipstick</t>
        </is>
      </c>
      <c r="D3137" t="inlineStr">
        <is>
          <t>Armaf Beauty</t>
        </is>
      </c>
      <c r="E3137" t="n">
        <v>6.68</v>
      </c>
      <c r="F3137" t="n">
        <v>1</v>
      </c>
      <c r="G3137" t="n">
        <v>11</v>
      </c>
      <c r="H3137" s="5">
        <f>HYPERLINK("https://api.qogita.com/variants/link/6294015176827/", "View Product")</f>
        <v/>
      </c>
    </row>
    <row r="3138">
      <c r="A3138" t="inlineStr">
        <is>
          <t>6294015176858</t>
        </is>
      </c>
      <c r="B3138" t="inlineStr">
        <is>
          <t>Armaf Beauté True Matte Liquid Lipstick Long Lasting Lipstick Merlot 4ml 0.13 fl.oz - High Street</t>
        </is>
      </c>
      <c r="C3138" t="inlineStr">
        <is>
          <t>Lipstick</t>
        </is>
      </c>
      <c r="D3138" t="inlineStr">
        <is>
          <t>Armaf</t>
        </is>
      </c>
      <c r="E3138" t="n">
        <v>6.68</v>
      </c>
      <c r="F3138" t="n">
        <v>1</v>
      </c>
      <c r="G3138" t="n">
        <v>7</v>
      </c>
      <c r="H3138" s="5">
        <f>HYPERLINK("https://api.qogita.com/variants/link/6294015176858/", "View Product")</f>
        <v/>
      </c>
    </row>
    <row r="3139">
      <c r="A3139" t="inlineStr">
        <is>
          <t>6294015176902</t>
        </is>
      </c>
      <c r="B3139" t="inlineStr">
        <is>
          <t>Armaf Beauty Intense Shine Lip Gloss - 3.2 G - Shade 02 Brownie</t>
        </is>
      </c>
      <c r="C3139" t="inlineStr">
        <is>
          <t>Lip Gloss</t>
        </is>
      </c>
      <c r="D3139" t="inlineStr">
        <is>
          <t>Armaf Beauty</t>
        </is>
      </c>
      <c r="E3139" t="n">
        <v>5.47</v>
      </c>
      <c r="F3139" t="n">
        <v>1</v>
      </c>
      <c r="G3139" t="n">
        <v>8</v>
      </c>
      <c r="H3139" s="5">
        <f>HYPERLINK("https://api.qogita.com/variants/link/6294015176902/", "View Product")</f>
        <v/>
      </c>
    </row>
    <row r="3140">
      <c r="A3140" t="inlineStr">
        <is>
          <t>6294015176926</t>
        </is>
      </c>
      <c r="B3140" t="inlineStr">
        <is>
          <t>Armaf Beauty Intense Shine Lip Gloss - 04 Peach</t>
        </is>
      </c>
      <c r="C3140" t="inlineStr">
        <is>
          <t>Lip Gloss</t>
        </is>
      </c>
      <c r="D3140" t="inlineStr">
        <is>
          <t>Armaf Beauty</t>
        </is>
      </c>
      <c r="E3140" t="n">
        <v>5.47</v>
      </c>
      <c r="F3140" t="n">
        <v>1</v>
      </c>
      <c r="G3140" t="n">
        <v>5</v>
      </c>
      <c r="H3140" s="5">
        <f>HYPERLINK("https://api.qogita.com/variants/link/6294015176926/", "View Product")</f>
        <v/>
      </c>
    </row>
    <row r="3141">
      <c r="A3141" t="inlineStr">
        <is>
          <t>6294015176988</t>
        </is>
      </c>
      <c r="B3141" t="inlineStr">
        <is>
          <t>Armaf Beauty Velvet Matte Lipstick 04 Eloise - 2.6g</t>
        </is>
      </c>
      <c r="C3141" t="inlineStr">
        <is>
          <t>Lipstick</t>
        </is>
      </c>
      <c r="D3141" t="inlineStr">
        <is>
          <t>Armaf Beauty</t>
        </is>
      </c>
      <c r="E3141" t="n">
        <v>5.92</v>
      </c>
      <c r="F3141" t="n">
        <v>1</v>
      </c>
      <c r="G3141" t="n">
        <v>7</v>
      </c>
      <c r="H3141" s="5">
        <f>HYPERLINK("https://api.qogita.com/variants/link/6294015176988/", "View Product")</f>
        <v/>
      </c>
    </row>
    <row r="3142">
      <c r="A3142" t="inlineStr">
        <is>
          <t>6294015177060</t>
        </is>
      </c>
      <c r="B3142" t="inlineStr">
        <is>
          <t>Armaf Beauty Velvet Matte Lipstick - 12 Celine</t>
        </is>
      </c>
      <c r="C3142" t="inlineStr">
        <is>
          <t>Lipstick</t>
        </is>
      </c>
      <c r="D3142" t="inlineStr">
        <is>
          <t>Armaf Beauty</t>
        </is>
      </c>
      <c r="E3142" t="n">
        <v>5.92</v>
      </c>
      <c r="F3142" t="n">
        <v>1</v>
      </c>
      <c r="G3142" t="n">
        <v>9</v>
      </c>
      <c r="H3142" s="5">
        <f>HYPERLINK("https://api.qogita.com/variants/link/6294015177060/", "View Product")</f>
        <v/>
      </c>
    </row>
    <row r="3143">
      <c r="A3143" t="inlineStr">
        <is>
          <t>6294015177268</t>
        </is>
      </c>
      <c r="B3143" t="inlineStr">
        <is>
          <t>Armaf Beauty Armaf Beaute Enchanting Brow Eyebrow Duo 3g 02</t>
        </is>
      </c>
      <c r="C3143" t="inlineStr">
        <is>
          <t>Eyebrow Sets &amp; Pallets</t>
        </is>
      </c>
      <c r="D3143" t="inlineStr">
        <is>
          <t>Armaf Beauty</t>
        </is>
      </c>
      <c r="E3143" t="n">
        <v>6.47</v>
      </c>
      <c r="F3143" t="n">
        <v>1</v>
      </c>
      <c r="G3143" t="n">
        <v>9</v>
      </c>
      <c r="H3143" s="5">
        <f>HYPERLINK("https://api.qogita.com/variants/link/6294015177268/", "View Product")</f>
        <v/>
      </c>
    </row>
    <row r="3144">
      <c r="A3144" t="inlineStr">
        <is>
          <t>6294015177374</t>
        </is>
      </c>
      <c r="B3144" t="inlineStr">
        <is>
          <t>Armaf Beauty Armaf Beaute Glide It Eyeliner - 01 Kohl</t>
        </is>
      </c>
      <c r="C3144" t="inlineStr">
        <is>
          <t>Eyeliner</t>
        </is>
      </c>
      <c r="D3144" t="inlineStr">
        <is>
          <t>Armaf Beauty</t>
        </is>
      </c>
      <c r="E3144" t="n">
        <v>5.47</v>
      </c>
      <c r="F3144" t="n">
        <v>1</v>
      </c>
      <c r="G3144" t="n">
        <v>7</v>
      </c>
      <c r="H3144" s="5">
        <f>HYPERLINK("https://api.qogita.com/variants/link/6294015177374/", "View Product")</f>
        <v/>
      </c>
    </row>
    <row r="3145">
      <c r="A3145" t="inlineStr">
        <is>
          <t>6294015177534</t>
        </is>
      </c>
      <c r="B3145" t="inlineStr">
        <is>
          <t>Armaf Beauté PARFAITE FIX Skin Tint Tinted Moisturizer with SPF 30 Semi Matte Finish Sand 30ml 1 fl.oz</t>
        </is>
      </c>
      <c r="C3145" t="inlineStr">
        <is>
          <t>Tinted Day Cream</t>
        </is>
      </c>
      <c r="D3145" t="inlineStr">
        <is>
          <t>Armaf</t>
        </is>
      </c>
      <c r="E3145" t="n">
        <v>6.99</v>
      </c>
      <c r="F3145" t="n">
        <v>1</v>
      </c>
      <c r="G3145" t="n">
        <v>11</v>
      </c>
      <c r="H3145" s="5">
        <f>HYPERLINK("https://api.qogita.com/variants/link/6294015177534/", "View Product")</f>
        <v/>
      </c>
    </row>
    <row r="3146">
      <c r="A3146" t="inlineStr">
        <is>
          <t>6294015178210</t>
        </is>
      </c>
      <c r="B3146" t="inlineStr">
        <is>
          <t>Hamidi Maya Eau De Parfum for Women and Men - Longlasting Perfume</t>
        </is>
      </c>
      <c r="C3146" t="inlineStr">
        <is>
          <t>Eau De Parfum</t>
        </is>
      </c>
      <c r="D3146" t="inlineStr">
        <is>
          <t>Hamidi</t>
        </is>
      </c>
      <c r="E3146" t="n">
        <v>9.82</v>
      </c>
      <c r="F3146" t="n">
        <v>1</v>
      </c>
      <c r="G3146" t="n">
        <v>43</v>
      </c>
      <c r="H3146" s="5">
        <f>HYPERLINK("https://api.qogita.com/variants/link/6294015178210/", "View Product")</f>
        <v/>
      </c>
    </row>
    <row r="3147">
      <c r="A3147" t="inlineStr">
        <is>
          <t>6294015178227</t>
        </is>
      </c>
      <c r="B3147" t="inlineStr">
        <is>
          <t>Hamidi Admire Eau De Parfum for Women and Men - Longlasting Perfume</t>
        </is>
      </c>
      <c r="C3147" t="inlineStr">
        <is>
          <t>Eau De Parfum</t>
        </is>
      </c>
      <c r="D3147" t="inlineStr">
        <is>
          <t>Hamidi</t>
        </is>
      </c>
      <c r="E3147" t="n">
        <v>9.82</v>
      </c>
      <c r="F3147" t="n">
        <v>1</v>
      </c>
      <c r="G3147" t="n">
        <v>42</v>
      </c>
      <c r="H3147" s="5">
        <f>HYPERLINK("https://api.qogita.com/variants/link/6294015178227/", "View Product")</f>
        <v/>
      </c>
    </row>
    <row r="3148">
      <c r="A3148" t="inlineStr">
        <is>
          <t>6294015178319</t>
        </is>
      </c>
      <c r="B3148" t="inlineStr">
        <is>
          <t>Hamidi Astral Eau De Parfum 100ml</t>
        </is>
      </c>
      <c r="C3148" t="inlineStr">
        <is>
          <t>Eau De Parfum</t>
        </is>
      </c>
      <c r="D3148" t="inlineStr">
        <is>
          <t>Hamidi</t>
        </is>
      </c>
      <c r="E3148" t="n">
        <v>9.82</v>
      </c>
      <c r="F3148" t="n">
        <v>1</v>
      </c>
      <c r="G3148" t="n">
        <v>40</v>
      </c>
      <c r="H3148" s="5">
        <f>HYPERLINK("https://api.qogita.com/variants/link/6294015178319/", "View Product")</f>
        <v/>
      </c>
    </row>
    <row r="3149">
      <c r="A3149" t="inlineStr">
        <is>
          <t>6294015178364</t>
        </is>
      </c>
      <c r="B3149" t="inlineStr">
        <is>
          <t>Hamidi Exotic Amber 85ml Eau De Parfum</t>
        </is>
      </c>
      <c r="C3149" t="inlineStr">
        <is>
          <t>Eau De Parfum</t>
        </is>
      </c>
      <c r="D3149" t="inlineStr">
        <is>
          <t>Hamidi</t>
        </is>
      </c>
      <c r="E3149" t="n">
        <v>9.82</v>
      </c>
      <c r="F3149" t="n">
        <v>1</v>
      </c>
      <c r="G3149" t="n">
        <v>42</v>
      </c>
      <c r="H3149" s="5">
        <f>HYPERLINK("https://api.qogita.com/variants/link/6294015178364/", "View Product")</f>
        <v/>
      </c>
    </row>
    <row r="3150">
      <c r="A3150" t="inlineStr">
        <is>
          <t>6294015178746</t>
        </is>
      </c>
      <c r="B3150" t="inlineStr">
        <is>
          <t>Hamidi Legacy Collection EDP Spray 100ml 3.4oz - A Harmonious Blend</t>
        </is>
      </c>
      <c r="C3150" t="inlineStr">
        <is>
          <t>Eau De Parfum</t>
        </is>
      </c>
      <c r="D3150" t="inlineStr">
        <is>
          <t>Hamidi</t>
        </is>
      </c>
      <c r="E3150" t="n">
        <v>23.41</v>
      </c>
      <c r="F3150" t="n">
        <v>1</v>
      </c>
      <c r="G3150" t="n">
        <v>105</v>
      </c>
      <c r="H3150" s="5">
        <f>HYPERLINK("https://api.qogita.com/variants/link/6294015178746/", "View Product")</f>
        <v/>
      </c>
    </row>
    <row r="3151">
      <c r="A3151" t="inlineStr">
        <is>
          <t>6294015178906</t>
        </is>
      </c>
      <c r="B3151" t="inlineStr">
        <is>
          <t>Hamidi The Dome Pantheon Eau De Parfum Spray 100ml</t>
        </is>
      </c>
      <c r="C3151" t="inlineStr">
        <is>
          <t>Eau De Parfum</t>
        </is>
      </c>
      <c r="D3151" t="inlineStr">
        <is>
          <t>Hamidi</t>
        </is>
      </c>
      <c r="E3151" t="n">
        <v>12.64</v>
      </c>
      <c r="F3151" t="n">
        <v>1</v>
      </c>
      <c r="G3151" t="n">
        <v>3</v>
      </c>
      <c r="H3151" s="5">
        <f>HYPERLINK("https://api.qogita.com/variants/link/6294015178906/", "View Product")</f>
        <v/>
      </c>
    </row>
    <row r="3152">
      <c r="A3152" t="inlineStr">
        <is>
          <t>6294015178920</t>
        </is>
      </c>
      <c r="B3152" t="inlineStr">
        <is>
          <t>Hamidi Millennium Eau De Parfum Spray 100ml</t>
        </is>
      </c>
      <c r="C3152" t="inlineStr">
        <is>
          <t>Eau De Parfum</t>
        </is>
      </c>
      <c r="D3152" t="inlineStr">
        <is>
          <t>Hamidi</t>
        </is>
      </c>
      <c r="E3152" t="n">
        <v>16.48</v>
      </c>
      <c r="F3152" t="n">
        <v>1</v>
      </c>
      <c r="G3152" t="n">
        <v>5</v>
      </c>
      <c r="H3152" s="5">
        <f>HYPERLINK("https://api.qogita.com/variants/link/6294015178920/", "View Product")</f>
        <v/>
      </c>
    </row>
    <row r="3153">
      <c r="A3153" t="inlineStr">
        <is>
          <t>6294015178937</t>
        </is>
      </c>
      <c r="B3153" t="inlineStr">
        <is>
          <t>Hamidi The Dome Taj Eau De Parfum Spray 100ml</t>
        </is>
      </c>
      <c r="C3153" t="inlineStr">
        <is>
          <t>Eau De Parfum</t>
        </is>
      </c>
      <c r="D3153" t="inlineStr">
        <is>
          <t>Hamidi</t>
        </is>
      </c>
      <c r="E3153" t="n">
        <v>14.94</v>
      </c>
      <c r="F3153" t="n">
        <v>1</v>
      </c>
      <c r="G3153" t="n">
        <v>4</v>
      </c>
      <c r="H3153" s="5">
        <f>HYPERLINK("https://api.qogita.com/variants/link/6294015178937/", "View Product")</f>
        <v/>
      </c>
    </row>
    <row r="3154">
      <c r="A3154" t="inlineStr">
        <is>
          <t>6294015178944</t>
        </is>
      </c>
      <c r="B3154" t="inlineStr">
        <is>
          <t>Hamidi The Dome Astrodome Eau De Parfum Spray 100ml</t>
        </is>
      </c>
      <c r="C3154" t="inlineStr">
        <is>
          <t>Eau De Parfum</t>
        </is>
      </c>
      <c r="D3154" t="inlineStr">
        <is>
          <t>Hamidi</t>
        </is>
      </c>
      <c r="E3154" t="n">
        <v>16.17</v>
      </c>
      <c r="F3154" t="n">
        <v>1</v>
      </c>
      <c r="G3154" t="n">
        <v>50</v>
      </c>
      <c r="H3154" s="5">
        <f>HYPERLINK("https://api.qogita.com/variants/link/6294015178944/", "View Product")</f>
        <v/>
      </c>
    </row>
    <row r="3155">
      <c r="A3155" t="inlineStr">
        <is>
          <t>6294015179040</t>
        </is>
      </c>
      <c r="B3155" t="inlineStr">
        <is>
          <t>Hamidi Insignia Azure Parfum Spray 105ml</t>
        </is>
      </c>
      <c r="C3155" t="inlineStr">
        <is>
          <t>Eau De Parfum</t>
        </is>
      </c>
      <c r="D3155" t="inlineStr">
        <is>
          <t>Hamidi</t>
        </is>
      </c>
      <c r="E3155" t="n">
        <v>18.65</v>
      </c>
      <c r="F3155" t="n">
        <v>1</v>
      </c>
      <c r="G3155" t="n">
        <v>33</v>
      </c>
      <c r="H3155" s="5">
        <f>HYPERLINK("https://api.qogita.com/variants/link/6294015179040/", "View Product")</f>
        <v/>
      </c>
    </row>
    <row r="3156">
      <c r="A3156" t="inlineStr">
        <is>
          <t>6294015179828</t>
        </is>
      </c>
      <c r="B3156" t="inlineStr">
        <is>
          <t>Armaf Beau Star Pink Eau De Parfum 100ml</t>
        </is>
      </c>
      <c r="C3156" t="inlineStr">
        <is>
          <t>Eau De Parfum</t>
        </is>
      </c>
      <c r="D3156" t="inlineStr">
        <is>
          <t>Armaf</t>
        </is>
      </c>
      <c r="E3156" t="n">
        <v>18.49</v>
      </c>
      <c r="F3156" t="n">
        <v>1</v>
      </c>
      <c r="G3156" t="n">
        <v>22</v>
      </c>
      <c r="H3156" s="5">
        <f>HYPERLINK("https://api.qogita.com/variants/link/6294015179828/", "View Product")</f>
        <v/>
      </c>
    </row>
    <row r="3157">
      <c r="A3157" t="inlineStr">
        <is>
          <t>6294015180510</t>
        </is>
      </c>
      <c r="B3157" t="inlineStr">
        <is>
          <t>Hamidi Lost Paradise Exquisite Eau De Parfum Spray 100ml</t>
        </is>
      </c>
      <c r="C3157" t="inlineStr">
        <is>
          <t>Eau De Parfum</t>
        </is>
      </c>
      <c r="D3157" t="inlineStr">
        <is>
          <t>Hamidi</t>
        </is>
      </c>
      <c r="E3157" t="n">
        <v>14.5</v>
      </c>
      <c r="F3157" t="n">
        <v>1</v>
      </c>
      <c r="G3157" t="n">
        <v>5</v>
      </c>
      <c r="H3157" s="5">
        <f>HYPERLINK("https://api.qogita.com/variants/link/6294015180510/", "View Product")</f>
        <v/>
      </c>
    </row>
    <row r="3158">
      <c r="A3158" t="inlineStr">
        <is>
          <t>6294015183382</t>
        </is>
      </c>
      <c r="B3158" t="inlineStr">
        <is>
          <t>ARMAF Fade DENIM EDIT Eau de Parfum 80ml</t>
        </is>
      </c>
      <c r="C3158" t="inlineStr">
        <is>
          <t>Eau De Parfum</t>
        </is>
      </c>
      <c r="D3158" t="inlineStr">
        <is>
          <t>Armaf</t>
        </is>
      </c>
      <c r="E3158" t="n">
        <v>16.64</v>
      </c>
      <c r="F3158" t="n">
        <v>1</v>
      </c>
      <c r="G3158" t="n">
        <v>30</v>
      </c>
      <c r="H3158" s="5">
        <f>HYPERLINK("https://api.qogita.com/variants/link/6294015183382/", "View Product")</f>
        <v/>
      </c>
    </row>
    <row r="3159">
      <c r="A3159" t="inlineStr">
        <is>
          <t>6294015184167</t>
        </is>
      </c>
      <c r="B3159" t="inlineStr">
        <is>
          <t>Pure Ombre by Risala for Women 3.4 Oz EDP Spray</t>
        </is>
      </c>
      <c r="C3159" t="inlineStr">
        <is>
          <t>Eau De Parfum</t>
        </is>
      </c>
      <c r="D3159" t="inlineStr">
        <is>
          <t>Risala</t>
        </is>
      </c>
      <c r="E3159" t="n">
        <v>14.61</v>
      </c>
      <c r="F3159" t="n">
        <v>1</v>
      </c>
      <c r="G3159" t="n">
        <v>28</v>
      </c>
      <c r="H3159" s="5">
        <f>HYPERLINK("https://api.qogita.com/variants/link/6294015184167/", "View Product")</f>
        <v/>
      </c>
    </row>
    <row r="3160">
      <c r="A3160" t="inlineStr">
        <is>
          <t>6294015184174</t>
        </is>
      </c>
      <c r="B3160" t="inlineStr">
        <is>
          <t>Kashmir By Risala Eau de Parfum Spray for Women 3.4 Oz</t>
        </is>
      </c>
      <c r="C3160" t="inlineStr">
        <is>
          <t>Eau De Parfum</t>
        </is>
      </c>
      <c r="D3160" t="inlineStr">
        <is>
          <t>Risala</t>
        </is>
      </c>
      <c r="E3160" t="n">
        <v>14.61</v>
      </c>
      <c r="F3160" t="n">
        <v>1</v>
      </c>
      <c r="G3160" t="n">
        <v>36</v>
      </c>
      <c r="H3160" s="5">
        <f>HYPERLINK("https://api.qogita.com/variants/link/6294015184174/", "View Product")</f>
        <v/>
      </c>
    </row>
    <row r="3161">
      <c r="A3161" t="inlineStr">
        <is>
          <t>6294015185034</t>
        </is>
      </c>
      <c r="B3161" t="inlineStr">
        <is>
          <t>Sensual Oud by Risala Unisex 3.4 Oz EDP Spray</t>
        </is>
      </c>
      <c r="C3161" t="inlineStr">
        <is>
          <t>Eau De Parfum</t>
        </is>
      </c>
      <c r="D3161" t="inlineStr">
        <is>
          <t>Risala</t>
        </is>
      </c>
      <c r="E3161" t="n">
        <v>13.94</v>
      </c>
      <c r="F3161" t="n">
        <v>1</v>
      </c>
      <c r="G3161" t="n">
        <v>34</v>
      </c>
      <c r="H3161" s="5">
        <f>HYPERLINK("https://api.qogita.com/variants/link/6294015185034/", "View Product")</f>
        <v/>
      </c>
    </row>
    <row r="3162">
      <c r="A3162" t="inlineStr">
        <is>
          <t>6294015185096</t>
        </is>
      </c>
      <c r="B3162" t="inlineStr">
        <is>
          <t>Oud Aswad by Risala Unisex 3.4 Oz EDP Spray</t>
        </is>
      </c>
      <c r="C3162" t="inlineStr">
        <is>
          <t>Eau De Parfum</t>
        </is>
      </c>
      <c r="D3162" t="inlineStr">
        <is>
          <t>Risala</t>
        </is>
      </c>
      <c r="E3162" t="n">
        <v>13.28</v>
      </c>
      <c r="F3162" t="n">
        <v>1</v>
      </c>
      <c r="G3162" t="n">
        <v>28</v>
      </c>
      <c r="H3162" s="5">
        <f>HYPERLINK("https://api.qogita.com/variants/link/6294015185096/", "View Product")</f>
        <v/>
      </c>
    </row>
    <row r="3163">
      <c r="A3163" t="inlineStr">
        <is>
          <t>6294015185119</t>
        </is>
      </c>
      <c r="B3163" t="inlineStr">
        <is>
          <t>Angels Of Heaven By Risala Unisex 3.4 Oz EDP Spray</t>
        </is>
      </c>
      <c r="C3163" t="inlineStr">
        <is>
          <t>Eau De Parfum</t>
        </is>
      </c>
      <c r="D3163" t="inlineStr">
        <is>
          <t>Risala</t>
        </is>
      </c>
      <c r="E3163" t="n">
        <v>13.77</v>
      </c>
      <c r="F3163" t="n">
        <v>1</v>
      </c>
      <c r="G3163" t="n">
        <v>116</v>
      </c>
      <c r="H3163" s="5">
        <f>HYPERLINK("https://api.qogita.com/variants/link/6294015185119/", "View Product")</f>
        <v/>
      </c>
    </row>
    <row r="3164">
      <c r="A3164" t="inlineStr">
        <is>
          <t>6294015189551</t>
        </is>
      </c>
      <c r="B3164" t="inlineStr">
        <is>
          <t>Armaf Odyssey Homme Eau De Parfum 60ml By Armaf</t>
        </is>
      </c>
      <c r="C3164" t="inlineStr">
        <is>
          <t>Eau De Parfum</t>
        </is>
      </c>
      <c r="D3164" t="inlineStr">
        <is>
          <t>Armaf</t>
        </is>
      </c>
      <c r="E3164" t="n">
        <v>13.54</v>
      </c>
      <c r="F3164" t="n">
        <v>1</v>
      </c>
      <c r="G3164" t="n">
        <v>32</v>
      </c>
      <c r="H3164" s="5">
        <f>HYPERLINK("https://api.qogita.com/variants/link/6294015189551/", "View Product")</f>
        <v/>
      </c>
    </row>
    <row r="3165">
      <c r="A3165" t="inlineStr">
        <is>
          <t>6294015189582</t>
        </is>
      </c>
      <c r="B3165" t="inlineStr">
        <is>
          <t>Armaf Odyssey Mega Eau De Parfum 60ml By Armaf</t>
        </is>
      </c>
      <c r="C3165" t="inlineStr">
        <is>
          <t>Eau De Parfum</t>
        </is>
      </c>
      <c r="D3165" t="inlineStr">
        <is>
          <t>Armaf</t>
        </is>
      </c>
      <c r="E3165" t="n">
        <v>13.84</v>
      </c>
      <c r="F3165" t="n">
        <v>1</v>
      </c>
      <c r="G3165" t="n">
        <v>69</v>
      </c>
      <c r="H3165" s="5">
        <f>HYPERLINK("https://api.qogita.com/variants/link/6294015189582/", "View Product")</f>
        <v/>
      </c>
    </row>
    <row r="3166">
      <c r="A3166" t="inlineStr">
        <is>
          <t>6294015189599</t>
        </is>
      </c>
      <c r="B3166" t="inlineStr">
        <is>
          <t>Armaf Odyssey Tyrant Eau De Parfum 60ml By Armaf</t>
        </is>
      </c>
      <c r="C3166" t="inlineStr">
        <is>
          <t>Eau De Parfum</t>
        </is>
      </c>
      <c r="D3166" t="inlineStr">
        <is>
          <t>Armaf</t>
        </is>
      </c>
      <c r="E3166" t="n">
        <v>13.58</v>
      </c>
      <c r="F3166" t="n">
        <v>1</v>
      </c>
      <c r="G3166" t="n">
        <v>103</v>
      </c>
      <c r="H3166" s="5">
        <f>HYPERLINK("https://api.qogita.com/variants/link/6294015189599/", "View Product")</f>
        <v/>
      </c>
    </row>
    <row r="3167">
      <c r="A3167" t="inlineStr">
        <is>
          <t>6294015189612</t>
        </is>
      </c>
      <c r="B3167" t="inlineStr">
        <is>
          <t>Armaf Odyssey Aqua Eau De Parfum 60ml</t>
        </is>
      </c>
      <c r="C3167" t="inlineStr">
        <is>
          <t>Eau De Parfum</t>
        </is>
      </c>
      <c r="D3167" t="inlineStr">
        <is>
          <t>Armaf</t>
        </is>
      </c>
      <c r="E3167" t="n">
        <v>15.01</v>
      </c>
      <c r="F3167" t="n">
        <v>1</v>
      </c>
      <c r="G3167" t="n">
        <v>75</v>
      </c>
      <c r="H3167" s="5">
        <f>HYPERLINK("https://api.qogita.com/variants/link/6294015189612/", "View Product")</f>
        <v/>
      </c>
    </row>
    <row r="3168">
      <c r="A3168" t="inlineStr">
        <is>
          <t>6294015192315</t>
        </is>
      </c>
      <c r="B3168" t="inlineStr">
        <is>
          <t>Just Jack Frontier Eau De Parfum 120 Milliliters</t>
        </is>
      </c>
      <c r="C3168" t="inlineStr">
        <is>
          <t>Eau De Parfum</t>
        </is>
      </c>
      <c r="D3168" t="inlineStr">
        <is>
          <t>Just Jack</t>
        </is>
      </c>
      <c r="E3168" t="n">
        <v>18.6</v>
      </c>
      <c r="F3168" t="n">
        <v>1</v>
      </c>
      <c r="G3168" t="n">
        <v>38</v>
      </c>
      <c r="H3168" s="5">
        <f>HYPERLINK("https://api.qogita.com/variants/link/6294015192315/", "View Product")</f>
        <v/>
      </c>
    </row>
    <row r="3169">
      <c r="A3169" t="inlineStr">
        <is>
          <t>6294015192322</t>
        </is>
      </c>
      <c r="B3169" t="inlineStr">
        <is>
          <t>Just Jack Rustler Eau De Parfum 120 Milliliters</t>
        </is>
      </c>
      <c r="C3169" t="inlineStr">
        <is>
          <t>Eau De Parfum</t>
        </is>
      </c>
      <c r="D3169" t="inlineStr">
        <is>
          <t>Just Jack</t>
        </is>
      </c>
      <c r="E3169" t="n">
        <v>18.6</v>
      </c>
      <c r="F3169" t="n">
        <v>1</v>
      </c>
      <c r="G3169" t="n">
        <v>41</v>
      </c>
      <c r="H3169" s="5">
        <f>HYPERLINK("https://api.qogita.com/variants/link/6294015192322/", "View Product")</f>
        <v/>
      </c>
    </row>
    <row r="3170">
      <c r="A3170" t="inlineStr">
        <is>
          <t>6294015193077</t>
        </is>
      </c>
      <c r="B3170" t="inlineStr">
        <is>
          <t>Risala Ehsas Love Eau De Parfum 100 Ml</t>
        </is>
      </c>
      <c r="C3170" t="inlineStr">
        <is>
          <t>Eau De Parfum</t>
        </is>
      </c>
      <c r="D3170" t="inlineStr">
        <is>
          <t>Risala</t>
        </is>
      </c>
      <c r="E3170" t="n">
        <v>14.61</v>
      </c>
      <c r="F3170" t="n">
        <v>1</v>
      </c>
      <c r="G3170" t="n">
        <v>23</v>
      </c>
      <c r="H3170" s="5">
        <f>HYPERLINK("https://api.qogita.com/variants/link/6294015193077/", "View Product")</f>
        <v/>
      </c>
    </row>
    <row r="3171">
      <c r="A3171" t="inlineStr">
        <is>
          <t>6294015196429</t>
        </is>
      </c>
      <c r="B3171" t="inlineStr">
        <is>
          <t>Armaf Connoisseur For Her Eau De Parfum 100ml</t>
        </is>
      </c>
      <c r="C3171" t="inlineStr">
        <is>
          <t>Eau De Parfum</t>
        </is>
      </c>
      <c r="D3171" t="inlineStr">
        <is>
          <t>Armaf</t>
        </is>
      </c>
      <c r="E3171" t="n">
        <v>21.02</v>
      </c>
      <c r="F3171" t="n">
        <v>1</v>
      </c>
      <c r="G3171" t="n">
        <v>23</v>
      </c>
      <c r="H3171" s="5">
        <f>HYPERLINK("https://api.qogita.com/variants/link/6294015196429/", "View Product")</f>
        <v/>
      </c>
    </row>
    <row r="3172">
      <c r="A3172" t="inlineStr">
        <is>
          <t>6294015196436</t>
        </is>
      </c>
      <c r="B3172" t="inlineStr">
        <is>
          <t>Armaf Dubai Nights Midnight Eau De Parfum 100ml</t>
        </is>
      </c>
      <c r="C3172" t="inlineStr">
        <is>
          <t>Eau De Parfum</t>
        </is>
      </c>
      <c r="D3172" t="inlineStr">
        <is>
          <t>Armaf</t>
        </is>
      </c>
      <c r="E3172" t="n">
        <v>24.32</v>
      </c>
      <c r="F3172" t="n">
        <v>1</v>
      </c>
      <c r="G3172" t="n">
        <v>35</v>
      </c>
      <c r="H3172" s="5">
        <f>HYPERLINK("https://api.qogita.com/variants/link/6294015196436/", "View Product")</f>
        <v/>
      </c>
    </row>
    <row r="3173">
      <c r="A3173" t="inlineStr">
        <is>
          <t>6294015196443</t>
        </is>
      </c>
      <c r="B3173" t="inlineStr">
        <is>
          <t>Armaf Dubai Nights Umbra Eau De Parfum 100ml</t>
        </is>
      </c>
      <c r="C3173" t="inlineStr">
        <is>
          <t>Eau De Parfum</t>
        </is>
      </c>
      <c r="D3173" t="inlineStr">
        <is>
          <t>Armaf</t>
        </is>
      </c>
      <c r="E3173" t="n">
        <v>21.52</v>
      </c>
      <c r="F3173" t="n">
        <v>1</v>
      </c>
      <c r="G3173" t="n">
        <v>66</v>
      </c>
      <c r="H3173" s="5">
        <f>HYPERLINK("https://api.qogita.com/variants/link/6294015196443/", "View Product")</f>
        <v/>
      </c>
    </row>
    <row r="3174">
      <c r="A3174" t="inlineStr">
        <is>
          <t>6294015197006</t>
        </is>
      </c>
      <c r="B3174" t="inlineStr">
        <is>
          <t>Risala Epic Onyx Eau De Parfum 100 Ml</t>
        </is>
      </c>
      <c r="C3174" t="inlineStr">
        <is>
          <t>Eau De Parfum</t>
        </is>
      </c>
      <c r="D3174" t="inlineStr">
        <is>
          <t>Risala</t>
        </is>
      </c>
      <c r="E3174" t="n">
        <v>18.58</v>
      </c>
      <c r="F3174" t="n">
        <v>1</v>
      </c>
      <c r="G3174" t="n">
        <v>41</v>
      </c>
      <c r="H3174" s="5">
        <f>HYPERLINK("https://api.qogita.com/variants/link/6294015197006/", "View Product")</f>
        <v/>
      </c>
    </row>
    <row r="3175">
      <c r="A3175" t="inlineStr">
        <is>
          <t>6294015197013</t>
        </is>
      </c>
      <c r="B3175" t="inlineStr">
        <is>
          <t>Risala Epic Mirage Eau De Parfum 100 Ml</t>
        </is>
      </c>
      <c r="C3175" t="inlineStr">
        <is>
          <t>Eau De Parfum</t>
        </is>
      </c>
      <c r="D3175" t="inlineStr">
        <is>
          <t>Risala</t>
        </is>
      </c>
      <c r="E3175" t="n">
        <v>18.58</v>
      </c>
      <c r="F3175" t="n">
        <v>1</v>
      </c>
      <c r="G3175" t="n">
        <v>23</v>
      </c>
      <c r="H3175" s="5">
        <f>HYPERLINK("https://api.qogita.com/variants/link/6294015197013/", "View Product")</f>
        <v/>
      </c>
    </row>
    <row r="3176">
      <c r="A3176" t="inlineStr">
        <is>
          <t>6294015199147</t>
        </is>
      </c>
      <c r="B3176" t="inlineStr">
        <is>
          <t>Hamidi Fondue Exotic 100ml Eau De Parfum</t>
        </is>
      </c>
      <c r="C3176" t="inlineStr">
        <is>
          <t>Eau De Parfum</t>
        </is>
      </c>
      <c r="D3176" t="inlineStr">
        <is>
          <t>Hamidi</t>
        </is>
      </c>
      <c r="E3176" t="n">
        <v>19.38</v>
      </c>
      <c r="F3176" t="n">
        <v>1</v>
      </c>
      <c r="G3176" t="n">
        <v>15</v>
      </c>
      <c r="H3176" s="5">
        <f>HYPERLINK("https://api.qogita.com/variants/link/6294015199147/", "View Product")</f>
        <v/>
      </c>
    </row>
    <row r="3177">
      <c r="A3177" t="inlineStr">
        <is>
          <t>6294018400646</t>
        </is>
      </c>
      <c r="B3177" t="inlineStr">
        <is>
          <t>Kayali Yum Pistachio Gelato 33 EDP Intense 1.7 Oz 50ml Eau De Parfum Spray</t>
        </is>
      </c>
      <c r="C3177" t="inlineStr">
        <is>
          <t>Eau De Parfum</t>
        </is>
      </c>
      <c r="D3177" t="inlineStr">
        <is>
          <t>Kayali</t>
        </is>
      </c>
      <c r="E3177" t="n">
        <v>123.33</v>
      </c>
      <c r="F3177" t="n">
        <v>1</v>
      </c>
      <c r="G3177" t="n">
        <v>7</v>
      </c>
      <c r="H3177" s="5">
        <f>HYPERLINK("https://api.qogita.com/variants/link/6294018400646/", "View Product")</f>
        <v/>
      </c>
    </row>
    <row r="3178">
      <c r="A3178" t="inlineStr">
        <is>
          <t>6294018401117</t>
        </is>
      </c>
      <c r="B3178" t="inlineStr">
        <is>
          <t>Huda Beauty Glowish Sheer Concealer - 105 Ml</t>
        </is>
      </c>
      <c r="C3178" t="inlineStr">
        <is>
          <t>Concealer</t>
        </is>
      </c>
      <c r="D3178" t="inlineStr">
        <is>
          <t>Huda Beauty</t>
        </is>
      </c>
      <c r="E3178" t="n">
        <v>23.99</v>
      </c>
      <c r="F3178" t="n">
        <v>1</v>
      </c>
      <c r="G3178" t="n">
        <v>16</v>
      </c>
      <c r="H3178" s="5">
        <f>HYPERLINK("https://api.qogita.com/variants/link/6294018401117/", "View Product")</f>
        <v/>
      </c>
    </row>
    <row r="3179">
      <c r="A3179" t="inlineStr">
        <is>
          <t>6294018401124</t>
        </is>
      </c>
      <c r="B3179" t="inlineStr">
        <is>
          <t>Huda Beauty Glowish Sheer Concealer - 105 Ml</t>
        </is>
      </c>
      <c r="C3179" t="inlineStr">
        <is>
          <t>Concealer</t>
        </is>
      </c>
      <c r="D3179" t="inlineStr">
        <is>
          <t>Huda Beauty</t>
        </is>
      </c>
      <c r="E3179" t="n">
        <v>23.99</v>
      </c>
      <c r="F3179" t="n">
        <v>1</v>
      </c>
      <c r="G3179" t="n">
        <v>15</v>
      </c>
      <c r="H3179" s="5">
        <f>HYPERLINK("https://api.qogita.com/variants/link/6294018401124/", "View Product")</f>
        <v/>
      </c>
    </row>
    <row r="3180">
      <c r="A3180" t="inlineStr">
        <is>
          <t>6294018401131</t>
        </is>
      </c>
      <c r="B3180" t="inlineStr">
        <is>
          <t>Huda Beauty Glowish Sheer Concealer - 105 Ml</t>
        </is>
      </c>
      <c r="C3180" t="inlineStr">
        <is>
          <t>Concealer</t>
        </is>
      </c>
      <c r="D3180" t="inlineStr">
        <is>
          <t>Huda Beauty</t>
        </is>
      </c>
      <c r="E3180" t="n">
        <v>23.99</v>
      </c>
      <c r="F3180" t="n">
        <v>1</v>
      </c>
      <c r="G3180" t="n">
        <v>15</v>
      </c>
      <c r="H3180" s="5">
        <f>HYPERLINK("https://api.qogita.com/variants/link/6294018401131/", "View Product")</f>
        <v/>
      </c>
    </row>
    <row r="3181">
      <c r="A3181" t="inlineStr">
        <is>
          <t>6294018401179</t>
        </is>
      </c>
      <c r="B3181" t="inlineStr">
        <is>
          <t>Huda Beauty Glowish Sheer Concealer - 105 Ml</t>
        </is>
      </c>
      <c r="C3181" t="inlineStr">
        <is>
          <t>Concealer</t>
        </is>
      </c>
      <c r="D3181" t="inlineStr">
        <is>
          <t>Huda Beauty</t>
        </is>
      </c>
      <c r="E3181" t="n">
        <v>23.99</v>
      </c>
      <c r="F3181" t="n">
        <v>1</v>
      </c>
      <c r="G3181" t="n">
        <v>7</v>
      </c>
      <c r="H3181" s="5">
        <f>HYPERLINK("https://api.qogita.com/variants/link/6294018401179/", "View Product")</f>
        <v/>
      </c>
    </row>
    <row r="3182">
      <c r="A3182" t="inlineStr">
        <is>
          <t>6294018402145</t>
        </is>
      </c>
      <c r="B3182" t="inlineStr">
        <is>
          <t>Huda Beauty Glowish Micro Mini Eyeshadow Palette - 4.05 Grams</t>
        </is>
      </c>
      <c r="C3182" t="inlineStr">
        <is>
          <t>Eye Sets &amp; Pallets</t>
        </is>
      </c>
      <c r="D3182" t="inlineStr">
        <is>
          <t>Huda Beauty</t>
        </is>
      </c>
      <c r="E3182" t="n">
        <v>15.98</v>
      </c>
      <c r="F3182" t="n">
        <v>1</v>
      </c>
      <c r="G3182" t="n">
        <v>5</v>
      </c>
      <c r="H3182" s="5">
        <f>HYPERLINK("https://api.qogita.com/variants/link/6294018402145/", "View Product")</f>
        <v/>
      </c>
    </row>
    <row r="3183">
      <c r="A3183" t="inlineStr">
        <is>
          <t>6294018402657</t>
        </is>
      </c>
      <c r="B3183" t="inlineStr">
        <is>
          <t>Kayali Eden Sparkling Lychee 39 Eau De Parfum 50ml</t>
        </is>
      </c>
      <c r="C3183" t="inlineStr">
        <is>
          <t>Eau De Parfum</t>
        </is>
      </c>
      <c r="D3183" t="inlineStr">
        <is>
          <t>Kayali</t>
        </is>
      </c>
      <c r="E3183" t="n">
        <v>93.42</v>
      </c>
      <c r="F3183" t="n">
        <v>1</v>
      </c>
      <c r="G3183" t="n">
        <v>3</v>
      </c>
      <c r="H3183" s="5">
        <f>HYPERLINK("https://api.qogita.com/variants/link/6294018402657/", "View Product")</f>
        <v/>
      </c>
    </row>
    <row r="3184">
      <c r="A3184" t="inlineStr">
        <is>
          <t>6294019003068</t>
        </is>
      </c>
      <c r="B3184" t="inlineStr">
        <is>
          <t>Amaran King &amp; Queens Phenomena Parfum 100ml / 3.40 Fl Oz EDP</t>
        </is>
      </c>
      <c r="C3184" t="inlineStr">
        <is>
          <t>Eau De Parfum</t>
        </is>
      </c>
      <c r="D3184" t="inlineStr">
        <is>
          <t>Amaran</t>
        </is>
      </c>
      <c r="E3184" t="n">
        <v>16.04</v>
      </c>
      <c r="F3184" t="n">
        <v>1</v>
      </c>
      <c r="G3184" t="n">
        <v>10</v>
      </c>
      <c r="H3184" s="5">
        <f>HYPERLINK("https://api.qogita.com/variants/link/6294019003068/", "View Product")</f>
        <v/>
      </c>
    </row>
    <row r="3185">
      <c r="A3185" t="inlineStr">
        <is>
          <t>6294019015009</t>
        </is>
      </c>
      <c r="B3185" t="inlineStr">
        <is>
          <t>Highfly Aseel Unisex Eau De Parfum 3.4 Oz 100ml</t>
        </is>
      </c>
      <c r="C3185" t="inlineStr">
        <is>
          <t>Eau De Parfum</t>
        </is>
      </c>
      <c r="D3185" t="inlineStr">
        <is>
          <t>Falcone</t>
        </is>
      </c>
      <c r="E3185" t="n">
        <v>22.84</v>
      </c>
      <c r="F3185" t="n">
        <v>1</v>
      </c>
      <c r="G3185" t="n">
        <v>12</v>
      </c>
      <c r="H3185" s="5">
        <f>HYPERLINK("https://api.qogita.com/variants/link/6294019015009/", "View Product")</f>
        <v/>
      </c>
    </row>
    <row r="3186">
      <c r="A3186" t="inlineStr">
        <is>
          <t>6294019015078</t>
        </is>
      </c>
      <c r="B3186" t="inlineStr">
        <is>
          <t>Freedom Wings Eau de Parfum for Women 100ml</t>
        </is>
      </c>
      <c r="C3186" t="inlineStr">
        <is>
          <t>Eau De Parfum</t>
        </is>
      </c>
      <c r="D3186" t="inlineStr">
        <is>
          <t>Mirada</t>
        </is>
      </c>
      <c r="E3186" t="n">
        <v>12.89</v>
      </c>
      <c r="F3186" t="n">
        <v>1</v>
      </c>
      <c r="G3186" t="n">
        <v>18</v>
      </c>
      <c r="H3186" s="5">
        <f>HYPERLINK("https://api.qogita.com/variants/link/6294019015078/", "View Product")</f>
        <v/>
      </c>
    </row>
    <row r="3187">
      <c r="A3187" t="inlineStr">
        <is>
          <t>6294019015108</t>
        </is>
      </c>
      <c r="B3187" t="inlineStr">
        <is>
          <t>Verato Man Night Eau de Parfum for Men 100ml</t>
        </is>
      </c>
      <c r="C3187" t="inlineStr">
        <is>
          <t>Eau De Parfum</t>
        </is>
      </c>
      <c r="D3187" t="inlineStr">
        <is>
          <t>Mirada</t>
        </is>
      </c>
      <c r="E3187" t="n">
        <v>13.17</v>
      </c>
      <c r="F3187" t="n">
        <v>1</v>
      </c>
      <c r="G3187" t="n">
        <v>19</v>
      </c>
      <c r="H3187" s="5">
        <f>HYPERLINK("https://api.qogita.com/variants/link/6294019015108/", "View Product")</f>
        <v/>
      </c>
    </row>
    <row r="3188">
      <c r="A3188" t="inlineStr">
        <is>
          <t>6294019015115</t>
        </is>
      </c>
      <c r="B3188" t="inlineStr">
        <is>
          <t>Verato Man Men's Eau De Parfum 3.4 Fl. Oz 100ml</t>
        </is>
      </c>
      <c r="C3188" t="inlineStr">
        <is>
          <t>Eau De Parfum</t>
        </is>
      </c>
      <c r="D3188" t="inlineStr">
        <is>
          <t>Mirada</t>
        </is>
      </c>
      <c r="E3188" t="n">
        <v>13.17</v>
      </c>
      <c r="F3188" t="n">
        <v>1</v>
      </c>
      <c r="G3188" t="n">
        <v>20</v>
      </c>
      <c r="H3188" s="5">
        <f>HYPERLINK("https://api.qogita.com/variants/link/6294019015115/", "View Product")</f>
        <v/>
      </c>
    </row>
    <row r="3189">
      <c r="A3189" t="inlineStr">
        <is>
          <t>6294019025428</t>
        </is>
      </c>
      <c r="B3189" t="inlineStr">
        <is>
          <t>Oxana Sugar Eau de Parfum 3.4fl oz 100ml</t>
        </is>
      </c>
      <c r="C3189" t="inlineStr">
        <is>
          <t>Eau De Parfum</t>
        </is>
      </c>
      <c r="D3189" t="inlineStr">
        <is>
          <t>Amara Parfums</t>
        </is>
      </c>
      <c r="E3189" t="n">
        <v>20.1</v>
      </c>
      <c r="F3189" t="n">
        <v>1</v>
      </c>
      <c r="G3189" t="n">
        <v>19</v>
      </c>
      <c r="H3189" s="5">
        <f>HYPERLINK("https://api.qogita.com/variants/link/6294019025428/", "View Product")</f>
        <v/>
      </c>
    </row>
    <row r="3190">
      <c r="A3190" t="inlineStr">
        <is>
          <t>6294022300130</t>
        </is>
      </c>
      <c r="B3190" t="inlineStr">
        <is>
          <t>Florella For Women 3.4 Oz Extrait De Parfum Spray</t>
        </is>
      </c>
      <c r="C3190" t="inlineStr">
        <is>
          <t>Extrait De Parfum</t>
        </is>
      </c>
      <c r="D3190" t="inlineStr">
        <is>
          <t>Anfar</t>
        </is>
      </c>
      <c r="E3190" t="n">
        <v>30.1</v>
      </c>
      <c r="F3190" t="n">
        <v>1</v>
      </c>
      <c r="G3190" t="n">
        <v>5</v>
      </c>
      <c r="H3190" s="5">
        <f>HYPERLINK("https://api.qogita.com/variants/link/6294022300130/", "View Product")</f>
        <v/>
      </c>
    </row>
    <row r="3191">
      <c r="A3191" t="inlineStr">
        <is>
          <t>6294022300147</t>
        </is>
      </c>
      <c r="B3191" t="inlineStr">
        <is>
          <t>Ma Belle For Women 3.4 Oz Extrait De Parfum Spray</t>
        </is>
      </c>
      <c r="C3191" t="inlineStr">
        <is>
          <t>Extrait De Parfum</t>
        </is>
      </c>
      <c r="D3191" t="inlineStr">
        <is>
          <t>Anfar</t>
        </is>
      </c>
      <c r="E3191" t="n">
        <v>29.15</v>
      </c>
      <c r="F3191" t="n">
        <v>1</v>
      </c>
      <c r="G3191" t="n">
        <v>6</v>
      </c>
      <c r="H3191" s="5">
        <f>HYPERLINK("https://api.qogita.com/variants/link/6294022300147/", "View Product")</f>
        <v/>
      </c>
    </row>
    <row r="3192">
      <c r="A3192" t="inlineStr">
        <is>
          <t>6294650987253</t>
        </is>
      </c>
      <c r="B3192" t="inlineStr">
        <is>
          <t>Ministry Of Oud Oud Royal Eau De Parfum Spray 100ml</t>
        </is>
      </c>
      <c r="C3192" t="inlineStr">
        <is>
          <t>Eau De Parfum</t>
        </is>
      </c>
      <c r="D3192" t="inlineStr">
        <is>
          <t>Ministry Of Oud</t>
        </is>
      </c>
      <c r="E3192" t="n">
        <v>13.74</v>
      </c>
      <c r="F3192" t="n">
        <v>1</v>
      </c>
      <c r="G3192" t="n">
        <v>203</v>
      </c>
      <c r="H3192" s="5">
        <f>HYPERLINK("https://api.qogita.com/variants/link/6294650987253/", "View Product")</f>
        <v/>
      </c>
    </row>
    <row r="3193">
      <c r="A3193" t="inlineStr">
        <is>
          <t>6294652987251</t>
        </is>
      </c>
      <c r="B3193" t="inlineStr">
        <is>
          <t>Ministry Of Oud Greatest Extrait De Perfume 100ml</t>
        </is>
      </c>
      <c r="C3193" t="inlineStr">
        <is>
          <t>Extrait De Parfum</t>
        </is>
      </c>
      <c r="D3193" t="inlineStr">
        <is>
          <t>Ministry Of Oud</t>
        </is>
      </c>
      <c r="E3193" t="n">
        <v>12.68</v>
      </c>
      <c r="F3193" t="n">
        <v>1</v>
      </c>
      <c r="G3193" t="n">
        <v>141</v>
      </c>
      <c r="H3193" s="5">
        <f>HYPERLINK("https://api.qogita.com/variants/link/6294652987251/", "View Product")</f>
        <v/>
      </c>
    </row>
    <row r="3194">
      <c r="A3194" t="inlineStr">
        <is>
          <t>6294659967256</t>
        </is>
      </c>
      <c r="B3194" t="inlineStr">
        <is>
          <t>Prive Zarah Ombre De Louis Parfum Extract 70ml</t>
        </is>
      </c>
      <c r="C3194" t="inlineStr">
        <is>
          <t>Extrait De Parfum</t>
        </is>
      </c>
      <c r="D3194" t="inlineStr">
        <is>
          <t>Paris Corner</t>
        </is>
      </c>
      <c r="E3194" t="n">
        <v>16.12</v>
      </c>
      <c r="F3194" t="n">
        <v>1</v>
      </c>
      <c r="G3194" t="n">
        <v>5</v>
      </c>
      <c r="H3194" s="5">
        <f>HYPERLINK("https://api.qogita.com/variants/link/6294659967256/", "View Product")</f>
        <v/>
      </c>
    </row>
    <row r="3195">
      <c r="A3195" t="inlineStr">
        <is>
          <t>6294790437311</t>
        </is>
      </c>
      <c r="B3195" t="inlineStr">
        <is>
          <t>Emir Oud And Vanille Eau De Parfum 75ml</t>
        </is>
      </c>
      <c r="C3195" t="inlineStr">
        <is>
          <t>Eau De Parfum</t>
        </is>
      </c>
      <c r="D3195" t="inlineStr">
        <is>
          <t>Emir</t>
        </is>
      </c>
      <c r="E3195" t="n">
        <v>16.8</v>
      </c>
      <c r="F3195" t="n">
        <v>1</v>
      </c>
      <c r="G3195" t="n">
        <v>72</v>
      </c>
      <c r="H3195" s="5">
        <f>HYPERLINK("https://api.qogita.com/variants/link/6294790437311/", "View Product")</f>
        <v/>
      </c>
    </row>
    <row r="3196">
      <c r="A3196" t="inlineStr">
        <is>
          <t>6294875522123</t>
        </is>
      </c>
      <c r="B3196" t="inlineStr">
        <is>
          <t>Paris Corner Taskeen Lactea Divina Eau De Parfum Spray 100ml</t>
        </is>
      </c>
      <c r="C3196" t="inlineStr">
        <is>
          <t>Eau De Parfum</t>
        </is>
      </c>
      <c r="D3196" t="inlineStr">
        <is>
          <t>Paris Corner</t>
        </is>
      </c>
      <c r="E3196" t="n">
        <v>15.06</v>
      </c>
      <c r="F3196" t="n">
        <v>1</v>
      </c>
      <c r="G3196" t="n">
        <v>43</v>
      </c>
      <c r="H3196" s="5">
        <f>HYPERLINK("https://api.qogita.com/variants/link/6294875522123/", "View Product")</f>
        <v/>
      </c>
    </row>
    <row r="3197">
      <c r="A3197" t="inlineStr">
        <is>
          <t>6294875522147</t>
        </is>
      </c>
      <c r="B3197" t="inlineStr">
        <is>
          <t>Paris Corner Zodiac Stratos Eau De Parfum 100ml</t>
        </is>
      </c>
      <c r="C3197" t="inlineStr">
        <is>
          <t>Eau De Parfum</t>
        </is>
      </c>
      <c r="D3197" t="inlineStr">
        <is>
          <t>Paris Corner</t>
        </is>
      </c>
      <c r="E3197" t="n">
        <v>16.58</v>
      </c>
      <c r="F3197" t="n">
        <v>1</v>
      </c>
      <c r="G3197" t="n">
        <v>50</v>
      </c>
      <c r="H3197" s="5">
        <f>HYPERLINK("https://api.qogita.com/variants/link/6294875522147/", "View Product")</f>
        <v/>
      </c>
    </row>
    <row r="3198">
      <c r="A3198" t="inlineStr">
        <is>
          <t>6294879841183</t>
        </is>
      </c>
      <c r="B3198" t="inlineStr">
        <is>
          <t>Paris Corner Khair Felicity Eau De Parfum 100ml</t>
        </is>
      </c>
      <c r="C3198" t="inlineStr">
        <is>
          <t>Eau De Parfum</t>
        </is>
      </c>
      <c r="D3198" t="inlineStr">
        <is>
          <t>Paris Corner</t>
        </is>
      </c>
      <c r="E3198" t="n">
        <v>14.7</v>
      </c>
      <c r="F3198" t="n">
        <v>1</v>
      </c>
      <c r="G3198" t="n">
        <v>128</v>
      </c>
      <c r="H3198" s="5">
        <f>HYPERLINK("https://api.qogita.com/variants/link/6294879841183/", "View Product")</f>
        <v/>
      </c>
    </row>
    <row r="3199">
      <c r="A3199" t="inlineStr">
        <is>
          <t>6295124003257</t>
        </is>
      </c>
      <c r="B3199" t="inlineStr">
        <is>
          <t>Attar Mubakhar Perfume Oil 20mL Expressive Balsamic with Sultry Sandalwood Tobacco Vanilla and Agarwood Alcohol Free Natural Vegan Cologne for Men and Women by Oud Wood Artisan Swiss Arabian</t>
        </is>
      </c>
      <c r="C3199" t="inlineStr">
        <is>
          <t>Eau De Cologne</t>
        </is>
      </c>
      <c r="D3199" t="inlineStr">
        <is>
          <t>Swiss Arabian</t>
        </is>
      </c>
      <c r="E3199" t="n">
        <v>11.18</v>
      </c>
      <c r="F3199" t="n">
        <v>1</v>
      </c>
      <c r="G3199" t="n">
        <v>41</v>
      </c>
      <c r="H3199" s="5">
        <f>HYPERLINK("https://api.qogita.com/variants/link/6295124003257/", "View Product")</f>
        <v/>
      </c>
    </row>
    <row r="3200">
      <c r="A3200" t="inlineStr">
        <is>
          <t>6295124009761</t>
        </is>
      </c>
      <c r="B3200" t="inlineStr">
        <is>
          <t>Swiss Arabian Edge Eau De Toilette Spray 100ml</t>
        </is>
      </c>
      <c r="C3200" t="inlineStr">
        <is>
          <t>Eau De Toilette</t>
        </is>
      </c>
      <c r="D3200" t="inlineStr">
        <is>
          <t>Swiss Arabian</t>
        </is>
      </c>
      <c r="E3200" t="n">
        <v>22.19</v>
      </c>
      <c r="F3200" t="n">
        <v>1</v>
      </c>
      <c r="G3200" t="n">
        <v>2</v>
      </c>
      <c r="H3200" s="5">
        <f>HYPERLINK("https://api.qogita.com/variants/link/6295124009761/", "View Product")</f>
        <v/>
      </c>
    </row>
    <row r="3201">
      <c r="A3201" t="inlineStr">
        <is>
          <t>6295124024290</t>
        </is>
      </c>
      <c r="B3201" t="inlineStr">
        <is>
          <t>Swiss Arabian Casablanca Eau De Parfum 100ml</t>
        </is>
      </c>
      <c r="C3201" t="inlineStr">
        <is>
          <t>Eau De Parfum</t>
        </is>
      </c>
      <c r="D3201" t="inlineStr">
        <is>
          <t>Swiss Arabian</t>
        </is>
      </c>
      <c r="E3201" t="n">
        <v>41.09</v>
      </c>
      <c r="F3201" t="n">
        <v>1</v>
      </c>
      <c r="G3201" t="n">
        <v>8</v>
      </c>
      <c r="H3201" s="5">
        <f>HYPERLINK("https://api.qogita.com/variants/link/6295124024290/", "View Product")</f>
        <v/>
      </c>
    </row>
    <row r="3202">
      <c r="A3202" t="inlineStr">
        <is>
          <t>6295124026553</t>
        </is>
      </c>
      <c r="B3202" t="inlineStr">
        <is>
          <t>Dehn El Oud Shaheen 6mL Alcohol Free and Natural Oudh Attar Oudh Wood Sourced from Indonesia and Cambodia Perfume Oil for Men and Women by Fragrance Artisan Swiss Arabian of Dubai</t>
        </is>
      </c>
      <c r="C3202" t="inlineStr">
        <is>
          <t>Eau De Parfum</t>
        </is>
      </c>
      <c r="D3202" t="inlineStr">
        <is>
          <t>Swiss Arabian</t>
        </is>
      </c>
      <c r="E3202" t="n">
        <v>32.32</v>
      </c>
      <c r="F3202" t="n">
        <v>1</v>
      </c>
      <c r="G3202" t="n">
        <v>29</v>
      </c>
      <c r="H3202" s="5">
        <f>HYPERLINK("https://api.qogita.com/variants/link/6295124026553/", "View Product")</f>
        <v/>
      </c>
    </row>
    <row r="3203">
      <c r="A3203" t="inlineStr">
        <is>
          <t>6295124026577</t>
        </is>
      </c>
      <c r="B3203" t="inlineStr">
        <is>
          <t>Swiss Arabian Edge Intense M 984 Eau de Parfum 100ml</t>
        </is>
      </c>
      <c r="C3203" t="inlineStr">
        <is>
          <t>Eau De Parfum</t>
        </is>
      </c>
      <c r="D3203" t="inlineStr">
        <is>
          <t>Swiss Arabian</t>
        </is>
      </c>
      <c r="E3203" t="n">
        <v>23.31</v>
      </c>
      <c r="F3203" t="n">
        <v>1</v>
      </c>
      <c r="G3203" t="n">
        <v>32</v>
      </c>
      <c r="H3203" s="5">
        <f>HYPERLINK("https://api.qogita.com/variants/link/6295124026577/", "View Product")</f>
        <v/>
      </c>
    </row>
    <row r="3204">
      <c r="A3204" t="inlineStr">
        <is>
          <t>6295124026584</t>
        </is>
      </c>
      <c r="B3204" t="inlineStr">
        <is>
          <t>Swiss Arabian EDGE Intense For Women 3.4 oz EDP Spray</t>
        </is>
      </c>
      <c r="C3204" t="inlineStr">
        <is>
          <t>Eau De Parfum</t>
        </is>
      </c>
      <c r="D3204" t="inlineStr">
        <is>
          <t>Swiss Arabian</t>
        </is>
      </c>
      <c r="E3204" t="n">
        <v>20.89</v>
      </c>
      <c r="F3204" t="n">
        <v>1</v>
      </c>
      <c r="G3204" t="n">
        <v>40</v>
      </c>
      <c r="H3204" s="5">
        <f>HYPERLINK("https://api.qogita.com/variants/link/6295124026584/", "View Product")</f>
        <v/>
      </c>
    </row>
    <row r="3205">
      <c r="A3205" t="inlineStr">
        <is>
          <t>6295124027826</t>
        </is>
      </c>
      <c r="B3205" t="inlineStr">
        <is>
          <t>Swiss Arabian Amaali Perfume Oil 15ml</t>
        </is>
      </c>
      <c r="C3205" t="inlineStr">
        <is>
          <t>Extrait De Parfum</t>
        </is>
      </c>
      <c r="D3205" t="inlineStr">
        <is>
          <t>Swiss Arabian</t>
        </is>
      </c>
      <c r="E3205" t="n">
        <v>14.38</v>
      </c>
      <c r="F3205" t="n">
        <v>1</v>
      </c>
      <c r="G3205" t="n">
        <v>13</v>
      </c>
      <c r="H3205" s="5">
        <f>HYPERLINK("https://api.qogita.com/variants/link/6295124027826/", "View Product")</f>
        <v/>
      </c>
    </row>
    <row r="3206">
      <c r="A3206" t="inlineStr">
        <is>
          <t>6295124030581</t>
        </is>
      </c>
      <c r="B3206" t="inlineStr">
        <is>
          <t>Swiss Arabian Pure Instinct Eau De Parfum 100ml Spray</t>
        </is>
      </c>
      <c r="C3206" t="inlineStr">
        <is>
          <t>Eau De Parfum</t>
        </is>
      </c>
      <c r="D3206" t="inlineStr">
        <is>
          <t>Swiss Arabian</t>
        </is>
      </c>
      <c r="E3206" t="n">
        <v>36.29</v>
      </c>
      <c r="F3206" t="n">
        <v>1</v>
      </c>
      <c r="G3206" t="n">
        <v>5</v>
      </c>
      <c r="H3206" s="5">
        <f>HYPERLINK("https://api.qogita.com/variants/link/6295124030581/", "View Product")</f>
        <v/>
      </c>
    </row>
    <row r="3207">
      <c r="A3207" t="inlineStr">
        <is>
          <t>6295124031274</t>
        </is>
      </c>
      <c r="B3207" t="inlineStr">
        <is>
          <t>Walaa by Swiss Arabian Unisex 1.7 oz EDP Spray</t>
        </is>
      </c>
      <c r="C3207" t="inlineStr">
        <is>
          <t>Eau De Parfum</t>
        </is>
      </c>
      <c r="D3207" t="inlineStr">
        <is>
          <t>Swiss Arabian</t>
        </is>
      </c>
      <c r="E3207" t="n">
        <v>41.97</v>
      </c>
      <c r="F3207" t="n">
        <v>1</v>
      </c>
      <c r="G3207" t="n">
        <v>43</v>
      </c>
      <c r="H3207" s="5">
        <f>HYPERLINK("https://api.qogita.com/variants/link/6295124031274/", "View Product")</f>
        <v/>
      </c>
    </row>
    <row r="3208">
      <c r="A3208" t="inlineStr">
        <is>
          <t>6295124032837</t>
        </is>
      </c>
      <c r="B3208" t="inlineStr">
        <is>
          <t>Swiss Arabian Perfumes Areej Al Sheila EDP Spray for Women - Fresh Leather</t>
        </is>
      </c>
      <c r="C3208" t="inlineStr">
        <is>
          <t>Eau De Parfum</t>
        </is>
      </c>
      <c r="D3208" t="inlineStr">
        <is>
          <t>Swiss Arabian</t>
        </is>
      </c>
      <c r="E3208" t="n">
        <v>48.72</v>
      </c>
      <c r="F3208" t="n">
        <v>1</v>
      </c>
      <c r="G3208" t="n">
        <v>17</v>
      </c>
      <c r="H3208" s="5">
        <f>HYPERLINK("https://api.qogita.com/variants/link/6295124032837/", "View Product")</f>
        <v/>
      </c>
    </row>
    <row r="3209">
      <c r="A3209" t="inlineStr">
        <is>
          <t>6295124036774</t>
        </is>
      </c>
      <c r="B3209" t="inlineStr">
        <is>
          <t>Swiss Arabian Amber 07 Eau De Parfum Spray 50ml</t>
        </is>
      </c>
      <c r="C3209" t="inlineStr">
        <is>
          <t>Eau De Parfum</t>
        </is>
      </c>
      <c r="D3209" t="inlineStr">
        <is>
          <t>Swiss Arabian</t>
        </is>
      </c>
      <c r="E3209" t="n">
        <v>47.25</v>
      </c>
      <c r="F3209" t="n">
        <v>1</v>
      </c>
      <c r="G3209" t="n">
        <v>29</v>
      </c>
      <c r="H3209" s="5">
        <f>HYPERLINK("https://api.qogita.com/variants/link/6295124036774/", "View Product")</f>
        <v/>
      </c>
    </row>
    <row r="3210">
      <c r="A3210" t="inlineStr">
        <is>
          <t>6295124036811</t>
        </is>
      </c>
      <c r="B3210" t="inlineStr">
        <is>
          <t>Swiss Arabian Eau De Parfum Oud 01 50ml</t>
        </is>
      </c>
      <c r="C3210" t="inlineStr">
        <is>
          <t>Eau De Parfum</t>
        </is>
      </c>
      <c r="D3210" t="inlineStr">
        <is>
          <t>Swiss Arabian</t>
        </is>
      </c>
      <c r="E3210" t="n">
        <v>41.71</v>
      </c>
      <c r="F3210" t="n">
        <v>1</v>
      </c>
      <c r="G3210" t="n">
        <v>15</v>
      </c>
      <c r="H3210" s="5">
        <f>HYPERLINK("https://api.qogita.com/variants/link/6295124036811/", "View Product")</f>
        <v/>
      </c>
    </row>
    <row r="3211">
      <c r="A3211" t="inlineStr">
        <is>
          <t>6295124037610</t>
        </is>
      </c>
      <c r="B3211" t="inlineStr">
        <is>
          <t>Swiss Arabian Mukhalat Malaki Perfume Oil 30ml Unisex Floral Woody Amber</t>
        </is>
      </c>
      <c r="C3211" t="inlineStr">
        <is>
          <t>Eau De Parfum</t>
        </is>
      </c>
      <c r="D3211" t="inlineStr">
        <is>
          <t>Swiss Arabian</t>
        </is>
      </c>
      <c r="E3211" t="n">
        <v>30.55</v>
      </c>
      <c r="F3211" t="n">
        <v>1</v>
      </c>
      <c r="G3211" t="n">
        <v>14</v>
      </c>
      <c r="H3211" s="5">
        <f>HYPERLINK("https://api.qogita.com/variants/link/6295124037610/", "View Product")</f>
        <v/>
      </c>
    </row>
    <row r="3212">
      <c r="A3212" t="inlineStr">
        <is>
          <t>6295124042799</t>
        </is>
      </c>
      <c r="B3212" t="inlineStr">
        <is>
          <t>Swiss Arabian Spirit Of Valencia Extrait De Parfum 100ml</t>
        </is>
      </c>
      <c r="C3212" t="inlineStr">
        <is>
          <t>Extrait De Parfum</t>
        </is>
      </c>
      <c r="D3212" t="inlineStr">
        <is>
          <t>Swiss Arabian</t>
        </is>
      </c>
      <c r="E3212" t="n">
        <v>60.39</v>
      </c>
      <c r="F3212" t="n">
        <v>1</v>
      </c>
      <c r="G3212" t="n">
        <v>16</v>
      </c>
      <c r="H3212" s="5">
        <f>HYPERLINK("https://api.qogita.com/variants/link/6295124042799/", "View Product")</f>
        <v/>
      </c>
    </row>
    <row r="3213">
      <c r="A3213" t="inlineStr">
        <is>
          <t>6295124042836</t>
        </is>
      </c>
      <c r="B3213" t="inlineStr">
        <is>
          <t>Swiss Arabian Shaghaf Oud Ahmar Eau De Parfum Limited Edition 75ml Vaporizer</t>
        </is>
      </c>
      <c r="C3213" t="inlineStr">
        <is>
          <t>Eau De Parfum</t>
        </is>
      </c>
      <c r="D3213" t="inlineStr">
        <is>
          <t>Swiss Arabian</t>
        </is>
      </c>
      <c r="E3213" t="n">
        <v>40.35</v>
      </c>
      <c r="F3213" t="n">
        <v>1</v>
      </c>
      <c r="G3213" t="n">
        <v>122</v>
      </c>
      <c r="H3213" s="5">
        <f>HYPERLINK("https://api.qogita.com/variants/link/6295124042836/", "View Product")</f>
        <v/>
      </c>
    </row>
    <row r="3214">
      <c r="A3214" t="inlineStr">
        <is>
          <t>6295124046216</t>
        </is>
      </c>
      <c r="B3214" t="inlineStr">
        <is>
          <t>Swiss Arabian Amber And Apricot Eau De Parfum 100ml Spray</t>
        </is>
      </c>
      <c r="C3214" t="inlineStr">
        <is>
          <t>Eau De Parfum</t>
        </is>
      </c>
      <c r="D3214" t="inlineStr">
        <is>
          <t>Swiss Arabian</t>
        </is>
      </c>
      <c r="E3214" t="n">
        <v>21.19</v>
      </c>
      <c r="F3214" t="n">
        <v>1</v>
      </c>
      <c r="G3214" t="n">
        <v>32</v>
      </c>
      <c r="H3214" s="5">
        <f>HYPERLINK("https://api.qogita.com/variants/link/6295124046216/", "View Product")</f>
        <v/>
      </c>
    </row>
    <row r="3215">
      <c r="A3215" t="inlineStr">
        <is>
          <t>6295124046308</t>
        </is>
      </c>
      <c r="B3215" t="inlineStr">
        <is>
          <t>Swiss Arabian Jasmine and Honey 1413 100ml EDP</t>
        </is>
      </c>
      <c r="C3215" t="inlineStr">
        <is>
          <t>Eau De Parfum</t>
        </is>
      </c>
      <c r="D3215" t="inlineStr">
        <is>
          <t>Swiss Arabian</t>
        </is>
      </c>
      <c r="E3215" t="n">
        <v>19.8</v>
      </c>
      <c r="F3215" t="n">
        <v>1</v>
      </c>
      <c r="G3215" t="n">
        <v>19</v>
      </c>
      <c r="H3215" s="5">
        <f>HYPERLINK("https://api.qogita.com/variants/link/6295124046308/", "View Product")</f>
        <v/>
      </c>
    </row>
    <row r="3216">
      <c r="A3216" t="inlineStr">
        <is>
          <t>6295124046612</t>
        </is>
      </c>
      <c r="B3216" t="inlineStr">
        <is>
          <t>Swiss Arabian Iris and Berry Eau de Parfum Spray for Women 3.4 oz</t>
        </is>
      </c>
      <c r="C3216" t="inlineStr">
        <is>
          <t>Eau De Parfum</t>
        </is>
      </c>
      <c r="D3216" t="inlineStr">
        <is>
          <t>Swiss Arabian</t>
        </is>
      </c>
      <c r="E3216" t="n">
        <v>21.6</v>
      </c>
      <c r="F3216" t="n">
        <v>1</v>
      </c>
      <c r="G3216" t="n">
        <v>40</v>
      </c>
      <c r="H3216" s="5">
        <f>HYPERLINK("https://api.qogita.com/variants/link/6295124046612/", "View Product")</f>
        <v/>
      </c>
    </row>
    <row r="3217">
      <c r="A3217" t="inlineStr">
        <is>
          <t>6295124046629</t>
        </is>
      </c>
      <c r="B3217" t="inlineStr">
        <is>
          <t>Swiss Arabian Jasmine and Vanilla Eau de Parfum Spray 3.4 oz</t>
        </is>
      </c>
      <c r="C3217" t="inlineStr">
        <is>
          <t>Eau De Parfum</t>
        </is>
      </c>
      <c r="D3217" t="inlineStr">
        <is>
          <t>Swiss Arabian</t>
        </is>
      </c>
      <c r="E3217" t="n">
        <v>23.69</v>
      </c>
      <c r="F3217" t="n">
        <v>1</v>
      </c>
      <c r="G3217" t="n">
        <v>3</v>
      </c>
      <c r="H3217" s="5">
        <f>HYPERLINK("https://api.qogita.com/variants/link/6295124046629/", "View Product")</f>
        <v/>
      </c>
    </row>
    <row r="3218">
      <c r="A3218" t="inlineStr">
        <is>
          <t>6295138426585</t>
        </is>
      </c>
      <c r="B3218" t="inlineStr">
        <is>
          <t>Paris Corner Indomitable Eau De Parfum 100ml</t>
        </is>
      </c>
      <c r="C3218" t="inlineStr">
        <is>
          <t>Eau De Parfum</t>
        </is>
      </c>
      <c r="D3218" t="inlineStr">
        <is>
          <t>Paris Corner</t>
        </is>
      </c>
      <c r="E3218" t="n">
        <v>21.71</v>
      </c>
      <c r="F3218" t="n">
        <v>1</v>
      </c>
      <c r="G3218" t="n">
        <v>103</v>
      </c>
      <c r="H3218" s="5">
        <f>HYPERLINK("https://api.qogita.com/variants/link/6295138426585/", "View Product")</f>
        <v/>
      </c>
    </row>
    <row r="3219">
      <c r="A3219" t="inlineStr">
        <is>
          <t>6295199793930</t>
        </is>
      </c>
      <c r="B3219" t="inlineStr">
        <is>
          <t>Lattafa Yara Eau De Parfum 50 Milliliters</t>
        </is>
      </c>
      <c r="C3219" t="inlineStr">
        <is>
          <t>Eau De Parfum</t>
        </is>
      </c>
      <c r="D3219" t="inlineStr">
        <is>
          <t>Lattafa</t>
        </is>
      </c>
      <c r="E3219" t="n">
        <v>8.01</v>
      </c>
      <c r="F3219" t="n">
        <v>1</v>
      </c>
      <c r="G3219" t="n">
        <v>84</v>
      </c>
      <c r="H3219" s="5">
        <f>HYPERLINK("https://api.qogita.com/variants/link/6295199793930/", "View Product")</f>
        <v/>
      </c>
    </row>
    <row r="3220">
      <c r="A3220" t="inlineStr">
        <is>
          <t>6295199800775</t>
        </is>
      </c>
      <c r="B3220" t="inlineStr">
        <is>
          <t>Hamidi Ilham 100ml Eau De Parfum</t>
        </is>
      </c>
      <c r="C3220" t="inlineStr">
        <is>
          <t>Eau De Parfum</t>
        </is>
      </c>
      <c r="D3220" t="inlineStr">
        <is>
          <t>Hamidi</t>
        </is>
      </c>
      <c r="E3220" t="n">
        <v>17.24</v>
      </c>
      <c r="F3220" t="n">
        <v>1</v>
      </c>
      <c r="G3220" t="n">
        <v>39</v>
      </c>
      <c r="H3220" s="5">
        <f>HYPERLINK("https://api.qogita.com/variants/link/6295199800775/", "View Product")</f>
        <v/>
      </c>
    </row>
    <row r="3221">
      <c r="A3221" t="inlineStr">
        <is>
          <t>6295199803332</t>
        </is>
      </c>
      <c r="B3221" t="inlineStr">
        <is>
          <t>Armaf Ladies Le Parfait Perfume</t>
        </is>
      </c>
      <c r="C3221" t="inlineStr">
        <is>
          <t>Eau De Parfum</t>
        </is>
      </c>
      <c r="D3221" t="inlineStr">
        <is>
          <t>Armaf</t>
        </is>
      </c>
      <c r="E3221" t="n">
        <v>13.76</v>
      </c>
      <c r="F3221" t="n">
        <v>1</v>
      </c>
      <c r="G3221" t="n">
        <v>198</v>
      </c>
      <c r="H3221" s="5">
        <f>HYPERLINK("https://api.qogita.com/variants/link/6295199803332/", "View Product")</f>
        <v/>
      </c>
    </row>
    <row r="3222">
      <c r="A3222" t="inlineStr">
        <is>
          <t>6295199804360</t>
        </is>
      </c>
      <c r="B3222" t="inlineStr">
        <is>
          <t>Armaf Odyssey Dubai Chocolate Eau De Parfum 100 Milliliters</t>
        </is>
      </c>
      <c r="C3222" t="inlineStr">
        <is>
          <t>Eau De Parfum</t>
        </is>
      </c>
      <c r="D3222" t="inlineStr">
        <is>
          <t>Armaf</t>
        </is>
      </c>
      <c r="E3222" t="n">
        <v>19.16</v>
      </c>
      <c r="F3222" t="n">
        <v>1</v>
      </c>
      <c r="G3222" t="n">
        <v>151</v>
      </c>
      <c r="H3222" s="5">
        <f>HYPERLINK("https://api.qogita.com/variants/link/6295199804360/", "View Product")</f>
        <v/>
      </c>
    </row>
    <row r="3223">
      <c r="A3223" t="inlineStr">
        <is>
          <t>6295253018825</t>
        </is>
      </c>
      <c r="B3223" t="inlineStr">
        <is>
          <t>Naseem Peak Pulse Aqua Parfum 50ml Luxury Perfume for Men</t>
        </is>
      </c>
      <c r="C3223" t="inlineStr">
        <is>
          <t>Eau De Parfum</t>
        </is>
      </c>
      <c r="D3223" t="inlineStr">
        <is>
          <t>Naseem</t>
        </is>
      </c>
      <c r="E3223" t="n">
        <v>14.76</v>
      </c>
      <c r="F3223" t="n">
        <v>1</v>
      </c>
      <c r="G3223" t="n">
        <v>11</v>
      </c>
      <c r="H3223" s="5">
        <f>HYPERLINK("https://api.qogita.com/variants/link/6295253018825/", "View Product")</f>
        <v/>
      </c>
    </row>
    <row r="3224">
      <c r="A3224" t="inlineStr">
        <is>
          <t>6295253021627</t>
        </is>
      </c>
      <c r="B3224" t="inlineStr">
        <is>
          <t>Naseem Body Mist Burhan For Men - 100 Ml</t>
        </is>
      </c>
      <c r="C3224" t="inlineStr">
        <is>
          <t>Eau De Toilette</t>
        </is>
      </c>
      <c r="D3224" t="inlineStr">
        <is>
          <t>Naseem</t>
        </is>
      </c>
      <c r="E3224" t="n">
        <v>4.7</v>
      </c>
      <c r="F3224" t="n">
        <v>1</v>
      </c>
      <c r="G3224" t="n">
        <v>11</v>
      </c>
      <c r="H3224" s="5">
        <f>HYPERLINK("https://api.qogita.com/variants/link/6295253021627/", "View Product")</f>
        <v/>
      </c>
    </row>
    <row r="3225">
      <c r="A3225" t="inlineStr">
        <is>
          <t>6295253028725</t>
        </is>
      </c>
      <c r="B3225" t="inlineStr">
        <is>
          <t>Naseem Noir French Vanilla Aqua Parfum Spray 100ml</t>
        </is>
      </c>
      <c r="C3225" t="inlineStr">
        <is>
          <t>Eau De Parfum</t>
        </is>
      </c>
      <c r="D3225" t="inlineStr">
        <is>
          <t>Naseem</t>
        </is>
      </c>
      <c r="E3225" t="n">
        <v>16.56</v>
      </c>
      <c r="F3225" t="n">
        <v>1</v>
      </c>
      <c r="G3225" t="n">
        <v>5</v>
      </c>
      <c r="H3225" s="5">
        <f>HYPERLINK("https://api.qogita.com/variants/link/6295253028725/", "View Product")</f>
        <v/>
      </c>
    </row>
    <row r="3226">
      <c r="A3226" t="inlineStr">
        <is>
          <t>6295253035822</t>
        </is>
      </c>
      <c r="B3226" t="inlineStr">
        <is>
          <t>Naseem Aqua Parfum Khalifa, Unisex, 50 Ml</t>
        </is>
      </c>
      <c r="C3226" t="inlineStr">
        <is>
          <t>Eau De Parfum</t>
        </is>
      </c>
      <c r="D3226" t="inlineStr">
        <is>
          <t>Naseem</t>
        </is>
      </c>
      <c r="E3226" t="n">
        <v>11.2</v>
      </c>
      <c r="F3226" t="n">
        <v>1</v>
      </c>
      <c r="G3226" t="n">
        <v>10</v>
      </c>
      <c r="H3226" s="5">
        <f>HYPERLINK("https://api.qogita.com/variants/link/6295253035822/", "View Product")</f>
        <v/>
      </c>
    </row>
    <row r="3227">
      <c r="A3227" t="inlineStr">
        <is>
          <t>6295253042226</t>
        </is>
      </c>
      <c r="B3227" t="inlineStr">
        <is>
          <t>Naseem Aqua Parfum Lamsa For Women, 30 Ml</t>
        </is>
      </c>
      <c r="C3227" t="inlineStr">
        <is>
          <t>Eau De Parfum</t>
        </is>
      </c>
      <c r="D3227" t="inlineStr">
        <is>
          <t>Naseem</t>
        </is>
      </c>
      <c r="E3227" t="n">
        <v>5.24</v>
      </c>
      <c r="F3227" t="n">
        <v>1</v>
      </c>
      <c r="G3227" t="n">
        <v>11</v>
      </c>
      <c r="H3227" s="5">
        <f>HYPERLINK("https://api.qogita.com/variants/link/6295253042226/", "View Product")</f>
        <v/>
      </c>
    </row>
    <row r="3228">
      <c r="A3228" t="inlineStr">
        <is>
          <t>6295253047825</t>
        </is>
      </c>
      <c r="B3228" t="inlineStr">
        <is>
          <t>Naseem Aqua Parfum Burhan For Men, 30 Ml</t>
        </is>
      </c>
      <c r="C3228" t="inlineStr">
        <is>
          <t>Eau De Parfum</t>
        </is>
      </c>
      <c r="D3228" t="inlineStr">
        <is>
          <t>Naseem</t>
        </is>
      </c>
      <c r="E3228" t="n">
        <v>5.24</v>
      </c>
      <c r="F3228" t="n">
        <v>1</v>
      </c>
      <c r="G3228" t="n">
        <v>8</v>
      </c>
      <c r="H3228" s="5">
        <f>HYPERLINK("https://api.qogita.com/variants/link/6295253047825/", "View Product")</f>
        <v/>
      </c>
    </row>
    <row r="3229">
      <c r="A3229" t="inlineStr">
        <is>
          <t>6295253048426</t>
        </is>
      </c>
      <c r="B3229" t="inlineStr">
        <is>
          <t>Naseem Bushra Khalta Aqua Parfum Spray 80ml</t>
        </is>
      </c>
      <c r="C3229" t="inlineStr">
        <is>
          <t>Eau De Parfum</t>
        </is>
      </c>
      <c r="D3229" t="inlineStr">
        <is>
          <t>Naseem</t>
        </is>
      </c>
      <c r="E3229" t="n">
        <v>7.85</v>
      </c>
      <c r="F3229" t="n">
        <v>1</v>
      </c>
      <c r="G3229" t="n">
        <v>7</v>
      </c>
      <c r="H3229" s="5">
        <f>HYPERLINK("https://api.qogita.com/variants/link/6295253048426/", "View Product")</f>
        <v/>
      </c>
    </row>
    <row r="3230">
      <c r="A3230" t="inlineStr">
        <is>
          <t>6295253054823</t>
        </is>
      </c>
      <c r="B3230" t="inlineStr">
        <is>
          <t>Naseem Lost In The Woods Aqua Parfum Spray 75ml</t>
        </is>
      </c>
      <c r="C3230" t="inlineStr">
        <is>
          <t>Eau De Parfum</t>
        </is>
      </c>
      <c r="D3230" t="inlineStr">
        <is>
          <t>Naseem</t>
        </is>
      </c>
      <c r="E3230" t="n">
        <v>20.11</v>
      </c>
      <c r="F3230" t="n">
        <v>1</v>
      </c>
      <c r="G3230" t="n">
        <v>10</v>
      </c>
      <c r="H3230" s="5">
        <f>HYPERLINK("https://api.qogita.com/variants/link/6295253054823/", "View Product")</f>
        <v/>
      </c>
    </row>
    <row r="3231">
      <c r="A3231" t="inlineStr">
        <is>
          <t>6295253055127</t>
        </is>
      </c>
      <c r="B3231" t="inlineStr">
        <is>
          <t>Naseem Aqua Parfum Blue Magic For Men, 80 Ml</t>
        </is>
      </c>
      <c r="C3231" t="inlineStr">
        <is>
          <t>Eau De Parfum</t>
        </is>
      </c>
      <c r="D3231" t="inlineStr">
        <is>
          <t>Naseem</t>
        </is>
      </c>
      <c r="E3231" t="n">
        <v>14.76</v>
      </c>
      <c r="F3231" t="n">
        <v>1</v>
      </c>
      <c r="G3231" t="n">
        <v>9</v>
      </c>
      <c r="H3231" s="5">
        <f>HYPERLINK("https://api.qogita.com/variants/link/6295253055127/", "View Product")</f>
        <v/>
      </c>
    </row>
    <row r="3232">
      <c r="A3232" t="inlineStr">
        <is>
          <t>6295253056728</t>
        </is>
      </c>
      <c r="B3232" t="inlineStr">
        <is>
          <t>Naseem Midnight Love Aqua Parfum 50ml Luxury Perfume for Women</t>
        </is>
      </c>
      <c r="C3232" t="inlineStr">
        <is>
          <t>Eau De Parfum</t>
        </is>
      </c>
      <c r="D3232" t="inlineStr">
        <is>
          <t>Naseem</t>
        </is>
      </c>
      <c r="E3232" t="n">
        <v>14.9</v>
      </c>
      <c r="F3232" t="n">
        <v>1</v>
      </c>
      <c r="G3232" t="n">
        <v>122</v>
      </c>
      <c r="H3232" s="5">
        <f>HYPERLINK("https://api.qogita.com/variants/link/6295253056728/", "View Product")</f>
        <v/>
      </c>
    </row>
    <row r="3233">
      <c r="A3233" t="inlineStr">
        <is>
          <t>6295253058821</t>
        </is>
      </c>
      <c r="B3233" t="inlineStr">
        <is>
          <t>Naseem Turn Up The Volume Fresh Oud Arabian Perfume for Men</t>
        </is>
      </c>
      <c r="C3233" t="inlineStr">
        <is>
          <t>Eau De Parfum</t>
        </is>
      </c>
      <c r="D3233" t="inlineStr">
        <is>
          <t>Naseem</t>
        </is>
      </c>
      <c r="E3233" t="n">
        <v>20.11</v>
      </c>
      <c r="F3233" t="n">
        <v>1</v>
      </c>
      <c r="G3233" t="n">
        <v>9</v>
      </c>
      <c r="H3233" s="5">
        <f>HYPERLINK("https://api.qogita.com/variants/link/6295253058821/", "View Product")</f>
        <v/>
      </c>
    </row>
    <row r="3234">
      <c r="A3234" t="inlineStr">
        <is>
          <t>6295253077129</t>
        </is>
      </c>
      <c r="B3234" t="inlineStr">
        <is>
          <t>Naseem Aqua Parfum Laeqa Unisex 80 Ml</t>
        </is>
      </c>
      <c r="C3234" t="inlineStr">
        <is>
          <t>Eau De Parfum</t>
        </is>
      </c>
      <c r="D3234" t="inlineStr">
        <is>
          <t>Naseem</t>
        </is>
      </c>
      <c r="E3234" t="n">
        <v>7.85</v>
      </c>
      <c r="F3234" t="n">
        <v>1</v>
      </c>
      <c r="G3234" t="n">
        <v>3</v>
      </c>
      <c r="H3234" s="5">
        <f>HYPERLINK("https://api.qogita.com/variants/link/6295253077129/", "View Product")</f>
        <v/>
      </c>
    </row>
    <row r="3235">
      <c r="A3235" t="inlineStr">
        <is>
          <t>6295253080624</t>
        </is>
      </c>
      <c r="B3235" t="inlineStr">
        <is>
          <t>Naseem Perfumes N-Series African Sunset Aqua Perfume Subtle Tone Alcohol-Free</t>
        </is>
      </c>
      <c r="C3235" t="inlineStr">
        <is>
          <t>Eau De Parfum</t>
        </is>
      </c>
      <c r="D3235" t="inlineStr">
        <is>
          <t>Naseem</t>
        </is>
      </c>
      <c r="E3235" t="n">
        <v>20.11</v>
      </c>
      <c r="F3235" t="n">
        <v>1</v>
      </c>
      <c r="G3235" t="n">
        <v>3</v>
      </c>
      <c r="H3235" s="5">
        <f>HYPERLINK("https://api.qogita.com/variants/link/6295253080624/", "View Product")</f>
        <v/>
      </c>
    </row>
    <row r="3236">
      <c r="A3236" t="inlineStr">
        <is>
          <t>6295253097325</t>
        </is>
      </c>
      <c r="B3236" t="inlineStr">
        <is>
          <t>Naseem Nada Aqua Parfum, Unisex, 80 Ml</t>
        </is>
      </c>
      <c r="C3236" t="inlineStr">
        <is>
          <t>Eau De Parfum</t>
        </is>
      </c>
      <c r="D3236" t="inlineStr">
        <is>
          <t>Naseem</t>
        </is>
      </c>
      <c r="E3236" t="n">
        <v>7.85</v>
      </c>
      <c r="F3236" t="n">
        <v>1</v>
      </c>
      <c r="G3236" t="n">
        <v>11</v>
      </c>
      <c r="H3236" s="5">
        <f>HYPERLINK("https://api.qogita.com/variants/link/6295253097325/", "View Product")</f>
        <v/>
      </c>
    </row>
    <row r="3237">
      <c r="A3237" t="inlineStr">
        <is>
          <t>6295253098629</t>
        </is>
      </c>
      <c r="B3237" t="inlineStr">
        <is>
          <t>Bushra Body Mist Non-Alcoholic Fruity Oriental Women Parfum 3.4 Fl. Oz.</t>
        </is>
      </c>
      <c r="C3237" t="inlineStr">
        <is>
          <t>Eau De Parfum</t>
        </is>
      </c>
      <c r="D3237" t="inlineStr">
        <is>
          <t>Naseem</t>
        </is>
      </c>
      <c r="E3237" t="n">
        <v>4.7</v>
      </c>
      <c r="F3237" t="n">
        <v>1</v>
      </c>
      <c r="G3237" t="n">
        <v>11</v>
      </c>
      <c r="H3237" s="5">
        <f>HYPERLINK("https://api.qogita.com/variants/link/6295253098629/", "View Product")</f>
        <v/>
      </c>
    </row>
    <row r="3238">
      <c r="A3238" t="inlineStr">
        <is>
          <t>6295321474621</t>
        </is>
      </c>
      <c r="B3238" t="inlineStr">
        <is>
          <t>Ministry Of Gourmand Mango Jugoso - Unisex Fragrance</t>
        </is>
      </c>
      <c r="C3238" t="inlineStr">
        <is>
          <t>Eau De Parfum</t>
        </is>
      </c>
      <c r="D3238" t="inlineStr">
        <is>
          <t>Ministry of Scent</t>
        </is>
      </c>
      <c r="E3238" t="n">
        <v>23.24</v>
      </c>
      <c r="F3238" t="n">
        <v>1</v>
      </c>
      <c r="G3238" t="n">
        <v>83</v>
      </c>
      <c r="H3238" s="5">
        <f>HYPERLINK("https://api.qogita.com/variants/link/6295321474621/", "View Product")</f>
        <v/>
      </c>
    </row>
    <row r="3239">
      <c r="A3239" t="inlineStr">
        <is>
          <t>6295321475628</t>
        </is>
      </c>
      <c r="B3239" t="inlineStr">
        <is>
          <t>Ministry Of Gourmand Coconut Lagoon - Unisex Fragrance</t>
        </is>
      </c>
      <c r="C3239" t="inlineStr">
        <is>
          <t>Eau De Parfum</t>
        </is>
      </c>
      <c r="D3239" t="inlineStr">
        <is>
          <t>Ministry of Scent</t>
        </is>
      </c>
      <c r="E3239" t="n">
        <v>23.24</v>
      </c>
      <c r="F3239" t="n">
        <v>1</v>
      </c>
      <c r="G3239" t="n">
        <v>69</v>
      </c>
      <c r="H3239" s="5">
        <f>HYPERLINK("https://api.qogita.com/variants/link/6295321475628/", "View Product")</f>
        <v/>
      </c>
    </row>
    <row r="3240">
      <c r="A3240" t="inlineStr">
        <is>
          <t>6295875874588</t>
        </is>
      </c>
      <c r="B3240" t="inlineStr">
        <is>
          <t>North Stag Paris Corner Hypnotic Oud Xv Extrait De Parfum 100ml</t>
        </is>
      </c>
      <c r="C3240" t="inlineStr">
        <is>
          <t>Extrait De Parfum</t>
        </is>
      </c>
      <c r="D3240" t="inlineStr">
        <is>
          <t>North Stag</t>
        </is>
      </c>
      <c r="E3240" t="n">
        <v>20.42</v>
      </c>
      <c r="F3240" t="n">
        <v>1</v>
      </c>
      <c r="G3240" t="n">
        <v>4</v>
      </c>
      <c r="H3240" s="5">
        <f>HYPERLINK("https://api.qogita.com/variants/link/6295875874588/", "View Product")</f>
        <v/>
      </c>
    </row>
    <row r="3241">
      <c r="A3241" t="inlineStr">
        <is>
          <t>6297000201863</t>
        </is>
      </c>
      <c r="B3241" t="inlineStr">
        <is>
          <t>Lattafa Al Dur Al Maknoon Silver Eau De Parfum Spray 100ml</t>
        </is>
      </c>
      <c r="C3241" t="inlineStr">
        <is>
          <t>Eau De Parfum</t>
        </is>
      </c>
      <c r="D3241" t="inlineStr">
        <is>
          <t>Lattafa</t>
        </is>
      </c>
      <c r="E3241" t="n">
        <v>9.65</v>
      </c>
      <c r="F3241" t="n">
        <v>1</v>
      </c>
      <c r="G3241" t="n">
        <v>147</v>
      </c>
      <c r="H3241" s="5">
        <f>HYPERLINK("https://api.qogita.com/variants/link/6297000201863/", "View Product")</f>
        <v/>
      </c>
    </row>
    <row r="3242">
      <c r="A3242" t="inlineStr">
        <is>
          <t>6297001158227</t>
        </is>
      </c>
      <c r="B3242" t="inlineStr">
        <is>
          <t>Amber Rouge Luxury Collection by Orientica EDP Spray Unisex 5.0 oz 150 ml</t>
        </is>
      </c>
      <c r="C3242" t="inlineStr">
        <is>
          <t>Eau De Parfum</t>
        </is>
      </c>
      <c r="D3242" t="inlineStr">
        <is>
          <t>Orientica</t>
        </is>
      </c>
      <c r="E3242" t="n">
        <v>60.34</v>
      </c>
      <c r="F3242" t="n">
        <v>1</v>
      </c>
      <c r="G3242" t="n">
        <v>6</v>
      </c>
      <c r="H3242" s="5">
        <f>HYPERLINK("https://api.qogita.com/variants/link/6297001158227/", "View Product")</f>
        <v/>
      </c>
    </row>
    <row r="3243">
      <c r="A3243" t="inlineStr">
        <is>
          <t>6297001574027</t>
        </is>
      </c>
      <c r="B3243" t="inlineStr">
        <is>
          <t>Nusuk Al Mukhtalif Extrait Eau De Parfum 100 Ml</t>
        </is>
      </c>
      <c r="C3243" t="inlineStr">
        <is>
          <t>Eau De Parfum</t>
        </is>
      </c>
      <c r="D3243" t="inlineStr">
        <is>
          <t>Rituals</t>
        </is>
      </c>
      <c r="E3243" t="n">
        <v>15.48</v>
      </c>
      <c r="F3243" t="n">
        <v>1</v>
      </c>
      <c r="G3243" t="n">
        <v>13</v>
      </c>
      <c r="H3243" s="5">
        <f>HYPERLINK("https://api.qogita.com/variants/link/6297001574027/", "View Product")</f>
        <v/>
      </c>
    </row>
    <row r="3244">
      <c r="A3244" t="inlineStr">
        <is>
          <t>6297001574089</t>
        </is>
      </c>
      <c r="B3244" t="inlineStr">
        <is>
          <t>Riiffs Samah Amethyst Perfume Extract - 100ml</t>
        </is>
      </c>
      <c r="C3244" t="inlineStr">
        <is>
          <t>Extrait De Parfum</t>
        </is>
      </c>
      <c r="D3244" t="inlineStr">
        <is>
          <t>Riiffs</t>
        </is>
      </c>
      <c r="E3244" t="n">
        <v>19.83</v>
      </c>
      <c r="F3244" t="n">
        <v>1</v>
      </c>
      <c r="G3244" t="n">
        <v>13</v>
      </c>
      <c r="H3244" s="5">
        <f>HYPERLINK("https://api.qogita.com/variants/link/6297001574089/", "View Product")</f>
        <v/>
      </c>
    </row>
    <row r="3245">
      <c r="A3245" t="inlineStr">
        <is>
          <t>6297001574119</t>
        </is>
      </c>
      <c r="B3245" t="inlineStr">
        <is>
          <t>Riiffs Samah White Eau De Parfum For Women 100 Ml</t>
        </is>
      </c>
      <c r="C3245" t="inlineStr">
        <is>
          <t>Eau De Parfum</t>
        </is>
      </c>
      <c r="D3245" t="inlineStr">
        <is>
          <t>Riiffs</t>
        </is>
      </c>
      <c r="E3245" t="n">
        <v>19.83</v>
      </c>
      <c r="F3245" t="n">
        <v>1</v>
      </c>
      <c r="G3245" t="n">
        <v>18</v>
      </c>
      <c r="H3245" s="5">
        <f>HYPERLINK("https://api.qogita.com/variants/link/6297001574119/", "View Product")</f>
        <v/>
      </c>
    </row>
    <row r="3246">
      <c r="A3246" t="inlineStr">
        <is>
          <t>6297001574126</t>
        </is>
      </c>
      <c r="B3246" t="inlineStr">
        <is>
          <t>Riiffs Samah Ruby Perfume Extract - 100ml Unisex</t>
        </is>
      </c>
      <c r="C3246" t="inlineStr">
        <is>
          <t>Extrait De Parfum</t>
        </is>
      </c>
      <c r="D3246" t="inlineStr">
        <is>
          <t>Riiffs</t>
        </is>
      </c>
      <c r="E3246" t="n">
        <v>19.83</v>
      </c>
      <c r="F3246" t="n">
        <v>1</v>
      </c>
      <c r="G3246" t="n">
        <v>14</v>
      </c>
      <c r="H3246" s="5">
        <f>HYPERLINK("https://api.qogita.com/variants/link/6297001574126/", "View Product")</f>
        <v/>
      </c>
    </row>
    <row r="3247">
      <c r="A3247" t="inlineStr">
        <is>
          <t>6297365736741</t>
        </is>
      </c>
      <c r="B3247" t="inlineStr">
        <is>
          <t>Autobiography Supreme Gold Eau De Parfum 65ml</t>
        </is>
      </c>
      <c r="C3247" t="inlineStr">
        <is>
          <t>Eau De Parfum</t>
        </is>
      </c>
      <c r="D3247" t="inlineStr">
        <is>
          <t>Autobiographie</t>
        </is>
      </c>
      <c r="E3247" t="n">
        <v>13.85</v>
      </c>
      <c r="F3247" t="n">
        <v>1</v>
      </c>
      <c r="G3247" t="n">
        <v>21</v>
      </c>
      <c r="H3247" s="5">
        <f>HYPERLINK("https://api.qogita.com/variants/link/6297365736741/", "View Product")</f>
        <v/>
      </c>
    </row>
    <row r="3248">
      <c r="A3248" t="inlineStr">
        <is>
          <t>6297784222146</t>
        </is>
      </c>
      <c r="B3248" t="inlineStr">
        <is>
          <t>Emir Warm Leather Factory Edition Eau De Parfum Spray 100ml</t>
        </is>
      </c>
      <c r="C3248" t="inlineStr">
        <is>
          <t>Eau De Parfum</t>
        </is>
      </c>
      <c r="D3248" t="inlineStr">
        <is>
          <t>Emir</t>
        </is>
      </c>
      <c r="E3248" t="n">
        <v>14.16</v>
      </c>
      <c r="F3248" t="n">
        <v>1</v>
      </c>
      <c r="G3248" t="n">
        <v>29</v>
      </c>
      <c r="H3248" s="5">
        <f>HYPERLINK("https://api.qogita.com/variants/link/6297784222146/", "View Product")</f>
        <v/>
      </c>
    </row>
    <row r="3249">
      <c r="A3249" t="inlineStr">
        <is>
          <t>6297856875218</t>
        </is>
      </c>
      <c r="B3249" t="inlineStr">
        <is>
          <t>Paris Corner Emir - Rich Santal Factory Edition 100 Ml</t>
        </is>
      </c>
      <c r="C3249" t="inlineStr">
        <is>
          <t>Eau De Parfum</t>
        </is>
      </c>
      <c r="D3249" t="inlineStr">
        <is>
          <t>Paris Corner</t>
        </is>
      </c>
      <c r="E3249" t="n">
        <v>18.45</v>
      </c>
      <c r="F3249" t="n">
        <v>1</v>
      </c>
      <c r="G3249" t="n">
        <v>5</v>
      </c>
      <c r="H3249" s="5">
        <f>HYPERLINK("https://api.qogita.com/variants/link/6297856875218/", "View Product")</f>
        <v/>
      </c>
    </row>
    <row r="3250">
      <c r="A3250" t="inlineStr">
        <is>
          <t>6298042000926</t>
        </is>
      </c>
      <c r="B3250" t="inlineStr">
        <is>
          <t>French Avenue Vulcan Baie EDP Unisex 34 Fl Oz</t>
        </is>
      </c>
      <c r="C3250" t="inlineStr">
        <is>
          <t>Eau De Parfum</t>
        </is>
      </c>
      <c r="D3250" t="inlineStr">
        <is>
          <t>French Avenue</t>
        </is>
      </c>
      <c r="E3250" t="n">
        <v>24.74</v>
      </c>
      <c r="F3250" t="n">
        <v>1</v>
      </c>
      <c r="G3250" t="n">
        <v>459</v>
      </c>
      <c r="H3250" s="5">
        <f>HYPERLINK("https://api.qogita.com/variants/link/6298042000926/", "View Product")</f>
        <v/>
      </c>
    </row>
    <row r="3251">
      <c r="A3251" t="inlineStr">
        <is>
          <t>6298141926721</t>
        </is>
      </c>
      <c r="B3251" t="inlineStr">
        <is>
          <t>Paris Corner Emir Voux Blue Oud Eau De Parfum 100ml</t>
        </is>
      </c>
      <c r="C3251" t="inlineStr">
        <is>
          <t>Eau De Parfum</t>
        </is>
      </c>
      <c r="D3251" t="inlineStr">
        <is>
          <t>Paris Corner</t>
        </is>
      </c>
      <c r="E3251" t="n">
        <v>16.06</v>
      </c>
      <c r="F3251" t="n">
        <v>1</v>
      </c>
      <c r="G3251" t="n">
        <v>69</v>
      </c>
      <c r="H3251" s="5">
        <f>HYPERLINK("https://api.qogita.com/variants/link/6298141926721/", "View Product")</f>
        <v/>
      </c>
    </row>
    <row r="3252">
      <c r="A3252" t="inlineStr">
        <is>
          <t>6298141926851</t>
        </is>
      </c>
      <c r="B3252" t="inlineStr">
        <is>
          <t>Paris Corner Emir Voux Patisserie Eau De Parfum 100ml</t>
        </is>
      </c>
      <c r="C3252" t="inlineStr">
        <is>
          <t>Eau De Parfum</t>
        </is>
      </c>
      <c r="D3252" t="inlineStr">
        <is>
          <t>Paris Corner</t>
        </is>
      </c>
      <c r="E3252" t="n">
        <v>14.73</v>
      </c>
      <c r="F3252" t="n">
        <v>1</v>
      </c>
      <c r="G3252" t="n">
        <v>20</v>
      </c>
      <c r="H3252" s="5">
        <f>HYPERLINK("https://api.qogita.com/variants/link/6298141926851/", "View Product")</f>
        <v/>
      </c>
    </row>
    <row r="3253">
      <c r="A3253" t="inlineStr">
        <is>
          <t>6298141927940</t>
        </is>
      </c>
      <c r="B3253" t="inlineStr">
        <is>
          <t>Emir Paris Corner Frenetic Tobacco Honey Eau De Parfum 80ml</t>
        </is>
      </c>
      <c r="C3253" t="inlineStr">
        <is>
          <t>Eau De Parfum</t>
        </is>
      </c>
      <c r="D3253" t="inlineStr">
        <is>
          <t>Emir</t>
        </is>
      </c>
      <c r="E3253" t="n">
        <v>16.64</v>
      </c>
      <c r="F3253" t="n">
        <v>1</v>
      </c>
      <c r="G3253" t="n">
        <v>108</v>
      </c>
      <c r="H3253" s="5">
        <f>HYPERLINK("https://api.qogita.com/variants/link/6298141927940/", "View Product")</f>
        <v/>
      </c>
    </row>
    <row r="3254">
      <c r="A3254" t="inlineStr">
        <is>
          <t>6298541636091</t>
        </is>
      </c>
      <c r="B3254" t="inlineStr">
        <is>
          <t>Ministry Of Gourmand Strawberry Pound Cake Eau De Parfum 100 Ml</t>
        </is>
      </c>
      <c r="C3254" t="inlineStr">
        <is>
          <t>Eau De Parfum</t>
        </is>
      </c>
      <c r="D3254" t="inlineStr">
        <is>
          <t>Ministry of Scent</t>
        </is>
      </c>
      <c r="E3254" t="n">
        <v>24.6</v>
      </c>
      <c r="F3254" t="n">
        <v>1</v>
      </c>
      <c r="G3254" t="n">
        <v>23</v>
      </c>
      <c r="H3254" s="5">
        <f>HYPERLINK("https://api.qogita.com/variants/link/6298541636091/", "View Product")</f>
        <v/>
      </c>
    </row>
    <row r="3255">
      <c r="A3255" t="inlineStr">
        <is>
          <t>6298758798520</t>
        </is>
      </c>
      <c r="B3255" t="inlineStr">
        <is>
          <t>Paris Corner Hurriya Eau De Parfum 100 Ml</t>
        </is>
      </c>
      <c r="C3255" t="inlineStr">
        <is>
          <t>Eau De Parfum</t>
        </is>
      </c>
      <c r="D3255" t="inlineStr">
        <is>
          <t>Paris Corner</t>
        </is>
      </c>
      <c r="E3255" t="n">
        <v>12.37</v>
      </c>
      <c r="F3255" t="n">
        <v>1</v>
      </c>
      <c r="G3255" t="n">
        <v>30</v>
      </c>
      <c r="H3255" s="5">
        <f>HYPERLINK("https://api.qogita.com/variants/link/6298758798520/", "View Product")</f>
        <v/>
      </c>
    </row>
    <row r="3256">
      <c r="A3256" t="inlineStr">
        <is>
          <t>6299875666440</t>
        </is>
      </c>
      <c r="B3256" t="inlineStr">
        <is>
          <t>Paris Corner Ibisco Nirvana Eau De Parfum 65ml</t>
        </is>
      </c>
      <c r="C3256" t="inlineStr">
        <is>
          <t>Eau De Parfum</t>
        </is>
      </c>
      <c r="D3256" t="inlineStr">
        <is>
          <t>Paris Corner</t>
        </is>
      </c>
      <c r="E3256" t="n">
        <v>23.66</v>
      </c>
      <c r="F3256" t="n">
        <v>1</v>
      </c>
      <c r="G3256" t="n">
        <v>26</v>
      </c>
      <c r="H3256" s="5">
        <f>HYPERLINK("https://api.qogita.com/variants/link/6299875666440/", "View Product")</f>
        <v/>
      </c>
    </row>
    <row r="3257">
      <c r="A3257" t="inlineStr">
        <is>
          <t>6300020150629</t>
        </is>
      </c>
      <c r="B3257" t="inlineStr">
        <is>
          <t>Attar Collection The Queen of Sheba</t>
        </is>
      </c>
      <c r="C3257" t="inlineStr">
        <is>
          <t>Eau De Parfum</t>
        </is>
      </c>
      <c r="D3257" t="inlineStr">
        <is>
          <t>Attar Collection</t>
        </is>
      </c>
      <c r="E3257" t="n">
        <v>54.71</v>
      </c>
      <c r="F3257" t="n">
        <v>1</v>
      </c>
      <c r="G3257" t="n">
        <v>43</v>
      </c>
      <c r="H3257" s="5">
        <f>HYPERLINK("https://api.qogita.com/variants/link/6300020150629/", "View Product")</f>
        <v/>
      </c>
    </row>
    <row r="3258">
      <c r="A3258" t="inlineStr">
        <is>
          <t>6300020157727</t>
        </is>
      </c>
      <c r="B3258" t="inlineStr">
        <is>
          <t>Attar Collection Azora Eau De Parfum Spray 100ml</t>
        </is>
      </c>
      <c r="C3258" t="inlineStr">
        <is>
          <t>Eau De Parfum</t>
        </is>
      </c>
      <c r="D3258" t="inlineStr">
        <is>
          <t>Attar Collection</t>
        </is>
      </c>
      <c r="E3258" t="n">
        <v>54.61</v>
      </c>
      <c r="F3258" t="n">
        <v>1</v>
      </c>
      <c r="G3258" t="n">
        <v>9</v>
      </c>
      <c r="H3258" s="5">
        <f>HYPERLINK("https://api.qogita.com/variants/link/6300020157727/", "View Product")</f>
        <v/>
      </c>
    </row>
    <row r="3259">
      <c r="A3259" t="inlineStr">
        <is>
          <t>6390902022212</t>
        </is>
      </c>
      <c r="B3259" t="inlineStr">
        <is>
          <t>Attar Collection Crystal Love For Him Eau de Parfum 100ml</t>
        </is>
      </c>
      <c r="C3259" t="inlineStr">
        <is>
          <t>Eau De Parfum</t>
        </is>
      </c>
      <c r="D3259" t="inlineStr">
        <is>
          <t>Attar Collection</t>
        </is>
      </c>
      <c r="E3259" t="n">
        <v>50.95</v>
      </c>
      <c r="F3259" t="n">
        <v>1</v>
      </c>
      <c r="G3259" t="n">
        <v>8</v>
      </c>
      <c r="H3259" s="5">
        <f>HYPERLINK("https://api.qogita.com/variants/link/6390902022212/", "View Product")</f>
        <v/>
      </c>
    </row>
    <row r="3260">
      <c r="A3260" t="inlineStr">
        <is>
          <t>6423080607282</t>
        </is>
      </c>
      <c r="B3260" t="inlineStr">
        <is>
          <t>Ard Al Zaafaran Najdia Eau De Parfum Spray 50ml</t>
        </is>
      </c>
      <c r="C3260" t="inlineStr">
        <is>
          <t>Eau De Parfum</t>
        </is>
      </c>
      <c r="D3260" t="inlineStr">
        <is>
          <t>Ard Al Zaafaran</t>
        </is>
      </c>
      <c r="E3260" t="n">
        <v>5.95</v>
      </c>
      <c r="F3260" t="n">
        <v>1</v>
      </c>
      <c r="G3260" t="n">
        <v>5</v>
      </c>
      <c r="H3260" s="5">
        <f>HYPERLINK("https://api.qogita.com/variants/link/6423080607282/", "View Product")</f>
        <v/>
      </c>
    </row>
    <row r="3261">
      <c r="A3261" t="inlineStr">
        <is>
          <t>6423080727096</t>
        </is>
      </c>
      <c r="B3261" t="inlineStr">
        <is>
          <t>Paris Corner Emir Opulentia Primus - Eau De Parfum</t>
        </is>
      </c>
      <c r="C3261" t="inlineStr">
        <is>
          <t>Eau De Parfum</t>
        </is>
      </c>
      <c r="D3261" t="inlineStr">
        <is>
          <t>Paris Corner</t>
        </is>
      </c>
      <c r="E3261" t="n">
        <v>17.22</v>
      </c>
      <c r="F3261" t="n">
        <v>1</v>
      </c>
      <c r="G3261" t="n">
        <v>60</v>
      </c>
      <c r="H3261" s="5">
        <f>HYPERLINK("https://api.qogita.com/variants/link/6423080727096/", "View Product")</f>
        <v/>
      </c>
    </row>
    <row r="3262">
      <c r="A3262" t="inlineStr">
        <is>
          <t>6423080731369</t>
        </is>
      </c>
      <c r="B3262" t="inlineStr">
        <is>
          <t>Emir Atomise Intensive Men Eau De Parfum 100ml</t>
        </is>
      </c>
      <c r="C3262" t="inlineStr">
        <is>
          <t>Eau De Parfum</t>
        </is>
      </c>
      <c r="D3262" t="inlineStr">
        <is>
          <t>Emir</t>
        </is>
      </c>
      <c r="E3262" t="n">
        <v>13.2</v>
      </c>
      <c r="F3262" t="n">
        <v>1</v>
      </c>
      <c r="G3262" t="n">
        <v>52</v>
      </c>
      <c r="H3262" s="5">
        <f>HYPERLINK("https://api.qogita.com/variants/link/6423080731369/", "View Product")</f>
        <v/>
      </c>
    </row>
    <row r="3263">
      <c r="A3263" t="inlineStr">
        <is>
          <t>6426185651068</t>
        </is>
      </c>
      <c r="B3263" t="inlineStr">
        <is>
          <t>Lattafa Perfumes Pure Oudi Eau De Parfum 100ml And Deodorant Spray 50ml Gift Set</t>
        </is>
      </c>
      <c r="C3263" t="inlineStr">
        <is>
          <t>Fragrance Sets</t>
        </is>
      </c>
      <c r="D3263" t="inlineStr">
        <is>
          <t>Lattafa</t>
        </is>
      </c>
      <c r="E3263" t="n">
        <v>10.85</v>
      </c>
      <c r="F3263" t="n">
        <v>1</v>
      </c>
      <c r="G3263" t="n">
        <v>69</v>
      </c>
      <c r="H3263" s="5">
        <f>HYPERLINK("https://api.qogita.com/variants/link/6426185651068/", "View Product")</f>
        <v/>
      </c>
    </row>
    <row r="3264">
      <c r="A3264" t="inlineStr">
        <is>
          <t>6430021526663</t>
        </is>
      </c>
      <c r="B3264" t="inlineStr">
        <is>
          <t>Paris Corner Reham Vanilla Mood Eau De Parfum 100ml</t>
        </is>
      </c>
      <c r="C3264" t="inlineStr">
        <is>
          <t>Eau De Parfum</t>
        </is>
      </c>
      <c r="D3264" t="inlineStr">
        <is>
          <t>Paris Corner</t>
        </is>
      </c>
      <c r="E3264" t="n">
        <v>17.65</v>
      </c>
      <c r="F3264" t="n">
        <v>1</v>
      </c>
      <c r="G3264" t="n">
        <v>72</v>
      </c>
      <c r="H3264" s="5">
        <f>HYPERLINK("https://api.qogita.com/variants/link/6430021526663/", "View Product")</f>
        <v/>
      </c>
    </row>
    <row r="3265">
      <c r="A3265" t="inlineStr">
        <is>
          <t>6435000125578</t>
        </is>
      </c>
      <c r="B3265" t="inlineStr">
        <is>
          <t>Paris Corner Misty Dawn - Musk Collection Eau De Parfum 100ml</t>
        </is>
      </c>
      <c r="C3265" t="inlineStr">
        <is>
          <t>Eau De Parfum</t>
        </is>
      </c>
      <c r="D3265" t="inlineStr">
        <is>
          <t>Paris Corner</t>
        </is>
      </c>
      <c r="E3265" t="n">
        <v>17.45</v>
      </c>
      <c r="F3265" t="n">
        <v>1</v>
      </c>
      <c r="G3265" t="n">
        <v>5</v>
      </c>
      <c r="H3265" s="5">
        <f>HYPERLINK("https://api.qogita.com/variants/link/6435000125578/", "View Product")</f>
        <v/>
      </c>
    </row>
    <row r="3266">
      <c r="A3266" t="inlineStr">
        <is>
          <t>6629021040044</t>
        </is>
      </c>
      <c r="B3266" t="inlineStr">
        <is>
          <t>Azha Men's Taj Al Oud EDP Spray 3.3 Oz</t>
        </is>
      </c>
      <c r="C3266" t="inlineStr">
        <is>
          <t>Eau De Parfum</t>
        </is>
      </c>
      <c r="D3266" t="inlineStr">
        <is>
          <t>Azha</t>
        </is>
      </c>
      <c r="E3266" t="n">
        <v>13.37</v>
      </c>
      <c r="F3266" t="n">
        <v>1</v>
      </c>
      <c r="G3266" t="n">
        <v>32</v>
      </c>
      <c r="H3266" s="5">
        <f>HYPERLINK("https://api.qogita.com/variants/link/6629021040044/", "View Product")</f>
        <v/>
      </c>
    </row>
    <row r="3267">
      <c r="A3267" t="inlineStr">
        <is>
          <t>6629021040099</t>
        </is>
      </c>
      <c r="B3267" t="inlineStr">
        <is>
          <t>Azha Ashes Of Moon Eau De Parfum Spray 100ml</t>
        </is>
      </c>
      <c r="C3267" t="inlineStr">
        <is>
          <t>Eau De Parfum</t>
        </is>
      </c>
      <c r="D3267" t="inlineStr">
        <is>
          <t>Azha</t>
        </is>
      </c>
      <c r="E3267" t="n">
        <v>13.11</v>
      </c>
      <c r="F3267" t="n">
        <v>1</v>
      </c>
      <c r="G3267" t="n">
        <v>16</v>
      </c>
      <c r="H3267" s="5">
        <f>HYPERLINK("https://api.qogita.com/variants/link/6629021040099/", "View Product")</f>
        <v/>
      </c>
    </row>
    <row r="3268">
      <c r="A3268" t="inlineStr">
        <is>
          <t>6629021040105</t>
        </is>
      </c>
      <c r="B3268" t="inlineStr">
        <is>
          <t>Azha Ocean Breeze Eau De Parfum Spray 100ml</t>
        </is>
      </c>
      <c r="C3268" t="inlineStr">
        <is>
          <t>Eau De Parfum</t>
        </is>
      </c>
      <c r="D3268" t="inlineStr">
        <is>
          <t>Azha</t>
        </is>
      </c>
      <c r="E3268" t="n">
        <v>14.76</v>
      </c>
      <c r="F3268" t="n">
        <v>1</v>
      </c>
      <c r="G3268" t="n">
        <v>22</v>
      </c>
      <c r="H3268" s="5">
        <f>HYPERLINK("https://api.qogita.com/variants/link/6629021040105/", "View Product")</f>
        <v/>
      </c>
    </row>
    <row r="3269">
      <c r="A3269" t="inlineStr">
        <is>
          <t>6629021040129</t>
        </is>
      </c>
      <c r="B3269" t="inlineStr">
        <is>
          <t>Azha Eternal Nights Eau De Parfum Spray 100ml</t>
        </is>
      </c>
      <c r="C3269" t="inlineStr">
        <is>
          <t>Eau De Parfum</t>
        </is>
      </c>
      <c r="D3269" t="inlineStr">
        <is>
          <t>Azha</t>
        </is>
      </c>
      <c r="E3269" t="n">
        <v>13.37</v>
      </c>
      <c r="F3269" t="n">
        <v>1</v>
      </c>
      <c r="G3269" t="n">
        <v>14</v>
      </c>
      <c r="H3269" s="5">
        <f>HYPERLINK("https://api.qogita.com/variants/link/6629021040129/", "View Product")</f>
        <v/>
      </c>
    </row>
    <row r="3270">
      <c r="A3270" t="inlineStr">
        <is>
          <t>6629021040143</t>
        </is>
      </c>
      <c r="B3270" t="inlineStr">
        <is>
          <t>Azha Carambola for Her EDP 100ml</t>
        </is>
      </c>
      <c r="C3270" t="inlineStr">
        <is>
          <t>Eau De Parfum</t>
        </is>
      </c>
      <c r="D3270" t="inlineStr">
        <is>
          <t>Azha</t>
        </is>
      </c>
      <c r="E3270" t="n">
        <v>13.37</v>
      </c>
      <c r="F3270" t="n">
        <v>1</v>
      </c>
      <c r="G3270" t="n">
        <v>41</v>
      </c>
      <c r="H3270" s="5">
        <f>HYPERLINK("https://api.qogita.com/variants/link/6629021040143/", "View Product")</f>
        <v/>
      </c>
    </row>
    <row r="3271">
      <c r="A3271" t="inlineStr">
        <is>
          <t>6629021040181</t>
        </is>
      </c>
      <c r="B3271" t="inlineStr">
        <is>
          <t>Soroh For Him Eau de Parfum 100ml</t>
        </is>
      </c>
      <c r="C3271" t="inlineStr">
        <is>
          <t>Eau De Parfum</t>
        </is>
      </c>
      <c r="D3271" t="inlineStr">
        <is>
          <t>Azha</t>
        </is>
      </c>
      <c r="E3271" t="n">
        <v>21.47</v>
      </c>
      <c r="F3271" t="n">
        <v>1</v>
      </c>
      <c r="G3271" t="n">
        <v>9</v>
      </c>
      <c r="H3271" s="5">
        <f>HYPERLINK("https://api.qogita.com/variants/link/6629021040181/", "View Product")</f>
        <v/>
      </c>
    </row>
    <row r="3272">
      <c r="A3272" t="inlineStr">
        <is>
          <t>6629021040259</t>
        </is>
      </c>
      <c r="B3272" t="inlineStr">
        <is>
          <t>Mishmish Al Oud EDP 100ml by Azha</t>
        </is>
      </c>
      <c r="C3272" t="inlineStr">
        <is>
          <t>Eau De Parfum</t>
        </is>
      </c>
      <c r="D3272" t="inlineStr">
        <is>
          <t>Azha</t>
        </is>
      </c>
      <c r="E3272" t="n">
        <v>34.13</v>
      </c>
      <c r="F3272" t="n">
        <v>1</v>
      </c>
      <c r="G3272" t="n">
        <v>8</v>
      </c>
      <c r="H3272" s="5">
        <f>HYPERLINK("https://api.qogita.com/variants/link/6629021040259/", "View Product")</f>
        <v/>
      </c>
    </row>
    <row r="3273">
      <c r="A3273" t="inlineStr">
        <is>
          <t>6629021040266</t>
        </is>
      </c>
      <c r="B3273" t="inlineStr">
        <is>
          <t>Azha Oud'n Leder Eau de Parfum 100ml</t>
        </is>
      </c>
      <c r="C3273" t="inlineStr">
        <is>
          <t>Eau De Parfum</t>
        </is>
      </c>
      <c r="D3273" t="inlineStr">
        <is>
          <t>Azha</t>
        </is>
      </c>
      <c r="E3273" t="n">
        <v>34.13</v>
      </c>
      <c r="F3273" t="n">
        <v>1</v>
      </c>
      <c r="G3273" t="n">
        <v>10</v>
      </c>
      <c r="H3273" s="5">
        <f>HYPERLINK("https://api.qogita.com/variants/link/6629021040266/", "View Product")</f>
        <v/>
      </c>
    </row>
    <row r="3274">
      <c r="A3274" t="inlineStr">
        <is>
          <t>6629021040273</t>
        </is>
      </c>
      <c r="B3274" t="inlineStr">
        <is>
          <t>Azha Oud Celestial EDP 100ml</t>
        </is>
      </c>
      <c r="C3274" t="inlineStr">
        <is>
          <t>Eau De Parfum</t>
        </is>
      </c>
      <c r="D3274" t="inlineStr">
        <is>
          <t>Azha</t>
        </is>
      </c>
      <c r="E3274" t="n">
        <v>21.61</v>
      </c>
      <c r="F3274" t="n">
        <v>1</v>
      </c>
      <c r="G3274" t="n">
        <v>4</v>
      </c>
      <c r="H3274" s="5">
        <f>HYPERLINK("https://api.qogita.com/variants/link/6629021040273/", "View Product")</f>
        <v/>
      </c>
    </row>
    <row r="3275">
      <c r="A3275" t="inlineStr">
        <is>
          <t>6629021040303</t>
        </is>
      </c>
      <c r="B3275" t="inlineStr">
        <is>
          <t>Fuji Eau De Parfum 100ml by Azha</t>
        </is>
      </c>
      <c r="C3275" t="inlineStr">
        <is>
          <t>Eau De Parfum</t>
        </is>
      </c>
      <c r="D3275" t="inlineStr">
        <is>
          <t>Azha</t>
        </is>
      </c>
      <c r="E3275" t="n">
        <v>23.65</v>
      </c>
      <c r="F3275" t="n">
        <v>1</v>
      </c>
      <c r="G3275" t="n">
        <v>15</v>
      </c>
      <c r="H3275" s="5">
        <f>HYPERLINK("https://api.qogita.com/variants/link/6629021040303/", "View Product")</f>
        <v/>
      </c>
    </row>
    <row r="3276">
      <c r="A3276" t="inlineStr">
        <is>
          <t>6629021040341</t>
        </is>
      </c>
      <c r="B3276" t="inlineStr">
        <is>
          <t>Ombre Oriental EDP 100ml 3.3oz by Azha</t>
        </is>
      </c>
      <c r="C3276" t="inlineStr">
        <is>
          <t>Eau De Parfum</t>
        </is>
      </c>
      <c r="D3276" t="inlineStr">
        <is>
          <t>Azha</t>
        </is>
      </c>
      <c r="E3276" t="n">
        <v>27.64</v>
      </c>
      <c r="F3276" t="n">
        <v>1</v>
      </c>
      <c r="G3276" t="n">
        <v>7</v>
      </c>
      <c r="H3276" s="5">
        <f>HYPERLINK("https://api.qogita.com/variants/link/6629021040341/", "View Product")</f>
        <v/>
      </c>
    </row>
    <row r="3277">
      <c r="A3277" t="inlineStr">
        <is>
          <t>6629021040556</t>
        </is>
      </c>
      <c r="B3277" t="inlineStr">
        <is>
          <t>Azha Perfume Shafaq Eau De Parfum 100 Ml For Him</t>
        </is>
      </c>
      <c r="C3277" t="inlineStr">
        <is>
          <t>Eau De Parfum</t>
        </is>
      </c>
      <c r="D3277" t="inlineStr">
        <is>
          <t>Azha</t>
        </is>
      </c>
      <c r="E3277" t="n">
        <v>21.47</v>
      </c>
      <c r="F3277" t="n">
        <v>1</v>
      </c>
      <c r="G3277" t="n">
        <v>11</v>
      </c>
      <c r="H3277" s="5">
        <f>HYPERLINK("https://api.qogita.com/variants/link/6629021040556/", "View Product")</f>
        <v/>
      </c>
    </row>
    <row r="3278">
      <c r="A3278" t="inlineStr">
        <is>
          <t>6769824658135</t>
        </is>
      </c>
      <c r="B3278" t="inlineStr">
        <is>
          <t>Lattafa Skeikh Skuyukh Kusoosi Eau De Parfum Spray 100ml</t>
        </is>
      </c>
      <c r="C3278" t="inlineStr">
        <is>
          <t>Eau De Parfum</t>
        </is>
      </c>
      <c r="D3278" t="inlineStr">
        <is>
          <t>Lattafa</t>
        </is>
      </c>
      <c r="E3278" t="n">
        <v>8.48</v>
      </c>
      <c r="F3278" t="n">
        <v>1</v>
      </c>
      <c r="G3278" t="n">
        <v>11</v>
      </c>
      <c r="H3278" s="5">
        <f>HYPERLINK("https://api.qogita.com/variants/link/6769824658135/", "View Product")</f>
        <v/>
      </c>
    </row>
    <row r="3279">
      <c r="A3279" t="inlineStr">
        <is>
          <t>6902510632600</t>
        </is>
      </c>
      <c r="B3279" t="inlineStr">
        <is>
          <t>Jo Malone Honeysuckle &amp; Davana Eau De Cologne Spray 30ml</t>
        </is>
      </c>
      <c r="C3279" t="inlineStr">
        <is>
          <t>Eau De Cologne</t>
        </is>
      </c>
      <c r="D3279" t="inlineStr">
        <is>
          <t>Jo Malone London</t>
        </is>
      </c>
      <c r="E3279" t="n">
        <v>44.43</v>
      </c>
      <c r="F3279" t="n">
        <v>1</v>
      </c>
      <c r="G3279" t="n">
        <v>2</v>
      </c>
      <c r="H3279" s="5">
        <f>HYPERLINK("https://api.qogita.com/variants/link/6902510632600/", "View Product")</f>
        <v/>
      </c>
    </row>
    <row r="3280">
      <c r="A3280" t="inlineStr">
        <is>
          <t>6970810556131</t>
        </is>
      </c>
      <c r="B3280" t="inlineStr">
        <is>
          <t>Oclean Replacement Orthodontic Mouth Shower Nozzles N21-A10 Clear</t>
        </is>
      </c>
      <c r="C3280" t="inlineStr">
        <is>
          <t>Orthodontics &amp; Dentures</t>
        </is>
      </c>
      <c r="D3280" t="inlineStr">
        <is>
          <t>Oclean</t>
        </is>
      </c>
      <c r="E3280" t="n">
        <v>13.8</v>
      </c>
      <c r="F3280" t="n">
        <v>1</v>
      </c>
      <c r="G3280" t="n">
        <v>3</v>
      </c>
      <c r="H3280" s="5">
        <f>HYPERLINK("https://api.qogita.com/variants/link/6970810556131/", "View Product")</f>
        <v/>
      </c>
    </row>
    <row r="3281">
      <c r="A3281" t="inlineStr">
        <is>
          <t>6970810556148</t>
        </is>
      </c>
      <c r="B3281" t="inlineStr">
        <is>
          <t>Oclean Replacement Mouth Shower Nozzles N20-A10 Clear - 2 Pieces</t>
        </is>
      </c>
      <c r="C3281" t="inlineStr">
        <is>
          <t>Mouth &amp; Gum Care</t>
        </is>
      </c>
      <c r="D3281" t="inlineStr">
        <is>
          <t>Oclean</t>
        </is>
      </c>
      <c r="E3281" t="n">
        <v>13.8</v>
      </c>
      <c r="F3281" t="n">
        <v>1</v>
      </c>
      <c r="G3281" t="n">
        <v>3</v>
      </c>
      <c r="H3281" s="5">
        <f>HYPERLINK("https://api.qogita.com/variants/link/6970810556148/", "View Product")</f>
        <v/>
      </c>
    </row>
    <row r="3282">
      <c r="A3282" t="inlineStr">
        <is>
          <t>7290011521196</t>
        </is>
      </c>
      <c r="B3282" t="inlineStr">
        <is>
          <t>Moroccanoil Moisture Repair Shampoo 250ml Regenerating Shampoo For Weakened And Damaged Hair</t>
        </is>
      </c>
      <c r="C3282" t="inlineStr">
        <is>
          <t>Shampoo</t>
        </is>
      </c>
      <c r="D3282" t="inlineStr">
        <is>
          <t>Moroccanoil</t>
        </is>
      </c>
      <c r="E3282" t="n">
        <v>21.3</v>
      </c>
      <c r="F3282" t="n">
        <v>1</v>
      </c>
      <c r="G3282" t="n">
        <v>23</v>
      </c>
      <c r="H3282" s="5">
        <f>HYPERLINK("https://api.qogita.com/variants/link/7290011521196/", "View Product")</f>
        <v/>
      </c>
    </row>
    <row r="3283">
      <c r="A3283" t="inlineStr">
        <is>
          <t>7290011521202</t>
        </is>
      </c>
      <c r="B3283" t="inlineStr">
        <is>
          <t>Moroccanoil Moisture Repair Conditioner 250 Ml For Weakened And Damaged Hair</t>
        </is>
      </c>
      <c r="C3283" t="inlineStr">
        <is>
          <t>Conditioner</t>
        </is>
      </c>
      <c r="D3283" t="inlineStr">
        <is>
          <t>Moroccanoil</t>
        </is>
      </c>
      <c r="E3283" t="n">
        <v>19.72</v>
      </c>
      <c r="F3283" t="n">
        <v>1</v>
      </c>
      <c r="G3283" t="n">
        <v>53</v>
      </c>
      <c r="H3283" s="5">
        <f>HYPERLINK("https://api.qogita.com/variants/link/7290011521202/", "View Product")</f>
        <v/>
      </c>
    </row>
    <row r="3284">
      <c r="A3284" t="inlineStr">
        <is>
          <t>7290011521318</t>
        </is>
      </c>
      <c r="B3284" t="inlineStr">
        <is>
          <t>Moroccanoil Paddle Brush Rectangular Professional Hair Care</t>
        </is>
      </c>
      <c r="C3284" t="inlineStr">
        <is>
          <t>Flat &amp; Paddle Brushes</t>
        </is>
      </c>
      <c r="D3284" t="inlineStr">
        <is>
          <t>Moroccanoil</t>
        </is>
      </c>
      <c r="E3284" t="n">
        <v>21.86</v>
      </c>
      <c r="F3284" t="n">
        <v>1</v>
      </c>
      <c r="G3284" t="n">
        <v>20</v>
      </c>
      <c r="H3284" s="5">
        <f>HYPERLINK("https://api.qogita.com/variants/link/7290011521318/", "View Product")</f>
        <v/>
      </c>
    </row>
    <row r="3285">
      <c r="A3285" t="inlineStr">
        <is>
          <t>7290011521400</t>
        </is>
      </c>
      <c r="B3285" t="inlineStr">
        <is>
          <t>Moroccanoil Curl Defining Cream 75ml</t>
        </is>
      </c>
      <c r="C3285" t="inlineStr">
        <is>
          <t>Styling Creams</t>
        </is>
      </c>
      <c r="D3285" t="inlineStr">
        <is>
          <t>Moroccanoil</t>
        </is>
      </c>
      <c r="E3285" t="n">
        <v>11.94</v>
      </c>
      <c r="F3285" t="n">
        <v>1</v>
      </c>
      <c r="G3285" t="n">
        <v>15</v>
      </c>
      <c r="H3285" s="5">
        <f>HYPERLINK("https://api.qogita.com/variants/link/7290011521400/", "View Product")</f>
        <v/>
      </c>
    </row>
    <row r="3286">
      <c r="A3286" t="inlineStr">
        <is>
          <t>7290011521592</t>
        </is>
      </c>
      <c r="B3286" t="inlineStr">
        <is>
          <t>Finish Luminous Hairspray With Gloss Effect Medium 330ml</t>
        </is>
      </c>
      <c r="C3286" t="inlineStr">
        <is>
          <t>Hairspray</t>
        </is>
      </c>
      <c r="D3286" t="inlineStr">
        <is>
          <t>Finish</t>
        </is>
      </c>
      <c r="E3286" t="n">
        <v>22.31</v>
      </c>
      <c r="F3286" t="n">
        <v>1</v>
      </c>
      <c r="G3286" t="n">
        <v>27</v>
      </c>
      <c r="H3286" s="5">
        <f>HYPERLINK("https://api.qogita.com/variants/link/7290011521592/", "View Product")</f>
        <v/>
      </c>
    </row>
    <row r="3287">
      <c r="A3287" t="inlineStr">
        <is>
          <t>7290011521738</t>
        </is>
      </c>
      <c r="B3287" t="inlineStr">
        <is>
          <t>Moroccanoil Extra Volume Shampoo 250 Ml For All Types Of Hair</t>
        </is>
      </c>
      <c r="C3287" t="inlineStr">
        <is>
          <t>Shampoo</t>
        </is>
      </c>
      <c r="D3287" t="inlineStr">
        <is>
          <t>Moroccanoil</t>
        </is>
      </c>
      <c r="E3287" t="n">
        <v>18.65</v>
      </c>
      <c r="F3287" t="n">
        <v>1</v>
      </c>
      <c r="G3287" t="n">
        <v>5</v>
      </c>
      <c r="H3287" s="5">
        <f>HYPERLINK("https://api.qogita.com/variants/link/7290011521738/", "View Product")</f>
        <v/>
      </c>
    </row>
    <row r="3288">
      <c r="A3288" t="inlineStr">
        <is>
          <t>7290011521776</t>
        </is>
      </c>
      <c r="B3288" t="inlineStr">
        <is>
          <t>Moroccanoil Extra Volume Conditioner 1000ml For Fine To Medium Hair</t>
        </is>
      </c>
      <c r="C3288" t="inlineStr">
        <is>
          <t>Conditioner</t>
        </is>
      </c>
      <c r="D3288" t="inlineStr">
        <is>
          <t>Moroccanoil</t>
        </is>
      </c>
      <c r="E3288" t="n">
        <v>40.55</v>
      </c>
      <c r="F3288" t="n">
        <v>1</v>
      </c>
      <c r="G3288" t="n">
        <v>2</v>
      </c>
      <c r="H3288" s="5">
        <f>HYPERLINK("https://api.qogita.com/variants/link/7290011521776/", "View Product")</f>
        <v/>
      </c>
    </row>
    <row r="3289">
      <c r="A3289" t="inlineStr">
        <is>
          <t>7290013627469</t>
        </is>
      </c>
      <c r="B3289" t="inlineStr">
        <is>
          <t>Moroccanoil Luminous Hair Spray Strong 75ml</t>
        </is>
      </c>
      <c r="C3289" t="inlineStr">
        <is>
          <t>Hairspray</t>
        </is>
      </c>
      <c r="D3289" t="inlineStr">
        <is>
          <t>Moroccanoil</t>
        </is>
      </c>
      <c r="E3289" t="n">
        <v>10.44</v>
      </c>
      <c r="F3289" t="n">
        <v>1</v>
      </c>
      <c r="G3289" t="n">
        <v>5</v>
      </c>
      <c r="H3289" s="5">
        <f>HYPERLINK("https://api.qogita.com/variants/link/7290013627469/", "View Product")</f>
        <v/>
      </c>
    </row>
    <row r="3290">
      <c r="A3290" t="inlineStr">
        <is>
          <t>7290015485951</t>
        </is>
      </c>
      <c r="B3290" t="inlineStr">
        <is>
          <t>Moroccanoil Dry Shampoo Dark Tones 205ml And 217ml For Unisex</t>
        </is>
      </c>
      <c r="C3290" t="inlineStr">
        <is>
          <t>Dry Shampoo</t>
        </is>
      </c>
      <c r="D3290" t="inlineStr">
        <is>
          <t>Moroccanoil</t>
        </is>
      </c>
      <c r="E3290" t="n">
        <v>19.52</v>
      </c>
      <c r="F3290" t="n">
        <v>1</v>
      </c>
      <c r="G3290" t="n">
        <v>6</v>
      </c>
      <c r="H3290" s="5">
        <f>HYPERLINK("https://api.qogita.com/variants/link/7290015485951/", "View Product")</f>
        <v/>
      </c>
    </row>
    <row r="3291">
      <c r="A3291" t="inlineStr">
        <is>
          <t>7290015629461</t>
        </is>
      </c>
      <c r="B3291" t="inlineStr">
        <is>
          <t>Moroccanoil Dry Shampoo Dark Tones 65ml Professional Hair Care</t>
        </is>
      </c>
      <c r="C3291" t="inlineStr">
        <is>
          <t>Dry Shampoo</t>
        </is>
      </c>
      <c r="D3291" t="inlineStr">
        <is>
          <t>Moroccanoil</t>
        </is>
      </c>
      <c r="E3291" t="n">
        <v>9.98</v>
      </c>
      <c r="F3291" t="n">
        <v>1</v>
      </c>
      <c r="G3291" t="n">
        <v>12</v>
      </c>
      <c r="H3291" s="5">
        <f>HYPERLINK("https://api.qogita.com/variants/link/7290015629461/", "View Product")</f>
        <v/>
      </c>
    </row>
    <row r="3292">
      <c r="A3292" t="inlineStr">
        <is>
          <t>7290016033601</t>
        </is>
      </c>
      <c r="B3292" t="inlineStr">
        <is>
          <t>Moroccanoil Dry Texture Spray 205ml Longlasting Hair Strengthening Spray</t>
        </is>
      </c>
      <c r="C3292" t="inlineStr">
        <is>
          <t>Styling Sprays</t>
        </is>
      </c>
      <c r="D3292" t="inlineStr">
        <is>
          <t>Moroccanoil</t>
        </is>
      </c>
      <c r="E3292" t="n">
        <v>24.09</v>
      </c>
      <c r="F3292" t="n">
        <v>1</v>
      </c>
      <c r="G3292" t="n">
        <v>19</v>
      </c>
      <c r="H3292" s="5">
        <f>HYPERLINK("https://api.qogita.com/variants/link/7290016033601/", "View Product")</f>
        <v/>
      </c>
    </row>
    <row r="3293">
      <c r="A3293" t="inlineStr">
        <is>
          <t>7290017279077</t>
        </is>
      </c>
      <c r="B3293" t="inlineStr">
        <is>
          <t>Moroccanoil Color Complete Spray 160ml Protect &amp; Prevent Spray For Colored Hair</t>
        </is>
      </c>
      <c r="C3293" t="inlineStr">
        <is>
          <t>Uv Protection</t>
        </is>
      </c>
      <c r="D3293" t="inlineStr">
        <is>
          <t>Moroccanoil</t>
        </is>
      </c>
      <c r="E3293" t="n">
        <v>25.71</v>
      </c>
      <c r="F3293" t="n">
        <v>1</v>
      </c>
      <c r="G3293" t="n">
        <v>2</v>
      </c>
      <c r="H3293" s="5">
        <f>HYPERLINK("https://api.qogita.com/variants/link/7290017279077/", "View Product")</f>
        <v/>
      </c>
    </row>
    <row r="3294">
      <c r="A3294" t="inlineStr">
        <is>
          <t>7290112451422</t>
        </is>
      </c>
      <c r="B3294" t="inlineStr">
        <is>
          <t>Silk'n Replacement Heads For Toothwave Soft Large Toothbrush Black 2 Pieces</t>
        </is>
      </c>
      <c r="C3294" t="inlineStr">
        <is>
          <t>Toothbrushes &amp; Tongue Cleaners</t>
        </is>
      </c>
      <c r="D3294" t="inlineStr">
        <is>
          <t>Silk'n</t>
        </is>
      </c>
      <c r="E3294" t="n">
        <v>29.64</v>
      </c>
      <c r="F3294" t="n">
        <v>1</v>
      </c>
      <c r="G3294" t="n">
        <v>3</v>
      </c>
      <c r="H3294" s="5">
        <f>HYPERLINK("https://api.qogita.com/variants/link/7290112451422/", "View Product")</f>
        <v/>
      </c>
    </row>
    <row r="3295">
      <c r="A3295" t="inlineStr">
        <is>
          <t>7290112451439</t>
        </is>
      </c>
      <c r="B3295" t="inlineStr">
        <is>
          <t>Silkn ToothWave Refill Black TWRS2PEUZ001</t>
        </is>
      </c>
      <c r="C3295" t="inlineStr">
        <is>
          <t>Electric Toothbrushes</t>
        </is>
      </c>
      <c r="D3295" t="inlineStr">
        <is>
          <t>Silk'n</t>
        </is>
      </c>
      <c r="E3295" t="n">
        <v>29.64</v>
      </c>
      <c r="F3295" t="n">
        <v>1</v>
      </c>
      <c r="G3295" t="n">
        <v>2</v>
      </c>
      <c r="H3295" s="5">
        <f>HYPERLINK("https://api.qogita.com/variants/link/7290112451439/", "View Product")</f>
        <v/>
      </c>
    </row>
    <row r="3296">
      <c r="A3296" t="inlineStr">
        <is>
          <t>7290113140028</t>
        </is>
      </c>
      <c r="B3296" t="inlineStr">
        <is>
          <t>Moroccanoil Blonde Perfecting Purple Shampoo</t>
        </is>
      </c>
      <c r="C3296" t="inlineStr">
        <is>
          <t>Shampoo</t>
        </is>
      </c>
      <c r="D3296" t="inlineStr">
        <is>
          <t>Moroccanoil</t>
        </is>
      </c>
      <c r="E3296" t="n">
        <v>54.27</v>
      </c>
      <c r="F3296" t="n">
        <v>1</v>
      </c>
      <c r="G3296" t="n">
        <v>5</v>
      </c>
      <c r="H3296" s="5">
        <f>HYPERLINK("https://api.qogita.com/variants/link/7290113140028/", "View Product")</f>
        <v/>
      </c>
    </row>
    <row r="3297">
      <c r="A3297" t="inlineStr">
        <is>
          <t>7290113140479</t>
        </is>
      </c>
      <c r="B3297" t="inlineStr">
        <is>
          <t>Body Polishing Scrub 200ml</t>
        </is>
      </c>
      <c r="C3297" t="inlineStr">
        <is>
          <t>Body Scrub &amp; Peeling</t>
        </is>
      </c>
      <c r="D3297" t="inlineStr">
        <is>
          <t>Moroccanoil</t>
        </is>
      </c>
      <c r="E3297" t="n">
        <v>27.95</v>
      </c>
      <c r="F3297" t="n">
        <v>1</v>
      </c>
      <c r="G3297" t="n">
        <v>6</v>
      </c>
      <c r="H3297" s="5">
        <f>HYPERLINK("https://api.qogita.com/variants/link/7290113140479/", "View Product")</f>
        <v/>
      </c>
    </row>
    <row r="3298">
      <c r="A3298" t="inlineStr">
        <is>
          <t>7290113140660</t>
        </is>
      </c>
      <c r="B3298" t="inlineStr">
        <is>
          <t>Moroccanoil Color Depositing Mask Hibiscus 200ml</t>
        </is>
      </c>
      <c r="C3298" t="inlineStr">
        <is>
          <t>Hair Masks</t>
        </is>
      </c>
      <c r="D3298" t="inlineStr">
        <is>
          <t>Moroccanoil</t>
        </is>
      </c>
      <c r="E3298" t="n">
        <v>23.8</v>
      </c>
      <c r="F3298" t="n">
        <v>1</v>
      </c>
      <c r="G3298" t="n">
        <v>4</v>
      </c>
      <c r="H3298" s="5">
        <f>HYPERLINK("https://api.qogita.com/variants/link/7290113140660/", "View Product")</f>
        <v/>
      </c>
    </row>
    <row r="3299">
      <c r="A3299" t="inlineStr">
        <is>
          <t>7290113140752</t>
        </is>
      </c>
      <c r="B3299" t="inlineStr">
        <is>
          <t>Moroccanoil Color Depositing Mask Bordeaux 30ml Hair Toning Mask</t>
        </is>
      </c>
      <c r="C3299" t="inlineStr">
        <is>
          <t>Hair Masks</t>
        </is>
      </c>
      <c r="D3299" t="inlineStr">
        <is>
          <t>Moroccanoil</t>
        </is>
      </c>
      <c r="E3299" t="n">
        <v>7.06</v>
      </c>
      <c r="F3299" t="n">
        <v>1</v>
      </c>
      <c r="G3299" t="n">
        <v>5</v>
      </c>
      <c r="H3299" s="5">
        <f>HYPERLINK("https://api.qogita.com/variants/link/7290113140752/", "View Product")</f>
        <v/>
      </c>
    </row>
    <row r="3300">
      <c r="A3300" t="inlineStr">
        <is>
          <t>7290113145269</t>
        </is>
      </c>
      <c r="B3300" t="inlineStr">
        <is>
          <t>Moroccanoil Color Care Blonde Perfecting Purple Conditioner 70ml</t>
        </is>
      </c>
      <c r="C3300" t="inlineStr">
        <is>
          <t>Conditioner</t>
        </is>
      </c>
      <c r="D3300" t="inlineStr">
        <is>
          <t>Moroccanoil</t>
        </is>
      </c>
      <c r="E3300" t="n">
        <v>10.44</v>
      </c>
      <c r="F3300" t="n">
        <v>1</v>
      </c>
      <c r="G3300" t="n">
        <v>5</v>
      </c>
      <c r="H3300" s="5">
        <f>HYPERLINK("https://api.qogita.com/variants/link/7290113145269/", "View Product")</f>
        <v/>
      </c>
    </row>
    <row r="3301">
      <c r="A3301" t="inlineStr">
        <is>
          <t>7290113145337</t>
        </is>
      </c>
      <c r="B3301" t="inlineStr">
        <is>
          <t>Moroccanoil Oud Mineral Hand Wash Liquid Hand Soap With Argan Oil And Hyaluronic Acid 360 Ml</t>
        </is>
      </c>
      <c r="C3301" t="inlineStr">
        <is>
          <t>Hand Soap</t>
        </is>
      </c>
      <c r="D3301" t="inlineStr">
        <is>
          <t>Moroccanoil</t>
        </is>
      </c>
      <c r="E3301" t="n">
        <v>17.5</v>
      </c>
      <c r="F3301" t="n">
        <v>1</v>
      </c>
      <c r="G3301" t="n">
        <v>2</v>
      </c>
      <c r="H3301" s="5">
        <f>HYPERLINK("https://api.qogita.com/variants/link/7290113145337/", "View Product")</f>
        <v/>
      </c>
    </row>
    <row r="3302">
      <c r="A3302" t="inlineStr">
        <is>
          <t>7290113145832</t>
        </is>
      </c>
      <c r="B3302" t="inlineStr">
        <is>
          <t>Moroccanoil Moisturizing Conditioner For Colored Hair Color Care</t>
        </is>
      </c>
      <c r="C3302" t="inlineStr">
        <is>
          <t>Conditioner</t>
        </is>
      </c>
      <c r="D3302" t="inlineStr">
        <is>
          <t>Moroccanoil</t>
        </is>
      </c>
      <c r="E3302" t="n">
        <v>56.65</v>
      </c>
      <c r="F3302" t="n">
        <v>1</v>
      </c>
      <c r="G3302" t="n">
        <v>2</v>
      </c>
      <c r="H3302" s="5">
        <f>HYPERLINK("https://api.qogita.com/variants/link/7290113145832/", "View Product")</f>
        <v/>
      </c>
    </row>
    <row r="3303">
      <c r="A3303" t="inlineStr">
        <is>
          <t>7290113145894</t>
        </is>
      </c>
      <c r="B3303" t="inlineStr">
        <is>
          <t>Moroccanoil Moisturizing Conditioner For Colored Hair Color Care 70ml</t>
        </is>
      </c>
      <c r="C3303" t="inlineStr">
        <is>
          <t>Conditioner</t>
        </is>
      </c>
      <c r="D3303" t="inlineStr">
        <is>
          <t>Moroccanoil</t>
        </is>
      </c>
      <c r="E3303" t="n">
        <v>10.44</v>
      </c>
      <c r="F3303" t="n">
        <v>1</v>
      </c>
      <c r="G3303" t="n">
        <v>11</v>
      </c>
      <c r="H3303" s="5">
        <f>HYPERLINK("https://api.qogita.com/variants/link/7290113145894/", "View Product")</f>
        <v/>
      </c>
    </row>
    <row r="3304">
      <c r="A3304" t="inlineStr">
        <is>
          <t>7290113146440</t>
        </is>
      </c>
      <c r="B3304" t="inlineStr">
        <is>
          <t>Moroccanoil Ambre Noir Hand Cream 40ml</t>
        </is>
      </c>
      <c r="C3304" t="inlineStr">
        <is>
          <t>Hand Cream</t>
        </is>
      </c>
      <c r="D3304" t="inlineStr">
        <is>
          <t>Moroccanoil</t>
        </is>
      </c>
      <c r="E3304" t="n">
        <v>8.289999999999999</v>
      </c>
      <c r="F3304" t="n">
        <v>1</v>
      </c>
      <c r="G3304" t="n">
        <v>4</v>
      </c>
      <c r="H3304" s="5">
        <f>HYPERLINK("https://api.qogita.com/variants/link/7290113146440/", "View Product")</f>
        <v/>
      </c>
    </row>
    <row r="3305">
      <c r="A3305" t="inlineStr">
        <is>
          <t>7290113146532</t>
        </is>
      </c>
      <c r="B3305" t="inlineStr">
        <is>
          <t>Moroccanoil Hand Cream Fragrance Originale 100ml</t>
        </is>
      </c>
      <c r="C3305" t="inlineStr">
        <is>
          <t>Hand Cream</t>
        </is>
      </c>
      <c r="D3305" t="inlineStr">
        <is>
          <t>Moroccanoil</t>
        </is>
      </c>
      <c r="E3305" t="n">
        <v>13.27</v>
      </c>
      <c r="F3305" t="n">
        <v>1</v>
      </c>
      <c r="G3305" t="n">
        <v>2</v>
      </c>
      <c r="H3305" s="5">
        <f>HYPERLINK("https://api.qogita.com/variants/link/7290113146532/", "View Product")</f>
        <v/>
      </c>
    </row>
    <row r="3306">
      <c r="A3306" t="inlineStr">
        <is>
          <t>7290113146570</t>
        </is>
      </c>
      <c r="B3306" t="inlineStr">
        <is>
          <t>Moroccanoil Oud Mineral Body Lotion 360 Ml</t>
        </is>
      </c>
      <c r="C3306" t="inlineStr">
        <is>
          <t>Body Lotion</t>
        </is>
      </c>
      <c r="D3306" t="inlineStr">
        <is>
          <t>Moroccanoil</t>
        </is>
      </c>
      <c r="E3306" t="n">
        <v>24.87</v>
      </c>
      <c r="F3306" t="n">
        <v>1</v>
      </c>
      <c r="G3306" t="n">
        <v>6</v>
      </c>
      <c r="H3306" s="5">
        <f>HYPERLINK("https://api.qogita.com/variants/link/7290113146570/", "View Product")</f>
        <v/>
      </c>
    </row>
    <row r="3307">
      <c r="A3307" t="inlineStr">
        <is>
          <t>7290116972411</t>
        </is>
      </c>
      <c r="B3307" t="inlineStr">
        <is>
          <t>Moroccanoil Frizz Shield Spray 160ml</t>
        </is>
      </c>
      <c r="C3307" t="inlineStr">
        <is>
          <t>Hairspray</t>
        </is>
      </c>
      <c r="D3307" t="inlineStr">
        <is>
          <t>Moroccanoil</t>
        </is>
      </c>
      <c r="E3307" t="n">
        <v>24.25</v>
      </c>
      <c r="F3307" t="n">
        <v>1</v>
      </c>
      <c r="G3307" t="n">
        <v>27</v>
      </c>
      <c r="H3307" s="5">
        <f>HYPERLINK("https://api.qogita.com/variants/link/7290116972411/", "View Product")</f>
        <v/>
      </c>
    </row>
    <row r="3308">
      <c r="A3308" t="inlineStr">
        <is>
          <t>7290116972428</t>
        </is>
      </c>
      <c r="B3308" t="inlineStr">
        <is>
          <t>Moroccanoil Frizz Control Spray Antifrizz Protector 50ml</t>
        </is>
      </c>
      <c r="C3308" t="inlineStr">
        <is>
          <t>Uv Protection</t>
        </is>
      </c>
      <c r="D3308" t="inlineStr">
        <is>
          <t>Moroccanoil</t>
        </is>
      </c>
      <c r="E3308" t="n">
        <v>11.98</v>
      </c>
      <c r="F3308" t="n">
        <v>1</v>
      </c>
      <c r="G3308" t="n">
        <v>23</v>
      </c>
      <c r="H3308" s="5">
        <f>HYPERLINK("https://api.qogita.com/variants/link/7290116972428/", "View Product")</f>
        <v/>
      </c>
    </row>
    <row r="3309">
      <c r="A3309" t="inlineStr">
        <is>
          <t>7290116972466</t>
        </is>
      </c>
      <c r="B3309" t="inlineStr">
        <is>
          <t>Moroccanoil Frizz Control Shampoo 250ml</t>
        </is>
      </c>
      <c r="C3309" t="inlineStr">
        <is>
          <t>Shampoo</t>
        </is>
      </c>
      <c r="D3309" t="inlineStr">
        <is>
          <t>Moroccanoil</t>
        </is>
      </c>
      <c r="E3309" t="n">
        <v>27.35</v>
      </c>
      <c r="F3309" t="n">
        <v>1</v>
      </c>
      <c r="G3309" t="n">
        <v>4</v>
      </c>
      <c r="H3309" s="5">
        <f>HYPERLINK("https://api.qogita.com/variants/link/7290116972466/", "View Product")</f>
        <v/>
      </c>
    </row>
    <row r="3310">
      <c r="A3310" t="inlineStr">
        <is>
          <t>7290116974118</t>
        </is>
      </c>
      <c r="B3310" t="inlineStr">
        <is>
          <t>Moroccanoil Purple Treatment for Blonde Lightened or Grey Hair Deluxe Sample</t>
        </is>
      </c>
      <c r="C3310" t="inlineStr">
        <is>
          <t>Hair Oil &amp; Hair Serum</t>
        </is>
      </c>
      <c r="D3310" t="inlineStr">
        <is>
          <t>Moroccanoil</t>
        </is>
      </c>
      <c r="E3310" t="n">
        <v>4.93</v>
      </c>
      <c r="F3310" t="n">
        <v>1</v>
      </c>
      <c r="G3310" t="n">
        <v>3</v>
      </c>
      <c r="H3310" s="5">
        <f>HYPERLINK("https://api.qogita.com/variants/link/7290116974118/", "View Product")</f>
        <v/>
      </c>
    </row>
    <row r="3311">
      <c r="A3311" t="inlineStr">
        <is>
          <t>7290116977720</t>
        </is>
      </c>
      <c r="B3311" t="inlineStr">
        <is>
          <t>Moroccanoil Volume Spring Coffret By Moroccanoil</t>
        </is>
      </c>
      <c r="C3311" t="inlineStr">
        <is>
          <t>Hair Care Sets</t>
        </is>
      </c>
      <c r="D3311" t="inlineStr">
        <is>
          <t>Moroccanoil</t>
        </is>
      </c>
      <c r="E3311" t="n">
        <v>44.68</v>
      </c>
      <c r="F3311" t="n">
        <v>1</v>
      </c>
      <c r="G3311" t="n">
        <v>21</v>
      </c>
      <c r="H3311" s="5">
        <f>HYPERLINK("https://api.qogita.com/variants/link/7290116977720/", "View Product")</f>
        <v/>
      </c>
    </row>
    <row r="3312">
      <c r="A3312" t="inlineStr">
        <is>
          <t>7317400002361</t>
        </is>
      </c>
      <c r="B3312" t="inlineStr">
        <is>
          <t>Tepe Interdental Brush Extra Soft 08 Mm 8 Pcs</t>
        </is>
      </c>
      <c r="C3312" t="inlineStr">
        <is>
          <t>Mouth &amp; Gum Care</t>
        </is>
      </c>
      <c r="D3312" t="inlineStr">
        <is>
          <t>Tepe</t>
        </is>
      </c>
      <c r="E3312" t="n">
        <v>3.66</v>
      </c>
      <c r="F3312" t="n">
        <v>1</v>
      </c>
      <c r="G3312" t="n">
        <v>17</v>
      </c>
      <c r="H3312" s="5">
        <f>HYPERLINK("https://api.qogita.com/variants/link/7317400002361/", "View Product")</f>
        <v/>
      </c>
    </row>
    <row r="3313">
      <c r="A3313" t="inlineStr">
        <is>
          <t>7317400011592</t>
        </is>
      </c>
      <c r="B3313" t="inlineStr">
        <is>
          <t>Tepe Angle Interdental Brush Yellow 07 Mm Pack Of 6</t>
        </is>
      </c>
      <c r="C3313" t="inlineStr">
        <is>
          <t>Mouth &amp; Gum Care</t>
        </is>
      </c>
      <c r="D3313" t="inlineStr">
        <is>
          <t>Tepe</t>
        </is>
      </c>
      <c r="E3313" t="n">
        <v>3.86</v>
      </c>
      <c r="F3313" t="n">
        <v>1</v>
      </c>
      <c r="G3313" t="n">
        <v>17</v>
      </c>
      <c r="H3313" s="5">
        <f>HYPERLINK("https://api.qogita.com/variants/link/7317400011592/", "View Product")</f>
        <v/>
      </c>
    </row>
    <row r="3314">
      <c r="A3314" t="inlineStr">
        <is>
          <t>7317400011622</t>
        </is>
      </c>
      <c r="B3314" t="inlineStr">
        <is>
          <t>Tepe Angle Interdental Brush Green 08 Mm 6 Pieces</t>
        </is>
      </c>
      <c r="C3314" t="inlineStr">
        <is>
          <t>Orthodontics &amp; Dentures</t>
        </is>
      </c>
      <c r="D3314" t="inlineStr">
        <is>
          <t>Tepe</t>
        </is>
      </c>
      <c r="E3314" t="n">
        <v>4.07</v>
      </c>
      <c r="F3314" t="n">
        <v>1</v>
      </c>
      <c r="G3314" t="n">
        <v>22</v>
      </c>
      <c r="H3314" s="5">
        <f>HYPERLINK("https://api.qogita.com/variants/link/7317400011622/", "View Product")</f>
        <v/>
      </c>
    </row>
    <row r="3315">
      <c r="A3315" t="inlineStr">
        <is>
          <t>7317400015309</t>
        </is>
      </c>
      <c r="B3315" t="inlineStr">
        <is>
          <t>Tepe Interdental Brush Normal 045 Mm Orange 8 Pcs</t>
        </is>
      </c>
      <c r="C3315" t="inlineStr">
        <is>
          <t>Mouth &amp; Gum Care</t>
        </is>
      </c>
      <c r="D3315" t="inlineStr">
        <is>
          <t>Tepe</t>
        </is>
      </c>
      <c r="E3315" t="n">
        <v>3.89</v>
      </c>
      <c r="F3315" t="n">
        <v>1</v>
      </c>
      <c r="G3315" t="n">
        <v>29</v>
      </c>
      <c r="H3315" s="5">
        <f>HYPERLINK("https://api.qogita.com/variants/link/7317400015309/", "View Product")</f>
        <v/>
      </c>
    </row>
    <row r="3316">
      <c r="A3316" t="inlineStr">
        <is>
          <t>7319470012134</t>
        </is>
      </c>
      <c r="B3316" t="inlineStr">
        <is>
          <t>Nivea Sun Protect &amp; Bronze Activating Spray Balsam Natural Tan Spf30 200ml</t>
        </is>
      </c>
      <c r="C3316" t="inlineStr">
        <is>
          <t>Body Sun Protection</t>
        </is>
      </c>
      <c r="D3316" t="inlineStr">
        <is>
          <t>Nivea</t>
        </is>
      </c>
      <c r="E3316" t="n">
        <v>14.72</v>
      </c>
      <c r="F3316" t="n">
        <v>1</v>
      </c>
      <c r="G3316" t="n">
        <v>14</v>
      </c>
      <c r="H3316" s="5">
        <f>HYPERLINK("https://api.qogita.com/variants/link/7319470012134/", "View Product")</f>
        <v/>
      </c>
    </row>
    <row r="3317">
      <c r="A3317" t="inlineStr">
        <is>
          <t>7340032824537</t>
        </is>
      </c>
      <c r="B3317" t="inlineStr">
        <is>
          <t>Byredo Slow Dance Eau De Parfum Spray Unisex 3.3 Oz 100ml</t>
        </is>
      </c>
      <c r="C3317" t="inlineStr">
        <is>
          <t>Eau De Parfum</t>
        </is>
      </c>
      <c r="D3317" t="inlineStr">
        <is>
          <t>Byredo</t>
        </is>
      </c>
      <c r="E3317" t="n">
        <v>181.12</v>
      </c>
      <c r="F3317" t="n">
        <v>1</v>
      </c>
      <c r="G3317" t="n">
        <v>2</v>
      </c>
      <c r="H3317" s="5">
        <f>HYPERLINK("https://api.qogita.com/variants/link/7340032824537/", "View Product")</f>
        <v/>
      </c>
    </row>
    <row r="3318">
      <c r="A3318" t="inlineStr">
        <is>
          <t>7340032855302</t>
        </is>
      </c>
      <c r="B3318" t="inlineStr">
        <is>
          <t>Mixed Emotions By Byredo Eau De Parfum Spray 100ml</t>
        </is>
      </c>
      <c r="C3318" t="inlineStr">
        <is>
          <t>Eau De Parfum</t>
        </is>
      </c>
      <c r="D3318" t="inlineStr">
        <is>
          <t>Byredo</t>
        </is>
      </c>
      <c r="E3318" t="n">
        <v>173.06</v>
      </c>
      <c r="F3318" t="n">
        <v>1</v>
      </c>
      <c r="G3318" t="n">
        <v>14</v>
      </c>
      <c r="H3318" s="5">
        <f>HYPERLINK("https://api.qogita.com/variants/link/7340032855302/", "View Product")</f>
        <v/>
      </c>
    </row>
    <row r="3319">
      <c r="A3319" t="inlineStr">
        <is>
          <t>7340032860290</t>
        </is>
      </c>
      <c r="B3319" t="inlineStr">
        <is>
          <t>Byredo Black Saffron Eau De Parfum 50ml</t>
        </is>
      </c>
      <c r="C3319" t="inlineStr">
        <is>
          <t>Eau De Parfum</t>
        </is>
      </c>
      <c r="D3319" t="inlineStr">
        <is>
          <t>Byredo</t>
        </is>
      </c>
      <c r="E3319" t="n">
        <v>132.51</v>
      </c>
      <c r="F3319" t="n">
        <v>1</v>
      </c>
      <c r="G3319" t="n">
        <v>5</v>
      </c>
      <c r="H3319" s="5">
        <f>HYPERLINK("https://api.qogita.com/variants/link/7340032860290/", "View Product")</f>
        <v/>
      </c>
    </row>
    <row r="3320">
      <c r="A3320" t="inlineStr">
        <is>
          <t>7340032861013</t>
        </is>
      </c>
      <c r="B3320" t="inlineStr">
        <is>
          <t>Byredo Sunday Cologne Eau De Parfum Spray 50ml</t>
        </is>
      </c>
      <c r="C3320" t="inlineStr">
        <is>
          <t>Eau De Parfum</t>
        </is>
      </c>
      <c r="D3320" t="inlineStr">
        <is>
          <t>Byredo</t>
        </is>
      </c>
      <c r="E3320" t="n">
        <v>90.40000000000001</v>
      </c>
      <c r="F3320" t="n">
        <v>1</v>
      </c>
      <c r="G3320" t="n">
        <v>9</v>
      </c>
      <c r="H3320" s="5">
        <f>HYPERLINK("https://api.qogita.com/variants/link/7340032861013/", "View Product")</f>
        <v/>
      </c>
    </row>
    <row r="3321">
      <c r="A3321" t="inlineStr">
        <is>
          <t>7340032862614</t>
        </is>
      </c>
      <c r="B3321" t="inlineStr">
        <is>
          <t>Byredo Eyes Closed Eau De Parfum 50ml</t>
        </is>
      </c>
      <c r="C3321" t="inlineStr">
        <is>
          <t>Eau De Parfum</t>
        </is>
      </c>
      <c r="D3321" t="inlineStr">
        <is>
          <t>Byredo</t>
        </is>
      </c>
      <c r="E3321" t="n">
        <v>117.92</v>
      </c>
      <c r="F3321" t="n">
        <v>1</v>
      </c>
      <c r="G3321" t="n">
        <v>3</v>
      </c>
      <c r="H3321" s="5">
        <f>HYPERLINK("https://api.qogita.com/variants/link/7340032862614/", "View Product")</f>
        <v/>
      </c>
    </row>
    <row r="3322">
      <c r="A3322" t="inlineStr">
        <is>
          <t>7350016331210</t>
        </is>
      </c>
      <c r="B3322" t="inlineStr">
        <is>
          <t>SACHAJUAN Clear Thermal Protection 200ml</t>
        </is>
      </c>
      <c r="C3322" t="inlineStr">
        <is>
          <t>Uv Protection</t>
        </is>
      </c>
      <c r="D3322" t="inlineStr">
        <is>
          <t>Sachajuan</t>
        </is>
      </c>
      <c r="E3322" t="n">
        <v>20.17</v>
      </c>
      <c r="F3322" t="n">
        <v>1</v>
      </c>
      <c r="G3322" t="n">
        <v>3</v>
      </c>
      <c r="H3322" s="5">
        <f>HYPERLINK("https://api.qogita.com/variants/link/7350016331210/", "View Product")</f>
        <v/>
      </c>
    </row>
    <row r="3323">
      <c r="A3323" t="inlineStr">
        <is>
          <t>7350016331265</t>
        </is>
      </c>
      <c r="B3323" t="inlineStr">
        <is>
          <t>SACHAJUAN Scalp Shampoo 8.4 Fl Oz</t>
        </is>
      </c>
      <c r="C3323" t="inlineStr">
        <is>
          <t>Shampoo</t>
        </is>
      </c>
      <c r="D3323" t="inlineStr">
        <is>
          <t>Sachajuan</t>
        </is>
      </c>
      <c r="E3323" t="n">
        <v>17.9</v>
      </c>
      <c r="F3323" t="n">
        <v>1</v>
      </c>
      <c r="G3323" t="n">
        <v>19</v>
      </c>
      <c r="H3323" s="5">
        <f>HYPERLINK("https://api.qogita.com/variants/link/7350016331265/", "View Product")</f>
        <v/>
      </c>
    </row>
    <row r="3324">
      <c r="A3324" t="inlineStr">
        <is>
          <t>7350016331333</t>
        </is>
      </c>
      <c r="B3324" t="inlineStr">
        <is>
          <t>Sachajuan Normal Hair Shampoo</t>
        </is>
      </c>
      <c r="C3324" t="inlineStr">
        <is>
          <t>Shampoo</t>
        </is>
      </c>
      <c r="D3324" t="inlineStr">
        <is>
          <t>Sachajuan</t>
        </is>
      </c>
      <c r="E3324" t="n">
        <v>9.890000000000001</v>
      </c>
      <c r="F3324" t="n">
        <v>1</v>
      </c>
      <c r="G3324" t="n">
        <v>5</v>
      </c>
      <c r="H3324" s="5">
        <f>HYPERLINK("https://api.qogita.com/variants/link/7350016331333/", "View Product")</f>
        <v/>
      </c>
    </row>
    <row r="3325">
      <c r="A3325" t="inlineStr">
        <is>
          <t>0000000943741</t>
        </is>
      </c>
      <c r="B3325" t="inlineStr">
        <is>
          <t>Opi Nail Lacquer - Nail Polish 15 Ml Lacquer Passion</t>
        </is>
      </c>
      <c r="C3325" t="inlineStr">
        <is>
          <t>Nail Polish</t>
        </is>
      </c>
      <c r="D3325" t="inlineStr">
        <is>
          <t>OPI</t>
        </is>
      </c>
      <c r="E3325" t="n">
        <v>9.380000000000001</v>
      </c>
      <c r="F3325" t="n">
        <v>1</v>
      </c>
      <c r="G3325" t="n">
        <v>4</v>
      </c>
      <c r="H3325" s="5">
        <f>HYPERLINK("https://api.qogita.com/variants/link/0000000943741/", "View Product")</f>
        <v/>
      </c>
    </row>
    <row r="3326">
      <c r="A3326" t="inlineStr">
        <is>
          <t>0000009405615</t>
        </is>
      </c>
      <c r="B3326" t="inlineStr">
        <is>
          <t>OPI Nail Polish Red 15ml</t>
        </is>
      </c>
      <c r="C3326" t="inlineStr">
        <is>
          <t>Nail Polish</t>
        </is>
      </c>
      <c r="D3326" t="inlineStr">
        <is>
          <t>OPI</t>
        </is>
      </c>
      <c r="E3326" t="n">
        <v>8.460000000000001</v>
      </c>
      <c r="F3326" t="n">
        <v>1</v>
      </c>
      <c r="G3326" t="n">
        <v>2</v>
      </c>
      <c r="H3326" s="5">
        <f>HYPERLINK("https://api.qogita.com/variants/link/0000009405615/", "View Product")</f>
        <v/>
      </c>
    </row>
    <row r="3327">
      <c r="A3327" t="inlineStr">
        <is>
          <t>0000030079236</t>
        </is>
      </c>
      <c r="B3327" t="inlineStr">
        <is>
          <t>Maybelline Volum'Express Colossal Waterproof Mascara - Black</t>
        </is>
      </c>
      <c r="C3327" t="inlineStr">
        <is>
          <t>Mascara</t>
        </is>
      </c>
      <c r="D3327" t="inlineStr">
        <is>
          <t>L'Oréal Paris</t>
        </is>
      </c>
      <c r="E3327" t="n">
        <v>4.64</v>
      </c>
      <c r="F3327" t="n">
        <v>1</v>
      </c>
      <c r="G3327" t="n">
        <v>38</v>
      </c>
      <c r="H3327" s="5">
        <f>HYPERLINK("https://api.qogita.com/variants/link/0000030079236/", "View Product")</f>
        <v/>
      </c>
    </row>
    <row r="3328">
      <c r="A3328" t="inlineStr">
        <is>
          <t>0000030121232</t>
        </is>
      </c>
      <c r="B3328" t="inlineStr">
        <is>
          <t>Rimmel London Supergel Kate Nail Lacquer 025 Urban Purple 12ml</t>
        </is>
      </c>
      <c r="C3328" t="inlineStr">
        <is>
          <t>Nail Polish</t>
        </is>
      </c>
      <c r="D3328" t="inlineStr">
        <is>
          <t>Rimmel London</t>
        </is>
      </c>
      <c r="E3328" t="n">
        <v>1.91</v>
      </c>
      <c r="F3328" t="n">
        <v>1</v>
      </c>
      <c r="G3328" t="n">
        <v>2</v>
      </c>
      <c r="H3328" s="5">
        <f>HYPERLINK("https://api.qogita.com/variants/link/0000030121232/", "View Product")</f>
        <v/>
      </c>
    </row>
    <row r="3329">
      <c r="A3329" t="inlineStr">
        <is>
          <t>0000030122505</t>
        </is>
      </c>
      <c r="B3329" t="inlineStr">
        <is>
          <t>Rimmel Wonderluxe Volume Mascara 11ml</t>
        </is>
      </c>
      <c r="C3329" t="inlineStr">
        <is>
          <t>Mascara</t>
        </is>
      </c>
      <c r="D3329" t="inlineStr">
        <is>
          <t>Rimmel London</t>
        </is>
      </c>
      <c r="E3329" t="n">
        <v>4.85</v>
      </c>
      <c r="F3329" t="n">
        <v>1</v>
      </c>
      <c r="G3329" t="n">
        <v>25</v>
      </c>
      <c r="H3329" s="5">
        <f>HYPERLINK("https://api.qogita.com/variants/link/0000030122505/", "View Product")</f>
        <v/>
      </c>
    </row>
    <row r="3330">
      <c r="A3330" t="inlineStr">
        <is>
          <t>0000030144187</t>
        </is>
      </c>
      <c r="B3330" t="inlineStr">
        <is>
          <t>Maybelline New York Lash Sensational Firework Waterproof Mascara</t>
        </is>
      </c>
      <c r="C3330" t="inlineStr">
        <is>
          <t>Mascara</t>
        </is>
      </c>
      <c r="D3330" t="inlineStr">
        <is>
          <t>Maybelline</t>
        </is>
      </c>
      <c r="E3330" t="n">
        <v>10.95</v>
      </c>
      <c r="F3330" t="n">
        <v>1</v>
      </c>
      <c r="G3330" t="n">
        <v>5</v>
      </c>
      <c r="H3330" s="5">
        <f>HYPERLINK("https://api.qogita.com/variants/link/0000030144187/", "View Product")</f>
        <v/>
      </c>
    </row>
    <row r="3331">
      <c r="A3331" t="inlineStr">
        <is>
          <t>0000030144552</t>
        </is>
      </c>
      <c r="B3331" t="inlineStr">
        <is>
          <t>Maybelline Lash Sensational Sky High Mascara</t>
        </is>
      </c>
      <c r="C3331" t="inlineStr">
        <is>
          <t>Mascara</t>
        </is>
      </c>
      <c r="D3331" t="inlineStr">
        <is>
          <t>Maybelline</t>
        </is>
      </c>
      <c r="E3331" t="n">
        <v>7.09</v>
      </c>
      <c r="F3331" t="n">
        <v>1</v>
      </c>
      <c r="G3331" t="n">
        <v>105</v>
      </c>
      <c r="H3331" s="5">
        <f>HYPERLINK("https://api.qogita.com/variants/link/0000030144552/", "View Product")</f>
        <v/>
      </c>
    </row>
    <row r="3332">
      <c r="A3332" t="inlineStr">
        <is>
          <t>0000030144606</t>
        </is>
      </c>
      <c r="B3332" t="inlineStr">
        <is>
          <t>Essie Nail Color Classic Nail Polish - 958 Mismatch To Match - Brown 10 Ml</t>
        </is>
      </c>
      <c r="C3332" t="inlineStr">
        <is>
          <t>Nail Polish</t>
        </is>
      </c>
      <c r="D3332" t="inlineStr">
        <is>
          <t>Essie</t>
        </is>
      </c>
      <c r="E3332" t="n">
        <v>7.16</v>
      </c>
      <c r="F3332" t="n">
        <v>1</v>
      </c>
      <c r="G3332" t="n">
        <v>3</v>
      </c>
      <c r="H3332" s="5">
        <f>HYPERLINK("https://api.qogita.com/variants/link/0000030144606/", "View Product")</f>
        <v/>
      </c>
    </row>
    <row r="3333">
      <c r="A3333" t="inlineStr">
        <is>
          <t>0000030145535</t>
        </is>
      </c>
      <c r="B3333" t="inlineStr">
        <is>
          <t>Maybelline New York Smudge-Free Long Lasting Lip Colour Up to 16h Liquid</t>
        </is>
      </c>
      <c r="C3333" t="inlineStr">
        <is>
          <t>Lipstick</t>
        </is>
      </c>
      <c r="D3333" t="inlineStr">
        <is>
          <t>Maybelline</t>
        </is>
      </c>
      <c r="E3333" t="n">
        <v>9.69</v>
      </c>
      <c r="F3333" t="n">
        <v>1</v>
      </c>
      <c r="G3333" t="n">
        <v>17</v>
      </c>
      <c r="H3333" s="5">
        <f>HYPERLINK("https://api.qogita.com/variants/link/0000030145535/", "View Product")</f>
        <v/>
      </c>
    </row>
    <row r="3334">
      <c r="A3334" t="inlineStr">
        <is>
          <t>0000030146754</t>
        </is>
      </c>
      <c r="B3334" t="inlineStr">
        <is>
          <t>Maybelline Matte Liquid Lipstick Super Stay Teddy Tint - 5 Ml</t>
        </is>
      </c>
      <c r="C3334" t="inlineStr">
        <is>
          <t>Lipstick</t>
        </is>
      </c>
      <c r="D3334" t="inlineStr">
        <is>
          <t>Maybelline</t>
        </is>
      </c>
      <c r="E3334" t="n">
        <v>9.550000000000001</v>
      </c>
      <c r="F3334" t="n">
        <v>1</v>
      </c>
      <c r="G3334" t="n">
        <v>9</v>
      </c>
      <c r="H3334" s="5">
        <f>HYPERLINK("https://api.qogita.com/variants/link/0000030146754/", "View Product")</f>
        <v/>
      </c>
    </row>
    <row r="3335">
      <c r="A3335" t="inlineStr">
        <is>
          <t>0000030146785</t>
        </is>
      </c>
      <c r="B3335" t="inlineStr">
        <is>
          <t>Maybelline Matte Liquid Lipstick Super Stay Teddy Tint - 5 Ml</t>
        </is>
      </c>
      <c r="C3335" t="inlineStr">
        <is>
          <t>Lipstick</t>
        </is>
      </c>
      <c r="D3335" t="inlineStr">
        <is>
          <t>Maybelline</t>
        </is>
      </c>
      <c r="E3335" t="n">
        <v>9.550000000000001</v>
      </c>
      <c r="F3335" t="n">
        <v>1</v>
      </c>
      <c r="G3335" t="n">
        <v>9</v>
      </c>
      <c r="H3335" s="5">
        <f>HYPERLINK("https://api.qogita.com/variants/link/0000030146785/", "View Product")</f>
        <v/>
      </c>
    </row>
    <row r="3336">
      <c r="A3336" t="inlineStr">
        <is>
          <t>0000030146808</t>
        </is>
      </c>
      <c r="B3336" t="inlineStr">
        <is>
          <t>Maybelline Matte Liquid Lipstick Super Stay Teddy Tint - 5 Ml</t>
        </is>
      </c>
      <c r="C3336" t="inlineStr">
        <is>
          <t>Lipstick</t>
        </is>
      </c>
      <c r="D3336" t="inlineStr">
        <is>
          <t>Maybelline</t>
        </is>
      </c>
      <c r="E3336" t="n">
        <v>9.550000000000001</v>
      </c>
      <c r="F3336" t="n">
        <v>1</v>
      </c>
      <c r="G3336" t="n">
        <v>5</v>
      </c>
      <c r="H3336" s="5">
        <f>HYPERLINK("https://api.qogita.com/variants/link/0000030146808/", "View Product")</f>
        <v/>
      </c>
    </row>
    <row r="3337">
      <c r="A3337" t="inlineStr">
        <is>
          <t>0000030147348</t>
        </is>
      </c>
      <c r="B3337" t="inlineStr">
        <is>
          <t>Essie Nail Polish No. 896 To Me From Me Professional Blue Nail Color 13.5ml</t>
        </is>
      </c>
      <c r="C3337" t="inlineStr">
        <is>
          <t>Nail Polish</t>
        </is>
      </c>
      <c r="D3337" t="inlineStr">
        <is>
          <t>Maybelline</t>
        </is>
      </c>
      <c r="E3337" t="n">
        <v>5.47</v>
      </c>
      <c r="F3337" t="n">
        <v>1</v>
      </c>
      <c r="G3337" t="n">
        <v>7</v>
      </c>
      <c r="H3337" s="5">
        <f>HYPERLINK("https://api.qogita.com/variants/link/0000030147348/", "View Product")</f>
        <v/>
      </c>
    </row>
    <row r="3338">
      <c r="A3338" t="inlineStr">
        <is>
          <t>0000030148116</t>
        </is>
      </c>
      <c r="B3338" t="inlineStr">
        <is>
          <t>Maybelline New York Lip Color Smudge-Free Long Lasting Liquid Lipstick Shine Finish SuperStay Vinyl Ink 16h 15 Peachy</t>
        </is>
      </c>
      <c r="C3338" t="inlineStr">
        <is>
          <t>Lipstick</t>
        </is>
      </c>
      <c r="D3338" t="inlineStr">
        <is>
          <t>Maybelline</t>
        </is>
      </c>
      <c r="E3338" t="n">
        <v>9.69</v>
      </c>
      <c r="F3338" t="n">
        <v>1</v>
      </c>
      <c r="G3338" t="n">
        <v>4</v>
      </c>
      <c r="H3338" s="5">
        <f>HYPERLINK("https://api.qogita.com/variants/link/0000030148116/", "View Product")</f>
        <v/>
      </c>
    </row>
    <row r="3339">
      <c r="A3339" t="inlineStr">
        <is>
          <t>0000030150058</t>
        </is>
      </c>
      <c r="B3339" t="inlineStr">
        <is>
          <t>Super Stay Vinyl Ink No. 100 Charmed 4.2ml</t>
        </is>
      </c>
      <c r="C3339" t="inlineStr">
        <is>
          <t>Lipstick</t>
        </is>
      </c>
      <c r="D3339" t="inlineStr">
        <is>
          <t>Maybelline</t>
        </is>
      </c>
      <c r="E3339" t="n">
        <v>9.69</v>
      </c>
      <c r="F3339" t="n">
        <v>1</v>
      </c>
      <c r="G3339" t="n">
        <v>3</v>
      </c>
      <c r="H3339" s="5">
        <f>HYPERLINK("https://api.qogita.com/variants/link/0000030150058/", "View Product")</f>
        <v/>
      </c>
    </row>
    <row r="3340">
      <c r="A3340" t="inlineStr">
        <is>
          <t>0000030152434</t>
        </is>
      </c>
      <c r="B3340" t="inlineStr">
        <is>
          <t>Maybelline New York Lash Sensational Sky High Boosting Tinted Primer</t>
        </is>
      </c>
      <c r="C3340" t="inlineStr">
        <is>
          <t>Mascara</t>
        </is>
      </c>
      <c r="D3340" t="inlineStr">
        <is>
          <t>Maybelline</t>
        </is>
      </c>
      <c r="E3340" t="n">
        <v>7.42</v>
      </c>
      <c r="F3340" t="n">
        <v>1</v>
      </c>
      <c r="G3340" t="n">
        <v>52</v>
      </c>
      <c r="H3340" s="5">
        <f>HYPERLINK("https://api.qogita.com/variants/link/0000030152434/", "View Product")</f>
        <v/>
      </c>
    </row>
    <row r="3341">
      <c r="A3341" t="inlineStr">
        <is>
          <t>0000030152830</t>
        </is>
      </c>
      <c r="B3341" t="inlineStr">
        <is>
          <t>Maybelline New York Mascara for Extreme Length and Full Volume</t>
        </is>
      </c>
      <c r="C3341" t="inlineStr">
        <is>
          <t>Mascara</t>
        </is>
      </c>
      <c r="D3341" t="inlineStr">
        <is>
          <t>Maybelline</t>
        </is>
      </c>
      <c r="E3341" t="n">
        <v>6.98</v>
      </c>
      <c r="F3341" t="n">
        <v>1</v>
      </c>
      <c r="G3341" t="n">
        <v>22</v>
      </c>
      <c r="H3341" s="5">
        <f>HYPERLINK("https://api.qogita.com/variants/link/0000030152830/", "View Product")</f>
        <v/>
      </c>
    </row>
    <row r="3342">
      <c r="A3342" t="inlineStr">
        <is>
          <t>0000030158078</t>
        </is>
      </c>
      <c r="B3342" t="inlineStr">
        <is>
          <t>L'Oréal Professionnel Série Expert Metal Detox Shampoo 300ml</t>
        </is>
      </c>
      <c r="C3342" t="inlineStr">
        <is>
          <t>Shampoo</t>
        </is>
      </c>
      <c r="D3342" t="inlineStr">
        <is>
          <t>L'Oréal Paris</t>
        </is>
      </c>
      <c r="E3342" t="n">
        <v>18.26</v>
      </c>
      <c r="F3342" t="n">
        <v>1</v>
      </c>
      <c r="G3342" t="n">
        <v>10</v>
      </c>
      <c r="H3342" s="5">
        <f>HYPERLINK("https://api.qogita.com/variants/link/0000030158078/", "View Product")</f>
        <v/>
      </c>
    </row>
    <row r="3343">
      <c r="A3343" t="inlineStr">
        <is>
          <t>0000030160002</t>
        </is>
      </c>
      <c r="B3343" t="inlineStr">
        <is>
          <t>L'Oréal Professionnel TECNI.ART FIX Design Strong Hold Hair Spray 200ml</t>
        </is>
      </c>
      <c r="C3343" t="inlineStr">
        <is>
          <t>Hairspray</t>
        </is>
      </c>
      <c r="D3343" t="inlineStr">
        <is>
          <t>L'Oréal Professionnel</t>
        </is>
      </c>
      <c r="E3343" t="n">
        <v>12.78</v>
      </c>
      <c r="F3343" t="n">
        <v>1</v>
      </c>
      <c r="G3343" t="n">
        <v>56</v>
      </c>
      <c r="H3343" s="5">
        <f>HYPERLINK("https://api.qogita.com/variants/link/0000030160002/", "View Product")</f>
        <v/>
      </c>
    </row>
    <row r="3344">
      <c r="A3344" t="inlineStr">
        <is>
          <t>0000030160637</t>
        </is>
      </c>
      <c r="B3344" t="inlineStr">
        <is>
          <t>L'Oréal Serie Expert Metal Detox Conditioner</t>
        </is>
      </c>
      <c r="C3344" t="inlineStr">
        <is>
          <t>Conditioner</t>
        </is>
      </c>
      <c r="D3344" t="inlineStr">
        <is>
          <t>L'Oréal Professionnel</t>
        </is>
      </c>
      <c r="E3344" t="n">
        <v>25.86</v>
      </c>
      <c r="F3344" t="n">
        <v>1</v>
      </c>
      <c r="G3344" t="n">
        <v>3</v>
      </c>
      <c r="H3344" s="5">
        <f>HYPERLINK("https://api.qogita.com/variants/link/0000030160637/", "View Product")</f>
        <v/>
      </c>
    </row>
    <row r="3345">
      <c r="A3345" t="inlineStr">
        <is>
          <t>0000030160903</t>
        </is>
      </c>
      <c r="B3345" t="inlineStr">
        <is>
          <t>L'Oreal Paris Air Volume 30h Mega Black Mascara 9.4ml</t>
        </is>
      </c>
      <c r="C3345" t="inlineStr">
        <is>
          <t>Mascara</t>
        </is>
      </c>
      <c r="D3345" t="inlineStr">
        <is>
          <t>L'Oréal</t>
        </is>
      </c>
      <c r="E3345" t="n">
        <v>9.210000000000001</v>
      </c>
      <c r="F3345" t="n">
        <v>1</v>
      </c>
      <c r="G3345" t="n">
        <v>7</v>
      </c>
      <c r="H3345" s="5">
        <f>HYPERLINK("https://api.qogita.com/variants/link/0000030160903/", "View Product")</f>
        <v/>
      </c>
    </row>
    <row r="3346">
      <c r="A3346" t="inlineStr">
        <is>
          <t>0000030162174</t>
        </is>
      </c>
      <c r="B3346" t="inlineStr">
        <is>
          <t>L'Oreal Paris Air Volume Mega Waterproof Mascara for Intense Volume</t>
        </is>
      </c>
      <c r="C3346" t="inlineStr">
        <is>
          <t>Mascara</t>
        </is>
      </c>
      <c r="D3346" t="inlineStr">
        <is>
          <t>L'Oréal Paris</t>
        </is>
      </c>
      <c r="E3346" t="n">
        <v>11.25</v>
      </c>
      <c r="F3346" t="n">
        <v>1</v>
      </c>
      <c r="G3346" t="n">
        <v>12</v>
      </c>
      <c r="H3346" s="5">
        <f>HYPERLINK("https://api.qogita.com/variants/link/0000030162174/", "View Product")</f>
        <v/>
      </c>
    </row>
    <row r="3347">
      <c r="A3347" t="inlineStr">
        <is>
          <t>0000030162853</t>
        </is>
      </c>
      <c r="B3347" t="inlineStr">
        <is>
          <t>L'Oréal Professionnel Super Dust Mattifying Styling Powder 7g</t>
        </is>
      </c>
      <c r="C3347" t="inlineStr">
        <is>
          <t>Volume Powder</t>
        </is>
      </c>
      <c r="D3347" t="inlineStr">
        <is>
          <t>L'Oréal Professionnel</t>
        </is>
      </c>
      <c r="E3347" t="n">
        <v>12.42</v>
      </c>
      <c r="F3347" t="n">
        <v>1</v>
      </c>
      <c r="G3347" t="n">
        <v>16</v>
      </c>
      <c r="H3347" s="5">
        <f>HYPERLINK("https://api.qogita.com/variants/link/0000030162853/", "View Product")</f>
        <v/>
      </c>
    </row>
    <row r="3348">
      <c r="A3348" t="inlineStr">
        <is>
          <t>0000030163768</t>
        </is>
      </c>
      <c r="B3348" t="inlineStr">
        <is>
          <t>Maybelline New York Smudge-Free Long Lasting Lip Colour Liquid</t>
        </is>
      </c>
      <c r="C3348" t="inlineStr">
        <is>
          <t>Lipstick</t>
        </is>
      </c>
      <c r="D3348" t="inlineStr">
        <is>
          <t>Maybelline</t>
        </is>
      </c>
      <c r="E3348" t="n">
        <v>10.5</v>
      </c>
      <c r="F3348" t="n">
        <v>1</v>
      </c>
      <c r="G3348" t="n">
        <v>3</v>
      </c>
      <c r="H3348" s="5">
        <f>HYPERLINK("https://api.qogita.com/variants/link/0000030163768/", "View Product")</f>
        <v/>
      </c>
    </row>
    <row r="3349">
      <c r="A3349" t="inlineStr">
        <is>
          <t>0000030164659</t>
        </is>
      </c>
      <c r="B3349" t="inlineStr">
        <is>
          <t>Maybelline New York Super Stay Ink Crayon Matte Long Lasting Lipstick 1.5g No.95 Talk To The Talk</t>
        </is>
      </c>
      <c r="C3349" t="inlineStr">
        <is>
          <t>Lipstick</t>
        </is>
      </c>
      <c r="D3349" t="inlineStr">
        <is>
          <t>Maybelline</t>
        </is>
      </c>
      <c r="E3349" t="n">
        <v>6.57</v>
      </c>
      <c r="F3349" t="n">
        <v>1</v>
      </c>
      <c r="G3349" t="n">
        <v>3</v>
      </c>
      <c r="H3349" s="5">
        <f>HYPERLINK("https://api.qogita.com/variants/link/0000030164659/", "View Product")</f>
        <v/>
      </c>
    </row>
    <row r="3350">
      <c r="A3350" t="inlineStr">
        <is>
          <t>0000030166394</t>
        </is>
      </c>
      <c r="B3350" t="inlineStr">
        <is>
          <t>Maybelline New York Lifter Plump Lip Gloss Lasting Plump Heated Formula with Hyaluronic Acid and Chilli Pepper XL Wand Vegan Formula Shade 004 Red Flag</t>
        </is>
      </c>
      <c r="C3350" t="inlineStr">
        <is>
          <t>Lip Gloss</t>
        </is>
      </c>
      <c r="D3350" t="inlineStr">
        <is>
          <t>Maybelline</t>
        </is>
      </c>
      <c r="E3350" t="n">
        <v>8.17</v>
      </c>
      <c r="F3350" t="n">
        <v>1</v>
      </c>
      <c r="G3350" t="n">
        <v>6</v>
      </c>
      <c r="H3350" s="5">
        <f>HYPERLINK("https://api.qogita.com/variants/link/0000030166394/", "View Product")</f>
        <v/>
      </c>
    </row>
    <row r="3351">
      <c r="A3351" t="inlineStr">
        <is>
          <t>0000030171336</t>
        </is>
      </c>
      <c r="B3351" t="inlineStr">
        <is>
          <t>Maybelline Fit Me Full Coverage Concealer Matte and Poreless</t>
        </is>
      </c>
      <c r="C3351" t="inlineStr">
        <is>
          <t>Concealer</t>
        </is>
      </c>
      <c r="D3351" t="inlineStr">
        <is>
          <t>Maybelline</t>
        </is>
      </c>
      <c r="E3351" t="n">
        <v>4.68</v>
      </c>
      <c r="F3351" t="n">
        <v>1</v>
      </c>
      <c r="G3351" t="n">
        <v>2</v>
      </c>
      <c r="H3351" s="5">
        <f>HYPERLINK("https://api.qogita.com/variants/link/0000030171336/", "View Product")</f>
        <v/>
      </c>
    </row>
    <row r="3352">
      <c r="A3352" t="inlineStr">
        <is>
          <t>0000030171558</t>
        </is>
      </c>
      <c r="B3352" t="inlineStr">
        <is>
          <t>Maybelline Fit Me! Full Coverage Concealer Matte &amp; Poreless Ultra Blendable Shade 06 Vanilla 6.8ml</t>
        </is>
      </c>
      <c r="C3352" t="inlineStr">
        <is>
          <t>Concealer</t>
        </is>
      </c>
      <c r="D3352" t="inlineStr">
        <is>
          <t>Maybelline</t>
        </is>
      </c>
      <c r="E3352" t="n">
        <v>6.09</v>
      </c>
      <c r="F3352" t="n">
        <v>1</v>
      </c>
      <c r="G3352" t="n">
        <v>47</v>
      </c>
      <c r="H3352" s="5">
        <f>HYPERLINK("https://api.qogita.com/variants/link/0000030171558/", "View Product")</f>
        <v/>
      </c>
    </row>
    <row r="3353">
      <c r="A3353" t="inlineStr">
        <is>
          <t>0000030176201</t>
        </is>
      </c>
      <c r="B3353" t="inlineStr">
        <is>
          <t>Maybelline Express Brow Fast Sculpt Eyebrow Gel for Shaping and Coloring</t>
        </is>
      </c>
      <c r="C3353" t="inlineStr">
        <is>
          <t>Eyebrow Gel</t>
        </is>
      </c>
      <c r="D3353" t="inlineStr">
        <is>
          <t>Maybelline</t>
        </is>
      </c>
      <c r="E3353" t="n">
        <v>5.59</v>
      </c>
      <c r="F3353" t="n">
        <v>1</v>
      </c>
      <c r="G3353" t="n">
        <v>2</v>
      </c>
      <c r="H3353" s="5">
        <f>HYPERLINK("https://api.qogita.com/variants/link/0000030176201/", "View Product")</f>
        <v/>
      </c>
    </row>
    <row r="3354">
      <c r="A3354" t="inlineStr">
        <is>
          <t>0000030177673</t>
        </is>
      </c>
      <c r="B3354" t="inlineStr">
        <is>
          <t>L'Oreal Men Expert Barber Club Matt Clay Matte Molding Hair Styling 75ml</t>
        </is>
      </c>
      <c r="C3354" t="inlineStr">
        <is>
          <t>Wax</t>
        </is>
      </c>
      <c r="D3354" t="inlineStr">
        <is>
          <t>L'Oréal</t>
        </is>
      </c>
      <c r="E3354" t="n">
        <v>6.34</v>
      </c>
      <c r="F3354" t="n">
        <v>1</v>
      </c>
      <c r="G3354" t="n">
        <v>16</v>
      </c>
      <c r="H3354" s="5">
        <f>HYPERLINK("https://api.qogita.com/variants/link/0000030177673/", "View Product")</f>
        <v/>
      </c>
    </row>
    <row r="3355">
      <c r="A3355" t="inlineStr">
        <is>
          <t>0000030188501</t>
        </is>
      </c>
      <c r="B3355" t="inlineStr">
        <is>
          <t>L'Oreal Paris Lumi Le Liquid Blush Glowy Gold Pink 625</t>
        </is>
      </c>
      <c r="C3355" t="inlineStr">
        <is>
          <t>Blush</t>
        </is>
      </c>
      <c r="D3355" t="inlineStr">
        <is>
          <t>L'Oréal Paris</t>
        </is>
      </c>
      <c r="E3355" t="n">
        <v>8.380000000000001</v>
      </c>
      <c r="F3355" t="n">
        <v>1</v>
      </c>
      <c r="G3355" t="n">
        <v>2</v>
      </c>
      <c r="H3355" s="5">
        <f>HYPERLINK("https://api.qogita.com/variants/link/0000030188501/", "View Product")</f>
        <v/>
      </c>
    </row>
    <row r="3356">
      <c r="A3356" t="inlineStr">
        <is>
          <t>0000030188525</t>
        </is>
      </c>
      <c r="B3356" t="inlineStr">
        <is>
          <t>L'Oreal Paris Liquid Blush with Fresh Shimmering Color Shine for All</t>
        </is>
      </c>
      <c r="C3356" t="inlineStr">
        <is>
          <t>Blush</t>
        </is>
      </c>
      <c r="D3356" t="inlineStr">
        <is>
          <t>L'Oréal Paris</t>
        </is>
      </c>
      <c r="E3356" t="n">
        <v>8.19</v>
      </c>
      <c r="F3356" t="n">
        <v>1</v>
      </c>
      <c r="G3356" t="n">
        <v>4</v>
      </c>
      <c r="H3356" s="5">
        <f>HYPERLINK("https://api.qogita.com/variants/link/0000030188525/", "View Product")</f>
        <v/>
      </c>
    </row>
    <row r="3357">
      <c r="A3357" t="inlineStr">
        <is>
          <t>0000030188679</t>
        </is>
      </c>
      <c r="B3357" t="inlineStr">
        <is>
          <t>Infaillible Matte Resistance Moisturizing Lipstick 5 ml Shade 665 First Move</t>
        </is>
      </c>
      <c r="C3357" t="inlineStr">
        <is>
          <t>Lipstick</t>
        </is>
      </c>
      <c r="D3357" t="inlineStr">
        <is>
          <t>L'Oréal</t>
        </is>
      </c>
      <c r="E3357" t="n">
        <v>12.43</v>
      </c>
      <c r="F3357" t="n">
        <v>1</v>
      </c>
      <c r="G3357" t="n">
        <v>3</v>
      </c>
      <c r="H3357" s="5">
        <f>HYPERLINK("https://api.qogita.com/variants/link/0000030188679/", "View Product")</f>
        <v/>
      </c>
    </row>
    <row r="3358">
      <c r="A3358" t="inlineStr">
        <is>
          <t>0000030189096</t>
        </is>
      </c>
      <c r="B3358" t="inlineStr">
        <is>
          <t>L'Oreal Paris Washable Lengthening &amp; Volumizing Mascara for Buildable Lash</t>
        </is>
      </c>
      <c r="C3358" t="inlineStr">
        <is>
          <t>Mascara</t>
        </is>
      </c>
      <c r="D3358" t="inlineStr">
        <is>
          <t>L'Oréal Paris</t>
        </is>
      </c>
      <c r="E3358" t="n">
        <v>11.92</v>
      </c>
      <c r="F3358" t="n">
        <v>1</v>
      </c>
      <c r="G3358" t="n">
        <v>13</v>
      </c>
      <c r="H3358" s="5">
        <f>HYPERLINK("https://api.qogita.com/variants/link/0000030189096/", "View Product")</f>
        <v/>
      </c>
    </row>
    <row r="3359">
      <c r="A3359" t="inlineStr">
        <is>
          <t>0000030189218</t>
        </is>
      </c>
      <c r="B3359" t="inlineStr">
        <is>
          <t>Firework Mascara Electro Black</t>
        </is>
      </c>
      <c r="C3359" t="inlineStr">
        <is>
          <t>Mascara</t>
        </is>
      </c>
      <c r="D3359" t="inlineStr">
        <is>
          <t>Maybelline</t>
        </is>
      </c>
      <c r="E3359" t="n">
        <v>11.13</v>
      </c>
      <c r="F3359" t="n">
        <v>1</v>
      </c>
      <c r="G3359" t="n">
        <v>5</v>
      </c>
      <c r="H3359" s="5">
        <f>HYPERLINK("https://api.qogita.com/variants/link/0000030189218/", "View Product")</f>
        <v/>
      </c>
    </row>
    <row r="3360">
      <c r="A3360" t="inlineStr">
        <is>
          <t>0000040059747</t>
        </is>
      </c>
      <c r="B3360" t="inlineStr">
        <is>
          <t>Nivea Sun Protect &amp; Play Roll On Solar SPF50 50ml</t>
        </is>
      </c>
      <c r="C3360" t="inlineStr">
        <is>
          <t>Body Sun Protection</t>
        </is>
      </c>
      <c r="D3360" t="inlineStr">
        <is>
          <t>Nivea Sun</t>
        </is>
      </c>
      <c r="E3360" t="n">
        <v>7.46</v>
      </c>
      <c r="F3360" t="n">
        <v>1</v>
      </c>
      <c r="G3360" t="n">
        <v>2</v>
      </c>
      <c r="H3360" s="5">
        <f>HYPERLINK("https://api.qogita.com/variants/link/0000040059747/", "View Product")</f>
        <v/>
      </c>
    </row>
    <row r="3361">
      <c r="A3361" t="inlineStr">
        <is>
          <t>0000042182627</t>
        </is>
      </c>
      <c r="B3361" t="inlineStr">
        <is>
          <t>Vaseline Original Pure Petroleum Jelly 50ml</t>
        </is>
      </c>
      <c r="C3361" t="inlineStr">
        <is>
          <t>Body Lotion</t>
        </is>
      </c>
      <c r="D3361" t="inlineStr">
        <is>
          <t>Vaseline</t>
        </is>
      </c>
      <c r="E3361" t="n">
        <v>3.63</v>
      </c>
      <c r="F3361" t="n">
        <v>1</v>
      </c>
      <c r="G3361" t="n">
        <v>10</v>
      </c>
      <c r="H3361" s="5">
        <f>HYPERLINK("https://api.qogita.com/variants/link/0000042182627/", "View Product")</f>
        <v/>
      </c>
    </row>
    <row r="3362">
      <c r="A3362" t="inlineStr">
        <is>
          <t>0000042241614</t>
        </is>
      </c>
      <c r="B3362" t="inlineStr">
        <is>
          <t>Nivea Fresh Pure 48 Hours Roll on for Women Deodorant 50ml</t>
        </is>
      </c>
      <c r="C3362" t="inlineStr">
        <is>
          <t>Deodorant &amp; Anti-Perspirant</t>
        </is>
      </c>
      <c r="D3362" t="inlineStr">
        <is>
          <t>Nivea</t>
        </is>
      </c>
      <c r="E3362" t="n">
        <v>5.23</v>
      </c>
      <c r="F3362" t="n">
        <v>1</v>
      </c>
      <c r="G3362" t="n">
        <v>5</v>
      </c>
      <c r="H3362" s="5">
        <f>HYPERLINK("https://api.qogita.com/variants/link/0000042241614/", "View Product")</f>
        <v/>
      </c>
    </row>
    <row r="3363">
      <c r="A3363" t="inlineStr">
        <is>
          <t>0000042269465</t>
        </is>
      </c>
      <c r="B3363" t="inlineStr">
        <is>
          <t>Nivea Concealer for Hair Color 200ml</t>
        </is>
      </c>
      <c r="C3363" t="inlineStr">
        <is>
          <t>Hair Dye</t>
        </is>
      </c>
      <c r="D3363" t="inlineStr">
        <is>
          <t>Nivea</t>
        </is>
      </c>
      <c r="E3363" t="n">
        <v>3.22</v>
      </c>
      <c r="F3363" t="n">
        <v>1</v>
      </c>
      <c r="G3363" t="n">
        <v>4</v>
      </c>
      <c r="H3363" s="5">
        <f>HYPERLINK("https://api.qogita.com/variants/link/0000042269465/", "View Product")</f>
        <v/>
      </c>
    </row>
    <row r="3364">
      <c r="A3364" t="inlineStr">
        <is>
          <t>0000042435662</t>
        </is>
      </c>
      <c r="B3364" t="inlineStr">
        <is>
          <t>Kerasilk Color Protecting Shampoo for Colored Hair No Sulfates Vegan 75ml</t>
        </is>
      </c>
      <c r="C3364" t="inlineStr">
        <is>
          <t>Shampoo</t>
        </is>
      </c>
      <c r="D3364" t="inlineStr">
        <is>
          <t>Kerasilk</t>
        </is>
      </c>
      <c r="E3364" t="n">
        <v>6.98</v>
      </c>
      <c r="F3364" t="n">
        <v>1</v>
      </c>
      <c r="G3364" t="n">
        <v>3</v>
      </c>
      <c r="H3364" s="5">
        <f>HYPERLINK("https://api.qogita.com/variants/link/0000042435662/", "View Product")</f>
        <v/>
      </c>
    </row>
    <row r="3365">
      <c r="A3365" t="inlineStr">
        <is>
          <t>0000042435808</t>
        </is>
      </c>
      <c r="B3365" t="inlineStr">
        <is>
          <t>Kerasilk Curl Balm Curly Hair Vegan Formula Anti-frizz Anti-humidity 75ml</t>
        </is>
      </c>
      <c r="C3365" t="inlineStr">
        <is>
          <t>Hair Care Sets</t>
        </is>
      </c>
      <c r="D3365" t="inlineStr">
        <is>
          <t>Kerasilk</t>
        </is>
      </c>
      <c r="E3365" t="n">
        <v>7.91</v>
      </c>
      <c r="F3365" t="n">
        <v>1</v>
      </c>
      <c r="G3365" t="n">
        <v>35</v>
      </c>
      <c r="H3365" s="5">
        <f>HYPERLINK("https://api.qogita.com/variants/link/0000042435808/", "View Product")</f>
        <v/>
      </c>
    </row>
    <row r="3366">
      <c r="A3366" t="inlineStr">
        <is>
          <t>0000042469490</t>
        </is>
      </c>
      <c r="B3366" t="inlineStr">
        <is>
          <t>Goldwell Kerasilk Flyaway Wand Mascara 8 Ml</t>
        </is>
      </c>
      <c r="C3366" t="inlineStr">
        <is>
          <t>Mascara</t>
        </is>
      </c>
      <c r="D3366" t="inlineStr">
        <is>
          <t>Goldwell</t>
        </is>
      </c>
      <c r="E3366" t="n">
        <v>11.77</v>
      </c>
      <c r="F3366" t="n">
        <v>1</v>
      </c>
      <c r="G3366" t="n">
        <v>76</v>
      </c>
      <c r="H3366" s="5">
        <f>HYPERLINK("https://api.qogita.com/variants/link/0000042469490/", "View Product")</f>
        <v/>
      </c>
    </row>
    <row r="3367">
      <c r="A3367" t="inlineStr">
        <is>
          <t>0000050683352</t>
        </is>
      </c>
      <c r="B3367" t="inlineStr">
        <is>
          <t>Max Factor Lasting Performance Long-Lasting Liquid Foundation 102 Pastelle 35ml</t>
        </is>
      </c>
      <c r="C3367" t="inlineStr">
        <is>
          <t>Foundation</t>
        </is>
      </c>
      <c r="D3367" t="inlineStr">
        <is>
          <t>Max Factor</t>
        </is>
      </c>
      <c r="E3367" t="n">
        <v>6</v>
      </c>
      <c r="F3367" t="n">
        <v>1</v>
      </c>
      <c r="G3367" t="n">
        <v>4</v>
      </c>
      <c r="H3367" s="5">
        <f>HYPERLINK("https://api.qogita.com/variants/link/0000050683352/", "View Product")</f>
        <v/>
      </c>
    </row>
    <row r="3368">
      <c r="A3368" t="inlineStr">
        <is>
          <t>0000050884858</t>
        </is>
      </c>
      <c r="B3368" t="inlineStr">
        <is>
          <t>Max Factor Eyebrow Pencil Ebony</t>
        </is>
      </c>
      <c r="C3368" t="inlineStr">
        <is>
          <t>Powder</t>
        </is>
      </c>
      <c r="D3368" t="inlineStr">
        <is>
          <t>Max Factor</t>
        </is>
      </c>
      <c r="E3368" t="n">
        <v>1.52</v>
      </c>
      <c r="F3368" t="n">
        <v>1</v>
      </c>
      <c r="G3368" t="n">
        <v>4</v>
      </c>
      <c r="H3368" s="5">
        <f>HYPERLINK("https://api.qogita.com/variants/link/0000050884858/", "View Product")</f>
        <v/>
      </c>
    </row>
    <row r="3369">
      <c r="A3369" t="inlineStr">
        <is>
          <t>0000059092711</t>
        </is>
      </c>
      <c r="B3369" t="inlineStr">
        <is>
          <t>Dove Roll On Advanced Care Cucumber and Green Tea Air Freshener Antiperspirant 48 Hour Protection Deodorant for Men and Women 50ml</t>
        </is>
      </c>
      <c r="C3369" t="inlineStr">
        <is>
          <t>Deodorant &amp; Anti-Perspirant</t>
        </is>
      </c>
      <c r="D3369" t="inlineStr">
        <is>
          <t>Dove</t>
        </is>
      </c>
      <c r="E3369" t="n">
        <v>4.33</v>
      </c>
      <c r="F3369" t="n">
        <v>1</v>
      </c>
      <c r="G3369" t="n">
        <v>3</v>
      </c>
      <c r="H3369" s="5">
        <f>HYPERLINK("https://api.qogita.com/variants/link/0000059092711/", "View Product")</f>
        <v/>
      </c>
    </row>
    <row r="3370">
      <c r="A3370" t="inlineStr">
        <is>
          <t>0000059099642</t>
        </is>
      </c>
      <c r="B3370" t="inlineStr">
        <is>
          <t>Dove Solid Antiperspirant Go Fresh Pomegranate - 50 Ml</t>
        </is>
      </c>
      <c r="C3370" t="inlineStr">
        <is>
          <t>Deodorant &amp; Anti-Perspirant</t>
        </is>
      </c>
      <c r="D3370" t="inlineStr">
        <is>
          <t>Dove</t>
        </is>
      </c>
      <c r="E3370" t="n">
        <v>4.33</v>
      </c>
      <c r="F3370" t="n">
        <v>1</v>
      </c>
      <c r="G3370" t="n">
        <v>5</v>
      </c>
      <c r="H3370" s="5">
        <f>HYPERLINK("https://api.qogita.com/variants/link/0000059099642/", "View Product")</f>
        <v/>
      </c>
    </row>
    <row r="3371">
      <c r="A3371" t="inlineStr">
        <is>
          <t>0000059099741</t>
        </is>
      </c>
      <c r="B3371" t="inlineStr">
        <is>
          <t>Dove Solid Antiperspirant Men Care Advanced Extra Fresh - 50 Ml</t>
        </is>
      </c>
      <c r="C3371" t="inlineStr">
        <is>
          <t>Deodorant &amp; Anti-Perspirant</t>
        </is>
      </c>
      <c r="D3371" t="inlineStr">
        <is>
          <t>Dove</t>
        </is>
      </c>
      <c r="E3371" t="n">
        <v>4.14</v>
      </c>
      <c r="F3371" t="n">
        <v>1</v>
      </c>
      <c r="G3371" t="n">
        <v>11</v>
      </c>
      <c r="H3371" s="5">
        <f>HYPERLINK("https://api.qogita.com/variants/link/0000059099741/", "View Product")</f>
        <v/>
      </c>
    </row>
    <row r="3372">
      <c r="A3372" t="inlineStr">
        <is>
          <t>0000073103714</t>
        </is>
      </c>
      <c r="B3372" t="inlineStr">
        <is>
          <t>Rexona Men MotionSense Cobalt Dry Anti-Perspirant Deodorant Stick 50ml</t>
        </is>
      </c>
      <c r="C3372" t="inlineStr">
        <is>
          <t>Deodorant &amp; Anti-Perspirant</t>
        </is>
      </c>
      <c r="D3372" t="inlineStr">
        <is>
          <t>Rexona</t>
        </is>
      </c>
      <c r="E3372" t="n">
        <v>3.95</v>
      </c>
      <c r="F3372" t="n">
        <v>1</v>
      </c>
      <c r="G3372" t="n">
        <v>3</v>
      </c>
      <c r="H3372" s="5">
        <f>HYPERLINK("https://api.qogita.com/variants/link/0000073103714/", "View Product")</f>
        <v/>
      </c>
    </row>
    <row r="3373">
      <c r="A3373" t="inlineStr">
        <is>
          <t>0000080199120</t>
        </is>
      </c>
      <c r="B3373" t="inlineStr">
        <is>
          <t>Pelli Sensibli Shaving Foam 50 Ml</t>
        </is>
      </c>
      <c r="C3373" t="inlineStr">
        <is>
          <t>Shaving</t>
        </is>
      </c>
      <c r="D3373" t="inlineStr">
        <is>
          <t>Pelle Sensible</t>
        </is>
      </c>
      <c r="E3373" t="n">
        <v>1.2</v>
      </c>
      <c r="F3373" t="n">
        <v>1</v>
      </c>
      <c r="G3373" t="n">
        <v>18</v>
      </c>
      <c r="H3373" s="5">
        <f>HYPERLINK("https://api.qogita.com/variants/link/0000080199120/", "View Product")</f>
        <v/>
      </c>
    </row>
    <row r="3374">
      <c r="A3374" t="inlineStr">
        <is>
          <t>0000080642824</t>
        </is>
      </c>
      <c r="B3374" t="inlineStr">
        <is>
          <t>Proraso Mini Refresh Shaving Cream Green</t>
        </is>
      </c>
      <c r="C3374" t="inlineStr">
        <is>
          <t>Shaving</t>
        </is>
      </c>
      <c r="D3374" t="inlineStr">
        <is>
          <t>Proraso</t>
        </is>
      </c>
      <c r="E3374" t="n">
        <v>2.64</v>
      </c>
      <c r="F3374" t="n">
        <v>1</v>
      </c>
      <c r="G3374" t="n">
        <v>3</v>
      </c>
      <c r="H3374" s="5">
        <f>HYPERLINK("https://api.qogita.com/variants/link/0000080642824/", "View Product")</f>
        <v/>
      </c>
    </row>
    <row r="3375">
      <c r="A3375" t="inlineStr">
        <is>
          <t>0000085949072</t>
        </is>
      </c>
      <c r="B3375" t="inlineStr">
        <is>
          <t>Dermacol Full Coverage Foundation Liquid Makeup Matte Foundation with SPF 30 Waterproof Foundation for Oily Skin Acne &amp; Under Eye Bags Long-Lasting Makeup Products 30g Shade 224</t>
        </is>
      </c>
      <c r="C3375" t="inlineStr">
        <is>
          <t>Foundation</t>
        </is>
      </c>
      <c r="D3375" t="inlineStr">
        <is>
          <t>Dermacol</t>
        </is>
      </c>
      <c r="E3375" t="n">
        <v>13.34</v>
      </c>
      <c r="F3375" t="n">
        <v>1</v>
      </c>
      <c r="G3375" t="n">
        <v>4</v>
      </c>
      <c r="H3375" s="5">
        <f>HYPERLINK("https://api.qogita.com/variants/link/0000085949072/", "View Product")</f>
        <v/>
      </c>
    </row>
    <row r="3376">
      <c r="A3376" t="inlineStr">
        <is>
          <t>0000085951327</t>
        </is>
      </c>
      <c r="B3376" t="inlineStr">
        <is>
          <t>Dermacol Volume Mania Waterproof Mascara 9ml Black</t>
        </is>
      </c>
      <c r="C3376" t="inlineStr">
        <is>
          <t>Mascara</t>
        </is>
      </c>
      <c r="D3376" t="inlineStr">
        <is>
          <t>Dermacol</t>
        </is>
      </c>
      <c r="E3376" t="n">
        <v>9.31</v>
      </c>
      <c r="F3376" t="n">
        <v>1</v>
      </c>
      <c r="G3376" t="n">
        <v>5</v>
      </c>
      <c r="H3376" s="5">
        <f>HYPERLINK("https://api.qogita.com/variants/link/0000085951327/", "View Product")</f>
        <v/>
      </c>
    </row>
    <row r="3377">
      <c r="A3377" t="inlineStr">
        <is>
          <t>0000085951655</t>
        </is>
      </c>
      <c r="B3377" t="inlineStr">
        <is>
          <t>Dermacol Eyebrow Pencil No.1 TuKa Na Obo?Í 1.6g Soft Eyebrow Pencil</t>
        </is>
      </c>
      <c r="C3377" t="inlineStr">
        <is>
          <t>Eyebrow Pencil</t>
        </is>
      </c>
      <c r="D3377" t="inlineStr">
        <is>
          <t>Dermacol</t>
        </is>
      </c>
      <c r="E3377" t="n">
        <v>3.21</v>
      </c>
      <c r="F3377" t="n">
        <v>1</v>
      </c>
      <c r="G3377" t="n">
        <v>4</v>
      </c>
      <c r="H3377" s="5">
        <f>HYPERLINK("https://api.qogita.com/variants/link/0000085951655/", "View Product")</f>
        <v/>
      </c>
    </row>
    <row r="3378">
      <c r="A3378" t="inlineStr">
        <is>
          <t>0000085951662</t>
        </is>
      </c>
      <c r="B3378" t="inlineStr">
        <is>
          <t>Eyebrow Pencil No. 02</t>
        </is>
      </c>
      <c r="C3378" t="inlineStr">
        <is>
          <t>Eyebrow Pencil</t>
        </is>
      </c>
      <c r="D3378" t="inlineStr">
        <is>
          <t>Dermacol</t>
        </is>
      </c>
      <c r="E3378" t="n">
        <v>3.2</v>
      </c>
      <c r="F3378" t="n">
        <v>1</v>
      </c>
      <c r="G3378" t="n">
        <v>2</v>
      </c>
      <c r="H3378" s="5">
        <f>HYPERLINK("https://api.qogita.com/variants/link/0000085951662/", "View Product")</f>
        <v/>
      </c>
    </row>
    <row r="3379">
      <c r="A3379" t="inlineStr">
        <is>
          <t>0000085952522</t>
        </is>
      </c>
      <c r="B3379" t="inlineStr">
        <is>
          <t>Dermacol Toning Cream 2-in-1 Biscuit 30ml</t>
        </is>
      </c>
      <c r="C3379" t="inlineStr">
        <is>
          <t>Tinted Day Cream</t>
        </is>
      </c>
      <c r="D3379" t="inlineStr">
        <is>
          <t>Dermacol</t>
        </is>
      </c>
      <c r="E3379" t="n">
        <v>3.99</v>
      </c>
      <c r="F3379" t="n">
        <v>1</v>
      </c>
      <c r="G3379" t="n">
        <v>9</v>
      </c>
      <c r="H3379" s="5">
        <f>HYPERLINK("https://api.qogita.com/variants/link/0000085952522/", "View Product")</f>
        <v/>
      </c>
    </row>
    <row r="3380">
      <c r="A3380" t="inlineStr">
        <is>
          <t>0000085952539</t>
        </is>
      </c>
      <c r="B3380" t="inlineStr">
        <is>
          <t>Dermacol Toning Cream 2in1 Desert</t>
        </is>
      </c>
      <c r="C3380" t="inlineStr">
        <is>
          <t>Tinted Day Cream</t>
        </is>
      </c>
      <c r="D3380" t="inlineStr">
        <is>
          <t>Dermacol</t>
        </is>
      </c>
      <c r="E3380" t="n">
        <v>6.33</v>
      </c>
      <c r="F3380" t="n">
        <v>1</v>
      </c>
      <c r="G3380" t="n">
        <v>4</v>
      </c>
      <c r="H3380" s="5">
        <f>HYPERLINK("https://api.qogita.com/variants/link/0000085952539/", "View Product")</f>
        <v/>
      </c>
    </row>
    <row r="3381">
      <c r="A3381" t="inlineStr">
        <is>
          <t>0000085953536</t>
        </is>
      </c>
      <c r="B3381" t="inlineStr">
        <is>
          <t>Eye Shadow Base 7.5ml</t>
        </is>
      </c>
      <c r="C3381" t="inlineStr">
        <is>
          <t>Eyeshadow Primer</t>
        </is>
      </c>
      <c r="D3381" t="inlineStr">
        <is>
          <t>Dermacol</t>
        </is>
      </c>
      <c r="E3381" t="n">
        <v>3.86</v>
      </c>
      <c r="F3381" t="n">
        <v>1</v>
      </c>
      <c r="G3381" t="n">
        <v>7</v>
      </c>
      <c r="H3381" s="5">
        <f>HYPERLINK("https://api.qogita.com/variants/link/0000085953536/", "View Product")</f>
        <v/>
      </c>
    </row>
    <row r="3382">
      <c r="A3382" t="inlineStr">
        <is>
          <t>0000085955837</t>
        </is>
      </c>
      <c r="B3382" t="inlineStr">
        <is>
          <t>Dermacol Express Nail Polish Remover 120ml</t>
        </is>
      </c>
      <c r="C3382" t="inlineStr">
        <is>
          <t>Nail Polish Remover</t>
        </is>
      </c>
      <c r="D3382" t="inlineStr">
        <is>
          <t>Dermacol</t>
        </is>
      </c>
      <c r="E3382" t="n">
        <v>4.26</v>
      </c>
      <c r="F3382" t="n">
        <v>1</v>
      </c>
      <c r="G3382" t="n">
        <v>4</v>
      </c>
      <c r="H3382" s="5">
        <f>HYPERLINK("https://api.qogita.com/variants/link/0000085955837/", "View Product")</f>
        <v/>
      </c>
    </row>
    <row r="3383">
      <c r="A3383" t="inlineStr">
        <is>
          <t>0000085956919</t>
        </is>
      </c>
      <c r="B3383" t="inlineStr">
        <is>
          <t>Dermacol Devilash Plus 196% Volume Mascara</t>
        </is>
      </c>
      <c r="C3383" t="inlineStr">
        <is>
          <t>Mascara</t>
        </is>
      </c>
      <c r="D3383" t="inlineStr">
        <is>
          <t>Dermacol</t>
        </is>
      </c>
      <c r="E3383" t="n">
        <v>6.41</v>
      </c>
      <c r="F3383" t="n">
        <v>1</v>
      </c>
      <c r="G3383" t="n">
        <v>9</v>
      </c>
      <c r="H3383" s="5">
        <f>HYPERLINK("https://api.qogita.com/variants/link/0000085956919/", "View Product")</f>
        <v/>
      </c>
    </row>
    <row r="3384">
      <c r="A3384" t="inlineStr">
        <is>
          <t>0000085958715</t>
        </is>
      </c>
      <c r="B3384" t="inlineStr">
        <is>
          <t>Dermacol Ultratech Black Mascara</t>
        </is>
      </c>
      <c r="C3384" t="inlineStr">
        <is>
          <t>Mascara</t>
        </is>
      </c>
      <c r="D3384" t="inlineStr">
        <is>
          <t>Dermacol</t>
        </is>
      </c>
      <c r="E3384" t="n">
        <v>6.43</v>
      </c>
      <c r="F3384" t="n">
        <v>1</v>
      </c>
      <c r="G3384" t="n">
        <v>4</v>
      </c>
      <c r="H3384" s="5">
        <f>HYPERLINK("https://api.qogita.com/variants/link/0000085958715/", "View Product")</f>
        <v/>
      </c>
    </row>
    <row r="3385">
      <c r="A3385" t="inlineStr">
        <is>
          <t>0000085958944</t>
        </is>
      </c>
      <c r="B3385" t="inlineStr">
        <is>
          <t>Eyeliner and Shadow Longlasting Intense Colour (Eye Liner &amp; Shadow) 1.6 g Shade 2</t>
        </is>
      </c>
      <c r="C3385" t="inlineStr">
        <is>
          <t>Eyeliner</t>
        </is>
      </c>
      <c r="D3385" t="inlineStr">
        <is>
          <t>Dermacol</t>
        </is>
      </c>
      <c r="E3385" t="n">
        <v>4.43</v>
      </c>
      <c r="F3385" t="n">
        <v>1</v>
      </c>
      <c r="G3385" t="n">
        <v>7</v>
      </c>
      <c r="H3385" s="5">
        <f>HYPERLINK("https://api.qogita.com/variants/link/0000085958944/", "View Product")</f>
        <v/>
      </c>
    </row>
    <row r="3386">
      <c r="A3386" t="inlineStr">
        <is>
          <t>0000085958999</t>
        </is>
      </c>
      <c r="B3386" t="inlineStr">
        <is>
          <t>Dermacol Longlasting Intense Colour Eye Liner &amp; Shadow 1.6g</t>
        </is>
      </c>
      <c r="C3386" t="inlineStr">
        <is>
          <t>Eyeliner</t>
        </is>
      </c>
      <c r="D3386" t="inlineStr">
        <is>
          <t>Dermacol</t>
        </is>
      </c>
      <c r="E3386" t="n">
        <v>4.43</v>
      </c>
      <c r="F3386" t="n">
        <v>1</v>
      </c>
      <c r="G3386" t="n">
        <v>7</v>
      </c>
      <c r="H3386" s="5">
        <f>HYPERLINK("https://api.qogita.com/variants/link/0000085958999/", "View Product")</f>
        <v/>
      </c>
    </row>
    <row r="3387">
      <c r="A3387" t="inlineStr">
        <is>
          <t>0000085959033</t>
        </is>
      </c>
      <c r="B3387" t="inlineStr">
        <is>
          <t>Dermacol Make-Up 16H Matic Eyeliner Brown 03 Waterproof and Long Lasting</t>
        </is>
      </c>
      <c r="C3387" t="inlineStr">
        <is>
          <t>Eyeliner</t>
        </is>
      </c>
      <c r="D3387" t="inlineStr">
        <is>
          <t>Dermacol</t>
        </is>
      </c>
      <c r="E3387" t="n">
        <v>3.9</v>
      </c>
      <c r="F3387" t="n">
        <v>1</v>
      </c>
      <c r="G3387" t="n">
        <v>7</v>
      </c>
      <c r="H3387" s="5">
        <f>HYPERLINK("https://api.qogita.com/variants/link/0000085959033/", "View Product")</f>
        <v/>
      </c>
    </row>
    <row r="3388">
      <c r="A3388" t="inlineStr">
        <is>
          <t>3349668589982</t>
        </is>
      </c>
      <c r="B3388" t="inlineStr">
        <is>
          <t>Paco Rabanne Lady Million Body Lotion 200ml</t>
        </is>
      </c>
      <c r="C3388" t="inlineStr">
        <is>
          <t>Body Lotion</t>
        </is>
      </c>
      <c r="D3388" t="inlineStr">
        <is>
          <t>Paco Rabanne</t>
        </is>
      </c>
      <c r="E3388" t="n">
        <v>25.35</v>
      </c>
      <c r="F3388" t="n">
        <v>1</v>
      </c>
      <c r="G3388" t="n">
        <v>5</v>
      </c>
      <c r="H3388" s="5">
        <f>HYPERLINK("https://api.qogita.com/variants/link/3349668589982/", "View Product")</f>
        <v/>
      </c>
    </row>
    <row r="3389">
      <c r="A3389" t="inlineStr">
        <is>
          <t>3349668594283</t>
        </is>
      </c>
      <c r="B3389" t="inlineStr">
        <is>
          <t>Paco Rabanne Blossom Me Eau De Parfum Spray 62ml</t>
        </is>
      </c>
      <c r="C3389" t="inlineStr">
        <is>
          <t>Eau De Parfum</t>
        </is>
      </c>
      <c r="D3389" t="inlineStr">
        <is>
          <t>Paco Rabanne</t>
        </is>
      </c>
      <c r="E3389" t="n">
        <v>42.77</v>
      </c>
      <c r="F3389" t="n">
        <v>1</v>
      </c>
      <c r="G3389" t="n">
        <v>5</v>
      </c>
      <c r="H3389" s="5">
        <f>HYPERLINK("https://api.qogita.com/variants/link/3349668594283/", "View Product")</f>
        <v/>
      </c>
    </row>
    <row r="3390">
      <c r="A3390" t="inlineStr">
        <is>
          <t>3349668595174</t>
        </is>
      </c>
      <c r="B3390" t="inlineStr">
        <is>
          <t>Paco Rabanne Fame Deodorant Spray 150ml</t>
        </is>
      </c>
      <c r="C3390" t="inlineStr">
        <is>
          <t>Deodorant &amp; Anti-Perspirant</t>
        </is>
      </c>
      <c r="D3390" t="inlineStr">
        <is>
          <t>Paco Rabanne</t>
        </is>
      </c>
      <c r="E3390" t="n">
        <v>18.53</v>
      </c>
      <c r="F3390" t="n">
        <v>1</v>
      </c>
      <c r="G3390" t="n">
        <v>32</v>
      </c>
      <c r="H3390" s="5">
        <f>HYPERLINK("https://api.qogita.com/variants/link/3349668595174/", "View Product")</f>
        <v/>
      </c>
    </row>
    <row r="3391">
      <c r="A3391" t="inlineStr">
        <is>
          <t>3349668599127</t>
        </is>
      </c>
      <c r="B3391" t="inlineStr">
        <is>
          <t>Paco Rabanne Invictus Platinum Eau De Parfum</t>
        </is>
      </c>
      <c r="C3391" t="inlineStr">
        <is>
          <t>Eau De Parfum</t>
        </is>
      </c>
      <c r="D3391" t="inlineStr">
        <is>
          <t>Paco Rabanne</t>
        </is>
      </c>
      <c r="E3391" t="n">
        <v>90.47</v>
      </c>
      <c r="F3391" t="n">
        <v>1</v>
      </c>
      <c r="G3391" t="n">
        <v>183</v>
      </c>
      <c r="H3391" s="5">
        <f>HYPERLINK("https://api.qogita.com/variants/link/3349668599127/", "View Product")</f>
        <v/>
      </c>
    </row>
    <row r="3392">
      <c r="A3392" t="inlineStr">
        <is>
          <t>3349668599424</t>
        </is>
      </c>
      <c r="B3392" t="inlineStr">
        <is>
          <t>Paco Rabanne Olympea Solar Intense Eau De Parfum 30ml</t>
        </is>
      </c>
      <c r="C3392" t="inlineStr">
        <is>
          <t>Eau De Parfum</t>
        </is>
      </c>
      <c r="D3392" t="inlineStr">
        <is>
          <t>Paco Rabanne</t>
        </is>
      </c>
      <c r="E3392" t="n">
        <v>48.37</v>
      </c>
      <c r="F3392" t="n">
        <v>1</v>
      </c>
      <c r="G3392" t="n">
        <v>20</v>
      </c>
      <c r="H3392" s="5">
        <f>HYPERLINK("https://api.qogita.com/variants/link/3349668599424/", "View Product")</f>
        <v/>
      </c>
    </row>
    <row r="3393">
      <c r="A3393" t="inlineStr">
        <is>
          <t>3349668600304</t>
        </is>
      </c>
      <c r="B3393" t="inlineStr">
        <is>
          <t>Paco Rabanne 1 Million Elixir Perfume Spray 100ml</t>
        </is>
      </c>
      <c r="C3393" t="inlineStr">
        <is>
          <t>Eau De Parfum</t>
        </is>
      </c>
      <c r="D3393" t="inlineStr">
        <is>
          <t>Paco Rabanne</t>
        </is>
      </c>
      <c r="E3393" t="n">
        <v>82.26000000000001</v>
      </c>
      <c r="F3393" t="n">
        <v>1</v>
      </c>
      <c r="G3393" t="n">
        <v>50</v>
      </c>
      <c r="H3393" s="5">
        <f>HYPERLINK("https://api.qogita.com/variants/link/3349668600304/", "View Product")</f>
        <v/>
      </c>
    </row>
    <row r="3394">
      <c r="A3394" t="inlineStr">
        <is>
          <t>3349668604623</t>
        </is>
      </c>
      <c r="B3394" t="inlineStr">
        <is>
          <t>Paco Rabanne Lady Million Eau De Perfume Spray 80ml Set With Travel Spray 200ml</t>
        </is>
      </c>
      <c r="C3394" t="inlineStr">
        <is>
          <t>Fragrance Sets</t>
        </is>
      </c>
      <c r="D3394" t="inlineStr">
        <is>
          <t>Paco Rabanne</t>
        </is>
      </c>
      <c r="E3394" t="n">
        <v>75.78</v>
      </c>
      <c r="F3394" t="n">
        <v>1</v>
      </c>
      <c r="G3394" t="n">
        <v>43</v>
      </c>
      <c r="H3394" s="5">
        <f>HYPERLINK("https://api.qogita.com/variants/link/3349668604623/", "View Product")</f>
        <v/>
      </c>
    </row>
    <row r="3395">
      <c r="A3395" t="inlineStr">
        <is>
          <t>3349668608409</t>
        </is>
      </c>
      <c r="B3395" t="inlineStr">
        <is>
          <t>Paco Rabanne Phantom Eau De Toilette Spray 100ml + Deodorant Spray 150ml Set</t>
        </is>
      </c>
      <c r="C3395" t="inlineStr">
        <is>
          <t>Fragrance Sets</t>
        </is>
      </c>
      <c r="D3395" t="inlineStr">
        <is>
          <t>Paco Rabanne</t>
        </is>
      </c>
      <c r="E3395" t="n">
        <v>85.55</v>
      </c>
      <c r="F3395" t="n">
        <v>1</v>
      </c>
      <c r="G3395" t="n">
        <v>10</v>
      </c>
      <c r="H3395" s="5">
        <f>HYPERLINK("https://api.qogita.com/variants/link/3349668608409/", "View Product")</f>
        <v/>
      </c>
    </row>
    <row r="3396">
      <c r="A3396" t="inlineStr">
        <is>
          <t>3349668612635</t>
        </is>
      </c>
      <c r="B3396" t="inlineStr">
        <is>
          <t>Paco Rabanne Olympa Eau De Parfum Spray 80ml</t>
        </is>
      </c>
      <c r="C3396" t="inlineStr">
        <is>
          <t>Eau De Parfum</t>
        </is>
      </c>
      <c r="D3396" t="inlineStr">
        <is>
          <t>Paco Rabanne</t>
        </is>
      </c>
      <c r="E3396" t="n">
        <v>61.25</v>
      </c>
      <c r="F3396" t="n">
        <v>1</v>
      </c>
      <c r="G3396" t="n">
        <v>20</v>
      </c>
      <c r="H3396" s="5">
        <f>HYPERLINK("https://api.qogita.com/variants/link/3349668612635/", "View Product")</f>
        <v/>
      </c>
    </row>
    <row r="3397">
      <c r="A3397" t="inlineStr">
        <is>
          <t>3349668614462</t>
        </is>
      </c>
      <c r="B3397" t="inlineStr">
        <is>
          <t>Paco Rabanne Olympea Flora Eau De Parfum Spray 50ml</t>
        </is>
      </c>
      <c r="C3397" t="inlineStr">
        <is>
          <t>Eau De Parfum</t>
        </is>
      </c>
      <c r="D3397" t="inlineStr">
        <is>
          <t>Paco Rabanne</t>
        </is>
      </c>
      <c r="E3397" t="n">
        <v>38.21</v>
      </c>
      <c r="F3397" t="n">
        <v>1</v>
      </c>
      <c r="G3397" t="n">
        <v>30</v>
      </c>
      <c r="H3397" s="5">
        <f>HYPERLINK("https://api.qogita.com/variants/link/3349668614462/", "View Product")</f>
        <v/>
      </c>
    </row>
    <row r="3398">
      <c r="A3398" t="inlineStr">
        <is>
          <t>3349668614653</t>
        </is>
      </c>
      <c r="B3398" t="inlineStr">
        <is>
          <t>Paco Rabanne Fame Parfum Spray 50ml</t>
        </is>
      </c>
      <c r="C3398" t="inlineStr">
        <is>
          <t>Eau De Parfum</t>
        </is>
      </c>
      <c r="D3398" t="inlineStr">
        <is>
          <t>Paco Rabanne</t>
        </is>
      </c>
      <c r="E3398" t="n">
        <v>75.68000000000001</v>
      </c>
      <c r="F3398" t="n">
        <v>1</v>
      </c>
      <c r="G3398" t="n">
        <v>51</v>
      </c>
      <c r="H3398" s="5">
        <f>HYPERLINK("https://api.qogita.com/variants/link/3349668614653/", "View Product")</f>
        <v/>
      </c>
    </row>
    <row r="3399">
      <c r="A3399" t="inlineStr">
        <is>
          <t>3349668614660</t>
        </is>
      </c>
      <c r="B3399" t="inlineStr">
        <is>
          <t>Paco Rabanne Fame Parfum Spray Rechargeable 80ml</t>
        </is>
      </c>
      <c r="C3399" t="inlineStr">
        <is>
          <t>Eau De Parfum</t>
        </is>
      </c>
      <c r="D3399" t="inlineStr">
        <is>
          <t>Paco Rabanne</t>
        </is>
      </c>
      <c r="E3399" t="n">
        <v>84.72</v>
      </c>
      <c r="F3399" t="n">
        <v>1</v>
      </c>
      <c r="G3399" t="n">
        <v>4</v>
      </c>
      <c r="H3399" s="5">
        <f>HYPERLINK("https://api.qogita.com/variants/link/3349668614660/", "View Product")</f>
        <v/>
      </c>
    </row>
    <row r="3400">
      <c r="A3400" t="inlineStr">
        <is>
          <t>3349668617173</t>
        </is>
      </c>
      <c r="B3400" t="inlineStr">
        <is>
          <t>Paco Rabanne Lady Million Royal Eau De Parfum Spray 80ml</t>
        </is>
      </c>
      <c r="C3400" t="inlineStr">
        <is>
          <t>Eau De Parfum</t>
        </is>
      </c>
      <c r="D3400" t="inlineStr">
        <is>
          <t>Paco Rabanne</t>
        </is>
      </c>
      <c r="E3400" t="n">
        <v>69.97</v>
      </c>
      <c r="F3400" t="n">
        <v>1</v>
      </c>
      <c r="G3400" t="n">
        <v>9</v>
      </c>
      <c r="H3400" s="5">
        <f>HYPERLINK("https://api.qogita.com/variants/link/3349668617173/", "View Product")</f>
        <v/>
      </c>
    </row>
    <row r="3401">
      <c r="A3401" t="inlineStr">
        <is>
          <t>3349668625307</t>
        </is>
      </c>
      <c r="B3401" t="inlineStr">
        <is>
          <t>Paco Rabanne Travel Set Silver 21ml</t>
        </is>
      </c>
      <c r="C3401" t="inlineStr">
        <is>
          <t>Fragrance Sets</t>
        </is>
      </c>
      <c r="D3401" t="inlineStr">
        <is>
          <t>Paco Rabanne</t>
        </is>
      </c>
      <c r="E3401" t="n">
        <v>46.4</v>
      </c>
      <c r="F3401" t="n">
        <v>1</v>
      </c>
      <c r="G3401" t="n">
        <v>14</v>
      </c>
      <c r="H3401" s="5">
        <f>HYPERLINK("https://api.qogita.com/variants/link/3349668625307/", "View Product")</f>
        <v/>
      </c>
    </row>
    <row r="3402">
      <c r="A3402" t="inlineStr">
        <is>
          <t>3349668628551</t>
        </is>
      </c>
      <c r="B3402" t="inlineStr">
        <is>
          <t>Paco Rabanne Fame Eau de Parfum 80 ml - Women's Fragrance</t>
        </is>
      </c>
      <c r="C3402" t="inlineStr">
        <is>
          <t>Eau De Parfum</t>
        </is>
      </c>
      <c r="D3402" t="inlineStr">
        <is>
          <t>Paco Rabanne</t>
        </is>
      </c>
      <c r="E3402" t="n">
        <v>90.20999999999999</v>
      </c>
      <c r="F3402" t="n">
        <v>1</v>
      </c>
      <c r="G3402" t="n">
        <v>21</v>
      </c>
      <c r="H3402" s="5">
        <f>HYPERLINK("https://api.qogita.com/variants/link/3349668628551/", "View Product")</f>
        <v/>
      </c>
    </row>
    <row r="3403">
      <c r="A3403" t="inlineStr">
        <is>
          <t>3349668630127</t>
        </is>
      </c>
      <c r="B3403" t="inlineStr">
        <is>
          <t>Rabanne Fame Intense Spray 30ml</t>
        </is>
      </c>
      <c r="C3403" t="inlineStr">
        <is>
          <t>Eau De Parfum</t>
        </is>
      </c>
      <c r="D3403" t="inlineStr">
        <is>
          <t>Paco Rabanne</t>
        </is>
      </c>
      <c r="E3403" t="n">
        <v>45.45</v>
      </c>
      <c r="F3403" t="n">
        <v>1</v>
      </c>
      <c r="G3403" t="n">
        <v>15</v>
      </c>
      <c r="H3403" s="5">
        <f>HYPERLINK("https://api.qogita.com/variants/link/3349668630127/", "View Product")</f>
        <v/>
      </c>
    </row>
    <row r="3404">
      <c r="A3404" t="inlineStr">
        <is>
          <t>3349668630257</t>
        </is>
      </c>
      <c r="B3404" t="inlineStr">
        <is>
          <t>Paco Rabanne Million Gold Her Eau De Parfum 50ml Vaporizer</t>
        </is>
      </c>
      <c r="C3404" t="inlineStr">
        <is>
          <t>Eau De Parfum</t>
        </is>
      </c>
      <c r="D3404" t="inlineStr">
        <is>
          <t>Paco Rabanne</t>
        </is>
      </c>
      <c r="E3404" t="n">
        <v>63.67</v>
      </c>
      <c r="F3404" t="n">
        <v>1</v>
      </c>
      <c r="G3404" t="n">
        <v>22</v>
      </c>
      <c r="H3404" s="5">
        <f>HYPERLINK("https://api.qogita.com/variants/link/3349668630257/", "View Product")</f>
        <v/>
      </c>
    </row>
    <row r="3405">
      <c r="A3405" t="inlineStr">
        <is>
          <t>3349668630264</t>
        </is>
      </c>
      <c r="B3405" t="inlineStr">
        <is>
          <t>Paco Rabanne Ladies Million Gold Eau De Parfum 90ml</t>
        </is>
      </c>
      <c r="C3405" t="inlineStr">
        <is>
          <t>Eau De Parfum</t>
        </is>
      </c>
      <c r="D3405" t="inlineStr">
        <is>
          <t>Paco Rabanne</t>
        </is>
      </c>
      <c r="E3405" t="n">
        <v>81.70999999999999</v>
      </c>
      <c r="F3405" t="n">
        <v>1</v>
      </c>
      <c r="G3405" t="n">
        <v>46</v>
      </c>
      <c r="H3405" s="5">
        <f>HYPERLINK("https://api.qogita.com/variants/link/3349668630264/", "View Product")</f>
        <v/>
      </c>
    </row>
    <row r="3406">
      <c r="A3406" t="inlineStr">
        <is>
          <t>3349668634842</t>
        </is>
      </c>
      <c r="B3406" t="inlineStr">
        <is>
          <t>Paco Rabanne 1 Million Eau De Toilette 100ml And Deospray 150ml Set</t>
        </is>
      </c>
      <c r="C3406" t="inlineStr">
        <is>
          <t>Fragrance Sets</t>
        </is>
      </c>
      <c r="D3406" t="inlineStr">
        <is>
          <t>Paco Rabanne</t>
        </is>
      </c>
      <c r="E3406" t="n">
        <v>69.48999999999999</v>
      </c>
      <c r="F3406" t="n">
        <v>1</v>
      </c>
      <c r="G3406" t="n">
        <v>5</v>
      </c>
      <c r="H3406" s="5">
        <f>HYPERLINK("https://api.qogita.com/variants/link/3349668634842/", "View Product")</f>
        <v/>
      </c>
    </row>
    <row r="3407">
      <c r="A3407" t="inlineStr">
        <is>
          <t>3349668641826</t>
        </is>
      </c>
      <c r="B3407" t="inlineStr">
        <is>
          <t>Paco Rabanne Invictus Victory Absolu Parfum Intense 50ml</t>
        </is>
      </c>
      <c r="C3407" t="inlineStr">
        <is>
          <t>Eau De Parfum</t>
        </is>
      </c>
      <c r="D3407" t="inlineStr">
        <is>
          <t>Paco Rabanne</t>
        </is>
      </c>
      <c r="E3407" t="n">
        <v>64.8</v>
      </c>
      <c r="F3407" t="n">
        <v>1</v>
      </c>
      <c r="G3407" t="n">
        <v>7</v>
      </c>
      <c r="H3407" s="5">
        <f>HYPERLINK("https://api.qogita.com/variants/link/3349668641826/", "View Product")</f>
        <v/>
      </c>
    </row>
    <row r="3408">
      <c r="A3408" t="inlineStr">
        <is>
          <t>3350900000394</t>
        </is>
      </c>
      <c r="B3408" t="inlineStr">
        <is>
          <t>Embryolisse Lait Creme Concentre 30 Ml Multifunction Nourishing Moisturizer Cream</t>
        </is>
      </c>
      <c r="C3408" t="inlineStr">
        <is>
          <t>Face Cream</t>
        </is>
      </c>
      <c r="D3408" t="inlineStr">
        <is>
          <t>Embryolisse</t>
        </is>
      </c>
      <c r="E3408" t="n">
        <v>6.86</v>
      </c>
      <c r="F3408" t="n">
        <v>1</v>
      </c>
      <c r="G3408" t="n">
        <v>309</v>
      </c>
      <c r="H3408" s="5">
        <f>HYPERLINK("https://api.qogita.com/variants/link/3350900000394/", "View Product")</f>
        <v/>
      </c>
    </row>
    <row r="3409">
      <c r="A3409" t="inlineStr">
        <is>
          <t>3350900001681</t>
        </is>
      </c>
      <c r="B3409" t="inlineStr">
        <is>
          <t>Embryolisse Lait-Creme Sensitive Hypoallergenic Cream For The Whole Family 100ml</t>
        </is>
      </c>
      <c r="C3409" t="inlineStr">
        <is>
          <t>Face Cream</t>
        </is>
      </c>
      <c r="D3409" t="inlineStr">
        <is>
          <t>Embryolisse</t>
        </is>
      </c>
      <c r="E3409" t="n">
        <v>13.61</v>
      </c>
      <c r="F3409" t="n">
        <v>1</v>
      </c>
      <c r="G3409" t="n">
        <v>84</v>
      </c>
      <c r="H3409" s="5">
        <f>HYPERLINK("https://api.qogita.com/variants/link/3350900001681/", "View Product")</f>
        <v/>
      </c>
    </row>
    <row r="3410">
      <c r="A3410" t="inlineStr">
        <is>
          <t>3350900001834</t>
        </is>
      </c>
      <c r="B3410" t="inlineStr">
        <is>
          <t>Embryolisse Radiant Eye Brightener 45 G</t>
        </is>
      </c>
      <c r="C3410" t="inlineStr">
        <is>
          <t>Eye Cream</t>
        </is>
      </c>
      <c r="D3410" t="inlineStr">
        <is>
          <t>Embryolisse</t>
        </is>
      </c>
      <c r="E3410" t="n">
        <v>13.61</v>
      </c>
      <c r="F3410" t="n">
        <v>1</v>
      </c>
      <c r="G3410" t="n">
        <v>2</v>
      </c>
      <c r="H3410" s="5">
        <f>HYPERLINK("https://api.qogita.com/variants/link/3350900001834/", "View Product")</f>
        <v/>
      </c>
    </row>
    <row r="3411">
      <c r="A3411" t="inlineStr">
        <is>
          <t>3351500009848</t>
        </is>
      </c>
      <c r="B3411" t="inlineStr">
        <is>
          <t>Azzaro Wanted By Night Eau De Parfum 100ml For Men Spicy Woody Fragrance</t>
        </is>
      </c>
      <c r="C3411" t="inlineStr">
        <is>
          <t>Eau De Parfum</t>
        </is>
      </c>
      <c r="D3411" t="inlineStr">
        <is>
          <t>Azzaro</t>
        </is>
      </c>
      <c r="E3411" t="n">
        <v>61.57</v>
      </c>
      <c r="F3411" t="n">
        <v>1</v>
      </c>
      <c r="G3411" t="n">
        <v>2</v>
      </c>
      <c r="H3411" s="5">
        <f>HYPERLINK("https://api.qogita.com/variants/link/3351500009848/", "View Product")</f>
        <v/>
      </c>
    </row>
    <row r="3412">
      <c r="A3412" t="inlineStr">
        <is>
          <t>3351500011476</t>
        </is>
      </c>
      <c r="B3412" t="inlineStr">
        <is>
          <t>Azzaro Pour Homme Eau De Toilette 100ml By Azzaro</t>
        </is>
      </c>
      <c r="C3412" t="inlineStr">
        <is>
          <t>Eau De Toilette</t>
        </is>
      </c>
      <c r="D3412" t="inlineStr">
        <is>
          <t>Azzaro</t>
        </is>
      </c>
      <c r="E3412" t="n">
        <v>23.82</v>
      </c>
      <c r="F3412" t="n">
        <v>1</v>
      </c>
      <c r="G3412" t="n">
        <v>92</v>
      </c>
      <c r="H3412" s="5">
        <f>HYPERLINK("https://api.qogita.com/variants/link/3351500011476/", "View Product")</f>
        <v/>
      </c>
    </row>
    <row r="3413">
      <c r="A3413" t="inlineStr">
        <is>
          <t>3351500015245</t>
        </is>
      </c>
      <c r="B3413" t="inlineStr">
        <is>
          <t>Azzaro Chrome Legend Men Eau De Toilette Spray 125ml</t>
        </is>
      </c>
      <c r="C3413" t="inlineStr">
        <is>
          <t>Eau De Toilette</t>
        </is>
      </c>
      <c r="D3413" t="inlineStr">
        <is>
          <t>Azzaro</t>
        </is>
      </c>
      <c r="E3413" t="n">
        <v>20.19</v>
      </c>
      <c r="F3413" t="n">
        <v>1</v>
      </c>
      <c r="G3413" t="n">
        <v>248</v>
      </c>
      <c r="H3413" s="5">
        <f>HYPERLINK("https://api.qogita.com/variants/link/3351500015245/", "View Product")</f>
        <v/>
      </c>
    </row>
    <row r="3414">
      <c r="A3414" t="inlineStr">
        <is>
          <t>3351500017485</t>
        </is>
      </c>
      <c r="B3414" t="inlineStr">
        <is>
          <t>Azzaro Wanted Girl Tonic Eau De Toilette 80ml For Women</t>
        </is>
      </c>
      <c r="C3414" t="inlineStr">
        <is>
          <t>Eau De Toilette</t>
        </is>
      </c>
      <c r="D3414" t="inlineStr">
        <is>
          <t>Azzaro</t>
        </is>
      </c>
      <c r="E3414" t="n">
        <v>27.49</v>
      </c>
      <c r="F3414" t="n">
        <v>1</v>
      </c>
      <c r="G3414" t="n">
        <v>2</v>
      </c>
      <c r="H3414" s="5">
        <f>HYPERLINK("https://api.qogita.com/variants/link/3351500017485/", "View Product")</f>
        <v/>
      </c>
    </row>
    <row r="3415">
      <c r="A3415" t="inlineStr">
        <is>
          <t>3351500018017</t>
        </is>
      </c>
      <c r="B3415" t="inlineStr">
        <is>
          <t>Azzaro Azimcs17 Eau De Cologne Spray for Men 1.7 Oz</t>
        </is>
      </c>
      <c r="C3415" t="inlineStr">
        <is>
          <t>Eau De Cologne</t>
        </is>
      </c>
      <c r="D3415" t="inlineStr">
        <is>
          <t>Azzaro</t>
        </is>
      </c>
      <c r="E3415" t="n">
        <v>21.24</v>
      </c>
      <c r="F3415" t="n">
        <v>1</v>
      </c>
      <c r="G3415" t="n">
        <v>4</v>
      </c>
      <c r="H3415" s="5">
        <f>HYPERLINK("https://api.qogita.com/variants/link/3351500018017/", "View Product")</f>
        <v/>
      </c>
    </row>
    <row r="3416">
      <c r="A3416" t="inlineStr">
        <is>
          <t>3351500020331</t>
        </is>
      </c>
      <c r="B3416" t="inlineStr">
        <is>
          <t>Azzaro Chrome Body Spray 5 oz</t>
        </is>
      </c>
      <c r="C3416" t="inlineStr">
        <is>
          <t>Eau De Toilette</t>
        </is>
      </c>
      <c r="D3416" t="inlineStr">
        <is>
          <t>Chrome</t>
        </is>
      </c>
      <c r="E3416" t="n">
        <v>8.99</v>
      </c>
      <c r="F3416" t="n">
        <v>1</v>
      </c>
      <c r="G3416" t="n">
        <v>9</v>
      </c>
      <c r="H3416" s="5">
        <f>HYPERLINK("https://api.qogita.com/variants/link/3351500020331/", "View Product")</f>
        <v/>
      </c>
    </row>
    <row r="3417">
      <c r="A3417" t="inlineStr">
        <is>
          <t>3355991005846</t>
        </is>
      </c>
      <c r="B3417" t="inlineStr">
        <is>
          <t>Jacques Bogart Silver Scent Infinite Silver Eau de Toilette for Men Spray 100ml</t>
        </is>
      </c>
      <c r="C3417" t="inlineStr">
        <is>
          <t>Eau De Toilette</t>
        </is>
      </c>
      <c r="D3417" t="inlineStr">
        <is>
          <t>Jacques Bogart</t>
        </is>
      </c>
      <c r="E3417" t="n">
        <v>20.93</v>
      </c>
      <c r="F3417" t="n">
        <v>1</v>
      </c>
      <c r="G3417" t="n">
        <v>13</v>
      </c>
      <c r="H3417" s="5">
        <f>HYPERLINK("https://api.qogita.com/variants/link/3355991005846/", "View Product")</f>
        <v/>
      </c>
    </row>
    <row r="3418">
      <c r="A3418" t="inlineStr">
        <is>
          <t>3355992000260</t>
        </is>
      </c>
      <c r="B3418" t="inlineStr">
        <is>
          <t>Lapidus Eau De Toilette Spray For Men 100ml</t>
        </is>
      </c>
      <c r="C3418" t="inlineStr">
        <is>
          <t>Eau De Toilette</t>
        </is>
      </c>
      <c r="D3418" t="inlineStr">
        <is>
          <t>Lapidus</t>
        </is>
      </c>
      <c r="E3418" t="n">
        <v>18.75</v>
      </c>
      <c r="F3418" t="n">
        <v>1</v>
      </c>
      <c r="G3418" t="n">
        <v>4</v>
      </c>
      <c r="H3418" s="5">
        <f>HYPERLINK("https://api.qogita.com/variants/link/3355992000260/", "View Product")</f>
        <v/>
      </c>
    </row>
    <row r="3419">
      <c r="A3419" t="inlineStr">
        <is>
          <t>3355992001779</t>
        </is>
      </c>
      <c r="B3419" t="inlineStr">
        <is>
          <t>Lapidus Pour Homme by Ted Lapidus 3.4oz Eau de Toilette Spray Tester</t>
        </is>
      </c>
      <c r="C3419" t="inlineStr">
        <is>
          <t>Eau De Toilette</t>
        </is>
      </c>
      <c r="D3419" t="inlineStr">
        <is>
          <t>Ted Lapidus</t>
        </is>
      </c>
      <c r="E3419" t="n">
        <v>11.18</v>
      </c>
      <c r="F3419" t="n">
        <v>1</v>
      </c>
      <c r="G3419" t="n">
        <v>4</v>
      </c>
      <c r="H3419" s="5">
        <f>HYPERLINK("https://api.qogita.com/variants/link/3355992001779/", "View Product")</f>
        <v/>
      </c>
    </row>
    <row r="3420">
      <c r="A3420" t="inlineStr">
        <is>
          <t>3355992009171</t>
        </is>
      </c>
      <c r="B3420" t="inlineStr">
        <is>
          <t>Ted Lapidus Stories Divine Passion Eau De Toilette Spray 100ml</t>
        </is>
      </c>
      <c r="C3420" t="inlineStr">
        <is>
          <t>Eau De Toilette</t>
        </is>
      </c>
      <c r="D3420" t="inlineStr">
        <is>
          <t>Ted Lapidus</t>
        </is>
      </c>
      <c r="E3420" t="n">
        <v>11.83</v>
      </c>
      <c r="F3420" t="n">
        <v>1</v>
      </c>
      <c r="G3420" t="n">
        <v>5</v>
      </c>
      <c r="H3420" s="5">
        <f>HYPERLINK("https://api.qogita.com/variants/link/3355992009171/", "View Product")</f>
        <v/>
      </c>
    </row>
    <row r="3421">
      <c r="A3421" t="inlineStr">
        <is>
          <t>3357554720012</t>
        </is>
      </c>
      <c r="B3421" t="inlineStr">
        <is>
          <t>Gloria Vanderbilt Eau De Toilette Spray 100ml By Gloria Vanderbilt</t>
        </is>
      </c>
      <c r="C3421" t="inlineStr">
        <is>
          <t>Eau De Toilette</t>
        </is>
      </c>
      <c r="D3421" t="inlineStr">
        <is>
          <t>Gloria Vanderbilt</t>
        </is>
      </c>
      <c r="E3421" t="n">
        <v>7.64</v>
      </c>
      <c r="F3421" t="n">
        <v>1</v>
      </c>
      <c r="G3421" t="n">
        <v>47</v>
      </c>
      <c r="H3421" s="5">
        <f>HYPERLINK("https://api.qogita.com/variants/link/3357554720012/", "View Product")</f>
        <v/>
      </c>
    </row>
    <row r="3422">
      <c r="A3422" t="inlineStr">
        <is>
          <t>3359992140001</t>
        </is>
      </c>
      <c r="B3422" t="inlineStr">
        <is>
          <t>Orlane Paris Hydralane Sorbet Cream Nongreasy Moisturizing Cream For Combination To Oily Skin 50 Ml</t>
        </is>
      </c>
      <c r="C3422" t="inlineStr">
        <is>
          <t>Face Cream</t>
        </is>
      </c>
      <c r="D3422" t="inlineStr">
        <is>
          <t>Orlane</t>
        </is>
      </c>
      <c r="E3422" t="n">
        <v>47.07</v>
      </c>
      <c r="F3422" t="n">
        <v>1</v>
      </c>
      <c r="G3422" t="n">
        <v>2</v>
      </c>
      <c r="H3422" s="5">
        <f>HYPERLINK("https://api.qogita.com/variants/link/3359992140001/", "View Product")</f>
        <v/>
      </c>
    </row>
    <row r="3423">
      <c r="A3423" t="inlineStr">
        <is>
          <t>3359992201009</t>
        </is>
      </c>
      <c r="B3423" t="inlineStr">
        <is>
          <t>Orlane Supradose Hyaluron Concentrate 300mg Lift Moisturizing 30ml</t>
        </is>
      </c>
      <c r="C3423" t="inlineStr">
        <is>
          <t>Hyaluronic Acid Serum</t>
        </is>
      </c>
      <c r="D3423" t="inlineStr">
        <is>
          <t>Orlane</t>
        </is>
      </c>
      <c r="E3423" t="n">
        <v>43.96</v>
      </c>
      <c r="F3423" t="n">
        <v>1</v>
      </c>
      <c r="G3423" t="n">
        <v>4</v>
      </c>
      <c r="H3423" s="5">
        <f>HYPERLINK("https://api.qogita.com/variants/link/3359992201009/", "View Product")</f>
        <v/>
      </c>
    </row>
    <row r="3424">
      <c r="A3424" t="inlineStr">
        <is>
          <t>3359996493004</t>
        </is>
      </c>
      <c r="B3424" t="inlineStr">
        <is>
          <t>Firming Neck and Decollete Serum 50ml 1.7oz</t>
        </is>
      </c>
      <c r="C3424" t="inlineStr">
        <is>
          <t>Neck &amp; Decollete</t>
        </is>
      </c>
      <c r="D3424" t="inlineStr">
        <is>
          <t>Orlane</t>
        </is>
      </c>
      <c r="E3424" t="n">
        <v>37.2</v>
      </c>
      <c r="F3424" t="n">
        <v>1</v>
      </c>
      <c r="G3424" t="n">
        <v>2</v>
      </c>
      <c r="H3424" s="5">
        <f>HYPERLINK("https://api.qogita.com/variants/link/3359996493004/", "View Product")</f>
        <v/>
      </c>
    </row>
    <row r="3425">
      <c r="A3425" t="inlineStr">
        <is>
          <t>3359996632007</t>
        </is>
      </c>
      <c r="B3425" t="inlineStr">
        <is>
          <t>Orlane Regenerating Hand and Nail Care 75ml</t>
        </is>
      </c>
      <c r="C3425" t="inlineStr">
        <is>
          <t>Hand Cream</t>
        </is>
      </c>
      <c r="D3425" t="inlineStr">
        <is>
          <t>Orlane</t>
        </is>
      </c>
      <c r="E3425" t="n">
        <v>42.6</v>
      </c>
      <c r="F3425" t="n">
        <v>1</v>
      </c>
      <c r="G3425" t="n">
        <v>2</v>
      </c>
      <c r="H3425" s="5">
        <f>HYPERLINK("https://api.qogita.com/variants/link/3359996632007/", "View Product")</f>
        <v/>
      </c>
    </row>
    <row r="3426">
      <c r="A3426" t="inlineStr">
        <is>
          <t>3359996754006</t>
        </is>
      </c>
      <c r="B3426" t="inlineStr">
        <is>
          <t>Orlane Antifatigue Absolute Eye Contour Cream For Tired Eye Area 15ml</t>
        </is>
      </c>
      <c r="C3426" t="inlineStr">
        <is>
          <t>Eye Cream</t>
        </is>
      </c>
      <c r="D3426" t="inlineStr">
        <is>
          <t>Orlane</t>
        </is>
      </c>
      <c r="E3426" t="n">
        <v>75.91</v>
      </c>
      <c r="F3426" t="n">
        <v>1</v>
      </c>
      <c r="G3426" t="n">
        <v>2</v>
      </c>
      <c r="H3426" s="5">
        <f>HYPERLINK("https://api.qogita.com/variants/link/3359996754006/", "View Product")</f>
        <v/>
      </c>
    </row>
    <row r="3427">
      <c r="A3427" t="inlineStr">
        <is>
          <t>3359998250001</t>
        </is>
      </c>
      <c r="B3427" t="inlineStr">
        <is>
          <t>Radiance Lift Firming Eye Contour 15ml/0.5oz</t>
        </is>
      </c>
      <c r="C3427" t="inlineStr">
        <is>
          <t>Eye Cream</t>
        </is>
      </c>
      <c r="D3427" t="inlineStr">
        <is>
          <t>Orlane</t>
        </is>
      </c>
      <c r="E3427" t="n">
        <v>90.37</v>
      </c>
      <c r="F3427" t="n">
        <v>1</v>
      </c>
      <c r="G3427" t="n">
        <v>3</v>
      </c>
      <c r="H3427" s="5">
        <f>HYPERLINK("https://api.qogita.com/variants/link/3359998250001/", "View Product")</f>
        <v/>
      </c>
    </row>
    <row r="3428">
      <c r="A3428" t="inlineStr">
        <is>
          <t>3359998350008</t>
        </is>
      </c>
      <c r="B3428" t="inlineStr">
        <is>
          <t>Orlane Paris Magnificent Lip Balm 15 Ml</t>
        </is>
      </c>
      <c r="C3428" t="inlineStr">
        <is>
          <t>Lip Oil</t>
        </is>
      </c>
      <c r="D3428" t="inlineStr">
        <is>
          <t>Orlane</t>
        </is>
      </c>
      <c r="E3428" t="n">
        <v>39.27</v>
      </c>
      <c r="F3428" t="n">
        <v>1</v>
      </c>
      <c r="G3428" t="n">
        <v>6</v>
      </c>
      <c r="H3428" s="5">
        <f>HYPERLINK("https://api.qogita.com/variants/link/3359998350008/", "View Product")</f>
        <v/>
      </c>
    </row>
    <row r="3429">
      <c r="A3429" t="inlineStr">
        <is>
          <t>3360372017332</t>
        </is>
      </c>
      <c r="B3429" t="inlineStr">
        <is>
          <t>Guy Laroche Drakkar Noir Eau De Toilette Spray 200ml</t>
        </is>
      </c>
      <c r="C3429" t="inlineStr">
        <is>
          <t>Eau De Toilette</t>
        </is>
      </c>
      <c r="D3429" t="inlineStr">
        <is>
          <t>Guy Laroche</t>
        </is>
      </c>
      <c r="E3429" t="n">
        <v>19.03</v>
      </c>
      <c r="F3429" t="n">
        <v>1</v>
      </c>
      <c r="G3429" t="n">
        <v>177</v>
      </c>
      <c r="H3429" s="5">
        <f>HYPERLINK("https://api.qogita.com/variants/link/3360372017332/", "View Product")</f>
        <v/>
      </c>
    </row>
    <row r="3430">
      <c r="A3430" t="inlineStr">
        <is>
          <t>3360372058892</t>
        </is>
      </c>
      <c r="B3430" t="inlineStr">
        <is>
          <t>Giorgio Armani Acqua Di Gio Pour Homme Deodorant Spray 150ml</t>
        </is>
      </c>
      <c r="C3430" t="inlineStr">
        <is>
          <t>Deodorant &amp; Anti-Perspirant</t>
        </is>
      </c>
      <c r="D3430" t="inlineStr">
        <is>
          <t>Giorgio Armani</t>
        </is>
      </c>
      <c r="E3430" t="n">
        <v>25.73</v>
      </c>
      <c r="F3430" t="n">
        <v>1</v>
      </c>
      <c r="G3430" t="n">
        <v>5</v>
      </c>
      <c r="H3430" s="5">
        <f>HYPERLINK("https://api.qogita.com/variants/link/3360372058892/", "View Product")</f>
        <v/>
      </c>
    </row>
    <row r="3431">
      <c r="A3431" t="inlineStr">
        <is>
          <t>3360373000159</t>
        </is>
      </c>
      <c r="B3431" t="inlineStr">
        <is>
          <t>Paloma Picasso Eau De Parfum Spray 30ml By Paloma Picasso</t>
        </is>
      </c>
      <c r="C3431" t="inlineStr">
        <is>
          <t>Eau De Parfum</t>
        </is>
      </c>
      <c r="D3431" t="inlineStr">
        <is>
          <t>Paloma Picasso</t>
        </is>
      </c>
      <c r="E3431" t="n">
        <v>14.52</v>
      </c>
      <c r="F3431" t="n">
        <v>1</v>
      </c>
      <c r="G3431" t="n">
        <v>82</v>
      </c>
      <c r="H3431" s="5">
        <f>HYPERLINK("https://api.qogita.com/variants/link/3360373000159/", "View Product")</f>
        <v/>
      </c>
    </row>
    <row r="3432">
      <c r="A3432" t="inlineStr">
        <is>
          <t>3360373001774</t>
        </is>
      </c>
      <c r="B3432" t="inlineStr">
        <is>
          <t>Cacharel Pour L'Homme Eau De Toilette Spray 100ml</t>
        </is>
      </c>
      <c r="C3432" t="inlineStr">
        <is>
          <t>Eau De Toilette</t>
        </is>
      </c>
      <c r="D3432" t="inlineStr">
        <is>
          <t>Cacharel</t>
        </is>
      </c>
      <c r="E3432" t="n">
        <v>37.17</v>
      </c>
      <c r="F3432" t="n">
        <v>1</v>
      </c>
      <c r="G3432" t="n">
        <v>8</v>
      </c>
      <c r="H3432" s="5">
        <f>HYPERLINK("https://api.qogita.com/variants/link/3360373001774/", "View Product")</f>
        <v/>
      </c>
    </row>
    <row r="3433">
      <c r="A3433" t="inlineStr">
        <is>
          <t>3360373007905</t>
        </is>
      </c>
      <c r="B3433" t="inlineStr">
        <is>
          <t>Paloma Picasso Minotaure Pour Homme Eau De Toilette Spray 75ml</t>
        </is>
      </c>
      <c r="C3433" t="inlineStr">
        <is>
          <t>Eau De Toilette</t>
        </is>
      </c>
      <c r="D3433" t="inlineStr">
        <is>
          <t>Paloma Picasso</t>
        </is>
      </c>
      <c r="E3433" t="n">
        <v>21.81</v>
      </c>
      <c r="F3433" t="n">
        <v>1</v>
      </c>
      <c r="G3433" t="n">
        <v>14</v>
      </c>
      <c r="H3433" s="5">
        <f>HYPERLINK("https://api.qogita.com/variants/link/3360373007905/", "View Product")</f>
        <v/>
      </c>
    </row>
    <row r="3434">
      <c r="A3434" t="inlineStr">
        <is>
          <t>3360373016334</t>
        </is>
      </c>
      <c r="B3434" t="inlineStr">
        <is>
          <t>Cacharel Noa Eau De Toilette For Women 30 Ml</t>
        </is>
      </c>
      <c r="C3434" t="inlineStr">
        <is>
          <t>Eau De Toilette</t>
        </is>
      </c>
      <c r="D3434" t="inlineStr">
        <is>
          <t>Cacharel</t>
        </is>
      </c>
      <c r="E3434" t="n">
        <v>17.31</v>
      </c>
      <c r="F3434" t="n">
        <v>1</v>
      </c>
      <c r="G3434" t="n">
        <v>17</v>
      </c>
      <c r="H3434" s="5">
        <f>HYPERLINK("https://api.qogita.com/variants/link/3360373016334/", "View Product")</f>
        <v/>
      </c>
    </row>
    <row r="3435">
      <c r="A3435" t="inlineStr">
        <is>
          <t>3360373063680</t>
        </is>
      </c>
      <c r="B3435" t="inlineStr">
        <is>
          <t>Cacharel Amor Amor Eau De Toilette 100ml For Women</t>
        </is>
      </c>
      <c r="C3435" t="inlineStr">
        <is>
          <t>Eau De Toilette</t>
        </is>
      </c>
      <c r="D3435" t="inlineStr">
        <is>
          <t>Cacharel</t>
        </is>
      </c>
      <c r="E3435" t="n">
        <v>26.1</v>
      </c>
      <c r="F3435" t="n">
        <v>1</v>
      </c>
      <c r="G3435" t="n">
        <v>71</v>
      </c>
      <c r="H3435" s="5">
        <f>HYPERLINK("https://api.qogita.com/variants/link/3360373063680/", "View Product")</f>
        <v/>
      </c>
    </row>
    <row r="3436">
      <c r="A3436" t="inlineStr">
        <is>
          <t>3360373063697</t>
        </is>
      </c>
      <c r="B3436" t="inlineStr">
        <is>
          <t>Cacharel Amor Amor Eau De Toilette Spray 30ml</t>
        </is>
      </c>
      <c r="C3436" t="inlineStr">
        <is>
          <t>Eau De Toilette</t>
        </is>
      </c>
      <c r="D3436" t="inlineStr">
        <is>
          <t>Cacharel</t>
        </is>
      </c>
      <c r="E3436" t="n">
        <v>13.67</v>
      </c>
      <c r="F3436" t="n">
        <v>1</v>
      </c>
      <c r="G3436" t="n">
        <v>23</v>
      </c>
      <c r="H3436" s="5">
        <f>HYPERLINK("https://api.qogita.com/variants/link/3360373063697/", "View Product")</f>
        <v/>
      </c>
    </row>
    <row r="3437">
      <c r="A3437" t="inlineStr">
        <is>
          <t>3360374000004</t>
        </is>
      </c>
      <c r="B3437" t="inlineStr">
        <is>
          <t>Viktor&amp;Rolf Flowerbomb Eau De Parfum Spray 30ml</t>
        </is>
      </c>
      <c r="C3437" t="inlineStr">
        <is>
          <t>Eau De Parfum</t>
        </is>
      </c>
      <c r="D3437" t="inlineStr">
        <is>
          <t>Viktor &amp; Rolf</t>
        </is>
      </c>
      <c r="E3437" t="n">
        <v>44.04</v>
      </c>
      <c r="F3437" t="n">
        <v>1</v>
      </c>
      <c r="G3437" t="n">
        <v>3</v>
      </c>
      <c r="H3437" s="5">
        <f>HYPERLINK("https://api.qogita.com/variants/link/3360374000004/", "View Product")</f>
        <v/>
      </c>
    </row>
    <row r="3438">
      <c r="A3438" t="inlineStr">
        <is>
          <t>3360375004056</t>
        </is>
      </c>
      <c r="B3438" t="inlineStr">
        <is>
          <t>Armani Code For Women Eau De Parfum Spray 50ml</t>
        </is>
      </c>
      <c r="C3438" t="inlineStr">
        <is>
          <t>Eau De Parfum</t>
        </is>
      </c>
      <c r="D3438" t="inlineStr">
        <is>
          <t>Armani</t>
        </is>
      </c>
      <c r="E3438" t="n">
        <v>61.96</v>
      </c>
      <c r="F3438" t="n">
        <v>1</v>
      </c>
      <c r="G3438" t="n">
        <v>21</v>
      </c>
      <c r="H3438" s="5">
        <f>HYPERLINK("https://api.qogita.com/variants/link/3360375004056/", "View Product")</f>
        <v/>
      </c>
    </row>
    <row r="3439">
      <c r="A3439" t="inlineStr">
        <is>
          <t>3360375010972</t>
        </is>
      </c>
      <c r="B3439" t="inlineStr">
        <is>
          <t>Armani Code For Women Eau De Parfum Spray 75ml</t>
        </is>
      </c>
      <c r="C3439" t="inlineStr">
        <is>
          <t>Eau De Parfum</t>
        </is>
      </c>
      <c r="D3439" t="inlineStr">
        <is>
          <t>Armani</t>
        </is>
      </c>
      <c r="E3439" t="n">
        <v>65.87</v>
      </c>
      <c r="F3439" t="n">
        <v>1</v>
      </c>
      <c r="G3439" t="n">
        <v>215</v>
      </c>
      <c r="H3439" s="5">
        <f>HYPERLINK("https://api.qogita.com/variants/link/3360375010972/", "View Product")</f>
        <v/>
      </c>
    </row>
    <row r="3440">
      <c r="A3440" t="inlineStr">
        <is>
          <t>3360377009356</t>
        </is>
      </c>
      <c r="B3440" t="inlineStr">
        <is>
          <t>Ralph Lauren Ralph Eau De Toilette Spray 50ml</t>
        </is>
      </c>
      <c r="C3440" t="inlineStr">
        <is>
          <t>Eau De Toilette</t>
        </is>
      </c>
      <c r="D3440" t="inlineStr">
        <is>
          <t>Ralph Lauren</t>
        </is>
      </c>
      <c r="E3440" t="n">
        <v>32.42</v>
      </c>
      <c r="F3440" t="n">
        <v>1</v>
      </c>
      <c r="G3440" t="n">
        <v>4</v>
      </c>
      <c r="H3440" s="5">
        <f>HYPERLINK("https://api.qogita.com/variants/link/3360377009356/", "View Product")</f>
        <v/>
      </c>
    </row>
    <row r="3441">
      <c r="A3441" t="inlineStr">
        <is>
          <t>3365440037229</t>
        </is>
      </c>
      <c r="B3441" t="inlineStr">
        <is>
          <t>Yves Saint Laurent Jazz Eau De Toilette Spray 80ml</t>
        </is>
      </c>
      <c r="C3441" t="inlineStr">
        <is>
          <t>Eau De Toilette</t>
        </is>
      </c>
      <c r="D3441" t="inlineStr">
        <is>
          <t>Yves Saint Laurent</t>
        </is>
      </c>
      <c r="E3441" t="n">
        <v>100.53</v>
      </c>
      <c r="F3441" t="n">
        <v>1</v>
      </c>
      <c r="G3441" t="n">
        <v>3</v>
      </c>
      <c r="H3441" s="5">
        <f>HYPERLINK("https://api.qogita.com/variants/link/3365440037229/", "View Product")</f>
        <v/>
      </c>
    </row>
    <row r="3442">
      <c r="A3442" t="inlineStr">
        <is>
          <t>3365440043978</t>
        </is>
      </c>
      <c r="B3442" t="inlineStr">
        <is>
          <t>La Collection by Yves Saint Laurent In Love Again Eau de Toilette Spray 80ml</t>
        </is>
      </c>
      <c r="C3442" t="inlineStr">
        <is>
          <t>Eau De Toilette</t>
        </is>
      </c>
      <c r="D3442" t="inlineStr">
        <is>
          <t>Yves Saint Laurent</t>
        </is>
      </c>
      <c r="E3442" t="n">
        <v>80.01000000000001</v>
      </c>
      <c r="F3442" t="n">
        <v>1</v>
      </c>
      <c r="G3442" t="n">
        <v>32</v>
      </c>
      <c r="H3442" s="5">
        <f>HYPERLINK("https://api.qogita.com/variants/link/3365440043978/", "View Product")</f>
        <v/>
      </c>
    </row>
    <row r="3443">
      <c r="A3443" t="inlineStr">
        <is>
          <t>3365440115422</t>
        </is>
      </c>
      <c r="B3443" t="inlineStr">
        <is>
          <t>Yves Saint Laurent Touche Eclat Concealer No 3 25 Ml Light Peach</t>
        </is>
      </c>
      <c r="C3443" t="inlineStr">
        <is>
          <t>Concealer</t>
        </is>
      </c>
      <c r="D3443" t="inlineStr">
        <is>
          <t>Yves Saint Laurent</t>
        </is>
      </c>
      <c r="E3443" t="n">
        <v>31.85</v>
      </c>
      <c r="F3443" t="n">
        <v>1</v>
      </c>
      <c r="G3443" t="n">
        <v>5</v>
      </c>
      <c r="H3443" s="5">
        <f>HYPERLINK("https://api.qogita.com/variants/link/3365440115422/", "View Product")</f>
        <v/>
      </c>
    </row>
    <row r="3444">
      <c r="A3444" t="inlineStr">
        <is>
          <t>3365440358300</t>
        </is>
      </c>
      <c r="B3444" t="inlineStr">
        <is>
          <t>Yves Saint Laurent Parisienne Eau De Parfum 90ml Women Spray</t>
        </is>
      </c>
      <c r="C3444" t="inlineStr">
        <is>
          <t>Eau De Parfum</t>
        </is>
      </c>
      <c r="D3444" t="inlineStr">
        <is>
          <t>Yves Saint Laurent</t>
        </is>
      </c>
      <c r="E3444" t="n">
        <v>84.11</v>
      </c>
      <c r="F3444" t="n">
        <v>1</v>
      </c>
      <c r="G3444" t="n">
        <v>96</v>
      </c>
      <c r="H3444" s="5">
        <f>HYPERLINK("https://api.qogita.com/variants/link/3365440358300/", "View Product")</f>
        <v/>
      </c>
    </row>
    <row r="3445">
      <c r="A3445" t="inlineStr">
        <is>
          <t>3365440556263</t>
        </is>
      </c>
      <c r="B3445" t="inlineStr">
        <is>
          <t>Yves Saint Laurent Opium Eau De Parfum Spray 90ml</t>
        </is>
      </c>
      <c r="C3445" t="inlineStr">
        <is>
          <t>Eau De Parfum</t>
        </is>
      </c>
      <c r="D3445" t="inlineStr">
        <is>
          <t>Yves Saint Laurent</t>
        </is>
      </c>
      <c r="E3445" t="n">
        <v>93.08</v>
      </c>
      <c r="F3445" t="n">
        <v>1</v>
      </c>
      <c r="G3445" t="n">
        <v>11</v>
      </c>
      <c r="H3445" s="5">
        <f>HYPERLINK("https://api.qogita.com/variants/link/3365440556263/", "View Product")</f>
        <v/>
      </c>
    </row>
    <row r="3446">
      <c r="A3446" t="inlineStr">
        <is>
          <t>3365440556386</t>
        </is>
      </c>
      <c r="B3446" t="inlineStr">
        <is>
          <t>Yves Saint Laurent Opium Pour Femme Eau De Toilette Spray 90ml</t>
        </is>
      </c>
      <c r="C3446" t="inlineStr">
        <is>
          <t>Eau De Toilette</t>
        </is>
      </c>
      <c r="D3446" t="inlineStr">
        <is>
          <t>Yves Saint Laurent</t>
        </is>
      </c>
      <c r="E3446" t="n">
        <v>84.8</v>
      </c>
      <c r="F3446" t="n">
        <v>1</v>
      </c>
      <c r="G3446" t="n">
        <v>9</v>
      </c>
      <c r="H3446" s="5">
        <f>HYPERLINK("https://api.qogita.com/variants/link/3365440556386/", "View Product")</f>
        <v/>
      </c>
    </row>
    <row r="3447">
      <c r="A3447" t="inlineStr">
        <is>
          <t>3365440621053</t>
        </is>
      </c>
      <c r="B3447" t="inlineStr">
        <is>
          <t>Yves Saint Laurent La Nuit De L'Homme Le Parfum Eau De Parfum Spray 100ml</t>
        </is>
      </c>
      <c r="C3447" t="inlineStr">
        <is>
          <t>Eau De Parfum</t>
        </is>
      </c>
      <c r="D3447" t="inlineStr">
        <is>
          <t>Yves Saint Laurent</t>
        </is>
      </c>
      <c r="E3447" t="n">
        <v>89.81999999999999</v>
      </c>
      <c r="F3447" t="n">
        <v>1</v>
      </c>
      <c r="G3447" t="n">
        <v>16</v>
      </c>
      <c r="H3447" s="5">
        <f>HYPERLINK("https://api.qogita.com/variants/link/3365440621053/", "View Product")</f>
        <v/>
      </c>
    </row>
    <row r="3448">
      <c r="A3448" t="inlineStr">
        <is>
          <t>3365440787919</t>
        </is>
      </c>
      <c r="B3448" t="inlineStr">
        <is>
          <t>Yves Saint Laurent Black Opium Eau De Parfum Spray 50ml</t>
        </is>
      </c>
      <c r="C3448" t="inlineStr">
        <is>
          <t>Eau De Parfum</t>
        </is>
      </c>
      <c r="D3448" t="inlineStr">
        <is>
          <t>Yves Saint Laurent</t>
        </is>
      </c>
      <c r="E3448" t="n">
        <v>72.13</v>
      </c>
      <c r="F3448" t="n">
        <v>1</v>
      </c>
      <c r="G3448" t="n">
        <v>6</v>
      </c>
      <c r="H3448" s="5">
        <f>HYPERLINK("https://api.qogita.com/variants/link/3365440787919/", "View Product")</f>
        <v/>
      </c>
    </row>
    <row r="3449">
      <c r="A3449" t="inlineStr">
        <is>
          <t>3367729017236</t>
        </is>
      </c>
      <c r="B3449" t="inlineStr">
        <is>
          <t>Biotherm Homme Shaving Gel For Normal Skin 150 Ml</t>
        </is>
      </c>
      <c r="C3449" t="inlineStr">
        <is>
          <t>Shaving</t>
        </is>
      </c>
      <c r="D3449" t="inlineStr">
        <is>
          <t>Biotherm</t>
        </is>
      </c>
      <c r="E3449" t="n">
        <v>17.2</v>
      </c>
      <c r="F3449" t="n">
        <v>1</v>
      </c>
      <c r="G3449" t="n">
        <v>6</v>
      </c>
      <c r="H3449" s="5">
        <f>HYPERLINK("https://api.qogita.com/variants/link/3367729017236/", "View Product")</f>
        <v/>
      </c>
    </row>
    <row r="3450">
      <c r="A3450" t="inlineStr">
        <is>
          <t>3367729181142</t>
        </is>
      </c>
      <c r="B3450" t="inlineStr">
        <is>
          <t>Biotherm Age Delaying Hand &amp; Nail Treatment 100ml</t>
        </is>
      </c>
      <c r="C3450" t="inlineStr">
        <is>
          <t>Hand Cream</t>
        </is>
      </c>
      <c r="D3450" t="inlineStr">
        <is>
          <t>Biotherm</t>
        </is>
      </c>
      <c r="E3450" t="n">
        <v>18.67</v>
      </c>
      <c r="F3450" t="n">
        <v>1</v>
      </c>
      <c r="G3450" t="n">
        <v>7</v>
      </c>
      <c r="H3450" s="5">
        <f>HYPERLINK("https://api.qogita.com/variants/link/3367729181142/", "View Product")</f>
        <v/>
      </c>
    </row>
    <row r="3451">
      <c r="A3451" t="inlineStr">
        <is>
          <t>3367729586046</t>
        </is>
      </c>
      <c r="B3451" t="inlineStr">
        <is>
          <t>Biotherm Homme Razor Burn Soothing Aftershave 100ml</t>
        </is>
      </c>
      <c r="C3451" t="inlineStr">
        <is>
          <t>Aftershave</t>
        </is>
      </c>
      <c r="D3451" t="inlineStr">
        <is>
          <t>Biotherm</t>
        </is>
      </c>
      <c r="E3451" t="n">
        <v>32.19</v>
      </c>
      <c r="F3451" t="n">
        <v>1</v>
      </c>
      <c r="G3451" t="n">
        <v>3</v>
      </c>
      <c r="H3451" s="5">
        <f>HYPERLINK("https://api.qogita.com/variants/link/3367729586046/", "View Product")</f>
        <v/>
      </c>
    </row>
    <row r="3452">
      <c r="A3452" t="inlineStr">
        <is>
          <t>3372290000280</t>
        </is>
      </c>
      <c r="B3452" t="inlineStr">
        <is>
          <t>Lazartigue Clear Shampoo Antidandruff Phase 2 250ml</t>
        </is>
      </c>
      <c r="C3452" t="inlineStr">
        <is>
          <t>Shampoo</t>
        </is>
      </c>
      <c r="D3452" t="inlineStr">
        <is>
          <t>Lazartigue</t>
        </is>
      </c>
      <c r="E3452" t="n">
        <v>9.859999999999999</v>
      </c>
      <c r="F3452" t="n">
        <v>1</v>
      </c>
      <c r="G3452" t="n">
        <v>3</v>
      </c>
      <c r="H3452" s="5">
        <f>HYPERLINK("https://api.qogita.com/variants/link/3372290000280/", "View Product")</f>
        <v/>
      </c>
    </row>
    <row r="3453">
      <c r="A3453" t="inlineStr">
        <is>
          <t>3372290121220</t>
        </is>
      </c>
      <c r="B3453" t="inlineStr">
        <is>
          <t>Lazartigue Nourish 2 In 1 Cleansing Balm 150ml</t>
        </is>
      </c>
      <c r="C3453" t="inlineStr">
        <is>
          <t>Shampoo</t>
        </is>
      </c>
      <c r="D3453" t="inlineStr">
        <is>
          <t>Lazartigue</t>
        </is>
      </c>
      <c r="E3453" t="n">
        <v>12.44</v>
      </c>
      <c r="F3453" t="n">
        <v>1</v>
      </c>
      <c r="G3453" t="n">
        <v>5</v>
      </c>
      <c r="H3453" s="5">
        <f>HYPERLINK("https://api.qogita.com/variants/link/3372290121220/", "View Product")</f>
        <v/>
      </c>
    </row>
    <row r="3454">
      <c r="A3454" t="inlineStr">
        <is>
          <t>3380810156485</t>
        </is>
      </c>
      <c r="B3454" t="inlineStr">
        <is>
          <t>Clarins Double Serum 30ml - Pack of 2</t>
        </is>
      </c>
      <c r="C3454" t="inlineStr">
        <is>
          <t>Anti-Aging Serum</t>
        </is>
      </c>
      <c r="D3454" t="inlineStr">
        <is>
          <t>Clarins</t>
        </is>
      </c>
      <c r="E3454" t="n">
        <v>113.59</v>
      </c>
      <c r="F3454" t="n">
        <v>1</v>
      </c>
      <c r="G3454" t="n">
        <v>29</v>
      </c>
      <c r="H3454" s="5">
        <f>HYPERLINK("https://api.qogita.com/variants/link/3380810156485/", "View Product")</f>
        <v/>
      </c>
    </row>
    <row r="3455">
      <c r="A3455" t="inlineStr">
        <is>
          <t>3380810213959</t>
        </is>
      </c>
      <c r="B3455" t="inlineStr">
        <is>
          <t>Clarins Water Lip Stain 04 Violet Water 7ml</t>
        </is>
      </c>
      <c r="C3455" t="inlineStr">
        <is>
          <t>Lip Gloss</t>
        </is>
      </c>
      <c r="D3455" t="inlineStr">
        <is>
          <t>Clarins</t>
        </is>
      </c>
      <c r="E3455" t="n">
        <v>15.07</v>
      </c>
      <c r="F3455" t="n">
        <v>1</v>
      </c>
      <c r="G3455" t="n">
        <v>10</v>
      </c>
      <c r="H3455" s="5">
        <f>HYPERLINK("https://api.qogita.com/variants/link/3380810213959/", "View Product")</f>
        <v/>
      </c>
    </row>
    <row r="3456">
      <c r="A3456" t="inlineStr">
        <is>
          <t>3380810228809</t>
        </is>
      </c>
      <c r="B3456" t="inlineStr">
        <is>
          <t>Clarins Eyeshadow Brush</t>
        </is>
      </c>
      <c r="C3456" t="inlineStr">
        <is>
          <t>Eyeshadow Brushes</t>
        </is>
      </c>
      <c r="D3456" t="inlineStr">
        <is>
          <t>Clarins</t>
        </is>
      </c>
      <c r="E3456" t="n">
        <v>15.68</v>
      </c>
      <c r="F3456" t="n">
        <v>1</v>
      </c>
      <c r="G3456" t="n">
        <v>7</v>
      </c>
      <c r="H3456" s="5">
        <f>HYPERLINK("https://api.qogita.com/variants/link/3380810228809/", "View Product")</f>
        <v/>
      </c>
    </row>
    <row r="3457">
      <c r="A3457" t="inlineStr">
        <is>
          <t>3380810234336</t>
        </is>
      </c>
      <c r="B3457" t="inlineStr">
        <is>
          <t>Clarins Skin Illusion Natural Hydrating Foundation Spf 15 108 Sand 30ml</t>
        </is>
      </c>
      <c r="C3457" t="inlineStr">
        <is>
          <t>Foundation</t>
        </is>
      </c>
      <c r="D3457" t="inlineStr">
        <is>
          <t>Clarins</t>
        </is>
      </c>
      <c r="E3457" t="n">
        <v>31.17</v>
      </c>
      <c r="F3457" t="n">
        <v>1</v>
      </c>
      <c r="G3457" t="n">
        <v>4</v>
      </c>
      <c r="H3457" s="5">
        <f>HYPERLINK("https://api.qogita.com/variants/link/3380810234336/", "View Product")</f>
        <v/>
      </c>
    </row>
    <row r="3458">
      <c r="A3458" t="inlineStr">
        <is>
          <t>3380810269390</t>
        </is>
      </c>
      <c r="B3458" t="inlineStr">
        <is>
          <t>Clarins Waterproof Eye Pencil 06 Smoked Wood 029 G</t>
        </is>
      </c>
      <c r="C3458" t="inlineStr">
        <is>
          <t>Eye Pencil</t>
        </is>
      </c>
      <c r="D3458" t="inlineStr">
        <is>
          <t>Clarins</t>
        </is>
      </c>
      <c r="E3458" t="n">
        <v>12.19</v>
      </c>
      <c r="F3458" t="n">
        <v>1</v>
      </c>
      <c r="G3458" t="n">
        <v>11</v>
      </c>
      <c r="H3458" s="5">
        <f>HYPERLINK("https://api.qogita.com/variants/link/3380810269390/", "View Product")</f>
        <v/>
      </c>
    </row>
    <row r="3459">
      <c r="A3459" t="inlineStr">
        <is>
          <t>3380810305050</t>
        </is>
      </c>
      <c r="B3459" t="inlineStr">
        <is>
          <t>Clarins Sun Care Lotion Spray SPF 50 by for Unisex 150ml</t>
        </is>
      </c>
      <c r="C3459" t="inlineStr">
        <is>
          <t>Body Sun Protection</t>
        </is>
      </c>
      <c r="D3459" t="inlineStr">
        <is>
          <t>Clarins</t>
        </is>
      </c>
      <c r="E3459" t="n">
        <v>15.56</v>
      </c>
      <c r="F3459" t="n">
        <v>1</v>
      </c>
      <c r="G3459" t="n">
        <v>3</v>
      </c>
      <c r="H3459" s="5">
        <f>HYPERLINK("https://api.qogita.com/variants/link/3380810305050/", "View Product")</f>
        <v/>
      </c>
    </row>
    <row r="3460">
      <c r="A3460" t="inlineStr">
        <is>
          <t>3380810309348</t>
        </is>
      </c>
      <c r="B3460" t="inlineStr">
        <is>
          <t>Clarins Joli Blush 01 Cheeky Baby Blush 5g For Women</t>
        </is>
      </c>
      <c r="C3460" t="inlineStr">
        <is>
          <t>Blush</t>
        </is>
      </c>
      <c r="D3460" t="inlineStr">
        <is>
          <t>Clarins</t>
        </is>
      </c>
      <c r="E3460" t="n">
        <v>22.97</v>
      </c>
      <c r="F3460" t="n">
        <v>1</v>
      </c>
      <c r="G3460" t="n">
        <v>5</v>
      </c>
      <c r="H3460" s="5">
        <f>HYPERLINK("https://api.qogita.com/variants/link/3380810309348/", "View Product")</f>
        <v/>
      </c>
    </row>
    <row r="3461">
      <c r="A3461" t="inlineStr">
        <is>
          <t>3380810309379</t>
        </is>
      </c>
      <c r="B3461" t="inlineStr">
        <is>
          <t>Clarins Joli Blush 04 Cheeky Purple 5g</t>
        </is>
      </c>
      <c r="C3461" t="inlineStr">
        <is>
          <t>Blush</t>
        </is>
      </c>
      <c r="D3461" t="inlineStr">
        <is>
          <t>Clarins</t>
        </is>
      </c>
      <c r="E3461" t="n">
        <v>21.88</v>
      </c>
      <c r="F3461" t="n">
        <v>1</v>
      </c>
      <c r="G3461" t="n">
        <v>7</v>
      </c>
      <c r="H3461" s="5">
        <f>HYPERLINK("https://api.qogita.com/variants/link/3380810309379/", "View Product")</f>
        <v/>
      </c>
    </row>
    <row r="3462">
      <c r="A3462" t="inlineStr">
        <is>
          <t>3380810309386</t>
        </is>
      </c>
      <c r="B3462" t="inlineStr">
        <is>
          <t>Clarins Joli Blush 05</t>
        </is>
      </c>
      <c r="C3462" t="inlineStr">
        <is>
          <t>Blush</t>
        </is>
      </c>
      <c r="D3462" t="inlineStr">
        <is>
          <t>Clarins</t>
        </is>
      </c>
      <c r="E3462" t="n">
        <v>21.55</v>
      </c>
      <c r="F3462" t="n">
        <v>1</v>
      </c>
      <c r="G3462" t="n">
        <v>7</v>
      </c>
      <c r="H3462" s="5">
        <f>HYPERLINK("https://api.qogita.com/variants/link/3380810309386/", "View Product")</f>
        <v/>
      </c>
    </row>
    <row r="3463">
      <c r="A3463" t="inlineStr">
        <is>
          <t>3380810309614</t>
        </is>
      </c>
      <c r="B3463" t="inlineStr">
        <is>
          <t>Clarins Instant Light Natural Lip Perfector Lip Gloss 12 Ml 17 Intense Maple</t>
        </is>
      </c>
      <c r="C3463" t="inlineStr">
        <is>
          <t>Lip Gloss</t>
        </is>
      </c>
      <c r="D3463" t="inlineStr">
        <is>
          <t>Clarins</t>
        </is>
      </c>
      <c r="E3463" t="n">
        <v>14.44</v>
      </c>
      <c r="F3463" t="n">
        <v>1</v>
      </c>
      <c r="G3463" t="n">
        <v>127</v>
      </c>
      <c r="H3463" s="5">
        <f>HYPERLINK("https://api.qogita.com/variants/link/3380810309614/", "View Product")</f>
        <v/>
      </c>
    </row>
    <row r="3464">
      <c r="A3464" t="inlineStr">
        <is>
          <t>3380810309621</t>
        </is>
      </c>
      <c r="B3464" t="inlineStr">
        <is>
          <t>Clarins Instant Light Natural Lip Perfector 12 Ml In 18 Intense Garnet</t>
        </is>
      </c>
      <c r="C3464" t="inlineStr">
        <is>
          <t>Lip Gloss</t>
        </is>
      </c>
      <c r="D3464" t="inlineStr">
        <is>
          <t>Clarins</t>
        </is>
      </c>
      <c r="E3464" t="n">
        <v>13.66</v>
      </c>
      <c r="F3464" t="n">
        <v>1</v>
      </c>
      <c r="G3464" t="n">
        <v>29</v>
      </c>
      <c r="H3464" s="5">
        <f>HYPERLINK("https://api.qogita.com/variants/link/3380810309621/", "View Product")</f>
        <v/>
      </c>
    </row>
    <row r="3465">
      <c r="A3465" t="inlineStr">
        <is>
          <t>3380810346367</t>
        </is>
      </c>
      <c r="B3465" t="inlineStr">
        <is>
          <t>Clarins Instant Light Natural Lip Perfector 07 Toffee Pink Shimmer 12 Ml Lip Gloss</t>
        </is>
      </c>
      <c r="C3465" t="inlineStr">
        <is>
          <t>Lip Gloss</t>
        </is>
      </c>
      <c r="D3465" t="inlineStr">
        <is>
          <t>Clarins</t>
        </is>
      </c>
      <c r="E3465" t="n">
        <v>15.15</v>
      </c>
      <c r="F3465" t="n">
        <v>1</v>
      </c>
      <c r="G3465" t="n">
        <v>8</v>
      </c>
      <c r="H3465" s="5">
        <f>HYPERLINK("https://api.qogita.com/variants/link/3380810346367/", "View Product")</f>
        <v/>
      </c>
    </row>
    <row r="3466">
      <c r="A3466" t="inlineStr">
        <is>
          <t>3380810416862</t>
        </is>
      </c>
      <c r="B3466" t="inlineStr">
        <is>
          <t>Clarins Waterproof Eye Pencil 02 Chestnut 029g</t>
        </is>
      </c>
      <c r="C3466" t="inlineStr">
        <is>
          <t>Eye Pencil</t>
        </is>
      </c>
      <c r="D3466" t="inlineStr">
        <is>
          <t>Clarins</t>
        </is>
      </c>
      <c r="E3466" t="n">
        <v>14.27</v>
      </c>
      <c r="F3466" t="n">
        <v>1</v>
      </c>
      <c r="G3466" t="n">
        <v>3</v>
      </c>
      <c r="H3466" s="5">
        <f>HYPERLINK("https://api.qogita.com/variants/link/3380810416862/", "View Product")</f>
        <v/>
      </c>
    </row>
    <row r="3467">
      <c r="A3467" t="inlineStr">
        <is>
          <t>3380810424089</t>
        </is>
      </c>
      <c r="B3467" t="inlineStr">
        <is>
          <t>UV Plus Anti-Pollution Multi-Protection Moisturizing SPF 50 50ml</t>
        </is>
      </c>
      <c r="C3467" t="inlineStr">
        <is>
          <t>Face Sun Protection</t>
        </is>
      </c>
      <c r="D3467" t="inlineStr">
        <is>
          <t>Clarins</t>
        </is>
      </c>
      <c r="E3467" t="n">
        <v>37.73</v>
      </c>
      <c r="F3467" t="n">
        <v>1</v>
      </c>
      <c r="G3467" t="n">
        <v>9</v>
      </c>
      <c r="H3467" s="5">
        <f>HYPERLINK("https://api.qogita.com/variants/link/3380810424089/", "View Product")</f>
        <v/>
      </c>
    </row>
    <row r="3468">
      <c r="A3468" t="inlineStr">
        <is>
          <t>3380810427783</t>
        </is>
      </c>
      <c r="B3468" t="inlineStr">
        <is>
          <t>Clarins Men Energizing Eye Gel 15ml</t>
        </is>
      </c>
      <c r="C3468" t="inlineStr">
        <is>
          <t>Eye Gel</t>
        </is>
      </c>
      <c r="D3468" t="inlineStr">
        <is>
          <t>Clarins</t>
        </is>
      </c>
      <c r="E3468" t="n">
        <v>22.48</v>
      </c>
      <c r="F3468" t="n">
        <v>1</v>
      </c>
      <c r="G3468" t="n">
        <v>3</v>
      </c>
      <c r="H3468" s="5">
        <f>HYPERLINK("https://api.qogita.com/variants/link/3380810427783/", "View Product")</f>
        <v/>
      </c>
    </row>
    <row r="3469">
      <c r="A3469" t="inlineStr">
        <is>
          <t>3380810449068</t>
        </is>
      </c>
      <c r="B3469" t="inlineStr">
        <is>
          <t>Clarins Self Tan Radiance Plus Golden Glow Booster 15ml Selftanning Product For The Skin</t>
        </is>
      </c>
      <c r="C3469" t="inlineStr">
        <is>
          <t>Face Self-Tanner</t>
        </is>
      </c>
      <c r="D3469" t="inlineStr">
        <is>
          <t>Clarins</t>
        </is>
      </c>
      <c r="E3469" t="n">
        <v>17.76</v>
      </c>
      <c r="F3469" t="n">
        <v>1</v>
      </c>
      <c r="G3469" t="n">
        <v>3</v>
      </c>
      <c r="H3469" s="5">
        <f>HYPERLINK("https://api.qogita.com/variants/link/3380810449068/", "View Product")</f>
        <v/>
      </c>
    </row>
    <row r="3470">
      <c r="A3470" t="inlineStr">
        <is>
          <t>3380810469585</t>
        </is>
      </c>
      <c r="B3470" t="inlineStr">
        <is>
          <t>Clarins Jeunesse Des Mains Hand And Nail Treatment Cream 100ml</t>
        </is>
      </c>
      <c r="C3470" t="inlineStr">
        <is>
          <t>Hand Cream</t>
        </is>
      </c>
      <c r="D3470" t="inlineStr">
        <is>
          <t>Clarins</t>
        </is>
      </c>
      <c r="E3470" t="n">
        <v>14</v>
      </c>
      <c r="F3470" t="n">
        <v>1</v>
      </c>
      <c r="G3470" t="n">
        <v>5</v>
      </c>
      <c r="H3470" s="5">
        <f>HYPERLINK("https://api.qogita.com/variants/link/3380810469585/", "View Product")</f>
        <v/>
      </c>
    </row>
    <row r="3471">
      <c r="A3471" t="inlineStr">
        <is>
          <t>3380810482416</t>
        </is>
      </c>
      <c r="B3471" t="inlineStr">
        <is>
          <t>Clarins Skin Illusion Velvet Natural Matifying Hydrating Foundation 107c 30 Ml</t>
        </is>
      </c>
      <c r="C3471" t="inlineStr">
        <is>
          <t>Foundation</t>
        </is>
      </c>
      <c r="D3471" t="inlineStr">
        <is>
          <t>Clarins</t>
        </is>
      </c>
      <c r="E3471" t="n">
        <v>30.01</v>
      </c>
      <c r="F3471" t="n">
        <v>1</v>
      </c>
      <c r="G3471" t="n">
        <v>2</v>
      </c>
      <c r="H3471" s="5">
        <f>HYPERLINK("https://api.qogita.com/variants/link/3380810482416/", "View Product")</f>
        <v/>
      </c>
    </row>
    <row r="3472">
      <c r="A3472" t="inlineStr">
        <is>
          <t>3380810482423</t>
        </is>
      </c>
      <c r="B3472" t="inlineStr">
        <is>
          <t>Clarins Skin Illusion Velvet Natural Matifying Hydrating Foundation 108w 30ml</t>
        </is>
      </c>
      <c r="C3472" t="inlineStr">
        <is>
          <t>Foundation</t>
        </is>
      </c>
      <c r="D3472" t="inlineStr">
        <is>
          <t>Clarins</t>
        </is>
      </c>
      <c r="E3472" t="n">
        <v>27.96</v>
      </c>
      <c r="F3472" t="n">
        <v>1</v>
      </c>
      <c r="G3472" t="n">
        <v>8</v>
      </c>
      <c r="H3472" s="5">
        <f>HYPERLINK("https://api.qogita.com/variants/link/3380810482423/", "View Product")</f>
        <v/>
      </c>
    </row>
    <row r="3473">
      <c r="A3473" t="inlineStr">
        <is>
          <t>3380810482485</t>
        </is>
      </c>
      <c r="B3473" t="inlineStr">
        <is>
          <t>Clarins Skin Illusion Velvet Foundation 112c Amber 30ml Natural Matifying &amp; Hydrating Foundation</t>
        </is>
      </c>
      <c r="C3473" t="inlineStr">
        <is>
          <t>Foundation</t>
        </is>
      </c>
      <c r="D3473" t="inlineStr">
        <is>
          <t>Clarins</t>
        </is>
      </c>
      <c r="E3473" t="n">
        <v>29.82</v>
      </c>
      <c r="F3473" t="n">
        <v>1</v>
      </c>
      <c r="G3473" t="n">
        <v>6</v>
      </c>
      <c r="H3473" s="5">
        <f>HYPERLINK("https://api.qogita.com/variants/link/3380810482485/", "View Product")</f>
        <v/>
      </c>
    </row>
    <row r="3474">
      <c r="A3474" t="inlineStr">
        <is>
          <t>3380810482546</t>
        </is>
      </c>
      <c r="B3474" t="inlineStr">
        <is>
          <t>Clarins Skin Illusion Velvet Natural Matifying Hydrating Foundation - 30 Ml</t>
        </is>
      </c>
      <c r="C3474" t="inlineStr">
        <is>
          <t>Foundation</t>
        </is>
      </c>
      <c r="D3474" t="inlineStr">
        <is>
          <t>Clarins</t>
        </is>
      </c>
      <c r="E3474" t="n">
        <v>29.09</v>
      </c>
      <c r="F3474" t="n">
        <v>1</v>
      </c>
      <c r="G3474" t="n">
        <v>2</v>
      </c>
      <c r="H3474" s="5">
        <f>HYPERLINK("https://api.qogita.com/variants/link/3380810482546/", "View Product")</f>
        <v/>
      </c>
    </row>
    <row r="3475">
      <c r="A3475" t="inlineStr">
        <is>
          <t>3380810482935</t>
        </is>
      </c>
      <c r="B3475" t="inlineStr">
        <is>
          <t>Clarins Ever Matte Loose Powder 02 Universal Medium 15g</t>
        </is>
      </c>
      <c r="C3475" t="inlineStr">
        <is>
          <t>Powder</t>
        </is>
      </c>
      <c r="D3475" t="inlineStr">
        <is>
          <t>Clarins</t>
        </is>
      </c>
      <c r="E3475" t="n">
        <v>26.01</v>
      </c>
      <c r="F3475" t="n">
        <v>1</v>
      </c>
      <c r="G3475" t="n">
        <v>3</v>
      </c>
      <c r="H3475" s="5">
        <f>HYPERLINK("https://api.qogita.com/variants/link/3380810482935/", "View Product")</f>
        <v/>
      </c>
    </row>
    <row r="3476">
      <c r="A3476" t="inlineStr">
        <is>
          <t>3386460007085</t>
        </is>
      </c>
      <c r="B3476" t="inlineStr">
        <is>
          <t>Lanvin Rumeur 2 Rose Eau De Parfum 50ml For Women</t>
        </is>
      </c>
      <c r="C3476" t="inlineStr">
        <is>
          <t>Eau De Parfum</t>
        </is>
      </c>
      <c r="D3476" t="inlineStr">
        <is>
          <t>Lanvin</t>
        </is>
      </c>
      <c r="E3476" t="n">
        <v>26.24</v>
      </c>
      <c r="F3476" t="n">
        <v>1</v>
      </c>
      <c r="G3476" t="n">
        <v>16</v>
      </c>
      <c r="H3476" s="5">
        <f>HYPERLINK("https://api.qogita.com/variants/link/3386460007085/", "View Product")</f>
        <v/>
      </c>
    </row>
    <row r="3477">
      <c r="A3477" t="inlineStr">
        <is>
          <t>3386460025485</t>
        </is>
      </c>
      <c r="B3477" t="inlineStr">
        <is>
          <t>Jimmy Choo Eau De Parfum Spray 60ml</t>
        </is>
      </c>
      <c r="C3477" t="inlineStr">
        <is>
          <t>Eau De Parfum</t>
        </is>
      </c>
      <c r="D3477" t="inlineStr">
        <is>
          <t>Jimmy Choo</t>
        </is>
      </c>
      <c r="E3477" t="n">
        <v>29.37</v>
      </c>
      <c r="F3477" t="n">
        <v>1</v>
      </c>
      <c r="G3477" t="n">
        <v>14</v>
      </c>
      <c r="H3477" s="5">
        <f>HYPERLINK("https://api.qogita.com/variants/link/3386460025485/", "View Product")</f>
        <v/>
      </c>
    </row>
    <row r="3478">
      <c r="A3478" t="inlineStr">
        <is>
          <t>3386460036351</t>
        </is>
      </c>
      <c r="B3478" t="inlineStr">
        <is>
          <t>Boucheron Eau De Parfum 100ml For Women</t>
        </is>
      </c>
      <c r="C3478" t="inlineStr">
        <is>
          <t>Eau De Parfum</t>
        </is>
      </c>
      <c r="D3478" t="inlineStr">
        <is>
          <t>Boucheron</t>
        </is>
      </c>
      <c r="E3478" t="n">
        <v>27.64</v>
      </c>
      <c r="F3478" t="n">
        <v>1</v>
      </c>
      <c r="G3478" t="n">
        <v>1160</v>
      </c>
      <c r="H3478" s="5">
        <f>HYPERLINK("https://api.qogita.com/variants/link/3386460036351/", "View Product")</f>
        <v/>
      </c>
    </row>
    <row r="3479">
      <c r="A3479" t="inlineStr">
        <is>
          <t>3386460036771</t>
        </is>
      </c>
      <c r="B3479" t="inlineStr">
        <is>
          <t>Boucheron Perfume EDP/EDT Spray for Women</t>
        </is>
      </c>
      <c r="C3479" t="inlineStr">
        <is>
          <t>Eau De Parfum</t>
        </is>
      </c>
      <c r="D3479" t="inlineStr">
        <is>
          <t>Boucheron</t>
        </is>
      </c>
      <c r="E3479" t="n">
        <v>20.48</v>
      </c>
      <c r="F3479" t="n">
        <v>1</v>
      </c>
      <c r="G3479" t="n">
        <v>2</v>
      </c>
      <c r="H3479" s="5">
        <f>HYPERLINK("https://api.qogita.com/variants/link/3386460036771/", "View Product")</f>
        <v/>
      </c>
    </row>
    <row r="3480">
      <c r="A3480" t="inlineStr">
        <is>
          <t>3386460047968</t>
        </is>
      </c>
      <c r="B3480" t="inlineStr">
        <is>
          <t>Lanvin Me Eau De Parfum 80ml For Women</t>
        </is>
      </c>
      <c r="C3480" t="inlineStr">
        <is>
          <t>Eau De Parfum</t>
        </is>
      </c>
      <c r="D3480" t="inlineStr">
        <is>
          <t>Lanvin</t>
        </is>
      </c>
      <c r="E3480" t="n">
        <v>39.17</v>
      </c>
      <c r="F3480" t="n">
        <v>1</v>
      </c>
      <c r="G3480" t="n">
        <v>4</v>
      </c>
      <c r="H3480" s="5">
        <f>HYPERLINK("https://api.qogita.com/variants/link/3386460047968/", "View Product")</f>
        <v/>
      </c>
    </row>
    <row r="3481">
      <c r="A3481" t="inlineStr">
        <is>
          <t>3386460048125</t>
        </is>
      </c>
      <c r="B3481" t="inlineStr">
        <is>
          <t>Jimmy Choo Flash Eau De Parfum 60ml For Women</t>
        </is>
      </c>
      <c r="C3481" t="inlineStr">
        <is>
          <t>Eau De Parfum</t>
        </is>
      </c>
      <c r="D3481" t="inlineStr">
        <is>
          <t>Jimmy Choo</t>
        </is>
      </c>
      <c r="E3481" t="n">
        <v>32.28</v>
      </c>
      <c r="F3481" t="n">
        <v>1</v>
      </c>
      <c r="G3481" t="n">
        <v>42</v>
      </c>
      <c r="H3481" s="5">
        <f>HYPERLINK("https://api.qogita.com/variants/link/3386460048125/", "View Product")</f>
        <v/>
      </c>
    </row>
    <row r="3482">
      <c r="A3482" t="inlineStr">
        <is>
          <t>3386460058728</t>
        </is>
      </c>
      <c r="B3482" t="inlineStr">
        <is>
          <t>Mont Blanc Emblem Eau De Toilette Spray 100ml</t>
        </is>
      </c>
      <c r="C3482" t="inlineStr">
        <is>
          <t>Eau De Toilette</t>
        </is>
      </c>
      <c r="D3482" t="inlineStr">
        <is>
          <t>Montblanc</t>
        </is>
      </c>
      <c r="E3482" t="n">
        <v>31.78</v>
      </c>
      <c r="F3482" t="n">
        <v>1</v>
      </c>
      <c r="G3482" t="n">
        <v>73</v>
      </c>
      <c r="H3482" s="5">
        <f>HYPERLINK("https://api.qogita.com/variants/link/3386460058728/", "View Product")</f>
        <v/>
      </c>
    </row>
    <row r="3483">
      <c r="A3483" t="inlineStr">
        <is>
          <t>3386460064118</t>
        </is>
      </c>
      <c r="B3483" t="inlineStr">
        <is>
          <t>Jimmy Choo Man Eau De Toilette Spray 100ml A Premium Fragrance For Men By Jimmy Choo</t>
        </is>
      </c>
      <c r="C3483" t="inlineStr">
        <is>
          <t>Eau De Toilette</t>
        </is>
      </c>
      <c r="D3483" t="inlineStr">
        <is>
          <t>Jimmy Choo</t>
        </is>
      </c>
      <c r="E3483" t="n">
        <v>34.35</v>
      </c>
      <c r="F3483" t="n">
        <v>1</v>
      </c>
      <c r="G3483" t="n">
        <v>2</v>
      </c>
      <c r="H3483" s="5">
        <f>HYPERLINK("https://api.qogita.com/variants/link/3386460064118/", "View Product")</f>
        <v/>
      </c>
    </row>
    <row r="3484">
      <c r="A3484" t="inlineStr">
        <is>
          <t>3386460066273</t>
        </is>
      </c>
      <c r="B3484" t="inlineStr">
        <is>
          <t>Jimmy Choo Blossom Eau De Parfum 100ml</t>
        </is>
      </c>
      <c r="C3484" t="inlineStr">
        <is>
          <t>Eau De Parfum</t>
        </is>
      </c>
      <c r="D3484" t="inlineStr">
        <is>
          <t>Jimmy Choo</t>
        </is>
      </c>
      <c r="E3484" t="n">
        <v>29.2</v>
      </c>
      <c r="F3484" t="n">
        <v>1</v>
      </c>
      <c r="G3484" t="n">
        <v>858</v>
      </c>
      <c r="H3484" s="5">
        <f>HYPERLINK("https://api.qogita.com/variants/link/3386460066273/", "View Product")</f>
        <v/>
      </c>
    </row>
    <row r="3485">
      <c r="A3485" t="inlineStr">
        <is>
          <t>3386460066280</t>
        </is>
      </c>
      <c r="B3485" t="inlineStr">
        <is>
          <t>Jimmy Choo Blossom Eau De Parfum 60ml</t>
        </is>
      </c>
      <c r="C3485" t="inlineStr">
        <is>
          <t>Eau De Parfum</t>
        </is>
      </c>
      <c r="D3485" t="inlineStr">
        <is>
          <t>Jimmy Choo</t>
        </is>
      </c>
      <c r="E3485" t="n">
        <v>23.39</v>
      </c>
      <c r="F3485" t="n">
        <v>1</v>
      </c>
      <c r="G3485" t="n">
        <v>5</v>
      </c>
      <c r="H3485" s="5">
        <f>HYPERLINK("https://api.qogita.com/variants/link/3386460066280/", "View Product")</f>
        <v/>
      </c>
    </row>
    <row r="3486">
      <c r="A3486" t="inlineStr">
        <is>
          <t>3386460066297</t>
        </is>
      </c>
      <c r="B3486" t="inlineStr">
        <is>
          <t>Jimmy Choo Blossom Eau De Parfum 40ml</t>
        </is>
      </c>
      <c r="C3486" t="inlineStr">
        <is>
          <t>Eau De Parfum</t>
        </is>
      </c>
      <c r="D3486" t="inlineStr">
        <is>
          <t>Jimmy Choo</t>
        </is>
      </c>
      <c r="E3486" t="n">
        <v>20.42</v>
      </c>
      <c r="F3486" t="n">
        <v>1</v>
      </c>
      <c r="G3486" t="n">
        <v>17</v>
      </c>
      <c r="H3486" s="5">
        <f>HYPERLINK("https://api.qogita.com/variants/link/3386460066297/", "View Product")</f>
        <v/>
      </c>
    </row>
    <row r="3487">
      <c r="A3487" t="inlineStr">
        <is>
          <t>3386460071734</t>
        </is>
      </c>
      <c r="B3487" t="inlineStr">
        <is>
          <t>Jimmy Choo Illicit Eau De Parfum for Women 60ml</t>
        </is>
      </c>
      <c r="C3487" t="inlineStr">
        <is>
          <t>Eau De Parfum</t>
        </is>
      </c>
      <c r="D3487" t="inlineStr">
        <is>
          <t>Jimmy Choo</t>
        </is>
      </c>
      <c r="E3487" t="n">
        <v>26.22</v>
      </c>
      <c r="F3487" t="n">
        <v>1</v>
      </c>
      <c r="G3487" t="n">
        <v>23</v>
      </c>
      <c r="H3487" s="5">
        <f>HYPERLINK("https://api.qogita.com/variants/link/3386460071734/", "View Product")</f>
        <v/>
      </c>
    </row>
    <row r="3488">
      <c r="A3488" t="inlineStr">
        <is>
          <t>3386460072625</t>
        </is>
      </c>
      <c r="B3488" t="inlineStr">
        <is>
          <t>Jimmy Choo Man Blue Eau De Toilette Spray 30ml For Men</t>
        </is>
      </c>
      <c r="C3488" t="inlineStr">
        <is>
          <t>Eau De Toilette</t>
        </is>
      </c>
      <c r="D3488" t="inlineStr">
        <is>
          <t>Jimmy Choo</t>
        </is>
      </c>
      <c r="E3488" t="n">
        <v>18.49</v>
      </c>
      <c r="F3488" t="n">
        <v>1</v>
      </c>
      <c r="G3488" t="n">
        <v>33</v>
      </c>
      <c r="H3488" s="5">
        <f>HYPERLINK("https://api.qogita.com/variants/link/3386460072625/", "View Product")</f>
        <v/>
      </c>
    </row>
    <row r="3489">
      <c r="A3489" t="inlineStr">
        <is>
          <t>3386460074841</t>
        </is>
      </c>
      <c r="B3489" t="inlineStr">
        <is>
          <t>Mont Blanc Legend Spirit Pour Homme Eau De Toilette Spray 30ml</t>
        </is>
      </c>
      <c r="C3489" t="inlineStr">
        <is>
          <t>Eau De Toilette</t>
        </is>
      </c>
      <c r="D3489" t="inlineStr">
        <is>
          <t>Montblanc</t>
        </is>
      </c>
      <c r="E3489" t="n">
        <v>18.19</v>
      </c>
      <c r="F3489" t="n">
        <v>1</v>
      </c>
      <c r="G3489" t="n">
        <v>160</v>
      </c>
      <c r="H3489" s="5">
        <f>HYPERLINK("https://api.qogita.com/variants/link/3386460074841/", "View Product")</f>
        <v/>
      </c>
    </row>
    <row r="3490">
      <c r="A3490" t="inlineStr">
        <is>
          <t>3386460076265</t>
        </is>
      </c>
      <c r="B3490" t="inlineStr">
        <is>
          <t>Rochas Eau de Toilette 100ml</t>
        </is>
      </c>
      <c r="C3490" t="inlineStr">
        <is>
          <t>Eau De Toilette</t>
        </is>
      </c>
      <c r="D3490" t="inlineStr">
        <is>
          <t>Rochas</t>
        </is>
      </c>
      <c r="E3490" t="n">
        <v>35</v>
      </c>
      <c r="F3490" t="n">
        <v>1</v>
      </c>
      <c r="G3490" t="n">
        <v>24</v>
      </c>
      <c r="H3490" s="5">
        <f>HYPERLINK("https://api.qogita.com/variants/link/3386460076265/", "View Product")</f>
        <v/>
      </c>
    </row>
    <row r="3491">
      <c r="A3491" t="inlineStr">
        <is>
          <t>3386460076289</t>
        </is>
      </c>
      <c r="B3491" t="inlineStr">
        <is>
          <t>Eau De Rochas Eau De Toilette Spray For Women 100ml Tester</t>
        </is>
      </c>
      <c r="C3491" t="inlineStr">
        <is>
          <t>Eau De Toilette</t>
        </is>
      </c>
      <c r="D3491" t="inlineStr">
        <is>
          <t>Eau De Rochas</t>
        </is>
      </c>
      <c r="E3491" t="n">
        <v>26.64</v>
      </c>
      <c r="F3491" t="n">
        <v>1</v>
      </c>
      <c r="G3491" t="n">
        <v>36</v>
      </c>
      <c r="H3491" s="5">
        <f>HYPERLINK("https://api.qogita.com/variants/link/3386460076289/", "View Product")</f>
        <v/>
      </c>
    </row>
    <row r="3492">
      <c r="A3492" t="inlineStr">
        <is>
          <t>3386460076388</t>
        </is>
      </c>
      <c r="B3492" t="inlineStr">
        <is>
          <t>Rochas Man Eau De Toilette Spray 100ml</t>
        </is>
      </c>
      <c r="C3492" t="inlineStr">
        <is>
          <t>Eau De Toilette</t>
        </is>
      </c>
      <c r="D3492" t="inlineStr">
        <is>
          <t>Rochas</t>
        </is>
      </c>
      <c r="E3492" t="n">
        <v>26.51</v>
      </c>
      <c r="F3492" t="n">
        <v>1</v>
      </c>
      <c r="G3492" t="n">
        <v>15</v>
      </c>
      <c r="H3492" s="5">
        <f>HYPERLINK("https://api.qogita.com/variants/link/3386460076388/", "View Product")</f>
        <v/>
      </c>
    </row>
    <row r="3493">
      <c r="A3493" t="inlineStr">
        <is>
          <t>3386460076395</t>
        </is>
      </c>
      <c r="B3493" t="inlineStr">
        <is>
          <t>Rochas Man Eau De Toilette Spray 50ml</t>
        </is>
      </c>
      <c r="C3493" t="inlineStr">
        <is>
          <t>Eau De Toilette</t>
        </is>
      </c>
      <c r="D3493" t="inlineStr">
        <is>
          <t>Rochas</t>
        </is>
      </c>
      <c r="E3493" t="n">
        <v>25.34</v>
      </c>
      <c r="F3493" t="n">
        <v>1</v>
      </c>
      <c r="G3493" t="n">
        <v>19</v>
      </c>
      <c r="H3493" s="5">
        <f>HYPERLINK("https://api.qogita.com/variants/link/3386460076395/", "View Product")</f>
        <v/>
      </c>
    </row>
    <row r="3494">
      <c r="A3494" t="inlineStr">
        <is>
          <t>3386460078559</t>
        </is>
      </c>
      <c r="B3494" t="inlineStr">
        <is>
          <t>Tocade by Rochas 3.3 oz EDT Perfume for Women</t>
        </is>
      </c>
      <c r="C3494" t="inlineStr">
        <is>
          <t>Eau De Toilette</t>
        </is>
      </c>
      <c r="D3494" t="inlineStr">
        <is>
          <t>Rochas</t>
        </is>
      </c>
      <c r="E3494" t="n">
        <v>21.81</v>
      </c>
      <c r="F3494" t="n">
        <v>1</v>
      </c>
      <c r="G3494" t="n">
        <v>8</v>
      </c>
      <c r="H3494" s="5">
        <f>HYPERLINK("https://api.qogita.com/variants/link/3386460078559/", "View Product")</f>
        <v/>
      </c>
    </row>
    <row r="3495">
      <c r="A3495" t="inlineStr">
        <is>
          <t>3386460078566</t>
        </is>
      </c>
      <c r="B3495" t="inlineStr">
        <is>
          <t>Rochas Femme Eau De Toilette Spray 100ml Tester</t>
        </is>
      </c>
      <c r="C3495" t="inlineStr">
        <is>
          <t>Eau De Toilette</t>
        </is>
      </c>
      <c r="D3495" t="inlineStr">
        <is>
          <t>Rochas</t>
        </is>
      </c>
      <c r="E3495" t="n">
        <v>22.16</v>
      </c>
      <c r="F3495" t="n">
        <v>1</v>
      </c>
      <c r="G3495" t="n">
        <v>12</v>
      </c>
      <c r="H3495" s="5">
        <f>HYPERLINK("https://api.qogita.com/variants/link/3386460078566/", "View Product")</f>
        <v/>
      </c>
    </row>
    <row r="3496">
      <c r="A3496" t="inlineStr">
        <is>
          <t>3386460079136</t>
        </is>
      </c>
      <c r="B3496" t="inlineStr">
        <is>
          <t>Coach 1941 Coach Woman Eau De Toilette Spray 90ml Women's Fragrance</t>
        </is>
      </c>
      <c r="C3496" t="inlineStr">
        <is>
          <t>Eau De Toilette</t>
        </is>
      </c>
      <c r="D3496" t="inlineStr">
        <is>
          <t>Coach</t>
        </is>
      </c>
      <c r="E3496" t="n">
        <v>32.15</v>
      </c>
      <c r="F3496" t="n">
        <v>1</v>
      </c>
      <c r="G3496" t="n">
        <v>4</v>
      </c>
      <c r="H3496" s="5">
        <f>HYPERLINK("https://api.qogita.com/variants/link/3386460079136/", "View Product")</f>
        <v/>
      </c>
    </row>
    <row r="3497">
      <c r="A3497" t="inlineStr">
        <is>
          <t>3386460079150</t>
        </is>
      </c>
      <c r="B3497" t="inlineStr">
        <is>
          <t>Coach The Fragrance Eau De Toilette 30ml Women's Spray</t>
        </is>
      </c>
      <c r="C3497" t="inlineStr">
        <is>
          <t>Eau De Toilette</t>
        </is>
      </c>
      <c r="D3497" t="inlineStr">
        <is>
          <t>Coach</t>
        </is>
      </c>
      <c r="E3497" t="n">
        <v>18.42</v>
      </c>
      <c r="F3497" t="n">
        <v>1</v>
      </c>
      <c r="G3497" t="n">
        <v>5</v>
      </c>
      <c r="H3497" s="5">
        <f>HYPERLINK("https://api.qogita.com/variants/link/3386460079150/", "View Product")</f>
        <v/>
      </c>
    </row>
    <row r="3498">
      <c r="A3498" t="inlineStr">
        <is>
          <t>3386460080231</t>
        </is>
      </c>
      <c r="B3498" t="inlineStr">
        <is>
          <t>Boucheron Ambre D'Alexandrie Eau De Parfum Spray 125ml</t>
        </is>
      </c>
      <c r="C3498" t="inlineStr">
        <is>
          <t>Eau De Parfum</t>
        </is>
      </c>
      <c r="D3498" t="inlineStr">
        <is>
          <t>Boucheron</t>
        </is>
      </c>
      <c r="E3498" t="n">
        <v>71.37</v>
      </c>
      <c r="F3498" t="n">
        <v>1</v>
      </c>
      <c r="G3498" t="n">
        <v>12</v>
      </c>
      <c r="H3498" s="5">
        <f>HYPERLINK("https://api.qogita.com/variants/link/3386460080231/", "View Product")</f>
        <v/>
      </c>
    </row>
    <row r="3499">
      <c r="A3499" t="inlineStr">
        <is>
          <t>3386460083287</t>
        </is>
      </c>
      <c r="B3499" t="inlineStr">
        <is>
          <t>Mont Blanc Legend Spirit Pour Homme Eau De Toilette Spray 200ml</t>
        </is>
      </c>
      <c r="C3499" t="inlineStr">
        <is>
          <t>Eau De Toilette</t>
        </is>
      </c>
      <c r="D3499" t="inlineStr">
        <is>
          <t>Montblanc</t>
        </is>
      </c>
      <c r="E3499" t="n">
        <v>44.16</v>
      </c>
      <c r="F3499" t="n">
        <v>1</v>
      </c>
      <c r="G3499" t="n">
        <v>21</v>
      </c>
      <c r="H3499" s="5">
        <f>HYPERLINK("https://api.qogita.com/variants/link/3386460083287/", "View Product")</f>
        <v/>
      </c>
    </row>
    <row r="3500">
      <c r="A3500" t="inlineStr">
        <is>
          <t>3386460086332</t>
        </is>
      </c>
      <c r="B3500" t="inlineStr">
        <is>
          <t>Coach For Men Eau De Toilette Spray 60ml</t>
        </is>
      </c>
      <c r="C3500" t="inlineStr">
        <is>
          <t>Eau De Toilette</t>
        </is>
      </c>
      <c r="D3500" t="inlineStr">
        <is>
          <t>Coach</t>
        </is>
      </c>
      <c r="E3500" t="n">
        <v>24.47</v>
      </c>
      <c r="F3500" t="n">
        <v>1</v>
      </c>
      <c r="G3500" t="n">
        <v>4</v>
      </c>
      <c r="H3500" s="5">
        <f>HYPERLINK("https://api.qogita.com/variants/link/3386460086332/", "View Product")</f>
        <v/>
      </c>
    </row>
    <row r="3501">
      <c r="A3501" t="inlineStr">
        <is>
          <t>3386460087278</t>
        </is>
      </c>
      <c r="B3501" t="inlineStr">
        <is>
          <t>Karl Lagerfeld Fleur De Pecher Eau De Parfum Spray 50ml</t>
        </is>
      </c>
      <c r="C3501" t="inlineStr">
        <is>
          <t>Eau De Parfum</t>
        </is>
      </c>
      <c r="D3501" t="inlineStr">
        <is>
          <t>Karl Lagerfeld</t>
        </is>
      </c>
      <c r="E3501" t="n">
        <v>14.67</v>
      </c>
      <c r="F3501" t="n">
        <v>1</v>
      </c>
      <c r="G3501" t="n">
        <v>8</v>
      </c>
      <c r="H3501" s="5">
        <f>HYPERLINK("https://api.qogita.com/variants/link/3386460087278/", "View Product")</f>
        <v/>
      </c>
    </row>
    <row r="3502">
      <c r="A3502" t="inlineStr">
        <is>
          <t>3386460095495</t>
        </is>
      </c>
      <c r="B3502" t="inlineStr">
        <is>
          <t>Coach Poppy Eau De Parfum</t>
        </is>
      </c>
      <c r="C3502" t="inlineStr">
        <is>
          <t>Eau De Parfum</t>
        </is>
      </c>
      <c r="D3502" t="inlineStr">
        <is>
          <t>Coach</t>
        </is>
      </c>
      <c r="E3502" t="n">
        <v>35.31</v>
      </c>
      <c r="F3502" t="n">
        <v>1</v>
      </c>
      <c r="G3502" t="n">
        <v>10</v>
      </c>
      <c r="H3502" s="5">
        <f>HYPERLINK("https://api.qogita.com/variants/link/3386460095495/", "View Product")</f>
        <v/>
      </c>
    </row>
    <row r="3503">
      <c r="A3503" t="inlineStr">
        <is>
          <t>3386460096867</t>
        </is>
      </c>
      <c r="B3503" t="inlineStr">
        <is>
          <t>Coach New York Platinum Man Eau De Parfum Spray 100ml</t>
        </is>
      </c>
      <c r="C3503" t="inlineStr">
        <is>
          <t>Eau De Parfum</t>
        </is>
      </c>
      <c r="D3503" t="inlineStr">
        <is>
          <t>Coach</t>
        </is>
      </c>
      <c r="E3503" t="n">
        <v>30.04</v>
      </c>
      <c r="F3503" t="n">
        <v>1</v>
      </c>
      <c r="G3503" t="n">
        <v>242</v>
      </c>
      <c r="H3503" s="5">
        <f>HYPERLINK("https://api.qogita.com/variants/link/3386460096867/", "View Product")</f>
        <v/>
      </c>
    </row>
    <row r="3504">
      <c r="A3504" t="inlineStr">
        <is>
          <t>3386460098168</t>
        </is>
      </c>
      <c r="B3504" t="inlineStr">
        <is>
          <t>Rochas L'Homme Eau De Toilette Spray 40ml</t>
        </is>
      </c>
      <c r="C3504" t="inlineStr">
        <is>
          <t>Eau De Toilette</t>
        </is>
      </c>
      <c r="D3504" t="inlineStr">
        <is>
          <t>Rochas</t>
        </is>
      </c>
      <c r="E3504" t="n">
        <v>19.91</v>
      </c>
      <c r="F3504" t="n">
        <v>1</v>
      </c>
      <c r="G3504" t="n">
        <v>2</v>
      </c>
      <c r="H3504" s="5">
        <f>HYPERLINK("https://api.qogita.com/variants/link/3386460098168/", "View Product")</f>
        <v/>
      </c>
    </row>
    <row r="3505">
      <c r="A3505" t="inlineStr">
        <is>
          <t>3386460101035</t>
        </is>
      </c>
      <c r="B3505" t="inlineStr">
        <is>
          <t>Mont Blanc Explorer Eau De Parfum Spray 100ml</t>
        </is>
      </c>
      <c r="C3505" t="inlineStr">
        <is>
          <t>Eau De Parfum</t>
        </is>
      </c>
      <c r="D3505" t="inlineStr">
        <is>
          <t>Montblanc</t>
        </is>
      </c>
      <c r="E3505" t="n">
        <v>39.69</v>
      </c>
      <c r="F3505" t="n">
        <v>1</v>
      </c>
      <c r="G3505" t="n">
        <v>218</v>
      </c>
      <c r="H3505" s="5">
        <f>HYPERLINK("https://api.qogita.com/variants/link/3386460101035/", "View Product")</f>
        <v/>
      </c>
    </row>
    <row r="3506">
      <c r="A3506" t="inlineStr">
        <is>
          <t>3386460101059</t>
        </is>
      </c>
      <c r="B3506" t="inlineStr">
        <is>
          <t>Mont Blanc Explorer Eau De Parfum Spray 30ml</t>
        </is>
      </c>
      <c r="C3506" t="inlineStr">
        <is>
          <t>Eau De Parfum</t>
        </is>
      </c>
      <c r="D3506" t="inlineStr">
        <is>
          <t>Montblanc</t>
        </is>
      </c>
      <c r="E3506" t="n">
        <v>20.65</v>
      </c>
      <c r="F3506" t="n">
        <v>1</v>
      </c>
      <c r="G3506" t="n">
        <v>32</v>
      </c>
      <c r="H3506" s="5">
        <f>HYPERLINK("https://api.qogita.com/variants/link/3386460101059/", "View Product")</f>
        <v/>
      </c>
    </row>
    <row r="3507">
      <c r="A3507" t="inlineStr">
        <is>
          <t>3386460101844</t>
        </is>
      </c>
      <c r="B3507" t="inlineStr">
        <is>
          <t>Karl Lagerfeld Bois De Yuzu Les Parfums Matieres Eau De Toilette Spray 50ml</t>
        </is>
      </c>
      <c r="C3507" t="inlineStr">
        <is>
          <t>Eau De Toilette</t>
        </is>
      </c>
      <c r="D3507" t="inlineStr">
        <is>
          <t>Karl Lagerfeld</t>
        </is>
      </c>
      <c r="E3507" t="n">
        <v>12.57</v>
      </c>
      <c r="F3507" t="n">
        <v>1</v>
      </c>
      <c r="G3507" t="n">
        <v>43</v>
      </c>
      <c r="H3507" s="5">
        <f>HYPERLINK("https://api.qogita.com/variants/link/3386460101844/", "View Product")</f>
        <v/>
      </c>
    </row>
    <row r="3508">
      <c r="A3508" t="inlineStr">
        <is>
          <t>3386460102964</t>
        </is>
      </c>
      <c r="B3508" t="inlineStr">
        <is>
          <t>Rochas Eau de Toilette 100ml</t>
        </is>
      </c>
      <c r="C3508" t="inlineStr">
        <is>
          <t>Eau De Toilette</t>
        </is>
      </c>
      <c r="D3508" t="inlineStr">
        <is>
          <t>Rochas</t>
        </is>
      </c>
      <c r="E3508" t="n">
        <v>45.74</v>
      </c>
      <c r="F3508" t="n">
        <v>1</v>
      </c>
      <c r="G3508" t="n">
        <v>3</v>
      </c>
      <c r="H3508" s="5">
        <f>HYPERLINK("https://api.qogita.com/variants/link/3386460102964/", "View Product")</f>
        <v/>
      </c>
    </row>
    <row r="3509">
      <c r="A3509" t="inlineStr">
        <is>
          <t>3386460102995</t>
        </is>
      </c>
      <c r="B3509" t="inlineStr">
        <is>
          <t>Rochas Byzance Eau De Parfum Spray 90ml For Women</t>
        </is>
      </c>
      <c r="C3509" t="inlineStr">
        <is>
          <t>Eau De Parfum</t>
        </is>
      </c>
      <c r="D3509" t="inlineStr">
        <is>
          <t>Rochas</t>
        </is>
      </c>
      <c r="E3509" t="n">
        <v>27.22</v>
      </c>
      <c r="F3509" t="n">
        <v>1</v>
      </c>
      <c r="G3509" t="n">
        <v>53</v>
      </c>
      <c r="H3509" s="5">
        <f>HYPERLINK("https://api.qogita.com/variants/link/3386460102995/", "View Product")</f>
        <v/>
      </c>
    </row>
    <row r="3510">
      <c r="A3510" t="inlineStr">
        <is>
          <t>3386460103701</t>
        </is>
      </c>
      <c r="B3510" t="inlineStr">
        <is>
          <t>Jimmy Choo Floral Eau De Toilette 40ml For Women</t>
        </is>
      </c>
      <c r="C3510" t="inlineStr">
        <is>
          <t>Eau De Toilette</t>
        </is>
      </c>
      <c r="D3510" t="inlineStr">
        <is>
          <t>Jimmy Choo</t>
        </is>
      </c>
      <c r="E3510" t="n">
        <v>19.9</v>
      </c>
      <c r="F3510" t="n">
        <v>1</v>
      </c>
      <c r="G3510" t="n">
        <v>33</v>
      </c>
      <c r="H3510" s="5">
        <f>HYPERLINK("https://api.qogita.com/variants/link/3386460103701/", "View Product")</f>
        <v/>
      </c>
    </row>
    <row r="3511">
      <c r="A3511" t="inlineStr">
        <is>
          <t>3386460107655</t>
        </is>
      </c>
      <c r="B3511" t="inlineStr">
        <is>
          <t>Van Cleef &amp; Arpels Collection Extraordinaire Rêve dYlang Eau De Parfum 125ml</t>
        </is>
      </c>
      <c r="C3511" t="inlineStr">
        <is>
          <t>Eau De Parfum</t>
        </is>
      </c>
      <c r="D3511" t="inlineStr">
        <is>
          <t>Van Cleef &amp; Arpels</t>
        </is>
      </c>
      <c r="E3511" t="n">
        <v>136.65</v>
      </c>
      <c r="F3511" t="n">
        <v>1</v>
      </c>
      <c r="G3511" t="n">
        <v>16</v>
      </c>
      <c r="H3511" s="5">
        <f>HYPERLINK("https://api.qogita.com/variants/link/3386460107655/", "View Product")</f>
        <v/>
      </c>
    </row>
    <row r="3512">
      <c r="A3512" t="inlineStr">
        <is>
          <t>3386460109574</t>
        </is>
      </c>
      <c r="B3512" t="inlineStr">
        <is>
          <t>Coach Coach Dreams Eau De Parfum Spray 60ml</t>
        </is>
      </c>
      <c r="C3512" t="inlineStr">
        <is>
          <t>Eau De Parfum</t>
        </is>
      </c>
      <c r="D3512" t="inlineStr">
        <is>
          <t>Coach</t>
        </is>
      </c>
      <c r="E3512" t="n">
        <v>30.34</v>
      </c>
      <c r="F3512" t="n">
        <v>1</v>
      </c>
      <c r="G3512" t="n">
        <v>25</v>
      </c>
      <c r="H3512" s="5">
        <f>HYPERLINK("https://api.qogita.com/variants/link/3386460109574/", "View Product")</f>
        <v/>
      </c>
    </row>
    <row r="3513">
      <c r="A3513" t="inlineStr">
        <is>
          <t>3386460113588</t>
        </is>
      </c>
      <c r="B3513" t="inlineStr">
        <is>
          <t>Mont Blanc Signature Eau De Parfum Spray 90ml</t>
        </is>
      </c>
      <c r="C3513" t="inlineStr">
        <is>
          <t>Eau De Parfum</t>
        </is>
      </c>
      <c r="D3513" t="inlineStr">
        <is>
          <t>Montblanc</t>
        </is>
      </c>
      <c r="E3513" t="n">
        <v>36.98</v>
      </c>
      <c r="F3513" t="n">
        <v>1</v>
      </c>
      <c r="G3513" t="n">
        <v>126</v>
      </c>
      <c r="H3513" s="5">
        <f>HYPERLINK("https://api.qogita.com/variants/link/3386460113588/", "View Product")</f>
        <v/>
      </c>
    </row>
    <row r="3514">
      <c r="A3514" t="inlineStr">
        <is>
          <t>3386460113595</t>
        </is>
      </c>
      <c r="B3514" t="inlineStr">
        <is>
          <t>Mont Blanc Signature Eau De Parfum Spray 50ml</t>
        </is>
      </c>
      <c r="C3514" t="inlineStr">
        <is>
          <t>Eau De Parfum</t>
        </is>
      </c>
      <c r="D3514" t="inlineStr">
        <is>
          <t>Montblanc</t>
        </is>
      </c>
      <c r="E3514" t="n">
        <v>30.13</v>
      </c>
      <c r="F3514" t="n">
        <v>1</v>
      </c>
      <c r="G3514" t="n">
        <v>35</v>
      </c>
      <c r="H3514" s="5">
        <f>HYPERLINK("https://api.qogita.com/variants/link/3386460113595/", "View Product")</f>
        <v/>
      </c>
    </row>
    <row r="3515">
      <c r="A3515" t="inlineStr">
        <is>
          <t>3386460113601</t>
        </is>
      </c>
      <c r="B3515" t="inlineStr">
        <is>
          <t>Montblanc Signature Eau De Parfum 30ml Women's Fragrance</t>
        </is>
      </c>
      <c r="C3515" t="inlineStr">
        <is>
          <t>Eau De Parfum</t>
        </is>
      </c>
      <c r="D3515" t="inlineStr">
        <is>
          <t>Montblanc</t>
        </is>
      </c>
      <c r="E3515" t="n">
        <v>19.61</v>
      </c>
      <c r="F3515" t="n">
        <v>1</v>
      </c>
      <c r="G3515" t="n">
        <v>11</v>
      </c>
      <c r="H3515" s="5">
        <f>HYPERLINK("https://api.qogita.com/variants/link/3386460113601/", "View Product")</f>
        <v/>
      </c>
    </row>
    <row r="3516">
      <c r="A3516" t="inlineStr">
        <is>
          <t>3386460113656</t>
        </is>
      </c>
      <c r="B3516" t="inlineStr">
        <is>
          <t>Boucheron Collection Rose D'Isparta Eau De Parfum Spray 125ml</t>
        </is>
      </c>
      <c r="C3516" t="inlineStr">
        <is>
          <t>Eau De Parfum</t>
        </is>
      </c>
      <c r="D3516" t="inlineStr">
        <is>
          <t>Boucheron</t>
        </is>
      </c>
      <c r="E3516" t="n">
        <v>62.62</v>
      </c>
      <c r="F3516" t="n">
        <v>1</v>
      </c>
      <c r="G3516" t="n">
        <v>11</v>
      </c>
      <c r="H3516" s="5">
        <f>HYPERLINK("https://api.qogita.com/variants/link/3386460113656/", "View Product")</f>
        <v/>
      </c>
    </row>
    <row r="3517">
      <c r="A3517" t="inlineStr">
        <is>
          <t>3386460113724</t>
        </is>
      </c>
      <c r="B3517" t="inlineStr">
        <is>
          <t>Coach Blue For Men Eau De Parfum Spray 100ml</t>
        </is>
      </c>
      <c r="C3517" t="inlineStr">
        <is>
          <t>Eau De Parfum</t>
        </is>
      </c>
      <c r="D3517" t="inlineStr">
        <is>
          <t>Coach</t>
        </is>
      </c>
      <c r="E3517" t="n">
        <v>36.55</v>
      </c>
      <c r="F3517" t="n">
        <v>1</v>
      </c>
      <c r="G3517" t="n">
        <v>40</v>
      </c>
      <c r="H3517" s="5">
        <f>HYPERLINK("https://api.qogita.com/variants/link/3386460113724/", "View Product")</f>
        <v/>
      </c>
    </row>
    <row r="3518">
      <c r="A3518" t="inlineStr">
        <is>
          <t>3386460113755</t>
        </is>
      </c>
      <c r="B3518" t="inlineStr">
        <is>
          <t>Coach Blue Eau de Toilette 40ml</t>
        </is>
      </c>
      <c r="C3518" t="inlineStr">
        <is>
          <t>Eau De Toilette</t>
        </is>
      </c>
      <c r="D3518" t="inlineStr">
        <is>
          <t>Coach</t>
        </is>
      </c>
      <c r="E3518" t="n">
        <v>20.47</v>
      </c>
      <c r="F3518" t="n">
        <v>1</v>
      </c>
      <c r="G3518" t="n">
        <v>23</v>
      </c>
      <c r="H3518" s="5">
        <f>HYPERLINK("https://api.qogita.com/variants/link/3386460113755/", "View Product")</f>
        <v/>
      </c>
    </row>
    <row r="3519">
      <c r="A3519" t="inlineStr">
        <is>
          <t>3386460119252</t>
        </is>
      </c>
      <c r="B3519" t="inlineStr">
        <is>
          <t>Jimmy Choo I Want Choo Eau De Parfum Spray 100ml</t>
        </is>
      </c>
      <c r="C3519" t="inlineStr">
        <is>
          <t>Eau De Parfum</t>
        </is>
      </c>
      <c r="D3519" t="inlineStr">
        <is>
          <t>Jimmy Choo</t>
        </is>
      </c>
      <c r="E3519" t="n">
        <v>50.25</v>
      </c>
      <c r="F3519" t="n">
        <v>1</v>
      </c>
      <c r="G3519" t="n">
        <v>3</v>
      </c>
      <c r="H3519" s="5">
        <f>HYPERLINK("https://api.qogita.com/variants/link/3386460119252/", "View Product")</f>
        <v/>
      </c>
    </row>
    <row r="3520">
      <c r="A3520" t="inlineStr">
        <is>
          <t>3386460119955</t>
        </is>
      </c>
      <c r="B3520" t="inlineStr">
        <is>
          <t>Kate Spade New York Eau De Parfum</t>
        </is>
      </c>
      <c r="C3520" t="inlineStr">
        <is>
          <t>Eau De Parfum</t>
        </is>
      </c>
      <c r="D3520" t="inlineStr">
        <is>
          <t>Kate Spade</t>
        </is>
      </c>
      <c r="E3520" t="n">
        <v>26.92</v>
      </c>
      <c r="F3520" t="n">
        <v>1</v>
      </c>
      <c r="G3520" t="n">
        <v>12</v>
      </c>
      <c r="H3520" s="5">
        <f>HYPERLINK("https://api.qogita.com/variants/link/3386460119955/", "View Product")</f>
        <v/>
      </c>
    </row>
    <row r="3521">
      <c r="A3521" t="inlineStr">
        <is>
          <t>3386460123174</t>
        </is>
      </c>
      <c r="B3521" t="inlineStr">
        <is>
          <t>Lanvin Eclat D'Arpege Sheer Eau De Toilette 50ml</t>
        </is>
      </c>
      <c r="C3521" t="inlineStr">
        <is>
          <t>Eau De Toilette</t>
        </is>
      </c>
      <c r="D3521" t="inlineStr">
        <is>
          <t>Lanvin</t>
        </is>
      </c>
      <c r="E3521" t="n">
        <v>20.09</v>
      </c>
      <c r="F3521" t="n">
        <v>1</v>
      </c>
      <c r="G3521" t="n">
        <v>5</v>
      </c>
      <c r="H3521" s="5">
        <f>HYPERLINK("https://api.qogita.com/variants/link/3386460123174/", "View Product")</f>
        <v/>
      </c>
    </row>
    <row r="3522">
      <c r="A3522" t="inlineStr">
        <is>
          <t>3386460123501</t>
        </is>
      </c>
      <c r="B3522" t="inlineStr">
        <is>
          <t>Coach Dreams Sunset Eau De Parfum Spray 90ml</t>
        </is>
      </c>
      <c r="C3522" t="inlineStr">
        <is>
          <t>Eau De Parfum</t>
        </is>
      </c>
      <c r="D3522" t="inlineStr">
        <is>
          <t>Coach</t>
        </is>
      </c>
      <c r="E3522" t="n">
        <v>39.55</v>
      </c>
      <c r="F3522" t="n">
        <v>1</v>
      </c>
      <c r="G3522" t="n">
        <v>16</v>
      </c>
      <c r="H3522" s="5">
        <f>HYPERLINK("https://api.qogita.com/variants/link/3386460123501/", "View Product")</f>
        <v/>
      </c>
    </row>
    <row r="3523">
      <c r="A3523" t="inlineStr">
        <is>
          <t>3386460124287</t>
        </is>
      </c>
      <c r="B3523" t="inlineStr">
        <is>
          <t>Rochas Girl Gift Set Eau De Toilette Spray 100ml Body Lotion 100ml And Travel Spray 75ml</t>
        </is>
      </c>
      <c r="C3523" t="inlineStr">
        <is>
          <t>Fragrance Sets</t>
        </is>
      </c>
      <c r="D3523" t="inlineStr">
        <is>
          <t>Rochas</t>
        </is>
      </c>
      <c r="E3523" t="n">
        <v>21.83</v>
      </c>
      <c r="F3523" t="n">
        <v>1</v>
      </c>
      <c r="G3523" t="n">
        <v>33</v>
      </c>
      <c r="H3523" s="5">
        <f>HYPERLINK("https://api.qogita.com/variants/link/3386460124287/", "View Product")</f>
        <v/>
      </c>
    </row>
    <row r="3524">
      <c r="A3524" t="inlineStr">
        <is>
          <t>3386460124485</t>
        </is>
      </c>
      <c r="B3524" t="inlineStr">
        <is>
          <t>Karl Hamburg Alster Eau De Toilette Spray 100ml</t>
        </is>
      </c>
      <c r="C3524" t="inlineStr">
        <is>
          <t>Eau De Toilette</t>
        </is>
      </c>
      <c r="D3524" t="inlineStr">
        <is>
          <t>Karl Lagerfeld</t>
        </is>
      </c>
      <c r="E3524" t="n">
        <v>18.14</v>
      </c>
      <c r="F3524" t="n">
        <v>1</v>
      </c>
      <c r="G3524" t="n">
        <v>58</v>
      </c>
      <c r="H3524" s="5">
        <f>HYPERLINK("https://api.qogita.com/variants/link/3386460124485/", "View Product")</f>
        <v/>
      </c>
    </row>
    <row r="3525">
      <c r="A3525" t="inlineStr">
        <is>
          <t>3386460124492</t>
        </is>
      </c>
      <c r="B3525" t="inlineStr">
        <is>
          <t>Karl Lagerfeld Hamburg Alster Eau De Toilette Spray 60ml</t>
        </is>
      </c>
      <c r="C3525" t="inlineStr">
        <is>
          <t>Eau De Toilette</t>
        </is>
      </c>
      <c r="D3525" t="inlineStr">
        <is>
          <t>Karl Lagerfeld</t>
        </is>
      </c>
      <c r="E3525" t="n">
        <v>13.7</v>
      </c>
      <c r="F3525" t="n">
        <v>1</v>
      </c>
      <c r="G3525" t="n">
        <v>25</v>
      </c>
      <c r="H3525" s="5">
        <f>HYPERLINK("https://api.qogita.com/variants/link/3386460124492/", "View Product")</f>
        <v/>
      </c>
    </row>
    <row r="3526">
      <c r="A3526" t="inlineStr">
        <is>
          <t>3386460124843</t>
        </is>
      </c>
      <c r="B3526" t="inlineStr">
        <is>
          <t>Karl Lagerfeld Fleur De The Eau De Parfum Spray 100ml</t>
        </is>
      </c>
      <c r="C3526" t="inlineStr">
        <is>
          <t>Eau De Parfum</t>
        </is>
      </c>
      <c r="D3526" t="inlineStr">
        <is>
          <t>Karl Lagerfeld</t>
        </is>
      </c>
      <c r="E3526" t="n">
        <v>17.52</v>
      </c>
      <c r="F3526" t="n">
        <v>1</v>
      </c>
      <c r="G3526" t="n">
        <v>920</v>
      </c>
      <c r="H3526" s="5">
        <f>HYPERLINK("https://api.qogita.com/variants/link/3386460124843/", "View Product")</f>
        <v/>
      </c>
    </row>
    <row r="3527">
      <c r="A3527" t="inlineStr">
        <is>
          <t>3386460124867</t>
        </is>
      </c>
      <c r="B3527" t="inlineStr">
        <is>
          <t>Karl Lagerfeld Bois D'Ambre Eau De Toilette Spray 100ml</t>
        </is>
      </c>
      <c r="C3527" t="inlineStr">
        <is>
          <t>Eau De Toilette</t>
        </is>
      </c>
      <c r="D3527" t="inlineStr">
        <is>
          <t>Karl Lagerfeld</t>
        </is>
      </c>
      <c r="E3527" t="n">
        <v>17.55</v>
      </c>
      <c r="F3527" t="n">
        <v>1</v>
      </c>
      <c r="G3527" t="n">
        <v>467</v>
      </c>
      <c r="H3527" s="5">
        <f>HYPERLINK("https://api.qogita.com/variants/link/3386460124867/", "View Product")</f>
        <v/>
      </c>
    </row>
    <row r="3528">
      <c r="A3528" t="inlineStr">
        <is>
          <t>3386460124935</t>
        </is>
      </c>
      <c r="B3528" t="inlineStr">
        <is>
          <t>Boucheron Cuir De Venise Eau De Parfum Spray 125ml</t>
        </is>
      </c>
      <c r="C3528" t="inlineStr">
        <is>
          <t>Eau De Parfum</t>
        </is>
      </c>
      <c r="D3528" t="inlineStr">
        <is>
          <t>Boucheron</t>
        </is>
      </c>
      <c r="E3528" t="n">
        <v>82.5</v>
      </c>
      <c r="F3528" t="n">
        <v>1</v>
      </c>
      <c r="G3528" t="n">
        <v>4</v>
      </c>
      <c r="H3528" s="5">
        <f>HYPERLINK("https://api.qogita.com/variants/link/3386460124935/", "View Product")</f>
        <v/>
      </c>
    </row>
    <row r="3529">
      <c r="A3529" t="inlineStr">
        <is>
          <t>3386460126212</t>
        </is>
      </c>
      <c r="B3529" t="inlineStr">
        <is>
          <t>Moncler Pour Homme Eau De Parfum Spray 100ml</t>
        </is>
      </c>
      <c r="C3529" t="inlineStr">
        <is>
          <t>Eau De Parfum</t>
        </is>
      </c>
      <c r="D3529" t="inlineStr">
        <is>
          <t>Moncler</t>
        </is>
      </c>
      <c r="E3529" t="n">
        <v>37.7</v>
      </c>
      <c r="F3529" t="n">
        <v>1</v>
      </c>
      <c r="G3529" t="n">
        <v>196</v>
      </c>
      <c r="H3529" s="5">
        <f>HYPERLINK("https://api.qogita.com/variants/link/3386460126212/", "View Product")</f>
        <v/>
      </c>
    </row>
    <row r="3530">
      <c r="A3530" t="inlineStr">
        <is>
          <t>3386460126588</t>
        </is>
      </c>
      <c r="B3530" t="inlineStr">
        <is>
          <t>Coach Wild Rose Eau De Parfum 50ml For Women</t>
        </is>
      </c>
      <c r="C3530" t="inlineStr">
        <is>
          <t>Eau De Parfum</t>
        </is>
      </c>
      <c r="D3530" t="inlineStr">
        <is>
          <t>Coach</t>
        </is>
      </c>
      <c r="E3530" t="n">
        <v>30.98</v>
      </c>
      <c r="F3530" t="n">
        <v>1</v>
      </c>
      <c r="G3530" t="n">
        <v>67</v>
      </c>
      <c r="H3530" s="5">
        <f>HYPERLINK("https://api.qogita.com/variants/link/3386460126588/", "View Product")</f>
        <v/>
      </c>
    </row>
    <row r="3531">
      <c r="A3531" t="inlineStr">
        <is>
          <t>3386460126632</t>
        </is>
      </c>
      <c r="B3531" t="inlineStr">
        <is>
          <t>Coach Open Road Eau De Toilette Spray 60ml</t>
        </is>
      </c>
      <c r="C3531" t="inlineStr">
        <is>
          <t>Eau De Toilette</t>
        </is>
      </c>
      <c r="D3531" t="inlineStr">
        <is>
          <t>Coach</t>
        </is>
      </c>
      <c r="E3531" t="n">
        <v>20.33</v>
      </c>
      <c r="F3531" t="n">
        <v>1</v>
      </c>
      <c r="G3531" t="n">
        <v>5</v>
      </c>
      <c r="H3531" s="5">
        <f>HYPERLINK("https://api.qogita.com/variants/link/3386460126632/", "View Product")</f>
        <v/>
      </c>
    </row>
    <row r="3532">
      <c r="A3532" t="inlineStr">
        <is>
          <t>3386460127189</t>
        </is>
      </c>
      <c r="B3532" t="inlineStr">
        <is>
          <t>Lanvin Water Lily Eau De Toilette</t>
        </is>
      </c>
      <c r="C3532" t="inlineStr">
        <is>
          <t>Eau De Toilette</t>
        </is>
      </c>
      <c r="D3532" t="inlineStr">
        <is>
          <t>Lanvin</t>
        </is>
      </c>
      <c r="E3532" t="n">
        <v>16.05</v>
      </c>
      <c r="F3532" t="n">
        <v>1</v>
      </c>
      <c r="G3532" t="n">
        <v>11</v>
      </c>
      <c r="H3532" s="5">
        <f>HYPERLINK("https://api.qogita.com/variants/link/3386460127189/", "View Product")</f>
        <v/>
      </c>
    </row>
    <row r="3533">
      <c r="A3533" t="inlineStr">
        <is>
          <t>3386460127219</t>
        </is>
      </c>
      <c r="B3533" t="inlineStr">
        <is>
          <t>Lanvin Les Fleurs De Lanvin Sunny Magnolia Eau De Toilette Spray 90ml</t>
        </is>
      </c>
      <c r="C3533" t="inlineStr">
        <is>
          <t>Eau De Toilette</t>
        </is>
      </c>
      <c r="D3533" t="inlineStr">
        <is>
          <t>Lanvin</t>
        </is>
      </c>
      <c r="E3533" t="n">
        <v>22.13</v>
      </c>
      <c r="F3533" t="n">
        <v>1</v>
      </c>
      <c r="G3533" t="n">
        <v>10</v>
      </c>
      <c r="H3533" s="5">
        <f>HYPERLINK("https://api.qogita.com/variants/link/3386460127219/", "View Product")</f>
        <v/>
      </c>
    </row>
    <row r="3534">
      <c r="A3534" t="inlineStr">
        <is>
          <t>3386460127233</t>
        </is>
      </c>
      <c r="B3534" t="inlineStr">
        <is>
          <t>Lanvin Sunny Magnolia Eau de Toilette Spray 50ml</t>
        </is>
      </c>
      <c r="C3534" t="inlineStr">
        <is>
          <t>Eau De Toilette</t>
        </is>
      </c>
      <c r="D3534" t="inlineStr">
        <is>
          <t>Lanvin</t>
        </is>
      </c>
      <c r="E3534" t="n">
        <v>20.02</v>
      </c>
      <c r="F3534" t="n">
        <v>1</v>
      </c>
      <c r="G3534" t="n">
        <v>3</v>
      </c>
      <c r="H3534" s="5">
        <f>HYPERLINK("https://api.qogita.com/variants/link/3386460127233/", "View Product")</f>
        <v/>
      </c>
    </row>
    <row r="3535">
      <c r="A3535" t="inlineStr">
        <is>
          <t>3386460127950</t>
        </is>
      </c>
      <c r="B3535" t="inlineStr">
        <is>
          <t>Montblanc Legend Red Eau De Parfum 100ml A Premium Fragrance For Men</t>
        </is>
      </c>
      <c r="C3535" t="inlineStr">
        <is>
          <t>Eau De Parfum</t>
        </is>
      </c>
      <c r="D3535" t="inlineStr">
        <is>
          <t>Montblanc</t>
        </is>
      </c>
      <c r="E3535" t="n">
        <v>41.38</v>
      </c>
      <c r="F3535" t="n">
        <v>1</v>
      </c>
      <c r="G3535" t="n">
        <v>4</v>
      </c>
      <c r="H3535" s="5">
        <f>HYPERLINK("https://api.qogita.com/variants/link/3386460127950/", "View Product")</f>
        <v/>
      </c>
    </row>
    <row r="3536">
      <c r="A3536" t="inlineStr">
        <is>
          <t>3386460129398</t>
        </is>
      </c>
      <c r="B3536" t="inlineStr">
        <is>
          <t>Boucheron Quatre Iconic Eau De Parfum Spray 100ml</t>
        </is>
      </c>
      <c r="C3536" t="inlineStr">
        <is>
          <t>Eau De Parfum</t>
        </is>
      </c>
      <c r="D3536" t="inlineStr">
        <is>
          <t>Boucheron</t>
        </is>
      </c>
      <c r="E3536" t="n">
        <v>31.46</v>
      </c>
      <c r="F3536" t="n">
        <v>1</v>
      </c>
      <c r="G3536" t="n">
        <v>42</v>
      </c>
      <c r="H3536" s="5">
        <f>HYPERLINK("https://api.qogita.com/variants/link/3386460129398/", "View Product")</f>
        <v/>
      </c>
    </row>
    <row r="3537">
      <c r="A3537" t="inlineStr">
        <is>
          <t>3386460129824</t>
        </is>
      </c>
      <c r="B3537" t="inlineStr">
        <is>
          <t>Jimmy Choo Man Aqua Eau De Toilette 100ml For Men</t>
        </is>
      </c>
      <c r="C3537" t="inlineStr">
        <is>
          <t>Eau De Toilette</t>
        </is>
      </c>
      <c r="D3537" t="inlineStr">
        <is>
          <t>Jimmy Choo</t>
        </is>
      </c>
      <c r="E3537" t="n">
        <v>37.84</v>
      </c>
      <c r="F3537" t="n">
        <v>1</v>
      </c>
      <c r="G3537" t="n">
        <v>45</v>
      </c>
      <c r="H3537" s="5">
        <f>HYPERLINK("https://api.qogita.com/variants/link/3386460129824/", "View Product")</f>
        <v/>
      </c>
    </row>
    <row r="3538">
      <c r="A3538" t="inlineStr">
        <is>
          <t>3386460129879</t>
        </is>
      </c>
      <c r="B3538" t="inlineStr">
        <is>
          <t>Jimmy Choo I Want Choo Forever Eau De Parfum Spray 100ml</t>
        </is>
      </c>
      <c r="C3538" t="inlineStr">
        <is>
          <t>Eau De Parfum</t>
        </is>
      </c>
      <c r="D3538" t="inlineStr">
        <is>
          <t>Jimmy Choo</t>
        </is>
      </c>
      <c r="E3538" t="n">
        <v>48.24</v>
      </c>
      <c r="F3538" t="n">
        <v>1</v>
      </c>
      <c r="G3538" t="n">
        <v>20</v>
      </c>
      <c r="H3538" s="5">
        <f>HYPERLINK("https://api.qogita.com/variants/link/3386460129879/", "View Product")</f>
        <v/>
      </c>
    </row>
    <row r="3539">
      <c r="A3539" t="inlineStr">
        <is>
          <t>3386460130028</t>
        </is>
      </c>
      <c r="B3539" t="inlineStr">
        <is>
          <t>Karl Lagerfeld Karl Rome Divino Amore Eau De Parfum Spray 60ml</t>
        </is>
      </c>
      <c r="C3539" t="inlineStr">
        <is>
          <t>Eau De Parfum</t>
        </is>
      </c>
      <c r="D3539" t="inlineStr">
        <is>
          <t>Karl Lagerfeld</t>
        </is>
      </c>
      <c r="E3539" t="n">
        <v>12.32</v>
      </c>
      <c r="F3539" t="n">
        <v>1</v>
      </c>
      <c r="G3539" t="n">
        <v>442</v>
      </c>
      <c r="H3539" s="5">
        <f>HYPERLINK("https://api.qogita.com/variants/link/3386460130028/", "View Product")</f>
        <v/>
      </c>
    </row>
    <row r="3540">
      <c r="A3540" t="inlineStr">
        <is>
          <t>3386460130073</t>
        </is>
      </c>
      <c r="B3540" t="inlineStr">
        <is>
          <t>Karl Lagerfeld Vienna Opera Eau De Toilette Spray 60ml</t>
        </is>
      </c>
      <c r="C3540" t="inlineStr">
        <is>
          <t>Eau De Toilette</t>
        </is>
      </c>
      <c r="D3540" t="inlineStr">
        <is>
          <t>Karl Lagerfeld</t>
        </is>
      </c>
      <c r="E3540" t="n">
        <v>10.79</v>
      </c>
      <c r="F3540" t="n">
        <v>1</v>
      </c>
      <c r="G3540" t="n">
        <v>630</v>
      </c>
      <c r="H3540" s="5">
        <f>HYPERLINK("https://api.qogita.com/variants/link/3386460130073/", "View Product")</f>
        <v/>
      </c>
    </row>
    <row r="3541">
      <c r="A3541" t="inlineStr">
        <is>
          <t>3386460130127</t>
        </is>
      </c>
      <c r="B3541" t="inlineStr">
        <is>
          <t>Lanvin Jeanne Blossom Eau de Parfum For Women 100ml</t>
        </is>
      </c>
      <c r="C3541" t="inlineStr">
        <is>
          <t>Eau De Parfum</t>
        </is>
      </c>
      <c r="D3541" t="inlineStr">
        <is>
          <t>Lanvin</t>
        </is>
      </c>
      <c r="E3541" t="n">
        <v>21.48</v>
      </c>
      <c r="F3541" t="n">
        <v>1</v>
      </c>
      <c r="G3541" t="n">
        <v>9</v>
      </c>
      <c r="H3541" s="5">
        <f>HYPERLINK("https://api.qogita.com/variants/link/3386460130127/", "View Product")</f>
        <v/>
      </c>
    </row>
    <row r="3542">
      <c r="A3542" t="inlineStr">
        <is>
          <t>3386460130677</t>
        </is>
      </c>
      <c r="B3542" t="inlineStr">
        <is>
          <t>Kate Spade New York Sparkle Eau De Parfum Intense - Long Lasting Fragrance</t>
        </is>
      </c>
      <c r="C3542" t="inlineStr">
        <is>
          <t>Eau De Parfum</t>
        </is>
      </c>
      <c r="D3542" t="inlineStr">
        <is>
          <t>Kate Spade New York</t>
        </is>
      </c>
      <c r="E3542" t="n">
        <v>24.21</v>
      </c>
      <c r="F3542" t="n">
        <v>1</v>
      </c>
      <c r="G3542" t="n">
        <v>9</v>
      </c>
      <c r="H3542" s="5">
        <f>HYPERLINK("https://api.qogita.com/variants/link/3386460130677/", "View Product")</f>
        <v/>
      </c>
    </row>
    <row r="3543">
      <c r="A3543" t="inlineStr">
        <is>
          <t>3386460131346</t>
        </is>
      </c>
      <c r="B3543" t="inlineStr">
        <is>
          <t>Karl Lagerfeld Lagerfeld Classic Grey Eau De Toilette Spray 100ml</t>
        </is>
      </c>
      <c r="C3543" t="inlineStr">
        <is>
          <t>Eau De Toilette</t>
        </is>
      </c>
      <c r="D3543" t="inlineStr">
        <is>
          <t>Karl Lagerfeld</t>
        </is>
      </c>
      <c r="E3543" t="n">
        <v>15.83</v>
      </c>
      <c r="F3543" t="n">
        <v>1</v>
      </c>
      <c r="G3543" t="n">
        <v>5</v>
      </c>
      <c r="H3543" s="5">
        <f>HYPERLINK("https://api.qogita.com/variants/link/3386460131346/", "View Product")</f>
        <v/>
      </c>
    </row>
    <row r="3544">
      <c r="A3544" t="inlineStr">
        <is>
          <t>3386460131360</t>
        </is>
      </c>
      <c r="B3544" t="inlineStr">
        <is>
          <t>Karl Lagerfeld Classic Grey Eau De Toilette Spray 50ml</t>
        </is>
      </c>
      <c r="C3544" t="inlineStr">
        <is>
          <t>Eau De Toilette</t>
        </is>
      </c>
      <c r="D3544" t="inlineStr">
        <is>
          <t>Karl Lagerfeld</t>
        </is>
      </c>
      <c r="E3544" t="n">
        <v>11.16</v>
      </c>
      <c r="F3544" t="n">
        <v>1</v>
      </c>
      <c r="G3544" t="n">
        <v>24</v>
      </c>
      <c r="H3544" s="5">
        <f>HYPERLINK("https://api.qogita.com/variants/link/3386460131360/", "View Product")</f>
        <v/>
      </c>
    </row>
    <row r="3545">
      <c r="A3545" t="inlineStr">
        <is>
          <t>3386460132718</t>
        </is>
      </c>
      <c r="B3545" t="inlineStr">
        <is>
          <t>Rochas Man 100 ML VP 50 ML VP by Rochas</t>
        </is>
      </c>
      <c r="C3545" t="inlineStr">
        <is>
          <t>Eau De Toilette</t>
        </is>
      </c>
      <c r="D3545" t="inlineStr">
        <is>
          <t>Rochas</t>
        </is>
      </c>
      <c r="E3545" t="n">
        <v>49.15</v>
      </c>
      <c r="F3545" t="n">
        <v>1</v>
      </c>
      <c r="G3545" t="n">
        <v>3</v>
      </c>
      <c r="H3545" s="5">
        <f>HYPERLINK("https://api.qogita.com/variants/link/3386460132718/", "View Product")</f>
        <v/>
      </c>
    </row>
    <row r="3546">
      <c r="A3546" t="inlineStr">
        <is>
          <t>3386460132770</t>
        </is>
      </c>
      <c r="B3546" t="inlineStr">
        <is>
          <t>Mont Blanc Signature Absolue Eau De Parfum Spray 50ml</t>
        </is>
      </c>
      <c r="C3546" t="inlineStr">
        <is>
          <t>Eau De Parfum</t>
        </is>
      </c>
      <c r="D3546" t="inlineStr">
        <is>
          <t>Montblanc</t>
        </is>
      </c>
      <c r="E3546" t="n">
        <v>22.44</v>
      </c>
      <c r="F3546" t="n">
        <v>1</v>
      </c>
      <c r="G3546" t="n">
        <v>9</v>
      </c>
      <c r="H3546" s="5">
        <f>HYPERLINK("https://api.qogita.com/variants/link/3386460132770/", "View Product")</f>
        <v/>
      </c>
    </row>
    <row r="3547">
      <c r="A3547" t="inlineStr">
        <is>
          <t>3386460132787</t>
        </is>
      </c>
      <c r="B3547" t="inlineStr">
        <is>
          <t>Mont Blanc Signature Absolue Eau De Parfum Spray 30ml</t>
        </is>
      </c>
      <c r="C3547" t="inlineStr">
        <is>
          <t>Eau De Parfum</t>
        </is>
      </c>
      <c r="D3547" t="inlineStr">
        <is>
          <t>Montblanc</t>
        </is>
      </c>
      <c r="E3547" t="n">
        <v>17.27</v>
      </c>
      <c r="F3547" t="n">
        <v>1</v>
      </c>
      <c r="G3547" t="n">
        <v>11</v>
      </c>
      <c r="H3547" s="5">
        <f>HYPERLINK("https://api.qogita.com/variants/link/3386460132787/", "View Product")</f>
        <v/>
      </c>
    </row>
    <row r="3548">
      <c r="A3548" t="inlineStr">
        <is>
          <t>3386460134248</t>
        </is>
      </c>
      <c r="B3548" t="inlineStr">
        <is>
          <t>Rochas Girl Blooming Eau De Toilette Spray 100ml</t>
        </is>
      </c>
      <c r="C3548" t="inlineStr">
        <is>
          <t>Eau De Toilette</t>
        </is>
      </c>
      <c r="D3548" t="inlineStr">
        <is>
          <t>Rochas</t>
        </is>
      </c>
      <c r="E3548" t="n">
        <v>36.25</v>
      </c>
      <c r="F3548" t="n">
        <v>1</v>
      </c>
      <c r="G3548" t="n">
        <v>3</v>
      </c>
      <c r="H3548" s="5">
        <f>HYPERLINK("https://api.qogita.com/variants/link/3386460134248/", "View Product")</f>
        <v/>
      </c>
    </row>
    <row r="3549">
      <c r="A3549" t="inlineStr">
        <is>
          <t>3386460134347</t>
        </is>
      </c>
      <c r="B3549" t="inlineStr">
        <is>
          <t>Rochas Byzance Gold Eau De Parfum Spray 90ml</t>
        </is>
      </c>
      <c r="C3549" t="inlineStr">
        <is>
          <t>Eau De Parfum</t>
        </is>
      </c>
      <c r="D3549" t="inlineStr">
        <is>
          <t>Rochas</t>
        </is>
      </c>
      <c r="E3549" t="n">
        <v>30.36</v>
      </c>
      <c r="F3549" t="n">
        <v>1</v>
      </c>
      <c r="G3549" t="n">
        <v>14</v>
      </c>
      <c r="H3549" s="5">
        <f>HYPERLINK("https://api.qogita.com/variants/link/3386460134347/", "View Product")</f>
        <v/>
      </c>
    </row>
    <row r="3550">
      <c r="A3550" t="inlineStr">
        <is>
          <t>3386460135832</t>
        </is>
      </c>
      <c r="B3550" t="inlineStr">
        <is>
          <t>Mont Blanc Explorer Platinum Eau De Parfum Spray 30ml</t>
        </is>
      </c>
      <c r="C3550" t="inlineStr">
        <is>
          <t>Eau De Parfum</t>
        </is>
      </c>
      <c r="D3550" t="inlineStr">
        <is>
          <t>Montblanc</t>
        </is>
      </c>
      <c r="E3550" t="n">
        <v>19.32</v>
      </c>
      <c r="F3550" t="n">
        <v>1</v>
      </c>
      <c r="G3550" t="n">
        <v>10</v>
      </c>
      <c r="H3550" s="5">
        <f>HYPERLINK("https://api.qogita.com/variants/link/3386460135832/", "View Product")</f>
        <v/>
      </c>
    </row>
    <row r="3551">
      <c r="A3551" t="inlineStr">
        <is>
          <t>3386460136754</t>
        </is>
      </c>
      <c r="B3551" t="inlineStr">
        <is>
          <t>Rochas Man Intense Eau De Parfum Spray 100ml</t>
        </is>
      </c>
      <c r="C3551" t="inlineStr">
        <is>
          <t>Eau De Parfum</t>
        </is>
      </c>
      <c r="D3551" t="inlineStr">
        <is>
          <t>Rochas</t>
        </is>
      </c>
      <c r="E3551" t="n">
        <v>28.01</v>
      </c>
      <c r="F3551" t="n">
        <v>1</v>
      </c>
      <c r="G3551" t="n">
        <v>49</v>
      </c>
      <c r="H3551" s="5">
        <f>HYPERLINK("https://api.qogita.com/variants/link/3386460136754/", "View Product")</f>
        <v/>
      </c>
    </row>
    <row r="3552">
      <c r="A3552" t="inlineStr">
        <is>
          <t>3386460137454</t>
        </is>
      </c>
      <c r="B3552" t="inlineStr">
        <is>
          <t>Rochas Rochas L'Essentiel Eau De Parfum Spray 100ml</t>
        </is>
      </c>
      <c r="C3552" t="inlineStr">
        <is>
          <t>Eau De Parfum</t>
        </is>
      </c>
      <c r="D3552" t="inlineStr">
        <is>
          <t>Rochas</t>
        </is>
      </c>
      <c r="E3552" t="n">
        <v>59.3</v>
      </c>
      <c r="F3552" t="n">
        <v>1</v>
      </c>
      <c r="G3552" t="n">
        <v>2</v>
      </c>
      <c r="H3552" s="5">
        <f>HYPERLINK("https://api.qogita.com/variants/link/3386460137454/", "View Product")</f>
        <v/>
      </c>
    </row>
    <row r="3553">
      <c r="A3553" t="inlineStr">
        <is>
          <t>3386460141703</t>
        </is>
      </c>
      <c r="B3553" t="inlineStr">
        <is>
          <t>Jimmy Choo I Want Choo Le Parfum 100ml Women's Fragrance</t>
        </is>
      </c>
      <c r="C3553" t="inlineStr">
        <is>
          <t>Eau De Parfum</t>
        </is>
      </c>
      <c r="D3553" t="inlineStr">
        <is>
          <t>Jimmy Choo</t>
        </is>
      </c>
      <c r="E3553" t="n">
        <v>58.18</v>
      </c>
      <c r="F3553" t="n">
        <v>1</v>
      </c>
      <c r="G3553" t="n">
        <v>21</v>
      </c>
      <c r="H3553" s="5">
        <f>HYPERLINK("https://api.qogita.com/variants/link/3386460141703/", "View Product")</f>
        <v/>
      </c>
    </row>
    <row r="3554">
      <c r="A3554" t="inlineStr">
        <is>
          <t>3386460142014</t>
        </is>
      </c>
      <c r="B3554" t="inlineStr">
        <is>
          <t>Jimmy Choo I Want Choo Le Parfum 60ml Eau De Parfum Spray</t>
        </is>
      </c>
      <c r="C3554" t="inlineStr">
        <is>
          <t>Eau De Parfum</t>
        </is>
      </c>
      <c r="D3554" t="inlineStr">
        <is>
          <t>Jimmy Choo</t>
        </is>
      </c>
      <c r="E3554" t="n">
        <v>41.36</v>
      </c>
      <c r="F3554" t="n">
        <v>1</v>
      </c>
      <c r="G3554" t="n">
        <v>24</v>
      </c>
      <c r="H3554" s="5">
        <f>HYPERLINK("https://api.qogita.com/variants/link/3386460142014/", "View Product")</f>
        <v/>
      </c>
    </row>
    <row r="3555">
      <c r="A3555" t="inlineStr">
        <is>
          <t>3386460144254</t>
        </is>
      </c>
      <c r="B3555" t="inlineStr">
        <is>
          <t>Mont Blanc Legend Blue Eau De Parfum Spray 30ml</t>
        </is>
      </c>
      <c r="C3555" t="inlineStr">
        <is>
          <t>Eau De Parfum</t>
        </is>
      </c>
      <c r="D3555" t="inlineStr">
        <is>
          <t>Montblanc</t>
        </is>
      </c>
      <c r="E3555" t="n">
        <v>20.34</v>
      </c>
      <c r="F3555" t="n">
        <v>1</v>
      </c>
      <c r="G3555" t="n">
        <v>12</v>
      </c>
      <c r="H3555" s="5">
        <f>HYPERLINK("https://api.qogita.com/variants/link/3386460144254/", "View Product")</f>
        <v/>
      </c>
    </row>
    <row r="3556">
      <c r="A3556" t="inlineStr">
        <is>
          <t>3386460149099</t>
        </is>
      </c>
      <c r="B3556" t="inlineStr">
        <is>
          <t>Lacoste L1212 Blanc Eau De Parfum Spray 50 Ml</t>
        </is>
      </c>
      <c r="C3556" t="inlineStr">
        <is>
          <t>Eau De Parfum</t>
        </is>
      </c>
      <c r="D3556" t="inlineStr">
        <is>
          <t>Lacoste</t>
        </is>
      </c>
      <c r="E3556" t="n">
        <v>26.11</v>
      </c>
      <c r="F3556" t="n">
        <v>1</v>
      </c>
      <c r="G3556" t="n">
        <v>6</v>
      </c>
      <c r="H3556" s="5">
        <f>HYPERLINK("https://api.qogita.com/variants/link/3386460149099/", "View Product")</f>
        <v/>
      </c>
    </row>
    <row r="3557">
      <c r="A3557" t="inlineStr">
        <is>
          <t>3386460149167</t>
        </is>
      </c>
      <c r="B3557" t="inlineStr">
        <is>
          <t>Lacoste L1212 Blanc Eau Intense Eau De Toilette 50ml</t>
        </is>
      </c>
      <c r="C3557" t="inlineStr">
        <is>
          <t>Eau De Toilette</t>
        </is>
      </c>
      <c r="D3557" t="inlineStr">
        <is>
          <t>Lacoste</t>
        </is>
      </c>
      <c r="E3557" t="n">
        <v>23.62</v>
      </c>
      <c r="F3557" t="n">
        <v>1</v>
      </c>
      <c r="G3557" t="n">
        <v>11</v>
      </c>
      <c r="H3557" s="5">
        <f>HYPERLINK("https://api.qogita.com/variants/link/3386460149167/", "View Product")</f>
        <v/>
      </c>
    </row>
    <row r="3558">
      <c r="A3558" t="inlineStr">
        <is>
          <t>3386460149280</t>
        </is>
      </c>
      <c r="B3558" t="inlineStr">
        <is>
          <t>Lacoste Lacoste Booster Eau De Toilette Spray 125ml</t>
        </is>
      </c>
      <c r="C3558" t="inlineStr">
        <is>
          <t>Eau De Toilette</t>
        </is>
      </c>
      <c r="D3558" t="inlineStr">
        <is>
          <t>Lacoste</t>
        </is>
      </c>
      <c r="E3558" t="n">
        <v>26.3</v>
      </c>
      <c r="F3558" t="n">
        <v>1</v>
      </c>
      <c r="G3558" t="n">
        <v>2</v>
      </c>
      <c r="H3558" s="5">
        <f>HYPERLINK("https://api.qogita.com/variants/link/3386460149280/", "View Product")</f>
        <v/>
      </c>
    </row>
    <row r="3559">
      <c r="A3559" t="inlineStr">
        <is>
          <t>3386460149303</t>
        </is>
      </c>
      <c r="B3559" t="inlineStr">
        <is>
          <t>Lacoste Essential Eau De Toilette 75ml</t>
        </is>
      </c>
      <c r="C3559" t="inlineStr">
        <is>
          <t>Eau De Toilette</t>
        </is>
      </c>
      <c r="D3559" t="inlineStr">
        <is>
          <t>Lacoste</t>
        </is>
      </c>
      <c r="E3559" t="n">
        <v>22.42</v>
      </c>
      <c r="F3559" t="n">
        <v>1</v>
      </c>
      <c r="G3559" t="n">
        <v>30</v>
      </c>
      <c r="H3559" s="5">
        <f>HYPERLINK("https://api.qogita.com/variants/link/3386460149303/", "View Product")</f>
        <v/>
      </c>
    </row>
    <row r="3560">
      <c r="A3560" t="inlineStr">
        <is>
          <t>3386460149327</t>
        </is>
      </c>
      <c r="B3560" t="inlineStr">
        <is>
          <t>Lacoste Red Eau de Toilette 50ml</t>
        </is>
      </c>
      <c r="C3560" t="inlineStr">
        <is>
          <t>Eau De Toilette</t>
        </is>
      </c>
      <c r="D3560" t="inlineStr">
        <is>
          <t>Lacoste</t>
        </is>
      </c>
      <c r="E3560" t="n">
        <v>23.92</v>
      </c>
      <c r="F3560" t="n">
        <v>1</v>
      </c>
      <c r="G3560" t="n">
        <v>10</v>
      </c>
      <c r="H3560" s="5">
        <f>HYPERLINK("https://api.qogita.com/variants/link/3386460149327/", "View Product")</f>
        <v/>
      </c>
    </row>
    <row r="3561">
      <c r="A3561" t="inlineStr">
        <is>
          <t>3386460149433</t>
        </is>
      </c>
      <c r="B3561" t="inlineStr">
        <is>
          <t>Lacoste For Women 30ml Eau De Parfum</t>
        </is>
      </c>
      <c r="C3561" t="inlineStr">
        <is>
          <t>Eau De Parfum</t>
        </is>
      </c>
      <c r="D3561" t="inlineStr">
        <is>
          <t>Lacoste</t>
        </is>
      </c>
      <c r="E3561" t="n">
        <v>17.83</v>
      </c>
      <c r="F3561" t="n">
        <v>1</v>
      </c>
      <c r="G3561" t="n">
        <v>12</v>
      </c>
      <c r="H3561" s="5">
        <f>HYPERLINK("https://api.qogita.com/variants/link/3386460149433/", "View Product")</f>
        <v/>
      </c>
    </row>
    <row r="3562">
      <c r="A3562" t="inlineStr">
        <is>
          <t>3386460151672</t>
        </is>
      </c>
      <c r="B3562" t="inlineStr">
        <is>
          <t>Lanvin Eclat D'Arpege So Cute Eau De Parfum Spray 50ml</t>
        </is>
      </c>
      <c r="C3562" t="inlineStr">
        <is>
          <t>Eau De Parfum</t>
        </is>
      </c>
      <c r="D3562" t="inlineStr">
        <is>
          <t>Lanvin</t>
        </is>
      </c>
      <c r="E3562" t="n">
        <v>24.1</v>
      </c>
      <c r="F3562" t="n">
        <v>1</v>
      </c>
      <c r="G3562" t="n">
        <v>40</v>
      </c>
      <c r="H3562" s="5">
        <f>HYPERLINK("https://api.qogita.com/variants/link/3386460151672/", "View Product")</f>
        <v/>
      </c>
    </row>
    <row r="3563">
      <c r="A3563" t="inlineStr">
        <is>
          <t>3386460160193</t>
        </is>
      </c>
      <c r="B3563" t="inlineStr">
        <is>
          <t>Karl Lagerfeld Jeans Urban Pink Eau De Perfume Spray 100ml</t>
        </is>
      </c>
      <c r="C3563" t="inlineStr">
        <is>
          <t>Eau De Parfum</t>
        </is>
      </c>
      <c r="D3563" t="inlineStr">
        <is>
          <t>Karl Lagerfeld</t>
        </is>
      </c>
      <c r="E3563" t="n">
        <v>18.38</v>
      </c>
      <c r="F3563" t="n">
        <v>1</v>
      </c>
      <c r="G3563" t="n">
        <v>58</v>
      </c>
      <c r="H3563" s="5">
        <f>HYPERLINK("https://api.qogita.com/variants/link/3386460160193/", "View Product")</f>
        <v/>
      </c>
    </row>
    <row r="3564">
      <c r="A3564" t="inlineStr">
        <is>
          <t>3386460161565</t>
        </is>
      </c>
      <c r="B3564" t="inlineStr">
        <is>
          <t>Karl Lagerfeld Fleur D'Iris Eau De Parfum Spray 100ml</t>
        </is>
      </c>
      <c r="C3564" t="inlineStr">
        <is>
          <t>Eau De Parfum</t>
        </is>
      </c>
      <c r="D3564" t="inlineStr">
        <is>
          <t>Karl Lagerfeld</t>
        </is>
      </c>
      <c r="E3564" t="n">
        <v>19.86</v>
      </c>
      <c r="F3564" t="n">
        <v>1</v>
      </c>
      <c r="G3564" t="n">
        <v>50</v>
      </c>
      <c r="H3564" s="5">
        <f>HYPERLINK("https://api.qogita.com/variants/link/3386460161565/", "View Product")</f>
        <v/>
      </c>
    </row>
    <row r="3565">
      <c r="A3565" t="inlineStr">
        <is>
          <t>3386461519457</t>
        </is>
      </c>
      <c r="B3565" t="inlineStr">
        <is>
          <t>Lanvin Eclat D'Arpege Eau De Parfum Spray 30ml</t>
        </is>
      </c>
      <c r="C3565" t="inlineStr">
        <is>
          <t>Eau De Parfum</t>
        </is>
      </c>
      <c r="D3565" t="inlineStr">
        <is>
          <t>Lanvin</t>
        </is>
      </c>
      <c r="E3565" t="n">
        <v>13.51</v>
      </c>
      <c r="F3565" t="n">
        <v>1</v>
      </c>
      <c r="G3565" t="n">
        <v>609</v>
      </c>
      <c r="H3565" s="5">
        <f>HYPERLINK("https://api.qogita.com/variants/link/3386461519457/", "View Product")</f>
        <v/>
      </c>
    </row>
    <row r="3566">
      <c r="A3566" t="inlineStr">
        <is>
          <t>3387951602116</t>
        </is>
      </c>
      <c r="B3566" t="inlineStr">
        <is>
          <t>Caron Paris Rose Ebene de Caron 100ml 3.3oz EDP Authentic and Fast by Finescents</t>
        </is>
      </c>
      <c r="C3566" t="inlineStr">
        <is>
          <t>Eau De Parfum</t>
        </is>
      </c>
      <c r="D3566" t="inlineStr">
        <is>
          <t>Caron</t>
        </is>
      </c>
      <c r="E3566" t="n">
        <v>147.82</v>
      </c>
      <c r="F3566" t="n">
        <v>1</v>
      </c>
      <c r="G3566" t="n">
        <v>2</v>
      </c>
      <c r="H3566" s="5">
        <f>HYPERLINK("https://api.qogita.com/variants/link/3387951602116/", "View Product")</f>
        <v/>
      </c>
    </row>
    <row r="3567">
      <c r="A3567" t="inlineStr">
        <is>
          <t>3387951702113</t>
        </is>
      </c>
      <c r="B3567" t="inlineStr">
        <is>
          <t>Caron Tubereuse Merveilleuse Eau De Parfum 100ml For Women</t>
        </is>
      </c>
      <c r="C3567" t="inlineStr">
        <is>
          <t>Eau De Parfum</t>
        </is>
      </c>
      <c r="D3567" t="inlineStr">
        <is>
          <t>Caron</t>
        </is>
      </c>
      <c r="E3567" t="n">
        <v>183.74</v>
      </c>
      <c r="F3567" t="n">
        <v>1</v>
      </c>
      <c r="G3567" t="n">
        <v>2</v>
      </c>
      <c r="H3567" s="5">
        <f>HYPERLINK("https://api.qogita.com/variants/link/3387951702113/", "View Product")</f>
        <v/>
      </c>
    </row>
    <row r="3568">
      <c r="A3568" t="inlineStr">
        <is>
          <t>3387952112805</t>
        </is>
      </c>
      <c r="B3568" t="inlineStr">
        <is>
          <t>Caron Yatagan Men Eau de Toilette 125ml</t>
        </is>
      </c>
      <c r="C3568" t="inlineStr">
        <is>
          <t>Eau De Toilette</t>
        </is>
      </c>
      <c r="D3568" t="inlineStr">
        <is>
          <t>Caron</t>
        </is>
      </c>
      <c r="E3568" t="n">
        <v>46.11</v>
      </c>
      <c r="F3568" t="n">
        <v>1</v>
      </c>
      <c r="G3568" t="n">
        <v>32</v>
      </c>
      <c r="H3568" s="5">
        <f>HYPERLINK("https://api.qogita.com/variants/link/3387952112805/", "View Product")</f>
        <v/>
      </c>
    </row>
    <row r="3569">
      <c r="A3569" t="inlineStr">
        <is>
          <t>3390150574719</t>
        </is>
      </c>
      <c r="B3569" t="inlineStr">
        <is>
          <t>Payot Paris Teens Dream Purifying Mask 19 Ml For Young And Problematic Skin</t>
        </is>
      </c>
      <c r="C3569" t="inlineStr">
        <is>
          <t>Purifying Mask</t>
        </is>
      </c>
      <c r="D3569" t="inlineStr">
        <is>
          <t>Payot</t>
        </is>
      </c>
      <c r="E3569" t="n">
        <v>4.2</v>
      </c>
      <c r="F3569" t="n">
        <v>1</v>
      </c>
      <c r="G3569" t="n">
        <v>2</v>
      </c>
      <c r="H3569" s="5">
        <f>HYPERLINK("https://api.qogita.com/variants/link/3390150574719/", "View Product")</f>
        <v/>
      </c>
    </row>
    <row r="3570">
      <c r="A3570" t="inlineStr">
        <is>
          <t>3390150575952</t>
        </is>
      </c>
      <c r="B3570" t="inlineStr">
        <is>
          <t>Pay My Payot New Glow 7ml</t>
        </is>
      </c>
      <c r="C3570" t="inlineStr">
        <is>
          <t>Glow Serum</t>
        </is>
      </c>
      <c r="D3570" t="inlineStr">
        <is>
          <t>Payot</t>
        </is>
      </c>
      <c r="E3570" t="n">
        <v>19.85</v>
      </c>
      <c r="F3570" t="n">
        <v>1</v>
      </c>
      <c r="G3570" t="n">
        <v>3</v>
      </c>
      <c r="H3570" s="5">
        <f>HYPERLINK("https://api.qogita.com/variants/link/3390150575952/", "View Product")</f>
        <v/>
      </c>
    </row>
    <row r="3571">
      <c r="A3571" t="inlineStr">
        <is>
          <t>3390150584183</t>
        </is>
      </c>
      <c r="B3571" t="inlineStr">
        <is>
          <t>Payot Herbier Cleansing Face And Body Bar 85 G</t>
        </is>
      </c>
      <c r="C3571" t="inlineStr">
        <is>
          <t>Soap</t>
        </is>
      </c>
      <c r="D3571" t="inlineStr">
        <is>
          <t>Payot</t>
        </is>
      </c>
      <c r="E3571" t="n">
        <v>9.99</v>
      </c>
      <c r="F3571" t="n">
        <v>1</v>
      </c>
      <c r="G3571" t="n">
        <v>2</v>
      </c>
      <c r="H3571" s="5">
        <f>HYPERLINK("https://api.qogita.com/variants/link/3390150584183/", "View Product")</f>
        <v/>
      </c>
    </row>
    <row r="3572">
      <c r="A3572" t="inlineStr">
        <is>
          <t>3390150584725</t>
        </is>
      </c>
      <c r="B3572" t="inlineStr">
        <is>
          <t>Payot Nue Cleansing Micellar Milk</t>
        </is>
      </c>
      <c r="C3572" t="inlineStr">
        <is>
          <t>Cleansing Milk</t>
        </is>
      </c>
      <c r="D3572" t="inlineStr">
        <is>
          <t>Payot</t>
        </is>
      </c>
      <c r="E3572" t="n">
        <v>10.99</v>
      </c>
      <c r="F3572" t="n">
        <v>1</v>
      </c>
      <c r="G3572" t="n">
        <v>5</v>
      </c>
      <c r="H3572" s="5">
        <f>HYPERLINK("https://api.qogita.com/variants/link/3390150584725/", "View Product")</f>
        <v/>
      </c>
    </row>
    <row r="3573">
      <c r="A3573" t="inlineStr">
        <is>
          <t>3390150585111</t>
        </is>
      </c>
      <c r="B3573" t="inlineStr">
        <is>
          <t>Payot Ultraabsorbent Charcoal Mask 50 Ml For Problematic Skin</t>
        </is>
      </c>
      <c r="C3573" t="inlineStr">
        <is>
          <t>Charcoal Mask</t>
        </is>
      </c>
      <c r="D3573" t="inlineStr">
        <is>
          <t>Payot</t>
        </is>
      </c>
      <c r="E3573" t="n">
        <v>11.91</v>
      </c>
      <c r="F3573" t="n">
        <v>1</v>
      </c>
      <c r="G3573" t="n">
        <v>5</v>
      </c>
      <c r="H3573" s="5">
        <f>HYPERLINK("https://api.qogita.com/variants/link/3390150585111/", "View Product")</f>
        <v/>
      </c>
    </row>
    <row r="3574">
      <c r="A3574" t="inlineStr">
        <is>
          <t>3390150585791</t>
        </is>
      </c>
      <c r="B3574" t="inlineStr">
        <is>
          <t>Payot Nutricia Lip Balm Nourishing Lip Balm 6g</t>
        </is>
      </c>
      <c r="C3574" t="inlineStr">
        <is>
          <t>Medicated Treatments</t>
        </is>
      </c>
      <c r="D3574" t="inlineStr">
        <is>
          <t>Payot</t>
        </is>
      </c>
      <c r="E3574" t="n">
        <v>12.13</v>
      </c>
      <c r="F3574" t="n">
        <v>1</v>
      </c>
      <c r="G3574" t="n">
        <v>6</v>
      </c>
      <c r="H3574" s="5">
        <f>HYPERLINK("https://api.qogita.com/variants/link/3390150585791/", "View Product")</f>
        <v/>
      </c>
    </row>
    <row r="3575">
      <c r="A3575" t="inlineStr">
        <is>
          <t>3390150585869</t>
        </is>
      </c>
      <c r="B3575" t="inlineStr">
        <is>
          <t>Payot Daily Lifting Cream Roselift 50 Ml</t>
        </is>
      </c>
      <c r="C3575" t="inlineStr">
        <is>
          <t>Day Cream</t>
        </is>
      </c>
      <c r="D3575" t="inlineStr">
        <is>
          <t>Payot</t>
        </is>
      </c>
      <c r="E3575" t="n">
        <v>59.33</v>
      </c>
      <c r="F3575" t="n">
        <v>1</v>
      </c>
      <c r="G3575" t="n">
        <v>5</v>
      </c>
      <c r="H3575" s="5">
        <f>HYPERLINK("https://api.qogita.com/variants/link/3390150585869/", "View Product")</f>
        <v/>
      </c>
    </row>
    <row r="3576">
      <c r="A3576" t="inlineStr">
        <is>
          <t>3390150586569</t>
        </is>
      </c>
      <c r="B3576" t="inlineStr">
        <is>
          <t>Payot Optimale 24h Roll On Antiperspirant Alcohol Free 75ml</t>
        </is>
      </c>
      <c r="C3576" t="inlineStr">
        <is>
          <t>Deodorant &amp; Anti-Perspirant</t>
        </is>
      </c>
      <c r="D3576" t="inlineStr">
        <is>
          <t>Payot</t>
        </is>
      </c>
      <c r="E3576" t="n">
        <v>13.75</v>
      </c>
      <c r="F3576" t="n">
        <v>1</v>
      </c>
      <c r="G3576" t="n">
        <v>21</v>
      </c>
      <c r="H3576" s="5">
        <f>HYPERLINK("https://api.qogita.com/variants/link/3390150586569/", "View Product")</f>
        <v/>
      </c>
    </row>
    <row r="3577">
      <c r="A3577" t="inlineStr">
        <is>
          <t>3390150586576</t>
        </is>
      </c>
      <c r="B3577" t="inlineStr">
        <is>
          <t>Payot Optimale Daily Moisturising Care Hydrating Facial Cream 50ml</t>
        </is>
      </c>
      <c r="C3577" t="inlineStr">
        <is>
          <t>Day Cream</t>
        </is>
      </c>
      <c r="D3577" t="inlineStr">
        <is>
          <t>Payot</t>
        </is>
      </c>
      <c r="E3577" t="n">
        <v>27.53</v>
      </c>
      <c r="F3577" t="n">
        <v>1</v>
      </c>
      <c r="G3577" t="n">
        <v>2</v>
      </c>
      <c r="H3577" s="5">
        <f>HYPERLINK("https://api.qogita.com/variants/link/3390150586576/", "View Product")</f>
        <v/>
      </c>
    </row>
    <row r="3578">
      <c r="A3578" t="inlineStr">
        <is>
          <t>3390150587573</t>
        </is>
      </c>
      <c r="B3578" t="inlineStr">
        <is>
          <t>Payot Rituel Douceur Velvety Nourishing Hand Cream 75ml</t>
        </is>
      </c>
      <c r="C3578" t="inlineStr">
        <is>
          <t>Hand Cream</t>
        </is>
      </c>
      <c r="D3578" t="inlineStr">
        <is>
          <t>Payot</t>
        </is>
      </c>
      <c r="E3578" t="n">
        <v>11.44</v>
      </c>
      <c r="F3578" t="n">
        <v>1</v>
      </c>
      <c r="G3578" t="n">
        <v>11</v>
      </c>
      <c r="H3578" s="5">
        <f>HYPERLINK("https://api.qogita.com/variants/link/3390150587573/", "View Product")</f>
        <v/>
      </c>
    </row>
    <row r="3579">
      <c r="A3579" t="inlineStr">
        <is>
          <t>3390150588082</t>
        </is>
      </c>
      <c r="B3579" t="inlineStr">
        <is>
          <t>Payot Smoothing Eyes &amp; Lips Care 15 Ml Cream For The Eye Area And Lips</t>
        </is>
      </c>
      <c r="C3579" t="inlineStr">
        <is>
          <t>Eye Cream</t>
        </is>
      </c>
      <c r="D3579" t="inlineStr">
        <is>
          <t>Payot</t>
        </is>
      </c>
      <c r="E3579" t="n">
        <v>18.35</v>
      </c>
      <c r="F3579" t="n">
        <v>1</v>
      </c>
      <c r="G3579" t="n">
        <v>9</v>
      </c>
      <c r="H3579" s="5">
        <f>HYPERLINK("https://api.qogita.com/variants/link/3390150588082/", "View Product")</f>
        <v/>
      </c>
    </row>
    <row r="3580">
      <c r="A3580" t="inlineStr">
        <is>
          <t>3390150588266</t>
        </is>
      </c>
      <c r="B3580" t="inlineStr">
        <is>
          <t>Payot Nue Biphase Make Up Remover For Eyes And Lips 100ml</t>
        </is>
      </c>
      <c r="C3580" t="inlineStr">
        <is>
          <t>Eye Makeup Remover</t>
        </is>
      </c>
      <c r="D3580" t="inlineStr">
        <is>
          <t>Payot</t>
        </is>
      </c>
      <c r="E3580" t="n">
        <v>10.41</v>
      </c>
      <c r="F3580" t="n">
        <v>1</v>
      </c>
      <c r="G3580" t="n">
        <v>5</v>
      </c>
      <c r="H3580" s="5">
        <f>HYPERLINK("https://api.qogita.com/variants/link/3390150588266/", "View Product")</f>
        <v/>
      </c>
    </row>
    <row r="3581">
      <c r="A3581" t="inlineStr">
        <is>
          <t>3390150588488</t>
        </is>
      </c>
      <c r="B3581" t="inlineStr">
        <is>
          <t>Payot Optimale Foaming Shaving Gel 150 Ml</t>
        </is>
      </c>
      <c r="C3581" t="inlineStr">
        <is>
          <t>Shaving</t>
        </is>
      </c>
      <c r="D3581" t="inlineStr">
        <is>
          <t>Payot</t>
        </is>
      </c>
      <c r="E3581" t="n">
        <v>9.029999999999999</v>
      </c>
      <c r="F3581" t="n">
        <v>1</v>
      </c>
      <c r="G3581" t="n">
        <v>7</v>
      </c>
      <c r="H3581" s="5">
        <f>HYPERLINK("https://api.qogita.com/variants/link/3390150588488/", "View Product")</f>
        <v/>
      </c>
    </row>
    <row r="3582">
      <c r="A3582" t="inlineStr">
        <is>
          <t>3390150589164</t>
        </is>
      </c>
      <c r="B3582" t="inlineStr">
        <is>
          <t>Payot Adaptogen Rehydrating Serum 30ml Hydrating Skin Serum For All Skin Types</t>
        </is>
      </c>
      <c r="C3582" t="inlineStr">
        <is>
          <t>Hydrating Serum</t>
        </is>
      </c>
      <c r="D3582" t="inlineStr">
        <is>
          <t>Payot</t>
        </is>
      </c>
      <c r="E3582" t="n">
        <v>23.48</v>
      </c>
      <c r="F3582" t="n">
        <v>1</v>
      </c>
      <c r="G3582" t="n">
        <v>6</v>
      </c>
      <c r="H3582" s="5">
        <f>HYPERLINK("https://api.qogita.com/variants/link/3390150589164/", "View Product")</f>
        <v/>
      </c>
    </row>
    <row r="3583">
      <c r="A3583" t="inlineStr">
        <is>
          <t>3390150591495</t>
        </is>
      </c>
      <c r="B3583" t="inlineStr">
        <is>
          <t>Payot Solaire Solar Protection Stick Spf 50 15g</t>
        </is>
      </c>
      <c r="C3583" t="inlineStr">
        <is>
          <t>Face Sun Protection</t>
        </is>
      </c>
      <c r="D3583" t="inlineStr">
        <is>
          <t>Payot</t>
        </is>
      </c>
      <c r="E3583" t="n">
        <v>13.89</v>
      </c>
      <c r="F3583" t="n">
        <v>1</v>
      </c>
      <c r="G3583" t="n">
        <v>3</v>
      </c>
      <c r="H3583" s="5">
        <f>HYPERLINK("https://api.qogita.com/variants/link/3390150591495/", "View Product")</f>
        <v/>
      </c>
    </row>
    <row r="3584">
      <c r="A3584" t="inlineStr">
        <is>
          <t>3390150591778</t>
        </is>
      </c>
      <c r="B3584" t="inlineStr">
        <is>
          <t>Payot My Payot Antipollution Radiance Mist 100ml Brightening Skin Mist With Antioxidants</t>
        </is>
      </c>
      <c r="C3584" t="inlineStr">
        <is>
          <t>Facial Spray</t>
        </is>
      </c>
      <c r="D3584" t="inlineStr">
        <is>
          <t>Payot</t>
        </is>
      </c>
      <c r="E3584" t="n">
        <v>13.28</v>
      </c>
      <c r="F3584" t="n">
        <v>1</v>
      </c>
      <c r="G3584" t="n">
        <v>3</v>
      </c>
      <c r="H3584" s="5">
        <f>HYPERLINK("https://api.qogita.com/variants/link/3390150591778/", "View Product")</f>
        <v/>
      </c>
    </row>
    <row r="3585">
      <c r="A3585" t="inlineStr">
        <is>
          <t>3390150592690</t>
        </is>
      </c>
      <c r="B3585" t="inlineStr">
        <is>
          <t>Payot Payot Rose Lift Infusion Liftant 125ml</t>
        </is>
      </c>
      <c r="C3585" t="inlineStr">
        <is>
          <t>Anti-Aging Serum</t>
        </is>
      </c>
      <c r="D3585" t="inlineStr">
        <is>
          <t>Payot</t>
        </is>
      </c>
      <c r="E3585" t="n">
        <v>17.35</v>
      </c>
      <c r="F3585" t="n">
        <v>1</v>
      </c>
      <c r="G3585" t="n">
        <v>8</v>
      </c>
      <c r="H3585" s="5">
        <f>HYPERLINK("https://api.qogita.com/variants/link/3390150592690/", "View Product")</f>
        <v/>
      </c>
    </row>
    <row r="3586">
      <c r="A3586" t="inlineStr">
        <is>
          <t>3401329447687</t>
        </is>
      </c>
      <c r="B3586" t="inlineStr">
        <is>
          <t>Bioderma Hydrabio Crme Rich Moisturising Care 50ml</t>
        </is>
      </c>
      <c r="C3586" t="inlineStr">
        <is>
          <t>Face Cream</t>
        </is>
      </c>
      <c r="D3586" t="inlineStr">
        <is>
          <t>Bioderma</t>
        </is>
      </c>
      <c r="E3586" t="n">
        <v>15.72</v>
      </c>
      <c r="F3586" t="n">
        <v>1</v>
      </c>
      <c r="G3586" t="n">
        <v>78</v>
      </c>
      <c r="H3586" s="5">
        <f>HYPERLINK("https://api.qogita.com/variants/link/3401329447687/", "View Product")</f>
        <v/>
      </c>
    </row>
    <row r="3587">
      <c r="A3587" t="inlineStr">
        <is>
          <t>3401345568694</t>
        </is>
      </c>
      <c r="B3587" t="inlineStr">
        <is>
          <t>Bioderma Abcderm Cleansing Gel 200ml</t>
        </is>
      </c>
      <c r="C3587" t="inlineStr">
        <is>
          <t>Cleansing Gel</t>
        </is>
      </c>
      <c r="D3587" t="inlineStr">
        <is>
          <t>Bioderma</t>
        </is>
      </c>
      <c r="E3587" t="n">
        <v>9.69</v>
      </c>
      <c r="F3587" t="n">
        <v>1</v>
      </c>
      <c r="G3587" t="n">
        <v>6</v>
      </c>
      <c r="H3587" s="5">
        <f>HYPERLINK("https://api.qogita.com/variants/link/3401345568694/", "View Product")</f>
        <v/>
      </c>
    </row>
    <row r="3588">
      <c r="A3588" t="inlineStr">
        <is>
          <t>3401345935571</t>
        </is>
      </c>
      <c r="B3588" t="inlineStr">
        <is>
          <t>Bioderma Sensibio H2o Micellar Water For Sensitive Skin 500ml</t>
        </is>
      </c>
      <c r="C3588" t="inlineStr">
        <is>
          <t>Micellar Water</t>
        </is>
      </c>
      <c r="D3588" t="inlineStr">
        <is>
          <t>Bioderma</t>
        </is>
      </c>
      <c r="E3588" t="n">
        <v>9.140000000000001</v>
      </c>
      <c r="F3588" t="n">
        <v>1</v>
      </c>
      <c r="G3588" t="n">
        <v>1085</v>
      </c>
      <c r="H3588" s="5">
        <f>HYPERLINK("https://api.qogita.com/variants/link/3401345935571/", "View Product")</f>
        <v/>
      </c>
    </row>
    <row r="3589">
      <c r="A3589" t="inlineStr">
        <is>
          <t>3401360167902</t>
        </is>
      </c>
      <c r="B3589" t="inlineStr">
        <is>
          <t>Svr Sensifine Ar Micellar Water 400ml Gentle Cleansing For Sensitive Skin</t>
        </is>
      </c>
      <c r="C3589" t="inlineStr">
        <is>
          <t>Micellar Water</t>
        </is>
      </c>
      <c r="D3589" t="inlineStr">
        <is>
          <t>Svr</t>
        </is>
      </c>
      <c r="E3589" t="n">
        <v>8.73</v>
      </c>
      <c r="F3589" t="n">
        <v>1</v>
      </c>
      <c r="G3589" t="n">
        <v>3</v>
      </c>
      <c r="H3589" s="5">
        <f>HYPERLINK("https://api.qogita.com/variants/link/3401360167902/", "View Product")</f>
        <v/>
      </c>
    </row>
    <row r="3590">
      <c r="A3590" t="inlineStr">
        <is>
          <t>3401398303648</t>
        </is>
      </c>
      <c r="B3590" t="inlineStr">
        <is>
          <t>Bioderma Cicabio Arnica Cream 40ml</t>
        </is>
      </c>
      <c r="C3590" t="inlineStr">
        <is>
          <t>Neurodermatitis</t>
        </is>
      </c>
      <c r="D3590" t="inlineStr">
        <is>
          <t>Bioderma</t>
        </is>
      </c>
      <c r="E3590" t="n">
        <v>11.31</v>
      </c>
      <c r="F3590" t="n">
        <v>1</v>
      </c>
      <c r="G3590" t="n">
        <v>17</v>
      </c>
      <c r="H3590" s="5">
        <f>HYPERLINK("https://api.qogita.com/variants/link/3401398303648/", "View Product")</f>
        <v/>
      </c>
    </row>
    <row r="3591">
      <c r="A3591" t="inlineStr">
        <is>
          <t>3401399694127</t>
        </is>
      </c>
      <c r="B3591" t="inlineStr">
        <is>
          <t>Bioderma Hydrabio H2o Cleansing Micellar Water 250ml</t>
        </is>
      </c>
      <c r="C3591" t="inlineStr">
        <is>
          <t>Micellar Water</t>
        </is>
      </c>
      <c r="D3591" t="inlineStr">
        <is>
          <t>Bioderma</t>
        </is>
      </c>
      <c r="E3591" t="n">
        <v>8.039999999999999</v>
      </c>
      <c r="F3591" t="n">
        <v>1</v>
      </c>
      <c r="G3591" t="n">
        <v>8</v>
      </c>
      <c r="H3591" s="5">
        <f>HYPERLINK("https://api.qogita.com/variants/link/3401399694127/", "View Product")</f>
        <v/>
      </c>
    </row>
    <row r="3592">
      <c r="A3592" t="inlineStr">
        <is>
          <t>3401560969757</t>
        </is>
      </c>
      <c r="B3592" t="inlineStr">
        <is>
          <t>Bioderma Atoderm Intensive Foaming Gel Ultra Soothing Body Wash</t>
        </is>
      </c>
      <c r="C3592" t="inlineStr">
        <is>
          <t>Shower Gel</t>
        </is>
      </c>
      <c r="D3592" t="inlineStr">
        <is>
          <t>Bioderma</t>
        </is>
      </c>
      <c r="E3592" t="n">
        <v>11.69</v>
      </c>
      <c r="F3592" t="n">
        <v>1</v>
      </c>
      <c r="G3592" t="n">
        <v>5</v>
      </c>
      <c r="H3592" s="5">
        <f>HYPERLINK("https://api.qogita.com/variants/link/3401560969757/", "View Product")</f>
        <v/>
      </c>
    </row>
    <row r="3593">
      <c r="A3593" t="inlineStr">
        <is>
          <t>3401577940039</t>
        </is>
      </c>
      <c r="B3593" t="inlineStr">
        <is>
          <t>Bioderma Node K Keratoreducing Concentrate 100 Ml Conditioner Against Scalp</t>
        </is>
      </c>
      <c r="C3593" t="inlineStr">
        <is>
          <t>Conditioner</t>
        </is>
      </c>
      <c r="D3593" t="inlineStr">
        <is>
          <t>Bioderma</t>
        </is>
      </c>
      <c r="E3593" t="n">
        <v>11.23</v>
      </c>
      <c r="F3593" t="n">
        <v>1</v>
      </c>
      <c r="G3593" t="n">
        <v>3</v>
      </c>
      <c r="H3593" s="5">
        <f>HYPERLINK("https://api.qogita.com/variants/link/3401577940039/", "View Product")</f>
        <v/>
      </c>
    </row>
    <row r="3594">
      <c r="A3594" t="inlineStr">
        <is>
          <t>3401579333501</t>
        </is>
      </c>
      <c r="B3594" t="inlineStr">
        <is>
          <t>Bioderma G. Fluide Shampoo 400ml</t>
        </is>
      </c>
      <c r="C3594" t="inlineStr">
        <is>
          <t>Shampoo</t>
        </is>
      </c>
      <c r="D3594" t="inlineStr">
        <is>
          <t>Bioderma</t>
        </is>
      </c>
      <c r="E3594" t="n">
        <v>12.78</v>
      </c>
      <c r="F3594" t="n">
        <v>1</v>
      </c>
      <c r="G3594" t="n">
        <v>18</v>
      </c>
      <c r="H3594" s="5">
        <f>HYPERLINK("https://api.qogita.com/variants/link/3401579333501/", "View Product")</f>
        <v/>
      </c>
    </row>
    <row r="3595">
      <c r="A3595" t="inlineStr">
        <is>
          <t>3414200009935</t>
        </is>
      </c>
      <c r="B3595" t="inlineStr">
        <is>
          <t>Davidoff Cool Water Woman Shower Gel 150ml</t>
        </is>
      </c>
      <c r="C3595" t="inlineStr">
        <is>
          <t>Shower Gel</t>
        </is>
      </c>
      <c r="D3595" t="inlineStr">
        <is>
          <t>Davidoff</t>
        </is>
      </c>
      <c r="E3595" t="n">
        <v>9.06</v>
      </c>
      <c r="F3595" t="n">
        <v>1</v>
      </c>
      <c r="G3595" t="n">
        <v>5</v>
      </c>
      <c r="H3595" s="5">
        <f>HYPERLINK("https://api.qogita.com/variants/link/3414200009935/", "View Product")</f>
        <v/>
      </c>
    </row>
    <row r="3596">
      <c r="A3596" t="inlineStr">
        <is>
          <t>3414200542401</t>
        </is>
      </c>
      <c r="B3596" t="inlineStr">
        <is>
          <t>Lancaster Protective Toning Gel Spf 6 Sun Beauty Tan Deepener Jelly 200 Ml</t>
        </is>
      </c>
      <c r="C3596" t="inlineStr">
        <is>
          <t>Body Sun Protection</t>
        </is>
      </c>
      <c r="D3596" t="inlineStr">
        <is>
          <t>Lancaster</t>
        </is>
      </c>
      <c r="E3596" t="n">
        <v>22.9</v>
      </c>
      <c r="F3596" t="n">
        <v>1</v>
      </c>
      <c r="G3596" t="n">
        <v>39</v>
      </c>
      <c r="H3596" s="5">
        <f>HYPERLINK("https://api.qogita.com/variants/link/3414200542401/", "View Product")</f>
        <v/>
      </c>
    </row>
    <row r="3597">
      <c r="A3597" t="inlineStr">
        <is>
          <t>3414200802192</t>
        </is>
      </c>
      <c r="B3597" t="inlineStr">
        <is>
          <t>Jil Sander Sun Eau De Toilette For Men 75ml Spray</t>
        </is>
      </c>
      <c r="C3597" t="inlineStr">
        <is>
          <t>Eau De Toilette</t>
        </is>
      </c>
      <c r="D3597" t="inlineStr">
        <is>
          <t>Jil Sander</t>
        </is>
      </c>
      <c r="E3597" t="n">
        <v>16.65</v>
      </c>
      <c r="F3597" t="n">
        <v>1</v>
      </c>
      <c r="G3597" t="n">
        <v>49</v>
      </c>
      <c r="H3597" s="5">
        <f>HYPERLINK("https://api.qogita.com/variants/link/3414200802192/", "View Product")</f>
        <v/>
      </c>
    </row>
    <row r="3598">
      <c r="A3598" t="inlineStr">
        <is>
          <t>3414200908559</t>
        </is>
      </c>
      <c r="B3598" t="inlineStr">
        <is>
          <t>Davidoff Hot Water Eau De Toilette 60ml For Men</t>
        </is>
      </c>
      <c r="C3598" t="inlineStr">
        <is>
          <t>Eau De Toilette</t>
        </is>
      </c>
      <c r="D3598" t="inlineStr">
        <is>
          <t>Davidoff</t>
        </is>
      </c>
      <c r="E3598" t="n">
        <v>15.28</v>
      </c>
      <c r="F3598" t="n">
        <v>1</v>
      </c>
      <c r="G3598" t="n">
        <v>9</v>
      </c>
      <c r="H3598" s="5">
        <f>HYPERLINK("https://api.qogita.com/variants/link/3414200908559/", "View Product")</f>
        <v/>
      </c>
    </row>
    <row r="3599">
      <c r="A3599" t="inlineStr">
        <is>
          <t>3414202000312</t>
        </is>
      </c>
      <c r="B3599" t="inlineStr">
        <is>
          <t>Davidoff Cool Water Woman Body Lotion 150ml</t>
        </is>
      </c>
      <c r="C3599" t="inlineStr">
        <is>
          <t>Body Lotion</t>
        </is>
      </c>
      <c r="D3599" t="inlineStr">
        <is>
          <t>Davidoff</t>
        </is>
      </c>
      <c r="E3599" t="n">
        <v>7.34</v>
      </c>
      <c r="F3599" t="n">
        <v>1</v>
      </c>
      <c r="G3599" t="n">
        <v>10</v>
      </c>
      <c r="H3599" s="5">
        <f>HYPERLINK("https://api.qogita.com/variants/link/3414202000312/", "View Product")</f>
        <v/>
      </c>
    </row>
    <row r="3600">
      <c r="A3600" t="inlineStr">
        <is>
          <t>3414202000510</t>
        </is>
      </c>
      <c r="B3600" t="inlineStr">
        <is>
          <t>Davidoff Cool Water Eau De Toilette 40ml For Men</t>
        </is>
      </c>
      <c r="C3600" t="inlineStr">
        <is>
          <t>Eau De Toilette</t>
        </is>
      </c>
      <c r="D3600" t="inlineStr">
        <is>
          <t>Davidoff</t>
        </is>
      </c>
      <c r="E3600" t="n">
        <v>14.56</v>
      </c>
      <c r="F3600" t="n">
        <v>1</v>
      </c>
      <c r="G3600" t="n">
        <v>3</v>
      </c>
      <c r="H3600" s="5">
        <f>HYPERLINK("https://api.qogita.com/variants/link/3414202000510/", "View Product")</f>
        <v/>
      </c>
    </row>
    <row r="3601">
      <c r="A3601" t="inlineStr">
        <is>
          <t>3414202000565</t>
        </is>
      </c>
      <c r="B3601" t="inlineStr">
        <is>
          <t>Davidoff Cool Water Eau De Toilette 75ml For Men</t>
        </is>
      </c>
      <c r="C3601" t="inlineStr">
        <is>
          <t>Eau De Toilette</t>
        </is>
      </c>
      <c r="D3601" t="inlineStr">
        <is>
          <t>Davidoff</t>
        </is>
      </c>
      <c r="E3601" t="n">
        <v>17.06</v>
      </c>
      <c r="F3601" t="n">
        <v>1</v>
      </c>
      <c r="G3601" t="n">
        <v>390</v>
      </c>
      <c r="H3601" s="5">
        <f>HYPERLINK("https://api.qogita.com/variants/link/3414202000565/", "View Product")</f>
        <v/>
      </c>
    </row>
    <row r="3602">
      <c r="A3602" t="inlineStr">
        <is>
          <t>3414202000626</t>
        </is>
      </c>
      <c r="B3602" t="inlineStr">
        <is>
          <t>Davidoff Cool Water Men After Shave 75ml</t>
        </is>
      </c>
      <c r="C3602" t="inlineStr">
        <is>
          <t>Aftershave</t>
        </is>
      </c>
      <c r="D3602" t="inlineStr">
        <is>
          <t>Davidoff</t>
        </is>
      </c>
      <c r="E3602" t="n">
        <v>13.35</v>
      </c>
      <c r="F3602" t="n">
        <v>1</v>
      </c>
      <c r="G3602" t="n">
        <v>18</v>
      </c>
      <c r="H3602" s="5">
        <f>HYPERLINK("https://api.qogita.com/variants/link/3414202000626/", "View Product")</f>
        <v/>
      </c>
    </row>
    <row r="3603">
      <c r="A3603" t="inlineStr">
        <is>
          <t>3414202000664</t>
        </is>
      </c>
      <c r="B3603" t="inlineStr">
        <is>
          <t>Davidoff Cool Water After Shave 125ml</t>
        </is>
      </c>
      <c r="C3603" t="inlineStr">
        <is>
          <t>Aftershave</t>
        </is>
      </c>
      <c r="D3603" t="inlineStr">
        <is>
          <t>Davidoff</t>
        </is>
      </c>
      <c r="E3603" t="n">
        <v>14.47</v>
      </c>
      <c r="F3603" t="n">
        <v>1</v>
      </c>
      <c r="G3603" t="n">
        <v>83</v>
      </c>
      <c r="H3603" s="5">
        <f>HYPERLINK("https://api.qogita.com/variants/link/3414202000664/", "View Product")</f>
        <v/>
      </c>
    </row>
    <row r="3604">
      <c r="A3604" t="inlineStr">
        <is>
          <t>3414202011820</t>
        </is>
      </c>
      <c r="B3604" t="inlineStr">
        <is>
          <t>Davidoff Cool Water Woman Eau De Toilette Spray 30ml Women's Fragrance</t>
        </is>
      </c>
      <c r="C3604" t="inlineStr">
        <is>
          <t>Eau De Toilette</t>
        </is>
      </c>
      <c r="D3604" t="inlineStr">
        <is>
          <t>Davidoff</t>
        </is>
      </c>
      <c r="E3604" t="n">
        <v>12.05</v>
      </c>
      <c r="F3604" t="n">
        <v>1</v>
      </c>
      <c r="G3604" t="n">
        <v>6</v>
      </c>
      <c r="H3604" s="5">
        <f>HYPERLINK("https://api.qogita.com/variants/link/3414202011820/", "View Product")</f>
        <v/>
      </c>
    </row>
    <row r="3605">
      <c r="A3605" t="inlineStr">
        <is>
          <t>3414206000615</t>
        </is>
      </c>
      <c r="B3605" t="inlineStr">
        <is>
          <t>Joop! Homme After Shave Floral-Woody Men's Fragrance Relaxing and Caring</t>
        </is>
      </c>
      <c r="C3605" t="inlineStr">
        <is>
          <t>Aftershave</t>
        </is>
      </c>
      <c r="D3605" t="inlineStr">
        <is>
          <t>Joop!</t>
        </is>
      </c>
      <c r="E3605" t="n">
        <v>11.32</v>
      </c>
      <c r="F3605" t="n">
        <v>1</v>
      </c>
      <c r="G3605" t="n">
        <v>281</v>
      </c>
      <c r="H3605" s="5">
        <f>HYPERLINK("https://api.qogita.com/variants/link/3414206000615/", "View Product")</f>
        <v/>
      </c>
    </row>
    <row r="3606">
      <c r="A3606" t="inlineStr">
        <is>
          <t>3414206010423</t>
        </is>
      </c>
      <c r="B3606" t="inlineStr">
        <is>
          <t>Joop Joop Homme Eau De Toilette Spray 30ml For Men</t>
        </is>
      </c>
      <c r="C3606" t="inlineStr">
        <is>
          <t>Eau De Toilette</t>
        </is>
      </c>
      <c r="D3606" t="inlineStr">
        <is>
          <t>Joop!</t>
        </is>
      </c>
      <c r="E3606" t="n">
        <v>16.58</v>
      </c>
      <c r="F3606" t="n">
        <v>1</v>
      </c>
      <c r="G3606" t="n">
        <v>4</v>
      </c>
      <c r="H3606" s="5">
        <f>HYPERLINK("https://api.qogita.com/variants/link/3414206010423/", "View Product")</f>
        <v/>
      </c>
    </row>
    <row r="3607">
      <c r="A3607" t="inlineStr">
        <is>
          <t>3423222052409</t>
        </is>
      </c>
      <c r="B3607" t="inlineStr">
        <is>
          <t>Dolce Lily EDT Spray 30ml</t>
        </is>
      </c>
      <c r="C3607" t="inlineStr">
        <is>
          <t>Eau De Toilette</t>
        </is>
      </c>
      <c r="D3607" t="inlineStr">
        <is>
          <t>Dolce &amp; Gabbana</t>
        </is>
      </c>
      <c r="E3607" t="n">
        <v>30.7</v>
      </c>
      <c r="F3607" t="n">
        <v>1</v>
      </c>
      <c r="G3607" t="n">
        <v>15</v>
      </c>
      <c r="H3607" s="5">
        <f>HYPERLINK("https://api.qogita.com/variants/link/3423222052409/", "View Product")</f>
        <v/>
      </c>
    </row>
    <row r="3608">
      <c r="A3608" t="inlineStr">
        <is>
          <t>3423470476460</t>
        </is>
      </c>
      <c r="B3608" t="inlineStr">
        <is>
          <t>Jean Paul Gaultier Le Male Eau De Toilette Spray 40ml</t>
        </is>
      </c>
      <c r="C3608" t="inlineStr">
        <is>
          <t>Eau De Toilette</t>
        </is>
      </c>
      <c r="D3608" t="inlineStr">
        <is>
          <t>Jean-Paul Gaultier</t>
        </is>
      </c>
      <c r="E3608" t="n">
        <v>40.19</v>
      </c>
      <c r="F3608" t="n">
        <v>1</v>
      </c>
      <c r="G3608" t="n">
        <v>1</v>
      </c>
      <c r="H3608" s="5">
        <f>HYPERLINK("https://api.qogita.com/variants/link/3423470476460/", "View Product")</f>
        <v/>
      </c>
    </row>
    <row r="3609">
      <c r="A3609" t="inlineStr">
        <is>
          <t>3423473020837</t>
        </is>
      </c>
      <c r="B3609" t="inlineStr">
        <is>
          <t>Dolce &amp; Gabbana Pour Homme Intenso Eau De Parfum 40ml Men Spray</t>
        </is>
      </c>
      <c r="C3609" t="inlineStr">
        <is>
          <t>Eau De Parfum</t>
        </is>
      </c>
      <c r="D3609" t="inlineStr">
        <is>
          <t>Dolce &amp; Gabbana</t>
        </is>
      </c>
      <c r="E3609" t="n">
        <v>39.5</v>
      </c>
      <c r="F3609" t="n">
        <v>1</v>
      </c>
      <c r="G3609" t="n">
        <v>6</v>
      </c>
      <c r="H3609" s="5">
        <f>HYPERLINK("https://api.qogita.com/variants/link/3423473020837/", "View Product")</f>
        <v/>
      </c>
    </row>
    <row r="3610">
      <c r="A3610" t="inlineStr">
        <is>
          <t>3423473021223</t>
        </is>
      </c>
      <c r="B3610" t="inlineStr">
        <is>
          <t>Dolce &amp; Gabbana The One Men Eau De Toilette 30ml</t>
        </is>
      </c>
      <c r="C3610" t="inlineStr">
        <is>
          <t>Eau De Toilette</t>
        </is>
      </c>
      <c r="D3610" t="inlineStr">
        <is>
          <t>Dolce &amp; Gabbana</t>
        </is>
      </c>
      <c r="E3610" t="n">
        <v>34.42</v>
      </c>
      <c r="F3610" t="n">
        <v>1</v>
      </c>
      <c r="G3610" t="n">
        <v>4</v>
      </c>
      <c r="H3610" s="5">
        <f>HYPERLINK("https://api.qogita.com/variants/link/3423473021223/", "View Product")</f>
        <v/>
      </c>
    </row>
    <row r="3611">
      <c r="A3611" t="inlineStr">
        <is>
          <t>3423473102052</t>
        </is>
      </c>
      <c r="B3611" t="inlineStr">
        <is>
          <t>Definer Eyeshadow Brush (Eye Brush)</t>
        </is>
      </c>
      <c r="C3611" t="inlineStr">
        <is>
          <t>Eyeshadow Brushes</t>
        </is>
      </c>
      <c r="D3611" t="inlineStr">
        <is>
          <t>Dolce &amp; Gabbana</t>
        </is>
      </c>
      <c r="E3611" t="n">
        <v>24.26</v>
      </c>
      <c r="F3611" t="n">
        <v>1</v>
      </c>
      <c r="G3611" t="n">
        <v>5</v>
      </c>
      <c r="H3611" s="5">
        <f>HYPERLINK("https://api.qogita.com/variants/link/3423473102052/", "View Product")</f>
        <v/>
      </c>
    </row>
    <row r="3612">
      <c r="A3612" t="inlineStr">
        <is>
          <t>3432240005649</t>
        </is>
      </c>
      <c r="B3612" t="inlineStr">
        <is>
          <t>Must De Cartier 3.4 oz EDT Spray For Women</t>
        </is>
      </c>
      <c r="C3612" t="inlineStr">
        <is>
          <t>Eau De Toilette</t>
        </is>
      </c>
      <c r="D3612" t="inlineStr">
        <is>
          <t>Cartier</t>
        </is>
      </c>
      <c r="E3612" t="n">
        <v>85.65000000000001</v>
      </c>
      <c r="F3612" t="n">
        <v>1</v>
      </c>
      <c r="G3612" t="n">
        <v>42</v>
      </c>
      <c r="H3612" s="5">
        <f>HYPERLINK("https://api.qogita.com/variants/link/3432240005649/", "View Product")</f>
        <v/>
      </c>
    </row>
    <row r="3613">
      <c r="A3613" t="inlineStr">
        <is>
          <t>3432240504692</t>
        </is>
      </c>
      <c r="B3613" t="inlineStr">
        <is>
          <t>Cartier Rivieres De Cartier Allegresse Eau De Toilette 3.3/3.4 Oz 100ml Spray</t>
        </is>
      </c>
      <c r="C3613" t="inlineStr">
        <is>
          <t>Eau De Toilette</t>
        </is>
      </c>
      <c r="D3613" t="inlineStr">
        <is>
          <t>Cartier</t>
        </is>
      </c>
      <c r="E3613" t="n">
        <v>68.66</v>
      </c>
      <c r="F3613" t="n">
        <v>1</v>
      </c>
      <c r="G3613" t="n">
        <v>2</v>
      </c>
      <c r="H3613" s="5">
        <f>HYPERLINK("https://api.qogita.com/variants/link/3432240504692/", "View Product")</f>
        <v/>
      </c>
    </row>
    <row r="3614">
      <c r="A3614" t="inlineStr">
        <is>
          <t>3432240504807</t>
        </is>
      </c>
      <c r="B3614" t="inlineStr">
        <is>
          <t>Cartier Rivieres De Cartier Insouciance Eau De Toilette Spray 100ml</t>
        </is>
      </c>
      <c r="C3614" t="inlineStr">
        <is>
          <t>Eau De Toilette</t>
        </is>
      </c>
      <c r="D3614" t="inlineStr">
        <is>
          <t>Cartier</t>
        </is>
      </c>
      <c r="E3614" t="n">
        <v>53.78</v>
      </c>
      <c r="F3614" t="n">
        <v>1</v>
      </c>
      <c r="G3614" t="n">
        <v>10</v>
      </c>
      <c r="H3614" s="5">
        <f>HYPERLINK("https://api.qogita.com/variants/link/3432240504807/", "View Product")</f>
        <v/>
      </c>
    </row>
    <row r="3615">
      <c r="A3615" t="inlineStr">
        <is>
          <t>3432240505903</t>
        </is>
      </c>
      <c r="B3615" t="inlineStr">
        <is>
          <t>Baiser Vole by Cartier for Women 1.6 Oz Parfum Spray</t>
        </is>
      </c>
      <c r="C3615" t="inlineStr">
        <is>
          <t>Eau De Parfum</t>
        </is>
      </c>
      <c r="D3615" t="inlineStr">
        <is>
          <t>Cartier</t>
        </is>
      </c>
      <c r="E3615" t="n">
        <v>58.62</v>
      </c>
      <c r="F3615" t="n">
        <v>1</v>
      </c>
      <c r="G3615" t="n">
        <v>18</v>
      </c>
      <c r="H3615" s="5">
        <f>HYPERLINK("https://api.qogita.com/variants/link/3432240505903/", "View Product")</f>
        <v/>
      </c>
    </row>
    <row r="3616">
      <c r="A3616" t="inlineStr">
        <is>
          <t>3432240506214</t>
        </is>
      </c>
      <c r="B3616" t="inlineStr">
        <is>
          <t>Cartier Pasha De Cartier Edition Noire Sport Eau De Toilette Spray 100ml</t>
        </is>
      </c>
      <c r="C3616" t="inlineStr">
        <is>
          <t>Eau De Toilette</t>
        </is>
      </c>
      <c r="D3616" t="inlineStr">
        <is>
          <t>Cartier</t>
        </is>
      </c>
      <c r="E3616" t="n">
        <v>64.62</v>
      </c>
      <c r="F3616" t="n">
        <v>1</v>
      </c>
      <c r="G3616" t="n">
        <v>10</v>
      </c>
      <c r="H3616" s="5">
        <f>HYPERLINK("https://api.qogita.com/variants/link/3432240506214/", "View Product")</f>
        <v/>
      </c>
    </row>
    <row r="3617">
      <c r="A3617" t="inlineStr">
        <is>
          <t>3432240506238</t>
        </is>
      </c>
      <c r="B3617" t="inlineStr">
        <is>
          <t>Cartier Pasha De Cartier Edition Noire Eau De Toilette Spray 150ml</t>
        </is>
      </c>
      <c r="C3617" t="inlineStr">
        <is>
          <t>Eau De Toilette</t>
        </is>
      </c>
      <c r="D3617" t="inlineStr">
        <is>
          <t>Cartier</t>
        </is>
      </c>
      <c r="E3617" t="n">
        <v>76.28</v>
      </c>
      <c r="F3617" t="n">
        <v>1</v>
      </c>
      <c r="G3617" t="n">
        <v>45</v>
      </c>
      <c r="H3617" s="5">
        <f>HYPERLINK("https://api.qogita.com/variants/link/3432240506238/", "View Product")</f>
        <v/>
      </c>
    </row>
    <row r="3618">
      <c r="A3618" t="inlineStr">
        <is>
          <t>3432240506245</t>
        </is>
      </c>
      <c r="B3618" t="inlineStr">
        <is>
          <t>Cartier Pasha De Cartier Edition Noire Eau De Toilette Spray 50ml</t>
        </is>
      </c>
      <c r="C3618" t="inlineStr">
        <is>
          <t>Eau De Toilette</t>
        </is>
      </c>
      <c r="D3618" t="inlineStr">
        <is>
          <t>Cartier</t>
        </is>
      </c>
      <c r="E3618" t="n">
        <v>48</v>
      </c>
      <c r="F3618" t="n">
        <v>1</v>
      </c>
      <c r="G3618" t="n">
        <v>20</v>
      </c>
      <c r="H3618" s="5">
        <f>HYPERLINK("https://api.qogita.com/variants/link/3432240506245/", "View Product")</f>
        <v/>
      </c>
    </row>
    <row r="3619">
      <c r="A3619" t="inlineStr">
        <is>
          <t>3432240506580</t>
        </is>
      </c>
      <c r="B3619" t="inlineStr">
        <is>
          <t>Cartier La Panthere Parfum 50ml</t>
        </is>
      </c>
      <c r="C3619" t="inlineStr">
        <is>
          <t>Eau De Parfum</t>
        </is>
      </c>
      <c r="D3619" t="inlineStr">
        <is>
          <t>Cartier</t>
        </is>
      </c>
      <c r="E3619" t="n">
        <v>72.38</v>
      </c>
      <c r="F3619" t="n">
        <v>1</v>
      </c>
      <c r="G3619" t="n">
        <v>10</v>
      </c>
      <c r="H3619" s="5">
        <f>HYPERLINK("https://api.qogita.com/variants/link/3432240506580/", "View Product")</f>
        <v/>
      </c>
    </row>
    <row r="3620">
      <c r="A3620" t="inlineStr">
        <is>
          <t>3432240506597</t>
        </is>
      </c>
      <c r="B3620" t="inlineStr">
        <is>
          <t>Cartier La Panthere Parfum 100 Ml</t>
        </is>
      </c>
      <c r="C3620" t="inlineStr">
        <is>
          <t>Eau De Parfum</t>
        </is>
      </c>
      <c r="D3620" t="inlineStr">
        <is>
          <t>Cartier</t>
        </is>
      </c>
      <c r="E3620" t="n">
        <v>100.12</v>
      </c>
      <c r="F3620" t="n">
        <v>1</v>
      </c>
      <c r="G3620" t="n">
        <v>6</v>
      </c>
      <c r="H3620" s="5">
        <f>HYPERLINK("https://api.qogita.com/variants/link/3432240506597/", "View Product")</f>
        <v/>
      </c>
    </row>
    <row r="3621">
      <c r="A3621" t="inlineStr">
        <is>
          <t>3432240506603</t>
        </is>
      </c>
      <c r="B3621" t="inlineStr">
        <is>
          <t>Cartier La Panthere Eau De Toilette</t>
        </is>
      </c>
      <c r="C3621" t="inlineStr">
        <is>
          <t>Eau De Toilette</t>
        </is>
      </c>
      <c r="D3621" t="inlineStr">
        <is>
          <t>Cartier</t>
        </is>
      </c>
      <c r="E3621" t="n">
        <v>49.3</v>
      </c>
      <c r="F3621" t="n">
        <v>1</v>
      </c>
      <c r="G3621" t="n">
        <v>15</v>
      </c>
      <c r="H3621" s="5">
        <f>HYPERLINK("https://api.qogita.com/variants/link/3432240506603/", "View Product")</f>
        <v/>
      </c>
    </row>
    <row r="3622">
      <c r="A3622" t="inlineStr">
        <is>
          <t>3432240506641</t>
        </is>
      </c>
      <c r="B3622" t="inlineStr">
        <is>
          <t>Cartier La Panthere Eau De Parfum 100ml</t>
        </is>
      </c>
      <c r="C3622" t="inlineStr">
        <is>
          <t>Eau De Parfum</t>
        </is>
      </c>
      <c r="D3622" t="inlineStr">
        <is>
          <t>Cartier</t>
        </is>
      </c>
      <c r="E3622" t="n">
        <v>88.05</v>
      </c>
      <c r="F3622" t="n">
        <v>1</v>
      </c>
      <c r="G3622" t="n">
        <v>405</v>
      </c>
      <c r="H3622" s="5">
        <f>HYPERLINK("https://api.qogita.com/variants/link/3432240506641/", "View Product")</f>
        <v/>
      </c>
    </row>
    <row r="3623">
      <c r="A3623" t="inlineStr">
        <is>
          <t>3432240506726</t>
        </is>
      </c>
      <c r="B3623" t="inlineStr">
        <is>
          <t>Cartier Declaration For Men Parfum 100ml By Cartier</t>
        </is>
      </c>
      <c r="C3623" t="inlineStr">
        <is>
          <t>Eau De Parfum</t>
        </is>
      </c>
      <c r="D3623" t="inlineStr">
        <is>
          <t>Cartier</t>
        </is>
      </c>
      <c r="E3623" t="n">
        <v>80.43000000000001</v>
      </c>
      <c r="F3623" t="n">
        <v>1</v>
      </c>
      <c r="G3623" t="n">
        <v>86</v>
      </c>
      <c r="H3623" s="5">
        <f>HYPERLINK("https://api.qogita.com/variants/link/3432240506726/", "View Product")</f>
        <v/>
      </c>
    </row>
    <row r="3624">
      <c r="A3624" t="inlineStr">
        <is>
          <t>3432240507129</t>
        </is>
      </c>
      <c r="B3624" t="inlineStr">
        <is>
          <t>Cartier Pasha De Cartier Noir Absolu Perfume Spray 100ml</t>
        </is>
      </c>
      <c r="C3624" t="inlineStr">
        <is>
          <t>Eau De Parfum</t>
        </is>
      </c>
      <c r="D3624" t="inlineStr">
        <is>
          <t>Cartier</t>
        </is>
      </c>
      <c r="E3624" t="n">
        <v>83.69</v>
      </c>
      <c r="F3624" t="n">
        <v>1</v>
      </c>
      <c r="G3624" t="n">
        <v>10</v>
      </c>
      <c r="H3624" s="5">
        <f>HYPERLINK("https://api.qogita.com/variants/link/3432240507129/", "View Product")</f>
        <v/>
      </c>
    </row>
    <row r="3625">
      <c r="A3625" t="inlineStr">
        <is>
          <t>3432240507136</t>
        </is>
      </c>
      <c r="B3625" t="inlineStr">
        <is>
          <t>Cartier Pasha De Cartier Noir Absolu Eau De Parfum Spray 50ml</t>
        </is>
      </c>
      <c r="C3625" t="inlineStr">
        <is>
          <t>Eau De Parfum</t>
        </is>
      </c>
      <c r="D3625" t="inlineStr">
        <is>
          <t>Cartier</t>
        </is>
      </c>
      <c r="E3625" t="n">
        <v>61.08</v>
      </c>
      <c r="F3625" t="n">
        <v>1</v>
      </c>
      <c r="G3625" t="n">
        <v>16</v>
      </c>
      <c r="H3625" s="5">
        <f>HYPERLINK("https://api.qogita.com/variants/link/3432240507136/", "View Product")</f>
        <v/>
      </c>
    </row>
    <row r="3626">
      <c r="A3626" t="inlineStr">
        <is>
          <t>3433425000640</t>
        </is>
      </c>
      <c r="B3626" t="inlineStr">
        <is>
          <t>Vichy Set Of Deodorant Balls For Sensitive Skin Homme 72h 2 X 50 Ml</t>
        </is>
      </c>
      <c r="C3626" t="inlineStr">
        <is>
          <t>Deodorant &amp; Anti-Perspirant</t>
        </is>
      </c>
      <c r="D3626" t="inlineStr">
        <is>
          <t>Vichy</t>
        </is>
      </c>
      <c r="E3626" t="n">
        <v>19.33</v>
      </c>
      <c r="F3626" t="n">
        <v>1</v>
      </c>
      <c r="G3626" t="n">
        <v>32</v>
      </c>
      <c r="H3626" s="5">
        <f>HYPERLINK("https://api.qogita.com/variants/link/3433425000640/", "View Product")</f>
        <v/>
      </c>
    </row>
    <row r="3627">
      <c r="A3627" t="inlineStr">
        <is>
          <t>3433425473222</t>
        </is>
      </c>
      <c r="B3627" t="inlineStr">
        <is>
          <t>Cerave Hydrating Set For Normal To Dry Skin</t>
        </is>
      </c>
      <c r="C3627" t="inlineStr">
        <is>
          <t>Facial Care Sets</t>
        </is>
      </c>
      <c r="D3627" t="inlineStr">
        <is>
          <t>CeraVe</t>
        </is>
      </c>
      <c r="E3627" t="n">
        <v>18.1</v>
      </c>
      <c r="F3627" t="n">
        <v>1</v>
      </c>
      <c r="G3627" t="n">
        <v>23</v>
      </c>
      <c r="H3627" s="5">
        <f>HYPERLINK("https://api.qogita.com/variants/link/3433425473222/", "View Product")</f>
        <v/>
      </c>
    </row>
    <row r="3628">
      <c r="A3628" t="inlineStr">
        <is>
          <t>3433425473260</t>
        </is>
      </c>
      <c r="B3628" t="inlineStr">
        <is>
          <t>Cerave Moisturising Set For Normal To Dry Skin</t>
        </is>
      </c>
      <c r="C3628" t="inlineStr">
        <is>
          <t>Face</t>
        </is>
      </c>
      <c r="D3628" t="inlineStr">
        <is>
          <t>CeraVe</t>
        </is>
      </c>
      <c r="E3628" t="n">
        <v>15.75</v>
      </c>
      <c r="F3628" t="n">
        <v>1</v>
      </c>
      <c r="G3628" t="n">
        <v>8</v>
      </c>
      <c r="H3628" s="5">
        <f>HYPERLINK("https://api.qogita.com/variants/link/3433425473260/", "View Product")</f>
        <v/>
      </c>
    </row>
    <row r="3629">
      <c r="A3629" t="inlineStr">
        <is>
          <t>3434730737337</t>
        </is>
      </c>
      <c r="B3629" t="inlineStr">
        <is>
          <t>Alyssa Ashley Musk Deodorant Roll-On 50ml</t>
        </is>
      </c>
      <c r="C3629" t="inlineStr">
        <is>
          <t>Deodorant &amp; Anti-Perspirant</t>
        </is>
      </c>
      <c r="D3629" t="inlineStr">
        <is>
          <t>Alyssa Ashley</t>
        </is>
      </c>
      <c r="E3629" t="n">
        <v>6.69</v>
      </c>
      <c r="F3629" t="n">
        <v>1</v>
      </c>
      <c r="G3629" t="n">
        <v>3</v>
      </c>
      <c r="H3629" s="5">
        <f>HYPERLINK("https://api.qogita.com/variants/link/3434730737337/", "View Product")</f>
        <v/>
      </c>
    </row>
    <row r="3630">
      <c r="A3630" t="inlineStr">
        <is>
          <t>3434730777036</t>
        </is>
      </c>
      <c r="B3630" t="inlineStr">
        <is>
          <t>Alyssa Ashley Vanilla Hand/Body Lotion 500ml</t>
        </is>
      </c>
      <c r="C3630" t="inlineStr">
        <is>
          <t>Body Lotion</t>
        </is>
      </c>
      <c r="D3630" t="inlineStr">
        <is>
          <t>Alyssa Ashley</t>
        </is>
      </c>
      <c r="E3630" t="n">
        <v>9.57</v>
      </c>
      <c r="F3630" t="n">
        <v>1</v>
      </c>
      <c r="G3630" t="n">
        <v>6</v>
      </c>
      <c r="H3630" s="5">
        <f>HYPERLINK("https://api.qogita.com/variants/link/3434730777036/", "View Product")</f>
        <v/>
      </c>
    </row>
    <row r="3631">
      <c r="A3631" t="inlineStr">
        <is>
          <t>3439600048162</t>
        </is>
      </c>
      <c r="B3631" t="inlineStr">
        <is>
          <t>Thierry Mugler Angel Eau De Toilette 100ml Women Spray</t>
        </is>
      </c>
      <c r="C3631" t="inlineStr">
        <is>
          <t>Eau De Toilette</t>
        </is>
      </c>
      <c r="D3631" t="inlineStr">
        <is>
          <t>Thierry Mugler</t>
        </is>
      </c>
      <c r="E3631" t="n">
        <v>47.7</v>
      </c>
      <c r="F3631" t="n">
        <v>1</v>
      </c>
      <c r="G3631" t="n">
        <v>39</v>
      </c>
      <c r="H3631" s="5">
        <f>HYPERLINK("https://api.qogita.com/variants/link/3439600048162/", "View Product")</f>
        <v/>
      </c>
    </row>
    <row r="3632">
      <c r="A3632" t="inlineStr">
        <is>
          <t>3439600049855</t>
        </is>
      </c>
      <c r="B3632" t="inlineStr">
        <is>
          <t>Thierry Mugler Angel Nova Eau De Parfum 50ml Refillable Spray</t>
        </is>
      </c>
      <c r="C3632" t="inlineStr">
        <is>
          <t>Eau De Parfum</t>
        </is>
      </c>
      <c r="D3632" t="inlineStr">
        <is>
          <t>Thierry Mugler</t>
        </is>
      </c>
      <c r="E3632" t="n">
        <v>59.49</v>
      </c>
      <c r="F3632" t="n">
        <v>1</v>
      </c>
      <c r="G3632" t="n">
        <v>23</v>
      </c>
      <c r="H3632" s="5">
        <f>HYPERLINK("https://api.qogita.com/variants/link/3439600049855/", "View Product")</f>
        <v/>
      </c>
    </row>
    <row r="3633">
      <c r="A3633" t="inlineStr">
        <is>
          <t>3439600055740</t>
        </is>
      </c>
      <c r="B3633" t="inlineStr">
        <is>
          <t>Thierry Mugler A Men Eau De Toilette Spray 50ml</t>
        </is>
      </c>
      <c r="C3633" t="inlineStr">
        <is>
          <t>Eau De Toilette</t>
        </is>
      </c>
      <c r="D3633" t="inlineStr">
        <is>
          <t>Thierry Mugler</t>
        </is>
      </c>
      <c r="E3633" t="n">
        <v>39.29</v>
      </c>
      <c r="F3633" t="n">
        <v>1</v>
      </c>
      <c r="G3633" t="n">
        <v>60</v>
      </c>
      <c r="H3633" s="5">
        <f>HYPERLINK("https://api.qogita.com/variants/link/3439600055740/", "View Product")</f>
        <v/>
      </c>
    </row>
    <row r="3634">
      <c r="A3634" t="inlineStr">
        <is>
          <t>3439600056181</t>
        </is>
      </c>
      <c r="B3634" t="inlineStr">
        <is>
          <t>Thierry Mugler Alien Eau De Toilette 60 Ml Women's Spray</t>
        </is>
      </c>
      <c r="C3634" t="inlineStr">
        <is>
          <t>Eau De Toilette</t>
        </is>
      </c>
      <c r="D3634" t="inlineStr">
        <is>
          <t>Thierry Mugler</t>
        </is>
      </c>
      <c r="E3634" t="n">
        <v>45.52</v>
      </c>
      <c r="F3634" t="n">
        <v>1</v>
      </c>
      <c r="G3634" t="n">
        <v>51</v>
      </c>
      <c r="H3634" s="5">
        <f>HYPERLINK("https://api.qogita.com/variants/link/3439600056181/", "View Product")</f>
        <v/>
      </c>
    </row>
    <row r="3635">
      <c r="A3635" t="inlineStr">
        <is>
          <t>3439600056655</t>
        </is>
      </c>
      <c r="B3635" t="inlineStr">
        <is>
          <t>Thierry Mugler Angel Eau De Parfum 100ml</t>
        </is>
      </c>
      <c r="C3635" t="inlineStr">
        <is>
          <t>Eau De Parfum</t>
        </is>
      </c>
      <c r="D3635" t="inlineStr">
        <is>
          <t>Thierry Mugler</t>
        </is>
      </c>
      <c r="E3635" t="n">
        <v>71.31</v>
      </c>
      <c r="F3635" t="n">
        <v>1</v>
      </c>
      <c r="G3635" t="n">
        <v>245</v>
      </c>
      <c r="H3635" s="5">
        <f>HYPERLINK("https://api.qogita.com/variants/link/3439600056655/", "View Product")</f>
        <v/>
      </c>
    </row>
    <row r="3636">
      <c r="A3636" t="inlineStr">
        <is>
          <t>3439600056914</t>
        </is>
      </c>
      <c r="B3636" t="inlineStr">
        <is>
          <t>Thierry Mugler Alien Eau De Parfum Refillable 30ml</t>
        </is>
      </c>
      <c r="C3636" t="inlineStr">
        <is>
          <t>Eau De Parfum</t>
        </is>
      </c>
      <c r="D3636" t="inlineStr">
        <is>
          <t>Thierry Mugler</t>
        </is>
      </c>
      <c r="E3636" t="n">
        <v>43.23</v>
      </c>
      <c r="F3636" t="n">
        <v>1</v>
      </c>
      <c r="G3636" t="n">
        <v>423</v>
      </c>
      <c r="H3636" s="5">
        <f>HYPERLINK("https://api.qogita.com/variants/link/3439600056914/", "View Product")</f>
        <v/>
      </c>
    </row>
    <row r="3637">
      <c r="A3637" t="inlineStr">
        <is>
          <t>3439601204611</t>
        </is>
      </c>
      <c r="B3637" t="inlineStr">
        <is>
          <t>Thierry Mugler Alien Goddess Eau De Parfum Spray 60ml For Women</t>
        </is>
      </c>
      <c r="C3637" t="inlineStr">
        <is>
          <t>Eau De Parfum</t>
        </is>
      </c>
      <c r="D3637" t="inlineStr">
        <is>
          <t>Thierry Mugler</t>
        </is>
      </c>
      <c r="E3637" t="n">
        <v>52.45</v>
      </c>
      <c r="F3637" t="n">
        <v>1</v>
      </c>
      <c r="G3637" t="n">
        <v>3</v>
      </c>
      <c r="H3637" s="5">
        <f>HYPERLINK("https://api.qogita.com/variants/link/3439601204611/", "View Product")</f>
        <v/>
      </c>
    </row>
    <row r="3638">
      <c r="A3638" t="inlineStr">
        <is>
          <t>3439669480057</t>
        </is>
      </c>
      <c r="B3638" t="inlineStr">
        <is>
          <t>Parfum De Peau by Montana Eau de Toilette Spray 30ml</t>
        </is>
      </c>
      <c r="C3638" t="inlineStr">
        <is>
          <t>Eau De Toilette</t>
        </is>
      </c>
      <c r="D3638" t="inlineStr">
        <is>
          <t>Montana</t>
        </is>
      </c>
      <c r="E3638" t="n">
        <v>10.7</v>
      </c>
      <c r="F3638" t="n">
        <v>1</v>
      </c>
      <c r="G3638" t="n">
        <v>3</v>
      </c>
      <c r="H3638" s="5">
        <f>HYPERLINK("https://api.qogita.com/variants/link/3439669480057/", "View Product")</f>
        <v/>
      </c>
    </row>
    <row r="3639">
      <c r="A3639" t="inlineStr">
        <is>
          <t>3454960007468</t>
        </is>
      </c>
      <c r="B3639" t="inlineStr">
        <is>
          <t>Lalique Pour Homme Lion Eau De Parfum 125ml For Men</t>
        </is>
      </c>
      <c r="C3639" t="inlineStr">
        <is>
          <t>Eau De Parfum</t>
        </is>
      </c>
      <c r="D3639" t="inlineStr">
        <is>
          <t>Lalique</t>
        </is>
      </c>
      <c r="E3639" t="n">
        <v>25.41</v>
      </c>
      <c r="F3639" t="n">
        <v>1</v>
      </c>
      <c r="G3639" t="n">
        <v>4</v>
      </c>
      <c r="H3639" s="5">
        <f>HYPERLINK("https://api.qogita.com/variants/link/3454960007468/", "View Product")</f>
        <v/>
      </c>
    </row>
    <row r="3640">
      <c r="A3640" t="inlineStr">
        <is>
          <t>3454960014664</t>
        </is>
      </c>
      <c r="B3640" t="inlineStr">
        <is>
          <t>Lalique Lalique De Lalique Eau De Parfum Spray 100ml</t>
        </is>
      </c>
      <c r="C3640" t="inlineStr">
        <is>
          <t>Eau De Parfum</t>
        </is>
      </c>
      <c r="D3640" t="inlineStr">
        <is>
          <t>Lalique</t>
        </is>
      </c>
      <c r="E3640" t="n">
        <v>21.8</v>
      </c>
      <c r="F3640" t="n">
        <v>1</v>
      </c>
      <c r="G3640" t="n">
        <v>30</v>
      </c>
      <c r="H3640" s="5">
        <f>HYPERLINK("https://api.qogita.com/variants/link/3454960014664/", "View Product")</f>
        <v/>
      </c>
    </row>
    <row r="3641">
      <c r="A3641" t="inlineStr">
        <is>
          <t>3454960022522</t>
        </is>
      </c>
      <c r="B3641" t="inlineStr">
        <is>
          <t>Lalique Encre Noire Eau De Toilette Spray 100ml For Men</t>
        </is>
      </c>
      <c r="C3641" t="inlineStr">
        <is>
          <t>Eau De Toilette</t>
        </is>
      </c>
      <c r="D3641" t="inlineStr">
        <is>
          <t>Lalique</t>
        </is>
      </c>
      <c r="E3641" t="n">
        <v>19.36</v>
      </c>
      <c r="F3641" t="n">
        <v>1</v>
      </c>
      <c r="G3641" t="n">
        <v>808</v>
      </c>
      <c r="H3641" s="5">
        <f>HYPERLINK("https://api.qogita.com/variants/link/3454960022522/", "View Product")</f>
        <v/>
      </c>
    </row>
    <row r="3642">
      <c r="A3642" t="inlineStr">
        <is>
          <t>3454960023284</t>
        </is>
      </c>
      <c r="B3642" t="inlineStr">
        <is>
          <t>Lalique Amethyst Eau De Parfum Spray 100ml</t>
        </is>
      </c>
      <c r="C3642" t="inlineStr">
        <is>
          <t>Eau De Parfum</t>
        </is>
      </c>
      <c r="D3642" t="inlineStr">
        <is>
          <t>Lalique</t>
        </is>
      </c>
      <c r="E3642" t="n">
        <v>22.96</v>
      </c>
      <c r="F3642" t="n">
        <v>1</v>
      </c>
      <c r="G3642" t="n">
        <v>119</v>
      </c>
      <c r="H3642" s="5">
        <f>HYPERLINK("https://api.qogita.com/variants/link/3454960023284/", "View Product")</f>
        <v/>
      </c>
    </row>
    <row r="3643">
      <c r="A3643" t="inlineStr">
        <is>
          <t>3461020012591</t>
        </is>
      </c>
      <c r="B3643" t="inlineStr">
        <is>
          <t>Institut Esthederm Lift &amp; Repair Instant Plumping Mask 50ml</t>
        </is>
      </c>
      <c r="C3643" t="inlineStr">
        <is>
          <t>Anti-Aging Mask</t>
        </is>
      </c>
      <c r="D3643" t="inlineStr">
        <is>
          <t>Institut Esthederm</t>
        </is>
      </c>
      <c r="E3643" t="n">
        <v>45.6</v>
      </c>
      <c r="F3643" t="n">
        <v>1</v>
      </c>
      <c r="G3643" t="n">
        <v>3</v>
      </c>
      <c r="H3643" s="5">
        <f>HYPERLINK("https://api.qogita.com/variants/link/3461020012591/", "View Product")</f>
        <v/>
      </c>
    </row>
    <row r="3644">
      <c r="A3644" t="inlineStr">
        <is>
          <t>3473311215000</t>
        </is>
      </c>
      <c r="B3644" t="inlineStr">
        <is>
          <t>Sisley Restorative Facial Cream with Shea Butter 40ml / 1.4oz</t>
        </is>
      </c>
      <c r="C3644" t="inlineStr">
        <is>
          <t>Face Cream</t>
        </is>
      </c>
      <c r="D3644" t="inlineStr">
        <is>
          <t>Sisley-Paris</t>
        </is>
      </c>
      <c r="E3644" t="n">
        <v>86.56999999999999</v>
      </c>
      <c r="F3644" t="n">
        <v>1</v>
      </c>
      <c r="G3644" t="n">
        <v>3</v>
      </c>
      <c r="H3644" s="5">
        <f>HYPERLINK("https://api.qogita.com/variants/link/3473311215000/", "View Product")</f>
        <v/>
      </c>
    </row>
    <row r="3645">
      <c r="A3645" t="inlineStr">
        <is>
          <t>3473311235008</t>
        </is>
      </c>
      <c r="B3645" t="inlineStr">
        <is>
          <t>Sisley Botanical Gentle Facial Buffing Cream 40ml Cleansing Peeling For All Skin Types</t>
        </is>
      </c>
      <c r="C3645" t="inlineStr">
        <is>
          <t>Facial Scrub &amp; Peeling</t>
        </is>
      </c>
      <c r="D3645" t="inlineStr">
        <is>
          <t>Sisley</t>
        </is>
      </c>
      <c r="E3645" t="n">
        <v>47.16</v>
      </c>
      <c r="F3645" t="n">
        <v>1</v>
      </c>
      <c r="G3645" t="n">
        <v>8</v>
      </c>
      <c r="H3645" s="5">
        <f>HYPERLINK("https://api.qogita.com/variants/link/3473311235008/", "View Product")</f>
        <v/>
      </c>
    </row>
    <row r="3646">
      <c r="A3646" t="inlineStr">
        <is>
          <t>3473311503107</t>
        </is>
      </c>
      <c r="B3646" t="inlineStr">
        <is>
          <t>Sisley Sisleya L'Integral Antiage Concentrated Antiwrinkle Serum 30 Ml</t>
        </is>
      </c>
      <c r="C3646" t="inlineStr">
        <is>
          <t>Anti-Aging Serum</t>
        </is>
      </c>
      <c r="D3646" t="inlineStr">
        <is>
          <t>Sisley</t>
        </is>
      </c>
      <c r="E3646" t="n">
        <v>263.39</v>
      </c>
      <c r="F3646" t="n">
        <v>1</v>
      </c>
      <c r="G3646" t="n">
        <v>3</v>
      </c>
      <c r="H3646" s="5">
        <f>HYPERLINK("https://api.qogita.com/variants/link/3473311503107/", "View Product")</f>
        <v/>
      </c>
    </row>
    <row r="3647">
      <c r="A3647" t="inlineStr">
        <is>
          <t>3473311514103</t>
        </is>
      </c>
      <c r="B3647" t="inlineStr">
        <is>
          <t>Sisley Sisleya L'Integral Anti-Age Hand Care Anti-Aging Concentrate Hand Cream 75ml</t>
        </is>
      </c>
      <c r="C3647" t="inlineStr">
        <is>
          <t>Hand Cream</t>
        </is>
      </c>
      <c r="D3647" t="inlineStr">
        <is>
          <t>Sisley</t>
        </is>
      </c>
      <c r="E3647" t="n">
        <v>85.01000000000001</v>
      </c>
      <c r="F3647" t="n">
        <v>1</v>
      </c>
      <c r="G3647" t="n">
        <v>2</v>
      </c>
      <c r="H3647" s="5">
        <f>HYPERLINK("https://api.qogita.com/variants/link/3473311514103/", "View Product")</f>
        <v/>
      </c>
    </row>
    <row r="3648">
      <c r="A3648" t="inlineStr">
        <is>
          <t>3473311615220</t>
        </is>
      </c>
      <c r="B3648" t="inlineStr">
        <is>
          <t>Sisley Phyto Cernes Clat Eye Concealer 15 Ml</t>
        </is>
      </c>
      <c r="C3648" t="inlineStr">
        <is>
          <t>Concealer</t>
        </is>
      </c>
      <c r="D3648" t="inlineStr">
        <is>
          <t>Sisley</t>
        </is>
      </c>
      <c r="E3648" t="n">
        <v>57.09</v>
      </c>
      <c r="F3648" t="n">
        <v>1</v>
      </c>
      <c r="G3648" t="n">
        <v>4</v>
      </c>
      <c r="H3648" s="5">
        <f>HYPERLINK("https://api.qogita.com/variants/link/3473311615220/", "View Product")</f>
        <v/>
      </c>
    </row>
    <row r="3649">
      <c r="A3649" t="inlineStr">
        <is>
          <t>3473311615282</t>
        </is>
      </c>
      <c r="B3649" t="inlineStr">
        <is>
          <t>Sisley Phyto Cernes Clat Eye Concealer 15 Ml Concealer Against Dark Circles Under The Eyes With Botanical Extracts</t>
        </is>
      </c>
      <c r="C3649" t="inlineStr">
        <is>
          <t>Concealer</t>
        </is>
      </c>
      <c r="D3649" t="inlineStr">
        <is>
          <t>Sisley</t>
        </is>
      </c>
      <c r="E3649" t="n">
        <v>58.34</v>
      </c>
      <c r="F3649" t="n">
        <v>1</v>
      </c>
      <c r="G3649" t="n">
        <v>3</v>
      </c>
      <c r="H3649" s="5">
        <f>HYPERLINK("https://api.qogita.com/variants/link/3473311615282/", "View Product")</f>
        <v/>
      </c>
    </row>
    <row r="3650">
      <c r="A3650" t="inlineStr">
        <is>
          <t>3473311626004</t>
        </is>
      </c>
      <c r="B3650" t="inlineStr">
        <is>
          <t>Sisley Moisturising Creams</t>
        </is>
      </c>
      <c r="C3650" t="inlineStr">
        <is>
          <t>Face Cream</t>
        </is>
      </c>
      <c r="D3650" t="inlineStr">
        <is>
          <t>Sisley-Paris</t>
        </is>
      </c>
      <c r="E3650" t="n">
        <v>122.34</v>
      </c>
      <c r="F3650" t="n">
        <v>1</v>
      </c>
      <c r="G3650" t="n">
        <v>3</v>
      </c>
      <c r="H3650" s="5">
        <f>HYPERLINK("https://api.qogita.com/variants/link/3473311626004/", "View Product")</f>
        <v/>
      </c>
    </row>
    <row r="3651">
      <c r="A3651" t="inlineStr">
        <is>
          <t>3473311640420</t>
        </is>
      </c>
      <c r="B3651" t="inlineStr">
        <is>
          <t>Sisley Phyto Hydra Teint Beautifying Tinted Moisturizer Spf 15 40 Ml</t>
        </is>
      </c>
      <c r="C3651" t="inlineStr">
        <is>
          <t>Tinted Day Cream</t>
        </is>
      </c>
      <c r="D3651" t="inlineStr">
        <is>
          <t>Sisley</t>
        </is>
      </c>
      <c r="E3651" t="n">
        <v>61.21</v>
      </c>
      <c r="F3651" t="n">
        <v>1</v>
      </c>
      <c r="G3651" t="n">
        <v>12</v>
      </c>
      <c r="H3651" s="5">
        <f>HYPERLINK("https://api.qogita.com/variants/link/3473311640420/", "View Product")</f>
        <v/>
      </c>
    </row>
    <row r="3652">
      <c r="A3652" t="inlineStr">
        <is>
          <t>3473311640437</t>
        </is>
      </c>
      <c r="B3652" t="inlineStr">
        <is>
          <t>Sisley Phyto Hydra Teint Beautifying Tinted Moisturizer Spf 15 40 Ml</t>
        </is>
      </c>
      <c r="C3652" t="inlineStr">
        <is>
          <t>Tinted Day Cream</t>
        </is>
      </c>
      <c r="D3652" t="inlineStr">
        <is>
          <t>Sisley</t>
        </is>
      </c>
      <c r="E3652" t="n">
        <v>63.85</v>
      </c>
      <c r="F3652" t="n">
        <v>1</v>
      </c>
      <c r="G3652" t="n">
        <v>2</v>
      </c>
      <c r="H3652" s="5">
        <f>HYPERLINK("https://api.qogita.com/variants/link/3473311640437/", "View Product")</f>
        <v/>
      </c>
    </row>
    <row r="3653">
      <c r="A3653" t="inlineStr">
        <is>
          <t>3473311640451</t>
        </is>
      </c>
      <c r="B3653" t="inlineStr">
        <is>
          <t>Sisley Beautifying Tinted Moisturizer Spf 15 Phyto Hydra Teint 15 Beige 40 Ml</t>
        </is>
      </c>
      <c r="C3653" t="inlineStr">
        <is>
          <t>Tinted Day Cream</t>
        </is>
      </c>
      <c r="D3653" t="inlineStr">
        <is>
          <t>Sisley</t>
        </is>
      </c>
      <c r="E3653" t="n">
        <v>61.87</v>
      </c>
      <c r="F3653" t="n">
        <v>1</v>
      </c>
      <c r="G3653" t="n">
        <v>6</v>
      </c>
      <c r="H3653" s="5">
        <f>HYPERLINK("https://api.qogita.com/variants/link/3473311640451/", "View Product")</f>
        <v/>
      </c>
    </row>
    <row r="3654">
      <c r="A3654" t="inlineStr">
        <is>
          <t>3473311682123</t>
        </is>
      </c>
      <c r="B3654" t="inlineStr">
        <is>
          <t>Sisley Super Soin Solaire Visage SPF 50</t>
        </is>
      </c>
      <c r="C3654" t="inlineStr">
        <is>
          <t>Face Sun Protection</t>
        </is>
      </c>
      <c r="D3654" t="inlineStr">
        <is>
          <t>Sisley-Paris</t>
        </is>
      </c>
      <c r="E3654" t="n">
        <v>100.41</v>
      </c>
      <c r="F3654" t="n">
        <v>1</v>
      </c>
      <c r="G3654" t="n">
        <v>3</v>
      </c>
      <c r="H3654" s="5">
        <f>HYPERLINK("https://api.qogita.com/variants/link/3473311682123/", "View Product")</f>
        <v/>
      </c>
    </row>
    <row r="3655">
      <c r="A3655" t="inlineStr">
        <is>
          <t>3473311683557</t>
        </is>
      </c>
      <c r="B3655" t="inlineStr">
        <is>
          <t>Sisley Sunleÿa G.E. SPF 30</t>
        </is>
      </c>
      <c r="C3655" t="inlineStr">
        <is>
          <t>Face Sun Protection</t>
        </is>
      </c>
      <c r="D3655" t="inlineStr">
        <is>
          <t>Sisley</t>
        </is>
      </c>
      <c r="E3655" t="n">
        <v>153.47</v>
      </c>
      <c r="F3655" t="n">
        <v>1</v>
      </c>
      <c r="G3655" t="n">
        <v>6</v>
      </c>
      <c r="H3655" s="5">
        <f>HYPERLINK("https://api.qogita.com/variants/link/3473311683557/", "View Product")</f>
        <v/>
      </c>
    </row>
    <row r="3656">
      <c r="A3656" t="inlineStr">
        <is>
          <t>3473311692306</t>
        </is>
      </c>
      <c r="B3656" t="inlineStr">
        <is>
          <t>Sisley Revitalizing Smoothing Shampoo with Macadamia Oil 6.7 Oz</t>
        </is>
      </c>
      <c r="C3656" t="inlineStr">
        <is>
          <t>Shampoo</t>
        </is>
      </c>
      <c r="D3656" t="inlineStr">
        <is>
          <t>Sisley</t>
        </is>
      </c>
      <c r="E3656" t="n">
        <v>43.23</v>
      </c>
      <c r="F3656" t="n">
        <v>1</v>
      </c>
      <c r="G3656" t="n">
        <v>5</v>
      </c>
      <c r="H3656" s="5">
        <f>HYPERLINK("https://api.qogita.com/variants/link/3473311692306/", "View Product")</f>
        <v/>
      </c>
    </row>
    <row r="3657">
      <c r="A3657" t="inlineStr">
        <is>
          <t>3473311692412</t>
        </is>
      </c>
      <c r="B3657" t="inlineStr">
        <is>
          <t>Sisley Hair Ritual Reconstructing Conditioner 500ml</t>
        </is>
      </c>
      <c r="C3657" t="inlineStr">
        <is>
          <t>Conditioner</t>
        </is>
      </c>
      <c r="D3657" t="inlineStr">
        <is>
          <t>Sisley</t>
        </is>
      </c>
      <c r="E3657" t="n">
        <v>79.38</v>
      </c>
      <c r="F3657" t="n">
        <v>1</v>
      </c>
      <c r="G3657" t="n">
        <v>5</v>
      </c>
      <c r="H3657" s="5">
        <f>HYPERLINK("https://api.qogita.com/variants/link/3473311692412/", "View Product")</f>
        <v/>
      </c>
    </row>
    <row r="3658">
      <c r="A3658" t="inlineStr">
        <is>
          <t>3473311693013</t>
        </is>
      </c>
      <c r="B3658" t="inlineStr">
        <is>
          <t>HAIR RITUEL Anti-Dandruff Soothing Cleansing Care 500 ml</t>
        </is>
      </c>
      <c r="C3658" t="inlineStr">
        <is>
          <t>Shampoo</t>
        </is>
      </c>
      <c r="D3658" t="inlineStr">
        <is>
          <t>Sisley</t>
        </is>
      </c>
      <c r="E3658" t="n">
        <v>78.42</v>
      </c>
      <c r="F3658" t="n">
        <v>1</v>
      </c>
      <c r="G3658" t="n">
        <v>5</v>
      </c>
      <c r="H3658" s="5">
        <f>HYPERLINK("https://api.qogita.com/variants/link/3473311693013/", "View Product")</f>
        <v/>
      </c>
    </row>
    <row r="3659">
      <c r="A3659" t="inlineStr">
        <is>
          <t>3473311693204</t>
        </is>
      </c>
      <c r="B3659" t="inlineStr">
        <is>
          <t>Sisley Hair Rituel Revitalizing Straightening Shampoo With Moringa Oil - 200ml</t>
        </is>
      </c>
      <c r="C3659" t="inlineStr">
        <is>
          <t>Shampoo</t>
        </is>
      </c>
      <c r="D3659" t="inlineStr">
        <is>
          <t>Sisley</t>
        </is>
      </c>
      <c r="E3659" t="n">
        <v>43.98</v>
      </c>
      <c r="F3659" t="n">
        <v>1</v>
      </c>
      <c r="G3659" t="n">
        <v>4</v>
      </c>
      <c r="H3659" s="5">
        <f>HYPERLINK("https://api.qogita.com/variants/link/3473311693204/", "View Product")</f>
        <v/>
      </c>
    </row>
    <row r="3660">
      <c r="A3660" t="inlineStr">
        <is>
          <t>3473311694409</t>
        </is>
      </c>
      <c r="B3660" t="inlineStr">
        <is>
          <t>Sisley Curl Care Cream 150 Ml</t>
        </is>
      </c>
      <c r="C3660" t="inlineStr">
        <is>
          <t>Hair Care Sets</t>
        </is>
      </c>
      <c r="D3660" t="inlineStr">
        <is>
          <t>Sisley</t>
        </is>
      </c>
      <c r="E3660" t="n">
        <v>65.19</v>
      </c>
      <c r="F3660" t="n">
        <v>1</v>
      </c>
      <c r="G3660" t="n">
        <v>3</v>
      </c>
      <c r="H3660" s="5">
        <f>HYPERLINK("https://api.qogita.com/variants/link/3473311694409/", "View Product")</f>
        <v/>
      </c>
    </row>
    <row r="3661">
      <c r="A3661" t="inlineStr">
        <is>
          <t>3473311707017</t>
        </is>
      </c>
      <c r="B3661" t="inlineStr">
        <is>
          <t>Sisley Phyto Rouge Velvet Lipstick - 3 G</t>
        </is>
      </c>
      <c r="C3661" t="inlineStr">
        <is>
          <t>Lipstick</t>
        </is>
      </c>
      <c r="D3661" t="inlineStr">
        <is>
          <t>Sisley</t>
        </is>
      </c>
      <c r="E3661" t="n">
        <v>39.82</v>
      </c>
      <c r="F3661" t="n">
        <v>1</v>
      </c>
      <c r="G3661" t="n">
        <v>3</v>
      </c>
      <c r="H3661" s="5">
        <f>HYPERLINK("https://api.qogita.com/variants/link/3473311707017/", "View Product")</f>
        <v/>
      </c>
    </row>
    <row r="3662">
      <c r="A3662" t="inlineStr">
        <is>
          <t>3473311707024</t>
        </is>
      </c>
      <c r="B3662" t="inlineStr">
        <is>
          <t>Sisley Phyto Rouge Velvet Lipstick - 3 G</t>
        </is>
      </c>
      <c r="C3662" t="inlineStr">
        <is>
          <t>Lipstick</t>
        </is>
      </c>
      <c r="D3662" t="inlineStr">
        <is>
          <t>Sisley</t>
        </is>
      </c>
      <c r="E3662" t="n">
        <v>39.82</v>
      </c>
      <c r="F3662" t="n">
        <v>1</v>
      </c>
      <c r="G3662" t="n">
        <v>3</v>
      </c>
      <c r="H3662" s="5">
        <f>HYPERLINK("https://api.qogita.com/variants/link/3473311707024/", "View Product")</f>
        <v/>
      </c>
    </row>
    <row r="3663">
      <c r="A3663" t="inlineStr">
        <is>
          <t>3473311707062</t>
        </is>
      </c>
      <c r="B3663" t="inlineStr">
        <is>
          <t>Sisley Phyto Rouge Velvet Lipstick - 3 G</t>
        </is>
      </c>
      <c r="C3663" t="inlineStr">
        <is>
          <t>Lipstick</t>
        </is>
      </c>
      <c r="D3663" t="inlineStr">
        <is>
          <t>Sisley</t>
        </is>
      </c>
      <c r="E3663" t="n">
        <v>39.82</v>
      </c>
      <c r="F3663" t="n">
        <v>1</v>
      </c>
      <c r="G3663" t="n">
        <v>3</v>
      </c>
      <c r="H3663" s="5">
        <f>HYPERLINK("https://api.qogita.com/variants/link/3473311707062/", "View Product")</f>
        <v/>
      </c>
    </row>
    <row r="3664">
      <c r="A3664" t="inlineStr">
        <is>
          <t>3473311707079</t>
        </is>
      </c>
      <c r="B3664" t="inlineStr">
        <is>
          <t>Sisley Phyto Rouge Velvet Lipstick - 3 Grams</t>
        </is>
      </c>
      <c r="C3664" t="inlineStr">
        <is>
          <t>Lipstick</t>
        </is>
      </c>
      <c r="D3664" t="inlineStr">
        <is>
          <t>Sisley</t>
        </is>
      </c>
      <c r="E3664" t="n">
        <v>39.82</v>
      </c>
      <c r="F3664" t="n">
        <v>1</v>
      </c>
      <c r="G3664" t="n">
        <v>2</v>
      </c>
      <c r="H3664" s="5">
        <f>HYPERLINK("https://api.qogita.com/variants/link/3473311707079/", "View Product")</f>
        <v/>
      </c>
    </row>
    <row r="3665">
      <c r="A3665" t="inlineStr">
        <is>
          <t>3473311754011</t>
        </is>
      </c>
      <c r="B3665" t="inlineStr">
        <is>
          <t>Sisley Le Phyto Gloss Intense Glow Lipgloss 1 Moon - 6.5ml</t>
        </is>
      </c>
      <c r="C3665" t="inlineStr">
        <is>
          <t>Lip Gloss</t>
        </is>
      </c>
      <c r="D3665" t="inlineStr">
        <is>
          <t>Sisley</t>
        </is>
      </c>
      <c r="E3665" t="n">
        <v>27.42</v>
      </c>
      <c r="F3665" t="n">
        <v>1</v>
      </c>
      <c r="G3665" t="n">
        <v>2</v>
      </c>
      <c r="H3665" s="5">
        <f>HYPERLINK("https://api.qogita.com/variants/link/3473311754011/", "View Product")</f>
        <v/>
      </c>
    </row>
    <row r="3666">
      <c r="A3666" t="inlineStr">
        <is>
          <t>3473311754028</t>
        </is>
      </c>
      <c r="B3666" t="inlineStr">
        <is>
          <t>Sisley Le Phytogloss Lip Gloss 65 Ml</t>
        </is>
      </c>
      <c r="C3666" t="inlineStr">
        <is>
          <t>Lip Gloss</t>
        </is>
      </c>
      <c r="D3666" t="inlineStr">
        <is>
          <t>Sisley</t>
        </is>
      </c>
      <c r="E3666" t="n">
        <v>29.82</v>
      </c>
      <c r="F3666" t="n">
        <v>1</v>
      </c>
      <c r="G3666" t="n">
        <v>3</v>
      </c>
      <c r="H3666" s="5">
        <f>HYPERLINK("https://api.qogita.com/variants/link/3473311754028/", "View Product")</f>
        <v/>
      </c>
    </row>
    <row r="3667">
      <c r="A3667" t="inlineStr">
        <is>
          <t>3473311754066</t>
        </is>
      </c>
      <c r="B3667" t="inlineStr">
        <is>
          <t>Sisley Le Phytogloss Lip Gloss 6 Paradise 65 Ml</t>
        </is>
      </c>
      <c r="C3667" t="inlineStr">
        <is>
          <t>Lip Gloss</t>
        </is>
      </c>
      <c r="D3667" t="inlineStr">
        <is>
          <t>Sisley</t>
        </is>
      </c>
      <c r="E3667" t="n">
        <v>31</v>
      </c>
      <c r="F3667" t="n">
        <v>1</v>
      </c>
      <c r="G3667" t="n">
        <v>2</v>
      </c>
      <c r="H3667" s="5">
        <f>HYPERLINK("https://api.qogita.com/variants/link/3473311754066/", "View Product")</f>
        <v/>
      </c>
    </row>
    <row r="3668">
      <c r="A3668" t="inlineStr">
        <is>
          <t>3473311805768</t>
        </is>
      </c>
      <c r="B3668" t="inlineStr">
        <is>
          <t>Sisley Phytoteint Ultra Clat Base Fluid 00shell 30 Ml Brightening Liquid Makeup</t>
        </is>
      </c>
      <c r="C3668" t="inlineStr">
        <is>
          <t>Foundation</t>
        </is>
      </c>
      <c r="D3668" t="inlineStr">
        <is>
          <t>Sisley</t>
        </is>
      </c>
      <c r="E3668" t="n">
        <v>50.52</v>
      </c>
      <c r="F3668" t="n">
        <v>1</v>
      </c>
      <c r="G3668" t="n">
        <v>5</v>
      </c>
      <c r="H3668" s="5">
        <f>HYPERLINK("https://api.qogita.com/variants/link/3473311805768/", "View Product")</f>
        <v/>
      </c>
    </row>
    <row r="3669">
      <c r="A3669" t="inlineStr">
        <is>
          <t>3473311806444</t>
        </is>
      </c>
      <c r="B3669" t="inlineStr">
        <is>
          <t>Sisley Phytoteint Perfection Ultra Long Lasting Foundation 3n Apricot 30 Ml</t>
        </is>
      </c>
      <c r="C3669" t="inlineStr">
        <is>
          <t>Foundation</t>
        </is>
      </c>
      <c r="D3669" t="inlineStr">
        <is>
          <t>Sisley</t>
        </is>
      </c>
      <c r="E3669" t="n">
        <v>58.36</v>
      </c>
      <c r="F3669" t="n">
        <v>1</v>
      </c>
      <c r="G3669" t="n">
        <v>2</v>
      </c>
      <c r="H3669" s="5">
        <f>HYPERLINK("https://api.qogita.com/variants/link/3473311806444/", "View Product")</f>
        <v/>
      </c>
    </row>
    <row r="3670">
      <c r="A3670" t="inlineStr">
        <is>
          <t>3473311820143</t>
        </is>
      </c>
      <c r="B3670" t="inlineStr">
        <is>
          <t>Sisley Le Phyto Blush 4 Golden Rose 65 G</t>
        </is>
      </c>
      <c r="C3670" t="inlineStr">
        <is>
          <t>Blush</t>
        </is>
      </c>
      <c r="D3670" t="inlineStr">
        <is>
          <t>Sisley</t>
        </is>
      </c>
      <c r="E3670" t="n">
        <v>41</v>
      </c>
      <c r="F3670" t="n">
        <v>1</v>
      </c>
      <c r="G3670" t="n">
        <v>2</v>
      </c>
      <c r="H3670" s="5">
        <f>HYPERLINK("https://api.qogita.com/variants/link/3473311820143/", "View Product")</f>
        <v/>
      </c>
    </row>
    <row r="3671">
      <c r="A3671" t="inlineStr">
        <is>
          <t>3473311847256</t>
        </is>
      </c>
      <c r="B3671" t="inlineStr">
        <is>
          <t>Sisley Stylo Correct 3 1.7g</t>
        </is>
      </c>
      <c r="C3671" t="inlineStr">
        <is>
          <t>Concealer</t>
        </is>
      </c>
      <c r="D3671" t="inlineStr">
        <is>
          <t>Sisley</t>
        </is>
      </c>
      <c r="E3671" t="n">
        <v>35.53</v>
      </c>
      <c r="F3671" t="n">
        <v>1</v>
      </c>
      <c r="G3671" t="n">
        <v>3</v>
      </c>
      <c r="H3671" s="5">
        <f>HYPERLINK("https://api.qogita.com/variants/link/3473311847256/", "View Product")</f>
        <v/>
      </c>
    </row>
    <row r="3672">
      <c r="A3672" t="inlineStr">
        <is>
          <t>3473311853318</t>
        </is>
      </c>
      <c r="B3672" t="inlineStr">
        <is>
          <t>Sisley Mascara So Curl Deep Black 10 Ml</t>
        </is>
      </c>
      <c r="C3672" t="inlineStr">
        <is>
          <t>Mascara</t>
        </is>
      </c>
      <c r="D3672" t="inlineStr">
        <is>
          <t>Sisley</t>
        </is>
      </c>
      <c r="E3672" t="n">
        <v>38.04</v>
      </c>
      <c r="F3672" t="n">
        <v>1</v>
      </c>
      <c r="G3672" t="n">
        <v>6</v>
      </c>
      <c r="H3672" s="5">
        <f>HYPERLINK("https://api.qogita.com/variants/link/3473311853318/", "View Product")</f>
        <v/>
      </c>
    </row>
    <row r="3673">
      <c r="A3673" t="inlineStr">
        <is>
          <t>3473311866035</t>
        </is>
      </c>
      <c r="B3673" t="inlineStr">
        <is>
          <t>Sisley Les Phytoombres Eye Shadow 12 Silky Ros 15 G</t>
        </is>
      </c>
      <c r="C3673" t="inlineStr">
        <is>
          <t>Eyeshadow</t>
        </is>
      </c>
      <c r="D3673" t="inlineStr">
        <is>
          <t>Sisley</t>
        </is>
      </c>
      <c r="E3673" t="n">
        <v>27.78</v>
      </c>
      <c r="F3673" t="n">
        <v>1</v>
      </c>
      <c r="G3673" t="n">
        <v>7</v>
      </c>
      <c r="H3673" s="5">
        <f>HYPERLINK("https://api.qogita.com/variants/link/3473311866035/", "View Product")</f>
        <v/>
      </c>
    </row>
    <row r="3674">
      <c r="A3674" t="inlineStr">
        <is>
          <t>3473311866066</t>
        </is>
      </c>
      <c r="B3674" t="inlineStr">
        <is>
          <t>Sisley Les Phyto-Ombres 15 Mat Taupe 1.5g</t>
        </is>
      </c>
      <c r="C3674" t="inlineStr">
        <is>
          <t>Eyeshadow</t>
        </is>
      </c>
      <c r="D3674" t="inlineStr">
        <is>
          <t>Sisley</t>
        </is>
      </c>
      <c r="E3674" t="n">
        <v>29.04</v>
      </c>
      <c r="F3674" t="n">
        <v>1</v>
      </c>
      <c r="G3674" t="n">
        <v>3</v>
      </c>
      <c r="H3674" s="5">
        <f>HYPERLINK("https://api.qogita.com/variants/link/3473311866066/", "View Product")</f>
        <v/>
      </c>
    </row>
    <row r="3675">
      <c r="A3675" t="inlineStr">
        <is>
          <t>3473311866110</t>
        </is>
      </c>
      <c r="B3675" t="inlineStr">
        <is>
          <t>Sisley Phytoombre Eyeshadow 24 Silky Steel 15 G</t>
        </is>
      </c>
      <c r="C3675" t="inlineStr">
        <is>
          <t>Eyeshadow</t>
        </is>
      </c>
      <c r="D3675" t="inlineStr">
        <is>
          <t>Sisley</t>
        </is>
      </c>
      <c r="E3675" t="n">
        <v>29.97</v>
      </c>
      <c r="F3675" t="n">
        <v>1</v>
      </c>
      <c r="G3675" t="n">
        <v>3</v>
      </c>
      <c r="H3675" s="5">
        <f>HYPERLINK("https://api.qogita.com/variants/link/3473311866110/", "View Product")</f>
        <v/>
      </c>
    </row>
    <row r="3676">
      <c r="A3676" t="inlineStr">
        <is>
          <t>3473311866165</t>
        </is>
      </c>
      <c r="B3676" t="inlineStr">
        <is>
          <t>Sisley Les Phytoombres Eye Shadow 33 Metallic Jean 15 G</t>
        </is>
      </c>
      <c r="C3676" t="inlineStr">
        <is>
          <t>Eyeshadow</t>
        </is>
      </c>
      <c r="D3676" t="inlineStr">
        <is>
          <t>Sisley</t>
        </is>
      </c>
      <c r="E3676" t="n">
        <v>26.66</v>
      </c>
      <c r="F3676" t="n">
        <v>1</v>
      </c>
      <c r="G3676" t="n">
        <v>3</v>
      </c>
      <c r="H3676" s="5">
        <f>HYPERLINK("https://api.qogita.com/variants/link/3473311866165/", "View Product")</f>
        <v/>
      </c>
    </row>
    <row r="3677">
      <c r="A3677" t="inlineStr">
        <is>
          <t>3473311867056</t>
        </is>
      </c>
      <c r="B3677" t="inlineStr">
        <is>
          <t>Sisley Ombre-éclat Liquide Eyeshadow N.5 Bronze</t>
        </is>
      </c>
      <c r="C3677" t="inlineStr">
        <is>
          <t>Eyeshadow</t>
        </is>
      </c>
      <c r="D3677" t="inlineStr">
        <is>
          <t>Sisley</t>
        </is>
      </c>
      <c r="E3677" t="n">
        <v>31.14</v>
      </c>
      <c r="F3677" t="n">
        <v>1</v>
      </c>
      <c r="G3677" t="n">
        <v>2</v>
      </c>
      <c r="H3677" s="5">
        <f>HYPERLINK("https://api.qogita.com/variants/link/3473311867056/", "View Product")</f>
        <v/>
      </c>
    </row>
    <row r="3678">
      <c r="A3678" t="inlineStr">
        <is>
          <t>3473311875242</t>
        </is>
      </c>
      <c r="B3678" t="inlineStr">
        <is>
          <t>Phyto Sourcils Design Eyebrow Pencil 4 Moka - Perfect For Defining Your Brows</t>
        </is>
      </c>
      <c r="C3678" t="inlineStr">
        <is>
          <t>Eyebrow Pencil</t>
        </is>
      </c>
      <c r="D3678" t="inlineStr">
        <is>
          <t>Phyto</t>
        </is>
      </c>
      <c r="E3678" t="n">
        <v>38.92</v>
      </c>
      <c r="F3678" t="n">
        <v>1</v>
      </c>
      <c r="G3678" t="n">
        <v>2</v>
      </c>
      <c r="H3678" s="5">
        <f>HYPERLINK("https://api.qogita.com/variants/link/3473311875242/", "View Product")</f>
        <v/>
      </c>
    </row>
    <row r="3679">
      <c r="A3679" t="inlineStr">
        <is>
          <t>3473311931108</t>
        </is>
      </c>
      <c r="B3679" t="inlineStr">
        <is>
          <t>Sisley L'Eau Revee D'Isa Eau De Toilette Spray 100ml</t>
        </is>
      </c>
      <c r="C3679" t="inlineStr">
        <is>
          <t>Eau De Toilette</t>
        </is>
      </c>
      <c r="D3679" t="inlineStr">
        <is>
          <t>Sisley</t>
        </is>
      </c>
      <c r="E3679" t="n">
        <v>89.63</v>
      </c>
      <c r="F3679" t="n">
        <v>1</v>
      </c>
      <c r="G3679" t="n">
        <v>2</v>
      </c>
      <c r="H3679" s="5">
        <f>HYPERLINK("https://api.qogita.com/variants/link/3473311931108/", "View Product")</f>
        <v/>
      </c>
    </row>
    <row r="3680">
      <c r="A3680" t="inlineStr">
        <is>
          <t>3473311933102</t>
        </is>
      </c>
      <c r="B3680" t="inlineStr">
        <is>
          <t>Sisley L'Eau Revee D'Aria Eau De Toilette Spray 100ml</t>
        </is>
      </c>
      <c r="C3680" t="inlineStr">
        <is>
          <t>Eau De Toilette</t>
        </is>
      </c>
      <c r="D3680" t="inlineStr">
        <is>
          <t>Sisley</t>
        </is>
      </c>
      <c r="E3680" t="n">
        <v>84.02</v>
      </c>
      <c r="F3680" t="n">
        <v>1</v>
      </c>
      <c r="G3680" t="n">
        <v>3</v>
      </c>
      <c r="H3680" s="5">
        <f>HYPERLINK("https://api.qogita.com/variants/link/3473311933102/", "View Product")</f>
        <v/>
      </c>
    </row>
    <row r="3681">
      <c r="A3681" t="inlineStr">
        <is>
          <t>3473311934109</t>
        </is>
      </c>
      <c r="B3681" t="inlineStr">
        <is>
          <t>Sisley L'Eau Revee D'Eliya Eau De Toilette Spray 100ml</t>
        </is>
      </c>
      <c r="C3681" t="inlineStr">
        <is>
          <t>Eau De Toilette</t>
        </is>
      </c>
      <c r="D3681" t="inlineStr">
        <is>
          <t>Sisley</t>
        </is>
      </c>
      <c r="E3681" t="n">
        <v>66.48999999999999</v>
      </c>
      <c r="F3681" t="n">
        <v>1</v>
      </c>
      <c r="G3681" t="n">
        <v>2</v>
      </c>
      <c r="H3681" s="5">
        <f>HYPERLINK("https://api.qogita.com/variants/link/3473311934109/", "View Product")</f>
        <v/>
      </c>
    </row>
    <row r="3682">
      <c r="A3682" t="inlineStr">
        <is>
          <t>3473311960009</t>
        </is>
      </c>
      <c r="B3682" t="inlineStr">
        <is>
          <t>Sisley Eau Du Soir Eau De Parfum Spray 30ml</t>
        </is>
      </c>
      <c r="C3682" t="inlineStr">
        <is>
          <t>Eau De Parfum</t>
        </is>
      </c>
      <c r="D3682" t="inlineStr">
        <is>
          <t>Sisley</t>
        </is>
      </c>
      <c r="E3682" t="n">
        <v>68.58</v>
      </c>
      <c r="F3682" t="n">
        <v>1</v>
      </c>
      <c r="G3682" t="n">
        <v>9</v>
      </c>
      <c r="H3682" s="5">
        <f>HYPERLINK("https://api.qogita.com/variants/link/3473311960009/", "View Product")</f>
        <v/>
      </c>
    </row>
    <row r="3683">
      <c r="A3683" t="inlineStr">
        <is>
          <t>3473311963307</t>
        </is>
      </c>
      <c r="B3683" t="inlineStr">
        <is>
          <t>Sisley Soir D'Orient Eau De Parfum Spray 30ml</t>
        </is>
      </c>
      <c r="C3683" t="inlineStr">
        <is>
          <t>Eau De Parfum</t>
        </is>
      </c>
      <c r="D3683" t="inlineStr">
        <is>
          <t>Sisley</t>
        </is>
      </c>
      <c r="E3683" t="n">
        <v>68.36</v>
      </c>
      <c r="F3683" t="n">
        <v>1</v>
      </c>
      <c r="G3683" t="n">
        <v>7</v>
      </c>
      <c r="H3683" s="5">
        <f>HYPERLINK("https://api.qogita.com/variants/link/3473311963307/", "View Product")</f>
        <v/>
      </c>
    </row>
    <row r="3684">
      <c r="A3684" t="inlineStr">
        <is>
          <t>3473311963604</t>
        </is>
      </c>
      <c r="B3684" t="inlineStr">
        <is>
          <t>Sisley Soir D'Orient Moisturizing Perfumed Body Cream 150 Ml</t>
        </is>
      </c>
      <c r="C3684" t="inlineStr">
        <is>
          <t>Body Lotion</t>
        </is>
      </c>
      <c r="D3684" t="inlineStr">
        <is>
          <t>Sisley</t>
        </is>
      </c>
      <c r="E3684" t="n">
        <v>62.71</v>
      </c>
      <c r="F3684" t="n">
        <v>1</v>
      </c>
      <c r="G3684" t="n">
        <v>3</v>
      </c>
      <c r="H3684" s="5">
        <f>HYPERLINK("https://api.qogita.com/variants/link/3473311963604/", "View Product")</f>
        <v/>
      </c>
    </row>
    <row r="3685">
      <c r="A3685" t="inlineStr">
        <is>
          <t>3473311970015</t>
        </is>
      </c>
      <c r="B3685" t="inlineStr">
        <is>
          <t>Sisley Eau Du Soir Bar Soap 100ml</t>
        </is>
      </c>
      <c r="C3685" t="inlineStr">
        <is>
          <t>Soap</t>
        </is>
      </c>
      <c r="D3685" t="inlineStr">
        <is>
          <t>Sisley-Paris</t>
        </is>
      </c>
      <c r="E3685" t="n">
        <v>19.55</v>
      </c>
      <c r="F3685" t="n">
        <v>1</v>
      </c>
      <c r="G3685" t="n">
        <v>5</v>
      </c>
      <c r="H3685" s="5">
        <f>HYPERLINK("https://api.qogita.com/variants/link/3473311970015/", "View Product")</f>
        <v/>
      </c>
    </row>
    <row r="3686">
      <c r="A3686" t="inlineStr">
        <is>
          <t>3473311985002</t>
        </is>
      </c>
      <c r="B3686" t="inlineStr">
        <is>
          <t>Sisley Izia Eau De Parfum Spray 100 Ml</t>
        </is>
      </c>
      <c r="C3686" t="inlineStr">
        <is>
          <t>Eau De Parfum</t>
        </is>
      </c>
      <c r="D3686" t="inlineStr">
        <is>
          <t>Sisley</t>
        </is>
      </c>
      <c r="E3686" t="n">
        <v>105.65</v>
      </c>
      <c r="F3686" t="n">
        <v>1</v>
      </c>
      <c r="G3686" t="n">
        <v>9</v>
      </c>
      <c r="H3686" s="5">
        <f>HYPERLINK("https://api.qogita.com/variants/link/3473311985002/", "View Product")</f>
        <v/>
      </c>
    </row>
    <row r="3687">
      <c r="A3687" t="inlineStr">
        <is>
          <t>3473311986504</t>
        </is>
      </c>
      <c r="B3687" t="inlineStr">
        <is>
          <t>Sisley Izia La Nuit Eau De Parfum Spray 50ml</t>
        </is>
      </c>
      <c r="C3687" t="inlineStr">
        <is>
          <t>Eau De Parfum</t>
        </is>
      </c>
      <c r="D3687" t="inlineStr">
        <is>
          <t>Sisley</t>
        </is>
      </c>
      <c r="E3687" t="n">
        <v>68</v>
      </c>
      <c r="F3687" t="n">
        <v>1</v>
      </c>
      <c r="G3687" t="n">
        <v>21</v>
      </c>
      <c r="H3687" s="5">
        <f>HYPERLINK("https://api.qogita.com/variants/link/3473311986504/", "View Product")</f>
        <v/>
      </c>
    </row>
    <row r="3688">
      <c r="A3688" t="inlineStr">
        <is>
          <t>3474630398894</t>
        </is>
      </c>
      <c r="B3688" t="inlineStr">
        <is>
          <t>L'Oréal Diarichesse 6.34 Marron Honey 50ml</t>
        </is>
      </c>
      <c r="C3688" t="inlineStr">
        <is>
          <t>Hair Dye</t>
        </is>
      </c>
      <c r="D3688" t="inlineStr">
        <is>
          <t>L'Oréal Professionnel</t>
        </is>
      </c>
      <c r="E3688" t="n">
        <v>7</v>
      </c>
      <c r="F3688" t="n">
        <v>1</v>
      </c>
      <c r="G3688" t="n">
        <v>3</v>
      </c>
      <c r="H3688" s="5">
        <f>HYPERLINK("https://api.qogita.com/variants/link/3474630398894/", "View Product")</f>
        <v/>
      </c>
    </row>
    <row r="3689">
      <c r="A3689" t="inlineStr">
        <is>
          <t>3474630417908</t>
        </is>
      </c>
      <c r="B3689" t="inlineStr">
        <is>
          <t>L'Oreal Inoa 200 Oxydant 30 Volume 9 percent 1L</t>
        </is>
      </c>
      <c r="C3689" t="inlineStr">
        <is>
          <t>Hair Dye</t>
        </is>
      </c>
      <c r="D3689" t="inlineStr">
        <is>
          <t>L'Oréal</t>
        </is>
      </c>
      <c r="E3689" t="n">
        <v>9.720000000000001</v>
      </c>
      <c r="F3689" t="n">
        <v>1</v>
      </c>
      <c r="G3689" t="n">
        <v>11</v>
      </c>
      <c r="H3689" s="5">
        <f>HYPERLINK("https://api.qogita.com/variants/link/3474630417908/", "View Product")</f>
        <v/>
      </c>
    </row>
    <row r="3690">
      <c r="A3690" t="inlineStr">
        <is>
          <t>3474630529694</t>
        </is>
      </c>
      <c r="B3690" t="inlineStr">
        <is>
          <t>Redken Control Addict 28 Hair Spray Strong Fixation Hair Spray</t>
        </is>
      </c>
      <c r="C3690" t="inlineStr">
        <is>
          <t>Hairspray</t>
        </is>
      </c>
      <c r="D3690" t="inlineStr">
        <is>
          <t>Redken</t>
        </is>
      </c>
      <c r="E3690" t="n">
        <v>18.53</v>
      </c>
      <c r="F3690" t="n">
        <v>1</v>
      </c>
      <c r="G3690" t="n">
        <v>5</v>
      </c>
      <c r="H3690" s="5">
        <f>HYPERLINK("https://api.qogita.com/variants/link/3474630529694/", "View Product")</f>
        <v/>
      </c>
    </row>
    <row r="3691">
      <c r="A3691" t="inlineStr">
        <is>
          <t>3474630542709</t>
        </is>
      </c>
      <c r="B3691" t="inlineStr">
        <is>
          <t>Krastase Laque Couture Hairspray Purple Vision 300ml</t>
        </is>
      </c>
      <c r="C3691" t="inlineStr">
        <is>
          <t>Hairspray</t>
        </is>
      </c>
      <c r="D3691" t="inlineStr">
        <is>
          <t>Kérastase</t>
        </is>
      </c>
      <c r="E3691" t="n">
        <v>29.57</v>
      </c>
      <c r="F3691" t="n">
        <v>1</v>
      </c>
      <c r="G3691" t="n">
        <v>4</v>
      </c>
      <c r="H3691" s="5">
        <f>HYPERLINK("https://api.qogita.com/variants/link/3474630542709/", "View Product")</f>
        <v/>
      </c>
    </row>
    <row r="3692">
      <c r="A3692" t="inlineStr">
        <is>
          <t>3474630587908</t>
        </is>
      </c>
      <c r="B3692" t="inlineStr">
        <is>
          <t>L'Oréal Paris Permanent Hair Colour 50ml 7.8 Mocha Blonde</t>
        </is>
      </c>
      <c r="C3692" t="inlineStr">
        <is>
          <t>Hair Dye</t>
        </is>
      </c>
      <c r="D3692" t="inlineStr">
        <is>
          <t>L'Oréal</t>
        </is>
      </c>
      <c r="E3692" t="n">
        <v>8.6</v>
      </c>
      <c r="F3692" t="n">
        <v>1</v>
      </c>
      <c r="G3692" t="n">
        <v>2</v>
      </c>
      <c r="H3692" s="5">
        <f>HYPERLINK("https://api.qogita.com/variants/link/3474630587908/", "View Product")</f>
        <v/>
      </c>
    </row>
    <row r="3693">
      <c r="A3693" t="inlineStr">
        <is>
          <t>3474630647374</t>
        </is>
      </c>
      <c r="B3693" t="inlineStr">
        <is>
          <t>Krastase Discipline Thermique Cream 150ml Smoothing Milk For Unruly And Frizzy Hair</t>
        </is>
      </c>
      <c r="C3693" t="inlineStr">
        <is>
          <t>Leave-In Conditioner</t>
        </is>
      </c>
      <c r="D3693" t="inlineStr">
        <is>
          <t>Kérastase</t>
        </is>
      </c>
      <c r="E3693" t="n">
        <v>28.91</v>
      </c>
      <c r="F3693" t="n">
        <v>1</v>
      </c>
      <c r="G3693" t="n">
        <v>2</v>
      </c>
      <c r="H3693" s="5">
        <f>HYPERLINK("https://api.qogita.com/variants/link/3474630647374/", "View Product")</f>
        <v/>
      </c>
    </row>
    <row r="3694">
      <c r="A3694" t="inlineStr">
        <is>
          <t>3474630698345</t>
        </is>
      </c>
      <c r="B3694" t="inlineStr">
        <is>
          <t>L'Oral Professionnel Hair Touch Up Root Concealer Light Brown 75 Ml</t>
        </is>
      </c>
      <c r="C3694" t="inlineStr">
        <is>
          <t>Hairline Paint</t>
        </is>
      </c>
      <c r="D3694" t="inlineStr">
        <is>
          <t>L'Oréal Professionnel</t>
        </is>
      </c>
      <c r="E3694" t="n">
        <v>13.15</v>
      </c>
      <c r="F3694" t="n">
        <v>1</v>
      </c>
      <c r="G3694" t="n">
        <v>19</v>
      </c>
      <c r="H3694" s="5">
        <f>HYPERLINK("https://api.qogita.com/variants/link/3474630698345/", "View Product")</f>
        <v/>
      </c>
    </row>
    <row r="3695">
      <c r="A3695" t="inlineStr">
        <is>
          <t>3474630698505</t>
        </is>
      </c>
      <c r="B3695" t="inlineStr">
        <is>
          <t>L'Oral Professionnel Hair Touch Up Root Concealer Dark Blonde 75 Ml</t>
        </is>
      </c>
      <c r="C3695" t="inlineStr">
        <is>
          <t>Hairline Paint</t>
        </is>
      </c>
      <c r="D3695" t="inlineStr">
        <is>
          <t>L'Oréal Professionnel</t>
        </is>
      </c>
      <c r="E3695" t="n">
        <v>13.1</v>
      </c>
      <c r="F3695" t="n">
        <v>1</v>
      </c>
      <c r="G3695" t="n">
        <v>8</v>
      </c>
      <c r="H3695" s="5">
        <f>HYPERLINK("https://api.qogita.com/variants/link/3474630698505/", "View Product")</f>
        <v/>
      </c>
    </row>
    <row r="3696">
      <c r="A3696" t="inlineStr">
        <is>
          <t>3474630740297</t>
        </is>
      </c>
      <c r="B3696" t="inlineStr">
        <is>
          <t>Matrix Total Results High Amplify Shampoo 1000ml</t>
        </is>
      </c>
      <c r="C3696" t="inlineStr">
        <is>
          <t>Shampoo</t>
        </is>
      </c>
      <c r="D3696" t="inlineStr">
        <is>
          <t>Matrix</t>
        </is>
      </c>
      <c r="E3696" t="n">
        <v>16.84</v>
      </c>
      <c r="F3696" t="n">
        <v>1</v>
      </c>
      <c r="G3696" t="n">
        <v>2</v>
      </c>
      <c r="H3696" s="5">
        <f>HYPERLINK("https://api.qogita.com/variants/link/3474630740297/", "View Product")</f>
        <v/>
      </c>
    </row>
    <row r="3697">
      <c r="A3697" t="inlineStr">
        <is>
          <t>3474630740327</t>
        </is>
      </c>
      <c r="B3697" t="inlineStr">
        <is>
          <t>Matrix Total Results High Amplify Protein Conditioner - 300ml</t>
        </is>
      </c>
      <c r="C3697" t="inlineStr">
        <is>
          <t>Conditioner</t>
        </is>
      </c>
      <c r="D3697" t="inlineStr">
        <is>
          <t>Matrix</t>
        </is>
      </c>
      <c r="E3697" t="n">
        <v>9.369999999999999</v>
      </c>
      <c r="F3697" t="n">
        <v>1</v>
      </c>
      <c r="G3697" t="n">
        <v>5</v>
      </c>
      <c r="H3697" s="5">
        <f>HYPERLINK("https://api.qogita.com/variants/link/3474630740327/", "View Product")</f>
        <v/>
      </c>
    </row>
    <row r="3698">
      <c r="A3698" t="inlineStr">
        <is>
          <t>3474630740686</t>
        </is>
      </c>
      <c r="B3698" t="inlineStr">
        <is>
          <t>Matrix Total Results High Amplify Protein Conditioner For Volume 1000ml</t>
        </is>
      </c>
      <c r="C3698" t="inlineStr">
        <is>
          <t>Conditioner</t>
        </is>
      </c>
      <c r="D3698" t="inlineStr">
        <is>
          <t>Matrix</t>
        </is>
      </c>
      <c r="E3698" t="n">
        <v>17.94</v>
      </c>
      <c r="F3698" t="n">
        <v>1</v>
      </c>
      <c r="G3698" t="n">
        <v>9</v>
      </c>
      <c r="H3698" s="5">
        <f>HYPERLINK("https://api.qogita.com/variants/link/3474630740686/", "View Product")</f>
        <v/>
      </c>
    </row>
    <row r="3699">
      <c r="A3699" t="inlineStr">
        <is>
          <t>3474630740921</t>
        </is>
      </c>
      <c r="B3699" t="inlineStr">
        <is>
          <t>Matrix Total Results Color Obsessed Antioxidant Conditioner - 300ml</t>
        </is>
      </c>
      <c r="C3699" t="inlineStr">
        <is>
          <t>Conditioner</t>
        </is>
      </c>
      <c r="D3699" t="inlineStr">
        <is>
          <t>Matrix</t>
        </is>
      </c>
      <c r="E3699" t="n">
        <v>9.359999999999999</v>
      </c>
      <c r="F3699" t="n">
        <v>1</v>
      </c>
      <c r="G3699" t="n">
        <v>18</v>
      </c>
      <c r="H3699" s="5">
        <f>HYPERLINK("https://api.qogita.com/variants/link/3474630740921/", "View Product")</f>
        <v/>
      </c>
    </row>
    <row r="3700">
      <c r="A3700" t="inlineStr">
        <is>
          <t>3474634001660</t>
        </is>
      </c>
      <c r="B3700" t="inlineStr">
        <is>
          <t>L'Oral Professionnel Majirel 50 Permanent Hair Color</t>
        </is>
      </c>
      <c r="C3700" t="inlineStr">
        <is>
          <t>Hair Dye</t>
        </is>
      </c>
      <c r="D3700" t="inlineStr">
        <is>
          <t>L'Oréal Professionnel</t>
        </is>
      </c>
      <c r="E3700" t="n">
        <v>7.79</v>
      </c>
      <c r="F3700" t="n">
        <v>1</v>
      </c>
      <c r="G3700" t="n">
        <v>3</v>
      </c>
      <c r="H3700" s="5">
        <f>HYPERLINK("https://api.qogita.com/variants/link/3474634001660/", "View Product")</f>
        <v/>
      </c>
    </row>
    <row r="3701">
      <c r="A3701" t="inlineStr">
        <is>
          <t>3474634002759</t>
        </is>
      </c>
      <c r="B3701" t="inlineStr">
        <is>
          <t>L'Oral Professionnel Majirel 53 Hair Color</t>
        </is>
      </c>
      <c r="C3701" t="inlineStr">
        <is>
          <t>Hair Dye</t>
        </is>
      </c>
      <c r="D3701" t="inlineStr">
        <is>
          <t>L'Oréal Professionnel</t>
        </is>
      </c>
      <c r="E3701" t="n">
        <v>8.34</v>
      </c>
      <c r="F3701" t="n">
        <v>1</v>
      </c>
      <c r="G3701" t="n">
        <v>3</v>
      </c>
      <c r="H3701" s="5">
        <f>HYPERLINK("https://api.qogita.com/variants/link/3474634002759/", "View Product")</f>
        <v/>
      </c>
    </row>
    <row r="3702">
      <c r="A3702" t="inlineStr">
        <is>
          <t>3474634005224</t>
        </is>
      </c>
      <c r="B3702" t="inlineStr">
        <is>
          <t>L'Oral Professionnel Majirel 731 Permanent Hair Color</t>
        </is>
      </c>
      <c r="C3702" t="inlineStr">
        <is>
          <t>Hair Dye</t>
        </is>
      </c>
      <c r="D3702" t="inlineStr">
        <is>
          <t>L'Oréal Professionnel</t>
        </is>
      </c>
      <c r="E3702" t="n">
        <v>8.56</v>
      </c>
      <c r="F3702" t="n">
        <v>1</v>
      </c>
      <c r="G3702" t="n">
        <v>3</v>
      </c>
      <c r="H3702" s="5">
        <f>HYPERLINK("https://api.qogita.com/variants/link/3474634005224/", "View Product")</f>
        <v/>
      </c>
    </row>
    <row r="3703">
      <c r="A3703" t="inlineStr">
        <is>
          <t>3474636397396</t>
        </is>
      </c>
      <c r="B3703" t="inlineStr">
        <is>
          <t>Krastase Bain Riche Dermocalm 250ml Soothing Shampoo For Sensitive Scalp And Dry Hair</t>
        </is>
      </c>
      <c r="C3703" t="inlineStr">
        <is>
          <t>Shampoo</t>
        </is>
      </c>
      <c r="D3703" t="inlineStr">
        <is>
          <t>Kérastase</t>
        </is>
      </c>
      <c r="E3703" t="n">
        <v>21.55</v>
      </c>
      <c r="F3703" t="n">
        <v>1</v>
      </c>
      <c r="G3703" t="n">
        <v>5</v>
      </c>
      <c r="H3703" s="5">
        <f>HYPERLINK("https://api.qogita.com/variants/link/3474636397396/", "View Product")</f>
        <v/>
      </c>
    </row>
    <row r="3704">
      <c r="A3704" t="inlineStr">
        <is>
          <t>3474636397945</t>
        </is>
      </c>
      <c r="B3704" t="inlineStr">
        <is>
          <t>Krastase Bain Force Architecte 250ml Professional Hair Care</t>
        </is>
      </c>
      <c r="C3704" t="inlineStr">
        <is>
          <t>Shampoo</t>
        </is>
      </c>
      <c r="D3704" t="inlineStr">
        <is>
          <t>Kérastase</t>
        </is>
      </c>
      <c r="E3704" t="n">
        <v>21.24</v>
      </c>
      <c r="F3704" t="n">
        <v>1</v>
      </c>
      <c r="G3704" t="n">
        <v>9</v>
      </c>
      <c r="H3704" s="5">
        <f>HYPERLINK("https://api.qogita.com/variants/link/3474636397945/", "View Product")</f>
        <v/>
      </c>
    </row>
    <row r="3705">
      <c r="A3705" t="inlineStr">
        <is>
          <t>3474636397969</t>
        </is>
      </c>
      <c r="B3705" t="inlineStr">
        <is>
          <t>Krastase Bain Thrapiste Hair Shampoo Balm In Shampoo 250ml</t>
        </is>
      </c>
      <c r="C3705" t="inlineStr">
        <is>
          <t>Shampoo</t>
        </is>
      </c>
      <c r="D3705" t="inlineStr">
        <is>
          <t>Kérastase</t>
        </is>
      </c>
      <c r="E3705" t="n">
        <v>23.32</v>
      </c>
      <c r="F3705" t="n">
        <v>1</v>
      </c>
      <c r="G3705" t="n">
        <v>9</v>
      </c>
      <c r="H3705" s="5">
        <f>HYPERLINK("https://api.qogita.com/variants/link/3474636397969/", "View Product")</f>
        <v/>
      </c>
    </row>
    <row r="3706">
      <c r="A3706" t="inlineStr">
        <is>
          <t>3474636403929</t>
        </is>
      </c>
      <c r="B3706" t="inlineStr">
        <is>
          <t>Krastase Masque Densit 200ml Professional Hair Care</t>
        </is>
      </c>
      <c r="C3706" t="inlineStr">
        <is>
          <t>Hair Masks</t>
        </is>
      </c>
      <c r="D3706" t="inlineStr">
        <is>
          <t>Kérastase</t>
        </is>
      </c>
      <c r="E3706" t="n">
        <v>47.53</v>
      </c>
      <c r="F3706" t="n">
        <v>1</v>
      </c>
      <c r="G3706" t="n">
        <v>6</v>
      </c>
      <c r="H3706" s="5">
        <f>HYPERLINK("https://api.qogita.com/variants/link/3474636403929/", "View Product")</f>
        <v/>
      </c>
    </row>
    <row r="3707">
      <c r="A3707" t="inlineStr">
        <is>
          <t>3474636434145</t>
        </is>
      </c>
      <c r="B3707" t="inlineStr">
        <is>
          <t>L'Oréal Professionnel Hair Touch Dye Warm Blonde 75ml</t>
        </is>
      </c>
      <c r="C3707" t="inlineStr">
        <is>
          <t>Hair Dye</t>
        </is>
      </c>
      <c r="D3707" t="inlineStr">
        <is>
          <t>L'Oréal</t>
        </is>
      </c>
      <c r="E3707" t="n">
        <v>12.07</v>
      </c>
      <c r="F3707" t="n">
        <v>1</v>
      </c>
      <c r="G3707" t="n">
        <v>9</v>
      </c>
      <c r="H3707" s="5">
        <f>HYPERLINK("https://api.qogita.com/variants/link/3474636434145/", "View Product")</f>
        <v/>
      </c>
    </row>
    <row r="3708">
      <c r="A3708" t="inlineStr">
        <is>
          <t>3474636531912</t>
        </is>
      </c>
      <c r="B3708" t="inlineStr">
        <is>
          <t>Loreal Professionnel Paris Majirel #7.35 Golden Mahogany Blonde Permanent Hair Color 50mL</t>
        </is>
      </c>
      <c r="C3708" t="inlineStr">
        <is>
          <t>Hair Dye</t>
        </is>
      </c>
      <c r="D3708" t="inlineStr">
        <is>
          <t>L'Oréal Paris</t>
        </is>
      </c>
      <c r="E3708" t="n">
        <v>8.609999999999999</v>
      </c>
      <c r="F3708" t="n">
        <v>1</v>
      </c>
      <c r="G3708" t="n">
        <v>3</v>
      </c>
      <c r="H3708" s="5">
        <f>HYPERLINK("https://api.qogita.com/variants/link/3474636531912/", "View Product")</f>
        <v/>
      </c>
    </row>
    <row r="3709">
      <c r="A3709" t="inlineStr">
        <is>
          <t>3474636692170</t>
        </is>
      </c>
      <c r="B3709" t="inlineStr">
        <is>
          <t>Krastase Blond Absolu Bain Lumire 250ml Professional Hair Care</t>
        </is>
      </c>
      <c r="C3709" t="inlineStr">
        <is>
          <t>Shampoo</t>
        </is>
      </c>
      <c r="D3709" t="inlineStr">
        <is>
          <t>Kérastase</t>
        </is>
      </c>
      <c r="E3709" t="n">
        <v>23.32</v>
      </c>
      <c r="F3709" t="n">
        <v>1</v>
      </c>
      <c r="G3709" t="n">
        <v>5</v>
      </c>
      <c r="H3709" s="5">
        <f>HYPERLINK("https://api.qogita.com/variants/link/3474636692170/", "View Product")</f>
        <v/>
      </c>
    </row>
    <row r="3710">
      <c r="A3710" t="inlineStr">
        <is>
          <t>3474636857883</t>
        </is>
      </c>
      <c r="B3710" t="inlineStr">
        <is>
          <t>Krastase Genesis Fortifying Anti Hairfall Conditioner For Weak Hair 200ml</t>
        </is>
      </c>
      <c r="C3710" t="inlineStr">
        <is>
          <t>Conditioner</t>
        </is>
      </c>
      <c r="D3710" t="inlineStr">
        <is>
          <t>Kérastase</t>
        </is>
      </c>
      <c r="E3710" t="n">
        <v>31</v>
      </c>
      <c r="F3710" t="n">
        <v>1</v>
      </c>
      <c r="G3710" t="n">
        <v>9</v>
      </c>
      <c r="H3710" s="5">
        <f>HYPERLINK("https://api.qogita.com/variants/link/3474636857883/", "View Product")</f>
        <v/>
      </c>
    </row>
    <row r="3711">
      <c r="A3711" t="inlineStr">
        <is>
          <t>3474636857975</t>
        </is>
      </c>
      <c r="B3711" t="inlineStr">
        <is>
          <t>Krastase Genesis Dfense Thermique 150ml Professional Hair Care</t>
        </is>
      </c>
      <c r="C3711" t="inlineStr">
        <is>
          <t>Uv Protection</t>
        </is>
      </c>
      <c r="D3711" t="inlineStr">
        <is>
          <t>Kérastase</t>
        </is>
      </c>
      <c r="E3711" t="n">
        <v>28.91</v>
      </c>
      <c r="F3711" t="n">
        <v>1</v>
      </c>
      <c r="G3711" t="n">
        <v>11</v>
      </c>
      <c r="H3711" s="5">
        <f>HYPERLINK("https://api.qogita.com/variants/link/3474636857975/", "View Product")</f>
        <v/>
      </c>
    </row>
    <row r="3712">
      <c r="A3712" t="inlineStr">
        <is>
          <t>3474636858002</t>
        </is>
      </c>
      <c r="B3712" t="inlineStr">
        <is>
          <t>Krastase Genesis Anti Hairfall Fortifying Serum 90ml</t>
        </is>
      </c>
      <c r="C3712" t="inlineStr">
        <is>
          <t>Hair Oil &amp; Hair Serum</t>
        </is>
      </c>
      <c r="D3712" t="inlineStr">
        <is>
          <t>Kérastase</t>
        </is>
      </c>
      <c r="E3712" t="n">
        <v>40.22</v>
      </c>
      <c r="F3712" t="n">
        <v>1</v>
      </c>
      <c r="G3712" t="n">
        <v>10</v>
      </c>
      <c r="H3712" s="5">
        <f>HYPERLINK("https://api.qogita.com/variants/link/3474636858002/", "View Product")</f>
        <v/>
      </c>
    </row>
    <row r="3713">
      <c r="A3713" t="inlineStr">
        <is>
          <t>3474636876815</t>
        </is>
      </c>
      <c r="B3713" t="inlineStr">
        <is>
          <t>Shu Uemura Awa Volume Mousse 150ml Styling Foam For Hair Volume</t>
        </is>
      </c>
      <c r="C3713" t="inlineStr">
        <is>
          <t>Mousse</t>
        </is>
      </c>
      <c r="D3713" t="inlineStr">
        <is>
          <t>Shu Uemura</t>
        </is>
      </c>
      <c r="E3713" t="n">
        <v>46.49</v>
      </c>
      <c r="F3713" t="n">
        <v>1</v>
      </c>
      <c r="G3713" t="n">
        <v>7</v>
      </c>
      <c r="H3713" s="5">
        <f>HYPERLINK("https://api.qogita.com/variants/link/3474636876815/", "View Product")</f>
        <v/>
      </c>
    </row>
    <row r="3714">
      <c r="A3714" t="inlineStr">
        <is>
          <t>3474636919987</t>
        </is>
      </c>
      <c r="B3714" t="inlineStr">
        <is>
          <t>Redken All Soft Shampoo Soothing Shampoo For Dry And Brittle Hair 300ml</t>
        </is>
      </c>
      <c r="C3714" t="inlineStr">
        <is>
          <t>Shampoo</t>
        </is>
      </c>
      <c r="D3714" t="inlineStr">
        <is>
          <t>Redken</t>
        </is>
      </c>
      <c r="E3714" t="n">
        <v>18.41</v>
      </c>
      <c r="F3714" t="n">
        <v>1</v>
      </c>
      <c r="G3714" t="n">
        <v>21</v>
      </c>
      <c r="H3714" s="5">
        <f>HYPERLINK("https://api.qogita.com/variants/link/3474636919987/", "View Product")</f>
        <v/>
      </c>
    </row>
    <row r="3715">
      <c r="A3715" t="inlineStr">
        <is>
          <t>3474636920259</t>
        </is>
      </c>
      <c r="B3715" t="inlineStr">
        <is>
          <t>Redken Volume Injection Conditioner 300ml</t>
        </is>
      </c>
      <c r="C3715" t="inlineStr">
        <is>
          <t>Conditioner</t>
        </is>
      </c>
      <c r="D3715" t="inlineStr">
        <is>
          <t>Redken</t>
        </is>
      </c>
      <c r="E3715" t="n">
        <v>19.03</v>
      </c>
      <c r="F3715" t="n">
        <v>1</v>
      </c>
      <c r="G3715" t="n">
        <v>3</v>
      </c>
      <c r="H3715" s="5">
        <f>HYPERLINK("https://api.qogita.com/variants/link/3474636920259/", "View Product")</f>
        <v/>
      </c>
    </row>
    <row r="3716">
      <c r="A3716" t="inlineStr">
        <is>
          <t>3474636920266</t>
        </is>
      </c>
      <c r="B3716" t="inlineStr">
        <is>
          <t>Redken Volume Injection Shampoo 300ml Volumizing Shampoo</t>
        </is>
      </c>
      <c r="C3716" t="inlineStr">
        <is>
          <t>Shampoo</t>
        </is>
      </c>
      <c r="D3716" t="inlineStr">
        <is>
          <t>Redken</t>
        </is>
      </c>
      <c r="E3716" t="n">
        <v>17.15</v>
      </c>
      <c r="F3716" t="n">
        <v>1</v>
      </c>
      <c r="G3716" t="n">
        <v>11</v>
      </c>
      <c r="H3716" s="5">
        <f>HYPERLINK("https://api.qogita.com/variants/link/3474636920266/", "View Product")</f>
        <v/>
      </c>
    </row>
    <row r="3717">
      <c r="A3717" t="inlineStr">
        <is>
          <t>3474636961054</t>
        </is>
      </c>
      <c r="B3717" t="inlineStr">
        <is>
          <t>Redken All Soft Heavy Cream Softening Mask For Dry And Brittle Hair 250ml</t>
        </is>
      </c>
      <c r="C3717" t="inlineStr">
        <is>
          <t>Hair Masks</t>
        </is>
      </c>
      <c r="D3717" t="inlineStr">
        <is>
          <t>Redken</t>
        </is>
      </c>
      <c r="E3717" t="n">
        <v>30.28</v>
      </c>
      <c r="F3717" t="n">
        <v>1</v>
      </c>
      <c r="G3717" t="n">
        <v>8</v>
      </c>
      <c r="H3717" s="5">
        <f>HYPERLINK("https://api.qogita.com/variants/link/3474636961054/", "View Product")</f>
        <v/>
      </c>
    </row>
    <row r="3718">
      <c r="A3718" t="inlineStr">
        <is>
          <t>3474636974269</t>
        </is>
      </c>
      <c r="B3718" t="inlineStr">
        <is>
          <t>L'Oreal Professionnel Serie Expert Silver Shampoo For Gray And Lightened Hair 500ml</t>
        </is>
      </c>
      <c r="C3718" t="inlineStr">
        <is>
          <t>Shampoo</t>
        </is>
      </c>
      <c r="D3718" t="inlineStr">
        <is>
          <t>Lo'real Professionnel</t>
        </is>
      </c>
      <c r="E3718" t="n">
        <v>14.33</v>
      </c>
      <c r="F3718" t="n">
        <v>1</v>
      </c>
      <c r="G3718" t="n">
        <v>6</v>
      </c>
      <c r="H3718" s="5">
        <f>HYPERLINK("https://api.qogita.com/variants/link/3474636974269/", "View Product")</f>
        <v/>
      </c>
    </row>
    <row r="3719">
      <c r="A3719" t="inlineStr">
        <is>
          <t>3474636974320</t>
        </is>
      </c>
      <c r="B3719" t="inlineStr">
        <is>
          <t>L'Oreal Professionnel Serie Expert Liss Unlimited Oil - 125ml Smoothing Oil For Unruly Hair</t>
        </is>
      </c>
      <c r="C3719" t="inlineStr">
        <is>
          <t>Hair Oil &amp; Hair Serum</t>
        </is>
      </c>
      <c r="D3719" t="inlineStr">
        <is>
          <t>Lo'real Professionnel</t>
        </is>
      </c>
      <c r="E3719" t="n">
        <v>17.1</v>
      </c>
      <c r="F3719" t="n">
        <v>1</v>
      </c>
      <c r="G3719" t="n">
        <v>4</v>
      </c>
      <c r="H3719" s="5">
        <f>HYPERLINK("https://api.qogita.com/variants/link/3474636974320/", "View Product")</f>
        <v/>
      </c>
    </row>
    <row r="3720">
      <c r="A3720" t="inlineStr">
        <is>
          <t>3474636974368</t>
        </is>
      </c>
      <c r="B3720" t="inlineStr">
        <is>
          <t>L'Oreal Professionnel Serie Expert Vitamino Color 10 In 1 Multifunctional Spray For Colored Hair 190ml</t>
        </is>
      </c>
      <c r="C3720" t="inlineStr">
        <is>
          <t>Leave-In Conditioner</t>
        </is>
      </c>
      <c r="D3720" t="inlineStr">
        <is>
          <t>Lo'real Professionnel</t>
        </is>
      </c>
      <c r="E3720" t="n">
        <v>12.62</v>
      </c>
      <c r="F3720" t="n">
        <v>1</v>
      </c>
      <c r="G3720" t="n">
        <v>31</v>
      </c>
      <c r="H3720" s="5">
        <f>HYPERLINK("https://api.qogita.com/variants/link/3474636974368/", "View Product")</f>
        <v/>
      </c>
    </row>
    <row r="3721">
      <c r="A3721" t="inlineStr">
        <is>
          <t>3474636974412</t>
        </is>
      </c>
      <c r="B3721" t="inlineStr">
        <is>
          <t>L'Oral Professionnel Pro Longer Shampoo 300ml</t>
        </is>
      </c>
      <c r="C3721" t="inlineStr">
        <is>
          <t>Shampoo</t>
        </is>
      </c>
      <c r="D3721" t="inlineStr">
        <is>
          <t>L'Oréal Professionnel</t>
        </is>
      </c>
      <c r="E3721" t="n">
        <v>9.4</v>
      </c>
      <c r="F3721" t="n">
        <v>1</v>
      </c>
      <c r="G3721" t="n">
        <v>21</v>
      </c>
      <c r="H3721" s="5">
        <f>HYPERLINK("https://api.qogita.com/variants/link/3474636974412/", "View Product")</f>
        <v/>
      </c>
    </row>
    <row r="3722">
      <c r="A3722" t="inlineStr">
        <is>
          <t>3474636975327</t>
        </is>
      </c>
      <c r="B3722" t="inlineStr">
        <is>
          <t>L'Oreal Professionnel Serie Expert Absolut Repair Golden Mask 250ml - Regenerating Mask For Damaged Hair</t>
        </is>
      </c>
      <c r="C3722" t="inlineStr">
        <is>
          <t>Hair Masks</t>
        </is>
      </c>
      <c r="D3722" t="inlineStr">
        <is>
          <t>Lo'real Professionnel</t>
        </is>
      </c>
      <c r="E3722" t="n">
        <v>17.58</v>
      </c>
      <c r="F3722" t="n">
        <v>1</v>
      </c>
      <c r="G3722" t="n">
        <v>11</v>
      </c>
      <c r="H3722" s="5">
        <f>HYPERLINK("https://api.qogita.com/variants/link/3474636975327/", "View Product")</f>
        <v/>
      </c>
    </row>
    <row r="3723">
      <c r="A3723" t="inlineStr">
        <is>
          <t>3474636975426</t>
        </is>
      </c>
      <c r="B3723" t="inlineStr">
        <is>
          <t>L'Oral Professionnel Blondifier Masque 500ml Expert Hair Mask For Blonde Hair</t>
        </is>
      </c>
      <c r="C3723" t="inlineStr">
        <is>
          <t>Hair Masks</t>
        </is>
      </c>
      <c r="D3723" t="inlineStr">
        <is>
          <t>L'Oréal Professionnel</t>
        </is>
      </c>
      <c r="E3723" t="n">
        <v>21.07</v>
      </c>
      <c r="F3723" t="n">
        <v>1</v>
      </c>
      <c r="G3723" t="n">
        <v>4</v>
      </c>
      <c r="H3723" s="5">
        <f>HYPERLINK("https://api.qogita.com/variants/link/3474636975426/", "View Product")</f>
        <v/>
      </c>
    </row>
    <row r="3724">
      <c r="A3724" t="inlineStr">
        <is>
          <t>3474636975600</t>
        </is>
      </c>
      <c r="B3724" t="inlineStr">
        <is>
          <t>L'Oreal Professionnel Pro Longer Shampoo 1500ml</t>
        </is>
      </c>
      <c r="C3724" t="inlineStr">
        <is>
          <t>Shampoo</t>
        </is>
      </c>
      <c r="D3724" t="inlineStr">
        <is>
          <t>L'Oréal Professionnel</t>
        </is>
      </c>
      <c r="E3724" t="n">
        <v>29.8</v>
      </c>
      <c r="F3724" t="n">
        <v>1</v>
      </c>
      <c r="G3724" t="n">
        <v>21</v>
      </c>
      <c r="H3724" s="5">
        <f>HYPERLINK("https://api.qogita.com/variants/link/3474636975600/", "View Product")</f>
        <v/>
      </c>
    </row>
    <row r="3725">
      <c r="A3725" t="inlineStr">
        <is>
          <t>3474636975709</t>
        </is>
      </c>
      <c r="B3725" t="inlineStr">
        <is>
          <t>L'Oreal Professionnel Serie Expert Vitamino Color Conditioner For Colored Hair 200ml</t>
        </is>
      </c>
      <c r="C3725" t="inlineStr">
        <is>
          <t>Conditioner</t>
        </is>
      </c>
      <c r="D3725" t="inlineStr">
        <is>
          <t>Lo'real Professionnel</t>
        </is>
      </c>
      <c r="E3725" t="n">
        <v>14.96</v>
      </c>
      <c r="F3725" t="n">
        <v>1</v>
      </c>
      <c r="G3725" t="n">
        <v>9</v>
      </c>
      <c r="H3725" s="5">
        <f>HYPERLINK("https://api.qogita.com/variants/link/3474636975709/", "View Product")</f>
        <v/>
      </c>
    </row>
    <row r="3726">
      <c r="A3726" t="inlineStr">
        <is>
          <t>3474636975938</t>
        </is>
      </c>
      <c r="B3726" t="inlineStr">
        <is>
          <t>L'Oral Professionnel Absolut Repair Shampoo 1500ml</t>
        </is>
      </c>
      <c r="C3726" t="inlineStr">
        <is>
          <t>Shampoo</t>
        </is>
      </c>
      <c r="D3726" t="inlineStr">
        <is>
          <t>L'Oréal Professionnel</t>
        </is>
      </c>
      <c r="E3726" t="n">
        <v>28.97</v>
      </c>
      <c r="F3726" t="n">
        <v>1</v>
      </c>
      <c r="G3726" t="n">
        <v>27</v>
      </c>
      <c r="H3726" s="5">
        <f>HYPERLINK("https://api.qogita.com/variants/link/3474636975938/", "View Product")</f>
        <v/>
      </c>
    </row>
    <row r="3727">
      <c r="A3727" t="inlineStr">
        <is>
          <t>3474636976003</t>
        </is>
      </c>
      <c r="B3727" t="inlineStr">
        <is>
          <t>L'Oral Professionnel Blondifier Professional Conditioner 200ml</t>
        </is>
      </c>
      <c r="C3727" t="inlineStr">
        <is>
          <t>Conditioner</t>
        </is>
      </c>
      <c r="D3727" t="inlineStr">
        <is>
          <t>L'Oréal Professionnel</t>
        </is>
      </c>
      <c r="E3727" t="n">
        <v>17.91</v>
      </c>
      <c r="F3727" t="n">
        <v>1</v>
      </c>
      <c r="G3727" t="n">
        <v>38</v>
      </c>
      <c r="H3727" s="5">
        <f>HYPERLINK("https://api.qogita.com/variants/link/3474636976003/", "View Product")</f>
        <v/>
      </c>
    </row>
    <row r="3728">
      <c r="A3728" t="inlineStr">
        <is>
          <t>3474636976072</t>
        </is>
      </c>
      <c r="B3728" t="inlineStr">
        <is>
          <t>L'Oreal Professionnel Serie Expert Pro Longer Mask Hair Appearance Improving Mask 250ml</t>
        </is>
      </c>
      <c r="C3728" t="inlineStr">
        <is>
          <t>Hair Masks</t>
        </is>
      </c>
      <c r="D3728" t="inlineStr">
        <is>
          <t>Lo'real Professionnel</t>
        </is>
      </c>
      <c r="E3728" t="n">
        <v>16.86</v>
      </c>
      <c r="F3728" t="n">
        <v>1</v>
      </c>
      <c r="G3728" t="n">
        <v>8</v>
      </c>
      <c r="H3728" s="5">
        <f>HYPERLINK("https://api.qogita.com/variants/link/3474636976072/", "View Product")</f>
        <v/>
      </c>
    </row>
    <row r="3729">
      <c r="A3729" t="inlineStr">
        <is>
          <t>3474636976126</t>
        </is>
      </c>
      <c r="B3729" t="inlineStr">
        <is>
          <t>L'Oral Professionnel Silver Professional Conditioner 200ml Neutralizes Unwanted Shades Of Gray And White Hair</t>
        </is>
      </c>
      <c r="C3729" t="inlineStr">
        <is>
          <t>Conditioner</t>
        </is>
      </c>
      <c r="D3729" t="inlineStr">
        <is>
          <t>L'Oréal Professionnel</t>
        </is>
      </c>
      <c r="E3729" t="n">
        <v>10.09</v>
      </c>
      <c r="F3729" t="n">
        <v>1</v>
      </c>
      <c r="G3729" t="n">
        <v>22</v>
      </c>
      <c r="H3729" s="5">
        <f>HYPERLINK("https://api.qogita.com/variants/link/3474636976126/", "View Product")</f>
        <v/>
      </c>
    </row>
    <row r="3730">
      <c r="A3730" t="inlineStr">
        <is>
          <t>3474636977062</t>
        </is>
      </c>
      <c r="B3730" t="inlineStr">
        <is>
          <t>Redken Color Extend Blondage Shampoo Neutralizes Yellow Tones In Hair</t>
        </is>
      </c>
      <c r="C3730" t="inlineStr">
        <is>
          <t>Shampoo</t>
        </is>
      </c>
      <c r="D3730" t="inlineStr">
        <is>
          <t>Redken</t>
        </is>
      </c>
      <c r="E3730" t="n">
        <v>19.21</v>
      </c>
      <c r="F3730" t="n">
        <v>1</v>
      </c>
      <c r="G3730" t="n">
        <v>25</v>
      </c>
      <c r="H3730" s="5">
        <f>HYPERLINK("https://api.qogita.com/variants/link/3474636977062/", "View Product")</f>
        <v/>
      </c>
    </row>
    <row r="3731">
      <c r="A3731" t="inlineStr">
        <is>
          <t>3474636977369</t>
        </is>
      </c>
      <c r="B3731" t="inlineStr">
        <is>
          <t>L'Oreal Professionnel Serie Expert Absolut Repair Oil 10 In 1 Hair Oil For Normal And Sensitive Hair 90ml</t>
        </is>
      </c>
      <c r="C3731" t="inlineStr">
        <is>
          <t>Hair Oil &amp; Hair Serum</t>
        </is>
      </c>
      <c r="D3731" t="inlineStr">
        <is>
          <t>Lo'real Professionnel</t>
        </is>
      </c>
      <c r="E3731" t="n">
        <v>16.17</v>
      </c>
      <c r="F3731" t="n">
        <v>1</v>
      </c>
      <c r="G3731" t="n">
        <v>32</v>
      </c>
      <c r="H3731" s="5">
        <f>HYPERLINK("https://api.qogita.com/variants/link/3474636977369/", "View Product")</f>
        <v/>
      </c>
    </row>
    <row r="3732">
      <c r="A3732" t="inlineStr">
        <is>
          <t>3474636979141</t>
        </is>
      </c>
      <c r="B3732" t="inlineStr">
        <is>
          <t>L'Oreal Blond Studio 7 Multi-Techniques Lightening Platinum Plus Paste 500g</t>
        </is>
      </c>
      <c r="C3732" t="inlineStr">
        <is>
          <t>Bleaching</t>
        </is>
      </c>
      <c r="D3732" t="inlineStr">
        <is>
          <t>L'Oréal</t>
        </is>
      </c>
      <c r="E3732" t="n">
        <v>45.17</v>
      </c>
      <c r="F3732" t="n">
        <v>1</v>
      </c>
      <c r="G3732" t="n">
        <v>3</v>
      </c>
      <c r="H3732" s="5">
        <f>HYPERLINK("https://api.qogita.com/variants/link/3474636979141/", "View Product")</f>
        <v/>
      </c>
    </row>
    <row r="3733">
      <c r="A3733" t="inlineStr">
        <is>
          <t>3474637069070</t>
        </is>
      </c>
      <c r="B3733" t="inlineStr">
        <is>
          <t>L'Oral Professionnel Series Expert Curl Expression Professional Shampoo For Wavy And Curly Hair</t>
        </is>
      </c>
      <c r="C3733" t="inlineStr">
        <is>
          <t>Shampoo</t>
        </is>
      </c>
      <c r="D3733" t="inlineStr">
        <is>
          <t>L'Oréal Professionnel</t>
        </is>
      </c>
      <c r="E3733" t="n">
        <v>14.11</v>
      </c>
      <c r="F3733" t="n">
        <v>1</v>
      </c>
      <c r="G3733" t="n">
        <v>16</v>
      </c>
      <c r="H3733" s="5">
        <f>HYPERLINK("https://api.qogita.com/variants/link/3474637069070/", "View Product")</f>
        <v/>
      </c>
    </row>
    <row r="3734">
      <c r="A3734" t="inlineStr">
        <is>
          <t>3474637069179</t>
        </is>
      </c>
      <c r="B3734" t="inlineStr">
        <is>
          <t>Curl Expression Professional Mask 500ml</t>
        </is>
      </c>
      <c r="C3734" t="inlineStr">
        <is>
          <t>Hair Masks</t>
        </is>
      </c>
      <c r="D3734" t="inlineStr">
        <is>
          <t>L'Oréal</t>
        </is>
      </c>
      <c r="E3734" t="n">
        <v>19.62</v>
      </c>
      <c r="F3734" t="n">
        <v>1</v>
      </c>
      <c r="G3734" t="n">
        <v>10</v>
      </c>
      <c r="H3734" s="5">
        <f>HYPERLINK("https://api.qogita.com/variants/link/3474637069179/", "View Product")</f>
        <v/>
      </c>
    </row>
    <row r="3735">
      <c r="A3735" t="inlineStr">
        <is>
          <t>3474637076498</t>
        </is>
      </c>
      <c r="B3735" t="inlineStr">
        <is>
          <t>L'Oral Professionnel Curl Expression Professional Caring Mist 190ml</t>
        </is>
      </c>
      <c r="C3735" t="inlineStr">
        <is>
          <t>Leave-In Conditioner</t>
        </is>
      </c>
      <c r="D3735" t="inlineStr">
        <is>
          <t>L'Oréal Professionnel</t>
        </is>
      </c>
      <c r="E3735" t="n">
        <v>15.12</v>
      </c>
      <c r="F3735" t="n">
        <v>1</v>
      </c>
      <c r="G3735" t="n">
        <v>15</v>
      </c>
      <c r="H3735" s="5">
        <f>HYPERLINK("https://api.qogita.com/variants/link/3474637076498/", "View Product")</f>
        <v/>
      </c>
    </row>
    <row r="3736">
      <c r="A3736" t="inlineStr">
        <is>
          <t>3474637090586</t>
        </is>
      </c>
      <c r="B3736" t="inlineStr">
        <is>
          <t>L'Oral Professionnel Scalp Advanced Antidiscomfort Intense Soother 200 Ml</t>
        </is>
      </c>
      <c r="C3736" t="inlineStr">
        <is>
          <t>Scalp Care</t>
        </is>
      </c>
      <c r="D3736" t="inlineStr">
        <is>
          <t>L'Oréal Professionnel</t>
        </is>
      </c>
      <c r="E3736" t="n">
        <v>11.43</v>
      </c>
      <c r="F3736" t="n">
        <v>1</v>
      </c>
      <c r="G3736" t="n">
        <v>5</v>
      </c>
      <c r="H3736" s="5">
        <f>HYPERLINK("https://api.qogita.com/variants/link/3474637090586/", "View Product")</f>
        <v/>
      </c>
    </row>
    <row r="3737">
      <c r="A3737" t="inlineStr">
        <is>
          <t>3474637103583</t>
        </is>
      </c>
      <c r="B3737" t="inlineStr">
        <is>
          <t>Matrix Vavoom Triple Freeze Extra Dry Hair Spray 300ml</t>
        </is>
      </c>
      <c r="C3737" t="inlineStr">
        <is>
          <t>Hairspray</t>
        </is>
      </c>
      <c r="D3737" t="inlineStr">
        <is>
          <t>Matrix</t>
        </is>
      </c>
      <c r="E3737" t="n">
        <v>11.29</v>
      </c>
      <c r="F3737" t="n">
        <v>1</v>
      </c>
      <c r="G3737" t="n">
        <v>5</v>
      </c>
      <c r="H3737" s="5">
        <f>HYPERLINK("https://api.qogita.com/variants/link/3474637103583/", "View Product")</f>
        <v/>
      </c>
    </row>
    <row r="3738">
      <c r="A3738" t="inlineStr">
        <is>
          <t>3474637103613</t>
        </is>
      </c>
      <c r="B3738" t="inlineStr">
        <is>
          <t>Matrix Builder Wax Spray - 250ml For Semi-Matte Finish</t>
        </is>
      </c>
      <c r="C3738" t="inlineStr">
        <is>
          <t>Wax</t>
        </is>
      </c>
      <c r="D3738" t="inlineStr">
        <is>
          <t>Matrix</t>
        </is>
      </c>
      <c r="E3738" t="n">
        <v>12.86</v>
      </c>
      <c r="F3738" t="n">
        <v>1</v>
      </c>
      <c r="G3738" t="n">
        <v>22</v>
      </c>
      <c r="H3738" s="5">
        <f>HYPERLINK("https://api.qogita.com/variants/link/3474637103613/", "View Product")</f>
        <v/>
      </c>
    </row>
    <row r="3739">
      <c r="A3739" t="inlineStr">
        <is>
          <t>3474637103620</t>
        </is>
      </c>
      <c r="B3739" t="inlineStr">
        <is>
          <t>Matrix Style Link Fixer Hairspray 400ml</t>
        </is>
      </c>
      <c r="C3739" t="inlineStr">
        <is>
          <t>Hairspray</t>
        </is>
      </c>
      <c r="D3739" t="inlineStr">
        <is>
          <t>Matrix</t>
        </is>
      </c>
      <c r="E3739" t="n">
        <v>12.86</v>
      </c>
      <c r="F3739" t="n">
        <v>1</v>
      </c>
      <c r="G3739" t="n">
        <v>25</v>
      </c>
      <c r="H3739" s="5">
        <f>HYPERLINK("https://api.qogita.com/variants/link/3474637103620/", "View Product")</f>
        <v/>
      </c>
    </row>
    <row r="3740">
      <c r="A3740" t="inlineStr">
        <is>
          <t>3474637106430</t>
        </is>
      </c>
      <c r="B3740" t="inlineStr">
        <is>
          <t>L'Oral Professionnel Scalp Advanced Antioiliness Shampoo 500ml</t>
        </is>
      </c>
      <c r="C3740" t="inlineStr">
        <is>
          <t>Shampoo</t>
        </is>
      </c>
      <c r="D3740" t="inlineStr">
        <is>
          <t>L'Oréal Professionnel</t>
        </is>
      </c>
      <c r="E3740" t="n">
        <v>23.57</v>
      </c>
      <c r="F3740" t="n">
        <v>1</v>
      </c>
      <c r="G3740" t="n">
        <v>6</v>
      </c>
      <c r="H3740" s="5">
        <f>HYPERLINK("https://api.qogita.com/variants/link/3474637106430/", "View Product")</f>
        <v/>
      </c>
    </row>
    <row r="3741">
      <c r="A3741" t="inlineStr">
        <is>
          <t>3474637106447</t>
        </is>
      </c>
      <c r="B3741" t="inlineStr">
        <is>
          <t>L'Oreal Professionnel Serie Expert Scalp Advanced Anti-Oiliness</t>
        </is>
      </c>
      <c r="C3741" t="inlineStr">
        <is>
          <t>Scalp Care</t>
        </is>
      </c>
      <c r="D3741" t="inlineStr">
        <is>
          <t>L'Oréal Professionnel</t>
        </is>
      </c>
      <c r="E3741" t="n">
        <v>27.47</v>
      </c>
      <c r="F3741" t="n">
        <v>1</v>
      </c>
      <c r="G3741" t="n">
        <v>4</v>
      </c>
      <c r="H3741" s="5">
        <f>HYPERLINK("https://api.qogita.com/variants/link/3474637106447/", "View Product")</f>
        <v/>
      </c>
    </row>
    <row r="3742">
      <c r="A3742" t="inlineStr">
        <is>
          <t>3474637109387</t>
        </is>
      </c>
      <c r="B3742" t="inlineStr">
        <is>
          <t>L'Oreal Professionnel Scalp Advanced Anti-Dandruff Dermo-Clarifier Shampoo</t>
        </is>
      </c>
      <c r="C3742" t="inlineStr">
        <is>
          <t>Shampoo</t>
        </is>
      </c>
      <c r="D3742" t="inlineStr">
        <is>
          <t>L'Oréal Professionnel</t>
        </is>
      </c>
      <c r="E3742" t="n">
        <v>9.960000000000001</v>
      </c>
      <c r="F3742" t="n">
        <v>1</v>
      </c>
      <c r="G3742" t="n">
        <v>3</v>
      </c>
      <c r="H3742" s="5">
        <f>HYPERLINK("https://api.qogita.com/variants/link/3474637109387/", "View Product")</f>
        <v/>
      </c>
    </row>
    <row r="3743">
      <c r="A3743" t="inlineStr">
        <is>
          <t>3474637141929</t>
        </is>
      </c>
      <c r="B3743" t="inlineStr">
        <is>
          <t>Matrix Food For Soft Hydrating Shampoo - 300ml</t>
        </is>
      </c>
      <c r="C3743" t="inlineStr">
        <is>
          <t>Shampoo</t>
        </is>
      </c>
      <c r="D3743" t="inlineStr">
        <is>
          <t>Matrix</t>
        </is>
      </c>
      <c r="E3743" t="n">
        <v>10.74</v>
      </c>
      <c r="F3743" t="n">
        <v>1</v>
      </c>
      <c r="G3743" t="n">
        <v>4</v>
      </c>
      <c r="H3743" s="5">
        <f>HYPERLINK("https://api.qogita.com/variants/link/3474637141929/", "View Product")</f>
        <v/>
      </c>
    </row>
    <row r="3744">
      <c r="A3744" t="inlineStr">
        <is>
          <t>3474637153434</t>
        </is>
      </c>
      <c r="B3744" t="inlineStr">
        <is>
          <t>Steampod L'Oral Professionnel Steampod Serum 3 In 1 50ml Professional Smoothing Treatment</t>
        </is>
      </c>
      <c r="C3744" t="inlineStr">
        <is>
          <t>Hair Oil &amp; Hair Serum</t>
        </is>
      </c>
      <c r="D3744" t="inlineStr">
        <is>
          <t>L'Oréal Professionnel</t>
        </is>
      </c>
      <c r="E3744" t="n">
        <v>35.03</v>
      </c>
      <c r="F3744" t="n">
        <v>1</v>
      </c>
      <c r="G3744" t="n">
        <v>19</v>
      </c>
      <c r="H3744" s="5">
        <f>HYPERLINK("https://api.qogita.com/variants/link/3474637153434/", "View Product")</f>
        <v/>
      </c>
    </row>
    <row r="3745">
      <c r="A3745" t="inlineStr">
        <is>
          <t>3474637153526</t>
        </is>
      </c>
      <c r="B3745" t="inlineStr">
        <is>
          <t>L'Oral Professionnel Absolut Repair Molecular Shampoo 300ml</t>
        </is>
      </c>
      <c r="C3745" t="inlineStr">
        <is>
          <t>Shampoo</t>
        </is>
      </c>
      <c r="D3745" t="inlineStr">
        <is>
          <t>L'Oréal Professionnel</t>
        </is>
      </c>
      <c r="E3745" t="n">
        <v>16.15</v>
      </c>
      <c r="F3745" t="n">
        <v>1</v>
      </c>
      <c r="G3745" t="n">
        <v>11</v>
      </c>
      <c r="H3745" s="5">
        <f>HYPERLINK("https://api.qogita.com/variants/link/3474637153526/", "View Product")</f>
        <v/>
      </c>
    </row>
    <row r="3746">
      <c r="A3746" t="inlineStr">
        <is>
          <t>3474637153557</t>
        </is>
      </c>
      <c r="B3746" t="inlineStr">
        <is>
          <t>L'Oral Professionnel Absolut Repair Molecular Shampoo 500ml</t>
        </is>
      </c>
      <c r="C3746" t="inlineStr">
        <is>
          <t>Shampoo</t>
        </is>
      </c>
      <c r="D3746" t="inlineStr">
        <is>
          <t>L'Oréal Professionnel</t>
        </is>
      </c>
      <c r="E3746" t="n">
        <v>25.28</v>
      </c>
      <c r="F3746" t="n">
        <v>1</v>
      </c>
      <c r="G3746" t="n">
        <v>12</v>
      </c>
      <c r="H3746" s="5">
        <f>HYPERLINK("https://api.qogita.com/variants/link/3474637153557/", "View Product")</f>
        <v/>
      </c>
    </row>
    <row r="3747">
      <c r="A3747" t="inlineStr">
        <is>
          <t>3474637173463</t>
        </is>
      </c>
      <c r="B3747" t="inlineStr">
        <is>
          <t>Redken Brightening Conditioner Acidic Color Gloss 300ml</t>
        </is>
      </c>
      <c r="C3747" t="inlineStr">
        <is>
          <t>Conditioner</t>
        </is>
      </c>
      <c r="D3747" t="inlineStr">
        <is>
          <t>Redken</t>
        </is>
      </c>
      <c r="E3747" t="n">
        <v>24.41</v>
      </c>
      <c r="F3747" t="n">
        <v>1</v>
      </c>
      <c r="G3747" t="n">
        <v>6</v>
      </c>
      <c r="H3747" s="5">
        <f>HYPERLINK("https://api.qogita.com/variants/link/3474637173463/", "View Product")</f>
        <v/>
      </c>
    </row>
    <row r="3748">
      <c r="A3748" t="inlineStr">
        <is>
          <t>3474637195892</t>
        </is>
      </c>
      <c r="B3748" t="inlineStr">
        <is>
          <t>Krastase Premire Bain Dcalcifiant Rparateur 1000ml Restoring Shampoo For Damaged Hair</t>
        </is>
      </c>
      <c r="C3748" t="inlineStr">
        <is>
          <t>Shampoo</t>
        </is>
      </c>
      <c r="D3748" t="inlineStr">
        <is>
          <t>Kérastase</t>
        </is>
      </c>
      <c r="E3748" t="n">
        <v>68.17</v>
      </c>
      <c r="F3748" t="n">
        <v>1</v>
      </c>
      <c r="G3748" t="n">
        <v>3</v>
      </c>
      <c r="H3748" s="5">
        <f>HYPERLINK("https://api.qogita.com/variants/link/3474637195892/", "View Product")</f>
        <v/>
      </c>
    </row>
    <row r="3749">
      <c r="A3749" t="inlineStr">
        <is>
          <t>3474637219710</t>
        </is>
      </c>
      <c r="B3749" t="inlineStr">
        <is>
          <t>Matrix Brass Off Blue Conditioner 300ml With Neutralizing And Moisturizing Effect</t>
        </is>
      </c>
      <c r="C3749" t="inlineStr">
        <is>
          <t>Conditioner</t>
        </is>
      </c>
      <c r="D3749" t="inlineStr">
        <is>
          <t>Matrix</t>
        </is>
      </c>
      <c r="E3749" t="n">
        <v>10.39</v>
      </c>
      <c r="F3749" t="n">
        <v>1</v>
      </c>
      <c r="G3749" t="n">
        <v>6</v>
      </c>
      <c r="H3749" s="5">
        <f>HYPERLINK("https://api.qogita.com/variants/link/3474637219710/", "View Product")</f>
        <v/>
      </c>
    </row>
    <row r="3750">
      <c r="A3750" t="inlineStr">
        <is>
          <t>3474637220129</t>
        </is>
      </c>
      <c r="B3750" t="inlineStr">
        <is>
          <t>Matrix A Curl Can Dream Weightless Moisture Conditioner For Wavy And Curly Hair</t>
        </is>
      </c>
      <c r="C3750" t="inlineStr">
        <is>
          <t>Conditioner</t>
        </is>
      </c>
      <c r="D3750" t="inlineStr">
        <is>
          <t>Matrix</t>
        </is>
      </c>
      <c r="E3750" t="n">
        <v>20.35</v>
      </c>
      <c r="F3750" t="n">
        <v>1</v>
      </c>
      <c r="G3750" t="n">
        <v>4</v>
      </c>
      <c r="H3750" s="5">
        <f>HYPERLINK("https://api.qogita.com/variants/link/3474637220129/", "View Product")</f>
        <v/>
      </c>
    </row>
    <row r="3751">
      <c r="A3751" t="inlineStr">
        <is>
          <t>3474637220143</t>
        </is>
      </c>
      <c r="B3751" t="inlineStr">
        <is>
          <t>Matrix Total Results A Curl Can Dream Shampoo For Curls And Coils</t>
        </is>
      </c>
      <c r="C3751" t="inlineStr">
        <is>
          <t>Shampoo</t>
        </is>
      </c>
      <c r="D3751" t="inlineStr">
        <is>
          <t>Matrix</t>
        </is>
      </c>
      <c r="E3751" t="n">
        <v>20.35</v>
      </c>
      <c r="F3751" t="n">
        <v>1</v>
      </c>
      <c r="G3751" t="n">
        <v>9</v>
      </c>
      <c r="H3751" s="5">
        <f>HYPERLINK("https://api.qogita.com/variants/link/3474637220143/", "View Product")</f>
        <v/>
      </c>
    </row>
    <row r="3752">
      <c r="A3752" t="inlineStr">
        <is>
          <t>3474637220228</t>
        </is>
      </c>
      <c r="B3752" t="inlineStr">
        <is>
          <t>Matrix A Curl Can Dream Scrunch N' Go Defining Spray 250 Ml</t>
        </is>
      </c>
      <c r="C3752" t="inlineStr">
        <is>
          <t>Styling Sprays</t>
        </is>
      </c>
      <c r="D3752" t="inlineStr">
        <is>
          <t>Matrix</t>
        </is>
      </c>
      <c r="E3752" t="n">
        <v>16.05</v>
      </c>
      <c r="F3752" t="n">
        <v>1</v>
      </c>
      <c r="G3752" t="n">
        <v>4</v>
      </c>
      <c r="H3752" s="5">
        <f>HYPERLINK("https://api.qogita.com/variants/link/3474637220228/", "View Product")</f>
        <v/>
      </c>
    </row>
    <row r="3753">
      <c r="A3753" t="inlineStr">
        <is>
          <t>3474637236304</t>
        </is>
      </c>
      <c r="B3753" t="inlineStr">
        <is>
          <t>Matrix Tr Instacure Leave In 150ml Leavein Care For Damaged Hair</t>
        </is>
      </c>
      <c r="C3753" t="inlineStr">
        <is>
          <t>Leave-In Conditioner</t>
        </is>
      </c>
      <c r="D3753" t="inlineStr">
        <is>
          <t>Matrix</t>
        </is>
      </c>
      <c r="E3753" t="n">
        <v>14.47</v>
      </c>
      <c r="F3753" t="n">
        <v>1</v>
      </c>
      <c r="G3753" t="n">
        <v>19</v>
      </c>
      <c r="H3753" s="5">
        <f>HYPERLINK("https://api.qogita.com/variants/link/3474637236304/", "View Product")</f>
        <v/>
      </c>
    </row>
    <row r="3754">
      <c r="A3754" t="inlineStr">
        <is>
          <t>3474637238780</t>
        </is>
      </c>
      <c r="B3754" t="inlineStr">
        <is>
          <t>Krastase Chronologiste Luxury Holiday Gift Set Hair Care</t>
        </is>
      </c>
      <c r="C3754" t="inlineStr">
        <is>
          <t>Hair Care Sets</t>
        </is>
      </c>
      <c r="D3754" t="inlineStr">
        <is>
          <t>Kérastase</t>
        </is>
      </c>
      <c r="E3754" t="n">
        <v>122.02</v>
      </c>
      <c r="F3754" t="n">
        <v>1</v>
      </c>
      <c r="G3754" t="n">
        <v>10</v>
      </c>
      <c r="H3754" s="5">
        <f>HYPERLINK("https://api.qogita.com/variants/link/3474637238780/", "View Product")</f>
        <v/>
      </c>
    </row>
    <row r="3755">
      <c r="A3755" t="inlineStr">
        <is>
          <t>3474637240677</t>
        </is>
      </c>
      <c r="B3755" t="inlineStr">
        <is>
          <t>Matrix Instacure Build A Bond Leave In Balm 75 Ml</t>
        </is>
      </c>
      <c r="C3755" t="inlineStr">
        <is>
          <t>Leave-In Conditioner</t>
        </is>
      </c>
      <c r="D3755" t="inlineStr">
        <is>
          <t>Matrix</t>
        </is>
      </c>
      <c r="E3755" t="n">
        <v>15.43</v>
      </c>
      <c r="F3755" t="n">
        <v>1</v>
      </c>
      <c r="G3755" t="n">
        <v>2</v>
      </c>
      <c r="H3755" s="5">
        <f>HYPERLINK("https://api.qogita.com/variants/link/3474637240677/", "View Product")</f>
        <v/>
      </c>
    </row>
    <row r="3756">
      <c r="A3756" t="inlineStr">
        <is>
          <t>3474637257002</t>
        </is>
      </c>
      <c r="B3756" t="inlineStr">
        <is>
          <t>Matrix Glow Mania Glazing Queen Super Gloss Protecting Mask 500 Ml</t>
        </is>
      </c>
      <c r="C3756" t="inlineStr">
        <is>
          <t>Hair Masks</t>
        </is>
      </c>
      <c r="D3756" t="inlineStr">
        <is>
          <t>Matrix</t>
        </is>
      </c>
      <c r="E3756" t="n">
        <v>25.85</v>
      </c>
      <c r="F3756" t="n">
        <v>1</v>
      </c>
      <c r="G3756" t="n">
        <v>6</v>
      </c>
      <c r="H3756" s="5">
        <f>HYPERLINK("https://api.qogita.com/variants/link/3474637257002/", "View Product")</f>
        <v/>
      </c>
    </row>
    <row r="3757">
      <c r="A3757" t="inlineStr">
        <is>
          <t>3474637268756</t>
        </is>
      </c>
      <c r="B3757" t="inlineStr">
        <is>
          <t>L'Oreal Professionnel Vitamino Color Spectrum Shampoo For Colored Hair</t>
        </is>
      </c>
      <c r="C3757" t="inlineStr">
        <is>
          <t>Shampoo</t>
        </is>
      </c>
      <c r="D3757" t="inlineStr">
        <is>
          <t>Lo'real Professionnel</t>
        </is>
      </c>
      <c r="E3757" t="n">
        <v>33.09</v>
      </c>
      <c r="F3757" t="n">
        <v>1</v>
      </c>
      <c r="G3757" t="n">
        <v>4</v>
      </c>
      <c r="H3757" s="5">
        <f>HYPERLINK("https://api.qogita.com/variants/link/3474637268756/", "View Product")</f>
        <v/>
      </c>
    </row>
    <row r="3758">
      <c r="A3758" t="inlineStr">
        <is>
          <t>3474637268992</t>
        </is>
      </c>
      <c r="B3758" t="inlineStr">
        <is>
          <t>L'Oreal Professionnel Vitamino Color Spectrum Conditioner For Colored Hair</t>
        </is>
      </c>
      <c r="C3758" t="inlineStr">
        <is>
          <t>Conditioner</t>
        </is>
      </c>
      <c r="D3758" t="inlineStr">
        <is>
          <t>Lo'real Professionnel</t>
        </is>
      </c>
      <c r="E3758" t="n">
        <v>33.3</v>
      </c>
      <c r="F3758" t="n">
        <v>1</v>
      </c>
      <c r="G3758" t="n">
        <v>9</v>
      </c>
      <c r="H3758" s="5">
        <f>HYPERLINK("https://api.qogita.com/variants/link/3474637268992/", "View Product")</f>
        <v/>
      </c>
    </row>
    <row r="3759">
      <c r="A3759" t="inlineStr">
        <is>
          <t>3474637269012</t>
        </is>
      </c>
      <c r="B3759" t="inlineStr">
        <is>
          <t>L'Oreal Professionnel Vitamino Color Spectrum Conditioner For Colored Hair</t>
        </is>
      </c>
      <c r="C3759" t="inlineStr">
        <is>
          <t>Conditioner</t>
        </is>
      </c>
      <c r="D3759" t="inlineStr">
        <is>
          <t>Lo'real Professionnel</t>
        </is>
      </c>
      <c r="E3759" t="n">
        <v>23</v>
      </c>
      <c r="F3759" t="n">
        <v>1</v>
      </c>
      <c r="G3759" t="n">
        <v>3</v>
      </c>
      <c r="H3759" s="5">
        <f>HYPERLINK("https://api.qogita.com/variants/link/3474637269012/", "View Product")</f>
        <v/>
      </c>
    </row>
    <row r="3760">
      <c r="A3760" t="inlineStr">
        <is>
          <t>3474637285746</t>
        </is>
      </c>
      <c r="B3760" t="inlineStr">
        <is>
          <t>L'Oral Professionnel Antibreakage Hair Kit L'Oral Metal Detox Mini Trio</t>
        </is>
      </c>
      <c r="C3760" t="inlineStr">
        <is>
          <t>Hair Care Sets</t>
        </is>
      </c>
      <c r="D3760" t="inlineStr">
        <is>
          <t>L'Oréal Professionnel</t>
        </is>
      </c>
      <c r="E3760" t="n">
        <v>35.82</v>
      </c>
      <c r="F3760" t="n">
        <v>1</v>
      </c>
      <c r="G3760" t="n">
        <v>5</v>
      </c>
      <c r="H3760" s="5">
        <f>HYPERLINK("https://api.qogita.com/variants/link/3474637285746/", "View Product")</f>
        <v/>
      </c>
    </row>
    <row r="3761">
      <c r="A3761" t="inlineStr">
        <is>
          <t>3474637286569</t>
        </is>
      </c>
      <c r="B3761" t="inlineStr">
        <is>
          <t>Redken All Soft Shampoo Refill Pouch 500ml Nourishing Hair Care</t>
        </is>
      </c>
      <c r="C3761" t="inlineStr">
        <is>
          <t>Shampoo</t>
        </is>
      </c>
      <c r="D3761" t="inlineStr">
        <is>
          <t>Redken</t>
        </is>
      </c>
      <c r="E3761" t="n">
        <v>22.33</v>
      </c>
      <c r="F3761" t="n">
        <v>1</v>
      </c>
      <c r="G3761" t="n">
        <v>6</v>
      </c>
      <c r="H3761" s="5">
        <f>HYPERLINK("https://api.qogita.com/variants/link/3474637286569/", "View Product")</f>
        <v/>
      </c>
    </row>
    <row r="3762">
      <c r="A3762" t="inlineStr">
        <is>
          <t>3474637287634</t>
        </is>
      </c>
      <c r="B3762" t="inlineStr">
        <is>
          <t>Redken All Soft Argan Oil-6 100ml - Redken Hair Care</t>
        </is>
      </c>
      <c r="C3762" t="inlineStr">
        <is>
          <t>Hair Oil &amp; Hair Serum</t>
        </is>
      </c>
      <c r="D3762" t="inlineStr">
        <is>
          <t>Redken</t>
        </is>
      </c>
      <c r="E3762" t="n">
        <v>25.27</v>
      </c>
      <c r="F3762" t="n">
        <v>1</v>
      </c>
      <c r="G3762" t="n">
        <v>20</v>
      </c>
      <c r="H3762" s="5">
        <f>HYPERLINK("https://api.qogita.com/variants/link/3474637287634/", "View Product")</f>
        <v/>
      </c>
    </row>
    <row r="3763">
      <c r="A3763" t="inlineStr">
        <is>
          <t>3494800028031</t>
        </is>
      </c>
      <c r="B3763" t="inlineStr">
        <is>
          <t>Royal Marina Diamond by Marina de Bourbon Eau de Parfume 3.4 oz</t>
        </is>
      </c>
      <c r="C3763" t="inlineStr">
        <is>
          <t>Eau De Parfum</t>
        </is>
      </c>
      <c r="D3763" t="inlineStr">
        <is>
          <t>Marina De Bourbon</t>
        </is>
      </c>
      <c r="E3763" t="n">
        <v>33.48</v>
      </c>
      <c r="F3763" t="n">
        <v>1</v>
      </c>
      <c r="G3763" t="n">
        <v>3</v>
      </c>
      <c r="H3763" s="5">
        <f>HYPERLINK("https://api.qogita.com/variants/link/3494800028031/", "View Product")</f>
        <v/>
      </c>
    </row>
    <row r="3764">
      <c r="A3764" t="inlineStr">
        <is>
          <t>3495080212035</t>
        </is>
      </c>
      <c r="B3764" t="inlineStr">
        <is>
          <t>ALYSSA ASHLEY Ambre Marine Eau de Parfum for Women 30ml Spray</t>
        </is>
      </c>
      <c r="C3764" t="inlineStr">
        <is>
          <t>Eau De Parfum</t>
        </is>
      </c>
      <c r="D3764" t="inlineStr">
        <is>
          <t>Alyssa Ashley</t>
        </is>
      </c>
      <c r="E3764" t="n">
        <v>15.54</v>
      </c>
      <c r="F3764" t="n">
        <v>1</v>
      </c>
      <c r="G3764" t="n">
        <v>5</v>
      </c>
      <c r="H3764" s="5">
        <f>HYPERLINK("https://api.qogita.com/variants/link/3495080212035/", "View Product")</f>
        <v/>
      </c>
    </row>
    <row r="3765">
      <c r="A3765" t="inlineStr">
        <is>
          <t>3495080222102</t>
        </is>
      </c>
      <c r="B3765" t="inlineStr">
        <is>
          <t>ALYSSA ASHLEY Ambre Rouge Eau de Parfum for Women 100ml Spray</t>
        </is>
      </c>
      <c r="C3765" t="inlineStr">
        <is>
          <t>Eau De Parfum</t>
        </is>
      </c>
      <c r="D3765" t="inlineStr">
        <is>
          <t>Alyssa Ashley</t>
        </is>
      </c>
      <c r="E3765" t="n">
        <v>32.04</v>
      </c>
      <c r="F3765" t="n">
        <v>1</v>
      </c>
      <c r="G3765" t="n">
        <v>2</v>
      </c>
      <c r="H3765" s="5">
        <f>HYPERLINK("https://api.qogita.com/variants/link/3495080222102/", "View Product")</f>
        <v/>
      </c>
    </row>
    <row r="3766">
      <c r="A3766" t="inlineStr">
        <is>
          <t>3495080392102</t>
        </is>
      </c>
      <c r="B3766" t="inlineStr">
        <is>
          <t>Cashmeran Vanilla EDP 100ml</t>
        </is>
      </c>
      <c r="C3766" t="inlineStr">
        <is>
          <t>Eau De Parfum</t>
        </is>
      </c>
      <c r="D3766" t="inlineStr">
        <is>
          <t>Alyssa Ashley</t>
        </is>
      </c>
      <c r="E3766" t="n">
        <v>15.93</v>
      </c>
      <c r="F3766" t="n">
        <v>1</v>
      </c>
      <c r="G3766" t="n">
        <v>5</v>
      </c>
      <c r="H3766" s="5">
        <f>HYPERLINK("https://api.qogita.com/variants/link/3495080392102/", "View Product")</f>
        <v/>
      </c>
    </row>
    <row r="3767">
      <c r="A3767" t="inlineStr">
        <is>
          <t>3495080702536</t>
        </is>
      </c>
      <c r="B3767" t="inlineStr">
        <is>
          <t>Alyssa Ashley Musk Body Lotion 250ml</t>
        </is>
      </c>
      <c r="C3767" t="inlineStr">
        <is>
          <t>Body Lotion</t>
        </is>
      </c>
      <c r="D3767" t="inlineStr">
        <is>
          <t>Alyssa Ashley</t>
        </is>
      </c>
      <c r="E3767" t="n">
        <v>8.029999999999999</v>
      </c>
      <c r="F3767" t="n">
        <v>1</v>
      </c>
      <c r="G3767" t="n">
        <v>5</v>
      </c>
      <c r="H3767" s="5">
        <f>HYPERLINK("https://api.qogita.com/variants/link/3495080702536/", "View Product")</f>
        <v/>
      </c>
    </row>
    <row r="3768">
      <c r="A3768" t="inlineStr">
        <is>
          <t>3495080735275</t>
        </is>
      </c>
      <c r="B3768" t="inlineStr">
        <is>
          <t>Alyssa Ashley Musk Hand &amp; Body Moisturizer 750ml</t>
        </is>
      </c>
      <c r="C3768" t="inlineStr">
        <is>
          <t>Body Lotion</t>
        </is>
      </c>
      <c r="D3768" t="inlineStr">
        <is>
          <t>Alyssa Ashley</t>
        </is>
      </c>
      <c r="E3768" t="n">
        <v>9.65</v>
      </c>
      <c r="F3768" t="n">
        <v>1</v>
      </c>
      <c r="G3768" t="n">
        <v>10</v>
      </c>
      <c r="H3768" s="5">
        <f>HYPERLINK("https://api.qogita.com/variants/link/3495080735275/", "View Product")</f>
        <v/>
      </c>
    </row>
    <row r="3769">
      <c r="A3769" t="inlineStr">
        <is>
          <t>3495080745021</t>
        </is>
      </c>
      <c r="B3769" t="inlineStr">
        <is>
          <t>Alyssa Ashley Musk Femme Woman Bath and Shower Gel 100ml</t>
        </is>
      </c>
      <c r="C3769" t="inlineStr">
        <is>
          <t>Shower Gel</t>
        </is>
      </c>
      <c r="D3769" t="inlineStr">
        <is>
          <t>Alyssa Ashley</t>
        </is>
      </c>
      <c r="E3769" t="n">
        <v>3.54</v>
      </c>
      <c r="F3769" t="n">
        <v>1</v>
      </c>
      <c r="G3769" t="n">
        <v>5</v>
      </c>
      <c r="H3769" s="5">
        <f>HYPERLINK("https://api.qogita.com/variants/link/3495080745021/", "View Product")</f>
        <v/>
      </c>
    </row>
    <row r="3770">
      <c r="A3770" t="inlineStr">
        <is>
          <t>3495080771747</t>
        </is>
      </c>
      <c r="B3770" t="inlineStr">
        <is>
          <t>Vanilla EDP 100ml</t>
        </is>
      </c>
      <c r="C3770" t="inlineStr">
        <is>
          <t>Eau De Parfum</t>
        </is>
      </c>
      <c r="D3770" t="inlineStr">
        <is>
          <t>Alyssa Ashley</t>
        </is>
      </c>
      <c r="E3770" t="n">
        <v>21.71</v>
      </c>
      <c r="F3770" t="n">
        <v>1</v>
      </c>
      <c r="G3770" t="n">
        <v>5</v>
      </c>
      <c r="H3770" s="5">
        <f>HYPERLINK("https://api.qogita.com/variants/link/3495080771747/", "View Product")</f>
        <v/>
      </c>
    </row>
    <row r="3771">
      <c r="A3771" t="inlineStr">
        <is>
          <t>3504105028343</t>
        </is>
      </c>
      <c r="B3771" t="inlineStr">
        <is>
          <t>Mustela Multisensory Bubble Bath 200ml</t>
        </is>
      </c>
      <c r="C3771" t="inlineStr">
        <is>
          <t>Baby Bath</t>
        </is>
      </c>
      <c r="D3771" t="inlineStr">
        <is>
          <t>Mustela</t>
        </is>
      </c>
      <c r="E3771" t="n">
        <v>6.75</v>
      </c>
      <c r="F3771" t="n">
        <v>1</v>
      </c>
      <c r="G3771" t="n">
        <v>5</v>
      </c>
      <c r="H3771" s="5">
        <f>HYPERLINK("https://api.qogita.com/variants/link/3504105028343/", "View Product")</f>
        <v/>
      </c>
    </row>
    <row r="3772">
      <c r="A3772" t="inlineStr">
        <is>
          <t>3504105034290</t>
        </is>
      </c>
      <c r="B3772" t="inlineStr">
        <is>
          <t>Mustela Cleansing Oil For Dry Skin 500ml Gentle Bath Oil For Babies</t>
        </is>
      </c>
      <c r="C3772" t="inlineStr">
        <is>
          <t>Baby Cream &amp; Oil</t>
        </is>
      </c>
      <c r="D3772" t="inlineStr">
        <is>
          <t>Mustela</t>
        </is>
      </c>
      <c r="E3772" t="n">
        <v>10.22</v>
      </c>
      <c r="F3772" t="n">
        <v>1</v>
      </c>
      <c r="G3772" t="n">
        <v>130</v>
      </c>
      <c r="H3772" s="5">
        <f>HYPERLINK("https://api.qogita.com/variants/link/3504105034290/", "View Product")</f>
        <v/>
      </c>
    </row>
    <row r="3773">
      <c r="A3773" t="inlineStr">
        <is>
          <t>3504105034412</t>
        </is>
      </c>
      <c r="B3773" t="inlineStr">
        <is>
          <t>Mustela Cradle Cap Cream 40ml Gentle Care For Children's Scalp</t>
        </is>
      </c>
      <c r="C3773" t="inlineStr">
        <is>
          <t>Baby Cream &amp; Oil</t>
        </is>
      </c>
      <c r="D3773" t="inlineStr">
        <is>
          <t>Mustela</t>
        </is>
      </c>
      <c r="E3773" t="n">
        <v>7.29</v>
      </c>
      <c r="F3773" t="n">
        <v>1</v>
      </c>
      <c r="G3773" t="n">
        <v>26</v>
      </c>
      <c r="H3773" s="5">
        <f>HYPERLINK("https://api.qogita.com/variants/link/3504105034412/", "View Product")</f>
        <v/>
      </c>
    </row>
    <row r="3774">
      <c r="A3774" t="inlineStr">
        <is>
          <t>3504105035563</t>
        </is>
      </c>
      <c r="B3774" t="inlineStr">
        <is>
          <t>Mustela Baby No Rinse Cleansing Milk 500ml</t>
        </is>
      </c>
      <c r="C3774" t="inlineStr">
        <is>
          <t>Baby Bath</t>
        </is>
      </c>
      <c r="D3774" t="inlineStr">
        <is>
          <t>Mustela</t>
        </is>
      </c>
      <c r="E3774" t="n">
        <v>8.94</v>
      </c>
      <c r="F3774" t="n">
        <v>1</v>
      </c>
      <c r="G3774" t="n">
        <v>7</v>
      </c>
      <c r="H3774" s="5">
        <f>HYPERLINK("https://api.qogita.com/variants/link/3504105035563/", "View Product")</f>
        <v/>
      </c>
    </row>
    <row r="3775">
      <c r="A3775" t="inlineStr">
        <is>
          <t>3504105035860</t>
        </is>
      </c>
      <c r="B3775" t="inlineStr">
        <is>
          <t>Mustela Baby Oil 100ml Avocado</t>
        </is>
      </c>
      <c r="C3775" t="inlineStr">
        <is>
          <t>Baby Cream &amp; Oil</t>
        </is>
      </c>
      <c r="D3775" t="inlineStr">
        <is>
          <t>Mustela</t>
        </is>
      </c>
      <c r="E3775" t="n">
        <v>8.98</v>
      </c>
      <c r="F3775" t="n">
        <v>1</v>
      </c>
      <c r="G3775" t="n">
        <v>5</v>
      </c>
      <c r="H3775" s="5">
        <f>HYPERLINK("https://api.qogita.com/variants/link/3504105035860/", "View Product")</f>
        <v/>
      </c>
    </row>
    <row r="3776">
      <c r="A3776" t="inlineStr">
        <is>
          <t>3504105035884</t>
        </is>
      </c>
      <c r="B3776" t="inlineStr">
        <is>
          <t>Mustela Hydra Baby Body Lotion 300ml</t>
        </is>
      </c>
      <c r="C3776" t="inlineStr">
        <is>
          <t>Baby Cream &amp; Oil</t>
        </is>
      </c>
      <c r="D3776" t="inlineStr">
        <is>
          <t>Mustela</t>
        </is>
      </c>
      <c r="E3776" t="n">
        <v>10.21</v>
      </c>
      <c r="F3776" t="n">
        <v>1</v>
      </c>
      <c r="G3776" t="n">
        <v>4</v>
      </c>
      <c r="H3776" s="5">
        <f>HYPERLINK("https://api.qogita.com/variants/link/3504105035884/", "View Product")</f>
        <v/>
      </c>
    </row>
    <row r="3777">
      <c r="A3777" t="inlineStr">
        <is>
          <t>3504105035921</t>
        </is>
      </c>
      <c r="B3777" t="inlineStr">
        <is>
          <t>Mustela Hydra Baby Body Lotion 500ml</t>
        </is>
      </c>
      <c r="C3777" t="inlineStr">
        <is>
          <t>Baby Cream &amp; Oil</t>
        </is>
      </c>
      <c r="D3777" t="inlineStr">
        <is>
          <t>Mustela</t>
        </is>
      </c>
      <c r="E3777" t="n">
        <v>12.6</v>
      </c>
      <c r="F3777" t="n">
        <v>1</v>
      </c>
      <c r="G3777" t="n">
        <v>5</v>
      </c>
      <c r="H3777" s="5">
        <f>HYPERLINK("https://api.qogita.com/variants/link/3504105035921/", "View Product")</f>
        <v/>
      </c>
    </row>
    <row r="3778">
      <c r="A3778" t="inlineStr">
        <is>
          <t>3504105036102</t>
        </is>
      </c>
      <c r="B3778" t="inlineStr">
        <is>
          <t>Mustela Gentle Bath Soap With Cold Cream 100g Baby Gentle Soap For Face And Body</t>
        </is>
      </c>
      <c r="C3778" t="inlineStr">
        <is>
          <t>Baby Shower Gel &amp; Soap</t>
        </is>
      </c>
      <c r="D3778" t="inlineStr">
        <is>
          <t>Mustela</t>
        </is>
      </c>
      <c r="E3778" t="n">
        <v>4.47</v>
      </c>
      <c r="F3778" t="n">
        <v>1</v>
      </c>
      <c r="G3778" t="n">
        <v>5</v>
      </c>
      <c r="H3778" s="5">
        <f>HYPERLINK("https://api.qogita.com/variants/link/3504105036102/", "View Product")</f>
        <v/>
      </c>
    </row>
    <row r="3779">
      <c r="A3779" t="inlineStr">
        <is>
          <t>3508440251688</t>
        </is>
      </c>
      <c r="B3779" t="inlineStr">
        <is>
          <t>Creed Aventus Eau De Parfum 1 Fl Oz</t>
        </is>
      </c>
      <c r="C3779" t="inlineStr">
        <is>
          <t>Eau De Parfum</t>
        </is>
      </c>
      <c r="D3779" t="inlineStr">
        <is>
          <t>Creed</t>
        </is>
      </c>
      <c r="E3779" t="n">
        <v>132.43</v>
      </c>
      <c r="F3779" t="n">
        <v>1</v>
      </c>
      <c r="G3779" t="n">
        <v>124</v>
      </c>
      <c r="H3779" s="5">
        <f>HYPERLINK("https://api.qogita.com/variants/link/3508440251688/", "View Product")</f>
        <v/>
      </c>
    </row>
    <row r="3780">
      <c r="A3780" t="inlineStr">
        <is>
          <t>3508440505033</t>
        </is>
      </c>
      <c r="B3780" t="inlineStr">
        <is>
          <t>Creed Millesime Imperial Eau De Parfum Spray 50ml</t>
        </is>
      </c>
      <c r="C3780" t="inlineStr">
        <is>
          <t>Eau De Parfum</t>
        </is>
      </c>
      <c r="D3780" t="inlineStr">
        <is>
          <t>Creed</t>
        </is>
      </c>
      <c r="E3780" t="n">
        <v>212.78</v>
      </c>
      <c r="F3780" t="n">
        <v>1</v>
      </c>
      <c r="G3780" t="n">
        <v>2</v>
      </c>
      <c r="H3780" s="5">
        <f>HYPERLINK("https://api.qogita.com/variants/link/3508440505033/", "View Product")</f>
        <v/>
      </c>
    </row>
    <row r="3781">
      <c r="A3781" t="inlineStr">
        <is>
          <t>3508440505101</t>
        </is>
      </c>
      <c r="B3781" t="inlineStr">
        <is>
          <t>Creed Original Santal Eau De Parfum Spray 50ml</t>
        </is>
      </c>
      <c r="C3781" t="inlineStr">
        <is>
          <t>Eau De Parfum</t>
        </is>
      </c>
      <c r="D3781" t="inlineStr">
        <is>
          <t>Creed</t>
        </is>
      </c>
      <c r="E3781" t="n">
        <v>171.59</v>
      </c>
      <c r="F3781" t="n">
        <v>1</v>
      </c>
      <c r="G3781" t="n">
        <v>3</v>
      </c>
      <c r="H3781" s="5">
        <f>HYPERLINK("https://api.qogita.com/variants/link/3508440505101/", "View Product")</f>
        <v/>
      </c>
    </row>
    <row r="3782">
      <c r="A3782" t="inlineStr">
        <is>
          <t>3508441001008</t>
        </is>
      </c>
      <c r="B3782" t="inlineStr">
        <is>
          <t>Creed Bois Du Portugal Eau De Parfum 100ml</t>
        </is>
      </c>
      <c r="C3782" t="inlineStr">
        <is>
          <t>Eau De Parfum</t>
        </is>
      </c>
      <c r="D3782" t="inlineStr">
        <is>
          <t>Creed</t>
        </is>
      </c>
      <c r="E3782" t="n">
        <v>210.84</v>
      </c>
      <c r="F3782" t="n">
        <v>1</v>
      </c>
      <c r="G3782" t="n">
        <v>13</v>
      </c>
      <c r="H3782" s="5">
        <f>HYPERLINK("https://api.qogita.com/variants/link/3508441001008/", "View Product")</f>
        <v/>
      </c>
    </row>
    <row r="3783">
      <c r="A3783" t="inlineStr">
        <is>
          <t>3508441001053</t>
        </is>
      </c>
      <c r="B3783" t="inlineStr">
        <is>
          <t>Creed Silver Mountain Water Eau De Parfum 100ml For Men</t>
        </is>
      </c>
      <c r="C3783" t="inlineStr">
        <is>
          <t>Eau De Parfum</t>
        </is>
      </c>
      <c r="D3783" t="inlineStr">
        <is>
          <t>Creed</t>
        </is>
      </c>
      <c r="E3783" t="n">
        <v>191.24</v>
      </c>
      <c r="F3783" t="n">
        <v>1</v>
      </c>
      <c r="G3783" t="n">
        <v>32</v>
      </c>
      <c r="H3783" s="5">
        <f>HYPERLINK("https://api.qogita.com/variants/link/3508441001053/", "View Product")</f>
        <v/>
      </c>
    </row>
    <row r="3784">
      <c r="A3784" t="inlineStr">
        <is>
          <t>3508441001077</t>
        </is>
      </c>
      <c r="B3784" t="inlineStr">
        <is>
          <t>Creed Tabarome Millesime Eau De Parfum Spray 100ml</t>
        </is>
      </c>
      <c r="C3784" t="inlineStr">
        <is>
          <t>Eau De Parfum</t>
        </is>
      </c>
      <c r="D3784" t="inlineStr">
        <is>
          <t>Creed</t>
        </is>
      </c>
      <c r="E3784" t="n">
        <v>246.6</v>
      </c>
      <c r="F3784" t="n">
        <v>1</v>
      </c>
      <c r="G3784" t="n">
        <v>9</v>
      </c>
      <c r="H3784" s="5">
        <f>HYPERLINK("https://api.qogita.com/variants/link/3508441001077/", "View Product")</f>
        <v/>
      </c>
    </row>
    <row r="3785">
      <c r="A3785" t="inlineStr">
        <is>
          <t>3508441001091</t>
        </is>
      </c>
      <c r="B3785" t="inlineStr">
        <is>
          <t>Creed Original Vetiver Eau De Parfum Spray 100ml</t>
        </is>
      </c>
      <c r="C3785" t="inlineStr">
        <is>
          <t>Eau De Parfum</t>
        </is>
      </c>
      <c r="D3785" t="inlineStr">
        <is>
          <t>Creed</t>
        </is>
      </c>
      <c r="E3785" t="n">
        <v>189.28</v>
      </c>
      <c r="F3785" t="n">
        <v>1</v>
      </c>
      <c r="G3785" t="n">
        <v>42</v>
      </c>
      <c r="H3785" s="5">
        <f>HYPERLINK("https://api.qogita.com/variants/link/3508441001091/", "View Product")</f>
        <v/>
      </c>
    </row>
    <row r="3786">
      <c r="A3786" t="inlineStr">
        <is>
          <t>3508441001107</t>
        </is>
      </c>
      <c r="B3786" t="inlineStr">
        <is>
          <t>Creed Original Santal Eau De Parfum Spray 100ml</t>
        </is>
      </c>
      <c r="C3786" t="inlineStr">
        <is>
          <t>Eau De Parfum</t>
        </is>
      </c>
      <c r="D3786" t="inlineStr">
        <is>
          <t>Creed</t>
        </is>
      </c>
      <c r="E3786" t="n">
        <v>186.44</v>
      </c>
      <c r="F3786" t="n">
        <v>1</v>
      </c>
      <c r="G3786" t="n">
        <v>10</v>
      </c>
      <c r="H3786" s="5">
        <f>HYPERLINK("https://api.qogita.com/variants/link/3508441001107/", "View Product")</f>
        <v/>
      </c>
    </row>
    <row r="3787">
      <c r="A3787" t="inlineStr">
        <is>
          <t>3508441001466</t>
        </is>
      </c>
      <c r="B3787" t="inlineStr">
        <is>
          <t>Creed Aor Iris Tubereuse Eau de Parfum 100ml</t>
        </is>
      </c>
      <c r="C3787" t="inlineStr">
        <is>
          <t>Eau De Parfum</t>
        </is>
      </c>
      <c r="D3787" t="inlineStr">
        <is>
          <t>Creed</t>
        </is>
      </c>
      <c r="E3787" t="n">
        <v>195.75</v>
      </c>
      <c r="F3787" t="n">
        <v>1</v>
      </c>
      <c r="G3787" t="n">
        <v>4</v>
      </c>
      <c r="H3787" s="5">
        <f>HYPERLINK("https://api.qogita.com/variants/link/3508441001466/", "View Product")</f>
        <v/>
      </c>
    </row>
    <row r="3788">
      <c r="A3788" t="inlineStr">
        <is>
          <t>3508441011168</t>
        </is>
      </c>
      <c r="B3788" t="inlineStr">
        <is>
          <t>Creed Green Neroli Eau De Parfum Unisex 100 Ml</t>
        </is>
      </c>
      <c r="C3788" t="inlineStr">
        <is>
          <t>Eau De Parfum</t>
        </is>
      </c>
      <c r="D3788" t="inlineStr">
        <is>
          <t>Creed</t>
        </is>
      </c>
      <c r="E3788" t="n">
        <v>195.54</v>
      </c>
      <c r="F3788" t="n">
        <v>1</v>
      </c>
      <c r="G3788" t="n">
        <v>3</v>
      </c>
      <c r="H3788" s="5">
        <f>HYPERLINK("https://api.qogita.com/variants/link/3508441011168/", "View Product")</f>
        <v/>
      </c>
    </row>
    <row r="3789">
      <c r="A3789" t="inlineStr">
        <is>
          <t>3508441103634</t>
        </is>
      </c>
      <c r="B3789" t="inlineStr">
        <is>
          <t>Creed Acqua Fiorentina Eau De Parfum Spray 30ml</t>
        </is>
      </c>
      <c r="C3789" t="inlineStr">
        <is>
          <t>Eau De Parfum</t>
        </is>
      </c>
      <c r="D3789" t="inlineStr">
        <is>
          <t>Creed</t>
        </is>
      </c>
      <c r="E3789" t="n">
        <v>110.26</v>
      </c>
      <c r="F3789" t="n">
        <v>1</v>
      </c>
      <c r="G3789" t="n">
        <v>2</v>
      </c>
      <c r="H3789" s="5">
        <f>HYPERLINK("https://api.qogita.com/variants/link/3508441103634/", "View Product")</f>
        <v/>
      </c>
    </row>
    <row r="3790">
      <c r="A3790" t="inlineStr">
        <is>
          <t>3508441103641</t>
        </is>
      </c>
      <c r="B3790" t="inlineStr">
        <is>
          <t>Creed Perfume 30ml</t>
        </is>
      </c>
      <c r="C3790" t="inlineStr">
        <is>
          <t>Eau De Parfum</t>
        </is>
      </c>
      <c r="D3790" t="inlineStr">
        <is>
          <t>Creed</t>
        </is>
      </c>
      <c r="E3790" t="n">
        <v>137.96</v>
      </c>
      <c r="F3790" t="n">
        <v>1</v>
      </c>
      <c r="G3790" t="n">
        <v>5</v>
      </c>
      <c r="H3790" s="5">
        <f>HYPERLINK("https://api.qogita.com/variants/link/3508441103641/", "View Product")</f>
        <v/>
      </c>
    </row>
    <row r="3791">
      <c r="A3791" t="inlineStr">
        <is>
          <t>3508441104174</t>
        </is>
      </c>
      <c r="B3791" t="inlineStr">
        <is>
          <t>Creed Fleurissimo Eau De Parfum Spray 75ml</t>
        </is>
      </c>
      <c r="C3791" t="inlineStr">
        <is>
          <t>Eau De Parfum</t>
        </is>
      </c>
      <c r="D3791" t="inlineStr">
        <is>
          <t>Creed</t>
        </is>
      </c>
      <c r="E3791" t="n">
        <v>155.66</v>
      </c>
      <c r="F3791" t="n">
        <v>1</v>
      </c>
      <c r="G3791" t="n">
        <v>4</v>
      </c>
      <c r="H3791" s="5">
        <f>HYPERLINK("https://api.qogita.com/variants/link/3508441104174/", "View Product")</f>
        <v/>
      </c>
    </row>
    <row r="3792">
      <c r="A3792" t="inlineStr">
        <is>
          <t>3508441104631</t>
        </is>
      </c>
      <c r="B3792" t="inlineStr">
        <is>
          <t>Creed Acqua Fiorentina Eau De Parfum 75ml For Women</t>
        </is>
      </c>
      <c r="C3792" t="inlineStr">
        <is>
          <t>Eau De Parfum</t>
        </is>
      </c>
      <c r="D3792" t="inlineStr">
        <is>
          <t>Creed</t>
        </is>
      </c>
      <c r="E3792" t="n">
        <v>165.95</v>
      </c>
      <c r="F3792" t="n">
        <v>1</v>
      </c>
      <c r="G3792" t="n">
        <v>5</v>
      </c>
      <c r="H3792" s="5">
        <f>HYPERLINK("https://api.qogita.com/variants/link/3508441104631/", "View Product")</f>
        <v/>
      </c>
    </row>
    <row r="3793">
      <c r="A3793" t="inlineStr">
        <is>
          <t>3516640525324</t>
        </is>
      </c>
      <c r="B3793" t="inlineStr">
        <is>
          <t>Franck Olivier Passion Pour Elle Eau De Parfum Spray 75ml</t>
        </is>
      </c>
      <c r="C3793" t="inlineStr">
        <is>
          <t>Eau De Parfum</t>
        </is>
      </c>
      <c r="D3793" t="inlineStr">
        <is>
          <t>Franck Olivier</t>
        </is>
      </c>
      <c r="E3793" t="n">
        <v>13.33</v>
      </c>
      <c r="F3793" t="n">
        <v>1</v>
      </c>
      <c r="G3793" t="n">
        <v>9</v>
      </c>
      <c r="H3793" s="5">
        <f>HYPERLINK("https://api.qogita.com/variants/link/3516640525324/", "View Product")</f>
        <v/>
      </c>
    </row>
    <row r="3794">
      <c r="A3794" t="inlineStr">
        <is>
          <t>3516641747121</t>
        </is>
      </c>
      <c r="B3794" t="inlineStr">
        <is>
          <t>Franck Olivier Franck Red Men's Eau de Toilette</t>
        </is>
      </c>
      <c r="C3794" t="inlineStr">
        <is>
          <t>Eau De Toilette</t>
        </is>
      </c>
      <c r="D3794" t="inlineStr">
        <is>
          <t>Franck Olivier</t>
        </is>
      </c>
      <c r="E3794" t="n">
        <v>12.36</v>
      </c>
      <c r="F3794" t="n">
        <v>1</v>
      </c>
      <c r="G3794" t="n">
        <v>5</v>
      </c>
      <c r="H3794" s="5">
        <f>HYPERLINK("https://api.qogita.com/variants/link/3516641747121/", "View Product")</f>
        <v/>
      </c>
    </row>
    <row r="3795">
      <c r="A3795" t="inlineStr">
        <is>
          <t>3516641812324</t>
        </is>
      </c>
      <c r="B3795" t="inlineStr">
        <is>
          <t>Franck Olivier Sun Java Rose Oud Eau De Parfum Spray 75ml</t>
        </is>
      </c>
      <c r="C3795" t="inlineStr">
        <is>
          <t>Eau De Parfum</t>
        </is>
      </c>
      <c r="D3795" t="inlineStr">
        <is>
          <t>Franck Olivier</t>
        </is>
      </c>
      <c r="E3795" t="n">
        <v>15.12</v>
      </c>
      <c r="F3795" t="n">
        <v>1</v>
      </c>
      <c r="G3795" t="n">
        <v>5</v>
      </c>
      <c r="H3795" s="5">
        <f>HYPERLINK("https://api.qogita.com/variants/link/3516641812324/", "View Product")</f>
        <v/>
      </c>
    </row>
    <row r="3796">
      <c r="A3796" t="inlineStr">
        <is>
          <t>3516641963316</t>
        </is>
      </c>
      <c r="B3796" t="inlineStr">
        <is>
          <t>Franck Olivier Mademoiselle Velvet Eau de Parfum Spray 3.4 oz</t>
        </is>
      </c>
      <c r="C3796" t="inlineStr">
        <is>
          <t>Eau De Parfum</t>
        </is>
      </c>
      <c r="D3796" t="inlineStr">
        <is>
          <t>Franck Olivier</t>
        </is>
      </c>
      <c r="E3796" t="n">
        <v>15.57</v>
      </c>
      <c r="F3796" t="n">
        <v>1</v>
      </c>
      <c r="G3796" t="n">
        <v>3</v>
      </c>
      <c r="H3796" s="5">
        <f>HYPERLINK("https://api.qogita.com/variants/link/3516641963316/", "View Product")</f>
        <v/>
      </c>
    </row>
    <row r="3797">
      <c r="A3797" t="inlineStr">
        <is>
          <t>3522930004370</t>
        </is>
      </c>
      <c r="B3797" t="inlineStr">
        <is>
          <t>Caudalie Vinohydra Moisturizing Mask 75 Ml</t>
        </is>
      </c>
      <c r="C3797" t="inlineStr">
        <is>
          <t>Hydrating Mask</t>
        </is>
      </c>
      <c r="D3797" t="inlineStr">
        <is>
          <t>Caudalie</t>
        </is>
      </c>
      <c r="E3797" t="n">
        <v>20.28</v>
      </c>
      <c r="F3797" t="n">
        <v>1</v>
      </c>
      <c r="G3797" t="n">
        <v>12</v>
      </c>
      <c r="H3797" s="5">
        <f>HYPERLINK("https://api.qogita.com/variants/link/3522930004370/", "View Product")</f>
        <v/>
      </c>
    </row>
    <row r="3798">
      <c r="A3798" t="inlineStr">
        <is>
          <t>3525801669548</t>
        </is>
      </c>
      <c r="B3798" t="inlineStr">
        <is>
          <t>Thalgo Exception Marine Redensifying Cream 50ml</t>
        </is>
      </c>
      <c r="C3798" t="inlineStr">
        <is>
          <t>Anti-Aging Facial Care</t>
        </is>
      </c>
      <c r="D3798" t="inlineStr">
        <is>
          <t>Thalgo</t>
        </is>
      </c>
      <c r="E3798" t="n">
        <v>81.69</v>
      </c>
      <c r="F3798" t="n">
        <v>1</v>
      </c>
      <c r="G3798" t="n">
        <v>2</v>
      </c>
      <c r="H3798" s="5">
        <f>HYPERLINK("https://api.qogita.com/variants/link/3525801669548/", "View Product")</f>
        <v/>
      </c>
    </row>
    <row r="3799">
      <c r="A3799" t="inlineStr">
        <is>
          <t>3540550008288</t>
        </is>
      </c>
      <c r="B3799" t="inlineStr">
        <is>
          <t>Filorga Liftdesigner Ultralifting Serum 30ml</t>
        </is>
      </c>
      <c r="C3799" t="inlineStr">
        <is>
          <t>Anti-Aging Serum</t>
        </is>
      </c>
      <c r="D3799" t="inlineStr">
        <is>
          <t>Filorga</t>
        </is>
      </c>
      <c r="E3799" t="n">
        <v>42.41</v>
      </c>
      <c r="F3799" t="n">
        <v>1</v>
      </c>
      <c r="G3799" t="n">
        <v>4</v>
      </c>
      <c r="H3799" s="5">
        <f>HYPERLINK("https://api.qogita.com/variants/link/3540550008288/", "View Product")</f>
        <v/>
      </c>
    </row>
    <row r="3800">
      <c r="A3800" t="inlineStr">
        <is>
          <t>3540550010403</t>
        </is>
      </c>
      <c r="B3800" t="inlineStr">
        <is>
          <t>Filorga Skinunify Radiance Illuminating Perfecting Fluid 15 Ml</t>
        </is>
      </c>
      <c r="C3800" t="inlineStr">
        <is>
          <t>Anti-Pigmentation Spot Cream</t>
        </is>
      </c>
      <c r="D3800" t="inlineStr">
        <is>
          <t>Filorga</t>
        </is>
      </c>
      <c r="E3800" t="n">
        <v>23.37</v>
      </c>
      <c r="F3800" t="n">
        <v>1</v>
      </c>
      <c r="G3800" t="n">
        <v>4</v>
      </c>
      <c r="H3800" s="5">
        <f>HYPERLINK("https://api.qogita.com/variants/link/3540550010403/", "View Product")</f>
        <v/>
      </c>
    </row>
    <row r="3801">
      <c r="A3801" t="inlineStr">
        <is>
          <t>3551440592015</t>
        </is>
      </c>
      <c r="B3801" t="inlineStr">
        <is>
          <t>Delroba Black Musk For Men Eau de Parfum 100ml</t>
        </is>
      </c>
      <c r="C3801" t="inlineStr">
        <is>
          <t>Eau De Parfum</t>
        </is>
      </c>
      <c r="D3801" t="inlineStr">
        <is>
          <t>Delroba</t>
        </is>
      </c>
      <c r="E3801" t="n">
        <v>36.95</v>
      </c>
      <c r="F3801" t="n">
        <v>1</v>
      </c>
      <c r="G3801" t="n">
        <v>5</v>
      </c>
      <c r="H3801" s="5">
        <f>HYPERLINK("https://api.qogita.com/variants/link/3551440592015/", "View Product")</f>
        <v/>
      </c>
    </row>
    <row r="3802">
      <c r="A3802" t="inlineStr">
        <is>
          <t>3551440592022</t>
        </is>
      </c>
      <c r="B3802" t="inlineStr">
        <is>
          <t>Delroba Sweet Amber For Men Eau De Parfum 100ml</t>
        </is>
      </c>
      <c r="C3802" t="inlineStr">
        <is>
          <t>Eau De Parfum</t>
        </is>
      </c>
      <c r="D3802" t="inlineStr">
        <is>
          <t>Delroba</t>
        </is>
      </c>
      <c r="E3802" t="n">
        <v>38.86</v>
      </c>
      <c r="F3802" t="n">
        <v>1</v>
      </c>
      <c r="G3802" t="n">
        <v>6</v>
      </c>
      <c r="H3802" s="5">
        <f>HYPERLINK("https://api.qogita.com/variants/link/3551440592022/", "View Product")</f>
        <v/>
      </c>
    </row>
    <row r="3803">
      <c r="A3803" t="inlineStr">
        <is>
          <t>3552570126569</t>
        </is>
      </c>
      <c r="B3803" t="inlineStr">
        <is>
          <t>Annayake Omizu For Her 100 Ml</t>
        </is>
      </c>
      <c r="C3803" t="inlineStr">
        <is>
          <t>Eau De Parfum</t>
        </is>
      </c>
      <c r="D3803" t="inlineStr">
        <is>
          <t>Annayake</t>
        </is>
      </c>
      <c r="E3803" t="n">
        <v>56.09</v>
      </c>
      <c r="F3803" t="n">
        <v>1</v>
      </c>
      <c r="G3803" t="n">
        <v>3</v>
      </c>
      <c r="H3803" s="5">
        <f>HYPERLINK("https://api.qogita.com/variants/link/3552570126569/", "View Product")</f>
        <v/>
      </c>
    </row>
    <row r="3804">
      <c r="A3804" t="inlineStr">
        <is>
          <t>3552575501101</t>
        </is>
      </c>
      <c r="B3804" t="inlineStr">
        <is>
          <t>Annayake Kiji for Her Eau de Toilette Woman 100ml</t>
        </is>
      </c>
      <c r="C3804" t="inlineStr">
        <is>
          <t>Eau De Toilette</t>
        </is>
      </c>
      <c r="D3804" t="inlineStr">
        <is>
          <t>Annayake</t>
        </is>
      </c>
      <c r="E3804" t="n">
        <v>38.03</v>
      </c>
      <c r="F3804" t="n">
        <v>1</v>
      </c>
      <c r="G3804" t="n">
        <v>4</v>
      </c>
      <c r="H3804" s="5">
        <f>HYPERLINK("https://api.qogita.com/variants/link/3552575501101/", "View Product")</f>
        <v/>
      </c>
    </row>
    <row r="3805">
      <c r="A3805" t="inlineStr">
        <is>
          <t>3552576000115</t>
        </is>
      </c>
      <c r="B3805" t="inlineStr">
        <is>
          <t>Annayake Miyabi Woman 100 Ml</t>
        </is>
      </c>
      <c r="C3805" t="inlineStr">
        <is>
          <t>Eau De Parfum</t>
        </is>
      </c>
      <c r="D3805" t="inlineStr">
        <is>
          <t>Annayake</t>
        </is>
      </c>
      <c r="E3805" t="n">
        <v>54.83</v>
      </c>
      <c r="F3805" t="n">
        <v>1</v>
      </c>
      <c r="G3805" t="n">
        <v>3</v>
      </c>
      <c r="H3805" s="5">
        <f>HYPERLINK("https://api.qogita.com/variants/link/3552576000115/", "View Product")</f>
        <v/>
      </c>
    </row>
    <row r="3806">
      <c r="A3806" t="inlineStr">
        <is>
          <t>3562700361005</t>
        </is>
      </c>
      <c r="B3806" t="inlineStr">
        <is>
          <t>Jaguar For Men Eau De Toilette Spray 100ml</t>
        </is>
      </c>
      <c r="C3806" t="inlineStr">
        <is>
          <t>Eau De Toilette</t>
        </is>
      </c>
      <c r="D3806" t="inlineStr">
        <is>
          <t>Jaguar</t>
        </is>
      </c>
      <c r="E3806" t="n">
        <v>13.48</v>
      </c>
      <c r="F3806" t="n">
        <v>1</v>
      </c>
      <c r="G3806" t="n">
        <v>16</v>
      </c>
      <c r="H3806" s="5">
        <f>HYPERLINK("https://api.qogita.com/variants/link/3562700361005/", "View Product")</f>
        <v/>
      </c>
    </row>
    <row r="3807">
      <c r="A3807" t="inlineStr">
        <is>
          <t>3562700373145</t>
        </is>
      </c>
      <c r="B3807" t="inlineStr">
        <is>
          <t>Jaguar Classic Black Eau De Toilette Spray 100ml</t>
        </is>
      </c>
      <c r="C3807" t="inlineStr">
        <is>
          <t>Eau De Toilette</t>
        </is>
      </c>
      <c r="D3807" t="inlineStr">
        <is>
          <t>Jaguar</t>
        </is>
      </c>
      <c r="E3807" t="n">
        <v>11.18</v>
      </c>
      <c r="F3807" t="n">
        <v>1</v>
      </c>
      <c r="G3807" t="n">
        <v>315</v>
      </c>
      <c r="H3807" s="5">
        <f>HYPERLINK("https://api.qogita.com/variants/link/3562700373145/", "View Product")</f>
        <v/>
      </c>
    </row>
    <row r="3808">
      <c r="A3808" t="inlineStr">
        <is>
          <t>3574660674897</t>
        </is>
      </c>
      <c r="B3808" t="inlineStr">
        <is>
          <t>Piz Buin Mountain Combi 2 In 1 Sun Cream Spf 50 And Lipstick 20 Ml 23 Ml</t>
        </is>
      </c>
      <c r="C3808" t="inlineStr">
        <is>
          <t>Body Sun Protection</t>
        </is>
      </c>
      <c r="D3808" t="inlineStr">
        <is>
          <t>Piz Buin</t>
        </is>
      </c>
      <c r="E3808" t="n">
        <v>9.81</v>
      </c>
      <c r="F3808" t="n">
        <v>1</v>
      </c>
      <c r="G3808" t="n">
        <v>80</v>
      </c>
      <c r="H3808" s="5">
        <f>HYPERLINK("https://api.qogita.com/variants/link/3574660674897/", "View Product")</f>
        <v/>
      </c>
    </row>
    <row r="3809">
      <c r="A3809" t="inlineStr">
        <is>
          <t>3574661021768</t>
        </is>
      </c>
      <c r="B3809" t="inlineStr">
        <is>
          <t>Listerine Alcohol Free Mouthwash Zero Coolmint Mild Taste</t>
        </is>
      </c>
      <c r="C3809" t="inlineStr">
        <is>
          <t>Mouthwash</t>
        </is>
      </c>
      <c r="D3809" t="inlineStr">
        <is>
          <t>Listerine</t>
        </is>
      </c>
      <c r="E3809" t="n">
        <v>4.79</v>
      </c>
      <c r="F3809" t="n">
        <v>1</v>
      </c>
      <c r="G3809" t="n">
        <v>6</v>
      </c>
      <c r="H3809" s="5">
        <f>HYPERLINK("https://api.qogita.com/variants/link/3574661021768/", "View Product")</f>
        <v/>
      </c>
    </row>
    <row r="3810">
      <c r="A3810" t="inlineStr">
        <is>
          <t>3574661021775</t>
        </is>
      </c>
      <c r="B3810" t="inlineStr">
        <is>
          <t>Zero Mild Mint Mouthwash 500ml Alcohol-Free</t>
        </is>
      </c>
      <c r="C3810" t="inlineStr">
        <is>
          <t>Mouthwash</t>
        </is>
      </c>
      <c r="D3810" t="inlineStr">
        <is>
          <t>Johnson &amp; Johnson</t>
        </is>
      </c>
      <c r="E3810" t="n">
        <v>6.6</v>
      </c>
      <c r="F3810" t="n">
        <v>1</v>
      </c>
      <c r="G3810" t="n">
        <v>8</v>
      </c>
      <c r="H3810" s="5">
        <f>HYPERLINK("https://api.qogita.com/variants/link/3574661021775/", "View Product")</f>
        <v/>
      </c>
    </row>
    <row r="3811">
      <c r="A3811" t="inlineStr">
        <is>
          <t>3574661192833</t>
        </is>
      </c>
      <c r="B3811" t="inlineStr">
        <is>
          <t>Piz Buin Tan &amp; Protect Tan Accelerating Oil Spray Spf 15 150ml</t>
        </is>
      </c>
      <c r="C3811" t="inlineStr">
        <is>
          <t>Body Sun Protection</t>
        </is>
      </c>
      <c r="D3811" t="inlineStr">
        <is>
          <t>Piz Buin</t>
        </is>
      </c>
      <c r="E3811" t="n">
        <v>7.51</v>
      </c>
      <c r="F3811" t="n">
        <v>1</v>
      </c>
      <c r="G3811" t="n">
        <v>66</v>
      </c>
      <c r="H3811" s="5">
        <f>HYPERLINK("https://api.qogita.com/variants/link/3574661192833/", "View Product")</f>
        <v/>
      </c>
    </row>
    <row r="3812">
      <c r="A3812" t="inlineStr">
        <is>
          <t>3574661200019</t>
        </is>
      </c>
      <c r="B3812" t="inlineStr">
        <is>
          <t>Neutrogena Visibly Renew Firming Body Lotion with Aloe Vera 400ml</t>
        </is>
      </c>
      <c r="C3812" t="inlineStr">
        <is>
          <t>Body Lotion</t>
        </is>
      </c>
      <c r="D3812" t="inlineStr">
        <is>
          <t>Neutrogena</t>
        </is>
      </c>
      <c r="E3812" t="n">
        <v>4.51</v>
      </c>
      <c r="F3812" t="n">
        <v>1</v>
      </c>
      <c r="G3812" t="n">
        <v>15</v>
      </c>
      <c r="H3812" s="5">
        <f>HYPERLINK("https://api.qogita.com/variants/link/3574661200019/", "View Product")</f>
        <v/>
      </c>
    </row>
    <row r="3813">
      <c r="A3813" t="inlineStr">
        <is>
          <t>3574661352527</t>
        </is>
      </c>
      <c r="B3813" t="inlineStr">
        <is>
          <t>Neutrogena Hydro Boost Eye Cream with Hyaluronic Acid and Vitamin E for Tired Eyes</t>
        </is>
      </c>
      <c r="C3813" t="inlineStr">
        <is>
          <t>Eye Cream</t>
        </is>
      </c>
      <c r="D3813" t="inlineStr">
        <is>
          <t>Neutrogena</t>
        </is>
      </c>
      <c r="E3813" t="n">
        <v>5.3</v>
      </c>
      <c r="F3813" t="n">
        <v>1</v>
      </c>
      <c r="G3813" t="n">
        <v>7</v>
      </c>
      <c r="H3813" s="5">
        <f>HYPERLINK("https://api.qogita.com/variants/link/3574661352527/", "View Product")</f>
        <v/>
      </c>
    </row>
    <row r="3814">
      <c r="A3814" t="inlineStr">
        <is>
          <t>3574661391366</t>
        </is>
      </c>
      <c r="B3814" t="inlineStr">
        <is>
          <t>Neutrogena Hydro Boost Body Lotion Gel Ultralight Moisturising Cream</t>
        </is>
      </c>
      <c r="C3814" t="inlineStr">
        <is>
          <t>Body Lotion</t>
        </is>
      </c>
      <c r="D3814" t="inlineStr">
        <is>
          <t>Neutrogena</t>
        </is>
      </c>
      <c r="E3814" t="n">
        <v>8.48</v>
      </c>
      <c r="F3814" t="n">
        <v>1</v>
      </c>
      <c r="G3814" t="n">
        <v>40</v>
      </c>
      <c r="H3814" s="5">
        <f>HYPERLINK("https://api.qogita.com/variants/link/3574661391366/", "View Product")</f>
        <v/>
      </c>
    </row>
    <row r="3815">
      <c r="A3815" t="inlineStr">
        <is>
          <t>3574661401089</t>
        </is>
      </c>
      <c r="B3815" t="inlineStr">
        <is>
          <t>Neutrogena Hydro Boost Sleeping Cream Hydrating Night Mask 50ml</t>
        </is>
      </c>
      <c r="C3815" t="inlineStr">
        <is>
          <t>Hydrating Mask</t>
        </is>
      </c>
      <c r="D3815" t="inlineStr">
        <is>
          <t>Neutrogena</t>
        </is>
      </c>
      <c r="E3815" t="n">
        <v>13.96</v>
      </c>
      <c r="F3815" t="n">
        <v>1</v>
      </c>
      <c r="G3815" t="n">
        <v>10</v>
      </c>
      <c r="H3815" s="5">
        <f>HYPERLINK("https://api.qogita.com/variants/link/3574661401089/", "View Product")</f>
        <v/>
      </c>
    </row>
    <row r="3816">
      <c r="A3816" t="inlineStr">
        <is>
          <t>3574661464978</t>
        </is>
      </c>
      <c r="B3816" t="inlineStr">
        <is>
          <t>Piz Buin Moisturising Sun Lotion SPF 15 200ml</t>
        </is>
      </c>
      <c r="C3816" t="inlineStr">
        <is>
          <t>Body Sun Protection</t>
        </is>
      </c>
      <c r="D3816" t="inlineStr">
        <is>
          <t>Piz Buin</t>
        </is>
      </c>
      <c r="E3816" t="n">
        <v>10.33</v>
      </c>
      <c r="F3816" t="n">
        <v>1</v>
      </c>
      <c r="G3816" t="n">
        <v>36</v>
      </c>
      <c r="H3816" s="5">
        <f>HYPERLINK("https://api.qogita.com/variants/link/3574661464978/", "View Product")</f>
        <v/>
      </c>
    </row>
    <row r="3817">
      <c r="A3817" t="inlineStr">
        <is>
          <t>3574661469294</t>
        </is>
      </c>
      <c r="B3817" t="inlineStr">
        <is>
          <t>Piz Buin After Sun Moisturising Lotion Tan Intensifier 200ml</t>
        </is>
      </c>
      <c r="C3817" t="inlineStr">
        <is>
          <t>Aftersun</t>
        </is>
      </c>
      <c r="D3817" t="inlineStr">
        <is>
          <t>Piz Buin</t>
        </is>
      </c>
      <c r="E3817" t="n">
        <v>6.32</v>
      </c>
      <c r="F3817" t="n">
        <v>1</v>
      </c>
      <c r="G3817" t="n">
        <v>271</v>
      </c>
      <c r="H3817" s="5">
        <f>HYPERLINK("https://api.qogita.com/variants/link/3574661469294/", "View Product")</f>
        <v/>
      </c>
    </row>
    <row r="3818">
      <c r="A3818" t="inlineStr">
        <is>
          <t>3574661491226</t>
        </is>
      </c>
      <c r="B3818" t="inlineStr">
        <is>
          <t>Aveeno Skin Relief Body Wash For Very Dry Skin</t>
        </is>
      </c>
      <c r="C3818" t="inlineStr">
        <is>
          <t>Shower Gel</t>
        </is>
      </c>
      <c r="D3818" t="inlineStr">
        <is>
          <t>Aveeno</t>
        </is>
      </c>
      <c r="E3818" t="n">
        <v>13.59</v>
      </c>
      <c r="F3818" t="n">
        <v>1</v>
      </c>
      <c r="G3818" t="n">
        <v>12</v>
      </c>
      <c r="H3818" s="5">
        <f>HYPERLINK("https://api.qogita.com/variants/link/3574661491226/", "View Product")</f>
        <v/>
      </c>
    </row>
    <row r="3819">
      <c r="A3819" t="inlineStr">
        <is>
          <t>3574661491875</t>
        </is>
      </c>
      <c r="B3819" t="inlineStr">
        <is>
          <t>Listerine Advanced White Mild Taste Mouthwash With Whitening Effect</t>
        </is>
      </c>
      <c r="C3819" t="inlineStr">
        <is>
          <t>Mouthwash</t>
        </is>
      </c>
      <c r="D3819" t="inlineStr">
        <is>
          <t>Listerine</t>
        </is>
      </c>
      <c r="E3819" t="n">
        <v>7.3</v>
      </c>
      <c r="F3819" t="n">
        <v>1</v>
      </c>
      <c r="G3819" t="n">
        <v>15</v>
      </c>
      <c r="H3819" s="5">
        <f>HYPERLINK("https://api.qogita.com/variants/link/3574661491875/", "View Product")</f>
        <v/>
      </c>
    </row>
    <row r="3820">
      <c r="A3820" t="inlineStr">
        <is>
          <t>3574661533544</t>
        </is>
      </c>
      <c r="B3820" t="inlineStr">
        <is>
          <t>Neutrogena Hydro Boost Gel Cream Moisturizing Gel-Cream For Dry Skin 50ml</t>
        </is>
      </c>
      <c r="C3820" t="inlineStr">
        <is>
          <t>Face Cream</t>
        </is>
      </c>
      <c r="D3820" t="inlineStr">
        <is>
          <t>Neutrogena</t>
        </is>
      </c>
      <c r="E3820" t="n">
        <v>13.96</v>
      </c>
      <c r="F3820" t="n">
        <v>1</v>
      </c>
      <c r="G3820" t="n">
        <v>17</v>
      </c>
      <c r="H3820" s="5">
        <f>HYPERLINK("https://api.qogita.com/variants/link/3574661533544/", "View Product")</f>
        <v/>
      </c>
    </row>
    <row r="3821">
      <c r="A3821" t="inlineStr">
        <is>
          <t>3574661533568</t>
        </is>
      </c>
      <c r="B3821" t="inlineStr">
        <is>
          <t>Neutrogena Hydro Boost Hydrating Lotion 50ml</t>
        </is>
      </c>
      <c r="C3821" t="inlineStr">
        <is>
          <t>Face Cream</t>
        </is>
      </c>
      <c r="D3821" t="inlineStr">
        <is>
          <t>Neutrogena</t>
        </is>
      </c>
      <c r="E3821" t="n">
        <v>13.94</v>
      </c>
      <c r="F3821" t="n">
        <v>1</v>
      </c>
      <c r="G3821" t="n">
        <v>4</v>
      </c>
      <c r="H3821" s="5">
        <f>HYPERLINK("https://api.qogita.com/variants/link/3574661533568/", "View Product")</f>
        <v/>
      </c>
    </row>
    <row r="3822">
      <c r="A3822" t="inlineStr">
        <is>
          <t>3574661639222</t>
        </is>
      </c>
      <c r="B3822" t="inlineStr">
        <is>
          <t>Neutrogena Hydro Boost Set Cosmetic Set With 2 X 50 Ml</t>
        </is>
      </c>
      <c r="C3822" t="inlineStr">
        <is>
          <t>Face</t>
        </is>
      </c>
      <c r="D3822" t="inlineStr">
        <is>
          <t>Neutrogena</t>
        </is>
      </c>
      <c r="E3822" t="n">
        <v>22.95</v>
      </c>
      <c r="F3822" t="n">
        <v>1</v>
      </c>
      <c r="G3822" t="n">
        <v>49</v>
      </c>
      <c r="H3822" s="5">
        <f>HYPERLINK("https://api.qogita.com/variants/link/3574661639222/", "View Product")</f>
        <v/>
      </c>
    </row>
    <row r="3823">
      <c r="A3823" t="inlineStr">
        <is>
          <t>3574661774664</t>
        </is>
      </c>
      <c r="B3823" t="inlineStr">
        <is>
          <t>Neutrogena Hydro Boost Hydrating Fluid Spf50 Face Cream 50ml</t>
        </is>
      </c>
      <c r="C3823" t="inlineStr">
        <is>
          <t>Face Sun Protection</t>
        </is>
      </c>
      <c r="D3823" t="inlineStr">
        <is>
          <t>Neutrogena</t>
        </is>
      </c>
      <c r="E3823" t="n">
        <v>14.06</v>
      </c>
      <c r="F3823" t="n">
        <v>1</v>
      </c>
      <c r="G3823" t="n">
        <v>13</v>
      </c>
      <c r="H3823" s="5">
        <f>HYPERLINK("https://api.qogita.com/variants/link/3574661774664/", "View Product")</f>
        <v/>
      </c>
    </row>
    <row r="3824">
      <c r="A3824" t="inlineStr">
        <is>
          <t>3574661810782</t>
        </is>
      </c>
      <c r="B3824" t="inlineStr">
        <is>
          <t>Aveeno Calm+Restore Soothing Oat Toning Lotion 200ml - Fragrance-Free Toner</t>
        </is>
      </c>
      <c r="C3824" t="inlineStr">
        <is>
          <t>Facial Spray</t>
        </is>
      </c>
      <c r="D3824" t="inlineStr">
        <is>
          <t>Aveeno</t>
        </is>
      </c>
      <c r="E3824" t="n">
        <v>12.19</v>
      </c>
      <c r="F3824" t="n">
        <v>1</v>
      </c>
      <c r="G3824" t="n">
        <v>9</v>
      </c>
      <c r="H3824" s="5">
        <f>HYPERLINK("https://api.qogita.com/variants/link/3574661810782/", "View Product")</f>
        <v/>
      </c>
    </row>
    <row r="3825">
      <c r="A3825" t="inlineStr">
        <is>
          <t>3575070054439</t>
        </is>
      </c>
      <c r="B3825" t="inlineStr">
        <is>
          <t>Ashes Eau de Parfum</t>
        </is>
      </c>
      <c r="C3825" t="inlineStr">
        <is>
          <t>Eau De Parfum</t>
        </is>
      </c>
      <c r="D3825" t="inlineStr">
        <is>
          <t>Franck Boclet</t>
        </is>
      </c>
      <c r="E3825" t="n">
        <v>81.93000000000001</v>
      </c>
      <c r="F3825" t="n">
        <v>1</v>
      </c>
      <c r="G3825" t="n">
        <v>8</v>
      </c>
      <c r="H3825" s="5">
        <f>HYPERLINK("https://api.qogita.com/variants/link/3575070054439/", "View Product")</f>
        <v/>
      </c>
    </row>
    <row r="3826">
      <c r="A3826" t="inlineStr">
        <is>
          <t>3575070055177</t>
        </is>
      </c>
      <c r="B3826" t="inlineStr">
        <is>
          <t>Burning Desire Orlov Collection Orlov Paris Eau de Parfum 75ml</t>
        </is>
      </c>
      <c r="C3826" t="inlineStr">
        <is>
          <t>Eau De Parfum</t>
        </is>
      </c>
      <c r="D3826" t="inlineStr">
        <is>
          <t>Orlov Paris</t>
        </is>
      </c>
      <c r="E3826" t="n">
        <v>28.16</v>
      </c>
      <c r="F3826" t="n">
        <v>1</v>
      </c>
      <c r="G3826" t="n">
        <v>29</v>
      </c>
      <c r="H3826" s="5">
        <f>HYPERLINK("https://api.qogita.com/variants/link/3575070055177/", "View Product")</f>
        <v/>
      </c>
    </row>
    <row r="3827">
      <c r="A3827" t="inlineStr">
        <is>
          <t>3581000018013</t>
        </is>
      </c>
      <c r="B3827" t="inlineStr">
        <is>
          <t>PARFUMS DE NICOLAI Number One Intense Eau de Parfum</t>
        </is>
      </c>
      <c r="C3827" t="inlineStr">
        <is>
          <t>Eau De Parfum</t>
        </is>
      </c>
      <c r="D3827" t="inlineStr">
        <is>
          <t>Nikolai</t>
        </is>
      </c>
      <c r="E3827" t="n">
        <v>98.5</v>
      </c>
      <c r="F3827" t="n">
        <v>1</v>
      </c>
      <c r="G3827" t="n">
        <v>4</v>
      </c>
      <c r="H3827" s="5">
        <f>HYPERLINK("https://api.qogita.com/variants/link/3581000018013/", "View Product")</f>
        <v/>
      </c>
    </row>
    <row r="3828">
      <c r="A3828" t="inlineStr">
        <is>
          <t>3581000018228</t>
        </is>
      </c>
      <c r="B3828" t="inlineStr">
        <is>
          <t>New York Intense Eau De Parfum 100ml by Parfums De Nicolai</t>
        </is>
      </c>
      <c r="C3828" t="inlineStr">
        <is>
          <t>Eau De Parfum</t>
        </is>
      </c>
      <c r="D3828" t="inlineStr">
        <is>
          <t>Nikolai</t>
        </is>
      </c>
      <c r="E3828" t="n">
        <v>133.72</v>
      </c>
      <c r="F3828" t="n">
        <v>1</v>
      </c>
      <c r="G3828" t="n">
        <v>26</v>
      </c>
      <c r="H3828" s="5">
        <f>HYPERLINK("https://api.qogita.com/variants/link/3581000018228/", "View Product")</f>
        <v/>
      </c>
    </row>
    <row r="3829">
      <c r="A3829" t="inlineStr">
        <is>
          <t>3593787001201</t>
        </is>
      </c>
      <c r="B3829" t="inlineStr">
        <is>
          <t>Rexaline Hydra-Dose Rich Hyper-Hydrating Rejuvenating Cream Face Moisturizer Anti Wrinkle and Anti Aging Cream with Hyaluronic Acid Soothing and Nourishing Facial Care Dry Skin 50ml</t>
        </is>
      </c>
      <c r="C3829" t="inlineStr">
        <is>
          <t>Anti-Aging Facial Care</t>
        </is>
      </c>
      <c r="D3829" t="inlineStr">
        <is>
          <t>Rexaline</t>
        </is>
      </c>
      <c r="E3829" t="n">
        <v>54.89</v>
      </c>
      <c r="F3829" t="n">
        <v>1</v>
      </c>
      <c r="G3829" t="n">
        <v>2</v>
      </c>
      <c r="H3829" s="5">
        <f>HYPERLINK("https://api.qogita.com/variants/link/3593787001201/", "View Product")</f>
        <v/>
      </c>
    </row>
    <row r="3830">
      <c r="A3830" t="inlineStr">
        <is>
          <t>3593787002239</t>
        </is>
      </c>
      <c r="B3830" t="inlineStr">
        <is>
          <t>Rexaline Derma Eye Contour for Sensitive Skin 15ml</t>
        </is>
      </c>
      <c r="C3830" t="inlineStr">
        <is>
          <t>Eye Cream</t>
        </is>
      </c>
      <c r="D3830" t="inlineStr">
        <is>
          <t>Rexaline</t>
        </is>
      </c>
      <c r="E3830" t="n">
        <v>24.72</v>
      </c>
      <c r="F3830" t="n">
        <v>1</v>
      </c>
      <c r="G3830" t="n">
        <v>2</v>
      </c>
      <c r="H3830" s="5">
        <f>HYPERLINK("https://api.qogita.com/variants/link/3593787002239/", "View Product")</f>
        <v/>
      </c>
    </row>
    <row r="3831">
      <c r="A3831" t="inlineStr">
        <is>
          <t>3595471022967</t>
        </is>
      </c>
      <c r="B3831" t="inlineStr">
        <is>
          <t>Mercedes-Benz Ultimate Eau De Parfum Spray 120ml</t>
        </is>
      </c>
      <c r="C3831" t="inlineStr">
        <is>
          <t>Eau De Parfum</t>
        </is>
      </c>
      <c r="D3831" t="inlineStr">
        <is>
          <t>Mercedes-Benz</t>
        </is>
      </c>
      <c r="E3831" t="n">
        <v>32.22</v>
      </c>
      <c r="F3831" t="n">
        <v>1</v>
      </c>
      <c r="G3831" t="n">
        <v>51</v>
      </c>
      <c r="H3831" s="5">
        <f>HYPERLINK("https://api.qogita.com/variants/link/3595471022967/", "View Product")</f>
        <v/>
      </c>
    </row>
    <row r="3832">
      <c r="A3832" t="inlineStr">
        <is>
          <t>3595471023179</t>
        </is>
      </c>
      <c r="B3832" t="inlineStr">
        <is>
          <t>Mercedes-Benz Ultimate Eau De Parfum Spray 40ml</t>
        </is>
      </c>
      <c r="C3832" t="inlineStr">
        <is>
          <t>Eau De Parfum</t>
        </is>
      </c>
      <c r="D3832" t="inlineStr">
        <is>
          <t>Mercedes-Benz</t>
        </is>
      </c>
      <c r="E3832" t="n">
        <v>29.74</v>
      </c>
      <c r="F3832" t="n">
        <v>1</v>
      </c>
      <c r="G3832" t="n">
        <v>8</v>
      </c>
      <c r="H3832" s="5">
        <f>HYPERLINK("https://api.qogita.com/variants/link/3595471023179/", "View Product")</f>
        <v/>
      </c>
    </row>
    <row r="3833">
      <c r="A3833" t="inlineStr">
        <is>
          <t>3595471023490</t>
        </is>
      </c>
      <c r="B3833" t="inlineStr">
        <is>
          <t>Mercedes-Benz The Move Live The Moment Eau De Parfum Spray 100ml</t>
        </is>
      </c>
      <c r="C3833" t="inlineStr">
        <is>
          <t>Eau De Parfum</t>
        </is>
      </c>
      <c r="D3833" t="inlineStr">
        <is>
          <t>Mercedes-Benz</t>
        </is>
      </c>
      <c r="E3833" t="n">
        <v>27.97</v>
      </c>
      <c r="F3833" t="n">
        <v>1</v>
      </c>
      <c r="G3833" t="n">
        <v>64</v>
      </c>
      <c r="H3833" s="5">
        <f>HYPERLINK("https://api.qogita.com/variants/link/3595471023490/", "View Product")</f>
        <v/>
      </c>
    </row>
    <row r="3834">
      <c r="A3834" t="inlineStr">
        <is>
          <t>3595471023537</t>
        </is>
      </c>
      <c r="B3834" t="inlineStr">
        <is>
          <t>Mercedes-Benz The Move Live The Moment Eau De Parfum Spray 60ml</t>
        </is>
      </c>
      <c r="C3834" t="inlineStr">
        <is>
          <t>Eau De Parfum</t>
        </is>
      </c>
      <c r="D3834" t="inlineStr">
        <is>
          <t>Mercedes-Benz</t>
        </is>
      </c>
      <c r="E3834" t="n">
        <v>23.59</v>
      </c>
      <c r="F3834" t="n">
        <v>1</v>
      </c>
      <c r="G3834" t="n">
        <v>5</v>
      </c>
      <c r="H3834" s="5">
        <f>HYPERLINK("https://api.qogita.com/variants/link/3595471023537/", "View Product")</f>
        <v/>
      </c>
    </row>
    <row r="3835">
      <c r="A3835" t="inlineStr">
        <is>
          <t>3595471024008</t>
        </is>
      </c>
      <c r="B3835" t="inlineStr">
        <is>
          <t>Mercedes-Benz Sign Your Attitude Eau De Toilette Spray 100ml</t>
        </is>
      </c>
      <c r="C3835" t="inlineStr">
        <is>
          <t>Eau De Toilette</t>
        </is>
      </c>
      <c r="D3835" t="inlineStr">
        <is>
          <t>Mercedes-Benz</t>
        </is>
      </c>
      <c r="E3835" t="n">
        <v>35.88</v>
      </c>
      <c r="F3835" t="n">
        <v>1</v>
      </c>
      <c r="G3835" t="n">
        <v>16</v>
      </c>
      <c r="H3835" s="5">
        <f>HYPERLINK("https://api.qogita.com/variants/link/3595471024008/", "View Product")</f>
        <v/>
      </c>
    </row>
    <row r="3836">
      <c r="A3836" t="inlineStr">
        <is>
          <t>3595471024787</t>
        </is>
      </c>
      <c r="B3836" t="inlineStr">
        <is>
          <t>Mercedes Benz Signature Intense Eau De Toilette For Men 120ml</t>
        </is>
      </c>
      <c r="C3836" t="inlineStr">
        <is>
          <t>Eau De Toilette</t>
        </is>
      </c>
      <c r="D3836" t="inlineStr">
        <is>
          <t>Mercedes-Benz</t>
        </is>
      </c>
      <c r="E3836" t="n">
        <v>30.44</v>
      </c>
      <c r="F3836" t="n">
        <v>1</v>
      </c>
      <c r="G3836" t="n">
        <v>63</v>
      </c>
      <c r="H3836" s="5">
        <f>HYPERLINK("https://api.qogita.com/variants/link/3595471024787/", "View Product")</f>
        <v/>
      </c>
    </row>
    <row r="3837">
      <c r="A3837" t="inlineStr">
        <is>
          <t>3595471024824</t>
        </is>
      </c>
      <c r="B3837" t="inlineStr">
        <is>
          <t>Mercedes-Benz Woman Eau de Parfum 90ml</t>
        </is>
      </c>
      <c r="C3837" t="inlineStr">
        <is>
          <t>Eau De Parfum</t>
        </is>
      </c>
      <c r="D3837" t="inlineStr">
        <is>
          <t>Mercedes-Benz</t>
        </is>
      </c>
      <c r="E3837" t="n">
        <v>31.99</v>
      </c>
      <c r="F3837" t="n">
        <v>1</v>
      </c>
      <c r="G3837" t="n">
        <v>4</v>
      </c>
      <c r="H3837" s="5">
        <f>HYPERLINK("https://api.qogita.com/variants/link/3595471024824/", "View Product")</f>
        <v/>
      </c>
    </row>
    <row r="3838">
      <c r="A3838" t="inlineStr">
        <is>
          <t>3595471024848</t>
        </is>
      </c>
      <c r="B3838" t="inlineStr">
        <is>
          <t>Mercedes-Benz For Woman Eau De Parfum 30ml</t>
        </is>
      </c>
      <c r="C3838" t="inlineStr">
        <is>
          <t>Eau De Parfum</t>
        </is>
      </c>
      <c r="D3838" t="inlineStr">
        <is>
          <t>Mercedes-Benz</t>
        </is>
      </c>
      <c r="E3838" t="n">
        <v>26.52</v>
      </c>
      <c r="F3838" t="n">
        <v>1</v>
      </c>
      <c r="G3838" t="n">
        <v>3</v>
      </c>
      <c r="H3838" s="5">
        <f>HYPERLINK("https://api.qogita.com/variants/link/3595471024848/", "View Product")</f>
        <v/>
      </c>
    </row>
    <row r="3839">
      <c r="A3839" t="inlineStr">
        <is>
          <t>3595471026781</t>
        </is>
      </c>
      <c r="B3839" t="inlineStr">
        <is>
          <t>Mercedes-Benz Fanciful Edition Eau De Toilette Spray 90ml</t>
        </is>
      </c>
      <c r="C3839" t="inlineStr">
        <is>
          <t>Eau De Toilette</t>
        </is>
      </c>
      <c r="D3839" t="inlineStr">
        <is>
          <t>Mercedes-Benz</t>
        </is>
      </c>
      <c r="E3839" t="n">
        <v>29.94</v>
      </c>
      <c r="F3839" t="n">
        <v>1</v>
      </c>
      <c r="G3839" t="n">
        <v>45</v>
      </c>
      <c r="H3839" s="5">
        <f>HYPERLINK("https://api.qogita.com/variants/link/3595471026781/", "View Product")</f>
        <v/>
      </c>
    </row>
    <row r="3840">
      <c r="A3840" t="inlineStr">
        <is>
          <t>3595471026835</t>
        </is>
      </c>
      <c r="B3840" t="inlineStr">
        <is>
          <t>Mercedes-Benz Air Eau De Parfum Spray 100ml</t>
        </is>
      </c>
      <c r="C3840" t="inlineStr">
        <is>
          <t>Eau De Parfum</t>
        </is>
      </c>
      <c r="D3840" t="inlineStr">
        <is>
          <t>Mercedes-Benz</t>
        </is>
      </c>
      <c r="E3840" t="n">
        <v>33.38</v>
      </c>
      <c r="F3840" t="n">
        <v>1</v>
      </c>
      <c r="G3840" t="n">
        <v>7</v>
      </c>
      <c r="H3840" s="5">
        <f>HYPERLINK("https://api.qogita.com/variants/link/3595471026835/", "View Product")</f>
        <v/>
      </c>
    </row>
    <row r="3841">
      <c r="A3841" t="inlineStr">
        <is>
          <t>3595471028242</t>
        </is>
      </c>
      <c r="B3841" t="inlineStr">
        <is>
          <t>Mercedes-Benz Floral Fantasy Eau De Toilette Spray 90ml</t>
        </is>
      </c>
      <c r="C3841" t="inlineStr">
        <is>
          <t>Eau De Toilette</t>
        </is>
      </c>
      <c r="D3841" t="inlineStr">
        <is>
          <t>Mercedes-Benz</t>
        </is>
      </c>
      <c r="E3841" t="n">
        <v>28.53</v>
      </c>
      <c r="F3841" t="n">
        <v>1</v>
      </c>
      <c r="G3841" t="n">
        <v>11</v>
      </c>
      <c r="H3841" s="5">
        <f>HYPERLINK("https://api.qogita.com/variants/link/3595471028242/", "View Product")</f>
        <v/>
      </c>
    </row>
    <row r="3842">
      <c r="A3842" t="inlineStr">
        <is>
          <t>3595471061010</t>
        </is>
      </c>
      <c r="B3842" t="inlineStr">
        <is>
          <t>Mercedes-Benz Man Eau De Toilette Spray 100ml</t>
        </is>
      </c>
      <c r="C3842" t="inlineStr">
        <is>
          <t>Eau De Toilette</t>
        </is>
      </c>
      <c r="D3842" t="inlineStr">
        <is>
          <t>Mercedes-Benz</t>
        </is>
      </c>
      <c r="E3842" t="n">
        <v>28.07</v>
      </c>
      <c r="F3842" t="n">
        <v>1</v>
      </c>
      <c r="G3842" t="n">
        <v>9</v>
      </c>
      <c r="H3842" s="5">
        <f>HYPERLINK("https://api.qogita.com/variants/link/3595471061010/", "View Product")</f>
        <v/>
      </c>
    </row>
    <row r="3843">
      <c r="A3843" t="inlineStr">
        <is>
          <t>3595471061096</t>
        </is>
      </c>
      <c r="B3843" t="inlineStr">
        <is>
          <t>Mercedes-Benz Man Private Eau De Parfum Spray 100ml</t>
        </is>
      </c>
      <c r="C3843" t="inlineStr">
        <is>
          <t>Eau De Parfum</t>
        </is>
      </c>
      <c r="D3843" t="inlineStr">
        <is>
          <t>Mercedes-Benz</t>
        </is>
      </c>
      <c r="E3843" t="n">
        <v>28.58</v>
      </c>
      <c r="F3843" t="n">
        <v>1</v>
      </c>
      <c r="G3843" t="n">
        <v>36</v>
      </c>
      <c r="H3843" s="5">
        <f>HYPERLINK("https://api.qogita.com/variants/link/3595471061096/", "View Product")</f>
        <v/>
      </c>
    </row>
    <row r="3844">
      <c r="A3844" t="inlineStr">
        <is>
          <t>3595471061171</t>
        </is>
      </c>
      <c r="B3844" t="inlineStr">
        <is>
          <t>Mercedes Benz Man Intense Eau De Toilette 100ml</t>
        </is>
      </c>
      <c r="C3844" t="inlineStr">
        <is>
          <t>Eau De Toilette</t>
        </is>
      </c>
      <c r="D3844" t="inlineStr">
        <is>
          <t>Mercedes-Benz</t>
        </is>
      </c>
      <c r="E3844" t="n">
        <v>26.81</v>
      </c>
      <c r="F3844" t="n">
        <v>1</v>
      </c>
      <c r="G3844" t="n">
        <v>2</v>
      </c>
      <c r="H3844" s="5">
        <f>HYPERLINK("https://api.qogita.com/variants/link/3595471061171/", "View Product")</f>
        <v/>
      </c>
    </row>
    <row r="3845">
      <c r="A3845" t="inlineStr">
        <is>
          <t>3595471091024</t>
        </is>
      </c>
      <c r="B3845" t="inlineStr">
        <is>
          <t>Mercedes-Benz The Move Eau de Toilette Men's Fragrance 60ml</t>
        </is>
      </c>
      <c r="C3845" t="inlineStr">
        <is>
          <t>Eau De Toilette</t>
        </is>
      </c>
      <c r="D3845" t="inlineStr">
        <is>
          <t>Mercedes-Benz</t>
        </is>
      </c>
      <c r="E3845" t="n">
        <v>21.52</v>
      </c>
      <c r="F3845" t="n">
        <v>1</v>
      </c>
      <c r="G3845" t="n">
        <v>8</v>
      </c>
      <c r="H3845" s="5">
        <f>HYPERLINK("https://api.qogita.com/variants/link/3595471091024/", "View Product")</f>
        <v/>
      </c>
    </row>
    <row r="3846">
      <c r="A3846" t="inlineStr">
        <is>
          <t>3595471095329</t>
        </is>
      </c>
      <c r="B3846" t="inlineStr">
        <is>
          <t>Mercedes-Benz Amg Silver Thrill Eau De Parfum Spray 100ml</t>
        </is>
      </c>
      <c r="C3846" t="inlineStr">
        <is>
          <t>Eau De Parfum</t>
        </is>
      </c>
      <c r="D3846" t="inlineStr">
        <is>
          <t>Mercedes-Benz</t>
        </is>
      </c>
      <c r="E3846" t="n">
        <v>35.73</v>
      </c>
      <c r="F3846" t="n">
        <v>1</v>
      </c>
      <c r="G3846" t="n">
        <v>41</v>
      </c>
      <c r="H3846" s="5">
        <f>HYPERLINK("https://api.qogita.com/variants/link/3595471095329/", "View Product")</f>
        <v/>
      </c>
    </row>
    <row r="3847">
      <c r="A3847" t="inlineStr">
        <is>
          <t>3595472041226</t>
        </is>
      </c>
      <c r="B3847" t="inlineStr">
        <is>
          <t>Mercedes-Benz Club Eau De Toilette Spray 20ml</t>
        </is>
      </c>
      <c r="C3847" t="inlineStr">
        <is>
          <t>Eau De Toilette</t>
        </is>
      </c>
      <c r="D3847" t="inlineStr">
        <is>
          <t>Mercedes-Benz</t>
        </is>
      </c>
      <c r="E3847" t="n">
        <v>10.5</v>
      </c>
      <c r="F3847" t="n">
        <v>1</v>
      </c>
      <c r="G3847" t="n">
        <v>17</v>
      </c>
      <c r="H3847" s="5">
        <f>HYPERLINK("https://api.qogita.com/variants/link/3595472041226/", "View Product")</f>
        <v/>
      </c>
    </row>
    <row r="3848">
      <c r="A3848" t="inlineStr">
        <is>
          <t>3596200056116</t>
        </is>
      </c>
      <c r="B3848" t="inlineStr">
        <is>
          <t>Weleda Skin Food Super Serum 30 Ml</t>
        </is>
      </c>
      <c r="C3848" t="inlineStr">
        <is>
          <t>Hydrating Serum</t>
        </is>
      </c>
      <c r="D3848" t="inlineStr">
        <is>
          <t>Weleda</t>
        </is>
      </c>
      <c r="E3848" t="n">
        <v>18.96</v>
      </c>
      <c r="F3848" t="n">
        <v>1</v>
      </c>
      <c r="G3848" t="n">
        <v>4</v>
      </c>
      <c r="H3848" s="5">
        <f>HYPERLINK("https://api.qogita.com/variants/link/3596200056116/", "View Product")</f>
        <v/>
      </c>
    </row>
    <row r="3849">
      <c r="A3849" t="inlineStr">
        <is>
          <t>3596200081750</t>
        </is>
      </c>
      <c r="B3849" t="inlineStr">
        <is>
          <t>Iris Hydrating Face Cream Light</t>
        </is>
      </c>
      <c r="C3849" t="inlineStr">
        <is>
          <t>Face Cream</t>
        </is>
      </c>
      <c r="D3849" t="inlineStr">
        <is>
          <t>Weleda</t>
        </is>
      </c>
      <c r="E3849" t="n">
        <v>14.02</v>
      </c>
      <c r="F3849" t="n">
        <v>1</v>
      </c>
      <c r="G3849" t="n">
        <v>7</v>
      </c>
      <c r="H3849" s="5">
        <f>HYPERLINK("https://api.qogita.com/variants/link/3596200081750/", "View Product")</f>
        <v/>
      </c>
    </row>
    <row r="3850">
      <c r="A3850" t="inlineStr">
        <is>
          <t>3596207201960</t>
        </is>
      </c>
      <c r="B3850" t="inlineStr">
        <is>
          <t>Weleda Aftershave Lotion 100ml</t>
        </is>
      </c>
      <c r="C3850" t="inlineStr">
        <is>
          <t>Aftershave</t>
        </is>
      </c>
      <c r="D3850" t="inlineStr">
        <is>
          <t>Weleda</t>
        </is>
      </c>
      <c r="E3850" t="n">
        <v>15.17</v>
      </c>
      <c r="F3850" t="n">
        <v>1</v>
      </c>
      <c r="G3850" t="n">
        <v>5</v>
      </c>
      <c r="H3850" s="5">
        <f>HYPERLINK("https://api.qogita.com/variants/link/3596207201960/", "View Product")</f>
        <v/>
      </c>
    </row>
    <row r="3851">
      <c r="A3851" t="inlineStr">
        <is>
          <t>3600010018162</t>
        </is>
      </c>
      <c r="B3851" t="inlineStr">
        <is>
          <t>Garnier Complete Botanical Milk 200 Ml Makeup Remover Milk Rose Milk</t>
        </is>
      </c>
      <c r="C3851" t="inlineStr">
        <is>
          <t>Cleansing Milk</t>
        </is>
      </c>
      <c r="D3851" t="inlineStr">
        <is>
          <t>Garnier</t>
        </is>
      </c>
      <c r="E3851" t="n">
        <v>5.81</v>
      </c>
      <c r="F3851" t="n">
        <v>1</v>
      </c>
      <c r="G3851" t="n">
        <v>5</v>
      </c>
      <c r="H3851" s="5">
        <f>HYPERLINK("https://api.qogita.com/variants/link/3600010018162/", "View Product")</f>
        <v/>
      </c>
    </row>
    <row r="3852">
      <c r="A3852" t="inlineStr">
        <is>
          <t>3600520290126</t>
        </is>
      </c>
      <c r="B3852" t="inlineStr">
        <is>
          <t>L'Oreal Paris Double Extension Mascara Waterproof Black</t>
        </is>
      </c>
      <c r="C3852" t="inlineStr">
        <is>
          <t>Mascara</t>
        </is>
      </c>
      <c r="D3852" t="inlineStr">
        <is>
          <t>L'Oréal Paris</t>
        </is>
      </c>
      <c r="E3852" t="n">
        <v>10.64</v>
      </c>
      <c r="F3852" t="n">
        <v>1</v>
      </c>
      <c r="G3852" t="n">
        <v>3</v>
      </c>
      <c r="H3852" s="5">
        <f>HYPERLINK("https://api.qogita.com/variants/link/3600520290126/", "View Product")</f>
        <v/>
      </c>
    </row>
    <row r="3853">
      <c r="A3853" t="inlineStr">
        <is>
          <t>3600520297262</t>
        </is>
      </c>
      <c r="B3853" t="inlineStr">
        <is>
          <t>L'Oreal Paris Men Hydra Energetic Daily Moisturizer Pump 50 Ml Moisturizer Against Signs Of Fatigue For Men</t>
        </is>
      </c>
      <c r="C3853" t="inlineStr">
        <is>
          <t>Day Cream</t>
        </is>
      </c>
      <c r="D3853" t="inlineStr">
        <is>
          <t>L'Oréal Paris</t>
        </is>
      </c>
      <c r="E3853" t="n">
        <v>8.48</v>
      </c>
      <c r="F3853" t="n">
        <v>1</v>
      </c>
      <c r="G3853" t="n">
        <v>22</v>
      </c>
      <c r="H3853" s="5">
        <f>HYPERLINK("https://api.qogita.com/variants/link/3600520297262/", "View Product")</f>
        <v/>
      </c>
    </row>
    <row r="3854">
      <c r="A3854" t="inlineStr">
        <is>
          <t>3600520772042</t>
        </is>
      </c>
      <c r="B3854" t="inlineStr">
        <is>
          <t>L'Oreal Paris True Match Super-Blendable Perfecting Powder - 5d/5w Warm Undertone, 9g</t>
        </is>
      </c>
      <c r="C3854" t="inlineStr">
        <is>
          <t>Powder</t>
        </is>
      </c>
      <c r="D3854" t="inlineStr">
        <is>
          <t>L'Oréal Paris</t>
        </is>
      </c>
      <c r="E3854" t="n">
        <v>11.13</v>
      </c>
      <c r="F3854" t="n">
        <v>1</v>
      </c>
      <c r="G3854" t="n">
        <v>7</v>
      </c>
      <c r="H3854" s="5">
        <f>HYPERLINK("https://api.qogita.com/variants/link/3600520772042/", "View Product")</f>
        <v/>
      </c>
    </row>
    <row r="3855">
      <c r="A3855" t="inlineStr">
        <is>
          <t>3600521627426</t>
        </is>
      </c>
      <c r="B3855" t="inlineStr">
        <is>
          <t>L'Oral Paris Blush Accord Parfait 5 G Blush 165 Rose Bonne Min</t>
        </is>
      </c>
      <c r="C3855" t="inlineStr">
        <is>
          <t>Blush</t>
        </is>
      </c>
      <c r="D3855" t="inlineStr">
        <is>
          <t>L'Oréal Paris</t>
        </is>
      </c>
      <c r="E3855" t="n">
        <v>11.06</v>
      </c>
      <c r="F3855" t="n">
        <v>1</v>
      </c>
      <c r="G3855" t="n">
        <v>12</v>
      </c>
      <c r="H3855" s="5">
        <f>HYPERLINK("https://api.qogita.com/variants/link/3600521627426/", "View Product")</f>
        <v/>
      </c>
    </row>
    <row r="3856">
      <c r="A3856" t="inlineStr">
        <is>
          <t>3600521705827</t>
        </is>
      </c>
      <c r="B3856" t="inlineStr">
        <is>
          <t>L'Oral Paris Full Repair 5 Shampoo Treatment Shampoo For Damaged Hair</t>
        </is>
      </c>
      <c r="C3856" t="inlineStr">
        <is>
          <t>Shampoo</t>
        </is>
      </c>
      <c r="D3856" t="inlineStr">
        <is>
          <t>L'Oréal Paris</t>
        </is>
      </c>
      <c r="E3856" t="n">
        <v>7.03</v>
      </c>
      <c r="F3856" t="n">
        <v>1</v>
      </c>
      <c r="G3856" t="n">
        <v>27</v>
      </c>
      <c r="H3856" s="5">
        <f>HYPERLINK("https://api.qogita.com/variants/link/3600521705827/", "View Product")</f>
        <v/>
      </c>
    </row>
    <row r="3857">
      <c r="A3857" t="inlineStr">
        <is>
          <t>3600521821152</t>
        </is>
      </c>
      <c r="B3857" t="inlineStr">
        <is>
          <t>L'Oreal Volume Million Lashes Mascara 9ml</t>
        </is>
      </c>
      <c r="C3857" t="inlineStr">
        <is>
          <t>Mascara</t>
        </is>
      </c>
      <c r="D3857" t="inlineStr">
        <is>
          <t>L'Oréal</t>
        </is>
      </c>
      <c r="E3857" t="n">
        <v>11.25</v>
      </c>
      <c r="F3857" t="n">
        <v>1</v>
      </c>
      <c r="G3857" t="n">
        <v>32</v>
      </c>
      <c r="H3857" s="5">
        <f>HYPERLINK("https://api.qogita.com/variants/link/3600521821152/", "View Product")</f>
        <v/>
      </c>
    </row>
    <row r="3858">
      <c r="A3858" t="inlineStr">
        <is>
          <t>3600521893500</t>
        </is>
      </c>
      <c r="B3858" t="inlineStr">
        <is>
          <t>L'Oreal Volume Million Lashes Extra Black Mascara 9ml</t>
        </is>
      </c>
      <c r="C3858" t="inlineStr">
        <is>
          <t>Mascara</t>
        </is>
      </c>
      <c r="D3858" t="inlineStr">
        <is>
          <t>L'Oréal</t>
        </is>
      </c>
      <c r="E3858" t="n">
        <v>8.85</v>
      </c>
      <c r="F3858" t="n">
        <v>1</v>
      </c>
      <c r="G3858" t="n">
        <v>5</v>
      </c>
      <c r="H3858" s="5">
        <f>HYPERLINK("https://api.qogita.com/variants/link/3600521893500/", "View Product")</f>
        <v/>
      </c>
    </row>
    <row r="3859">
      <c r="A3859" t="inlineStr">
        <is>
          <t>3600522107941</t>
        </is>
      </c>
      <c r="B3859" t="inlineStr">
        <is>
          <t>L'Oreal Paris Men Expert Carbon Protect 48 Hour Roll-On 1.69 Oz</t>
        </is>
      </c>
      <c r="C3859" t="inlineStr">
        <is>
          <t>Deodorant &amp; Anti-Perspirant</t>
        </is>
      </c>
      <c r="D3859" t="inlineStr">
        <is>
          <t>L'Oréal Paris</t>
        </is>
      </c>
      <c r="E3859" t="n">
        <v>4.17</v>
      </c>
      <c r="F3859" t="n">
        <v>1</v>
      </c>
      <c r="G3859" t="n">
        <v>36</v>
      </c>
      <c r="H3859" s="5">
        <f>HYPERLINK("https://api.qogita.com/variants/link/3600522107941/", "View Product")</f>
        <v/>
      </c>
    </row>
    <row r="3860">
      <c r="A3860" t="inlineStr">
        <is>
          <t>3600522203100</t>
        </is>
      </c>
      <c r="B3860" t="inlineStr">
        <is>
          <t>L'Oral Brow Artist Designer Eyebrow Pencil With Brush 12 G 303 Dark Brunette</t>
        </is>
      </c>
      <c r="C3860" t="inlineStr">
        <is>
          <t>Eyebrow Pencil</t>
        </is>
      </c>
      <c r="D3860" t="inlineStr">
        <is>
          <t>L'Oréal</t>
        </is>
      </c>
      <c r="E3860" t="n">
        <v>7.68</v>
      </c>
      <c r="F3860" t="n">
        <v>1</v>
      </c>
      <c r="G3860" t="n">
        <v>9</v>
      </c>
      <c r="H3860" s="5">
        <f>HYPERLINK("https://api.qogita.com/variants/link/3600522203100/", "View Product")</f>
        <v/>
      </c>
    </row>
    <row r="3861">
      <c r="A3861" t="inlineStr">
        <is>
          <t>3600522249474</t>
        </is>
      </c>
      <c r="B3861" t="inlineStr">
        <is>
          <t>L'Oral Paris Revitalift Laser X3 Antiageing Power Serum 30 Ml</t>
        </is>
      </c>
      <c r="C3861" t="inlineStr">
        <is>
          <t>Anti-Aging Serum</t>
        </is>
      </c>
      <c r="D3861" t="inlineStr">
        <is>
          <t>L'Oréal Paris</t>
        </is>
      </c>
      <c r="E3861" t="n">
        <v>16.72</v>
      </c>
      <c r="F3861" t="n">
        <v>1</v>
      </c>
      <c r="G3861" t="n">
        <v>4</v>
      </c>
      <c r="H3861" s="5">
        <f>HYPERLINK("https://api.qogita.com/variants/link/3600522249474/", "View Product")</f>
        <v/>
      </c>
    </row>
    <row r="3862">
      <c r="A3862" t="inlineStr">
        <is>
          <t>3600522337072</t>
        </is>
      </c>
      <c r="B3862" t="inlineStr">
        <is>
          <t>L'Oral Paris Infallible 24h Parisian Nudes Lipstick 6 Ml 213 Toujours Teaberry Longlasting Lipstick And Lip Gloss 2in1</t>
        </is>
      </c>
      <c r="C3862" t="inlineStr">
        <is>
          <t>Lipstick</t>
        </is>
      </c>
      <c r="D3862" t="inlineStr">
        <is>
          <t>L'Oréal Paris</t>
        </is>
      </c>
      <c r="E3862" t="n">
        <v>12.5</v>
      </c>
      <c r="F3862" t="n">
        <v>1</v>
      </c>
      <c r="G3862" t="n">
        <v>9</v>
      </c>
      <c r="H3862" s="5">
        <f>HYPERLINK("https://api.qogita.com/variants/link/3600522337072/", "View Product")</f>
        <v/>
      </c>
    </row>
    <row r="3863">
      <c r="A3863" t="inlineStr">
        <is>
          <t>3600522480129</t>
        </is>
      </c>
      <c r="B3863" t="inlineStr">
        <is>
          <t>L'Oreal Revitalift Laser Renew Night Cream 50 Ml</t>
        </is>
      </c>
      <c r="C3863" t="inlineStr">
        <is>
          <t>Night Cream</t>
        </is>
      </c>
      <c r="D3863" t="inlineStr">
        <is>
          <t>L'Oréal</t>
        </is>
      </c>
      <c r="E3863" t="n">
        <v>12.68</v>
      </c>
      <c r="F3863" t="n">
        <v>1</v>
      </c>
      <c r="G3863" t="n">
        <v>5</v>
      </c>
      <c r="H3863" s="5">
        <f>HYPERLINK("https://api.qogita.com/variants/link/3600522480129/", "View Product")</f>
        <v/>
      </c>
    </row>
    <row r="3864">
      <c r="A3864" t="inlineStr">
        <is>
          <t>3600522550143</t>
        </is>
      </c>
      <c r="B3864" t="inlineStr">
        <is>
          <t>L'Oreal - Night Wrinkle Cream Age 45+ Specialist - 50ml</t>
        </is>
      </c>
      <c r="C3864" t="inlineStr">
        <is>
          <t>Night Cream</t>
        </is>
      </c>
      <c r="D3864" t="inlineStr">
        <is>
          <t>L'Oréal Paris</t>
        </is>
      </c>
      <c r="E3864" t="n">
        <v>8.35</v>
      </c>
      <c r="F3864" t="n">
        <v>1</v>
      </c>
      <c r="G3864" t="n">
        <v>22</v>
      </c>
      <c r="H3864" s="5">
        <f>HYPERLINK("https://api.qogita.com/variants/link/3600522550143/", "View Product")</f>
        <v/>
      </c>
    </row>
    <row r="3865">
      <c r="A3865" t="inlineStr">
        <is>
          <t>3600522616252</t>
        </is>
      </c>
      <c r="B3865" t="inlineStr">
        <is>
          <t>L'Oreal Volume Million Lashes So Couture Mascara Black 9.5ml</t>
        </is>
      </c>
      <c r="C3865" t="inlineStr">
        <is>
          <t>Mascara</t>
        </is>
      </c>
      <c r="D3865" t="inlineStr">
        <is>
          <t>L'Oréal</t>
        </is>
      </c>
      <c r="E3865" t="n">
        <v>7.97</v>
      </c>
      <c r="F3865" t="n">
        <v>1</v>
      </c>
      <c r="G3865" t="n">
        <v>56</v>
      </c>
      <c r="H3865" s="5">
        <f>HYPERLINK("https://api.qogita.com/variants/link/3600522616252/", "View Product")</f>
        <v/>
      </c>
    </row>
    <row r="3866">
      <c r="A3866" t="inlineStr">
        <is>
          <t>3600522634133</t>
        </is>
      </c>
      <c r="B3866" t="inlineStr">
        <is>
          <t>L'Oreal Men Expert Thermic Resist 48H Anti-Perspirant Deodorant 250ml</t>
        </is>
      </c>
      <c r="C3866" t="inlineStr">
        <is>
          <t>Deodorant &amp; Anti-Perspirant</t>
        </is>
      </c>
      <c r="D3866" t="inlineStr">
        <is>
          <t>L'Oréal</t>
        </is>
      </c>
      <c r="E3866" t="n">
        <v>6.94</v>
      </c>
      <c r="F3866" t="n">
        <v>1</v>
      </c>
      <c r="G3866" t="n">
        <v>5</v>
      </c>
      <c r="H3866" s="5">
        <f>HYPERLINK("https://api.qogita.com/variants/link/3600522634133/", "View Product")</f>
        <v/>
      </c>
    </row>
    <row r="3867">
      <c r="A3867" t="inlineStr">
        <is>
          <t>3600522862475</t>
        </is>
      </c>
      <c r="B3867" t="inlineStr">
        <is>
          <t>L'Oreal True Match Foundation - 1.R./1.C. Cool Undertone/Rose Ivory, 30ml</t>
        </is>
      </c>
      <c r="C3867" t="inlineStr">
        <is>
          <t>Foundation</t>
        </is>
      </c>
      <c r="D3867" t="inlineStr">
        <is>
          <t>L'Oréal</t>
        </is>
      </c>
      <c r="E3867" t="n">
        <v>10.28</v>
      </c>
      <c r="F3867" t="n">
        <v>1</v>
      </c>
      <c r="G3867" t="n">
        <v>10</v>
      </c>
      <c r="H3867" s="5">
        <f>HYPERLINK("https://api.qogita.com/variants/link/3600522862475/", "View Product")</f>
        <v/>
      </c>
    </row>
    <row r="3868">
      <c r="A3868" t="inlineStr">
        <is>
          <t>3600522862482</t>
        </is>
      </c>
      <c r="B3868" t="inlineStr">
        <is>
          <t>L'Oreal True Match Foundation In R2-C2 Rose Vanilla, 30ml</t>
        </is>
      </c>
      <c r="C3868" t="inlineStr">
        <is>
          <t>Foundation</t>
        </is>
      </c>
      <c r="D3868" t="inlineStr">
        <is>
          <t>L'Oréal</t>
        </is>
      </c>
      <c r="E3868" t="n">
        <v>11.03</v>
      </c>
      <c r="F3868" t="n">
        <v>1</v>
      </c>
      <c r="G3868" t="n">
        <v>2</v>
      </c>
      <c r="H3868" s="5">
        <f>HYPERLINK("https://api.qogita.com/variants/link/3600522862482/", "View Product")</f>
        <v/>
      </c>
    </row>
    <row r="3869">
      <c r="A3869" t="inlineStr">
        <is>
          <t>3600522862550</t>
        </is>
      </c>
      <c r="B3869" t="inlineStr">
        <is>
          <t>L'Oreal True Match Foundation - W4 Warm Undertone/Golden Natural, 30ml</t>
        </is>
      </c>
      <c r="C3869" t="inlineStr">
        <is>
          <t>Foundation</t>
        </is>
      </c>
      <c r="D3869" t="inlineStr">
        <is>
          <t>L'Oréal</t>
        </is>
      </c>
      <c r="E3869" t="n">
        <v>8.300000000000001</v>
      </c>
      <c r="F3869" t="n">
        <v>1</v>
      </c>
      <c r="G3869" t="n">
        <v>3</v>
      </c>
      <c r="H3869" s="5">
        <f>HYPERLINK("https://api.qogita.com/variants/link/3600522862550/", "View Product")</f>
        <v/>
      </c>
    </row>
    <row r="3870">
      <c r="A3870" t="inlineStr">
        <is>
          <t>3600522892397</t>
        </is>
      </c>
      <c r="B3870" t="inlineStr">
        <is>
          <t>L’Oréal Paris Revitalift Filler Replenishing Day Cream with Anti-ageing Effect 50 Ml</t>
        </is>
      </c>
      <c r="C3870" t="inlineStr">
        <is>
          <t>Day Cream</t>
        </is>
      </c>
      <c r="D3870" t="inlineStr">
        <is>
          <t>L'Oréal Paris</t>
        </is>
      </c>
      <c r="E3870" t="n">
        <v>14.72</v>
      </c>
      <c r="F3870" t="n">
        <v>1</v>
      </c>
      <c r="G3870" t="n">
        <v>6</v>
      </c>
      <c r="H3870" s="5">
        <f>HYPERLINK("https://api.qogita.com/variants/link/3600522892397/", "View Product")</f>
        <v/>
      </c>
    </row>
    <row r="3871">
      <c r="A3871" t="inlineStr">
        <is>
          <t>3600522892571</t>
        </is>
      </c>
      <c r="B3871" t="inlineStr">
        <is>
          <t>L'Oreal Revitalift Filler Anti-Age Day Cream 50ml</t>
        </is>
      </c>
      <c r="C3871" t="inlineStr">
        <is>
          <t>Day Cream</t>
        </is>
      </c>
      <c r="D3871" t="inlineStr">
        <is>
          <t>L'Oréal</t>
        </is>
      </c>
      <c r="E3871" t="n">
        <v>10.99</v>
      </c>
      <c r="F3871" t="n">
        <v>1</v>
      </c>
      <c r="G3871" t="n">
        <v>3</v>
      </c>
      <c r="H3871" s="5">
        <f>HYPERLINK("https://api.qogita.com/variants/link/3600522892571/", "View Product")</f>
        <v/>
      </c>
    </row>
    <row r="3872">
      <c r="A3872" t="inlineStr">
        <is>
          <t>3600523201532</t>
        </is>
      </c>
      <c r="B3872" t="inlineStr">
        <is>
          <t>L'Oreal Revitalift Filler Anti-Age Eye Cream 15ml</t>
        </is>
      </c>
      <c r="C3872" t="inlineStr">
        <is>
          <t>Eye Cream</t>
        </is>
      </c>
      <c r="D3872" t="inlineStr">
        <is>
          <t>L'Oréal</t>
        </is>
      </c>
      <c r="E3872" t="n">
        <v>14.72</v>
      </c>
      <c r="F3872" t="n">
        <v>1</v>
      </c>
      <c r="G3872" t="n">
        <v>8</v>
      </c>
      <c r="H3872" s="5">
        <f>HYPERLINK("https://api.qogita.com/variants/link/3600523201532/", "View Product")</f>
        <v/>
      </c>
    </row>
    <row r="3873">
      <c r="A3873" t="inlineStr">
        <is>
          <t>3600523409341</t>
        </is>
      </c>
      <c r="B3873" t="inlineStr">
        <is>
          <t>L'Oral Paris Le Khl Natural Paradise Liner 116 Rainforest Green 12 G</t>
        </is>
      </c>
      <c r="C3873" t="inlineStr">
        <is>
          <t>Eyeliner</t>
        </is>
      </c>
      <c r="D3873" t="inlineStr">
        <is>
          <t>L'Oréal Paris</t>
        </is>
      </c>
      <c r="E3873" t="n">
        <v>6.81</v>
      </c>
      <c r="F3873" t="n">
        <v>1</v>
      </c>
      <c r="G3873" t="n">
        <v>4</v>
      </c>
      <c r="H3873" s="5">
        <f>HYPERLINK("https://api.qogita.com/variants/link/3600523409341/", "View Product")</f>
        <v/>
      </c>
    </row>
    <row r="3874">
      <c r="A3874" t="inlineStr">
        <is>
          <t>3600523465286</t>
        </is>
      </c>
      <c r="B3874" t="inlineStr">
        <is>
          <t>L'Oral Color Riche Lipstick 350 Insanesation Intensive Lipstick Color Riche Shine 48 G</t>
        </is>
      </c>
      <c r="C3874" t="inlineStr">
        <is>
          <t>Lipstick</t>
        </is>
      </c>
      <c r="D3874" t="inlineStr">
        <is>
          <t>L'Oréal</t>
        </is>
      </c>
      <c r="E3874" t="n">
        <v>7.75</v>
      </c>
      <c r="F3874" t="n">
        <v>1</v>
      </c>
      <c r="G3874" t="n">
        <v>2</v>
      </c>
      <c r="H3874" s="5">
        <f>HYPERLINK("https://api.qogita.com/variants/link/3600523465286/", "View Product")</f>
        <v/>
      </c>
    </row>
    <row r="3875">
      <c r="A3875" t="inlineStr">
        <is>
          <t>3600523500154</t>
        </is>
      </c>
      <c r="B3875" t="inlineStr">
        <is>
          <t>L'Oreal True Match Accord Parafit Concealer 1n Ivory 6.8ml</t>
        </is>
      </c>
      <c r="C3875" t="inlineStr">
        <is>
          <t>Concealer</t>
        </is>
      </c>
      <c r="D3875" t="inlineStr">
        <is>
          <t>L'Oréal</t>
        </is>
      </c>
      <c r="E3875" t="n">
        <v>9.31</v>
      </c>
      <c r="F3875" t="n">
        <v>1</v>
      </c>
      <c r="G3875" t="n">
        <v>7</v>
      </c>
      <c r="H3875" s="5">
        <f>HYPERLINK("https://api.qogita.com/variants/link/3600523500154/", "View Product")</f>
        <v/>
      </c>
    </row>
    <row r="3876">
      <c r="A3876" t="inlineStr">
        <is>
          <t>3600523596072</t>
        </is>
      </c>
      <c r="B3876" t="inlineStr">
        <is>
          <t>L'Oreal Men Expert Shirt Protect Anti-Perspirant Deodorant Spray 150ml</t>
        </is>
      </c>
      <c r="C3876" t="inlineStr">
        <is>
          <t>Deodorant &amp; Anti-Perspirant</t>
        </is>
      </c>
      <c r="D3876" t="inlineStr">
        <is>
          <t>L'Oréal</t>
        </is>
      </c>
      <c r="E3876" t="n">
        <v>3.66</v>
      </c>
      <c r="F3876" t="n">
        <v>1</v>
      </c>
      <c r="G3876" t="n">
        <v>3</v>
      </c>
      <c r="H3876" s="5">
        <f>HYPERLINK("https://api.qogita.com/variants/link/3600523596072/", "View Product")</f>
        <v/>
      </c>
    </row>
    <row r="3877">
      <c r="A3877" t="inlineStr">
        <is>
          <t>3600523614417</t>
        </is>
      </c>
      <c r="B3877" t="inlineStr">
        <is>
          <t>L'Oreal Infaillible 32h Fresh Wear Foundation Long-Lasting Liquid Foundation 130 Cool Rose 30ml</t>
        </is>
      </c>
      <c r="C3877" t="inlineStr">
        <is>
          <t>Foundation</t>
        </is>
      </c>
      <c r="D3877" t="inlineStr">
        <is>
          <t>L'Oréal</t>
        </is>
      </c>
      <c r="E3877" t="n">
        <v>8.109999999999999</v>
      </c>
      <c r="F3877" t="n">
        <v>1</v>
      </c>
      <c r="G3877" t="n">
        <v>11</v>
      </c>
      <c r="H3877" s="5">
        <f>HYPERLINK("https://api.qogita.com/variants/link/3600523614417/", "View Product")</f>
        <v/>
      </c>
    </row>
    <row r="3878">
      <c r="A3878" t="inlineStr">
        <is>
          <t>3600523614530</t>
        </is>
      </c>
      <c r="B3878" t="inlineStr">
        <is>
          <t>L'Oreal Paris Infallible 24h Fresh Wear Foundation Long-Lasting Face Foundation 235 Honey 30ml</t>
        </is>
      </c>
      <c r="C3878" t="inlineStr">
        <is>
          <t>Foundation</t>
        </is>
      </c>
      <c r="D3878" t="inlineStr">
        <is>
          <t>L'Oréal Paris</t>
        </is>
      </c>
      <c r="E3878" t="n">
        <v>9.109999999999999</v>
      </c>
      <c r="F3878" t="n">
        <v>1</v>
      </c>
      <c r="G3878" t="n">
        <v>5</v>
      </c>
      <c r="H3878" s="5">
        <f>HYPERLINK("https://api.qogita.com/variants/link/3600523614530/", "View Product")</f>
        <v/>
      </c>
    </row>
    <row r="3879">
      <c r="A3879" t="inlineStr">
        <is>
          <t>3600523718269</t>
        </is>
      </c>
      <c r="B3879" t="inlineStr">
        <is>
          <t>L'Oreal Men Expert Hydra Energetic Wash 100ml</t>
        </is>
      </c>
      <c r="C3879" t="inlineStr">
        <is>
          <t>Cleansing Gel</t>
        </is>
      </c>
      <c r="D3879" t="inlineStr">
        <is>
          <t>L'Oréal Paris</t>
        </is>
      </c>
      <c r="E3879" t="n">
        <v>7.72</v>
      </c>
      <c r="F3879" t="n">
        <v>1</v>
      </c>
      <c r="G3879" t="n">
        <v>7</v>
      </c>
      <c r="H3879" s="5">
        <f>HYPERLINK("https://api.qogita.com/variants/link/3600523718269/", "View Product")</f>
        <v/>
      </c>
    </row>
    <row r="3880">
      <c r="A3880" t="inlineStr">
        <is>
          <t>3600523723539</t>
        </is>
      </c>
      <c r="B3880" t="inlineStr">
        <is>
          <t>L'Oreal Bb Cream Skin Optimizer Illuminating Cream For Face Light 30ml</t>
        </is>
      </c>
      <c r="C3880" t="inlineStr">
        <is>
          <t>Tinted Day Cream</t>
        </is>
      </c>
      <c r="D3880" t="inlineStr">
        <is>
          <t>L'Oréal</t>
        </is>
      </c>
      <c r="E3880" t="n">
        <v>10.74</v>
      </c>
      <c r="F3880" t="n">
        <v>1</v>
      </c>
      <c r="G3880" t="n">
        <v>7</v>
      </c>
      <c r="H3880" s="5">
        <f>HYPERLINK("https://api.qogita.com/variants/link/3600523723539/", "View Product")</f>
        <v/>
      </c>
    </row>
    <row r="3881">
      <c r="A3881" t="inlineStr">
        <is>
          <t>3600523751549</t>
        </is>
      </c>
      <c r="B3881" t="inlineStr">
        <is>
          <t>L'Oreal Paris Expert Firming Facial Mask for Ages 45+</t>
        </is>
      </c>
      <c r="C3881" t="inlineStr">
        <is>
          <t>Anti-Aging Mask</t>
        </is>
      </c>
      <c r="D3881" t="inlineStr">
        <is>
          <t>L'Oréal Paris</t>
        </is>
      </c>
      <c r="E3881" t="n">
        <v>3.35</v>
      </c>
      <c r="F3881" t="n">
        <v>1</v>
      </c>
      <c r="G3881" t="n">
        <v>3</v>
      </c>
      <c r="H3881" s="5">
        <f>HYPERLINK("https://api.qogita.com/variants/link/3600523751549/", "View Product")</f>
        <v/>
      </c>
    </row>
    <row r="3882">
      <c r="A3882" t="inlineStr">
        <is>
          <t>3600523827763</t>
        </is>
      </c>
      <c r="B3882" t="inlineStr">
        <is>
          <t>L'Oreal Color Riche Le Lip Liner 362 Cristal Cappuccino</t>
        </is>
      </c>
      <c r="C3882" t="inlineStr">
        <is>
          <t>Lip Liner</t>
        </is>
      </c>
      <c r="D3882" t="inlineStr">
        <is>
          <t>L'Oréal</t>
        </is>
      </c>
      <c r="E3882" t="n">
        <v>5.92</v>
      </c>
      <c r="F3882" t="n">
        <v>1</v>
      </c>
      <c r="G3882" t="n">
        <v>2</v>
      </c>
      <c r="H3882" s="5">
        <f>HYPERLINK("https://api.qogita.com/variants/link/3600523827763/", "View Product")</f>
        <v/>
      </c>
    </row>
    <row r="3883">
      <c r="A3883" t="inlineStr">
        <is>
          <t>3600523827831</t>
        </is>
      </c>
      <c r="B3883" t="inlineStr">
        <is>
          <t>L'Oréal Paris Color Riche Le Lip Liner 124 Please 4g</t>
        </is>
      </c>
      <c r="C3883" t="inlineStr">
        <is>
          <t>Lip Liner</t>
        </is>
      </c>
      <c r="D3883" t="inlineStr">
        <is>
          <t>L'Oréal Paris</t>
        </is>
      </c>
      <c r="E3883" t="n">
        <v>6.06</v>
      </c>
      <c r="F3883" t="n">
        <v>1</v>
      </c>
      <c r="G3883" t="n">
        <v>3</v>
      </c>
      <c r="H3883" s="5">
        <f>HYPERLINK("https://api.qogita.com/variants/link/3600523827831/", "View Product")</f>
        <v/>
      </c>
    </row>
    <row r="3884">
      <c r="A3884" t="inlineStr">
        <is>
          <t>3600523897308</t>
        </is>
      </c>
      <c r="B3884" t="inlineStr">
        <is>
          <t>L'Oreal Lash Paradise Mascara Intense Black - 6.4ml</t>
        </is>
      </c>
      <c r="C3884" t="inlineStr">
        <is>
          <t>Mascara</t>
        </is>
      </c>
      <c r="D3884" t="inlineStr">
        <is>
          <t>L'Oréal</t>
        </is>
      </c>
      <c r="E3884" t="n">
        <v>9.619999999999999</v>
      </c>
      <c r="F3884" t="n">
        <v>1</v>
      </c>
      <c r="G3884" t="n">
        <v>14</v>
      </c>
      <c r="H3884" s="5">
        <f>HYPERLINK("https://api.qogita.com/variants/link/3600523897308/", "View Product")</f>
        <v/>
      </c>
    </row>
    <row r="3885">
      <c r="A3885" t="inlineStr">
        <is>
          <t>3600523957453</t>
        </is>
      </c>
      <c r="B3885" t="inlineStr">
        <is>
          <t>L'Oreal Color Riche Insolent Lipstick 173 Impertine 3.8g</t>
        </is>
      </c>
      <c r="C3885" t="inlineStr">
        <is>
          <t>Lipstick</t>
        </is>
      </c>
      <c r="D3885" t="inlineStr">
        <is>
          <t>L'Oréal</t>
        </is>
      </c>
      <c r="E3885" t="n">
        <v>10.25</v>
      </c>
      <c r="F3885" t="n">
        <v>1</v>
      </c>
      <c r="G3885" t="n">
        <v>14</v>
      </c>
      <c r="H3885" s="5">
        <f>HYPERLINK("https://api.qogita.com/variants/link/3600523957453/", "View Product")</f>
        <v/>
      </c>
    </row>
    <row r="3886">
      <c r="A3886" t="inlineStr">
        <is>
          <t>3600523970636</t>
        </is>
      </c>
      <c r="B3886" t="inlineStr">
        <is>
          <t>L'Oreal Paris Elseve Dream Long Wonder Water Light Conditioner 200ml</t>
        </is>
      </c>
      <c r="C3886" t="inlineStr">
        <is>
          <t>Conditioner</t>
        </is>
      </c>
      <c r="D3886" t="inlineStr">
        <is>
          <t>L'Oréal</t>
        </is>
      </c>
      <c r="E3886" t="n">
        <v>7.97</v>
      </c>
      <c r="F3886" t="n">
        <v>1</v>
      </c>
      <c r="G3886" t="n">
        <v>9</v>
      </c>
      <c r="H3886" s="5">
        <f>HYPERLINK("https://api.qogita.com/variants/link/3600523970636/", "View Product")</f>
        <v/>
      </c>
    </row>
    <row r="3887">
      <c r="A3887" t="inlineStr">
        <is>
          <t>3600523971312</t>
        </is>
      </c>
      <c r="B3887" t="inlineStr">
        <is>
          <t>L'Oreal Brilliant Signature Plump In Gloss Lip Gloss 402 Soar 7ml</t>
        </is>
      </c>
      <c r="C3887" t="inlineStr">
        <is>
          <t>Lip Gloss</t>
        </is>
      </c>
      <c r="D3887" t="inlineStr">
        <is>
          <t>L'Oréal</t>
        </is>
      </c>
      <c r="E3887" t="n">
        <v>9.57</v>
      </c>
      <c r="F3887" t="n">
        <v>1</v>
      </c>
      <c r="G3887" t="n">
        <v>3</v>
      </c>
      <c r="H3887" s="5">
        <f>HYPERLINK("https://api.qogita.com/variants/link/3600523971312/", "View Product")</f>
        <v/>
      </c>
    </row>
    <row r="3888">
      <c r="A3888" t="inlineStr">
        <is>
          <t>3600523989898</t>
        </is>
      </c>
      <c r="B3888" t="inlineStr">
        <is>
          <t>L'Oreal Paris True Match Tinted Serum Foundation with Hyaluronic Acid 30ml Shade 0.5-2 Very Light</t>
        </is>
      </c>
      <c r="C3888" t="inlineStr">
        <is>
          <t>Hydrating Serum</t>
        </is>
      </c>
      <c r="D3888" t="inlineStr">
        <is>
          <t>L'Oréal Paris</t>
        </is>
      </c>
      <c r="E3888" t="n">
        <v>12.31</v>
      </c>
      <c r="F3888" t="n">
        <v>1</v>
      </c>
      <c r="G3888" t="n">
        <v>3</v>
      </c>
      <c r="H3888" s="5">
        <f>HYPERLINK("https://api.qogita.com/variants/link/3600523989898/", "View Product")</f>
        <v/>
      </c>
    </row>
    <row r="3889">
      <c r="A3889" t="inlineStr">
        <is>
          <t>3600523989928</t>
        </is>
      </c>
      <c r="B3889" t="inlineStr">
        <is>
          <t>L'Oreal Paris Nude Tinted Serum for Face Plumping and Hydrating Makeup</t>
        </is>
      </c>
      <c r="C3889" t="inlineStr">
        <is>
          <t>Hydrating Serum</t>
        </is>
      </c>
      <c r="D3889" t="inlineStr">
        <is>
          <t>L'Oréal Paris</t>
        </is>
      </c>
      <c r="E3889" t="n">
        <v>14.75</v>
      </c>
      <c r="F3889" t="n">
        <v>1</v>
      </c>
      <c r="G3889" t="n">
        <v>10</v>
      </c>
      <c r="H3889" s="5">
        <f>HYPERLINK("https://api.qogita.com/variants/link/3600523989928/", "View Product")</f>
        <v/>
      </c>
    </row>
    <row r="3890">
      <c r="A3890" t="inlineStr">
        <is>
          <t>3600524012588</t>
        </is>
      </c>
      <c r="B3890" t="inlineStr">
        <is>
          <t>L'Oreal Paris Day Cream Against Wrinkles Spf 20 Age Specialist 45 - 50 Ml</t>
        </is>
      </c>
      <c r="C3890" t="inlineStr">
        <is>
          <t>Day Cream</t>
        </is>
      </c>
      <c r="D3890" t="inlineStr">
        <is>
          <t>L'Oréal Paris</t>
        </is>
      </c>
      <c r="E3890" t="n">
        <v>8.35</v>
      </c>
      <c r="F3890" t="n">
        <v>1</v>
      </c>
      <c r="G3890" t="n">
        <v>18</v>
      </c>
      <c r="H3890" s="5">
        <f>HYPERLINK("https://api.qogita.com/variants/link/3600524012588/", "View Product")</f>
        <v/>
      </c>
    </row>
    <row r="3891">
      <c r="A3891" t="inlineStr">
        <is>
          <t>3600524025571</t>
        </is>
      </c>
      <c r="B3891" t="inlineStr">
        <is>
          <t>L'Oral Paris Revitalift Filler Eye Serum With 25 Hyaluronic Acid 20 Ml</t>
        </is>
      </c>
      <c r="C3891" t="inlineStr">
        <is>
          <t>Eye Serum</t>
        </is>
      </c>
      <c r="D3891" t="inlineStr">
        <is>
          <t>L'Oréal Paris</t>
        </is>
      </c>
      <c r="E3891" t="n">
        <v>16.72</v>
      </c>
      <c r="F3891" t="n">
        <v>1</v>
      </c>
      <c r="G3891" t="n">
        <v>6</v>
      </c>
      <c r="H3891" s="5">
        <f>HYPERLINK("https://api.qogita.com/variants/link/3600524025571/", "View Product")</f>
        <v/>
      </c>
    </row>
    <row r="3892">
      <c r="A3892" t="inlineStr">
        <is>
          <t>3600524026660</t>
        </is>
      </c>
      <c r="B3892" t="inlineStr">
        <is>
          <t>L'Oreal Infaillible Automatic Grip Eyeliner 004 Brown Denim - 24ml</t>
        </is>
      </c>
      <c r="C3892" t="inlineStr">
        <is>
          <t>Eyeliner</t>
        </is>
      </c>
      <c r="D3892" t="inlineStr">
        <is>
          <t>L'Oréal</t>
        </is>
      </c>
      <c r="E3892" t="n">
        <v>9.16</v>
      </c>
      <c r="F3892" t="n">
        <v>1</v>
      </c>
      <c r="G3892" t="n">
        <v>2</v>
      </c>
      <c r="H3892" s="5">
        <f>HYPERLINK("https://api.qogita.com/variants/link/3600524026660/", "View Product")</f>
        <v/>
      </c>
    </row>
    <row r="3893">
      <c r="A3893" t="inlineStr">
        <is>
          <t>3600524029562</t>
        </is>
      </c>
      <c r="B3893" t="inlineStr">
        <is>
          <t>L'Oréal Paris Elseve Hyaluron Plump Moisture Shampoo 250ml</t>
        </is>
      </c>
      <c r="C3893" t="inlineStr">
        <is>
          <t>Shampoo</t>
        </is>
      </c>
      <c r="D3893" t="inlineStr">
        <is>
          <t>L'Oréal</t>
        </is>
      </c>
      <c r="E3893" t="n">
        <v>5.76</v>
      </c>
      <c r="F3893" t="n">
        <v>1</v>
      </c>
      <c r="G3893" t="n">
        <v>3</v>
      </c>
      <c r="H3893" s="5">
        <f>HYPERLINK("https://api.qogita.com/variants/link/3600524029562/", "View Product")</f>
        <v/>
      </c>
    </row>
    <row r="3894">
      <c r="A3894" t="inlineStr">
        <is>
          <t>3600524029913</t>
        </is>
      </c>
      <c r="B3894" t="inlineStr">
        <is>
          <t>L'Oréal Paris Elseve Hyaluron Plump Moisture Shampoo 400ml</t>
        </is>
      </c>
      <c r="C3894" t="inlineStr">
        <is>
          <t>Shampoo</t>
        </is>
      </c>
      <c r="D3894" t="inlineStr">
        <is>
          <t>L'Oréal</t>
        </is>
      </c>
      <c r="E3894" t="n">
        <v>7.03</v>
      </c>
      <c r="F3894" t="n">
        <v>1</v>
      </c>
      <c r="G3894" t="n">
        <v>21</v>
      </c>
      <c r="H3894" s="5">
        <f>HYPERLINK("https://api.qogita.com/variants/link/3600524029913/", "View Product")</f>
        <v/>
      </c>
    </row>
    <row r="3895">
      <c r="A3895" t="inlineStr">
        <is>
          <t>3600524031091</t>
        </is>
      </c>
      <c r="B3895" t="inlineStr">
        <is>
          <t>L'Oreal Pro Xxl Lift Double Mascara - Black, 12 Ml</t>
        </is>
      </c>
      <c r="C3895" t="inlineStr">
        <is>
          <t>Mascara</t>
        </is>
      </c>
      <c r="D3895" t="inlineStr">
        <is>
          <t>L'Oréal</t>
        </is>
      </c>
      <c r="E3895" t="n">
        <v>13.1</v>
      </c>
      <c r="F3895" t="n">
        <v>1</v>
      </c>
      <c r="G3895" t="n">
        <v>5</v>
      </c>
      <c r="H3895" s="5">
        <f>HYPERLINK("https://api.qogita.com/variants/link/3600524031091/", "View Product")</f>
        <v/>
      </c>
    </row>
    <row r="3896">
      <c r="A3896" t="inlineStr">
        <is>
          <t>3600524031138</t>
        </is>
      </c>
      <c r="B3896" t="inlineStr">
        <is>
          <t>L'Oreal Pro Xxl Volume Double Mascara Black 12ml</t>
        </is>
      </c>
      <c r="C3896" t="inlineStr">
        <is>
          <t>Mascara</t>
        </is>
      </c>
      <c r="D3896" t="inlineStr">
        <is>
          <t>L'Oréal</t>
        </is>
      </c>
      <c r="E3896" t="n">
        <v>13.1</v>
      </c>
      <c r="F3896" t="n">
        <v>1</v>
      </c>
      <c r="G3896" t="n">
        <v>12</v>
      </c>
      <c r="H3896" s="5">
        <f>HYPERLINK("https://api.qogita.com/variants/link/3600524031138/", "View Product")</f>
        <v/>
      </c>
    </row>
    <row r="3897">
      <c r="A3897" t="inlineStr">
        <is>
          <t>3600524048907</t>
        </is>
      </c>
      <c r="B3897" t="inlineStr">
        <is>
          <t>L'Oreal Paris Infaillible Grip 36h Microfine Brush Eyeliner 01 Obsidian Black 0.4g</t>
        </is>
      </c>
      <c r="C3897" t="inlineStr">
        <is>
          <t>Eyeliner</t>
        </is>
      </c>
      <c r="D3897" t="inlineStr">
        <is>
          <t>L'Oréal Paris</t>
        </is>
      </c>
      <c r="E3897" t="n">
        <v>8.25</v>
      </c>
      <c r="F3897" t="n">
        <v>1</v>
      </c>
      <c r="G3897" t="n">
        <v>5</v>
      </c>
      <c r="H3897" s="5">
        <f>HYPERLINK("https://api.qogita.com/variants/link/3600524048907/", "View Product")</f>
        <v/>
      </c>
    </row>
    <row r="3898">
      <c r="A3898" t="inlineStr">
        <is>
          <t>3600524070656</t>
        </is>
      </c>
      <c r="B3898" t="inlineStr">
        <is>
          <t>Revita Lift Filler Plumping Water-Cream with Hyaluronic Acid 50 ml</t>
        </is>
      </c>
      <c r="C3898" t="inlineStr">
        <is>
          <t>Face Cream</t>
        </is>
      </c>
      <c r="D3898" t="inlineStr">
        <is>
          <t>L'Oréal</t>
        </is>
      </c>
      <c r="E3898" t="n">
        <v>21.72</v>
      </c>
      <c r="F3898" t="n">
        <v>1</v>
      </c>
      <c r="G3898" t="n">
        <v>6</v>
      </c>
      <c r="H3898" s="5">
        <f>HYPERLINK("https://api.qogita.com/variants/link/3600524070656/", "View Product")</f>
        <v/>
      </c>
    </row>
    <row r="3899">
      <c r="A3899" t="inlineStr">
        <is>
          <t>3600524078065</t>
        </is>
      </c>
      <c r="B3899" t="inlineStr">
        <is>
          <t>L'Oral Paris Leavein Care Elseve 10 In 1 Extraordinary Oil Miracle Treatment 150 Ml</t>
        </is>
      </c>
      <c r="C3899" t="inlineStr">
        <is>
          <t>Leave-In Conditioner</t>
        </is>
      </c>
      <c r="D3899" t="inlineStr">
        <is>
          <t>L'Oréal Paris</t>
        </is>
      </c>
      <c r="E3899" t="n">
        <v>7.5</v>
      </c>
      <c r="F3899" t="n">
        <v>1</v>
      </c>
      <c r="G3899" t="n">
        <v>13</v>
      </c>
      <c r="H3899" s="5">
        <f>HYPERLINK("https://api.qogita.com/variants/link/3600524078065/", "View Product")</f>
        <v/>
      </c>
    </row>
    <row r="3900">
      <c r="A3900" t="inlineStr">
        <is>
          <t>3600524078225</t>
        </is>
      </c>
      <c r="B3900" t="inlineStr">
        <is>
          <t>L'Oréal Paris Elseve Hyaluron Plump 8 Second Wonder Water Hair Treatment 200ml</t>
        </is>
      </c>
      <c r="C3900" t="inlineStr">
        <is>
          <t>Hair Masks</t>
        </is>
      </c>
      <c r="D3900" t="inlineStr">
        <is>
          <t>L'Oréal</t>
        </is>
      </c>
      <c r="E3900" t="n">
        <v>7.97</v>
      </c>
      <c r="F3900" t="n">
        <v>1</v>
      </c>
      <c r="G3900" t="n">
        <v>5</v>
      </c>
      <c r="H3900" s="5">
        <f>HYPERLINK("https://api.qogita.com/variants/link/3600524078225/", "View Product")</f>
        <v/>
      </c>
    </row>
    <row r="3901">
      <c r="A3901" t="inlineStr">
        <is>
          <t>3600524100704</t>
        </is>
      </c>
      <c r="B3901" t="inlineStr">
        <is>
          <t>L'Oreal Paris Elnett Micro-Diffusion Hairspray 300 Ml - Fragrance Free</t>
        </is>
      </c>
      <c r="C3901" t="inlineStr">
        <is>
          <t>Hairspray</t>
        </is>
      </c>
      <c r="D3901" t="inlineStr">
        <is>
          <t>L'Oréal Paris</t>
        </is>
      </c>
      <c r="E3901" t="n">
        <v>7.3</v>
      </c>
      <c r="F3901" t="n">
        <v>1</v>
      </c>
      <c r="G3901" t="n">
        <v>23</v>
      </c>
      <c r="H3901" s="5">
        <f>HYPERLINK("https://api.qogita.com/variants/link/3600524100704/", "View Product")</f>
        <v/>
      </c>
    </row>
    <row r="3902">
      <c r="A3902" t="inlineStr">
        <is>
          <t>3600524103330</t>
        </is>
      </c>
      <c r="B3902" t="inlineStr">
        <is>
          <t>L'Oral Paris Revitalift Clinical Antiuv Fluid Spf50 With Vitamin C 50 Ml</t>
        </is>
      </c>
      <c r="C3902" t="inlineStr">
        <is>
          <t>Face Sun Protection</t>
        </is>
      </c>
      <c r="D3902" t="inlineStr">
        <is>
          <t>L'Oréal Paris</t>
        </is>
      </c>
      <c r="E3902" t="n">
        <v>16.05</v>
      </c>
      <c r="F3902" t="n">
        <v>1</v>
      </c>
      <c r="G3902" t="n">
        <v>9</v>
      </c>
      <c r="H3902" s="5">
        <f>HYPERLINK("https://api.qogita.com/variants/link/3600524103330/", "View Product")</f>
        <v/>
      </c>
    </row>
    <row r="3903">
      <c r="A3903" t="inlineStr">
        <is>
          <t>3600524104726</t>
        </is>
      </c>
      <c r="B3903" t="inlineStr">
        <is>
          <t>L'Oreal Infaillible 3-Second Setting Mist Makeup Setting Spray 75ml</t>
        </is>
      </c>
      <c r="C3903" t="inlineStr">
        <is>
          <t>Setting Spray</t>
        </is>
      </c>
      <c r="D3903" t="inlineStr">
        <is>
          <t>L'Oréal</t>
        </is>
      </c>
      <c r="E3903" t="n">
        <v>9.98</v>
      </c>
      <c r="F3903" t="n">
        <v>1</v>
      </c>
      <c r="G3903" t="n">
        <v>44</v>
      </c>
      <c r="H3903" s="5">
        <f>HYPERLINK("https://api.qogita.com/variants/link/3600524104726/", "View Product")</f>
        <v/>
      </c>
    </row>
    <row r="3904">
      <c r="A3904" t="inlineStr">
        <is>
          <t>3600524105532</t>
        </is>
      </c>
      <c r="B3904" t="inlineStr">
        <is>
          <t>L'Oral Paris Elseve Hyaluron Plump Plumping Night Cream 200 Ml</t>
        </is>
      </c>
      <c r="C3904" t="inlineStr">
        <is>
          <t>Night Cream</t>
        </is>
      </c>
      <c r="D3904" t="inlineStr">
        <is>
          <t>L'Oréal Paris</t>
        </is>
      </c>
      <c r="E3904" t="n">
        <v>6.87</v>
      </c>
      <c r="F3904" t="n">
        <v>1</v>
      </c>
      <c r="G3904" t="n">
        <v>6</v>
      </c>
      <c r="H3904" s="5">
        <f>HYPERLINK("https://api.qogita.com/variants/link/3600524105532/", "View Product")</f>
        <v/>
      </c>
    </row>
    <row r="3905">
      <c r="A3905" t="inlineStr">
        <is>
          <t>3600524121853</t>
        </is>
      </c>
      <c r="B3905" t="inlineStr">
        <is>
          <t>L'Oral Paris Men Expert Hydra Energetic Shower Gel Wake Up Effect Taurine Shower 100 Mg</t>
        </is>
      </c>
      <c r="C3905" t="inlineStr">
        <is>
          <t>Shower Gel</t>
        </is>
      </c>
      <c r="D3905" t="inlineStr">
        <is>
          <t>L'Oréal Paris</t>
        </is>
      </c>
      <c r="E3905" t="n">
        <v>10.79</v>
      </c>
      <c r="F3905" t="n">
        <v>1</v>
      </c>
      <c r="G3905" t="n">
        <v>11</v>
      </c>
      <c r="H3905" s="5">
        <f>HYPERLINK("https://api.qogita.com/variants/link/3600524121853/", "View Product")</f>
        <v/>
      </c>
    </row>
    <row r="3906">
      <c r="A3906" t="inlineStr">
        <is>
          <t>3600524122836</t>
        </is>
      </c>
      <c r="B3906" t="inlineStr">
        <is>
          <t>L'Oréal Paris Bright Reveal Dark Spot Hydrating Cream 50ml</t>
        </is>
      </c>
      <c r="C3906" t="inlineStr">
        <is>
          <t>Anti-Pigmentation Spot Cream</t>
        </is>
      </c>
      <c r="D3906" t="inlineStr">
        <is>
          <t>L'Oréal</t>
        </is>
      </c>
      <c r="E3906" t="n">
        <v>14.06</v>
      </c>
      <c r="F3906" t="n">
        <v>1</v>
      </c>
      <c r="G3906" t="n">
        <v>3</v>
      </c>
      <c r="H3906" s="5">
        <f>HYPERLINK("https://api.qogita.com/variants/link/3600524122836/", "View Product")</f>
        <v/>
      </c>
    </row>
    <row r="3907">
      <c r="A3907" t="inlineStr">
        <is>
          <t>3600524123048</t>
        </is>
      </c>
      <c r="B3907" t="inlineStr">
        <is>
          <t>L'Oral Men Expert Hydra Energetic Sport Extreme Shower Gel</t>
        </is>
      </c>
      <c r="C3907" t="inlineStr">
        <is>
          <t>Shower Gel</t>
        </is>
      </c>
      <c r="D3907" t="inlineStr">
        <is>
          <t>L'Oréal</t>
        </is>
      </c>
      <c r="E3907" t="n">
        <v>5.93</v>
      </c>
      <c r="F3907" t="n">
        <v>1</v>
      </c>
      <c r="G3907" t="n">
        <v>6</v>
      </c>
      <c r="H3907" s="5">
        <f>HYPERLINK("https://api.qogita.com/variants/link/3600524123048/", "View Product")</f>
        <v/>
      </c>
    </row>
    <row r="3908">
      <c r="A3908" t="inlineStr">
        <is>
          <t>3600524127985</t>
        </is>
      </c>
      <c r="B3908" t="inlineStr">
        <is>
          <t>Elseve Glycolic Gloss Shampoo For Rough And Dull Hair 200ml</t>
        </is>
      </c>
      <c r="C3908" t="inlineStr">
        <is>
          <t>Shampoo</t>
        </is>
      </c>
      <c r="D3908" t="inlineStr">
        <is>
          <t>Elvive</t>
        </is>
      </c>
      <c r="E3908" t="n">
        <v>9.289999999999999</v>
      </c>
      <c r="F3908" t="n">
        <v>1</v>
      </c>
      <c r="G3908" t="n">
        <v>15</v>
      </c>
      <c r="H3908" s="5">
        <f>HYPERLINK("https://api.qogita.com/variants/link/3600524127985/", "View Product")</f>
        <v/>
      </c>
    </row>
    <row r="3909">
      <c r="A3909" t="inlineStr">
        <is>
          <t>3600524129064</t>
        </is>
      </c>
      <c r="B3909" t="inlineStr">
        <is>
          <t>L'Oreal Age Perfect Golden Age Serum Correcting Age Spots For Face 30ml</t>
        </is>
      </c>
      <c r="C3909" t="inlineStr">
        <is>
          <t>Anti-Aging Serum</t>
        </is>
      </c>
      <c r="D3909" t="inlineStr">
        <is>
          <t>L'Oréal</t>
        </is>
      </c>
      <c r="E3909" t="n">
        <v>13.66</v>
      </c>
      <c r="F3909" t="n">
        <v>1</v>
      </c>
      <c r="G3909" t="n">
        <v>3</v>
      </c>
      <c r="H3909" s="5">
        <f>HYPERLINK("https://api.qogita.com/variants/link/3600524129064/", "View Product")</f>
        <v/>
      </c>
    </row>
    <row r="3910">
      <c r="A3910" t="inlineStr">
        <is>
          <t>3600524142780</t>
        </is>
      </c>
      <c r="B3910" t="inlineStr">
        <is>
          <t>L'Oréal Paris Elseve Extraordinary Oil Nourishing Balm 300ml</t>
        </is>
      </c>
      <c r="C3910" t="inlineStr">
        <is>
          <t>Hair Oil &amp; Hair Serum</t>
        </is>
      </c>
      <c r="D3910" t="inlineStr">
        <is>
          <t>L'Oréal</t>
        </is>
      </c>
      <c r="E3910" t="n">
        <v>7.03</v>
      </c>
      <c r="F3910" t="n">
        <v>1</v>
      </c>
      <c r="G3910" t="n">
        <v>17</v>
      </c>
      <c r="H3910" s="5">
        <f>HYPERLINK("https://api.qogita.com/variants/link/3600524142780/", "View Product")</f>
        <v/>
      </c>
    </row>
    <row r="3911">
      <c r="A3911" t="inlineStr">
        <is>
          <t>3600524144654</t>
        </is>
      </c>
      <c r="B3911" t="inlineStr">
        <is>
          <t>L'Oreal Paris Gel Eyeshadow In A Pencil Shadow Stick 1.4 G</t>
        </is>
      </c>
      <c r="C3911" t="inlineStr">
        <is>
          <t>Eyeshadow</t>
        </is>
      </c>
      <c r="D3911" t="inlineStr">
        <is>
          <t>L'Oréal Paris</t>
        </is>
      </c>
      <c r="E3911" t="n">
        <v>10.92</v>
      </c>
      <c r="F3911" t="n">
        <v>1</v>
      </c>
      <c r="G3911" t="n">
        <v>2</v>
      </c>
      <c r="H3911" s="5">
        <f>HYPERLINK("https://api.qogita.com/variants/link/3600524144654/", "View Product")</f>
        <v/>
      </c>
    </row>
    <row r="3912">
      <c r="A3912" t="inlineStr">
        <is>
          <t>3600524145934</t>
        </is>
      </c>
      <c r="B3912" t="inlineStr">
        <is>
          <t>L'Oreal Paris Eyeshadow in Practical Pen Format Glossy Finish</t>
        </is>
      </c>
      <c r="C3912" t="inlineStr">
        <is>
          <t>Eyeshadow</t>
        </is>
      </c>
      <c r="D3912" t="inlineStr">
        <is>
          <t>L'Oréal Paris</t>
        </is>
      </c>
      <c r="E3912" t="n">
        <v>10.81</v>
      </c>
      <c r="F3912" t="n">
        <v>1</v>
      </c>
      <c r="G3912" t="n">
        <v>2</v>
      </c>
      <c r="H3912" s="5">
        <f>HYPERLINK("https://api.qogita.com/variants/link/3600524145934/", "View Product")</f>
        <v/>
      </c>
    </row>
    <row r="3913">
      <c r="A3913" t="inlineStr">
        <is>
          <t>3600524162511</t>
        </is>
      </c>
      <c r="B3913" t="inlineStr">
        <is>
          <t>L'Oreal Paris Age Defying Serum Le Duo with Collagen Peptide Booster and Vitamins B3</t>
        </is>
      </c>
      <c r="C3913" t="inlineStr">
        <is>
          <t>Anti-Aging Serum</t>
        </is>
      </c>
      <c r="D3913" t="inlineStr">
        <is>
          <t>L'Oréal Paris</t>
        </is>
      </c>
      <c r="E3913" t="n">
        <v>25.33</v>
      </c>
      <c r="F3913" t="n">
        <v>1</v>
      </c>
      <c r="G3913" t="n">
        <v>8</v>
      </c>
      <c r="H3913" s="5">
        <f>HYPERLINK("https://api.qogita.com/variants/link/3600524162511/", "View Product")</f>
        <v/>
      </c>
    </row>
    <row r="3914">
      <c r="A3914" t="inlineStr">
        <is>
          <t>3600524163624</t>
        </is>
      </c>
      <c r="B3914" t="inlineStr">
        <is>
          <t>L'Oreal Paris Elnett Micro-Diffusion Hairspray 300 Ml For Extra Strong Fixation</t>
        </is>
      </c>
      <c r="C3914" t="inlineStr">
        <is>
          <t>Hairspray</t>
        </is>
      </c>
      <c r="D3914" t="inlineStr">
        <is>
          <t>L'Oréal Paris</t>
        </is>
      </c>
      <c r="E3914" t="n">
        <v>7.3</v>
      </c>
      <c r="F3914" t="n">
        <v>1</v>
      </c>
      <c r="G3914" t="n">
        <v>39</v>
      </c>
      <c r="H3914" s="5">
        <f>HYPERLINK("https://api.qogita.com/variants/link/3600524163624/", "View Product")</f>
        <v/>
      </c>
    </row>
    <row r="3915">
      <c r="A3915" t="inlineStr">
        <is>
          <t>3600524165185</t>
        </is>
      </c>
      <c r="B3915" t="inlineStr">
        <is>
          <t>L'Oreal Revitalift Exfoliating Cleansing Gel With Glycolic Acid 150ml</t>
        </is>
      </c>
      <c r="C3915" t="inlineStr">
        <is>
          <t>Cleansing Gel</t>
        </is>
      </c>
      <c r="D3915" t="inlineStr">
        <is>
          <t>L'Oréal</t>
        </is>
      </c>
      <c r="E3915" t="n">
        <v>7.62</v>
      </c>
      <c r="F3915" t="n">
        <v>1</v>
      </c>
      <c r="G3915" t="n">
        <v>3</v>
      </c>
      <c r="H3915" s="5">
        <f>HYPERLINK("https://api.qogita.com/variants/link/3600524165185/", "View Product")</f>
        <v/>
      </c>
    </row>
    <row r="3916">
      <c r="A3916" t="inlineStr">
        <is>
          <t>3600524169725</t>
        </is>
      </c>
      <c r="B3916" t="inlineStr">
        <is>
          <t>L'Oreal Paris Revitalift Vitamin C Brightening Cream 50 Ml</t>
        </is>
      </c>
      <c r="C3916" t="inlineStr">
        <is>
          <t>Anti-Pigmentation Spot Cream</t>
        </is>
      </c>
      <c r="D3916" t="inlineStr">
        <is>
          <t>L'Oréal Paris</t>
        </is>
      </c>
      <c r="E3916" t="n">
        <v>14.72</v>
      </c>
      <c r="F3916" t="n">
        <v>1</v>
      </c>
      <c r="G3916" t="n">
        <v>2</v>
      </c>
      <c r="H3916" s="5">
        <f>HYPERLINK("https://api.qogita.com/variants/link/3600524169725/", "View Product")</f>
        <v/>
      </c>
    </row>
    <row r="3917">
      <c r="A3917" t="inlineStr">
        <is>
          <t>3600524172787</t>
        </is>
      </c>
      <c r="B3917" t="inlineStr">
        <is>
          <t>L'Oreal Paris Lip Plumping Gloss Nourishing and Hydrating with Cooling Sensation</t>
        </is>
      </c>
      <c r="C3917" t="inlineStr">
        <is>
          <t>Lip Gloss</t>
        </is>
      </c>
      <c r="D3917" t="inlineStr">
        <is>
          <t>L'Oréal Paris</t>
        </is>
      </c>
      <c r="E3917" t="n">
        <v>9.58</v>
      </c>
      <c r="F3917" t="n">
        <v>1</v>
      </c>
      <c r="G3917" t="n">
        <v>3</v>
      </c>
      <c r="H3917" s="5">
        <f>HYPERLINK("https://api.qogita.com/variants/link/3600524172787/", "View Product")</f>
        <v/>
      </c>
    </row>
    <row r="3918">
      <c r="A3918" t="inlineStr">
        <is>
          <t>3600524173098</t>
        </is>
      </c>
      <c r="B3918" t="inlineStr">
        <is>
          <t>L'Oreal Paris Elseve Color Vive Shampoo Care Color Protection Eco-Recharge 300 Ml</t>
        </is>
      </c>
      <c r="C3918" t="inlineStr">
        <is>
          <t>Shampoo</t>
        </is>
      </c>
      <c r="D3918" t="inlineStr">
        <is>
          <t>L'Oréal Paris</t>
        </is>
      </c>
      <c r="E3918" t="n">
        <v>4.49</v>
      </c>
      <c r="F3918" t="n">
        <v>1</v>
      </c>
      <c r="G3918" t="n">
        <v>5</v>
      </c>
      <c r="H3918" s="5">
        <f>HYPERLINK("https://api.qogita.com/variants/link/3600524173098/", "View Product")</f>
        <v/>
      </c>
    </row>
    <row r="3919">
      <c r="A3919" t="inlineStr">
        <is>
          <t>3600524181321</t>
        </is>
      </c>
      <c r="B3919" t="inlineStr">
        <is>
          <t>L'Oreal Men Expert Power Age Recharging Night Gel</t>
        </is>
      </c>
      <c r="C3919" t="inlineStr">
        <is>
          <t>Night Cream</t>
        </is>
      </c>
      <c r="D3919" t="inlineStr">
        <is>
          <t>L'Oréal</t>
        </is>
      </c>
      <c r="E3919" t="n">
        <v>13.02</v>
      </c>
      <c r="F3919" t="n">
        <v>1</v>
      </c>
      <c r="G3919" t="n">
        <v>5</v>
      </c>
      <c r="H3919" s="5">
        <f>HYPERLINK("https://api.qogita.com/variants/link/3600524181321/", "View Product")</f>
        <v/>
      </c>
    </row>
    <row r="3920">
      <c r="A3920" t="inlineStr">
        <is>
          <t>3600524190224</t>
        </is>
      </c>
      <c r="B3920" t="inlineStr">
        <is>
          <t>L'Oreal Infallible Skin Ink Multifunctional Foundation 140 Light Warm 15ml</t>
        </is>
      </c>
      <c r="C3920" t="inlineStr">
        <is>
          <t>Foundation</t>
        </is>
      </c>
      <c r="D3920" t="inlineStr">
        <is>
          <t>L'Oréal</t>
        </is>
      </c>
      <c r="E3920" t="n">
        <v>15.29</v>
      </c>
      <c r="F3920" t="n">
        <v>1</v>
      </c>
      <c r="G3920" t="n">
        <v>2</v>
      </c>
      <c r="H3920" s="5">
        <f>HYPERLINK("https://api.qogita.com/variants/link/3600524190224/", "View Product")</f>
        <v/>
      </c>
    </row>
    <row r="3921">
      <c r="A3921" t="inlineStr">
        <is>
          <t>3600524192556</t>
        </is>
      </c>
      <c r="B3921" t="inlineStr">
        <is>
          <t>L'Oreal Paris Lumi Le Glass Highlighter Stick - 7 G</t>
        </is>
      </c>
      <c r="C3921" t="inlineStr">
        <is>
          <t>Highlighter</t>
        </is>
      </c>
      <c r="D3921" t="inlineStr">
        <is>
          <t>L'Oréal Paris</t>
        </is>
      </c>
      <c r="E3921" t="n">
        <v>8.51</v>
      </c>
      <c r="F3921" t="n">
        <v>1</v>
      </c>
      <c r="G3921" t="n">
        <v>13</v>
      </c>
      <c r="H3921" s="5">
        <f>HYPERLINK("https://api.qogita.com/variants/link/3600524192556/", "View Product")</f>
        <v/>
      </c>
    </row>
    <row r="3922">
      <c r="A3922" t="inlineStr">
        <is>
          <t>3600524192594</t>
        </is>
      </c>
      <c r="B3922" t="inlineStr">
        <is>
          <t>L'Oreal Paris Lumi Le Glow Highlighter Stick - 7 G</t>
        </is>
      </c>
      <c r="C3922" t="inlineStr">
        <is>
          <t>Highlighter</t>
        </is>
      </c>
      <c r="D3922" t="inlineStr">
        <is>
          <t>L'Oréal Paris</t>
        </is>
      </c>
      <c r="E3922" t="n">
        <v>8.51</v>
      </c>
      <c r="F3922" t="n">
        <v>1</v>
      </c>
      <c r="G3922" t="n">
        <v>6</v>
      </c>
      <c r="H3922" s="5">
        <f>HYPERLINK("https://api.qogita.com/variants/link/3600524192594/", "View Product")</f>
        <v/>
      </c>
    </row>
    <row r="3923">
      <c r="A3923" t="inlineStr">
        <is>
          <t>3600524192600</t>
        </is>
      </c>
      <c r="B3923" t="inlineStr">
        <is>
          <t>L'Oreal Paris Lumi Le Glow Highlighter Stick - 7 G</t>
        </is>
      </c>
      <c r="C3923" t="inlineStr">
        <is>
          <t>Highlighter</t>
        </is>
      </c>
      <c r="D3923" t="inlineStr">
        <is>
          <t>L'Oréal Paris</t>
        </is>
      </c>
      <c r="E3923" t="n">
        <v>8.19</v>
      </c>
      <c r="F3923" t="n">
        <v>1</v>
      </c>
      <c r="G3923" t="n">
        <v>3</v>
      </c>
      <c r="H3923" s="5">
        <f>HYPERLINK("https://api.qogita.com/variants/link/3600524192600/", "View Product")</f>
        <v/>
      </c>
    </row>
    <row r="3924">
      <c r="A3924" t="inlineStr">
        <is>
          <t>3600524196783</t>
        </is>
      </c>
      <c r="B3924" t="inlineStr">
        <is>
          <t>L'Oreal Infaillible Laque Resistance Lipstick 601 Worth It 4.3ml</t>
        </is>
      </c>
      <c r="C3924" t="inlineStr">
        <is>
          <t>Lipstick</t>
        </is>
      </c>
      <c r="D3924" t="inlineStr">
        <is>
          <t>L'Oréal</t>
        </is>
      </c>
      <c r="E3924" t="n">
        <v>11.74</v>
      </c>
      <c r="F3924" t="n">
        <v>1</v>
      </c>
      <c r="G3924" t="n">
        <v>3</v>
      </c>
      <c r="H3924" s="5">
        <f>HYPERLINK("https://api.qogita.com/variants/link/3600524196783/", "View Product")</f>
        <v/>
      </c>
    </row>
    <row r="3925">
      <c r="A3925" t="inlineStr">
        <is>
          <t>3600524196790</t>
        </is>
      </c>
      <c r="B3925" t="inlineStr">
        <is>
          <t>L'Oreal Infaillible Laque Resistance Lipstick 635 Worth It Medium 4.3ml</t>
        </is>
      </c>
      <c r="C3925" t="inlineStr">
        <is>
          <t>Lipstick</t>
        </is>
      </c>
      <c r="D3925" t="inlineStr">
        <is>
          <t>L'Oréal</t>
        </is>
      </c>
      <c r="E3925" t="n">
        <v>11.74</v>
      </c>
      <c r="F3925" t="n">
        <v>1</v>
      </c>
      <c r="G3925" t="n">
        <v>2</v>
      </c>
      <c r="H3925" s="5">
        <f>HYPERLINK("https://api.qogita.com/variants/link/3600524196790/", "View Product")</f>
        <v/>
      </c>
    </row>
    <row r="3926">
      <c r="A3926" t="inlineStr">
        <is>
          <t>3600524196806</t>
        </is>
      </c>
      <c r="B3926" t="inlineStr">
        <is>
          <t>L'Oreal Infaillible Laque Resistance Lipstick 215 Drunk In Rose 4.3ml</t>
        </is>
      </c>
      <c r="C3926" t="inlineStr">
        <is>
          <t>Lipstick</t>
        </is>
      </c>
      <c r="D3926" t="inlineStr">
        <is>
          <t>L'Oréal</t>
        </is>
      </c>
      <c r="E3926" t="n">
        <v>11.74</v>
      </c>
      <c r="F3926" t="n">
        <v>1</v>
      </c>
      <c r="G3926" t="n">
        <v>3</v>
      </c>
      <c r="H3926" s="5">
        <f>HYPERLINK("https://api.qogita.com/variants/link/3600524196806/", "View Product")</f>
        <v/>
      </c>
    </row>
    <row r="3927">
      <c r="A3927" t="inlineStr">
        <is>
          <t>3600524196875</t>
        </is>
      </c>
      <c r="B3927" t="inlineStr">
        <is>
          <t>L'Oreal Infaillible Laque Resistance Lipstick 520 Berry Bordeaux - 4.3ml</t>
        </is>
      </c>
      <c r="C3927" t="inlineStr">
        <is>
          <t>Lipstick</t>
        </is>
      </c>
      <c r="D3927" t="inlineStr">
        <is>
          <t>L'Oréal</t>
        </is>
      </c>
      <c r="E3927" t="n">
        <v>11.74</v>
      </c>
      <c r="F3927" t="n">
        <v>1</v>
      </c>
      <c r="G3927" t="n">
        <v>3</v>
      </c>
      <c r="H3927" s="5">
        <f>HYPERLINK("https://api.qogita.com/variants/link/3600524196875/", "View Product")</f>
        <v/>
      </c>
    </row>
    <row r="3928">
      <c r="A3928" t="inlineStr">
        <is>
          <t>3600524213770</t>
        </is>
      </c>
      <c r="B3928" t="inlineStr">
        <is>
          <t>L'Oreal Revitalift Filler Hydrating Gel-Cream For Day With Hyaluronic Acid And Salicylic Acid 50ml</t>
        </is>
      </c>
      <c r="C3928" t="inlineStr">
        <is>
          <t>Day Cream</t>
        </is>
      </c>
      <c r="D3928" t="inlineStr">
        <is>
          <t>L'Oréal</t>
        </is>
      </c>
      <c r="E3928" t="n">
        <v>14.72</v>
      </c>
      <c r="F3928" t="n">
        <v>1</v>
      </c>
      <c r="G3928" t="n">
        <v>3</v>
      </c>
      <c r="H3928" s="5">
        <f>HYPERLINK("https://api.qogita.com/variants/link/3600524213770/", "View Product")</f>
        <v/>
      </c>
    </row>
    <row r="3929">
      <c r="A3929" t="inlineStr">
        <is>
          <t>3600530941278</t>
        </is>
      </c>
      <c r="B3929" t="inlineStr">
        <is>
          <t>Maybelline New Baby Skin Instant Pore Eraser 22ml Gel Base For Disappearing Pores</t>
        </is>
      </c>
      <c r="C3929" t="inlineStr">
        <is>
          <t>Face Cream</t>
        </is>
      </c>
      <c r="D3929" t="inlineStr">
        <is>
          <t>Maybelline</t>
        </is>
      </c>
      <c r="E3929" t="n">
        <v>4.9</v>
      </c>
      <c r="F3929" t="n">
        <v>1</v>
      </c>
      <c r="G3929" t="n">
        <v>41</v>
      </c>
      <c r="H3929" s="5">
        <f>HYPERLINK("https://api.qogita.com/variants/link/3600530941278/", "View Product")</f>
        <v/>
      </c>
    </row>
    <row r="3930">
      <c r="A3930" t="inlineStr">
        <is>
          <t>3600531384128</t>
        </is>
      </c>
      <c r="B3930" t="inlineStr">
        <is>
          <t>Maybelline Fit Me Matte Poreless Pressed Powder 104 Soft Ivory 9g</t>
        </is>
      </c>
      <c r="C3930" t="inlineStr">
        <is>
          <t>Powder</t>
        </is>
      </c>
      <c r="D3930" t="inlineStr">
        <is>
          <t>Maybelline</t>
        </is>
      </c>
      <c r="E3930" t="n">
        <v>6.47</v>
      </c>
      <c r="F3930" t="n">
        <v>1</v>
      </c>
      <c r="G3930" t="n">
        <v>3</v>
      </c>
      <c r="H3930" s="5">
        <f>HYPERLINK("https://api.qogita.com/variants/link/3600531384128/", "View Product")</f>
        <v/>
      </c>
    </row>
    <row r="3931">
      <c r="A3931" t="inlineStr">
        <is>
          <t>3600531411176</t>
        </is>
      </c>
      <c r="B3931" t="inlineStr">
        <is>
          <t>Maybelline Super Stay New York Matte Ink Liquid Lipstick 50 Voyager 5ml</t>
        </is>
      </c>
      <c r="C3931" t="inlineStr">
        <is>
          <t>Lipstick</t>
        </is>
      </c>
      <c r="D3931" t="inlineStr">
        <is>
          <t>Maybelline</t>
        </is>
      </c>
      <c r="E3931" t="n">
        <v>9.09</v>
      </c>
      <c r="F3931" t="n">
        <v>1</v>
      </c>
      <c r="G3931" t="n">
        <v>3</v>
      </c>
      <c r="H3931" s="5">
        <f>HYPERLINK("https://api.qogita.com/variants/link/3600531411176/", "View Product")</f>
        <v/>
      </c>
    </row>
    <row r="3932">
      <c r="A3932" t="inlineStr">
        <is>
          <t>3600531531065</t>
        </is>
      </c>
      <c r="B3932" t="inlineStr">
        <is>
          <t>Maybelline Tattoo Liner Gel Pencil Eye Pencil 900 Deep Onyx 1.3g</t>
        </is>
      </c>
      <c r="C3932" t="inlineStr">
        <is>
          <t>Eye Pencil</t>
        </is>
      </c>
      <c r="D3932" t="inlineStr">
        <is>
          <t>Maybelline</t>
        </is>
      </c>
      <c r="E3932" t="n">
        <v>4.64</v>
      </c>
      <c r="F3932" t="n">
        <v>1</v>
      </c>
      <c r="G3932" t="n">
        <v>8</v>
      </c>
      <c r="H3932" s="5">
        <f>HYPERLINK("https://api.qogita.com/variants/link/3600531531065/", "View Product")</f>
        <v/>
      </c>
    </row>
    <row r="3933">
      <c r="A3933" t="inlineStr">
        <is>
          <t>3600531531126</t>
        </is>
      </c>
      <c r="B3933" t="inlineStr">
        <is>
          <t>Maybelline New York Tattoo Liner Gel Pencil in 950 Rich Clay 1.30g</t>
        </is>
      </c>
      <c r="C3933" t="inlineStr">
        <is>
          <t>Eye Pencil</t>
        </is>
      </c>
      <c r="D3933" t="inlineStr">
        <is>
          <t>Maybelline</t>
        </is>
      </c>
      <c r="E3933" t="n">
        <v>3.85</v>
      </c>
      <c r="F3933" t="n">
        <v>1</v>
      </c>
      <c r="G3933" t="n">
        <v>2</v>
      </c>
      <c r="H3933" s="5">
        <f>HYPERLINK("https://api.qogita.com/variants/link/3600531531126/", "View Product")</f>
        <v/>
      </c>
    </row>
    <row r="3934">
      <c r="A3934" t="inlineStr">
        <is>
          <t>3600531553357</t>
        </is>
      </c>
      <c r="B3934" t="inlineStr">
        <is>
          <t>Maybelline Color Sensational Smoked Roses Moisturizing Lipstick 340 Blushed Rose 3.6g</t>
        </is>
      </c>
      <c r="C3934" t="inlineStr">
        <is>
          <t>Lipstick</t>
        </is>
      </c>
      <c r="D3934" t="inlineStr">
        <is>
          <t>Maybelline</t>
        </is>
      </c>
      <c r="E3934" t="n">
        <v>5.82</v>
      </c>
      <c r="F3934" t="n">
        <v>1</v>
      </c>
      <c r="G3934" t="n">
        <v>3</v>
      </c>
      <c r="H3934" s="5">
        <f>HYPERLINK("https://api.qogita.com/variants/link/3600531553357/", "View Product")</f>
        <v/>
      </c>
    </row>
    <row r="3935">
      <c r="A3935" t="inlineStr">
        <is>
          <t>3600531605681</t>
        </is>
      </c>
      <c r="B3935" t="inlineStr">
        <is>
          <t>Maybelline Super Stay New York Matte Ink Liquid Lipstick 180 Revolutionary 5ml</t>
        </is>
      </c>
      <c r="C3935" t="inlineStr">
        <is>
          <t>Lipstick</t>
        </is>
      </c>
      <c r="D3935" t="inlineStr">
        <is>
          <t>Maybelline</t>
        </is>
      </c>
      <c r="E3935" t="n">
        <v>9.09</v>
      </c>
      <c r="F3935" t="n">
        <v>1</v>
      </c>
      <c r="G3935" t="n">
        <v>5</v>
      </c>
      <c r="H3935" s="5">
        <f>HYPERLINK("https://api.qogita.com/variants/link/3600531605681/", "View Product")</f>
        <v/>
      </c>
    </row>
    <row r="3936">
      <c r="A3936" t="inlineStr">
        <is>
          <t>3600531609689</t>
        </is>
      </c>
      <c r="B3936" t="inlineStr">
        <is>
          <t>Maybelline Lifter Gloss Lip Gloss 001 Pearl 5.4ml</t>
        </is>
      </c>
      <c r="C3936" t="inlineStr">
        <is>
          <t>Lip Gloss</t>
        </is>
      </c>
      <c r="D3936" t="inlineStr">
        <is>
          <t>Maybelline</t>
        </is>
      </c>
      <c r="E3936" t="n">
        <v>6.2</v>
      </c>
      <c r="F3936" t="n">
        <v>1</v>
      </c>
      <c r="G3936" t="n">
        <v>3</v>
      </c>
      <c r="H3936" s="5">
        <f>HYPERLINK("https://api.qogita.com/variants/link/3600531609689/", "View Product")</f>
        <v/>
      </c>
    </row>
    <row r="3937">
      <c r="A3937" t="inlineStr">
        <is>
          <t>3600531609740</t>
        </is>
      </c>
      <c r="B3937" t="inlineStr">
        <is>
          <t>Maybelline Lifter Gloss Lip Gloss 006 Reef 5.4ml</t>
        </is>
      </c>
      <c r="C3937" t="inlineStr">
        <is>
          <t>Lip Gloss</t>
        </is>
      </c>
      <c r="D3937" t="inlineStr">
        <is>
          <t>Maybelline</t>
        </is>
      </c>
      <c r="E3937" t="n">
        <v>6.09</v>
      </c>
      <c r="F3937" t="n">
        <v>1</v>
      </c>
      <c r="G3937" t="n">
        <v>6</v>
      </c>
      <c r="H3937" s="5">
        <f>HYPERLINK("https://api.qogita.com/variants/link/3600531609740/", "View Product")</f>
        <v/>
      </c>
    </row>
    <row r="3938">
      <c r="A3938" t="inlineStr">
        <is>
          <t>3600531609764</t>
        </is>
      </c>
      <c r="B3938" t="inlineStr">
        <is>
          <t>Maybelline Lifter Gloss 02 Ice Lip Gloss</t>
        </is>
      </c>
      <c r="C3938" t="inlineStr">
        <is>
          <t>Lip Gloss</t>
        </is>
      </c>
      <c r="D3938" t="inlineStr">
        <is>
          <t>Maybelline</t>
        </is>
      </c>
      <c r="E3938" t="n">
        <v>6.2</v>
      </c>
      <c r="F3938" t="n">
        <v>1</v>
      </c>
      <c r="G3938" t="n">
        <v>5</v>
      </c>
      <c r="H3938" s="5">
        <f>HYPERLINK("https://api.qogita.com/variants/link/3600531609764/", "View Product")</f>
        <v/>
      </c>
    </row>
    <row r="3939">
      <c r="A3939" t="inlineStr">
        <is>
          <t>3600531638948</t>
        </is>
      </c>
      <c r="B3939" t="inlineStr">
        <is>
          <t>Maybelline Tattoo Liner Smokey Eyeliner 010 Smokey Black - 1.3g</t>
        </is>
      </c>
      <c r="C3939" t="inlineStr">
        <is>
          <t>Eyeliner</t>
        </is>
      </c>
      <c r="D3939" t="inlineStr">
        <is>
          <t>Maybelline</t>
        </is>
      </c>
      <c r="E3939" t="n">
        <v>7.54</v>
      </c>
      <c r="F3939" t="n">
        <v>1</v>
      </c>
      <c r="G3939" t="n">
        <v>8</v>
      </c>
      <c r="H3939" s="5">
        <f>HYPERLINK("https://api.qogita.com/variants/link/3600531638948/", "View Product")</f>
        <v/>
      </c>
    </row>
    <row r="3940">
      <c r="A3940" t="inlineStr">
        <is>
          <t>3600531640385</t>
        </is>
      </c>
      <c r="B3940" t="inlineStr">
        <is>
          <t>Maybelline Express Brow Satin Duo Eyebrow Pencil 02 Medium Brown 0.71g</t>
        </is>
      </c>
      <c r="C3940" t="inlineStr">
        <is>
          <t>Eyebrow Pencil</t>
        </is>
      </c>
      <c r="D3940" t="inlineStr">
        <is>
          <t>Maybelline</t>
        </is>
      </c>
      <c r="E3940" t="n">
        <v>4.7</v>
      </c>
      <c r="F3940" t="n">
        <v>1</v>
      </c>
      <c r="G3940" t="n">
        <v>7</v>
      </c>
      <c r="H3940" s="5">
        <f>HYPERLINK("https://api.qogita.com/variants/link/3600531640385/", "View Product")</f>
        <v/>
      </c>
    </row>
    <row r="3941">
      <c r="A3941" t="inlineStr">
        <is>
          <t>3600531640392</t>
        </is>
      </c>
      <c r="B3941" t="inlineStr">
        <is>
          <t>Maybelline Express Brow Satin Duo Eyebrow Pencil 025 Brunette 0.71g</t>
        </is>
      </c>
      <c r="C3941" t="inlineStr">
        <is>
          <t>Eyebrow Pencil</t>
        </is>
      </c>
      <c r="D3941" t="inlineStr">
        <is>
          <t>Maybelline</t>
        </is>
      </c>
      <c r="E3941" t="n">
        <v>5.33</v>
      </c>
      <c r="F3941" t="n">
        <v>1</v>
      </c>
      <c r="G3941" t="n">
        <v>3</v>
      </c>
      <c r="H3941" s="5">
        <f>HYPERLINK("https://api.qogita.com/variants/link/3600531640392/", "View Product")</f>
        <v/>
      </c>
    </row>
    <row r="3942">
      <c r="A3942" t="inlineStr">
        <is>
          <t>3600531640415</t>
        </is>
      </c>
      <c r="B3942" t="inlineStr">
        <is>
          <t>Maybelline Express Brow Satin Duo Eyebrow Pencil 05 Blackbrown 0.71g</t>
        </is>
      </c>
      <c r="C3942" t="inlineStr">
        <is>
          <t>Eyebrow Pencil</t>
        </is>
      </c>
      <c r="D3942" t="inlineStr">
        <is>
          <t>Maybelline</t>
        </is>
      </c>
      <c r="E3942" t="n">
        <v>5.12</v>
      </c>
      <c r="F3942" t="n">
        <v>1</v>
      </c>
      <c r="G3942" t="n">
        <v>5</v>
      </c>
      <c r="H3942" s="5">
        <f>HYPERLINK("https://api.qogita.com/variants/link/3600531640415/", "View Product")</f>
        <v/>
      </c>
    </row>
    <row r="3943">
      <c r="A3943" t="inlineStr">
        <is>
          <t>3600531651176</t>
        </is>
      </c>
      <c r="B3943" t="inlineStr">
        <is>
          <t>Maybelline Lifter Gloss Moisturizing Lip Gloss 54 Ml In 16 Rust</t>
        </is>
      </c>
      <c r="C3943" t="inlineStr">
        <is>
          <t>Lip Gloss</t>
        </is>
      </c>
      <c r="D3943" t="inlineStr">
        <is>
          <t>Maybelline</t>
        </is>
      </c>
      <c r="E3943" t="n">
        <v>4.93</v>
      </c>
      <c r="F3943" t="n">
        <v>1</v>
      </c>
      <c r="G3943" t="n">
        <v>2</v>
      </c>
      <c r="H3943" s="5">
        <f>HYPERLINK("https://api.qogita.com/variants/link/3600531651176/", "View Product")</f>
        <v/>
      </c>
    </row>
    <row r="3944">
      <c r="A3944" t="inlineStr">
        <is>
          <t>3600531663384</t>
        </is>
      </c>
      <c r="B3944" t="inlineStr">
        <is>
          <t>Essie On A Roll Apricot Nail And Cuticle Oil 5ml</t>
        </is>
      </c>
      <c r="C3944" t="inlineStr">
        <is>
          <t>Nail Oil</t>
        </is>
      </c>
      <c r="D3944" t="inlineStr">
        <is>
          <t>Essie</t>
        </is>
      </c>
      <c r="E3944" t="n">
        <v>8.609999999999999</v>
      </c>
      <c r="F3944" t="n">
        <v>1</v>
      </c>
      <c r="G3944" t="n">
        <v>3</v>
      </c>
      <c r="H3944" s="5">
        <f>HYPERLINK("https://api.qogita.com/variants/link/3600531663384/", "View Product")</f>
        <v/>
      </c>
    </row>
    <row r="3945">
      <c r="A3945" t="inlineStr">
        <is>
          <t>3600531668419</t>
        </is>
      </c>
      <c r="B3945" t="inlineStr">
        <is>
          <t>Maybelline Liquid Blush Sunkisser 47 Ml Shade 03 Sol Search</t>
        </is>
      </c>
      <c r="C3945" t="inlineStr">
        <is>
          <t>Blush</t>
        </is>
      </c>
      <c r="D3945" t="inlineStr">
        <is>
          <t>Maybelline</t>
        </is>
      </c>
      <c r="E3945" t="n">
        <v>7.97</v>
      </c>
      <c r="F3945" t="n">
        <v>1</v>
      </c>
      <c r="G3945" t="n">
        <v>2</v>
      </c>
      <c r="H3945" s="5">
        <f>HYPERLINK("https://api.qogita.com/variants/link/3600531668419/", "View Product")</f>
        <v/>
      </c>
    </row>
    <row r="3946">
      <c r="A3946" t="inlineStr">
        <is>
          <t>3600531668471</t>
        </is>
      </c>
      <c r="B3946" t="inlineStr">
        <is>
          <t>Maybelline Sunkisser Blush 47 Ml Liquid Blush In 09 Midnight</t>
        </is>
      </c>
      <c r="C3946" t="inlineStr">
        <is>
          <t>Blush</t>
        </is>
      </c>
      <c r="D3946" t="inlineStr">
        <is>
          <t>Maybelline</t>
        </is>
      </c>
      <c r="E3946" t="n">
        <v>9.140000000000001</v>
      </c>
      <c r="F3946" t="n">
        <v>1</v>
      </c>
      <c r="G3946" t="n">
        <v>2</v>
      </c>
      <c r="H3946" s="5">
        <f>HYPERLINK("https://api.qogita.com/variants/link/3600531668471/", "View Product")</f>
        <v/>
      </c>
    </row>
    <row r="3947">
      <c r="A3947" t="inlineStr">
        <is>
          <t>3600531672638</t>
        </is>
      </c>
      <c r="B3947" t="inlineStr">
        <is>
          <t>Maybelline Color Tattoo 24h Eyestix 14 G Shade 50 I Am Unique</t>
        </is>
      </c>
      <c r="C3947" t="inlineStr">
        <is>
          <t>Eyeshadow</t>
        </is>
      </c>
      <c r="D3947" t="inlineStr">
        <is>
          <t>Maybelline</t>
        </is>
      </c>
      <c r="E3947" t="n">
        <v>8.27</v>
      </c>
      <c r="F3947" t="n">
        <v>1</v>
      </c>
      <c r="G3947" t="n">
        <v>4</v>
      </c>
      <c r="H3947" s="5">
        <f>HYPERLINK("https://api.qogita.com/variants/link/3600531672638/", "View Product")</f>
        <v/>
      </c>
    </row>
    <row r="3948">
      <c r="A3948" t="inlineStr">
        <is>
          <t>3600531681418</t>
        </is>
      </c>
      <c r="B3948" t="inlineStr">
        <is>
          <t>Maybelline Color Tattoo 24h Eyestix 70 I Am Extravagant 14 G</t>
        </is>
      </c>
      <c r="C3948" t="inlineStr">
        <is>
          <t>Eyeshadow</t>
        </is>
      </c>
      <c r="D3948" t="inlineStr">
        <is>
          <t>Maybelline</t>
        </is>
      </c>
      <c r="E3948" t="n">
        <v>9.470000000000001</v>
      </c>
      <c r="F3948" t="n">
        <v>1</v>
      </c>
      <c r="G3948" t="n">
        <v>3</v>
      </c>
      <c r="H3948" s="5">
        <f>HYPERLINK("https://api.qogita.com/variants/link/3600531681418/", "View Product")</f>
        <v/>
      </c>
    </row>
    <row r="3949">
      <c r="A3949" t="inlineStr">
        <is>
          <t>3600531681524</t>
        </is>
      </c>
      <c r="B3949" t="inlineStr">
        <is>
          <t>Maybelline Mayb Eyeliner Smokey Gel Pencil Tattoo Liner</t>
        </is>
      </c>
      <c r="C3949" t="inlineStr">
        <is>
          <t>Eyeliner</t>
        </is>
      </c>
      <c r="D3949" t="inlineStr">
        <is>
          <t>Maybelline</t>
        </is>
      </c>
      <c r="E3949" t="n">
        <v>7.54</v>
      </c>
      <c r="F3949" t="n">
        <v>1</v>
      </c>
      <c r="G3949" t="n">
        <v>2</v>
      </c>
      <c r="H3949" s="5">
        <f>HYPERLINK("https://api.qogita.com/variants/link/3600531681524/", "View Product")</f>
        <v/>
      </c>
    </row>
    <row r="3950">
      <c r="A3950" t="inlineStr">
        <is>
          <t>3600531684945</t>
        </is>
      </c>
      <c r="B3950" t="inlineStr">
        <is>
          <t>Maybelline Lasting Drama Automatic Gel Pencil Green With Envy</t>
        </is>
      </c>
      <c r="C3950" t="inlineStr">
        <is>
          <t>Eye Pencil</t>
        </is>
      </c>
      <c r="D3950" t="inlineStr">
        <is>
          <t>Maybelline</t>
        </is>
      </c>
      <c r="E3950" t="n">
        <v>5</v>
      </c>
      <c r="F3950" t="n">
        <v>1</v>
      </c>
      <c r="G3950" t="n">
        <v>3</v>
      </c>
      <c r="H3950" s="5">
        <f>HYPERLINK("https://api.qogita.com/variants/link/3600531684945/", "View Product")</f>
        <v/>
      </c>
    </row>
    <row r="3951">
      <c r="A3951" t="inlineStr">
        <is>
          <t>3600531691875</t>
        </is>
      </c>
      <c r="B3951" t="inlineStr">
        <is>
          <t>Maybelline Long-Lasting Mattifying Makeup Super Stay Lumi-Matte Foundation 35 Ml</t>
        </is>
      </c>
      <c r="C3951" t="inlineStr">
        <is>
          <t>Foundation</t>
        </is>
      </c>
      <c r="D3951" t="inlineStr">
        <is>
          <t>Maybelline</t>
        </is>
      </c>
      <c r="E3951" t="n">
        <v>10.75</v>
      </c>
      <c r="F3951" t="n">
        <v>1</v>
      </c>
      <c r="G3951" t="n">
        <v>5</v>
      </c>
      <c r="H3951" s="5">
        <f>HYPERLINK("https://api.qogita.com/variants/link/3600531691875/", "View Product")</f>
        <v/>
      </c>
    </row>
    <row r="3952">
      <c r="A3952" t="inlineStr">
        <is>
          <t>3600531691912</t>
        </is>
      </c>
      <c r="B3952" t="inlineStr">
        <is>
          <t>Maybelline Super Stay Lumimatte Foundation Longlasting Mattifying Makeup 35 Ml</t>
        </is>
      </c>
      <c r="C3952" t="inlineStr">
        <is>
          <t>Foundation</t>
        </is>
      </c>
      <c r="D3952" t="inlineStr">
        <is>
          <t>Maybelline</t>
        </is>
      </c>
      <c r="E3952" t="n">
        <v>10.75</v>
      </c>
      <c r="F3952" t="n">
        <v>1</v>
      </c>
      <c r="G3952" t="n">
        <v>11</v>
      </c>
      <c r="H3952" s="5">
        <f>HYPERLINK("https://api.qogita.com/variants/link/3600531691912/", "View Product")</f>
        <v/>
      </c>
    </row>
    <row r="3953">
      <c r="A3953" t="inlineStr">
        <is>
          <t>3600531691950</t>
        </is>
      </c>
      <c r="B3953" t="inlineStr">
        <is>
          <t>Maybelline Super Stay 30h Lumi Matte Foundation 98 30ml</t>
        </is>
      </c>
      <c r="C3953" t="inlineStr">
        <is>
          <t>Foundation</t>
        </is>
      </c>
      <c r="D3953" t="inlineStr">
        <is>
          <t>Maybelline</t>
        </is>
      </c>
      <c r="E3953" t="n">
        <v>10.75</v>
      </c>
      <c r="F3953" t="n">
        <v>1</v>
      </c>
      <c r="G3953" t="n">
        <v>8</v>
      </c>
      <c r="H3953" s="5">
        <f>HYPERLINK("https://api.qogita.com/variants/link/3600531691950/", "View Product")</f>
        <v/>
      </c>
    </row>
    <row r="3954">
      <c r="A3954" t="inlineStr">
        <is>
          <t>3600531691974</t>
        </is>
      </c>
      <c r="B3954" t="inlineStr">
        <is>
          <t>Maybelline Super Stay 30h Lumi Matte Foundation 90 30ml</t>
        </is>
      </c>
      <c r="C3954" t="inlineStr">
        <is>
          <t>Foundation</t>
        </is>
      </c>
      <c r="D3954" t="inlineStr">
        <is>
          <t>Maybelline</t>
        </is>
      </c>
      <c r="E3954" t="n">
        <v>10.75</v>
      </c>
      <c r="F3954" t="n">
        <v>1</v>
      </c>
      <c r="G3954" t="n">
        <v>8</v>
      </c>
      <c r="H3954" s="5">
        <f>HYPERLINK("https://api.qogita.com/variants/link/3600531691974/", "View Product")</f>
        <v/>
      </c>
    </row>
    <row r="3955">
      <c r="A3955" t="inlineStr">
        <is>
          <t>3600531692056</t>
        </is>
      </c>
      <c r="B3955" t="inlineStr">
        <is>
          <t>Maybelline Lifter Liner Lip Liner 001 Cross The Line 12 G</t>
        </is>
      </c>
      <c r="C3955" t="inlineStr">
        <is>
          <t>Lip Liner</t>
        </is>
      </c>
      <c r="D3955" t="inlineStr">
        <is>
          <t>Maybelline</t>
        </is>
      </c>
      <c r="E3955" t="n">
        <v>7.01</v>
      </c>
      <c r="F3955" t="n">
        <v>1</v>
      </c>
      <c r="G3955" t="n">
        <v>5</v>
      </c>
      <c r="H3955" s="5">
        <f>HYPERLINK("https://api.qogita.com/variants/link/3600531692056/", "View Product")</f>
        <v/>
      </c>
    </row>
    <row r="3956">
      <c r="A3956" t="inlineStr">
        <is>
          <t>3600531698751</t>
        </is>
      </c>
      <c r="B3956" t="inlineStr">
        <is>
          <t>Maybelline Superfluff Eyebrow Gel Brow Mousse - 5 Ml For A Full And Fluffy Look</t>
        </is>
      </c>
      <c r="C3956" t="inlineStr">
        <is>
          <t>Eyebrow Gel</t>
        </is>
      </c>
      <c r="D3956" t="inlineStr">
        <is>
          <t>Maybelline</t>
        </is>
      </c>
      <c r="E3956" t="n">
        <v>8.44</v>
      </c>
      <c r="F3956" t="n">
        <v>1</v>
      </c>
      <c r="G3956" t="n">
        <v>12</v>
      </c>
      <c r="H3956" s="5">
        <f>HYPERLINK("https://api.qogita.com/variants/link/3600531698751/", "View Product")</f>
        <v/>
      </c>
    </row>
    <row r="3957">
      <c r="A3957" t="inlineStr">
        <is>
          <t>3600531698768</t>
        </is>
      </c>
      <c r="B3957" t="inlineStr">
        <is>
          <t>Maybelline Super Fluff Eyebrow Mousse 262 Black Brown 5 Ml</t>
        </is>
      </c>
      <c r="C3957" t="inlineStr">
        <is>
          <t>Other</t>
        </is>
      </c>
      <c r="D3957" t="inlineStr">
        <is>
          <t>Maybelline</t>
        </is>
      </c>
      <c r="E3957" t="n">
        <v>8.44</v>
      </c>
      <c r="F3957" t="n">
        <v>1</v>
      </c>
      <c r="G3957" t="n">
        <v>10</v>
      </c>
      <c r="H3957" s="5">
        <f>HYPERLINK("https://api.qogita.com/variants/link/3600531698768/", "View Product")</f>
        <v/>
      </c>
    </row>
    <row r="3958">
      <c r="A3958" t="inlineStr">
        <is>
          <t>3600531702038</t>
        </is>
      </c>
      <c r="B3958" t="inlineStr">
        <is>
          <t>Maybelline Contouring Stick Lifter Stix 6 G</t>
        </is>
      </c>
      <c r="C3958" t="inlineStr">
        <is>
          <t>Contouring</t>
        </is>
      </c>
      <c r="D3958" t="inlineStr">
        <is>
          <t>Maybelline</t>
        </is>
      </c>
      <c r="E3958" t="n">
        <v>7.58</v>
      </c>
      <c r="F3958" t="n">
        <v>1</v>
      </c>
      <c r="G3958" t="n">
        <v>2</v>
      </c>
      <c r="H3958" s="5">
        <f>HYPERLINK("https://api.qogita.com/variants/link/3600531702038/", "View Product")</f>
        <v/>
      </c>
    </row>
    <row r="3959">
      <c r="A3959" t="inlineStr">
        <is>
          <t>3600531712778</t>
        </is>
      </c>
      <c r="B3959" t="inlineStr">
        <is>
          <t>Maybelline New York Fit Me Nude BB Cream 20</t>
        </is>
      </c>
      <c r="C3959" t="inlineStr">
        <is>
          <t>Tinted Day Cream</t>
        </is>
      </c>
      <c r="D3959" t="inlineStr">
        <is>
          <t>Maybelline</t>
        </is>
      </c>
      <c r="E3959" t="n">
        <v>5.69</v>
      </c>
      <c r="F3959" t="n">
        <v>1</v>
      </c>
      <c r="G3959" t="n">
        <v>2</v>
      </c>
      <c r="H3959" s="5">
        <f>HYPERLINK("https://api.qogita.com/variants/link/3600531712778/", "View Product")</f>
        <v/>
      </c>
    </row>
    <row r="3960">
      <c r="A3960" t="inlineStr">
        <is>
          <t>3600540659279</t>
        </is>
      </c>
      <c r="B3960" t="inlineStr">
        <is>
          <t>Garnier Ambre Solaire After Sun Body Balm Enhancing Tan 200ml</t>
        </is>
      </c>
      <c r="C3960" t="inlineStr">
        <is>
          <t>Aftersun</t>
        </is>
      </c>
      <c r="D3960" t="inlineStr">
        <is>
          <t>Garnier</t>
        </is>
      </c>
      <c r="E3960" t="n">
        <v>9.9</v>
      </c>
      <c r="F3960" t="n">
        <v>1</v>
      </c>
      <c r="G3960" t="n">
        <v>5</v>
      </c>
      <c r="H3960" s="5">
        <f>HYPERLINK("https://api.qogita.com/variants/link/3600540659279/", "View Product")</f>
        <v/>
      </c>
    </row>
    <row r="3961">
      <c r="A3961" t="inlineStr">
        <is>
          <t>3600540792396</t>
        </is>
      </c>
      <c r="B3961" t="inlineStr">
        <is>
          <t>Garnier Action Control Rollon 48h Deodorant</t>
        </is>
      </c>
      <c r="C3961" t="inlineStr">
        <is>
          <t>Deodorant &amp; Anti-Perspirant</t>
        </is>
      </c>
      <c r="D3961" t="inlineStr">
        <is>
          <t>Garnier</t>
        </is>
      </c>
      <c r="E3961" t="n">
        <v>5.15</v>
      </c>
      <c r="F3961" t="n">
        <v>1</v>
      </c>
      <c r="G3961" t="n">
        <v>8</v>
      </c>
      <c r="H3961" s="5">
        <f>HYPERLINK("https://api.qogita.com/variants/link/3600540792396/", "View Product")</f>
        <v/>
      </c>
    </row>
    <row r="3962">
      <c r="A3962" t="inlineStr">
        <is>
          <t>3600541358577</t>
        </is>
      </c>
      <c r="B3962" t="inlineStr">
        <is>
          <t>Garnier Skin Naturals Two-Phase Micellar Water All In One 400ml</t>
        </is>
      </c>
      <c r="C3962" t="inlineStr">
        <is>
          <t>Micellar Water</t>
        </is>
      </c>
      <c r="D3962" t="inlineStr">
        <is>
          <t>Garnier</t>
        </is>
      </c>
      <c r="E3962" t="n">
        <v>7.54</v>
      </c>
      <c r="F3962" t="n">
        <v>1</v>
      </c>
      <c r="G3962" t="n">
        <v>56</v>
      </c>
      <c r="H3962" s="5">
        <f>HYPERLINK("https://api.qogita.com/variants/link/3600541358577/", "View Product")</f>
        <v/>
      </c>
    </row>
    <row r="3963">
      <c r="A3963" t="inlineStr">
        <is>
          <t>3600541361317</t>
        </is>
      </c>
      <c r="B3963" t="inlineStr">
        <is>
          <t>Garnier Twophase Eye Makeup Remover 125 Ml</t>
        </is>
      </c>
      <c r="C3963" t="inlineStr">
        <is>
          <t>Makeup Remover</t>
        </is>
      </c>
      <c r="D3963" t="inlineStr">
        <is>
          <t>Garnier</t>
        </is>
      </c>
      <c r="E3963" t="n">
        <v>6.08</v>
      </c>
      <c r="F3963" t="n">
        <v>1</v>
      </c>
      <c r="G3963" t="n">
        <v>30</v>
      </c>
      <c r="H3963" s="5">
        <f>HYPERLINK("https://api.qogita.com/variants/link/3600541361317/", "View Product")</f>
        <v/>
      </c>
    </row>
    <row r="3964">
      <c r="A3964" t="inlineStr">
        <is>
          <t>3600541595101</t>
        </is>
      </c>
      <c r="B3964" t="inlineStr">
        <is>
          <t>Garnier Pure Active Cleansing Micellar Water 400ml</t>
        </is>
      </c>
      <c r="C3964" t="inlineStr">
        <is>
          <t>Micellar Water</t>
        </is>
      </c>
      <c r="D3964" t="inlineStr">
        <is>
          <t>Garnier</t>
        </is>
      </c>
      <c r="E3964" t="n">
        <v>7.54</v>
      </c>
      <c r="F3964" t="n">
        <v>1</v>
      </c>
      <c r="G3964" t="n">
        <v>7</v>
      </c>
      <c r="H3964" s="5">
        <f>HYPERLINK("https://api.qogita.com/variants/link/3600541595101/", "View Product")</f>
        <v/>
      </c>
    </row>
    <row r="3965">
      <c r="A3965" t="inlineStr">
        <is>
          <t>3600542097253</t>
        </is>
      </c>
      <c r="B3965" t="inlineStr">
        <is>
          <t>Garnier Pure Charcoal Black Tissue Mask - Purifying &amp; Hydrating Pore-Tightening Mask, 28g</t>
        </is>
      </c>
      <c r="C3965" t="inlineStr">
        <is>
          <t>Charcoal Mask</t>
        </is>
      </c>
      <c r="D3965" t="inlineStr">
        <is>
          <t>Garnier</t>
        </is>
      </c>
      <c r="E3965" t="n">
        <v>4.07</v>
      </c>
      <c r="F3965" t="n">
        <v>1</v>
      </c>
      <c r="G3965" t="n">
        <v>12</v>
      </c>
      <c r="H3965" s="5">
        <f>HYPERLINK("https://api.qogita.com/variants/link/3600542097253/", "View Product")</f>
        <v/>
      </c>
    </row>
    <row r="3966">
      <c r="A3966" t="inlineStr">
        <is>
          <t>3600542225397</t>
        </is>
      </c>
      <c r="B3966" t="inlineStr">
        <is>
          <t>Garnier Sos Repair Allinone Leavein 400 Ml Hair Cream Without Rinsing</t>
        </is>
      </c>
      <c r="C3966" t="inlineStr">
        <is>
          <t>Leave-In Conditioner</t>
        </is>
      </c>
      <c r="D3966" t="inlineStr">
        <is>
          <t>Garnier</t>
        </is>
      </c>
      <c r="E3966" t="n">
        <v>6.47</v>
      </c>
      <c r="F3966" t="n">
        <v>1</v>
      </c>
      <c r="G3966" t="n">
        <v>22</v>
      </c>
      <c r="H3966" s="5">
        <f>HYPERLINK("https://api.qogita.com/variants/link/3600542225397/", "View Product")</f>
        <v/>
      </c>
    </row>
    <row r="3967">
      <c r="A3967" t="inlineStr">
        <is>
          <t>3600542232036</t>
        </is>
      </c>
      <c r="B3967" t="inlineStr">
        <is>
          <t>Garnier Hyaluronic Aloe Gel Daily Moisturizing Care 50 Ml Moisturizing Gel For Normal And Combination Skin</t>
        </is>
      </c>
      <c r="C3967" t="inlineStr">
        <is>
          <t>Day Cream</t>
        </is>
      </c>
      <c r="D3967" t="inlineStr">
        <is>
          <t>Garnier</t>
        </is>
      </c>
      <c r="E3967" t="n">
        <v>7.33</v>
      </c>
      <c r="F3967" t="n">
        <v>1</v>
      </c>
      <c r="G3967" t="n">
        <v>12</v>
      </c>
      <c r="H3967" s="5">
        <f>HYPERLINK("https://api.qogita.com/variants/link/3600542232036/", "View Product")</f>
        <v/>
      </c>
    </row>
    <row r="3968">
      <c r="A3968" t="inlineStr">
        <is>
          <t>3600542297813</t>
        </is>
      </c>
      <c r="B3968" t="inlineStr">
        <is>
          <t>Garnier Ambre Solaire Ultra-Light Sensitive Sun Protection Face Fluid Spf50+ Protective Foundation For Face 40ml</t>
        </is>
      </c>
      <c r="C3968" t="inlineStr">
        <is>
          <t>Face Sun Protection</t>
        </is>
      </c>
      <c r="D3968" t="inlineStr">
        <is>
          <t>Garnier</t>
        </is>
      </c>
      <c r="E3968" t="n">
        <v>10.51</v>
      </c>
      <c r="F3968" t="n">
        <v>1</v>
      </c>
      <c r="G3968" t="n">
        <v>6</v>
      </c>
      <c r="H3968" s="5">
        <f>HYPERLINK("https://api.qogita.com/variants/link/3600542297813/", "View Product")</f>
        <v/>
      </c>
    </row>
    <row r="3969">
      <c r="A3969" t="inlineStr">
        <is>
          <t>3600542380492</t>
        </is>
      </c>
      <c r="B3969" t="inlineStr">
        <is>
          <t>Garnier Skin Naturals Vitamin C Sheet Mask Intensive Moisturizing Fabric Mask 28g</t>
        </is>
      </c>
      <c r="C3969" t="inlineStr">
        <is>
          <t>Sheet Mask</t>
        </is>
      </c>
      <c r="D3969" t="inlineStr">
        <is>
          <t>Garnier</t>
        </is>
      </c>
      <c r="E3969" t="n">
        <v>4.07</v>
      </c>
      <c r="F3969" t="n">
        <v>1</v>
      </c>
      <c r="G3969" t="n">
        <v>10</v>
      </c>
      <c r="H3969" s="5">
        <f>HYPERLINK("https://api.qogita.com/variants/link/3600542380492/", "View Product")</f>
        <v/>
      </c>
    </row>
    <row r="3970">
      <c r="A3970" t="inlineStr">
        <is>
          <t>3600542385626</t>
        </is>
      </c>
      <c r="B3970" t="inlineStr">
        <is>
          <t>Garnier Skin Naturals Hyaluronic Aloe Serum Intensively Moisturizing Fabric Mask 28g</t>
        </is>
      </c>
      <c r="C3970" t="inlineStr">
        <is>
          <t>Sheet Mask</t>
        </is>
      </c>
      <c r="D3970" t="inlineStr">
        <is>
          <t>Garnier</t>
        </is>
      </c>
      <c r="E3970" t="n">
        <v>4.07</v>
      </c>
      <c r="F3970" t="n">
        <v>1</v>
      </c>
      <c r="G3970" t="n">
        <v>14</v>
      </c>
      <c r="H3970" s="5">
        <f>HYPERLINK("https://api.qogita.com/variants/link/3600542385626/", "View Product")</f>
        <v/>
      </c>
    </row>
    <row r="3971">
      <c r="A3971" t="inlineStr">
        <is>
          <t>3600542399272</t>
        </is>
      </c>
      <c r="B3971" t="inlineStr">
        <is>
          <t>Garnier Mineral Hyaluronic Care Antiperspirant 72h 150ml W</t>
        </is>
      </c>
      <c r="C3971" t="inlineStr">
        <is>
          <t>Deodorant &amp; Anti-Perspirant</t>
        </is>
      </c>
      <c r="D3971" t="inlineStr">
        <is>
          <t>Garnier</t>
        </is>
      </c>
      <c r="E3971" t="n">
        <v>5.15</v>
      </c>
      <c r="F3971" t="n">
        <v>1</v>
      </c>
      <c r="G3971" t="n">
        <v>5</v>
      </c>
      <c r="H3971" s="5">
        <f>HYPERLINK("https://api.qogita.com/variants/link/3600542399272/", "View Product")</f>
        <v/>
      </c>
    </row>
    <row r="3972">
      <c r="A3972" t="inlineStr">
        <is>
          <t>3600542433303</t>
        </is>
      </c>
      <c r="B3972" t="inlineStr">
        <is>
          <t>Garnier Face Serums and Liquids Ideal for Women</t>
        </is>
      </c>
      <c r="C3972" t="inlineStr">
        <is>
          <t>Hydrating Serum</t>
        </is>
      </c>
      <c r="D3972" t="inlineStr">
        <is>
          <t>Garnier</t>
        </is>
      </c>
      <c r="E3972" t="n">
        <v>10.13</v>
      </c>
      <c r="F3972" t="n">
        <v>1</v>
      </c>
      <c r="G3972" t="n">
        <v>28</v>
      </c>
      <c r="H3972" s="5">
        <f>HYPERLINK("https://api.qogita.com/variants/link/3600542433303/", "View Product")</f>
        <v/>
      </c>
    </row>
    <row r="3973">
      <c r="A3973" t="inlineStr">
        <is>
          <t>3600542467681</t>
        </is>
      </c>
      <c r="B3973" t="inlineStr">
        <is>
          <t>Garnier Skin Naturals Micellar Water Brightening Micellar Water With Vitamin C 400 Ml</t>
        </is>
      </c>
      <c r="C3973" t="inlineStr">
        <is>
          <t>Micellar Water</t>
        </is>
      </c>
      <c r="D3973" t="inlineStr">
        <is>
          <t>Garnier</t>
        </is>
      </c>
      <c r="E3973" t="n">
        <v>8.09</v>
      </c>
      <c r="F3973" t="n">
        <v>1</v>
      </c>
      <c r="G3973" t="n">
        <v>9</v>
      </c>
      <c r="H3973" s="5">
        <f>HYPERLINK("https://api.qogita.com/variants/link/3600542467681/", "View Product")</f>
        <v/>
      </c>
    </row>
    <row r="3974">
      <c r="A3974" t="inlineStr">
        <is>
          <t>3600542512053</t>
        </is>
      </c>
      <c r="B3974" t="inlineStr">
        <is>
          <t>Garnier Botanic Therapy Oat Delicacy Shampoo And Conditioner 400 Ml</t>
        </is>
      </c>
      <c r="C3974" t="inlineStr">
        <is>
          <t>Hair Care Sets</t>
        </is>
      </c>
      <c r="D3974" t="inlineStr">
        <is>
          <t>Garnier</t>
        </is>
      </c>
      <c r="E3974" t="n">
        <v>6.05</v>
      </c>
      <c r="F3974" t="n">
        <v>1</v>
      </c>
      <c r="G3974" t="n">
        <v>37</v>
      </c>
      <c r="H3974" s="5">
        <f>HYPERLINK("https://api.qogita.com/variants/link/3600542512053/", "View Product")</f>
        <v/>
      </c>
    </row>
    <row r="3975">
      <c r="A3975" t="inlineStr">
        <is>
          <t>3600542513067</t>
        </is>
      </c>
      <c r="B3975" t="inlineStr">
        <is>
          <t>Garnier Fructis Hair Food Watermelon Plumping Mask 400 Ml For Fine Hair Without Volume</t>
        </is>
      </c>
      <c r="C3975" t="inlineStr">
        <is>
          <t>Hair Masks</t>
        </is>
      </c>
      <c r="D3975" t="inlineStr">
        <is>
          <t>Garnier</t>
        </is>
      </c>
      <c r="E3975" t="n">
        <v>7.63</v>
      </c>
      <c r="F3975" t="n">
        <v>1</v>
      </c>
      <c r="G3975" t="n">
        <v>2</v>
      </c>
      <c r="H3975" s="5">
        <f>HYPERLINK("https://api.qogita.com/variants/link/3600542513067/", "View Product")</f>
        <v/>
      </c>
    </row>
    <row r="3976">
      <c r="A3976" t="inlineStr">
        <is>
          <t>3600542513098</t>
        </is>
      </c>
      <c r="B3976" t="inlineStr">
        <is>
          <t>Garnier Hydrating Aloe Vera Mask For Normal To Dry Hair 400 Ml</t>
        </is>
      </c>
      <c r="C3976" t="inlineStr">
        <is>
          <t>Hair Masks</t>
        </is>
      </c>
      <c r="D3976" t="inlineStr">
        <is>
          <t>Garnier</t>
        </is>
      </c>
      <c r="E3976" t="n">
        <v>7.63</v>
      </c>
      <c r="F3976" t="n">
        <v>1</v>
      </c>
      <c r="G3976" t="n">
        <v>13</v>
      </c>
      <c r="H3976" s="5">
        <f>HYPERLINK("https://api.qogita.com/variants/link/3600542513098/", "View Product")</f>
        <v/>
      </c>
    </row>
    <row r="3977">
      <c r="A3977" t="inlineStr">
        <is>
          <t>3600542513883</t>
        </is>
      </c>
      <c r="B3977" t="inlineStr">
        <is>
          <t>Garnier Protective Facial Mist Spf 50 Ambre Solaire Super Uv - 75 Ml</t>
        </is>
      </c>
      <c r="C3977" t="inlineStr">
        <is>
          <t>Face Sun Protection</t>
        </is>
      </c>
      <c r="D3977" t="inlineStr">
        <is>
          <t>Garnier</t>
        </is>
      </c>
      <c r="E3977" t="n">
        <v>9.9</v>
      </c>
      <c r="F3977" t="n">
        <v>1</v>
      </c>
      <c r="G3977" t="n">
        <v>36</v>
      </c>
      <c r="H3977" s="5">
        <f>HYPERLINK("https://api.qogita.com/variants/link/3600542513883/", "View Product")</f>
        <v/>
      </c>
    </row>
    <row r="3978">
      <c r="A3978" t="inlineStr">
        <is>
          <t>3600542518376</t>
        </is>
      </c>
      <c r="B3978" t="inlineStr">
        <is>
          <t>Garnier Ambre Solaire Super Uv Serum Spf 50 Day Serum Against Uv Radiation 30 Ml</t>
        </is>
      </c>
      <c r="C3978" t="inlineStr">
        <is>
          <t>Face Sun Protection</t>
        </is>
      </c>
      <c r="D3978" t="inlineStr">
        <is>
          <t>Garnier</t>
        </is>
      </c>
      <c r="E3978" t="n">
        <v>11.63</v>
      </c>
      <c r="F3978" t="n">
        <v>1</v>
      </c>
      <c r="G3978" t="n">
        <v>13</v>
      </c>
      <c r="H3978" s="5">
        <f>HYPERLINK("https://api.qogita.com/variants/link/3600542518376/", "View Product")</f>
        <v/>
      </c>
    </row>
    <row r="3979">
      <c r="A3979" t="inlineStr">
        <is>
          <t>3600542522731</t>
        </is>
      </c>
      <c r="B3979" t="inlineStr">
        <is>
          <t>Garnier Fructis Antidandruff Cleansing Shampoo For All Hair Types With Dandruff Reoxygen Shampoo</t>
        </is>
      </c>
      <c r="C3979" t="inlineStr">
        <is>
          <t>Shampoo</t>
        </is>
      </c>
      <c r="D3979" t="inlineStr">
        <is>
          <t>Garnier</t>
        </is>
      </c>
      <c r="E3979" t="n">
        <v>6.05</v>
      </c>
      <c r="F3979" t="n">
        <v>1</v>
      </c>
      <c r="G3979" t="n">
        <v>4</v>
      </c>
      <c r="H3979" s="5">
        <f>HYPERLINK("https://api.qogita.com/variants/link/3600542522731/", "View Product")</f>
        <v/>
      </c>
    </row>
    <row r="3980">
      <c r="A3980" t="inlineStr">
        <is>
          <t>3600542541503</t>
        </is>
      </c>
      <c r="B3980" t="inlineStr">
        <is>
          <t>Garnier Brightening Serum Cream With Vitamin C 50 Ml Spf 25</t>
        </is>
      </c>
      <c r="C3980" t="inlineStr">
        <is>
          <t>Day Cream</t>
        </is>
      </c>
      <c r="D3980" t="inlineStr">
        <is>
          <t>Garnier</t>
        </is>
      </c>
      <c r="E3980" t="n">
        <v>10.97</v>
      </c>
      <c r="F3980" t="n">
        <v>1</v>
      </c>
      <c r="G3980" t="n">
        <v>29</v>
      </c>
      <c r="H3980" s="5">
        <f>HYPERLINK("https://api.qogita.com/variants/link/3600542541503/", "View Product")</f>
        <v/>
      </c>
    </row>
    <row r="3981">
      <c r="A3981" t="inlineStr">
        <is>
          <t>3600542571364</t>
        </is>
      </c>
      <c r="B3981" t="inlineStr">
        <is>
          <t>Garnier Fructis Method For Curls Pre-Shampoo For Curly Hair - 200 Ml</t>
        </is>
      </c>
      <c r="C3981" t="inlineStr">
        <is>
          <t>Shampoo</t>
        </is>
      </c>
      <c r="D3981" t="inlineStr">
        <is>
          <t>Garnier</t>
        </is>
      </c>
      <c r="E3981" t="n">
        <v>7.58</v>
      </c>
      <c r="F3981" t="n">
        <v>1</v>
      </c>
      <c r="G3981" t="n">
        <v>9</v>
      </c>
      <c r="H3981" s="5">
        <f>HYPERLINK("https://api.qogita.com/variants/link/3600542571364/", "View Product")</f>
        <v/>
      </c>
    </row>
    <row r="3982">
      <c r="A3982" t="inlineStr">
        <is>
          <t>3600542596671</t>
        </is>
      </c>
      <c r="B3982" t="inlineStr">
        <is>
          <t>Garnier Fructis Strength &amp; Shine Fortifying Conditioner 200ml</t>
        </is>
      </c>
      <c r="C3982" t="inlineStr">
        <is>
          <t>Conditioner</t>
        </is>
      </c>
      <c r="D3982" t="inlineStr">
        <is>
          <t>Garnier</t>
        </is>
      </c>
      <c r="E3982" t="n">
        <v>4.99</v>
      </c>
      <c r="F3982" t="n">
        <v>1</v>
      </c>
      <c r="G3982" t="n">
        <v>15</v>
      </c>
      <c r="H3982" s="5">
        <f>HYPERLINK("https://api.qogita.com/variants/link/3600542596671/", "View Product")</f>
        <v/>
      </c>
    </row>
    <row r="3983">
      <c r="A3983" t="inlineStr">
        <is>
          <t>3600542601580</t>
        </is>
      </c>
      <c r="B3983" t="inlineStr">
        <is>
          <t>Garnier Color Naturals Creme 100 Ml</t>
        </is>
      </c>
      <c r="C3983" t="inlineStr">
        <is>
          <t>Hair Dye</t>
        </is>
      </c>
      <c r="D3983" t="inlineStr">
        <is>
          <t>Garnier</t>
        </is>
      </c>
      <c r="E3983" t="n">
        <v>4.39</v>
      </c>
      <c r="F3983" t="n">
        <v>1</v>
      </c>
      <c r="G3983" t="n">
        <v>2</v>
      </c>
      <c r="H3983" s="5">
        <f>HYPERLINK("https://api.qogita.com/variants/link/3600542601580/", "View Product")</f>
        <v/>
      </c>
    </row>
    <row r="3984">
      <c r="A3984" t="inlineStr">
        <is>
          <t>3600550304794</t>
        </is>
      </c>
      <c r="B3984" t="inlineStr">
        <is>
          <t>Mixa Intense Nourishment Hand Cream 100ml</t>
        </is>
      </c>
      <c r="C3984" t="inlineStr">
        <is>
          <t>Hand Cream</t>
        </is>
      </c>
      <c r="D3984" t="inlineStr">
        <is>
          <t>Mixa</t>
        </is>
      </c>
      <c r="E3984" t="n">
        <v>4.97</v>
      </c>
      <c r="F3984" t="n">
        <v>1</v>
      </c>
      <c r="G3984" t="n">
        <v>5</v>
      </c>
      <c r="H3984" s="5">
        <f>HYPERLINK("https://api.qogita.com/variants/link/3600550304794/", "View Product")</f>
        <v/>
      </c>
    </row>
    <row r="3985">
      <c r="A3985" t="inlineStr">
        <is>
          <t>3600550305036</t>
        </is>
      </c>
      <c r="B3985" t="inlineStr">
        <is>
          <t>Mixa Optimal Tolerance Bi-Phase Cleanser 125ml Eye Makeup Remover</t>
        </is>
      </c>
      <c r="C3985" t="inlineStr">
        <is>
          <t>Makeup Remover</t>
        </is>
      </c>
      <c r="D3985" t="inlineStr">
        <is>
          <t>Mixa</t>
        </is>
      </c>
      <c r="E3985" t="n">
        <v>6.22</v>
      </c>
      <c r="F3985" t="n">
        <v>1</v>
      </c>
      <c r="G3985" t="n">
        <v>84</v>
      </c>
      <c r="H3985" s="5">
        <f>HYPERLINK("https://api.qogita.com/variants/link/3600550305036/", "View Product")</f>
        <v/>
      </c>
    </row>
    <row r="3986">
      <c r="A3986" t="inlineStr">
        <is>
          <t>3600550305197</t>
        </is>
      </c>
      <c r="B3986" t="inlineStr">
        <is>
          <t>Mixa Repairing Body Balm Surgras For Dry Skin 400 Ml Regenerating And Moisturizing Body Milk</t>
        </is>
      </c>
      <c r="C3986" t="inlineStr">
        <is>
          <t>Body Lotion</t>
        </is>
      </c>
      <c r="D3986" t="inlineStr">
        <is>
          <t>Mixa</t>
        </is>
      </c>
      <c r="E3986" t="n">
        <v>9.02</v>
      </c>
      <c r="F3986" t="n">
        <v>1</v>
      </c>
      <c r="G3986" t="n">
        <v>31</v>
      </c>
      <c r="H3986" s="5">
        <f>HYPERLINK("https://api.qogita.com/variants/link/3600550305197/", "View Product")</f>
        <v/>
      </c>
    </row>
    <row r="3987">
      <c r="A3987" t="inlineStr">
        <is>
          <t>3600550311372</t>
        </is>
      </c>
      <c r="B3987" t="inlineStr">
        <is>
          <t>Gloria Vanderbilt Vanderbilt Body Lotion Classic Tube 100ml</t>
        </is>
      </c>
      <c r="C3987" t="inlineStr">
        <is>
          <t>Body Lotion</t>
        </is>
      </c>
      <c r="D3987" t="inlineStr">
        <is>
          <t>Gloria Vanderbilt</t>
        </is>
      </c>
      <c r="E3987" t="n">
        <v>4.4</v>
      </c>
      <c r="F3987" t="n">
        <v>1</v>
      </c>
      <c r="G3987" t="n">
        <v>14</v>
      </c>
      <c r="H3987" s="5">
        <f>HYPERLINK("https://api.qogita.com/variants/link/3600550311372/", "View Product")</f>
        <v/>
      </c>
    </row>
    <row r="3988">
      <c r="A3988" t="inlineStr">
        <is>
          <t>3600550807417</t>
        </is>
      </c>
      <c r="B3988" t="inlineStr">
        <is>
          <t>Cleansing Gel 200ml</t>
        </is>
      </c>
      <c r="C3988" t="inlineStr">
        <is>
          <t>Cleansing Gel</t>
        </is>
      </c>
      <c r="D3988" t="inlineStr">
        <is>
          <t>Mixa</t>
        </is>
      </c>
      <c r="E3988" t="n">
        <v>6.5</v>
      </c>
      <c r="F3988" t="n">
        <v>1</v>
      </c>
      <c r="G3988" t="n">
        <v>18</v>
      </c>
      <c r="H3988" s="5">
        <f>HYPERLINK("https://api.qogita.com/variants/link/3600550807417/", "View Product")</f>
        <v/>
      </c>
    </row>
    <row r="3989">
      <c r="A3989" t="inlineStr">
        <is>
          <t>3600551124902</t>
        </is>
      </c>
      <c r="B3989" t="inlineStr">
        <is>
          <t>Gloria Vanderbilt Vanderbilt In Red Eau De Parfum 100ml Spray</t>
        </is>
      </c>
      <c r="C3989" t="inlineStr">
        <is>
          <t>Eau De Parfum</t>
        </is>
      </c>
      <c r="D3989" t="inlineStr">
        <is>
          <t>Gloria Vanderbilt</t>
        </is>
      </c>
      <c r="E3989" t="n">
        <v>7.74</v>
      </c>
      <c r="F3989" t="n">
        <v>1</v>
      </c>
      <c r="G3989" t="n">
        <v>3</v>
      </c>
      <c r="H3989" s="5">
        <f>HYPERLINK("https://api.qogita.com/variants/link/3600551124902/", "View Product")</f>
        <v/>
      </c>
    </row>
    <row r="3990">
      <c r="A3990" t="inlineStr">
        <is>
          <t>3600551154534</t>
        </is>
      </c>
      <c r="B3990" t="inlineStr">
        <is>
          <t>Mixa Panthenol Comfort Restoring Cream For Atopy-Prone Skin - 150 Ml</t>
        </is>
      </c>
      <c r="C3990" t="inlineStr">
        <is>
          <t>Face Cream</t>
        </is>
      </c>
      <c r="D3990" t="inlineStr">
        <is>
          <t>Mixa</t>
        </is>
      </c>
      <c r="E3990" t="n">
        <v>6.17</v>
      </c>
      <c r="F3990" t="n">
        <v>1</v>
      </c>
      <c r="G3990" t="n">
        <v>31</v>
      </c>
      <c r="H3990" s="5">
        <f>HYPERLINK("https://api.qogita.com/variants/link/3600551154534/", "View Product")</f>
        <v/>
      </c>
    </row>
    <row r="3991">
      <c r="A3991" t="inlineStr">
        <is>
          <t>3605520380310</t>
        </is>
      </c>
      <c r="B3991" t="inlineStr">
        <is>
          <t>Giorgio Armani Diamonds Woman Eau De Parfum Spray 100ml</t>
        </is>
      </c>
      <c r="C3991" t="inlineStr">
        <is>
          <t>Eau De Parfum</t>
        </is>
      </c>
      <c r="D3991" t="inlineStr">
        <is>
          <t>Giorgio Armani</t>
        </is>
      </c>
      <c r="E3991" t="n">
        <v>61.76</v>
      </c>
      <c r="F3991" t="n">
        <v>1</v>
      </c>
      <c r="G3991" t="n">
        <v>2</v>
      </c>
      <c r="H3991" s="5">
        <f>HYPERLINK("https://api.qogita.com/variants/link/3605520380310/", "View Product")</f>
        <v/>
      </c>
    </row>
    <row r="3992">
      <c r="A3992" t="inlineStr">
        <is>
          <t>3605520381034</t>
        </is>
      </c>
      <c r="B3992" t="inlineStr">
        <is>
          <t>Giorgio Armani Diamonds For Men Eau De Toilette Spray 50ml</t>
        </is>
      </c>
      <c r="C3992" t="inlineStr">
        <is>
          <t>Eau De Toilette</t>
        </is>
      </c>
      <c r="D3992" t="inlineStr">
        <is>
          <t>Giorgio Armani</t>
        </is>
      </c>
      <c r="E3992" t="n">
        <v>35.6</v>
      </c>
      <c r="F3992" t="n">
        <v>1</v>
      </c>
      <c r="G3992" t="n">
        <v>54</v>
      </c>
      <c r="H3992" s="5">
        <f>HYPERLINK("https://api.qogita.com/variants/link/3605520381034/", "View Product")</f>
        <v/>
      </c>
    </row>
    <row r="3993">
      <c r="A3993" t="inlineStr">
        <is>
          <t>3605520385568</t>
        </is>
      </c>
      <c r="B3993" t="inlineStr">
        <is>
          <t>Diesel Fuel For Life For Woman Eau De Parfum Spray 50ml</t>
        </is>
      </c>
      <c r="C3993" t="inlineStr">
        <is>
          <t>Eau De Parfum</t>
        </is>
      </c>
      <c r="D3993" t="inlineStr">
        <is>
          <t>Diesel</t>
        </is>
      </c>
      <c r="E3993" t="n">
        <v>16.95</v>
      </c>
      <c r="F3993" t="n">
        <v>1</v>
      </c>
      <c r="G3993" t="n">
        <v>15</v>
      </c>
      <c r="H3993" s="5">
        <f>HYPERLINK("https://api.qogita.com/variants/link/3605520385568/", "View Product")</f>
        <v/>
      </c>
    </row>
    <row r="3994">
      <c r="A3994" t="inlineStr">
        <is>
          <t>3605521132437</t>
        </is>
      </c>
      <c r="B3994" t="inlineStr">
        <is>
          <t>Diesel Loverdose Eau De Parfum Spray 50ml</t>
        </is>
      </c>
      <c r="C3994" t="inlineStr">
        <is>
          <t>Eau De Parfum</t>
        </is>
      </c>
      <c r="D3994" t="inlineStr">
        <is>
          <t>Diesel</t>
        </is>
      </c>
      <c r="E3994" t="n">
        <v>30.02</v>
      </c>
      <c r="F3994" t="n">
        <v>1</v>
      </c>
      <c r="G3994" t="n">
        <v>8</v>
      </c>
      <c r="H3994" s="5">
        <f>HYPERLINK("https://api.qogita.com/variants/link/3605521132437/", "View Product")</f>
        <v/>
      </c>
    </row>
    <row r="3995">
      <c r="A3995" t="inlineStr">
        <is>
          <t>3605521172525</t>
        </is>
      </c>
      <c r="B3995" t="inlineStr">
        <is>
          <t>Giorgio Armani Acqua Di Gioia EDP Spray for Women</t>
        </is>
      </c>
      <c r="C3995" t="inlineStr">
        <is>
          <t>Eau De Parfum</t>
        </is>
      </c>
      <c r="D3995" t="inlineStr">
        <is>
          <t>Armani Beauty</t>
        </is>
      </c>
      <c r="E3995" t="n">
        <v>76.14</v>
      </c>
      <c r="F3995" t="n">
        <v>1</v>
      </c>
      <c r="G3995" t="n">
        <v>9</v>
      </c>
      <c r="H3995" s="5">
        <f>HYPERLINK("https://api.qogita.com/variants/link/3605521172525/", "View Product")</f>
        <v/>
      </c>
    </row>
    <row r="3996">
      <c r="A3996" t="inlineStr">
        <is>
          <t>3605521291042</t>
        </is>
      </c>
      <c r="B3996" t="inlineStr">
        <is>
          <t>Helena Rubinstein Lash Queen Sexy Blacks Mascara 01 Scandalous Black 69 Ml</t>
        </is>
      </c>
      <c r="C3996" t="inlineStr">
        <is>
          <t>Mascara</t>
        </is>
      </c>
      <c r="D3996" t="inlineStr">
        <is>
          <t>Helena Rubinstein</t>
        </is>
      </c>
      <c r="E3996" t="n">
        <v>35.13</v>
      </c>
      <c r="F3996" t="n">
        <v>1</v>
      </c>
      <c r="G3996" t="n">
        <v>64</v>
      </c>
      <c r="H3996" s="5">
        <f>HYPERLINK("https://api.qogita.com/variants/link/3605521291042/", "View Product")</f>
        <v/>
      </c>
    </row>
    <row r="3997">
      <c r="A3997" t="inlineStr">
        <is>
          <t>3605521403735</t>
        </is>
      </c>
      <c r="B3997" t="inlineStr">
        <is>
          <t>Giorgio Armani Luminous Silk Foundation 30ml #4.75 BNIB</t>
        </is>
      </c>
      <c r="C3997" t="inlineStr">
        <is>
          <t>Foundation</t>
        </is>
      </c>
      <c r="D3997" t="inlineStr">
        <is>
          <t>Giorgio Armani</t>
        </is>
      </c>
      <c r="E3997" t="n">
        <v>44.58</v>
      </c>
      <c r="F3997" t="n">
        <v>1</v>
      </c>
      <c r="G3997" t="n">
        <v>9</v>
      </c>
      <c r="H3997" s="5">
        <f>HYPERLINK("https://api.qogita.com/variants/link/3605521403735/", "View Product")</f>
        <v/>
      </c>
    </row>
    <row r="3998">
      <c r="A3998" t="inlineStr">
        <is>
          <t>3605521405418</t>
        </is>
      </c>
      <c r="B3998" t="inlineStr">
        <is>
          <t>Helena Rubinstein Lash Queen Fatal Blacks Waterproof Mascara 72 Ml 01 Black</t>
        </is>
      </c>
      <c r="C3998" t="inlineStr">
        <is>
          <t>Mascara</t>
        </is>
      </c>
      <c r="D3998" t="inlineStr">
        <is>
          <t>Helena Rubinstein</t>
        </is>
      </c>
      <c r="E3998" t="n">
        <v>34.83</v>
      </c>
      <c r="F3998" t="n">
        <v>1</v>
      </c>
      <c r="G3998" t="n">
        <v>32</v>
      </c>
      <c r="H3998" s="5">
        <f>HYPERLINK("https://api.qogita.com/variants/link/3605521405418/", "View Product")</f>
        <v/>
      </c>
    </row>
    <row r="3999">
      <c r="A3999" t="inlineStr">
        <is>
          <t>3605521695178</t>
        </is>
      </c>
      <c r="B3999" t="inlineStr">
        <is>
          <t>Giorgio Armani Armani Eau De Nuit Pour Homme Eau De Toilette Spray 100ml</t>
        </is>
      </c>
      <c r="C3999" t="inlineStr">
        <is>
          <t>Eau De Toilette</t>
        </is>
      </c>
      <c r="D3999" t="inlineStr">
        <is>
          <t>Giorgio Armani</t>
        </is>
      </c>
      <c r="E3999" t="n">
        <v>77.81</v>
      </c>
      <c r="F3999" t="n">
        <v>1</v>
      </c>
      <c r="G3999" t="n">
        <v>6</v>
      </c>
      <c r="H3999" s="5">
        <f>HYPERLINK("https://api.qogita.com/variants/link/3605521695178/", "View Product")</f>
        <v/>
      </c>
    </row>
    <row r="4000">
      <c r="A4000" t="inlineStr">
        <is>
          <t>3605521752437</t>
        </is>
      </c>
      <c r="B4000" t="inlineStr">
        <is>
          <t>Armani Luminous Silk Foundation 30 Ml 425</t>
        </is>
      </c>
      <c r="C4000" t="inlineStr">
        <is>
          <t>Foundation</t>
        </is>
      </c>
      <c r="D4000" t="inlineStr">
        <is>
          <t>Armani</t>
        </is>
      </c>
      <c r="E4000" t="n">
        <v>44.58</v>
      </c>
      <c r="F4000" t="n">
        <v>1</v>
      </c>
      <c r="G4000" t="n">
        <v>23</v>
      </c>
      <c r="H4000" s="5">
        <f>HYPERLINK("https://api.qogita.com/variants/link/3605521752437/", "View Product")</f>
        <v/>
      </c>
    </row>
    <row r="4001">
      <c r="A4001" t="inlineStr">
        <is>
          <t>3605521869869</t>
        </is>
      </c>
      <c r="B4001" t="inlineStr">
        <is>
          <t>Cacharel Anaïs Anaïs Premier Délice Women's Perfume Eau de Toilette 30ml</t>
        </is>
      </c>
      <c r="C4001" t="inlineStr">
        <is>
          <t>Eau De Toilette</t>
        </is>
      </c>
      <c r="D4001" t="inlineStr">
        <is>
          <t>Cacharel</t>
        </is>
      </c>
      <c r="E4001" t="n">
        <v>13.33</v>
      </c>
      <c r="F4001" t="n">
        <v>1</v>
      </c>
      <c r="G4001" t="n">
        <v>8</v>
      </c>
      <c r="H4001" s="5">
        <f>HYPERLINK("https://api.qogita.com/variants/link/3605521869869/", "View Product")</f>
        <v/>
      </c>
    </row>
    <row r="4002">
      <c r="A4002" t="inlineStr">
        <is>
          <t>3605522041486</t>
        </is>
      </c>
      <c r="B4002" t="inlineStr">
        <is>
          <t>Giorgio Armani Because It's You Eau De Parfum 100ml</t>
        </is>
      </c>
      <c r="C4002" t="inlineStr">
        <is>
          <t>Eau De Parfum</t>
        </is>
      </c>
      <c r="D4002" t="inlineStr">
        <is>
          <t>Giorgio Armani</t>
        </is>
      </c>
      <c r="E4002" t="n">
        <v>48.21</v>
      </c>
      <c r="F4002" t="n">
        <v>1</v>
      </c>
      <c r="G4002" t="n">
        <v>13</v>
      </c>
      <c r="H4002" s="5">
        <f>HYPERLINK("https://api.qogita.com/variants/link/3605522041486/", "View Product")</f>
        <v/>
      </c>
    </row>
    <row r="4003">
      <c r="A4003" t="inlineStr">
        <is>
          <t>3605532533919</t>
        </is>
      </c>
      <c r="B4003" t="inlineStr">
        <is>
          <t>Lancme Hydra Zen Neurocalm Night Cream 50 Ml</t>
        </is>
      </c>
      <c r="C4003" t="inlineStr">
        <is>
          <t>Night Cream</t>
        </is>
      </c>
      <c r="D4003" t="inlineStr">
        <is>
          <t>Lancôme</t>
        </is>
      </c>
      <c r="E4003" t="n">
        <v>58.2</v>
      </c>
      <c r="F4003" t="n">
        <v>1</v>
      </c>
      <c r="G4003" t="n">
        <v>6</v>
      </c>
      <c r="H4003" s="5">
        <f>HYPERLINK("https://api.qogita.com/variants/link/3605532533919/", "View Product")</f>
        <v/>
      </c>
    </row>
    <row r="4004">
      <c r="A4004" t="inlineStr">
        <is>
          <t>3605532561783</t>
        </is>
      </c>
      <c r="B4004" t="inlineStr">
        <is>
          <t>Lancome Hypnose Doll Eyes Mascara 01 So Black 6.5ml</t>
        </is>
      </c>
      <c r="C4004" t="inlineStr">
        <is>
          <t>Mascara</t>
        </is>
      </c>
      <c r="D4004" t="inlineStr">
        <is>
          <t>Lancôme</t>
        </is>
      </c>
      <c r="E4004" t="n">
        <v>27.65</v>
      </c>
      <c r="F4004" t="n">
        <v>1</v>
      </c>
      <c r="G4004" t="n">
        <v>5</v>
      </c>
      <c r="H4004" s="5">
        <f>HYPERLINK("https://api.qogita.com/variants/link/3605532561783/", "View Product")</f>
        <v/>
      </c>
    </row>
    <row r="4005">
      <c r="A4005" t="inlineStr">
        <is>
          <t>3605532612690</t>
        </is>
      </c>
      <c r="B4005" t="inlineStr">
        <is>
          <t>Lancme La Vie Est Belle Eau De Parfum Spray 30ml</t>
        </is>
      </c>
      <c r="C4005" t="inlineStr">
        <is>
          <t>Eau De Parfum</t>
        </is>
      </c>
      <c r="D4005" t="inlineStr">
        <is>
          <t>Lancôme</t>
        </is>
      </c>
      <c r="E4005" t="n">
        <v>43.6</v>
      </c>
      <c r="F4005" t="n">
        <v>1</v>
      </c>
      <c r="G4005" t="n">
        <v>67</v>
      </c>
      <c r="H4005" s="5">
        <f>HYPERLINK("https://api.qogita.com/variants/link/3605532612690/", "View Product")</f>
        <v/>
      </c>
    </row>
    <row r="4006">
      <c r="A4006" t="inlineStr">
        <is>
          <t>3605532612836</t>
        </is>
      </c>
      <c r="B4006" t="inlineStr">
        <is>
          <t>Lancme La Vie Est Belle Eau De Parfum 75ml</t>
        </is>
      </c>
      <c r="C4006" t="inlineStr">
        <is>
          <t>Eau De Parfum</t>
        </is>
      </c>
      <c r="D4006" t="inlineStr">
        <is>
          <t>Lancôme</t>
        </is>
      </c>
      <c r="E4006" t="n">
        <v>71.05</v>
      </c>
      <c r="F4006" t="n">
        <v>1</v>
      </c>
      <c r="G4006" t="n">
        <v>5</v>
      </c>
      <c r="H4006" s="5">
        <f>HYPERLINK("https://api.qogita.com/variants/link/3605532612836/", "View Product")</f>
        <v/>
      </c>
    </row>
    <row r="4007">
      <c r="A4007" t="inlineStr">
        <is>
          <t>3605533330265</t>
        </is>
      </c>
      <c r="B4007" t="inlineStr">
        <is>
          <t>Lancme Ombre Hypnose Stylo 03 Taupe Quartz Cream Eyeshadow 14g For Women</t>
        </is>
      </c>
      <c r="C4007" t="inlineStr">
        <is>
          <t>Eyeshadow</t>
        </is>
      </c>
      <c r="D4007" t="inlineStr">
        <is>
          <t>Lancôme</t>
        </is>
      </c>
      <c r="E4007" t="n">
        <v>26.63</v>
      </c>
      <c r="F4007" t="n">
        <v>1</v>
      </c>
      <c r="G4007" t="n">
        <v>23</v>
      </c>
      <c r="H4007" s="5">
        <f>HYPERLINK("https://api.qogita.com/variants/link/3605533330265/", "View Product")</f>
        <v/>
      </c>
    </row>
    <row r="4008">
      <c r="A4008" t="inlineStr">
        <is>
          <t>3605540501214</t>
        </is>
      </c>
      <c r="B4008" t="inlineStr">
        <is>
          <t>Biotherm Lait Corporel Lait De Douche 200ml Moisturizing Shower Cleansing Milk</t>
        </is>
      </c>
      <c r="C4008" t="inlineStr">
        <is>
          <t>Shower Gel</t>
        </is>
      </c>
      <c r="D4008" t="inlineStr">
        <is>
          <t>Biotherm</t>
        </is>
      </c>
      <c r="E4008" t="n">
        <v>15.64</v>
      </c>
      <c r="F4008" t="n">
        <v>1</v>
      </c>
      <c r="G4008" t="n">
        <v>2</v>
      </c>
      <c r="H4008" s="5">
        <f>HYPERLINK("https://api.qogita.com/variants/link/3605540501214/", "View Product")</f>
        <v/>
      </c>
    </row>
    <row r="4009">
      <c r="A4009" t="inlineStr">
        <is>
          <t>3605540783023</t>
        </is>
      </c>
      <c r="B4009" t="inlineStr">
        <is>
          <t>Biotherm Homme Day Control Deodorant Rollon 72h 75ml</t>
        </is>
      </c>
      <c r="C4009" t="inlineStr">
        <is>
          <t>Deodorant &amp; Anti-Perspirant</t>
        </is>
      </c>
      <c r="D4009" t="inlineStr">
        <is>
          <t>Biotherm</t>
        </is>
      </c>
      <c r="E4009" t="n">
        <v>16.46</v>
      </c>
      <c r="F4009" t="n">
        <v>1</v>
      </c>
      <c r="G4009" t="n">
        <v>5</v>
      </c>
      <c r="H4009" s="5">
        <f>HYPERLINK("https://api.qogita.com/variants/link/3605540783023/", "View Product")</f>
        <v/>
      </c>
    </row>
    <row r="4010">
      <c r="A4010" t="inlineStr">
        <is>
          <t>3605540856635</t>
        </is>
      </c>
      <c r="B4010" t="inlineStr">
        <is>
          <t>Biotherm Deodorant Pure Invisible 48h Rollon 75ml</t>
        </is>
      </c>
      <c r="C4010" t="inlineStr">
        <is>
          <t>Deodorant &amp; Anti-Perspirant</t>
        </is>
      </c>
      <c r="D4010" t="inlineStr">
        <is>
          <t>Biotherm</t>
        </is>
      </c>
      <c r="E4010" t="n">
        <v>15.96</v>
      </c>
      <c r="F4010" t="n">
        <v>1</v>
      </c>
      <c r="G4010" t="n">
        <v>45</v>
      </c>
      <c r="H4010" s="5">
        <f>HYPERLINK("https://api.qogita.com/variants/link/3605540856635/", "View Product")</f>
        <v/>
      </c>
    </row>
    <row r="4011">
      <c r="A4011" t="inlineStr">
        <is>
          <t>3605971512575</t>
        </is>
      </c>
      <c r="B4011" t="inlineStr">
        <is>
          <t>Ralph Lauren Ralph's Club Eau De Parfum Spray 100ml</t>
        </is>
      </c>
      <c r="C4011" t="inlineStr">
        <is>
          <t>Eau De Parfum</t>
        </is>
      </c>
      <c r="D4011" t="inlineStr">
        <is>
          <t>Ralph Lauren</t>
        </is>
      </c>
      <c r="E4011" t="n">
        <v>54.97</v>
      </c>
      <c r="F4011" t="n">
        <v>1</v>
      </c>
      <c r="G4011" t="n">
        <v>39</v>
      </c>
      <c r="H4011" s="5">
        <f>HYPERLINK("https://api.qogita.com/variants/link/3605971512575/", "View Product")</f>
        <v/>
      </c>
    </row>
    <row r="4012">
      <c r="A4012" t="inlineStr">
        <is>
          <t>3605971671012</t>
        </is>
      </c>
      <c r="B4012" t="inlineStr">
        <is>
          <t>Ralph Lauren Red Rush Eau De Toilette Spray 40ml</t>
        </is>
      </c>
      <c r="C4012" t="inlineStr">
        <is>
          <t>Eau De Toilette</t>
        </is>
      </c>
      <c r="D4012" t="inlineStr">
        <is>
          <t>Ralph Lauren</t>
        </is>
      </c>
      <c r="E4012" t="n">
        <v>25.45</v>
      </c>
      <c r="F4012" t="n">
        <v>1</v>
      </c>
      <c r="G4012" t="n">
        <v>2</v>
      </c>
      <c r="H4012" s="5">
        <f>HYPERLINK("https://api.qogita.com/variants/link/3605971671012/", "View Product")</f>
        <v/>
      </c>
    </row>
    <row r="4013">
      <c r="A4013" t="inlineStr">
        <is>
          <t>3605972130440</t>
        </is>
      </c>
      <c r="B4013" t="inlineStr">
        <is>
          <t>Ralph Lauren Big Pony Collection 1 Blue Eau De Toilette 50 Ml For Men</t>
        </is>
      </c>
      <c r="C4013" t="inlineStr">
        <is>
          <t>Eau De Toilette</t>
        </is>
      </c>
      <c r="D4013" t="inlineStr">
        <is>
          <t>Ralph Lauren</t>
        </is>
      </c>
      <c r="E4013" t="n">
        <v>18.67</v>
      </c>
      <c r="F4013" t="n">
        <v>1</v>
      </c>
      <c r="G4013" t="n">
        <v>122</v>
      </c>
      <c r="H4013" s="5">
        <f>HYPERLINK("https://api.qogita.com/variants/link/3605972130440/", "View Product")</f>
        <v/>
      </c>
    </row>
    <row r="4014">
      <c r="A4014" t="inlineStr">
        <is>
          <t>3605972136367</t>
        </is>
      </c>
      <c r="B4014" t="inlineStr">
        <is>
          <t>Ralph Lauren Polo Red Remix Eau De Toilette Spray 125ml</t>
        </is>
      </c>
      <c r="C4014" t="inlineStr">
        <is>
          <t>Eau De Toilette</t>
        </is>
      </c>
      <c r="D4014" t="inlineStr">
        <is>
          <t>Ralph Lauren</t>
        </is>
      </c>
      <c r="E4014" t="n">
        <v>52.83</v>
      </c>
      <c r="F4014" t="n">
        <v>1</v>
      </c>
      <c r="G4014" t="n">
        <v>3</v>
      </c>
      <c r="H4014" s="5">
        <f>HYPERLINK("https://api.qogita.com/variants/link/3605972136367/", "View Product")</f>
        <v/>
      </c>
    </row>
    <row r="4015">
      <c r="A4015" t="inlineStr">
        <is>
          <t>3605972230560</t>
        </is>
      </c>
      <c r="B4015" t="inlineStr">
        <is>
          <t>Ralph Lauren Polo Deep Blue Parfum 75ml Men Spray</t>
        </is>
      </c>
      <c r="C4015" t="inlineStr">
        <is>
          <t>Eau De Parfum</t>
        </is>
      </c>
      <c r="D4015" t="inlineStr">
        <is>
          <t>Ralph Lauren</t>
        </is>
      </c>
      <c r="E4015" t="n">
        <v>31.71</v>
      </c>
      <c r="F4015" t="n">
        <v>1</v>
      </c>
      <c r="G4015" t="n">
        <v>30</v>
      </c>
      <c r="H4015" s="5">
        <f>HYPERLINK("https://api.qogita.com/variants/link/3605972230560/", "View Product")</f>
        <v/>
      </c>
    </row>
    <row r="4016">
      <c r="A4016" t="inlineStr">
        <is>
          <t>3605972230645</t>
        </is>
      </c>
      <c r="B4016" t="inlineStr">
        <is>
          <t>Ralph Lauren Polo Deep Blue Parfum 40ml For Men</t>
        </is>
      </c>
      <c r="C4016" t="inlineStr">
        <is>
          <t>Eau De Parfum</t>
        </is>
      </c>
      <c r="D4016" t="inlineStr">
        <is>
          <t>Ralph Lauren</t>
        </is>
      </c>
      <c r="E4016" t="n">
        <v>23.64</v>
      </c>
      <c r="F4016" t="n">
        <v>1</v>
      </c>
      <c r="G4016" t="n">
        <v>56</v>
      </c>
      <c r="H4016" s="5">
        <f>HYPERLINK("https://api.qogita.com/variants/link/3605972230645/", "View Product")</f>
        <v/>
      </c>
    </row>
    <row r="4017">
      <c r="A4017" t="inlineStr">
        <is>
          <t>3605972258960</t>
        </is>
      </c>
      <c r="B4017" t="inlineStr">
        <is>
          <t>Urban Decay Stay Naked Hydromaniac Tinted Glow Foundation Buildable Medium Coverage Vegan Formula Shade 80 35ml</t>
        </is>
      </c>
      <c r="C4017" t="inlineStr">
        <is>
          <t>Foundation</t>
        </is>
      </c>
      <c r="D4017" t="inlineStr">
        <is>
          <t>Urban Decay</t>
        </is>
      </c>
      <c r="E4017" t="n">
        <v>6.35</v>
      </c>
      <c r="F4017" t="n">
        <v>1</v>
      </c>
      <c r="G4017" t="n">
        <v>5</v>
      </c>
      <c r="H4017" s="5">
        <f>HYPERLINK("https://api.qogita.com/variants/link/3605972258960/", "View Product")</f>
        <v/>
      </c>
    </row>
    <row r="4018">
      <c r="A4018" t="inlineStr">
        <is>
          <t>3605972321794</t>
        </is>
      </c>
      <c r="B4018" t="inlineStr">
        <is>
          <t>Ralph Lauren Polo Red Eau De Parfum Spray 125ml</t>
        </is>
      </c>
      <c r="C4018" t="inlineStr">
        <is>
          <t>Eau De Parfum</t>
        </is>
      </c>
      <c r="D4018" t="inlineStr">
        <is>
          <t>Ralph Lauren</t>
        </is>
      </c>
      <c r="E4018" t="n">
        <v>39.39</v>
      </c>
      <c r="F4018" t="n">
        <v>1</v>
      </c>
      <c r="G4018" t="n">
        <v>7</v>
      </c>
      <c r="H4018" s="5">
        <f>HYPERLINK("https://api.qogita.com/variants/link/3605972321794/", "View Product")</f>
        <v/>
      </c>
    </row>
    <row r="4019">
      <c r="A4019" t="inlineStr">
        <is>
          <t>3605972331663</t>
        </is>
      </c>
      <c r="B4019" t="inlineStr">
        <is>
          <t>Ralph Lauren Polo Red Eau De Parfum Spray 200ml</t>
        </is>
      </c>
      <c r="C4019" t="inlineStr">
        <is>
          <t>Eau De Parfum</t>
        </is>
      </c>
      <c r="D4019" t="inlineStr">
        <is>
          <t>Ralph Lauren</t>
        </is>
      </c>
      <c r="E4019" t="n">
        <v>53.1</v>
      </c>
      <c r="F4019" t="n">
        <v>1</v>
      </c>
      <c r="G4019" t="n">
        <v>2</v>
      </c>
      <c r="H4019" s="5">
        <f>HYPERLINK("https://api.qogita.com/variants/link/3605972331663/", "View Product")</f>
        <v/>
      </c>
    </row>
    <row r="4020">
      <c r="A4020" t="inlineStr">
        <is>
          <t>3605972697066</t>
        </is>
      </c>
      <c r="B4020" t="inlineStr">
        <is>
          <t>Ralph Lauren Polo Blue Men's Cologne Aquatic &amp; Fresh Intense Fragrance 1.30 Fl Oz</t>
        </is>
      </c>
      <c r="C4020" t="inlineStr">
        <is>
          <t>Eau De Cologne</t>
        </is>
      </c>
      <c r="D4020" t="inlineStr">
        <is>
          <t>Ralph Lauren</t>
        </is>
      </c>
      <c r="E4020" t="n">
        <v>26.8</v>
      </c>
      <c r="F4020" t="n">
        <v>1</v>
      </c>
      <c r="G4020" t="n">
        <v>7</v>
      </c>
      <c r="H4020" s="5">
        <f>HYPERLINK("https://api.qogita.com/variants/link/3605972697066/", "View Product")</f>
        <v/>
      </c>
    </row>
    <row r="4021">
      <c r="A4021" t="inlineStr">
        <is>
          <t>3605972768957</t>
        </is>
      </c>
      <c r="B4021" t="inlineStr">
        <is>
          <t>Ralph Lauren Polo Red Parfum Spray 75ml</t>
        </is>
      </c>
      <c r="C4021" t="inlineStr">
        <is>
          <t>Eau De Parfum</t>
        </is>
      </c>
      <c r="D4021" t="inlineStr">
        <is>
          <t>Ralph Lauren</t>
        </is>
      </c>
      <c r="E4021" t="n">
        <v>30.43</v>
      </c>
      <c r="F4021" t="n">
        <v>1</v>
      </c>
      <c r="G4021" t="n">
        <v>29</v>
      </c>
      <c r="H4021" s="5">
        <f>HYPERLINK("https://api.qogita.com/variants/link/3605972768957/", "View Product")</f>
        <v/>
      </c>
    </row>
    <row r="4022">
      <c r="A4022" t="inlineStr">
        <is>
          <t>3605972789198</t>
        </is>
      </c>
      <c r="B4022" t="inlineStr">
        <is>
          <t>Urban Decay 247 Ink Liner Mucho Mucho Easy Ergonomic Liquid Eyeliner Pen 028 G</t>
        </is>
      </c>
      <c r="C4022" t="inlineStr">
        <is>
          <t>Eyeliner</t>
        </is>
      </c>
      <c r="D4022" t="inlineStr">
        <is>
          <t>Urban Decay</t>
        </is>
      </c>
      <c r="E4022" t="n">
        <v>25.7</v>
      </c>
      <c r="F4022" t="n">
        <v>1</v>
      </c>
      <c r="G4022" t="n">
        <v>5</v>
      </c>
      <c r="H4022" s="5">
        <f>HYPERLINK("https://api.qogita.com/variants/link/3605972789198/", "View Product")</f>
        <v/>
      </c>
    </row>
    <row r="4023">
      <c r="A4023" t="inlineStr">
        <is>
          <t>3605972789310</t>
        </is>
      </c>
      <c r="B4023" t="inlineStr">
        <is>
          <t>Urban Decay 247 Ink Liner Binge Easy Ergonomic Liquid Eyeliner Pen 028 G</t>
        </is>
      </c>
      <c r="C4023" t="inlineStr">
        <is>
          <t>Eyeliner</t>
        </is>
      </c>
      <c r="D4023" t="inlineStr">
        <is>
          <t>Urban Decay</t>
        </is>
      </c>
      <c r="E4023" t="n">
        <v>19.12</v>
      </c>
      <c r="F4023" t="n">
        <v>1</v>
      </c>
      <c r="G4023" t="n">
        <v>5</v>
      </c>
      <c r="H4023" s="5">
        <f>HYPERLINK("https://api.qogita.com/variants/link/3605972789310/", "View Product")</f>
        <v/>
      </c>
    </row>
    <row r="4024">
      <c r="A4024" t="inlineStr">
        <is>
          <t>3605972789433</t>
        </is>
      </c>
      <c r="B4024" t="inlineStr">
        <is>
          <t>Urban Decay 247 Ink Liner Whiskey Easy Ergonomic Liquid Eyeliner Pen 028 G</t>
        </is>
      </c>
      <c r="C4024" t="inlineStr">
        <is>
          <t>Eyeliner</t>
        </is>
      </c>
      <c r="D4024" t="inlineStr">
        <is>
          <t>Urban Decay</t>
        </is>
      </c>
      <c r="E4024" t="n">
        <v>25.7</v>
      </c>
      <c r="F4024" t="n">
        <v>1</v>
      </c>
      <c r="G4024" t="n">
        <v>8</v>
      </c>
      <c r="H4024" s="5">
        <f>HYPERLINK("https://api.qogita.com/variants/link/3605972789433/", "View Product")</f>
        <v/>
      </c>
    </row>
    <row r="4025">
      <c r="A4025" t="inlineStr">
        <is>
          <t>3605972831576</t>
        </is>
      </c>
      <c r="B4025" t="inlineStr">
        <is>
          <t>Ralph Lauren Polo Earth Provencial Sage Eau de Toilette - Unisex 40 ml</t>
        </is>
      </c>
      <c r="C4025" t="inlineStr">
        <is>
          <t>Eau De Toilette</t>
        </is>
      </c>
      <c r="D4025" t="inlineStr">
        <is>
          <t>Ralph Lauren</t>
        </is>
      </c>
      <c r="E4025" t="n">
        <v>57.45</v>
      </c>
      <c r="F4025" t="n">
        <v>1</v>
      </c>
      <c r="G4025" t="n">
        <v>2</v>
      </c>
      <c r="H4025" s="5">
        <f>HYPERLINK("https://api.qogita.com/variants/link/3605972831576/", "View Product")</f>
        <v/>
      </c>
    </row>
    <row r="4026">
      <c r="A4026" t="inlineStr">
        <is>
          <t>3605972840080</t>
        </is>
      </c>
      <c r="B4026" t="inlineStr">
        <is>
          <t>Urban Decay Big Bush Volumizing Tinted Brow Gel 425 Ml Dark Drapes</t>
        </is>
      </c>
      <c r="C4026" t="inlineStr">
        <is>
          <t>Eyebrow Gel</t>
        </is>
      </c>
      <c r="D4026" t="inlineStr">
        <is>
          <t>Urban Decay</t>
        </is>
      </c>
      <c r="E4026" t="n">
        <v>26.22</v>
      </c>
      <c r="F4026" t="n">
        <v>1</v>
      </c>
      <c r="G4026" t="n">
        <v>2</v>
      </c>
      <c r="H4026" s="5">
        <f>HYPERLINK("https://api.qogita.com/variants/link/3605972840080/", "View Product")</f>
        <v/>
      </c>
    </row>
    <row r="4027">
      <c r="A4027" t="inlineStr">
        <is>
          <t>3605972966124</t>
        </is>
      </c>
      <c r="B4027" t="inlineStr">
        <is>
          <t>Kiehl's Ultra Body Barrier Repair Cream Hydrating Body Lotion</t>
        </is>
      </c>
      <c r="C4027" t="inlineStr">
        <is>
          <t>Body Lotion</t>
        </is>
      </c>
      <c r="D4027" t="inlineStr">
        <is>
          <t>Kiehl's</t>
        </is>
      </c>
      <c r="E4027" t="n">
        <v>39.19</v>
      </c>
      <c r="F4027" t="n">
        <v>1</v>
      </c>
      <c r="G4027" t="n">
        <v>4</v>
      </c>
      <c r="H4027" s="5">
        <f>HYPERLINK("https://api.qogita.com/variants/link/3605972966124/", "View Product")</f>
        <v/>
      </c>
    </row>
    <row r="4028">
      <c r="A4028" t="inlineStr">
        <is>
          <t>3605972980700</t>
        </is>
      </c>
      <c r="B4028" t="inlineStr">
        <is>
          <t>Kiehl's Time To Kiehl's Chill Gift Set</t>
        </is>
      </c>
      <c r="C4028" t="inlineStr">
        <is>
          <t>Facial Care Sets</t>
        </is>
      </c>
      <c r="D4028" t="inlineStr">
        <is>
          <t>Kiehl's</t>
        </is>
      </c>
      <c r="E4028" t="n">
        <v>124.34</v>
      </c>
      <c r="F4028" t="n">
        <v>1</v>
      </c>
      <c r="G4028" t="n">
        <v>22</v>
      </c>
      <c r="H4028" s="5">
        <f>HYPERLINK("https://api.qogita.com/variants/link/3605972980700/", "View Product")</f>
        <v/>
      </c>
    </row>
    <row r="4029">
      <c r="A4029" t="inlineStr">
        <is>
          <t>3605972980786</t>
        </is>
      </c>
      <c r="B4029" t="inlineStr">
        <is>
          <t>Kiehl's Calendula Skin Care Set</t>
        </is>
      </c>
      <c r="C4029" t="inlineStr">
        <is>
          <t>Facial Care Sets</t>
        </is>
      </c>
      <c r="D4029" t="inlineStr">
        <is>
          <t>Kiehl's</t>
        </is>
      </c>
      <c r="E4029" t="n">
        <v>63.89</v>
      </c>
      <c r="F4029" t="n">
        <v>1</v>
      </c>
      <c r="G4029" t="n">
        <v>7</v>
      </c>
      <c r="H4029" s="5">
        <f>HYPERLINK("https://api.qogita.com/variants/link/3605972980786/", "View Product")</f>
        <v/>
      </c>
    </row>
    <row r="4030">
      <c r="A4030" t="inlineStr">
        <is>
          <t>3605972980847</t>
        </is>
      </c>
      <c r="B4030" t="inlineStr">
        <is>
          <t>Kiehl's Ultra Facial Skin Care Set</t>
        </is>
      </c>
      <c r="C4030" t="inlineStr">
        <is>
          <t>Facial Care Sets</t>
        </is>
      </c>
      <c r="D4030" t="inlineStr">
        <is>
          <t>Kiehl's</t>
        </is>
      </c>
      <c r="E4030" t="n">
        <v>32.02</v>
      </c>
      <c r="F4030" t="n">
        <v>1</v>
      </c>
      <c r="G4030" t="n">
        <v>16</v>
      </c>
      <c r="H4030" s="5">
        <f>HYPERLINK("https://api.qogita.com/variants/link/3605972980847/", "View Product")</f>
        <v/>
      </c>
    </row>
    <row r="4031">
      <c r="A4031" t="inlineStr">
        <is>
          <t>3605973003880</t>
        </is>
      </c>
      <c r="B4031" t="inlineStr">
        <is>
          <t>Urban Decay 24/7 Waterproof Waterline Eyeliner Pencil Smudge-Resistant</t>
        </is>
      </c>
      <c r="C4031" t="inlineStr">
        <is>
          <t>Eyeliner</t>
        </is>
      </c>
      <c r="D4031" t="inlineStr">
        <is>
          <t>Urban Decay</t>
        </is>
      </c>
      <c r="E4031" t="n">
        <v>19.7</v>
      </c>
      <c r="F4031" t="n">
        <v>1</v>
      </c>
      <c r="G4031" t="n">
        <v>2</v>
      </c>
      <c r="H4031" s="5">
        <f>HYPERLINK("https://api.qogita.com/variants/link/3605973003880/", "View Product")</f>
        <v/>
      </c>
    </row>
    <row r="4032">
      <c r="A4032" t="inlineStr">
        <is>
          <t>3605973034853</t>
        </is>
      </c>
      <c r="B4032" t="inlineStr">
        <is>
          <t>Kiehl's Ultra Facial Barrier Hydrating Cleanser Cream-To-Foam Non-Stripping</t>
        </is>
      </c>
      <c r="C4032" t="inlineStr">
        <is>
          <t>Cleansing Cream</t>
        </is>
      </c>
      <c r="D4032" t="inlineStr">
        <is>
          <t>Kiehl's</t>
        </is>
      </c>
      <c r="E4032" t="n">
        <v>15.2</v>
      </c>
      <c r="F4032" t="n">
        <v>1</v>
      </c>
      <c r="G4032" t="n">
        <v>3</v>
      </c>
      <c r="H4032" s="5">
        <f>HYPERLINK("https://api.qogita.com/variants/link/3605973034853/", "View Product")</f>
        <v/>
      </c>
    </row>
    <row r="4033">
      <c r="A4033" t="inlineStr">
        <is>
          <t>3605973034877</t>
        </is>
      </c>
      <c r="B4033" t="inlineStr">
        <is>
          <t>Kiehl's Ultra Facial Barrier Hydrating Cleanser Cream-To-Foam Non-Stripping</t>
        </is>
      </c>
      <c r="C4033" t="inlineStr">
        <is>
          <t>Cleansing Cream</t>
        </is>
      </c>
      <c r="D4033" t="inlineStr">
        <is>
          <t>Kiehl's</t>
        </is>
      </c>
      <c r="E4033" t="n">
        <v>23.91</v>
      </c>
      <c r="F4033" t="n">
        <v>1</v>
      </c>
      <c r="G4033" t="n">
        <v>2</v>
      </c>
      <c r="H4033" s="5">
        <f>HYPERLINK("https://api.qogita.com/variants/link/3605973034877/", "View Product")</f>
        <v/>
      </c>
    </row>
    <row r="4034">
      <c r="A4034" t="inlineStr">
        <is>
          <t>3607340188602</t>
        </is>
      </c>
      <c r="B4034" t="inlineStr">
        <is>
          <t>Champion Eau De Toilette Spray 90ml By Champion</t>
        </is>
      </c>
      <c r="C4034" t="inlineStr">
        <is>
          <t>Eau De Toilette</t>
        </is>
      </c>
      <c r="D4034" t="inlineStr">
        <is>
          <t>Champion</t>
        </is>
      </c>
      <c r="E4034" t="n">
        <v>15.98</v>
      </c>
      <c r="F4034" t="n">
        <v>1</v>
      </c>
      <c r="G4034" t="n">
        <v>158</v>
      </c>
      <c r="H4034" s="5">
        <f>HYPERLINK("https://api.qogita.com/variants/link/3607340188602/", "View Product")</f>
        <v/>
      </c>
    </row>
    <row r="4035">
      <c r="A4035" t="inlineStr">
        <is>
          <t>3607341047038</t>
        </is>
      </c>
      <c r="B4035" t="inlineStr">
        <is>
          <t>Jovan Musk Black Eau De Cologne 96ml Spray For Women</t>
        </is>
      </c>
      <c r="C4035" t="inlineStr">
        <is>
          <t>Eau De Cologne</t>
        </is>
      </c>
      <c r="D4035" t="inlineStr">
        <is>
          <t>Jovan</t>
        </is>
      </c>
      <c r="E4035" t="n">
        <v>7.11</v>
      </c>
      <c r="F4035" t="n">
        <v>1</v>
      </c>
      <c r="G4035" t="n">
        <v>31</v>
      </c>
      <c r="H4035" s="5">
        <f>HYPERLINK("https://api.qogita.com/variants/link/3607341047038/", "View Product")</f>
        <v/>
      </c>
    </row>
    <row r="4036">
      <c r="A4036" t="inlineStr">
        <is>
          <t>3607342020849</t>
        </is>
      </c>
      <c r="B4036" t="inlineStr">
        <is>
          <t>Calvin Klein Ck Free For Men Deodorant Stick 75ml</t>
        </is>
      </c>
      <c r="C4036" t="inlineStr">
        <is>
          <t>Deodorant &amp; Anti-Perspirant</t>
        </is>
      </c>
      <c r="D4036" t="inlineStr">
        <is>
          <t>Calvin Klein</t>
        </is>
      </c>
      <c r="E4036" t="n">
        <v>7.01</v>
      </c>
      <c r="F4036" t="n">
        <v>1</v>
      </c>
      <c r="G4036" t="n">
        <v>30</v>
      </c>
      <c r="H4036" s="5">
        <f>HYPERLINK("https://api.qogita.com/variants/link/3607342020849/", "View Product")</f>
        <v/>
      </c>
    </row>
    <row r="4037">
      <c r="A4037" t="inlineStr">
        <is>
          <t>3607342123465</t>
        </is>
      </c>
      <c r="B4037" t="inlineStr">
        <is>
          <t>Calvin Klein Eternity Women Body Lotion 200ml</t>
        </is>
      </c>
      <c r="C4037" t="inlineStr">
        <is>
          <t>Body Lotion</t>
        </is>
      </c>
      <c r="D4037" t="inlineStr">
        <is>
          <t>Calvin Klein</t>
        </is>
      </c>
      <c r="E4037" t="n">
        <v>16.15</v>
      </c>
      <c r="F4037" t="n">
        <v>1</v>
      </c>
      <c r="G4037" t="n">
        <v>32</v>
      </c>
      <c r="H4037" s="5">
        <f>HYPERLINK("https://api.qogita.com/variants/link/3607342123465/", "View Product")</f>
        <v/>
      </c>
    </row>
    <row r="4038">
      <c r="A4038" t="inlineStr">
        <is>
          <t>3607342378353</t>
        </is>
      </c>
      <c r="B4038" t="inlineStr">
        <is>
          <t>Calvin Klein Eternity Aqua Eau De Toilette 200ml Men Spray</t>
        </is>
      </c>
      <c r="C4038" t="inlineStr">
        <is>
          <t>Eau De Toilette</t>
        </is>
      </c>
      <c r="D4038" t="inlineStr">
        <is>
          <t>Calvin Klein</t>
        </is>
      </c>
      <c r="E4038" t="n">
        <v>28.46</v>
      </c>
      <c r="F4038" t="n">
        <v>1</v>
      </c>
      <c r="G4038" t="n">
        <v>11</v>
      </c>
      <c r="H4038" s="5">
        <f>HYPERLINK("https://api.qogita.com/variants/link/3607342378353/", "View Product")</f>
        <v/>
      </c>
    </row>
    <row r="4039">
      <c r="A4039" t="inlineStr">
        <is>
          <t>3607342635791</t>
        </is>
      </c>
      <c r="B4039" t="inlineStr">
        <is>
          <t>Chlo Love Story Eau De Parfum 30ml Women's Fragrance</t>
        </is>
      </c>
      <c r="C4039" t="inlineStr">
        <is>
          <t>Eau De Parfum</t>
        </is>
      </c>
      <c r="D4039" t="inlineStr">
        <is>
          <t>Chloé</t>
        </is>
      </c>
      <c r="E4039" t="n">
        <v>46.38</v>
      </c>
      <c r="F4039" t="n">
        <v>1</v>
      </c>
      <c r="G4039" t="n">
        <v>20</v>
      </c>
      <c r="H4039" s="5">
        <f>HYPERLINK("https://api.qogita.com/variants/link/3607342635791/", "View Product")</f>
        <v/>
      </c>
    </row>
    <row r="4040">
      <c r="A4040" t="inlineStr">
        <is>
          <t>3607345064512</t>
        </is>
      </c>
      <c r="B4040" t="inlineStr">
        <is>
          <t>Rimmel Stay Matte Long Lasting Pressed Powder In Pink Blossom, 14g</t>
        </is>
      </c>
      <c r="C4040" t="inlineStr">
        <is>
          <t>Powder</t>
        </is>
      </c>
      <c r="D4040" t="inlineStr">
        <is>
          <t>Rimmel London</t>
        </is>
      </c>
      <c r="E4040" t="n">
        <v>2.47</v>
      </c>
      <c r="F4040" t="n">
        <v>1</v>
      </c>
      <c r="G4040" t="n">
        <v>11</v>
      </c>
      <c r="H4040" s="5">
        <f>HYPERLINK("https://api.qogita.com/variants/link/3607345064512/", "View Product")</f>
        <v/>
      </c>
    </row>
    <row r="4041">
      <c r="A4041" t="inlineStr">
        <is>
          <t>3607346232347</t>
        </is>
      </c>
      <c r="B4041" t="inlineStr">
        <is>
          <t>Chloe Eau De Parfum Spray 50ml - Chloe</t>
        </is>
      </c>
      <c r="C4041" t="inlineStr">
        <is>
          <t>Eau De Parfum</t>
        </is>
      </c>
      <c r="D4041" t="inlineStr">
        <is>
          <t>Chloé</t>
        </is>
      </c>
      <c r="E4041" t="n">
        <v>50.25</v>
      </c>
      <c r="F4041" t="n">
        <v>1</v>
      </c>
      <c r="G4041" t="n">
        <v>92</v>
      </c>
      <c r="H4041" s="5">
        <f>HYPERLINK("https://api.qogita.com/variants/link/3607346232347/", "View Product")</f>
        <v/>
      </c>
    </row>
    <row r="4042">
      <c r="A4042" t="inlineStr">
        <is>
          <t>3607346236505</t>
        </is>
      </c>
      <c r="B4042" t="inlineStr">
        <is>
          <t>Just Cavalli Her 2013 Eau De Toilette Spray 30ml By Just Cavalli</t>
        </is>
      </c>
      <c r="C4042" t="inlineStr">
        <is>
          <t>Eau De Toilette</t>
        </is>
      </c>
      <c r="D4042" t="inlineStr">
        <is>
          <t>Just Cavalli</t>
        </is>
      </c>
      <c r="E4042" t="n">
        <v>13.59</v>
      </c>
      <c r="F4042" t="n">
        <v>1</v>
      </c>
      <c r="G4042" t="n">
        <v>3</v>
      </c>
      <c r="H4042" s="5">
        <f>HYPERLINK("https://api.qogita.com/variants/link/3607346236505/", "View Product")</f>
        <v/>
      </c>
    </row>
    <row r="4043">
      <c r="A4043" t="inlineStr">
        <is>
          <t>3607347392637</t>
        </is>
      </c>
      <c r="B4043" t="inlineStr">
        <is>
          <t>Joop Joop Jump M Eau De Toilette 200ml Men Spray</t>
        </is>
      </c>
      <c r="C4043" t="inlineStr">
        <is>
          <t>Eau De Toilette</t>
        </is>
      </c>
      <c r="D4043" t="inlineStr">
        <is>
          <t>Joop!</t>
        </is>
      </c>
      <c r="E4043" t="n">
        <v>23.9</v>
      </c>
      <c r="F4043" t="n">
        <v>1</v>
      </c>
      <c r="G4043" t="n">
        <v>68</v>
      </c>
      <c r="H4043" s="5">
        <f>HYPERLINK("https://api.qogita.com/variants/link/3607347392637/", "View Product")</f>
        <v/>
      </c>
    </row>
    <row r="4044">
      <c r="A4044" t="inlineStr">
        <is>
          <t>3607347887867</t>
        </is>
      </c>
      <c r="B4044" t="inlineStr">
        <is>
          <t>Rimmel Wonder'full Mascara With Argan Oil - 001 Black, 11ml</t>
        </is>
      </c>
      <c r="C4044" t="inlineStr">
        <is>
          <t>Mascara</t>
        </is>
      </c>
      <c r="D4044" t="inlineStr">
        <is>
          <t>Rimmel London</t>
        </is>
      </c>
      <c r="E4044" t="n">
        <v>4.54</v>
      </c>
      <c r="F4044" t="n">
        <v>1</v>
      </c>
      <c r="G4044" t="n">
        <v>3</v>
      </c>
      <c r="H4044" s="5">
        <f>HYPERLINK("https://api.qogita.com/variants/link/3607347887867/", "View Product")</f>
        <v/>
      </c>
    </row>
    <row r="4045">
      <c r="A4045" t="inlineStr">
        <is>
          <t>3607348064441</t>
        </is>
      </c>
      <c r="B4045" t="inlineStr">
        <is>
          <t>Joop Men's Fragrances Jump Shower Gel 150ml</t>
        </is>
      </c>
      <c r="C4045" t="inlineStr">
        <is>
          <t>Eau De Toilette</t>
        </is>
      </c>
      <c r="D4045" t="inlineStr">
        <is>
          <t>Joop!</t>
        </is>
      </c>
      <c r="E4045" t="n">
        <v>7.88</v>
      </c>
      <c r="F4045" t="n">
        <v>1</v>
      </c>
      <c r="G4045" t="n">
        <v>32</v>
      </c>
      <c r="H4045" s="5">
        <f>HYPERLINK("https://api.qogita.com/variants/link/3607348064441/", "View Product")</f>
        <v/>
      </c>
    </row>
    <row r="4046">
      <c r="A4046" t="inlineStr">
        <is>
          <t>3607348816392</t>
        </is>
      </c>
      <c r="B4046" t="inlineStr">
        <is>
          <t>Katy Perry Killer Queen Eau De Parfum Spray 30ml</t>
        </is>
      </c>
      <c r="C4046" t="inlineStr">
        <is>
          <t>Eau De Parfum</t>
        </is>
      </c>
      <c r="D4046" t="inlineStr">
        <is>
          <t>Katy Perry</t>
        </is>
      </c>
      <c r="E4046" t="n">
        <v>6.88</v>
      </c>
      <c r="F4046" t="n">
        <v>1</v>
      </c>
      <c r="G4046" t="n">
        <v>55</v>
      </c>
      <c r="H4046" s="5">
        <f>HYPERLINK("https://api.qogita.com/variants/link/3607348816392/", "View Product")</f>
        <v/>
      </c>
    </row>
    <row r="4047">
      <c r="A4047" t="inlineStr">
        <is>
          <t>3607348816460</t>
        </is>
      </c>
      <c r="B4047" t="inlineStr">
        <is>
          <t>Katy Perry Killer Queen Eau De Parfum Spray 50ml</t>
        </is>
      </c>
      <c r="C4047" t="inlineStr">
        <is>
          <t>Eau De Parfum</t>
        </is>
      </c>
      <c r="D4047" t="inlineStr">
        <is>
          <t>Katy Perry</t>
        </is>
      </c>
      <c r="E4047" t="n">
        <v>10.24</v>
      </c>
      <c r="F4047" t="n">
        <v>1</v>
      </c>
      <c r="G4047" t="n">
        <v>73</v>
      </c>
      <c r="H4047" s="5">
        <f>HYPERLINK("https://api.qogita.com/variants/link/3607348816460/", "View Product")</f>
        <v/>
      </c>
    </row>
    <row r="4048">
      <c r="A4048" t="inlineStr">
        <is>
          <t>3607348816552</t>
        </is>
      </c>
      <c r="B4048" t="inlineStr">
        <is>
          <t>Katy Perry Killer Queen Eau De Parfum Spray 100ml</t>
        </is>
      </c>
      <c r="C4048" t="inlineStr">
        <is>
          <t>Eau De Parfum</t>
        </is>
      </c>
      <c r="D4048" t="inlineStr">
        <is>
          <t>Katy Perry</t>
        </is>
      </c>
      <c r="E4048" t="n">
        <v>13.62</v>
      </c>
      <c r="F4048" t="n">
        <v>1</v>
      </c>
      <c r="G4048" t="n">
        <v>803</v>
      </c>
      <c r="H4048" s="5">
        <f>HYPERLINK("https://api.qogita.com/variants/link/3607348816552/", "View Product")</f>
        <v/>
      </c>
    </row>
    <row r="4049">
      <c r="A4049" t="inlineStr">
        <is>
          <t>3607349635534</t>
        </is>
      </c>
      <c r="B4049" t="inlineStr">
        <is>
          <t>Calvin Klein Euphoria Men Eau De Toilette Travel Size</t>
        </is>
      </c>
      <c r="C4049" t="inlineStr">
        <is>
          <t>Eau De Toilette</t>
        </is>
      </c>
      <c r="D4049" t="inlineStr">
        <is>
          <t>Calvin Klein</t>
        </is>
      </c>
      <c r="E4049" t="n">
        <v>11.83</v>
      </c>
      <c r="F4049" t="n">
        <v>1</v>
      </c>
      <c r="G4049" t="n">
        <v>258</v>
      </c>
      <c r="H4049" s="5">
        <f>HYPERLINK("https://api.qogita.com/variants/link/3607349635534/", "View Product")</f>
        <v/>
      </c>
    </row>
    <row r="4050">
      <c r="A4050" t="inlineStr">
        <is>
          <t>3607349764241</t>
        </is>
      </c>
      <c r="B4050" t="inlineStr">
        <is>
          <t>Marc Jacobs Daisy Dream Eau De Toilette Spray 100ml</t>
        </is>
      </c>
      <c r="C4050" t="inlineStr">
        <is>
          <t>Eau De Toilette</t>
        </is>
      </c>
      <c r="D4050" t="inlineStr">
        <is>
          <t>Marc Jacobs</t>
        </is>
      </c>
      <c r="E4050" t="n">
        <v>39.86</v>
      </c>
      <c r="F4050" t="n">
        <v>1</v>
      </c>
      <c r="G4050" t="n">
        <v>54</v>
      </c>
      <c r="H4050" s="5">
        <f>HYPERLINK("https://api.qogita.com/variants/link/3607349764241/", "View Product")</f>
        <v/>
      </c>
    </row>
    <row r="4051">
      <c r="A4051" t="inlineStr">
        <is>
          <t>3612345679215</t>
        </is>
      </c>
      <c r="B4051" t="inlineStr">
        <is>
          <t>Vertus Fresh Orient by Vertus Eau de Parfum Spray 3.4 oz</t>
        </is>
      </c>
      <c r="C4051" t="inlineStr">
        <is>
          <t>Eau De Parfum</t>
        </is>
      </c>
      <c r="D4051" t="inlineStr">
        <is>
          <t>Vertus</t>
        </is>
      </c>
      <c r="E4051" t="n">
        <v>114.04</v>
      </c>
      <c r="F4051" t="n">
        <v>1</v>
      </c>
      <c r="G4051" t="n">
        <v>11</v>
      </c>
      <c r="H4051" s="5">
        <f>HYPERLINK("https://api.qogita.com/variants/link/3612345679215/", "View Product")</f>
        <v/>
      </c>
    </row>
    <row r="4052">
      <c r="A4052" t="inlineStr">
        <is>
          <t>3612345679239</t>
        </is>
      </c>
      <c r="B4052" t="inlineStr">
        <is>
          <t>Vertus Paris Rose Prive Eau De Parfum Spray 100ml</t>
        </is>
      </c>
      <c r="C4052" t="inlineStr">
        <is>
          <t>Eau De Parfum</t>
        </is>
      </c>
      <c r="D4052" t="inlineStr">
        <is>
          <t>Vertus Paris</t>
        </is>
      </c>
      <c r="E4052" t="n">
        <v>105.88</v>
      </c>
      <c r="F4052" t="n">
        <v>1</v>
      </c>
      <c r="G4052" t="n">
        <v>5</v>
      </c>
      <c r="H4052" s="5">
        <f>HYPERLINK("https://api.qogita.com/variants/link/3612345679239/", "View Product")</f>
        <v/>
      </c>
    </row>
    <row r="4053">
      <c r="A4053" t="inlineStr">
        <is>
          <t>3612345679642</t>
        </is>
      </c>
      <c r="B4053" t="inlineStr">
        <is>
          <t>Vertus Paris Sole Patchouli Unisex Eau du Parfum (EDP) 100ml/3.4oz</t>
        </is>
      </c>
      <c r="C4053" t="inlineStr">
        <is>
          <t>Eau De Parfum</t>
        </is>
      </c>
      <c r="D4053" t="inlineStr">
        <is>
          <t>Vertus</t>
        </is>
      </c>
      <c r="E4053" t="n">
        <v>126.12</v>
      </c>
      <c r="F4053" t="n">
        <v>1</v>
      </c>
      <c r="G4053" t="n">
        <v>20</v>
      </c>
      <c r="H4053" s="5">
        <f>HYPERLINK("https://api.qogita.com/variants/link/3612345679642/", "View Product")</f>
        <v/>
      </c>
    </row>
    <row r="4054">
      <c r="A4054" t="inlineStr">
        <is>
          <t>3612345680662</t>
        </is>
      </c>
      <c r="B4054" t="inlineStr">
        <is>
          <t>Vertus Paris Royal Orris Eau De Parfum Spray 100ml</t>
        </is>
      </c>
      <c r="C4054" t="inlineStr">
        <is>
          <t>Eau De Parfum</t>
        </is>
      </c>
      <c r="D4054" t="inlineStr">
        <is>
          <t>Vertus Paris</t>
        </is>
      </c>
      <c r="E4054" t="n">
        <v>115.74</v>
      </c>
      <c r="F4054" t="n">
        <v>1</v>
      </c>
      <c r="G4054" t="n">
        <v>2</v>
      </c>
      <c r="H4054" s="5">
        <f>HYPERLINK("https://api.qogita.com/variants/link/3612345680662/", "View Product")</f>
        <v/>
      </c>
    </row>
    <row r="4055">
      <c r="A4055" t="inlineStr">
        <is>
          <t>3614220847290</t>
        </is>
      </c>
      <c r="B4055" t="inlineStr">
        <is>
          <t>Vera Wang Embrace Eau de Toilette Fragrance for Women Periwinkle and Iris 30ml</t>
        </is>
      </c>
      <c r="C4055" t="inlineStr">
        <is>
          <t>Eau De Toilette</t>
        </is>
      </c>
      <c r="D4055" t="inlineStr">
        <is>
          <t>Vera Wang</t>
        </is>
      </c>
      <c r="E4055" t="n">
        <v>8.359999999999999</v>
      </c>
      <c r="F4055" t="n">
        <v>1</v>
      </c>
      <c r="G4055" t="n">
        <v>20</v>
      </c>
      <c r="H4055" s="5">
        <f>HYPERLINK("https://api.qogita.com/variants/link/3614220847290/", "View Product")</f>
        <v/>
      </c>
    </row>
    <row r="4056">
      <c r="A4056" t="inlineStr">
        <is>
          <t>3614220847337</t>
        </is>
      </c>
      <c r="B4056" t="inlineStr">
        <is>
          <t>Vera Wang Embrace Green Tea And Pear Blossom Eau De Toilette Spray 30ml</t>
        </is>
      </c>
      <c r="C4056" t="inlineStr">
        <is>
          <t>Eau De Toilette</t>
        </is>
      </c>
      <c r="D4056" t="inlineStr">
        <is>
          <t>Vera Wang</t>
        </is>
      </c>
      <c r="E4056" t="n">
        <v>5.69</v>
      </c>
      <c r="F4056" t="n">
        <v>1</v>
      </c>
      <c r="G4056" t="n">
        <v>73</v>
      </c>
      <c r="H4056" s="5">
        <f>HYPERLINK("https://api.qogita.com/variants/link/3614220847337/", "View Product")</f>
        <v/>
      </c>
    </row>
    <row r="4057">
      <c r="A4057" t="inlineStr">
        <is>
          <t>3614222401919</t>
        </is>
      </c>
      <c r="B4057" t="inlineStr">
        <is>
          <t>Tiffany &amp; Co Eau de Parfum 30ml</t>
        </is>
      </c>
      <c r="C4057" t="inlineStr">
        <is>
          <t>Eau De Parfum</t>
        </is>
      </c>
      <c r="D4057" t="inlineStr">
        <is>
          <t>Tiffany &amp; Co.</t>
        </is>
      </c>
      <c r="E4057" t="n">
        <v>40.89</v>
      </c>
      <c r="F4057" t="n">
        <v>1</v>
      </c>
      <c r="G4057" t="n">
        <v>27</v>
      </c>
      <c r="H4057" s="5">
        <f>HYPERLINK("https://api.qogita.com/variants/link/3614222401919/", "View Product")</f>
        <v/>
      </c>
    </row>
    <row r="4058">
      <c r="A4058" t="inlineStr">
        <is>
          <t>3614222401995</t>
        </is>
      </c>
      <c r="B4058" t="inlineStr">
        <is>
          <t>Tiffany &amp; Co Eau De Parfum Spray 50ml</t>
        </is>
      </c>
      <c r="C4058" t="inlineStr">
        <is>
          <t>Eau De Parfum</t>
        </is>
      </c>
      <c r="D4058" t="inlineStr">
        <is>
          <t>Tiffany Co</t>
        </is>
      </c>
      <c r="E4058" t="n">
        <v>60.32</v>
      </c>
      <c r="F4058" t="n">
        <v>1</v>
      </c>
      <c r="G4058" t="n">
        <v>3</v>
      </c>
      <c r="H4058" s="5">
        <f>HYPERLINK("https://api.qogita.com/variants/link/3614222401995/", "View Product")</f>
        <v/>
      </c>
    </row>
    <row r="4059">
      <c r="A4059" t="inlineStr">
        <is>
          <t>3614222402077</t>
        </is>
      </c>
      <c r="B4059" t="inlineStr">
        <is>
          <t>Tiffany &amp; Co Eau De Parfum Spray 75ml</t>
        </is>
      </c>
      <c r="C4059" t="inlineStr">
        <is>
          <t>Eau De Parfum</t>
        </is>
      </c>
      <c r="D4059" t="inlineStr">
        <is>
          <t>Tiffany Co</t>
        </is>
      </c>
      <c r="E4059" t="n">
        <v>63.87</v>
      </c>
      <c r="F4059" t="n">
        <v>1</v>
      </c>
      <c r="G4059" t="n">
        <v>4</v>
      </c>
      <c r="H4059" s="5">
        <f>HYPERLINK("https://api.qogita.com/variants/link/3614222402077/", "View Product")</f>
        <v/>
      </c>
    </row>
    <row r="4060">
      <c r="A4060" t="inlineStr">
        <is>
          <t>3614222571629</t>
        </is>
      </c>
      <c r="B4060" t="inlineStr">
        <is>
          <t>Joop! Wow! Eau De Toilette for Men Woody Fragrance with Notes of Cardamom</t>
        </is>
      </c>
      <c r="C4060" t="inlineStr">
        <is>
          <t>Eau De Toilette</t>
        </is>
      </c>
      <c r="D4060" t="inlineStr">
        <is>
          <t>Joop!</t>
        </is>
      </c>
      <c r="E4060" t="n">
        <v>18.42</v>
      </c>
      <c r="F4060" t="n">
        <v>1</v>
      </c>
      <c r="G4060" t="n">
        <v>3</v>
      </c>
      <c r="H4060" s="5">
        <f>HYPERLINK("https://api.qogita.com/variants/link/3614222571629/", "View Product")</f>
        <v/>
      </c>
    </row>
    <row r="4061">
      <c r="A4061" t="inlineStr">
        <is>
          <t>3614223113347</t>
        </is>
      </c>
      <c r="B4061" t="inlineStr">
        <is>
          <t>Chloe Nomade Perfumed Eau De Parfum for Women 75ml</t>
        </is>
      </c>
      <c r="C4061" t="inlineStr">
        <is>
          <t>Eau De Parfum</t>
        </is>
      </c>
      <c r="D4061" t="inlineStr">
        <is>
          <t>Chloé</t>
        </is>
      </c>
      <c r="E4061" t="n">
        <v>60.23</v>
      </c>
      <c r="F4061" t="n">
        <v>1</v>
      </c>
      <c r="G4061" t="n">
        <v>24</v>
      </c>
      <c r="H4061" s="5">
        <f>HYPERLINK("https://api.qogita.com/variants/link/3614223113347/", "View Product")</f>
        <v/>
      </c>
    </row>
    <row r="4062">
      <c r="A4062" t="inlineStr">
        <is>
          <t>3614223113385</t>
        </is>
      </c>
      <c r="B4062" t="inlineStr">
        <is>
          <t>Chloe Nomade Body Lotion 200ml</t>
        </is>
      </c>
      <c r="C4062" t="inlineStr">
        <is>
          <t>Body Lotion</t>
        </is>
      </c>
      <c r="D4062" t="inlineStr">
        <is>
          <t>Chloé</t>
        </is>
      </c>
      <c r="E4062" t="n">
        <v>32.5</v>
      </c>
      <c r="F4062" t="n">
        <v>1</v>
      </c>
      <c r="G4062" t="n">
        <v>3</v>
      </c>
      <c r="H4062" s="5">
        <f>HYPERLINK("https://api.qogita.com/variants/link/3614223113385/", "View Product")</f>
        <v/>
      </c>
    </row>
    <row r="4063">
      <c r="A4063" t="inlineStr">
        <is>
          <t>3614223164462</t>
        </is>
      </c>
      <c r="B4063" t="inlineStr">
        <is>
          <t>Calvin Klein Ck All Eau De Toilette Spray 200ml</t>
        </is>
      </c>
      <c r="C4063" t="inlineStr">
        <is>
          <t>Eau De Toilette</t>
        </is>
      </c>
      <c r="D4063" t="inlineStr">
        <is>
          <t>Calvin Klein</t>
        </is>
      </c>
      <c r="E4063" t="n">
        <v>27.39</v>
      </c>
      <c r="F4063" t="n">
        <v>1</v>
      </c>
      <c r="G4063" t="n">
        <v>146</v>
      </c>
      <c r="H4063" s="5">
        <f>HYPERLINK("https://api.qogita.com/variants/link/3614223164462/", "View Product")</f>
        <v/>
      </c>
    </row>
    <row r="4064">
      <c r="A4064" t="inlineStr">
        <is>
          <t>3614223708741</t>
        </is>
      </c>
      <c r="B4064" t="inlineStr">
        <is>
          <t>Davidoff Cool Water Deodorant Spray 150ml</t>
        </is>
      </c>
      <c r="C4064" t="inlineStr">
        <is>
          <t>Deodorant &amp; Anti-Perspirant</t>
        </is>
      </c>
      <c r="D4064" t="inlineStr">
        <is>
          <t>Davidoff</t>
        </is>
      </c>
      <c r="E4064" t="n">
        <v>6.22</v>
      </c>
      <c r="F4064" t="n">
        <v>1</v>
      </c>
      <c r="G4064" t="n">
        <v>692</v>
      </c>
      <c r="H4064" s="5">
        <f>HYPERLINK("https://api.qogita.com/variants/link/3614223708741/", "View Product")</f>
        <v/>
      </c>
    </row>
    <row r="4065">
      <c r="A4065" t="inlineStr">
        <is>
          <t>3614224686833</t>
        </is>
      </c>
      <c r="B4065" t="inlineStr">
        <is>
          <t>Nautica Voyage Heritage Eau De Toilette</t>
        </is>
      </c>
      <c r="C4065" t="inlineStr">
        <is>
          <t>Eau De Toilette</t>
        </is>
      </c>
      <c r="D4065" t="inlineStr">
        <is>
          <t>Nautica</t>
        </is>
      </c>
      <c r="E4065" t="n">
        <v>14.67</v>
      </c>
      <c r="F4065" t="n">
        <v>1</v>
      </c>
      <c r="G4065" t="n">
        <v>36</v>
      </c>
      <c r="H4065" s="5">
        <f>HYPERLINK("https://api.qogita.com/variants/link/3614224686833/", "View Product")</f>
        <v/>
      </c>
    </row>
    <row r="4066">
      <c r="A4066" t="inlineStr">
        <is>
          <t>3614224821944</t>
        </is>
      </c>
      <c r="B4066" t="inlineStr">
        <is>
          <t>Calvin Klein Eternity Air Woman 100ml Spray</t>
        </is>
      </c>
      <c r="C4066" t="inlineStr">
        <is>
          <t>Eau De Parfum</t>
        </is>
      </c>
      <c r="D4066" t="inlineStr">
        <is>
          <t>Calvin Klein</t>
        </is>
      </c>
      <c r="E4066" t="n">
        <v>21.74</v>
      </c>
      <c r="F4066" t="n">
        <v>1</v>
      </c>
      <c r="G4066" t="n">
        <v>100</v>
      </c>
      <c r="H4066" s="5">
        <f>HYPERLINK("https://api.qogita.com/variants/link/3614224821944/", "View Product")</f>
        <v/>
      </c>
    </row>
    <row r="4067">
      <c r="A4067" t="inlineStr">
        <is>
          <t>3614224871284</t>
        </is>
      </c>
      <c r="B4067" t="inlineStr">
        <is>
          <t>Calvin Klein Eternity Air For Men Eau De Toilette 100ml</t>
        </is>
      </c>
      <c r="C4067" t="inlineStr">
        <is>
          <t>Eau De Toilette</t>
        </is>
      </c>
      <c r="D4067" t="inlineStr">
        <is>
          <t>Calvin Klein</t>
        </is>
      </c>
      <c r="E4067" t="n">
        <v>20.25</v>
      </c>
      <c r="F4067" t="n">
        <v>1</v>
      </c>
      <c r="G4067" t="n">
        <v>440</v>
      </c>
      <c r="H4067" s="5">
        <f>HYPERLINK("https://api.qogita.com/variants/link/3614224871284/", "View Product")</f>
        <v/>
      </c>
    </row>
    <row r="4068">
      <c r="A4068" t="inlineStr">
        <is>
          <t>3614224980238</t>
        </is>
      </c>
      <c r="B4068" t="inlineStr">
        <is>
          <t>Bourjois Loose Powder 02 Rosy 32g - Lightweight Face Powder</t>
        </is>
      </c>
      <c r="C4068" t="inlineStr">
        <is>
          <t>Powder</t>
        </is>
      </c>
      <c r="D4068" t="inlineStr">
        <is>
          <t>Bourjois</t>
        </is>
      </c>
      <c r="E4068" t="n">
        <v>9.949999999999999</v>
      </c>
      <c r="F4068" t="n">
        <v>1</v>
      </c>
      <c r="G4068" t="n">
        <v>3</v>
      </c>
      <c r="H4068" s="5">
        <f>HYPERLINK("https://api.qogita.com/variants/link/3614224980238/", "View Product")</f>
        <v/>
      </c>
    </row>
    <row r="4069">
      <c r="A4069" t="inlineStr">
        <is>
          <t>3614225257858</t>
        </is>
      </c>
      <c r="B4069" t="inlineStr">
        <is>
          <t>Max Factor False Lash Effect Volumizing Mascara In Black/Brown, 13.1ml</t>
        </is>
      </c>
      <c r="C4069" t="inlineStr">
        <is>
          <t>Mascara</t>
        </is>
      </c>
      <c r="D4069" t="inlineStr">
        <is>
          <t>Max Factor</t>
        </is>
      </c>
      <c r="E4069" t="n">
        <v>6.17</v>
      </c>
      <c r="F4069" t="n">
        <v>1</v>
      </c>
      <c r="G4069" t="n">
        <v>20</v>
      </c>
      <c r="H4069" s="5">
        <f>HYPERLINK("https://api.qogita.com/variants/link/3614225257858/", "View Product")</f>
        <v/>
      </c>
    </row>
    <row r="4070">
      <c r="A4070" t="inlineStr">
        <is>
          <t>3614225467479</t>
        </is>
      </c>
      <c r="B4070" t="inlineStr">
        <is>
          <t>Chloé Nomade Eau de Parfum 10ml</t>
        </is>
      </c>
      <c r="C4070" t="inlineStr">
        <is>
          <t>Eau De Parfum</t>
        </is>
      </c>
      <c r="D4070" t="inlineStr">
        <is>
          <t>Chloé</t>
        </is>
      </c>
      <c r="E4070" t="n">
        <v>18.1</v>
      </c>
      <c r="F4070" t="n">
        <v>1</v>
      </c>
      <c r="G4070" t="n">
        <v>4</v>
      </c>
      <c r="H4070" s="5">
        <f>HYPERLINK("https://api.qogita.com/variants/link/3614225467479/", "View Product")</f>
        <v/>
      </c>
    </row>
    <row r="4071">
      <c r="A4071" t="inlineStr">
        <is>
          <t>3614225671333</t>
        </is>
      </c>
      <c r="B4071" t="inlineStr">
        <is>
          <t>Calvin Klein Eau De Parfum 100ml</t>
        </is>
      </c>
      <c r="C4071" t="inlineStr">
        <is>
          <t>Eau De Parfum</t>
        </is>
      </c>
      <c r="D4071" t="inlineStr">
        <is>
          <t>Calvin Klein</t>
        </is>
      </c>
      <c r="E4071" t="n">
        <v>22.15</v>
      </c>
      <c r="F4071" t="n">
        <v>1</v>
      </c>
      <c r="G4071" t="n">
        <v>80</v>
      </c>
      <c r="H4071" s="5">
        <f>HYPERLINK("https://api.qogita.com/variants/link/3614225671333/", "View Product")</f>
        <v/>
      </c>
    </row>
    <row r="4072">
      <c r="A4072" t="inlineStr">
        <is>
          <t>3614225853517</t>
        </is>
      </c>
      <c r="B4072" t="inlineStr">
        <is>
          <t>Max Factor Masterpiece Max High Volume And Definition Mascara - 01 Black, 7.2ml</t>
        </is>
      </c>
      <c r="C4072" t="inlineStr">
        <is>
          <t>Mascara</t>
        </is>
      </c>
      <c r="D4072" t="inlineStr">
        <is>
          <t>Max Factor</t>
        </is>
      </c>
      <c r="E4072" t="n">
        <v>7.38</v>
      </c>
      <c r="F4072" t="n">
        <v>1</v>
      </c>
      <c r="G4072" t="n">
        <v>14</v>
      </c>
      <c r="H4072" s="5">
        <f>HYPERLINK("https://api.qogita.com/variants/link/3614225853517/", "View Product")</f>
        <v/>
      </c>
    </row>
    <row r="4073">
      <c r="A4073" t="inlineStr">
        <is>
          <t>3614225944130</t>
        </is>
      </c>
      <c r="B4073" t="inlineStr">
        <is>
          <t>Chloe Nomade Eau De Toilette 30ml</t>
        </is>
      </c>
      <c r="C4073" t="inlineStr">
        <is>
          <t>Eau De Toilette</t>
        </is>
      </c>
      <c r="D4073" t="inlineStr">
        <is>
          <t>Chloé</t>
        </is>
      </c>
      <c r="E4073" t="n">
        <v>33.2</v>
      </c>
      <c r="F4073" t="n">
        <v>1</v>
      </c>
      <c r="G4073" t="n">
        <v>3</v>
      </c>
      <c r="H4073" s="5">
        <f>HYPERLINK("https://api.qogita.com/variants/link/3614225944130/", "View Product")</f>
        <v/>
      </c>
    </row>
    <row r="4074">
      <c r="A4074" t="inlineStr">
        <is>
          <t>3614225944215</t>
        </is>
      </c>
      <c r="B4074" t="inlineStr">
        <is>
          <t>Chloe Nomade Eau De Toilette 50ml Women's Spray By Chloe</t>
        </is>
      </c>
      <c r="C4074" t="inlineStr">
        <is>
          <t>Eau De Toilette</t>
        </is>
      </c>
      <c r="D4074" t="inlineStr">
        <is>
          <t>Chloé</t>
        </is>
      </c>
      <c r="E4074" t="n">
        <v>60.05</v>
      </c>
      <c r="F4074" t="n">
        <v>1</v>
      </c>
      <c r="G4074" t="n">
        <v>22</v>
      </c>
      <c r="H4074" s="5">
        <f>HYPERLINK("https://api.qogita.com/variants/link/3614225944215/", "View Product")</f>
        <v/>
      </c>
    </row>
    <row r="4075">
      <c r="A4075" t="inlineStr">
        <is>
          <t>3614226765338</t>
        </is>
      </c>
      <c r="B4075" t="inlineStr">
        <is>
          <t>Mexx City Breeze Body Fragrance Spray for Him 75ml</t>
        </is>
      </c>
      <c r="C4075" t="inlineStr">
        <is>
          <t>Eau De Toilette</t>
        </is>
      </c>
      <c r="D4075" t="inlineStr">
        <is>
          <t>Mexx</t>
        </is>
      </c>
      <c r="E4075" t="n">
        <v>4.41</v>
      </c>
      <c r="F4075" t="n">
        <v>1</v>
      </c>
      <c r="G4075" t="n">
        <v>6</v>
      </c>
      <c r="H4075" s="5">
        <f>HYPERLINK("https://api.qogita.com/variants/link/3614226765338/", "View Product")</f>
        <v/>
      </c>
    </row>
    <row r="4076">
      <c r="A4076" t="inlineStr">
        <is>
          <t>3614226901330</t>
        </is>
      </c>
      <c r="B4076" t="inlineStr">
        <is>
          <t>Jil Sander Softly Serene Femme Eau De Parfum 80ml</t>
        </is>
      </c>
      <c r="C4076" t="inlineStr">
        <is>
          <t>Eau De Parfum</t>
        </is>
      </c>
      <c r="D4076" t="inlineStr">
        <is>
          <t>Jil Sander</t>
        </is>
      </c>
      <c r="E4076" t="n">
        <v>27.17</v>
      </c>
      <c r="F4076" t="n">
        <v>1</v>
      </c>
      <c r="G4076" t="n">
        <v>6</v>
      </c>
      <c r="H4076" s="5">
        <f>HYPERLINK("https://api.qogita.com/variants/link/3614226901330/", "View Product")</f>
        <v/>
      </c>
    </row>
    <row r="4077">
      <c r="A4077" t="inlineStr">
        <is>
          <t>3614226905000</t>
        </is>
      </c>
      <c r="B4077" t="inlineStr">
        <is>
          <t>Burberry Touch For Women Eau De Parfum Spray 100ml</t>
        </is>
      </c>
      <c r="C4077" t="inlineStr">
        <is>
          <t>Eau De Parfum</t>
        </is>
      </c>
      <c r="D4077" t="inlineStr">
        <is>
          <t>Burberry</t>
        </is>
      </c>
      <c r="E4077" t="n">
        <v>29.55</v>
      </c>
      <c r="F4077" t="n">
        <v>1</v>
      </c>
      <c r="G4077" t="n">
        <v>9</v>
      </c>
      <c r="H4077" s="5">
        <f>HYPERLINK("https://api.qogita.com/variants/link/3614226905000/", "View Product")</f>
        <v/>
      </c>
    </row>
    <row r="4078">
      <c r="A4078" t="inlineStr">
        <is>
          <t>3614226905062</t>
        </is>
      </c>
      <c r="B4078" t="inlineStr">
        <is>
          <t>Burberry Brit Eau De Parfum 50ml For Women Spray</t>
        </is>
      </c>
      <c r="C4078" t="inlineStr">
        <is>
          <t>Eau De Parfum</t>
        </is>
      </c>
      <c r="D4078" t="inlineStr">
        <is>
          <t>Burberry</t>
        </is>
      </c>
      <c r="E4078" t="n">
        <v>25.23</v>
      </c>
      <c r="F4078" t="n">
        <v>1</v>
      </c>
      <c r="G4078" t="n">
        <v>14</v>
      </c>
      <c r="H4078" s="5">
        <f>HYPERLINK("https://api.qogita.com/variants/link/3614226905062/", "View Product")</f>
        <v/>
      </c>
    </row>
    <row r="4079">
      <c r="A4079" t="inlineStr">
        <is>
          <t>3614226905154</t>
        </is>
      </c>
      <c r="B4079" t="inlineStr">
        <is>
          <t>Burberry Brit For Him Eau De Toilette Spray 100 Ml</t>
        </is>
      </c>
      <c r="C4079" t="inlineStr">
        <is>
          <t>Eau De Toilette</t>
        </is>
      </c>
      <c r="D4079" t="inlineStr">
        <is>
          <t>Burberry</t>
        </is>
      </c>
      <c r="E4079" t="n">
        <v>31.73</v>
      </c>
      <c r="F4079" t="n">
        <v>1</v>
      </c>
      <c r="G4079" t="n">
        <v>27</v>
      </c>
      <c r="H4079" s="5">
        <f>HYPERLINK("https://api.qogita.com/variants/link/3614226905154/", "View Product")</f>
        <v/>
      </c>
    </row>
    <row r="4080">
      <c r="A4080" t="inlineStr">
        <is>
          <t>3614226905208</t>
        </is>
      </c>
      <c r="B4080" t="inlineStr">
        <is>
          <t>Burberry For EDP Spray 30ml London Women</t>
        </is>
      </c>
      <c r="C4080" t="inlineStr">
        <is>
          <t>Eau De Parfum</t>
        </is>
      </c>
      <c r="D4080" t="inlineStr">
        <is>
          <t>Burberry</t>
        </is>
      </c>
      <c r="E4080" t="n">
        <v>20</v>
      </c>
      <c r="F4080" t="n">
        <v>1</v>
      </c>
      <c r="G4080" t="n">
        <v>16</v>
      </c>
      <c r="H4080" s="5">
        <f>HYPERLINK("https://api.qogita.com/variants/link/3614226905208/", "View Product")</f>
        <v/>
      </c>
    </row>
    <row r="4081">
      <c r="A4081" t="inlineStr">
        <is>
          <t>3614226905215</t>
        </is>
      </c>
      <c r="B4081" t="inlineStr">
        <is>
          <t>Burberry London For Men Eau De Toilette Spray 100ml</t>
        </is>
      </c>
      <c r="C4081" t="inlineStr">
        <is>
          <t>Eau De Toilette</t>
        </is>
      </c>
      <c r="D4081" t="inlineStr">
        <is>
          <t>Burberry</t>
        </is>
      </c>
      <c r="E4081" t="n">
        <v>29.17</v>
      </c>
      <c r="F4081" t="n">
        <v>1</v>
      </c>
      <c r="G4081" t="n">
        <v>87</v>
      </c>
      <c r="H4081" s="5">
        <f>HYPERLINK("https://api.qogita.com/variants/link/3614226905215/", "View Product")</f>
        <v/>
      </c>
    </row>
    <row r="4082">
      <c r="A4082" t="inlineStr">
        <is>
          <t>3614226905253</t>
        </is>
      </c>
      <c r="B4082" t="inlineStr">
        <is>
          <t>Burberry Brit Eau De Toilette Spray 100ml For Women</t>
        </is>
      </c>
      <c r="C4082" t="inlineStr">
        <is>
          <t>Eau De Toilette</t>
        </is>
      </c>
      <c r="D4082" t="inlineStr">
        <is>
          <t>Burberry</t>
        </is>
      </c>
      <c r="E4082" t="n">
        <v>29.03</v>
      </c>
      <c r="F4082" t="n">
        <v>1</v>
      </c>
      <c r="G4082" t="n">
        <v>17</v>
      </c>
      <c r="H4082" s="5">
        <f>HYPERLINK("https://api.qogita.com/variants/link/3614226905253/", "View Product")</f>
        <v/>
      </c>
    </row>
    <row r="4083">
      <c r="A4083" t="inlineStr">
        <is>
          <t>3614226905697</t>
        </is>
      </c>
      <c r="B4083" t="inlineStr">
        <is>
          <t>Burberry Eau De Parfum Spray 50ml Classic Women's Fragrance</t>
        </is>
      </c>
      <c r="C4083" t="inlineStr">
        <is>
          <t>Eau De Parfum</t>
        </is>
      </c>
      <c r="D4083" t="inlineStr">
        <is>
          <t>Burberry</t>
        </is>
      </c>
      <c r="E4083" t="n">
        <v>22.11</v>
      </c>
      <c r="F4083" t="n">
        <v>1</v>
      </c>
      <c r="G4083" t="n">
        <v>29</v>
      </c>
      <c r="H4083" s="5">
        <f>HYPERLINK("https://api.qogita.com/variants/link/3614226905697/", "View Product")</f>
        <v/>
      </c>
    </row>
    <row r="4084">
      <c r="A4084" t="inlineStr">
        <is>
          <t>3614226969316</t>
        </is>
      </c>
      <c r="B4084" t="inlineStr">
        <is>
          <t>Tiffany &amp; Co Sheer Eau De Toilette 50ml Women Spray By Tiffany &amp; Co</t>
        </is>
      </c>
      <c r="C4084" t="inlineStr">
        <is>
          <t>Eau De Toilette</t>
        </is>
      </c>
      <c r="D4084" t="inlineStr">
        <is>
          <t>Tiffany &amp; Co.</t>
        </is>
      </c>
      <c r="E4084" t="n">
        <v>43.47</v>
      </c>
      <c r="F4084" t="n">
        <v>1</v>
      </c>
      <c r="G4084" t="n">
        <v>6</v>
      </c>
      <c r="H4084" s="5">
        <f>HYPERLINK("https://api.qogita.com/variants/link/3614226969316/", "View Product")</f>
        <v/>
      </c>
    </row>
    <row r="4085">
      <c r="A4085" t="inlineStr">
        <is>
          <t>3614227086029</t>
        </is>
      </c>
      <c r="B4085" t="inlineStr">
        <is>
          <t>Marc Jacobs Perfect Eau De Parfum 50ml A Delightful Fragrance By Marc Jacobs</t>
        </is>
      </c>
      <c r="C4085" t="inlineStr">
        <is>
          <t>Eau De Parfum</t>
        </is>
      </c>
      <c r="D4085" t="inlineStr">
        <is>
          <t>Marc Jacobs</t>
        </is>
      </c>
      <c r="E4085" t="n">
        <v>43.99</v>
      </c>
      <c r="F4085" t="n">
        <v>1</v>
      </c>
      <c r="G4085" t="n">
        <v>66</v>
      </c>
      <c r="H4085" s="5">
        <f>HYPERLINK("https://api.qogita.com/variants/link/3614227086029/", "View Product")</f>
        <v/>
      </c>
    </row>
    <row r="4086">
      <c r="A4086" t="inlineStr">
        <is>
          <t>3614227128545</t>
        </is>
      </c>
      <c r="B4086" t="inlineStr">
        <is>
          <t>Max Factor Miracle Veil Radiant Loose Powder - 4g</t>
        </is>
      </c>
      <c r="C4086" t="inlineStr">
        <is>
          <t>Powder</t>
        </is>
      </c>
      <c r="D4086" t="inlineStr">
        <is>
          <t>Max Factor</t>
        </is>
      </c>
      <c r="E4086" t="n">
        <v>8.56</v>
      </c>
      <c r="F4086" t="n">
        <v>1</v>
      </c>
      <c r="G4086" t="n">
        <v>17</v>
      </c>
      <c r="H4086" s="5">
        <f>HYPERLINK("https://api.qogita.com/variants/link/3614227128545/", "View Product")</f>
        <v/>
      </c>
    </row>
    <row r="4087">
      <c r="A4087" t="inlineStr">
        <is>
          <t>3614227273221</t>
        </is>
      </c>
      <c r="B4087" t="inlineStr">
        <is>
          <t>Nioxin System 4 Conditioner Color Save Revitalizing Conditioner For Colored Falling Hair</t>
        </is>
      </c>
      <c r="C4087" t="inlineStr">
        <is>
          <t>Conditioner</t>
        </is>
      </c>
      <c r="D4087" t="inlineStr">
        <is>
          <t>Nioxin</t>
        </is>
      </c>
      <c r="E4087" t="n">
        <v>14.06</v>
      </c>
      <c r="F4087" t="n">
        <v>1</v>
      </c>
      <c r="G4087" t="n">
        <v>2</v>
      </c>
      <c r="H4087" s="5">
        <f>HYPERLINK("https://api.qogita.com/variants/link/3614227273221/", "View Product")</f>
        <v/>
      </c>
    </row>
    <row r="4088">
      <c r="A4088" t="inlineStr">
        <is>
          <t>3614227575981</t>
        </is>
      </c>
      <c r="B4088" t="inlineStr">
        <is>
          <t>Gucci The Alchemist's Garden Moonlight Serenade Perfumed Water 150ml Unisex Spray</t>
        </is>
      </c>
      <c r="C4088" t="inlineStr">
        <is>
          <t>Eau De Parfum</t>
        </is>
      </c>
      <c r="D4088" t="inlineStr">
        <is>
          <t>Gucci</t>
        </is>
      </c>
      <c r="E4088" t="n">
        <v>133.23</v>
      </c>
      <c r="F4088" t="n">
        <v>1</v>
      </c>
      <c r="G4088" t="n">
        <v>5</v>
      </c>
      <c r="H4088" s="5">
        <f>HYPERLINK("https://api.qogita.com/variants/link/3614227575981/", "View Product")</f>
        <v/>
      </c>
    </row>
    <row r="4089">
      <c r="A4089" t="inlineStr">
        <is>
          <t>3614227728820</t>
        </is>
      </c>
      <c r="B4089" t="inlineStr">
        <is>
          <t>Tiffany &amp; Co Love For Him Eau De Toilette 50ml Men Spray</t>
        </is>
      </c>
      <c r="C4089" t="inlineStr">
        <is>
          <t>Eau De Toilette</t>
        </is>
      </c>
      <c r="D4089" t="inlineStr">
        <is>
          <t>Tiffany &amp; Co.</t>
        </is>
      </c>
      <c r="E4089" t="n">
        <v>40.86</v>
      </c>
      <c r="F4089" t="n">
        <v>1</v>
      </c>
      <c r="G4089" t="n">
        <v>5</v>
      </c>
      <c r="H4089" s="5">
        <f>HYPERLINK("https://api.qogita.com/variants/link/3614227728820/", "View Product")</f>
        <v/>
      </c>
    </row>
    <row r="4090">
      <c r="A4090" t="inlineStr">
        <is>
          <t>3614227748323</t>
        </is>
      </c>
      <c r="B4090" t="inlineStr">
        <is>
          <t>Burberry Weekend Eau De Parfum 50ml For Women</t>
        </is>
      </c>
      <c r="C4090" t="inlineStr">
        <is>
          <t>Eau De Parfum</t>
        </is>
      </c>
      <c r="D4090" t="inlineStr">
        <is>
          <t>Burberry</t>
        </is>
      </c>
      <c r="E4090" t="n">
        <v>19.74</v>
      </c>
      <c r="F4090" t="n">
        <v>1</v>
      </c>
      <c r="G4090" t="n">
        <v>34</v>
      </c>
      <c r="H4090" s="5">
        <f>HYPERLINK("https://api.qogita.com/variants/link/3614227748323/", "View Product")</f>
        <v/>
      </c>
    </row>
    <row r="4091">
      <c r="A4091" t="inlineStr">
        <is>
          <t>3614227748361</t>
        </is>
      </c>
      <c r="B4091" t="inlineStr">
        <is>
          <t>Burberry Weekend Eau De Parfum 30ml For Women</t>
        </is>
      </c>
      <c r="C4091" t="inlineStr">
        <is>
          <t>Eau De Parfum</t>
        </is>
      </c>
      <c r="D4091" t="inlineStr">
        <is>
          <t>Burberry</t>
        </is>
      </c>
      <c r="E4091" t="n">
        <v>21.37</v>
      </c>
      <c r="F4091" t="n">
        <v>1</v>
      </c>
      <c r="G4091" t="n">
        <v>15</v>
      </c>
      <c r="H4091" s="5">
        <f>HYPERLINK("https://api.qogita.com/variants/link/3614227748361/", "View Product")</f>
        <v/>
      </c>
    </row>
    <row r="4092">
      <c r="A4092" t="inlineStr">
        <is>
          <t>3614227748446</t>
        </is>
      </c>
      <c r="B4092" t="inlineStr">
        <is>
          <t>Burberry Weekend Men Eau De Toilette Spray 100ml</t>
        </is>
      </c>
      <c r="C4092" t="inlineStr">
        <is>
          <t>Eau De Toilette</t>
        </is>
      </c>
      <c r="D4092" t="inlineStr">
        <is>
          <t>Burberry</t>
        </is>
      </c>
      <c r="E4092" t="n">
        <v>24.1</v>
      </c>
      <c r="F4092" t="n">
        <v>1</v>
      </c>
      <c r="G4092" t="n">
        <v>10</v>
      </c>
      <c r="H4092" s="5">
        <f>HYPERLINK("https://api.qogita.com/variants/link/3614227748446/", "View Product")</f>
        <v/>
      </c>
    </row>
    <row r="4093">
      <c r="A4093" t="inlineStr">
        <is>
          <t>3614227748484</t>
        </is>
      </c>
      <c r="B4093" t="inlineStr">
        <is>
          <t>Burberry Weekend For Men Eau De Toilette 50ml</t>
        </is>
      </c>
      <c r="C4093" t="inlineStr">
        <is>
          <t>Eau De Toilette</t>
        </is>
      </c>
      <c r="D4093" t="inlineStr">
        <is>
          <t>Burberry</t>
        </is>
      </c>
      <c r="E4093" t="n">
        <v>20.72</v>
      </c>
      <c r="F4093" t="n">
        <v>1</v>
      </c>
      <c r="G4093" t="n">
        <v>5</v>
      </c>
      <c r="H4093" s="5">
        <f>HYPERLINK("https://api.qogita.com/variants/link/3614227748484/", "View Product")</f>
        <v/>
      </c>
    </row>
    <row r="4094">
      <c r="A4094" t="inlineStr">
        <is>
          <t>3614227748521</t>
        </is>
      </c>
      <c r="B4094" t="inlineStr">
        <is>
          <t>Burberry Weekend For Men Eau De Toilette Spray 30ml</t>
        </is>
      </c>
      <c r="C4094" t="inlineStr">
        <is>
          <t>Eau De Toilette</t>
        </is>
      </c>
      <c r="D4094" t="inlineStr">
        <is>
          <t>Burberry</t>
        </is>
      </c>
      <c r="E4094" t="n">
        <v>17.43</v>
      </c>
      <c r="F4094" t="n">
        <v>1</v>
      </c>
      <c r="G4094" t="n">
        <v>3</v>
      </c>
      <c r="H4094" s="5">
        <f>HYPERLINK("https://api.qogita.com/variants/link/3614227748521/", "View Product")</f>
        <v/>
      </c>
    </row>
    <row r="4095">
      <c r="A4095" t="inlineStr">
        <is>
          <t>3614227748682</t>
        </is>
      </c>
      <c r="B4095" t="inlineStr">
        <is>
          <t>Burberry Touch Men Eau De Toilette Spray 100ml</t>
        </is>
      </c>
      <c r="C4095" t="inlineStr">
        <is>
          <t>Eau De Toilette</t>
        </is>
      </c>
      <c r="D4095" t="inlineStr">
        <is>
          <t>Burberry</t>
        </is>
      </c>
      <c r="E4095" t="n">
        <v>24.21</v>
      </c>
      <c r="F4095" t="n">
        <v>1</v>
      </c>
      <c r="G4095" t="n">
        <v>10</v>
      </c>
      <c r="H4095" s="5">
        <f>HYPERLINK("https://api.qogita.com/variants/link/3614227748682/", "View Product")</f>
        <v/>
      </c>
    </row>
    <row r="4096">
      <c r="A4096" t="inlineStr">
        <is>
          <t>3614227748729</t>
        </is>
      </c>
      <c r="B4096" t="inlineStr">
        <is>
          <t>Burberry Touch Men Eau De Toilette Natural Spray 50ml</t>
        </is>
      </c>
      <c r="C4096" t="inlineStr">
        <is>
          <t>Eau De Toilette</t>
        </is>
      </c>
      <c r="D4096" t="inlineStr">
        <is>
          <t>Burberry</t>
        </is>
      </c>
      <c r="E4096" t="n">
        <v>21.29</v>
      </c>
      <c r="F4096" t="n">
        <v>1</v>
      </c>
      <c r="G4096" t="n">
        <v>27</v>
      </c>
      <c r="H4096" s="5">
        <f>HYPERLINK("https://api.qogita.com/variants/link/3614227748729/", "View Product")</f>
        <v/>
      </c>
    </row>
    <row r="4097">
      <c r="A4097" t="inlineStr">
        <is>
          <t>3614227758063</t>
        </is>
      </c>
      <c r="B4097" t="inlineStr">
        <is>
          <t>Gucci Eau De Parfum 30ml</t>
        </is>
      </c>
      <c r="C4097" t="inlineStr">
        <is>
          <t>Eau De Parfum</t>
        </is>
      </c>
      <c r="D4097" t="inlineStr">
        <is>
          <t>Gucci</t>
        </is>
      </c>
      <c r="E4097" t="n">
        <v>46.23</v>
      </c>
      <c r="F4097" t="n">
        <v>1</v>
      </c>
      <c r="G4097" t="n">
        <v>3</v>
      </c>
      <c r="H4097" s="5">
        <f>HYPERLINK("https://api.qogita.com/variants/link/3614227758063/", "View Product")</f>
        <v/>
      </c>
    </row>
    <row r="4098">
      <c r="A4098" t="inlineStr">
        <is>
          <t>3614227768031</t>
        </is>
      </c>
      <c r="B4098" t="inlineStr">
        <is>
          <t>Gucci The Voice of the Snake Eau de Parfum Spray 3.4 oz</t>
        </is>
      </c>
      <c r="C4098" t="inlineStr">
        <is>
          <t>Eau De Parfum</t>
        </is>
      </c>
      <c r="D4098" t="inlineStr">
        <is>
          <t>Gucci</t>
        </is>
      </c>
      <c r="E4098" t="n">
        <v>170.88</v>
      </c>
      <c r="F4098" t="n">
        <v>1</v>
      </c>
      <c r="G4098" t="n">
        <v>5</v>
      </c>
      <c r="H4098" s="5">
        <f>HYPERLINK("https://api.qogita.com/variants/link/3614227768031/", "View Product")</f>
        <v/>
      </c>
    </row>
    <row r="4099">
      <c r="A4099" t="inlineStr">
        <is>
          <t>3614227902084</t>
        </is>
      </c>
      <c r="B4099" t="inlineStr">
        <is>
          <t>Max Factor Colour Elixir Lipstick 055 Bewitching Coral - 4g</t>
        </is>
      </c>
      <c r="C4099" t="inlineStr">
        <is>
          <t>Lipstick</t>
        </is>
      </c>
      <c r="D4099" t="inlineStr">
        <is>
          <t>Max Factor</t>
        </is>
      </c>
      <c r="E4099" t="n">
        <v>6.88</v>
      </c>
      <c r="F4099" t="n">
        <v>1</v>
      </c>
      <c r="G4099" t="n">
        <v>3</v>
      </c>
      <c r="H4099" s="5">
        <f>HYPERLINK("https://api.qogita.com/variants/link/3614227902084/", "View Product")</f>
        <v/>
      </c>
    </row>
    <row r="4100">
      <c r="A4100" t="inlineStr">
        <is>
          <t>3614228174275</t>
        </is>
      </c>
      <c r="B4100" t="inlineStr">
        <is>
          <t>Davidoff Cool Water Intense Eau De Parfum for Him - Oriental Fragrance</t>
        </is>
      </c>
      <c r="C4100" t="inlineStr">
        <is>
          <t>Eau De Parfum</t>
        </is>
      </c>
      <c r="D4100" t="inlineStr">
        <is>
          <t>Davidoff</t>
        </is>
      </c>
      <c r="E4100" t="n">
        <v>32.66</v>
      </c>
      <c r="F4100" t="n">
        <v>1</v>
      </c>
      <c r="G4100" t="n">
        <v>587</v>
      </c>
      <c r="H4100" s="5">
        <f>HYPERLINK("https://api.qogita.com/variants/link/3614228174275/", "View Product")</f>
        <v/>
      </c>
    </row>
    <row r="4101">
      <c r="A4101" t="inlineStr">
        <is>
          <t>3614228228039</t>
        </is>
      </c>
      <c r="B4101" t="inlineStr">
        <is>
          <t>Mexx Whenever For Him Eau De Toilette 50ml Men's Fragrance</t>
        </is>
      </c>
      <c r="C4101" t="inlineStr">
        <is>
          <t>Eau De Toilette</t>
        </is>
      </c>
      <c r="D4101" t="inlineStr">
        <is>
          <t>Mexx</t>
        </is>
      </c>
      <c r="E4101" t="n">
        <v>8.27</v>
      </c>
      <c r="F4101" t="n">
        <v>1</v>
      </c>
      <c r="G4101" t="n">
        <v>13</v>
      </c>
      <c r="H4101" s="5">
        <f>HYPERLINK("https://api.qogita.com/variants/link/3614228228039/", "View Product")</f>
        <v/>
      </c>
    </row>
    <row r="4102">
      <c r="A4102" t="inlineStr">
        <is>
          <t>3614228228695</t>
        </is>
      </c>
      <c r="B4102" t="inlineStr">
        <is>
          <t>Lacoste Eau De Lacoste L1212 Pour Elle French Panache 50ml Women's Eau De Toilette Spray</t>
        </is>
      </c>
      <c r="C4102" t="inlineStr">
        <is>
          <t>Eau De Toilette</t>
        </is>
      </c>
      <c r="D4102" t="inlineStr">
        <is>
          <t>Lacoste</t>
        </is>
      </c>
      <c r="E4102" t="n">
        <v>25.25</v>
      </c>
      <c r="F4102" t="n">
        <v>1</v>
      </c>
      <c r="G4102" t="n">
        <v>5</v>
      </c>
      <c r="H4102" s="5">
        <f>HYPERLINK("https://api.qogita.com/variants/link/3614228228695/", "View Product")</f>
        <v/>
      </c>
    </row>
    <row r="4103">
      <c r="A4103" t="inlineStr">
        <is>
          <t>3614228333399</t>
        </is>
      </c>
      <c r="B4103" t="inlineStr">
        <is>
          <t>Bourjois Oh Oui Brown Fiber Eyebrow Mascara 001 Blonde 6.8ml</t>
        </is>
      </c>
      <c r="C4103" t="inlineStr">
        <is>
          <t>Other</t>
        </is>
      </c>
      <c r="D4103" t="inlineStr">
        <is>
          <t>Bourjois</t>
        </is>
      </c>
      <c r="E4103" t="n">
        <v>4.71</v>
      </c>
      <c r="F4103" t="n">
        <v>1</v>
      </c>
      <c r="G4103" t="n">
        <v>5</v>
      </c>
      <c r="H4103" s="5">
        <f>HYPERLINK("https://api.qogita.com/variants/link/3614228333399/", "View Product")</f>
        <v/>
      </c>
    </row>
    <row r="4104">
      <c r="A4104" t="inlineStr">
        <is>
          <t>3614228410908</t>
        </is>
      </c>
      <c r="B4104" t="inlineStr">
        <is>
          <t>Bourjois Rouge Velvet Ink Matte Liquid Lipstick 09 Rouge A Reves 3.5ml</t>
        </is>
      </c>
      <c r="C4104" t="inlineStr">
        <is>
          <t>Lipstick</t>
        </is>
      </c>
      <c r="D4104" t="inlineStr">
        <is>
          <t>Bourjois</t>
        </is>
      </c>
      <c r="E4104" t="n">
        <v>8.6</v>
      </c>
      <c r="F4104" t="n">
        <v>1</v>
      </c>
      <c r="G4104" t="n">
        <v>3</v>
      </c>
      <c r="H4104" s="5">
        <f>HYPERLINK("https://api.qogita.com/variants/link/3614228410908/", "View Product")</f>
        <v/>
      </c>
    </row>
    <row r="4105">
      <c r="A4105" t="inlineStr">
        <is>
          <t>3614228411653</t>
        </is>
      </c>
      <c r="B4105" t="inlineStr">
        <is>
          <t>Bourjois Waterproof Brush Liner Eyeliner 004 Blue Pop Art 25g</t>
        </is>
      </c>
      <c r="C4105" t="inlineStr">
        <is>
          <t>Eyeliner</t>
        </is>
      </c>
      <c r="D4105" t="inlineStr">
        <is>
          <t>Bourjois</t>
        </is>
      </c>
      <c r="E4105" t="n">
        <v>5.59</v>
      </c>
      <c r="F4105" t="n">
        <v>1</v>
      </c>
      <c r="G4105" t="n">
        <v>3</v>
      </c>
      <c r="H4105" s="5">
        <f>HYPERLINK("https://api.qogita.com/variants/link/3614228411653/", "View Product")</f>
        <v/>
      </c>
    </row>
    <row r="4106">
      <c r="A4106" t="inlineStr">
        <is>
          <t>3614228413411</t>
        </is>
      </c>
      <c r="B4106" t="inlineStr">
        <is>
          <t>Bourjois Always Fabulous Extreme Resist Spf20 Concealing Foundation 110 Light Vanilla 30ml</t>
        </is>
      </c>
      <c r="C4106" t="inlineStr">
        <is>
          <t>Foundation</t>
        </is>
      </c>
      <c r="D4106" t="inlineStr">
        <is>
          <t>Bourjois</t>
        </is>
      </c>
      <c r="E4106" t="n">
        <v>7.41</v>
      </c>
      <c r="F4106" t="n">
        <v>1</v>
      </c>
      <c r="G4106" t="n">
        <v>2</v>
      </c>
      <c r="H4106" s="5">
        <f>HYPERLINK("https://api.qogita.com/variants/link/3614228413411/", "View Product")</f>
        <v/>
      </c>
    </row>
    <row r="4107">
      <c r="A4107" t="inlineStr">
        <is>
          <t>3614228413435</t>
        </is>
      </c>
      <c r="B4107" t="inlineStr">
        <is>
          <t>Bourjois Always Fabulous Extreme Resist Spf20 Concealing Foundation 125 Ivory 30ml</t>
        </is>
      </c>
      <c r="C4107" t="inlineStr">
        <is>
          <t>Foundation</t>
        </is>
      </c>
      <c r="D4107" t="inlineStr">
        <is>
          <t>Bourjois</t>
        </is>
      </c>
      <c r="E4107" t="n">
        <v>7.37</v>
      </c>
      <c r="F4107" t="n">
        <v>1</v>
      </c>
      <c r="G4107" t="n">
        <v>2</v>
      </c>
      <c r="H4107" s="5">
        <f>HYPERLINK("https://api.qogita.com/variants/link/3614228413435/", "View Product")</f>
        <v/>
      </c>
    </row>
    <row r="4108">
      <c r="A4108" t="inlineStr">
        <is>
          <t>3614228413466</t>
        </is>
      </c>
      <c r="B4108" t="inlineStr">
        <is>
          <t>Bourjois Always Fabulous Full Coverage Foundation Spf20 - 310 Beige, 30ml</t>
        </is>
      </c>
      <c r="C4108" t="inlineStr">
        <is>
          <t>Foundation</t>
        </is>
      </c>
      <c r="D4108" t="inlineStr">
        <is>
          <t>Bourjois</t>
        </is>
      </c>
      <c r="E4108" t="n">
        <v>6.93</v>
      </c>
      <c r="F4108" t="n">
        <v>1</v>
      </c>
      <c r="G4108" t="n">
        <v>5</v>
      </c>
      <c r="H4108" s="5">
        <f>HYPERLINK("https://api.qogita.com/variants/link/3614228413466/", "View Product")</f>
        <v/>
      </c>
    </row>
    <row r="4109">
      <c r="A4109" t="inlineStr">
        <is>
          <t>3614228830393</t>
        </is>
      </c>
      <c r="B4109" t="inlineStr">
        <is>
          <t>Hugo Boss Alive Eau De Parfum 80ml Women's Spray</t>
        </is>
      </c>
      <c r="C4109" t="inlineStr">
        <is>
          <t>Eau De Parfum</t>
        </is>
      </c>
      <c r="D4109" t="inlineStr">
        <is>
          <t>Hugo Boss</t>
        </is>
      </c>
      <c r="E4109" t="n">
        <v>49.39</v>
      </c>
      <c r="F4109" t="n">
        <v>1</v>
      </c>
      <c r="G4109" t="n">
        <v>166</v>
      </c>
      <c r="H4109" s="5">
        <f>HYPERLINK("https://api.qogita.com/variants/link/3614228830393/", "View Product")</f>
        <v/>
      </c>
    </row>
    <row r="4110">
      <c r="A4110" t="inlineStr">
        <is>
          <t>3614228834957</t>
        </is>
      </c>
      <c r="B4110" t="inlineStr">
        <is>
          <t>Calvin Klein Eternity For Women Eau Fresh Eau De Parfum Floral Fruity</t>
        </is>
      </c>
      <c r="C4110" t="inlineStr">
        <is>
          <t>Eau De Parfum</t>
        </is>
      </c>
      <c r="D4110" t="inlineStr">
        <is>
          <t>Calvin Klein</t>
        </is>
      </c>
      <c r="E4110" t="n">
        <v>23.03</v>
      </c>
      <c r="F4110" t="n">
        <v>1</v>
      </c>
      <c r="G4110" t="n">
        <v>79</v>
      </c>
      <c r="H4110" s="5">
        <f>HYPERLINK("https://api.qogita.com/variants/link/3614228834957/", "View Product")</f>
        <v/>
      </c>
    </row>
    <row r="4111">
      <c r="A4111" t="inlineStr">
        <is>
          <t>3614228837996</t>
        </is>
      </c>
      <c r="B4111" t="inlineStr">
        <is>
          <t>Burberry Hero Eau De Parfum 150ml</t>
        </is>
      </c>
      <c r="C4111" t="inlineStr">
        <is>
          <t>Eau De Parfum</t>
        </is>
      </c>
      <c r="D4111" t="inlineStr">
        <is>
          <t>Burberry</t>
        </is>
      </c>
      <c r="E4111" t="n">
        <v>80.01000000000001</v>
      </c>
      <c r="F4111" t="n">
        <v>1</v>
      </c>
      <c r="G4111" t="n">
        <v>16</v>
      </c>
      <c r="H4111" s="5">
        <f>HYPERLINK("https://api.qogita.com/variants/link/3614228837996/", "View Product")</f>
        <v/>
      </c>
    </row>
    <row r="4112">
      <c r="A4112" t="inlineStr">
        <is>
          <t>3614228838030</t>
        </is>
      </c>
      <c r="B4112" t="inlineStr">
        <is>
          <t>Burberry Hero for Men 1.6 Oz EDP Spray 47.32 ml</t>
        </is>
      </c>
      <c r="C4112" t="inlineStr">
        <is>
          <t>Eau De Parfum</t>
        </is>
      </c>
      <c r="D4112" t="inlineStr">
        <is>
          <t>Burberry</t>
        </is>
      </c>
      <c r="E4112" t="n">
        <v>45.74</v>
      </c>
      <c r="F4112" t="n">
        <v>1</v>
      </c>
      <c r="G4112" t="n">
        <v>9</v>
      </c>
      <c r="H4112" s="5">
        <f>HYPERLINK("https://api.qogita.com/variants/link/3614228838030/", "View Product")</f>
        <v/>
      </c>
    </row>
    <row r="4113">
      <c r="A4113" t="inlineStr">
        <is>
          <t>3614228865647</t>
        </is>
      </c>
      <c r="B4113" t="inlineStr">
        <is>
          <t>Wella Professional Nutricurls Micellar Shampoo For Wavy And Curly Hair 250ml</t>
        </is>
      </c>
      <c r="C4113" t="inlineStr">
        <is>
          <t>Shampoo</t>
        </is>
      </c>
      <c r="D4113" t="inlineStr">
        <is>
          <t>Wella Professionals</t>
        </is>
      </c>
      <c r="E4113" t="n">
        <v>9.9</v>
      </c>
      <c r="F4113" t="n">
        <v>1</v>
      </c>
      <c r="G4113" t="n">
        <v>7</v>
      </c>
      <c r="H4113" s="5">
        <f>HYPERLINK("https://api.qogita.com/variants/link/3614228865647/", "View Product")</f>
        <v/>
      </c>
    </row>
    <row r="4114">
      <c r="A4114" t="inlineStr">
        <is>
          <t>3614228899376</t>
        </is>
      </c>
      <c r="B4114" t="inlineStr">
        <is>
          <t>Paradise Found EDT Spray 75ml</t>
        </is>
      </c>
      <c r="C4114" t="inlineStr">
        <is>
          <t>Eau De Toilette</t>
        </is>
      </c>
      <c r="D4114" t="inlineStr">
        <is>
          <t>Roberto Cavalli</t>
        </is>
      </c>
      <c r="E4114" t="n">
        <v>31.75</v>
      </c>
      <c r="F4114" t="n">
        <v>1</v>
      </c>
      <c r="G4114" t="n">
        <v>14</v>
      </c>
      <c r="H4114" s="5">
        <f>HYPERLINK("https://api.qogita.com/variants/link/3614228899376/", "View Product")</f>
        <v/>
      </c>
    </row>
    <row r="4115">
      <c r="A4115" t="inlineStr">
        <is>
          <t>3614228979337</t>
        </is>
      </c>
      <c r="B4115" t="inlineStr">
        <is>
          <t>Calvin Klein Eternity For Men Eau De Toilette 200 Ml Big Size</t>
        </is>
      </c>
      <c r="C4115" t="inlineStr">
        <is>
          <t>Eau De Toilette</t>
        </is>
      </c>
      <c r="D4115" t="inlineStr">
        <is>
          <t>Calvin Klein</t>
        </is>
      </c>
      <c r="E4115" t="n">
        <v>44.45</v>
      </c>
      <c r="F4115" t="n">
        <v>1</v>
      </c>
      <c r="G4115" t="n">
        <v>12</v>
      </c>
      <c r="H4115" s="5">
        <f>HYPERLINK("https://api.qogita.com/variants/link/3614228979337/", "View Product")</f>
        <v/>
      </c>
    </row>
    <row r="4116">
      <c r="A4116" t="inlineStr">
        <is>
          <t>3614229159035</t>
        </is>
      </c>
      <c r="B4116" t="inlineStr">
        <is>
          <t>Marc Jacobs Daisy Eau De Toilette 30ml Women Spray</t>
        </is>
      </c>
      <c r="C4116" t="inlineStr">
        <is>
          <t>Eau De Toilette</t>
        </is>
      </c>
      <c r="D4116" t="inlineStr">
        <is>
          <t>Marc Jacobs</t>
        </is>
      </c>
      <c r="E4116" t="n">
        <v>26.52</v>
      </c>
      <c r="F4116" t="n">
        <v>1</v>
      </c>
      <c r="G4116" t="n">
        <v>13</v>
      </c>
      <c r="H4116" s="5">
        <f>HYPERLINK("https://api.qogita.com/variants/link/3614229159035/", "View Product")</f>
        <v/>
      </c>
    </row>
    <row r="4117">
      <c r="A4117" t="inlineStr">
        <is>
          <t>3614229196054</t>
        </is>
      </c>
      <c r="B4117" t="inlineStr">
        <is>
          <t>Londa Professional Light Plex 3 Bond Retention Mask For Intensive Home Care For Lightened Hair</t>
        </is>
      </c>
      <c r="C4117" t="inlineStr">
        <is>
          <t>Hair Masks</t>
        </is>
      </c>
      <c r="D4117" t="inlineStr">
        <is>
          <t>Londa Professional</t>
        </is>
      </c>
      <c r="E4117" t="n">
        <v>12.59</v>
      </c>
      <c r="F4117" t="n">
        <v>1</v>
      </c>
      <c r="G4117" t="n">
        <v>30</v>
      </c>
      <c r="H4117" s="5">
        <f>HYPERLINK("https://api.qogita.com/variants/link/3614229196054/", "View Product")</f>
        <v/>
      </c>
    </row>
    <row r="4118">
      <c r="A4118" t="inlineStr">
        <is>
          <t>3614229210514</t>
        </is>
      </c>
      <c r="B4118" t="inlineStr">
        <is>
          <t>Sebastian Styling Agents</t>
        </is>
      </c>
      <c r="C4118" t="inlineStr">
        <is>
          <t>Styling Sprays</t>
        </is>
      </c>
      <c r="D4118" t="inlineStr">
        <is>
          <t>Sebastian</t>
        </is>
      </c>
      <c r="E4118" t="n">
        <v>16.64</v>
      </c>
      <c r="F4118" t="n">
        <v>1</v>
      </c>
      <c r="G4118" t="n">
        <v>21</v>
      </c>
      <c r="H4118" s="5">
        <f>HYPERLINK("https://api.qogita.com/variants/link/3614229210514/", "View Product")</f>
        <v/>
      </c>
    </row>
    <row r="4119">
      <c r="A4119" t="inlineStr">
        <is>
          <t>3614229279030</t>
        </is>
      </c>
      <c r="B4119" t="inlineStr">
        <is>
          <t>Bruno Banani Woman Fun-Loving Flower Body Mist Spray 250ml</t>
        </is>
      </c>
      <c r="C4119" t="inlineStr">
        <is>
          <t>Eau De Toilette</t>
        </is>
      </c>
      <c r="D4119" t="inlineStr">
        <is>
          <t>Bruno Banani</t>
        </is>
      </c>
      <c r="E4119" t="n">
        <v>4.12</v>
      </c>
      <c r="F4119" t="n">
        <v>1</v>
      </c>
      <c r="G4119" t="n">
        <v>39</v>
      </c>
      <c r="H4119" s="5">
        <f>HYPERLINK("https://api.qogita.com/variants/link/3614229279030/", "View Product")</f>
        <v/>
      </c>
    </row>
    <row r="4120">
      <c r="A4120" t="inlineStr">
        <is>
          <t>3614229382112</t>
        </is>
      </c>
      <c r="B4120" t="inlineStr">
        <is>
          <t>Gucci Guilty Pour Homme Eau De Parfum 50ml</t>
        </is>
      </c>
      <c r="C4120" t="inlineStr">
        <is>
          <t>Eau De Parfum</t>
        </is>
      </c>
      <c r="D4120" t="inlineStr">
        <is>
          <t>Gucci</t>
        </is>
      </c>
      <c r="E4120" t="n">
        <v>45.87</v>
      </c>
      <c r="F4120" t="n">
        <v>1</v>
      </c>
      <c r="G4120" t="n">
        <v>23</v>
      </c>
      <c r="H4120" s="5">
        <f>HYPERLINK("https://api.qogita.com/variants/link/3614229382112/", "View Product")</f>
        <v/>
      </c>
    </row>
    <row r="4121">
      <c r="A4121" t="inlineStr">
        <is>
          <t>3614229395709</t>
        </is>
      </c>
      <c r="B4121" t="inlineStr">
        <is>
          <t>Nomade Naturelle 100% by Chloe for Women 2.5 Oz EDP Spray 73.93ml</t>
        </is>
      </c>
      <c r="C4121" t="inlineStr">
        <is>
          <t>Eau De Parfum</t>
        </is>
      </c>
      <c r="D4121" t="inlineStr">
        <is>
          <t>Chloé</t>
        </is>
      </c>
      <c r="E4121" t="n">
        <v>59.25</v>
      </c>
      <c r="F4121" t="n">
        <v>1</v>
      </c>
      <c r="G4121" t="n">
        <v>67</v>
      </c>
      <c r="H4121" s="5">
        <f>HYPERLINK("https://api.qogita.com/variants/link/3614229395709/", "View Product")</f>
        <v/>
      </c>
    </row>
    <row r="4122">
      <c r="A4122" t="inlineStr">
        <is>
          <t>3614229448061</t>
        </is>
      </c>
      <c r="B4122" t="inlineStr">
        <is>
          <t>Max Factor Real Brow Fill &amp; Shape Dual-Ended Eyebrow Pencil 03 Medium Brown 0.7g</t>
        </is>
      </c>
      <c r="C4122" t="inlineStr">
        <is>
          <t>Eyebrow Pencil</t>
        </is>
      </c>
      <c r="D4122" t="inlineStr">
        <is>
          <t>Max Factor</t>
        </is>
      </c>
      <c r="E4122" t="n">
        <v>6.01</v>
      </c>
      <c r="F4122" t="n">
        <v>1</v>
      </c>
      <c r="G4122" t="n">
        <v>2</v>
      </c>
      <c r="H4122" s="5">
        <f>HYPERLINK("https://api.qogita.com/variants/link/3614229448061/", "View Product")</f>
        <v/>
      </c>
    </row>
    <row r="4123">
      <c r="A4123" t="inlineStr">
        <is>
          <t>3614229461312</t>
        </is>
      </c>
      <c r="B4123" t="inlineStr">
        <is>
          <t>Gucci Bloom Profumo Di Fiori Eau De Parfum Spray 100ml</t>
        </is>
      </c>
      <c r="C4123" t="inlineStr">
        <is>
          <t>Eau De Parfum</t>
        </is>
      </c>
      <c r="D4123" t="inlineStr">
        <is>
          <t>Gucci</t>
        </is>
      </c>
      <c r="E4123" t="n">
        <v>56.17</v>
      </c>
      <c r="F4123" t="n">
        <v>1</v>
      </c>
      <c r="G4123" t="n">
        <v>21</v>
      </c>
      <c r="H4123" s="5">
        <f>HYPERLINK("https://api.qogita.com/variants/link/3614229461312/", "View Product")</f>
        <v/>
      </c>
    </row>
    <row r="4124">
      <c r="A4124" t="inlineStr">
        <is>
          <t>3614229478693</t>
        </is>
      </c>
      <c r="B4124" t="inlineStr">
        <is>
          <t>Escada Flor Del Sol Eau De Toilette Spray 100ml</t>
        </is>
      </c>
      <c r="C4124" t="inlineStr">
        <is>
          <t>Eau De Toilette</t>
        </is>
      </c>
      <c r="D4124" t="inlineStr">
        <is>
          <t>Escada</t>
        </is>
      </c>
      <c r="E4124" t="n">
        <v>25.99</v>
      </c>
      <c r="F4124" t="n">
        <v>1</v>
      </c>
      <c r="G4124" t="n">
        <v>1095</v>
      </c>
      <c r="H4124" s="5">
        <f>HYPERLINK("https://api.qogita.com/variants/link/3614229478693/", "View Product")</f>
        <v/>
      </c>
    </row>
    <row r="4125">
      <c r="A4125" t="inlineStr">
        <is>
          <t>3614229656138</t>
        </is>
      </c>
      <c r="B4125" t="inlineStr">
        <is>
          <t>Calvin Klein Ck Everyone Eau De Toilette Spray 50ml</t>
        </is>
      </c>
      <c r="C4125" t="inlineStr">
        <is>
          <t>Eau De Toilette</t>
        </is>
      </c>
      <c r="D4125" t="inlineStr">
        <is>
          <t>Calvin Klein</t>
        </is>
      </c>
      <c r="E4125" t="n">
        <v>13.62</v>
      </c>
      <c r="F4125" t="n">
        <v>1</v>
      </c>
      <c r="G4125" t="n">
        <v>82</v>
      </c>
      <c r="H4125" s="5">
        <f>HYPERLINK("https://api.qogita.com/variants/link/3614229656138/", "View Product")</f>
        <v/>
      </c>
    </row>
    <row r="4126">
      <c r="A4126" t="inlineStr">
        <is>
          <t>3614229718805</t>
        </is>
      </c>
      <c r="B4126" t="inlineStr">
        <is>
          <t>Wella Professionals Color Fresh Mask 150 Ml Hair Mask</t>
        </is>
      </c>
      <c r="C4126" t="inlineStr">
        <is>
          <t>Hair Masks</t>
        </is>
      </c>
      <c r="D4126" t="inlineStr">
        <is>
          <t>Wella Professionals</t>
        </is>
      </c>
      <c r="E4126" t="n">
        <v>7.75</v>
      </c>
      <c r="F4126" t="n">
        <v>1</v>
      </c>
      <c r="G4126" t="n">
        <v>2</v>
      </c>
      <c r="H4126" s="5">
        <f>HYPERLINK("https://api.qogita.com/variants/link/3614229718805/", "View Product")</f>
        <v/>
      </c>
    </row>
    <row r="4127">
      <c r="A4127" t="inlineStr">
        <is>
          <t>3614229721621</t>
        </is>
      </c>
      <c r="B4127" t="inlineStr">
        <is>
          <t>Wella Wella Professional Koleston Perfect Me Regenerator 60ml</t>
        </is>
      </c>
      <c r="C4127" t="inlineStr">
        <is>
          <t>Conditioner</t>
        </is>
      </c>
      <c r="D4127" t="inlineStr">
        <is>
          <t>Wella</t>
        </is>
      </c>
      <c r="E4127" t="n">
        <v>7.54</v>
      </c>
      <c r="F4127" t="n">
        <v>1</v>
      </c>
      <c r="G4127" t="n">
        <v>5</v>
      </c>
      <c r="H4127" s="5">
        <f>HYPERLINK("https://api.qogita.com/variants/link/3614229721621/", "View Product")</f>
        <v/>
      </c>
    </row>
    <row r="4128">
      <c r="A4128" t="inlineStr">
        <is>
          <t>3614229820782</t>
        </is>
      </c>
      <c r="B4128" t="inlineStr">
        <is>
          <t>Burberry Hero Eau De Toilette Spray 50ml</t>
        </is>
      </c>
      <c r="C4128" t="inlineStr">
        <is>
          <t>Eau De Toilette</t>
        </is>
      </c>
      <c r="D4128" t="inlineStr">
        <is>
          <t>Burberry</t>
        </is>
      </c>
      <c r="E4128" t="n">
        <v>35.6</v>
      </c>
      <c r="F4128" t="n">
        <v>1</v>
      </c>
      <c r="G4128" t="n">
        <v>32</v>
      </c>
      <c r="H4128" s="5">
        <f>HYPERLINK("https://api.qogita.com/variants/link/3614229820782/", "View Product")</f>
        <v/>
      </c>
    </row>
    <row r="4129">
      <c r="A4129" t="inlineStr">
        <is>
          <t>3614229823868</t>
        </is>
      </c>
      <c r="B4129" t="inlineStr">
        <is>
          <t>Hugo Boss Hugo Just Different Eau De Toilette Spray 40ml</t>
        </is>
      </c>
      <c r="C4129" t="inlineStr">
        <is>
          <t>Eau De Toilette</t>
        </is>
      </c>
      <c r="D4129" t="inlineStr">
        <is>
          <t>Hugo Boss</t>
        </is>
      </c>
      <c r="E4129" t="n">
        <v>18.39</v>
      </c>
      <c r="F4129" t="n">
        <v>1</v>
      </c>
      <c r="G4129" t="n">
        <v>86</v>
      </c>
      <c r="H4129" s="5">
        <f>HYPERLINK("https://api.qogita.com/variants/link/3614229823868/", "View Product")</f>
        <v/>
      </c>
    </row>
    <row r="4130">
      <c r="A4130" t="inlineStr">
        <is>
          <t>3614229824742</t>
        </is>
      </c>
      <c r="B4130" t="inlineStr">
        <is>
          <t>Hugo Boss Confident Oud Eau De Parfum</t>
        </is>
      </c>
      <c r="C4130" t="inlineStr">
        <is>
          <t>Eau De Parfum</t>
        </is>
      </c>
      <c r="D4130" t="inlineStr">
        <is>
          <t>Hugo Boss</t>
        </is>
      </c>
      <c r="E4130" t="n">
        <v>51.09</v>
      </c>
      <c r="F4130" t="n">
        <v>1</v>
      </c>
      <c r="G4130" t="n">
        <v>13</v>
      </c>
      <c r="H4130" s="5">
        <f>HYPERLINK("https://api.qogita.com/variants/link/3614229824742/", "View Product")</f>
        <v/>
      </c>
    </row>
    <row r="4131">
      <c r="A4131" t="inlineStr">
        <is>
          <t>3614229829006</t>
        </is>
      </c>
      <c r="B4131" t="inlineStr">
        <is>
          <t>Burberry My Burberry Black Perfume Spray 90ml</t>
        </is>
      </c>
      <c r="C4131" t="inlineStr">
        <is>
          <t>Eau De Parfum</t>
        </is>
      </c>
      <c r="D4131" t="inlineStr">
        <is>
          <t>Burberry</t>
        </is>
      </c>
      <c r="E4131" t="n">
        <v>54.26</v>
      </c>
      <c r="F4131" t="n">
        <v>1</v>
      </c>
      <c r="G4131" t="n">
        <v>5</v>
      </c>
      <c r="H4131" s="5">
        <f>HYPERLINK("https://api.qogita.com/variants/link/3614229829006/", "View Product")</f>
        <v/>
      </c>
    </row>
    <row r="4132">
      <c r="A4132" t="inlineStr">
        <is>
          <t>3614229833812</t>
        </is>
      </c>
      <c r="B4132" t="inlineStr">
        <is>
          <t>Tiffany &amp; Co. Rose Gold Eau De Parfum Spray 75ml</t>
        </is>
      </c>
      <c r="C4132" t="inlineStr">
        <is>
          <t>Eau De Parfum</t>
        </is>
      </c>
      <c r="D4132" t="inlineStr">
        <is>
          <t>Tiffany Co</t>
        </is>
      </c>
      <c r="E4132" t="n">
        <v>61.99</v>
      </c>
      <c r="F4132" t="n">
        <v>1</v>
      </c>
      <c r="G4132" t="n">
        <v>6</v>
      </c>
      <c r="H4132" s="5">
        <f>HYPERLINK("https://api.qogita.com/variants/link/3614229833812/", "View Product")</f>
        <v/>
      </c>
    </row>
    <row r="4133">
      <c r="A4133" t="inlineStr">
        <is>
          <t>3614270457500</t>
        </is>
      </c>
      <c r="B4133" t="inlineStr">
        <is>
          <t>Lancome Hypnose Volumeaporter 01 Noir Intense Volume Mascara 65ml</t>
        </is>
      </c>
      <c r="C4133" t="inlineStr">
        <is>
          <t>Mascara</t>
        </is>
      </c>
      <c r="D4133" t="inlineStr">
        <is>
          <t>Lancôme</t>
        </is>
      </c>
      <c r="E4133" t="n">
        <v>24.11</v>
      </c>
      <c r="F4133" t="n">
        <v>1</v>
      </c>
      <c r="G4133" t="n">
        <v>13</v>
      </c>
      <c r="H4133" s="5">
        <f>HYPERLINK("https://api.qogita.com/variants/link/3614270457500/", "View Product")</f>
        <v/>
      </c>
    </row>
    <row r="4134">
      <c r="A4134" t="inlineStr">
        <is>
          <t>3614270561658</t>
        </is>
      </c>
      <c r="B4134" t="inlineStr">
        <is>
          <t>Yves Saint Laurent Mon Paris Eau De Parfum 50ml Women's Spray</t>
        </is>
      </c>
      <c r="C4134" t="inlineStr">
        <is>
          <t>Eau De Parfum</t>
        </is>
      </c>
      <c r="D4134" t="inlineStr">
        <is>
          <t>Yves Saint Laurent</t>
        </is>
      </c>
      <c r="E4134" t="n">
        <v>71.61</v>
      </c>
      <c r="F4134" t="n">
        <v>1</v>
      </c>
      <c r="G4134" t="n">
        <v>7</v>
      </c>
      <c r="H4134" s="5">
        <f>HYPERLINK("https://api.qogita.com/variants/link/3614270561658/", "View Product")</f>
        <v/>
      </c>
    </row>
    <row r="4135">
      <c r="A4135" t="inlineStr">
        <is>
          <t>3614270971235</t>
        </is>
      </c>
      <c r="B4135" t="inlineStr">
        <is>
          <t>Lancme Effacernes Longue Tenue No02 Beige Sable Spf 30 Concealer 15ml</t>
        </is>
      </c>
      <c r="C4135" t="inlineStr">
        <is>
          <t>Concealer</t>
        </is>
      </c>
      <c r="D4135" t="inlineStr">
        <is>
          <t>Lancôme</t>
        </is>
      </c>
      <c r="E4135" t="n">
        <v>28.05</v>
      </c>
      <c r="F4135" t="n">
        <v>1</v>
      </c>
      <c r="G4135" t="n">
        <v>8</v>
      </c>
      <c r="H4135" s="5">
        <f>HYPERLINK("https://api.qogita.com/variants/link/3614270971235/", "View Product")</f>
        <v/>
      </c>
    </row>
    <row r="4136">
      <c r="A4136" t="inlineStr">
        <is>
          <t>3614271260420</t>
        </is>
      </c>
      <c r="B4136" t="inlineStr">
        <is>
          <t>Bio Biocils Special Waterproof Mascara 100ml</t>
        </is>
      </c>
      <c r="C4136" t="inlineStr">
        <is>
          <t>Eyelash Serum &amp; Eyebrow Serum</t>
        </is>
      </c>
      <c r="D4136" t="inlineStr">
        <is>
          <t>Biotherm</t>
        </is>
      </c>
      <c r="E4136" t="n">
        <v>16.59</v>
      </c>
      <c r="F4136" t="n">
        <v>1</v>
      </c>
      <c r="G4136" t="n">
        <v>3</v>
      </c>
      <c r="H4136" s="5">
        <f>HYPERLINK("https://api.qogita.com/variants/link/3614271260420/", "View Product")</f>
        <v/>
      </c>
    </row>
    <row r="4137">
      <c r="A4137" t="inlineStr">
        <is>
          <t>3614271327611</t>
        </is>
      </c>
      <c r="B4137" t="inlineStr">
        <is>
          <t>GIORGIO ARMANI Eccentrico Instant High Volume and Definition Mascara 0.33 Ounce</t>
        </is>
      </c>
      <c r="C4137" t="inlineStr">
        <is>
          <t>Mascara</t>
        </is>
      </c>
      <c r="D4137" t="inlineStr">
        <is>
          <t>Emporio Armani</t>
        </is>
      </c>
      <c r="E4137" t="n">
        <v>32.44</v>
      </c>
      <c r="F4137" t="n">
        <v>1</v>
      </c>
      <c r="G4137" t="n">
        <v>29</v>
      </c>
      <c r="H4137" s="5">
        <f>HYPERLINK("https://api.qogita.com/variants/link/3614271327611/", "View Product")</f>
        <v/>
      </c>
    </row>
    <row r="4138">
      <c r="A4138" t="inlineStr">
        <is>
          <t>3614271437983</t>
        </is>
      </c>
      <c r="B4138" t="inlineStr">
        <is>
          <t>Lancme Teint Miracle Spf15 02 Lys Ros 30ml</t>
        </is>
      </c>
      <c r="C4138" t="inlineStr">
        <is>
          <t>Foundation</t>
        </is>
      </c>
      <c r="D4138" t="inlineStr">
        <is>
          <t>Lancôme</t>
        </is>
      </c>
      <c r="E4138" t="n">
        <v>39.69</v>
      </c>
      <c r="F4138" t="n">
        <v>1</v>
      </c>
      <c r="G4138" t="n">
        <v>4</v>
      </c>
      <c r="H4138" s="5">
        <f>HYPERLINK("https://api.qogita.com/variants/link/3614271437983/", "View Product")</f>
        <v/>
      </c>
    </row>
    <row r="4139">
      <c r="A4139" t="inlineStr">
        <is>
          <t>3614271682369</t>
        </is>
      </c>
      <c r="B4139" t="inlineStr">
        <is>
          <t>Lancme Monsieur Big Mascara 01 Black 10ml</t>
        </is>
      </c>
      <c r="C4139" t="inlineStr">
        <is>
          <t>Mascara</t>
        </is>
      </c>
      <c r="D4139" t="inlineStr">
        <is>
          <t>Lancôme</t>
        </is>
      </c>
      <c r="E4139" t="n">
        <v>21.76</v>
      </c>
      <c r="F4139" t="n">
        <v>1</v>
      </c>
      <c r="G4139" t="n">
        <v>5</v>
      </c>
      <c r="H4139" s="5">
        <f>HYPERLINK("https://api.qogita.com/variants/link/3614271682369/", "View Product")</f>
        <v/>
      </c>
    </row>
    <row r="4140">
      <c r="A4140" t="inlineStr">
        <is>
          <t>3614271775016</t>
        </is>
      </c>
      <c r="B4140" t="inlineStr">
        <is>
          <t>Cacharel Yes I Am Eau De Parfum 50ml For Women</t>
        </is>
      </c>
      <c r="C4140" t="inlineStr">
        <is>
          <t>Eau De Parfum</t>
        </is>
      </c>
      <c r="D4140" t="inlineStr">
        <is>
          <t>Cacharel</t>
        </is>
      </c>
      <c r="E4140" t="n">
        <v>28.64</v>
      </c>
      <c r="F4140" t="n">
        <v>1</v>
      </c>
      <c r="G4140" t="n">
        <v>3</v>
      </c>
      <c r="H4140" s="5">
        <f>HYPERLINK("https://api.qogita.com/variants/link/3614271775016/", "View Product")</f>
        <v/>
      </c>
    </row>
    <row r="4141">
      <c r="A4141" t="inlineStr">
        <is>
          <t>3614271895424</t>
        </is>
      </c>
      <c r="B4141" t="inlineStr">
        <is>
          <t>Giorgio Armani A-Line Blush Rouge 30 Corail 9ml</t>
        </is>
      </c>
      <c r="C4141" t="inlineStr">
        <is>
          <t>Blush</t>
        </is>
      </c>
      <c r="D4141" t="inlineStr">
        <is>
          <t>Giorgio Armani</t>
        </is>
      </c>
      <c r="E4141" t="n">
        <v>30.68</v>
      </c>
      <c r="F4141" t="n">
        <v>1</v>
      </c>
      <c r="G4141" t="n">
        <v>9</v>
      </c>
      <c r="H4141" s="5">
        <f>HYPERLINK("https://api.qogita.com/variants/link/3614271895424/", "View Product")</f>
        <v/>
      </c>
    </row>
    <row r="4142">
      <c r="A4142" t="inlineStr">
        <is>
          <t>3614271988966</t>
        </is>
      </c>
      <c r="B4142" t="inlineStr">
        <is>
          <t>Helena Rubinstein Re-Plasty Laserist Serum</t>
        </is>
      </c>
      <c r="C4142" t="inlineStr">
        <is>
          <t>Anti-Aging Serum</t>
        </is>
      </c>
      <c r="D4142" t="inlineStr">
        <is>
          <t>Helena Rubinstein</t>
        </is>
      </c>
      <c r="E4142" t="n">
        <v>220.96</v>
      </c>
      <c r="F4142" t="n">
        <v>1</v>
      </c>
      <c r="G4142" t="n">
        <v>6</v>
      </c>
      <c r="H4142" s="5">
        <f>HYPERLINK("https://api.qogita.com/variants/link/3614271988966/", "View Product")</f>
        <v/>
      </c>
    </row>
    <row r="4143">
      <c r="A4143" t="inlineStr">
        <is>
          <t>3614272044371</t>
        </is>
      </c>
      <c r="B4143" t="inlineStr">
        <is>
          <t>Proenza Schouler Proenza Arizona Eau De Parfum Spray 90ml</t>
        </is>
      </c>
      <c r="C4143" t="inlineStr">
        <is>
          <t>Eau De Parfum</t>
        </is>
      </c>
      <c r="D4143" t="inlineStr">
        <is>
          <t>Proenza Schouler</t>
        </is>
      </c>
      <c r="E4143" t="n">
        <v>25.28</v>
      </c>
      <c r="F4143" t="n">
        <v>1</v>
      </c>
      <c r="G4143" t="n">
        <v>37</v>
      </c>
      <c r="H4143" s="5">
        <f>HYPERLINK("https://api.qogita.com/variants/link/3614272044371/", "View Product")</f>
        <v/>
      </c>
    </row>
    <row r="4144">
      <c r="A4144" t="inlineStr">
        <is>
          <t>3614272051010</t>
        </is>
      </c>
      <c r="B4144" t="inlineStr">
        <is>
          <t>Yves Saint Laurent Supreme Bouquet Tubereuse Ylang Ylang EDP</t>
        </is>
      </c>
      <c r="C4144" t="inlineStr">
        <is>
          <t>Eau De Parfum</t>
        </is>
      </c>
      <c r="D4144" t="inlineStr">
        <is>
          <t>Yves Saint Laurent</t>
        </is>
      </c>
      <c r="E4144" t="n">
        <v>198.32</v>
      </c>
      <c r="F4144" t="n">
        <v>1</v>
      </c>
      <c r="G4144" t="n">
        <v>39</v>
      </c>
      <c r="H4144" s="5">
        <f>HYPERLINK("https://api.qogita.com/variants/link/3614272051010/", "View Product")</f>
        <v/>
      </c>
    </row>
    <row r="4145">
      <c r="A4145" t="inlineStr">
        <is>
          <t>3614272091894</t>
        </is>
      </c>
      <c r="B4145" t="inlineStr">
        <is>
          <t>Lancome O De Lancome Eau De Toilette Spray 200ml</t>
        </is>
      </c>
      <c r="C4145" t="inlineStr">
        <is>
          <t>Eau De Toilette</t>
        </is>
      </c>
      <c r="D4145" t="inlineStr">
        <is>
          <t>Lancôme</t>
        </is>
      </c>
      <c r="E4145" t="n">
        <v>66.05</v>
      </c>
      <c r="F4145" t="n">
        <v>1</v>
      </c>
      <c r="G4145" t="n">
        <v>4</v>
      </c>
      <c r="H4145" s="5">
        <f>HYPERLINK("https://api.qogita.com/variants/link/3614272091894/", "View Product")</f>
        <v/>
      </c>
    </row>
    <row r="4146">
      <c r="A4146" t="inlineStr">
        <is>
          <t>3614272143128</t>
        </is>
      </c>
      <c r="B4146" t="inlineStr">
        <is>
          <t>Giorgio Armani Prive Musc Shamal Intense Eau De Parfum 100ml</t>
        </is>
      </c>
      <c r="C4146" t="inlineStr">
        <is>
          <t>Eau De Parfum</t>
        </is>
      </c>
      <c r="D4146" t="inlineStr">
        <is>
          <t>Giorgio Armani</t>
        </is>
      </c>
      <c r="E4146" t="n">
        <v>250.68</v>
      </c>
      <c r="F4146" t="n">
        <v>1</v>
      </c>
      <c r="G4146" t="n">
        <v>3</v>
      </c>
      <c r="H4146" s="5">
        <f>HYPERLINK("https://api.qogita.com/variants/link/3614272143128/", "View Product")</f>
        <v/>
      </c>
    </row>
    <row r="4147">
      <c r="A4147" t="inlineStr">
        <is>
          <t>3614272163485</t>
        </is>
      </c>
      <c r="B4147" t="inlineStr">
        <is>
          <t>Giorgio Armani Eyes To Kill Stellar Eyeshadow 4 G</t>
        </is>
      </c>
      <c r="C4147" t="inlineStr">
        <is>
          <t>Eyeshadow</t>
        </is>
      </c>
      <c r="D4147" t="inlineStr">
        <is>
          <t>Giorgio Armani</t>
        </is>
      </c>
      <c r="E4147" t="n">
        <v>28.21</v>
      </c>
      <c r="F4147" t="n">
        <v>1</v>
      </c>
      <c r="G4147" t="n">
        <v>5</v>
      </c>
      <c r="H4147" s="5">
        <f>HYPERLINK("https://api.qogita.com/variants/link/3614272163485/", "View Product")</f>
        <v/>
      </c>
    </row>
    <row r="4148">
      <c r="A4148" t="inlineStr">
        <is>
          <t>3614272225664</t>
        </is>
      </c>
      <c r="B4148" t="inlineStr">
        <is>
          <t>Giorgio Armani In Love With You Eau de Parfum 50ml</t>
        </is>
      </c>
      <c r="C4148" t="inlineStr">
        <is>
          <t>Eau De Parfum</t>
        </is>
      </c>
      <c r="D4148" t="inlineStr">
        <is>
          <t>Armani Beauty</t>
        </is>
      </c>
      <c r="E4148" t="n">
        <v>49.4</v>
      </c>
      <c r="F4148" t="n">
        <v>1</v>
      </c>
      <c r="G4148" t="n">
        <v>32</v>
      </c>
      <c r="H4148" s="5">
        <f>HYPERLINK("https://api.qogita.com/variants/link/3614272225664/", "View Product")</f>
        <v/>
      </c>
    </row>
    <row r="4149">
      <c r="A4149" t="inlineStr">
        <is>
          <t>3614272320833</t>
        </is>
      </c>
      <c r="B4149" t="inlineStr">
        <is>
          <t>Diesel Only The Brave Street Eau De Toilette 125ml For Men</t>
        </is>
      </c>
      <c r="C4149" t="inlineStr">
        <is>
          <t>Eau De Toilette</t>
        </is>
      </c>
      <c r="D4149" t="inlineStr">
        <is>
          <t>Diesel</t>
        </is>
      </c>
      <c r="E4149" t="n">
        <v>36.89</v>
      </c>
      <c r="F4149" t="n">
        <v>1</v>
      </c>
      <c r="G4149" t="n">
        <v>5</v>
      </c>
      <c r="H4149" s="5">
        <f>HYPERLINK("https://api.qogita.com/variants/link/3614272320833/", "View Product")</f>
        <v/>
      </c>
    </row>
    <row r="4150">
      <c r="A4150" t="inlineStr">
        <is>
          <t>3614272518124</t>
        </is>
      </c>
      <c r="B4150" t="inlineStr">
        <is>
          <t>Giorgio Armani Eye Tint Eyeshadow 10 Senseo 3.9ml</t>
        </is>
      </c>
      <c r="C4150" t="inlineStr">
        <is>
          <t>Eyeshadow</t>
        </is>
      </c>
      <c r="D4150" t="inlineStr">
        <is>
          <t>Giorgio Armani</t>
        </is>
      </c>
      <c r="E4150" t="n">
        <v>27.76</v>
      </c>
      <c r="F4150" t="n">
        <v>1</v>
      </c>
      <c r="G4150" t="n">
        <v>9</v>
      </c>
      <c r="H4150" s="5">
        <f>HYPERLINK("https://api.qogita.com/variants/link/3614272518124/", "View Product")</f>
        <v/>
      </c>
    </row>
    <row r="4151">
      <c r="A4151" t="inlineStr">
        <is>
          <t>3614272537330</t>
        </is>
      </c>
      <c r="B4151" t="inlineStr">
        <is>
          <t>Biotherm Aqua Pure Super Concentrate With Salicylic Acid 50ml</t>
        </is>
      </c>
      <c r="C4151" t="inlineStr">
        <is>
          <t>Hydrating Serum</t>
        </is>
      </c>
      <c r="D4151" t="inlineStr">
        <is>
          <t>Biotherm</t>
        </is>
      </c>
      <c r="E4151" t="n">
        <v>23.63</v>
      </c>
      <c r="F4151" t="n">
        <v>1</v>
      </c>
      <c r="G4151" t="n">
        <v>15</v>
      </c>
      <c r="H4151" s="5">
        <f>HYPERLINK("https://api.qogita.com/variants/link/3614272537330/", "View Product")</f>
        <v/>
      </c>
    </row>
    <row r="4152">
      <c r="A4152" t="inlineStr">
        <is>
          <t>3614272608603</t>
        </is>
      </c>
      <c r="B4152" t="inlineStr">
        <is>
          <t>Diesel Fuel For Life For Men Eau De Toilette Spray 50ml</t>
        </is>
      </c>
      <c r="C4152" t="inlineStr">
        <is>
          <t>Eau De Toilette</t>
        </is>
      </c>
      <c r="D4152" t="inlineStr">
        <is>
          <t>Diesel</t>
        </is>
      </c>
      <c r="E4152" t="n">
        <v>17.79</v>
      </c>
      <c r="F4152" t="n">
        <v>1</v>
      </c>
      <c r="G4152" t="n">
        <v>35</v>
      </c>
      <c r="H4152" s="5">
        <f>HYPERLINK("https://api.qogita.com/variants/link/3614272608603/", "View Product")</f>
        <v/>
      </c>
    </row>
    <row r="4153">
      <c r="A4153" t="inlineStr">
        <is>
          <t>3614272648401</t>
        </is>
      </c>
      <c r="B4153" t="inlineStr">
        <is>
          <t>Yves Saint Laurent Libre Eau De Parfum Spray 30 Ml</t>
        </is>
      </c>
      <c r="C4153" t="inlineStr">
        <is>
          <t>Eau De Parfum</t>
        </is>
      </c>
      <c r="D4153" t="inlineStr">
        <is>
          <t>Yves Saint Laurent</t>
        </is>
      </c>
      <c r="E4153" t="n">
        <v>55.25</v>
      </c>
      <c r="F4153" t="n">
        <v>1</v>
      </c>
      <c r="G4153" t="n">
        <v>32</v>
      </c>
      <c r="H4153" s="5">
        <f>HYPERLINK("https://api.qogita.com/variants/link/3614272648401/", "View Product")</f>
        <v/>
      </c>
    </row>
    <row r="4154">
      <c r="A4154" t="inlineStr">
        <is>
          <t>3614272649378</t>
        </is>
      </c>
      <c r="B4154" t="inlineStr">
        <is>
          <t>Giorgio Armani Lip Power 503 3.1g</t>
        </is>
      </c>
      <c r="C4154" t="inlineStr">
        <is>
          <t>Lipstick</t>
        </is>
      </c>
      <c r="D4154" t="inlineStr">
        <is>
          <t>Giorgio Armani</t>
        </is>
      </c>
      <c r="E4154" t="n">
        <v>35.53</v>
      </c>
      <c r="F4154" t="n">
        <v>1</v>
      </c>
      <c r="G4154" t="n">
        <v>8</v>
      </c>
      <c r="H4154" s="5">
        <f>HYPERLINK("https://api.qogita.com/variants/link/3614272649378/", "View Product")</f>
        <v/>
      </c>
    </row>
    <row r="4155">
      <c r="A4155" t="inlineStr">
        <is>
          <t>3614272649415</t>
        </is>
      </c>
      <c r="B4155" t="inlineStr">
        <is>
          <t>Giorgio Armani Lip Power Lipstick 400 31 G</t>
        </is>
      </c>
      <c r="C4155" t="inlineStr">
        <is>
          <t>Lipstick</t>
        </is>
      </c>
      <c r="D4155" t="inlineStr">
        <is>
          <t>Giorgio Armani</t>
        </is>
      </c>
      <c r="E4155" t="n">
        <v>35.47</v>
      </c>
      <c r="F4155" t="n">
        <v>1</v>
      </c>
      <c r="G4155" t="n">
        <v>4</v>
      </c>
      <c r="H4155" s="5">
        <f>HYPERLINK("https://api.qogita.com/variants/link/3614272649415/", "View Product")</f>
        <v/>
      </c>
    </row>
    <row r="4156">
      <c r="A4156" t="inlineStr">
        <is>
          <t>3614272731929</t>
        </is>
      </c>
      <c r="B4156" t="inlineStr">
        <is>
          <t>Valentino Valentina Eau De Parfum 80ml</t>
        </is>
      </c>
      <c r="C4156" t="inlineStr">
        <is>
          <t>Eau De Parfum</t>
        </is>
      </c>
      <c r="D4156" t="inlineStr">
        <is>
          <t>Valentino</t>
        </is>
      </c>
      <c r="E4156" t="n">
        <v>59.82</v>
      </c>
      <c r="F4156" t="n">
        <v>1</v>
      </c>
      <c r="G4156" t="n">
        <v>407</v>
      </c>
      <c r="H4156" s="5">
        <f>HYPERLINK("https://api.qogita.com/variants/link/3614272731929/", "View Product")</f>
        <v/>
      </c>
    </row>
    <row r="4157">
      <c r="A4157" t="inlineStr">
        <is>
          <t>3614272732087</t>
        </is>
      </c>
      <c r="B4157" t="inlineStr">
        <is>
          <t>Valentino Donna Eau De Parfum 50ml Women's Spray</t>
        </is>
      </c>
      <c r="C4157" t="inlineStr">
        <is>
          <t>Eau De Parfum</t>
        </is>
      </c>
      <c r="D4157" t="inlineStr">
        <is>
          <t>Valentino</t>
        </is>
      </c>
      <c r="E4157" t="n">
        <v>50.67</v>
      </c>
      <c r="F4157" t="n">
        <v>1</v>
      </c>
      <c r="G4157" t="n">
        <v>2</v>
      </c>
      <c r="H4157" s="5">
        <f>HYPERLINK("https://api.qogita.com/variants/link/3614272732087/", "View Product")</f>
        <v/>
      </c>
    </row>
    <row r="4158">
      <c r="A4158" t="inlineStr">
        <is>
          <t>3614272732308</t>
        </is>
      </c>
      <c r="B4158" t="inlineStr">
        <is>
          <t>Valentino Donna Eau De Parfum 100ml A Luxurious Fragrance For Women By Valentino</t>
        </is>
      </c>
      <c r="C4158" t="inlineStr">
        <is>
          <t>Eau De Parfum</t>
        </is>
      </c>
      <c r="D4158" t="inlineStr">
        <is>
          <t>Valentino</t>
        </is>
      </c>
      <c r="E4158" t="n">
        <v>81.94</v>
      </c>
      <c r="F4158" t="n">
        <v>1</v>
      </c>
      <c r="G4158" t="n">
        <v>201</v>
      </c>
      <c r="H4158" s="5">
        <f>HYPERLINK("https://api.qogita.com/variants/link/3614272732308/", "View Product")</f>
        <v/>
      </c>
    </row>
    <row r="4159">
      <c r="A4159" t="inlineStr">
        <is>
          <t>3614272742598</t>
        </is>
      </c>
      <c r="B4159" t="inlineStr">
        <is>
          <t>Giorgio Armani Lip Maestro Liquid Lipstick 65 Ml</t>
        </is>
      </c>
      <c r="C4159" t="inlineStr">
        <is>
          <t>Lipstick</t>
        </is>
      </c>
      <c r="D4159" t="inlineStr">
        <is>
          <t>Giorgio Armani</t>
        </is>
      </c>
      <c r="E4159" t="n">
        <v>31.96</v>
      </c>
      <c r="F4159" t="n">
        <v>1</v>
      </c>
      <c r="G4159" t="n">
        <v>6</v>
      </c>
      <c r="H4159" s="5">
        <f>HYPERLINK("https://api.qogita.com/variants/link/3614272742598/", "View Product")</f>
        <v/>
      </c>
    </row>
    <row r="4160">
      <c r="A4160" t="inlineStr">
        <is>
          <t>3614272890350</t>
        </is>
      </c>
      <c r="B4160" t="inlineStr">
        <is>
          <t>Biotherm Life Plankton Body Oil 125ml Unisex</t>
        </is>
      </c>
      <c r="C4160" t="inlineStr">
        <is>
          <t>Body Oil</t>
        </is>
      </c>
      <c r="D4160" t="inlineStr">
        <is>
          <t>Biotherm</t>
        </is>
      </c>
      <c r="E4160" t="n">
        <v>43.91</v>
      </c>
      <c r="F4160" t="n">
        <v>1</v>
      </c>
      <c r="G4160" t="n">
        <v>10</v>
      </c>
      <c r="H4160" s="5">
        <f>HYPERLINK("https://api.qogita.com/variants/link/3614272890350/", "View Product")</f>
        <v/>
      </c>
    </row>
    <row r="4161">
      <c r="A4161" t="inlineStr">
        <is>
          <t>3614272907676</t>
        </is>
      </c>
      <c r="B4161" t="inlineStr">
        <is>
          <t>Giorgio Armani My Way Eau De Parfum 50ml</t>
        </is>
      </c>
      <c r="C4161" t="inlineStr">
        <is>
          <t>Eau De Parfum</t>
        </is>
      </c>
      <c r="D4161" t="inlineStr">
        <is>
          <t>Giorgio Armani</t>
        </is>
      </c>
      <c r="E4161" t="n">
        <v>68.5</v>
      </c>
      <c r="F4161" t="n">
        <v>1</v>
      </c>
      <c r="G4161" t="n">
        <v>39</v>
      </c>
      <c r="H4161" s="5">
        <f>HYPERLINK("https://api.qogita.com/variants/link/3614272907676/", "View Product")</f>
        <v/>
      </c>
    </row>
    <row r="4162">
      <c r="A4162" t="inlineStr">
        <is>
          <t>3614272907744</t>
        </is>
      </c>
      <c r="B4162" t="inlineStr">
        <is>
          <t>Giorgio Armani My Way Eau De Parfum 15ml</t>
        </is>
      </c>
      <c r="C4162" t="inlineStr">
        <is>
          <t>Eau De Parfum</t>
        </is>
      </c>
      <c r="D4162" t="inlineStr">
        <is>
          <t>Giorgio Armani</t>
        </is>
      </c>
      <c r="E4162" t="n">
        <v>18.87</v>
      </c>
      <c r="F4162" t="n">
        <v>1</v>
      </c>
      <c r="G4162" t="n">
        <v>15</v>
      </c>
      <c r="H4162" s="5">
        <f>HYPERLINK("https://api.qogita.com/variants/link/3614272907744/", "View Product")</f>
        <v/>
      </c>
    </row>
    <row r="4163">
      <c r="A4163" t="inlineStr">
        <is>
          <t>3614272951662</t>
        </is>
      </c>
      <c r="B4163" t="inlineStr">
        <is>
          <t>Giorgio Armani Luminous Silk Multi-Purpose Glow Concealer 6.5 12ml</t>
        </is>
      </c>
      <c r="C4163" t="inlineStr">
        <is>
          <t>Concealer</t>
        </is>
      </c>
      <c r="D4163" t="inlineStr">
        <is>
          <t>Giorgio Armani</t>
        </is>
      </c>
      <c r="E4163" t="n">
        <v>31.86</v>
      </c>
      <c r="F4163" t="n">
        <v>1</v>
      </c>
      <c r="G4163" t="n">
        <v>5</v>
      </c>
      <c r="H4163" s="5">
        <f>HYPERLINK("https://api.qogita.com/variants/link/3614272951662/", "View Product")</f>
        <v/>
      </c>
    </row>
    <row r="4164">
      <c r="A4164" t="inlineStr">
        <is>
          <t>3614272968158</t>
        </is>
      </c>
      <c r="B4164" t="inlineStr">
        <is>
          <t>Giorgio Armani Fluid Sheer Glow Enhancer Nr.05 Coral 18ml</t>
        </is>
      </c>
      <c r="C4164" t="inlineStr">
        <is>
          <t>Highlighter</t>
        </is>
      </c>
      <c r="D4164" t="inlineStr">
        <is>
          <t>Giorgio Armani</t>
        </is>
      </c>
      <c r="E4164" t="n">
        <v>31.79</v>
      </c>
      <c r="F4164" t="n">
        <v>1</v>
      </c>
      <c r="G4164" t="n">
        <v>7</v>
      </c>
      <c r="H4164" s="5">
        <f>HYPERLINK("https://api.qogita.com/variants/link/3614272968158/", "View Product")</f>
        <v/>
      </c>
    </row>
    <row r="4165">
      <c r="A4165" t="inlineStr">
        <is>
          <t>3614272987111</t>
        </is>
      </c>
      <c r="B4165" t="inlineStr">
        <is>
          <t>Diesel Spirit Of The Brave Intense Eau De Parfum 50 Ml</t>
        </is>
      </c>
      <c r="C4165" t="inlineStr">
        <is>
          <t>Eau De Parfum</t>
        </is>
      </c>
      <c r="D4165" t="inlineStr">
        <is>
          <t>Diesel</t>
        </is>
      </c>
      <c r="E4165" t="n">
        <v>22.23</v>
      </c>
      <c r="F4165" t="n">
        <v>1</v>
      </c>
      <c r="G4165" t="n">
        <v>77</v>
      </c>
      <c r="H4165" s="5">
        <f>HYPERLINK("https://api.qogita.com/variants/link/3614272987111/", "View Product")</f>
        <v/>
      </c>
    </row>
    <row r="4166">
      <c r="A4166" t="inlineStr">
        <is>
          <t>3614273010108</t>
        </is>
      </c>
      <c r="B4166" t="inlineStr">
        <is>
          <t>Biotherm Aqua Bounce Super Mask Hydrating Face Mask With Hyaluronic Acid</t>
        </is>
      </c>
      <c r="C4166" t="inlineStr">
        <is>
          <t>Hydrating Mask</t>
        </is>
      </c>
      <c r="D4166" t="inlineStr">
        <is>
          <t>Biotherm</t>
        </is>
      </c>
      <c r="E4166" t="n">
        <v>8.800000000000001</v>
      </c>
      <c r="F4166" t="n">
        <v>1</v>
      </c>
      <c r="G4166" t="n">
        <v>9</v>
      </c>
      <c r="H4166" s="5">
        <f>HYPERLINK("https://api.qogita.com/variants/link/3614273010108/", "View Product")</f>
        <v/>
      </c>
    </row>
    <row r="4167">
      <c r="A4167" t="inlineStr">
        <is>
          <t>3614273011785</t>
        </is>
      </c>
      <c r="B4167" t="inlineStr">
        <is>
          <t>Yves Saint Laurent Libre Eau De Parfum 150ml Women Spray</t>
        </is>
      </c>
      <c r="C4167" t="inlineStr">
        <is>
          <t>Eau De Parfum</t>
        </is>
      </c>
      <c r="D4167" t="inlineStr">
        <is>
          <t>Yves Saint Laurent</t>
        </is>
      </c>
      <c r="E4167" t="n">
        <v>140.18</v>
      </c>
      <c r="F4167" t="n">
        <v>1</v>
      </c>
      <c r="G4167" t="n">
        <v>5</v>
      </c>
      <c r="H4167" s="5">
        <f>HYPERLINK("https://api.qogita.com/variants/link/3614273011785/", "View Product")</f>
        <v/>
      </c>
    </row>
    <row r="4168">
      <c r="A4168" t="inlineStr">
        <is>
          <t>3614273069557</t>
        </is>
      </c>
      <c r="B4168" t="inlineStr">
        <is>
          <t>Yves Saint Laurent Ysl Libre Eau De Parfum Intense 90ml</t>
        </is>
      </c>
      <c r="C4168" t="inlineStr">
        <is>
          <t>Eau De Parfum</t>
        </is>
      </c>
      <c r="D4168" t="inlineStr">
        <is>
          <t>Yves Saint Laurent</t>
        </is>
      </c>
      <c r="E4168" t="n">
        <v>104.57</v>
      </c>
      <c r="F4168" t="n">
        <v>1</v>
      </c>
      <c r="G4168" t="n">
        <v>6</v>
      </c>
      <c r="H4168" s="5">
        <f>HYPERLINK("https://api.qogita.com/variants/link/3614273069557/", "View Product")</f>
        <v/>
      </c>
    </row>
    <row r="4169">
      <c r="A4169" t="inlineStr">
        <is>
          <t>3614273074452</t>
        </is>
      </c>
      <c r="B4169" t="inlineStr">
        <is>
          <t>Lancme Teint Idole Ultra Wear All Over Concealer 13 Ml In 006 Beige Ocre</t>
        </is>
      </c>
      <c r="C4169" t="inlineStr">
        <is>
          <t>Concealer</t>
        </is>
      </c>
      <c r="D4169" t="inlineStr">
        <is>
          <t>Lancôme</t>
        </is>
      </c>
      <c r="E4169" t="n">
        <v>26.69</v>
      </c>
      <c r="F4169" t="n">
        <v>1</v>
      </c>
      <c r="G4169" t="n">
        <v>2</v>
      </c>
      <c r="H4169" s="5">
        <f>HYPERLINK("https://api.qogita.com/variants/link/3614273074452/", "View Product")</f>
        <v/>
      </c>
    </row>
    <row r="4170">
      <c r="A4170" t="inlineStr">
        <is>
          <t>3614273088657</t>
        </is>
      </c>
      <c r="B4170" t="inlineStr">
        <is>
          <t>Lancome La Vie Est Belle Happiness Drops Eau De Parfum 15ml For Women</t>
        </is>
      </c>
      <c r="C4170" t="inlineStr">
        <is>
          <t>Eau De Parfum</t>
        </is>
      </c>
      <c r="D4170" t="inlineStr">
        <is>
          <t>Lancôme</t>
        </is>
      </c>
      <c r="E4170" t="n">
        <v>28.13</v>
      </c>
      <c r="F4170" t="n">
        <v>1</v>
      </c>
      <c r="G4170" t="n">
        <v>75</v>
      </c>
      <c r="H4170" s="5">
        <f>HYPERLINK("https://api.qogita.com/variants/link/3614273088657/", "View Product")</f>
        <v/>
      </c>
    </row>
    <row r="4171">
      <c r="A4171" t="inlineStr">
        <is>
          <t>3614273287555</t>
        </is>
      </c>
      <c r="B4171" t="inlineStr">
        <is>
          <t>Giorgio Armani Lip Maestro 213</t>
        </is>
      </c>
      <c r="C4171" t="inlineStr">
        <is>
          <t>Lipstick</t>
        </is>
      </c>
      <c r="D4171" t="inlineStr">
        <is>
          <t>Giorgio Armani</t>
        </is>
      </c>
      <c r="E4171" t="n">
        <v>31.96</v>
      </c>
      <c r="F4171" t="n">
        <v>1</v>
      </c>
      <c r="G4171" t="n">
        <v>2</v>
      </c>
      <c r="H4171" s="5">
        <f>HYPERLINK("https://api.qogita.com/variants/link/3614273287555/", "View Product")</f>
        <v/>
      </c>
    </row>
    <row r="4172">
      <c r="A4172" t="inlineStr">
        <is>
          <t>3614273307956</t>
        </is>
      </c>
      <c r="B4172" t="inlineStr">
        <is>
          <t>Lancme L'Absolu Rouge Cream Lipstick 00 Moi Moi Moi 34 G</t>
        </is>
      </c>
      <c r="C4172" t="inlineStr">
        <is>
          <t>Lipstick</t>
        </is>
      </c>
      <c r="D4172" t="inlineStr">
        <is>
          <t>Lancôme</t>
        </is>
      </c>
      <c r="E4172" t="n">
        <v>30.55</v>
      </c>
      <c r="F4172" t="n">
        <v>1</v>
      </c>
      <c r="G4172" t="n">
        <v>4</v>
      </c>
      <c r="H4172" s="5">
        <f>HYPERLINK("https://api.qogita.com/variants/link/3614273307956/", "View Product")</f>
        <v/>
      </c>
    </row>
    <row r="4173">
      <c r="A4173" t="inlineStr">
        <is>
          <t>3614273308229</t>
        </is>
      </c>
      <c r="B4173" t="inlineStr">
        <is>
          <t>Viktor Rolf Spicebomb Infrared Eau De Toilette 90ml For Men</t>
        </is>
      </c>
      <c r="C4173" t="inlineStr">
        <is>
          <t>Eau De Toilette</t>
        </is>
      </c>
      <c r="D4173" t="inlineStr">
        <is>
          <t>Viktor &amp; Rolf</t>
        </is>
      </c>
      <c r="E4173" t="n">
        <v>50.66</v>
      </c>
      <c r="F4173" t="n">
        <v>1</v>
      </c>
      <c r="G4173" t="n">
        <v>4</v>
      </c>
      <c r="H4173" s="5">
        <f>HYPERLINK("https://api.qogita.com/variants/link/3614273308229/", "View Product")</f>
        <v/>
      </c>
    </row>
    <row r="4174">
      <c r="A4174" t="inlineStr">
        <is>
          <t>3614273316149</t>
        </is>
      </c>
      <c r="B4174" t="inlineStr">
        <is>
          <t>Yves Saint Laurent Libre Eau De Toilette Spray 30ml</t>
        </is>
      </c>
      <c r="C4174" t="inlineStr">
        <is>
          <t>Eau De Toilette</t>
        </is>
      </c>
      <c r="D4174" t="inlineStr">
        <is>
          <t>Yves Saint Laurent</t>
        </is>
      </c>
      <c r="E4174" t="n">
        <v>54.83</v>
      </c>
      <c r="F4174" t="n">
        <v>1</v>
      </c>
      <c r="G4174" t="n">
        <v>3</v>
      </c>
      <c r="H4174" s="5">
        <f>HYPERLINK("https://api.qogita.com/variants/link/3614273316149/", "View Product")</f>
        <v/>
      </c>
    </row>
    <row r="4175">
      <c r="A4175" t="inlineStr">
        <is>
          <t>3614273321891</t>
        </is>
      </c>
      <c r="B4175" t="inlineStr">
        <is>
          <t>Yves Saint Laurent Ysl Libre Eau De Toilette Spray 90 Ml</t>
        </is>
      </c>
      <c r="C4175" t="inlineStr">
        <is>
          <t>Eau De Toilette</t>
        </is>
      </c>
      <c r="D4175" t="inlineStr">
        <is>
          <t>Yves Saint Laurent</t>
        </is>
      </c>
      <c r="E4175" t="n">
        <v>93.02</v>
      </c>
      <c r="F4175" t="n">
        <v>1</v>
      </c>
      <c r="G4175" t="n">
        <v>4</v>
      </c>
      <c r="H4175" s="5">
        <f>HYPERLINK("https://api.qogita.com/variants/link/3614273321891/", "View Product")</f>
        <v/>
      </c>
    </row>
    <row r="4176">
      <c r="A4176" t="inlineStr">
        <is>
          <t>3614273337939</t>
        </is>
      </c>
      <c r="B4176" t="inlineStr">
        <is>
          <t>Armani Makeup Lip Power 405 Sultan 3.1g</t>
        </is>
      </c>
      <c r="C4176" t="inlineStr">
        <is>
          <t>Lipstick</t>
        </is>
      </c>
      <c r="D4176" t="inlineStr">
        <is>
          <t>Emporio Armani</t>
        </is>
      </c>
      <c r="E4176" t="n">
        <v>36.17</v>
      </c>
      <c r="F4176" t="n">
        <v>1</v>
      </c>
      <c r="G4176" t="n">
        <v>2</v>
      </c>
      <c r="H4176" s="5">
        <f>HYPERLINK("https://api.qogita.com/variants/link/3614273337939/", "View Product")</f>
        <v/>
      </c>
    </row>
    <row r="4177">
      <c r="A4177" t="inlineStr">
        <is>
          <t>3614273356251</t>
        </is>
      </c>
      <c r="B4177" t="inlineStr">
        <is>
          <t>Power Fabric Concealer 6 milliliters Shade 4,5</t>
        </is>
      </c>
      <c r="C4177" t="inlineStr">
        <is>
          <t>Concealer</t>
        </is>
      </c>
      <c r="D4177" t="inlineStr">
        <is>
          <t>Giorgio Armani</t>
        </is>
      </c>
      <c r="E4177" t="n">
        <v>31.41</v>
      </c>
      <c r="F4177" t="n">
        <v>1</v>
      </c>
      <c r="G4177" t="n">
        <v>6</v>
      </c>
      <c r="H4177" s="5">
        <f>HYPERLINK("https://api.qogita.com/variants/link/3614273356251/", "View Product")</f>
        <v/>
      </c>
    </row>
    <row r="4178">
      <c r="A4178" t="inlineStr">
        <is>
          <t>3614273363600</t>
        </is>
      </c>
      <c r="B4178" t="inlineStr">
        <is>
          <t>Giorgio Armani Power Fabric Concealer 6 ml - Shade 35</t>
        </is>
      </c>
      <c r="C4178" t="inlineStr">
        <is>
          <t>Concealer</t>
        </is>
      </c>
      <c r="D4178" t="inlineStr">
        <is>
          <t>Giorgio Armani</t>
        </is>
      </c>
      <c r="E4178" t="n">
        <v>31.48</v>
      </c>
      <c r="F4178" t="n">
        <v>1</v>
      </c>
      <c r="G4178" t="n">
        <v>8</v>
      </c>
      <c r="H4178" s="5">
        <f>HYPERLINK("https://api.qogita.com/variants/link/3614273363600/", "View Product")</f>
        <v/>
      </c>
    </row>
    <row r="4179">
      <c r="A4179" t="inlineStr">
        <is>
          <t>3614273427579</t>
        </is>
      </c>
      <c r="B4179" t="inlineStr">
        <is>
          <t>Giorgio Armani Luminous Silk Glow Fusion Powder No.8 3.5g</t>
        </is>
      </c>
      <c r="C4179" t="inlineStr">
        <is>
          <t>Powder</t>
        </is>
      </c>
      <c r="D4179" t="inlineStr">
        <is>
          <t>Giorgio Armani</t>
        </is>
      </c>
      <c r="E4179" t="n">
        <v>49.17</v>
      </c>
      <c r="F4179" t="n">
        <v>1</v>
      </c>
      <c r="G4179" t="n">
        <v>2</v>
      </c>
      <c r="H4179" s="5">
        <f>HYPERLINK("https://api.qogita.com/variants/link/3614273427579/", "View Product")</f>
        <v/>
      </c>
    </row>
    <row r="4180">
      <c r="A4180" t="inlineStr">
        <is>
          <t>3614273441933</t>
        </is>
      </c>
      <c r="B4180" t="inlineStr">
        <is>
          <t>Diesel Sound Of The Brave Eau De Toilette Spray 125ml</t>
        </is>
      </c>
      <c r="C4180" t="inlineStr">
        <is>
          <t>Eau De Toilette</t>
        </is>
      </c>
      <c r="D4180" t="inlineStr">
        <is>
          <t>Diesel</t>
        </is>
      </c>
      <c r="E4180" t="n">
        <v>29.7</v>
      </c>
      <c r="F4180" t="n">
        <v>1</v>
      </c>
      <c r="G4180" t="n">
        <v>10</v>
      </c>
      <c r="H4180" s="5">
        <f>HYPERLINK("https://api.qogita.com/variants/link/3614273441933/", "View Product")</f>
        <v/>
      </c>
    </row>
    <row r="4181">
      <c r="A4181" t="inlineStr">
        <is>
          <t>3614273459082</t>
        </is>
      </c>
      <c r="B4181" t="inlineStr">
        <is>
          <t>Valentino Voce Viva Intensa Eau De Parfum Intense 30ml</t>
        </is>
      </c>
      <c r="C4181" t="inlineStr">
        <is>
          <t>Eau De Parfum</t>
        </is>
      </c>
      <c r="D4181" t="inlineStr">
        <is>
          <t>Valentino</t>
        </is>
      </c>
      <c r="E4181" t="n">
        <v>61.02</v>
      </c>
      <c r="F4181" t="n">
        <v>1</v>
      </c>
      <c r="G4181" t="n">
        <v>5</v>
      </c>
      <c r="H4181" s="5">
        <f>HYPERLINK("https://api.qogita.com/variants/link/3614273459082/", "View Product")</f>
        <v/>
      </c>
    </row>
    <row r="4182">
      <c r="A4182" t="inlineStr">
        <is>
          <t>3614273478298</t>
        </is>
      </c>
      <c r="B4182" t="inlineStr">
        <is>
          <t>Prada Amber Pour Homme Eau De Toilette Spray 100ml</t>
        </is>
      </c>
      <c r="C4182" t="inlineStr">
        <is>
          <t>Eau De Toilette</t>
        </is>
      </c>
      <c r="D4182" t="inlineStr">
        <is>
          <t>Prada</t>
        </is>
      </c>
      <c r="E4182" t="n">
        <v>73.28</v>
      </c>
      <c r="F4182" t="n">
        <v>1</v>
      </c>
      <c r="G4182" t="n">
        <v>213</v>
      </c>
      <c r="H4182" s="5">
        <f>HYPERLINK("https://api.qogita.com/variants/link/3614273478298/", "View Product")</f>
        <v/>
      </c>
    </row>
    <row r="4183">
      <c r="A4183" t="inlineStr">
        <is>
          <t>3614273478762</t>
        </is>
      </c>
      <c r="B4183" t="inlineStr">
        <is>
          <t>Prada Luna Rossa Eau De Toilette Spray 150ml</t>
        </is>
      </c>
      <c r="C4183" t="inlineStr">
        <is>
          <t>Eau De Toilette</t>
        </is>
      </c>
      <c r="D4183" t="inlineStr">
        <is>
          <t>Prada</t>
        </is>
      </c>
      <c r="E4183" t="n">
        <v>81.39</v>
      </c>
      <c r="F4183" t="n">
        <v>1</v>
      </c>
      <c r="G4183" t="n">
        <v>64</v>
      </c>
      <c r="H4183" s="5">
        <f>HYPERLINK("https://api.qogita.com/variants/link/3614273478762/", "View Product")</f>
        <v/>
      </c>
    </row>
    <row r="4184">
      <c r="A4184" t="inlineStr">
        <is>
          <t>3614273556187</t>
        </is>
      </c>
      <c r="B4184" t="inlineStr">
        <is>
          <t>Prada Luna Rossa Ocean Eau De Toilette Spray 50ml</t>
        </is>
      </c>
      <c r="C4184" t="inlineStr">
        <is>
          <t>Eau De Toilette</t>
        </is>
      </c>
      <c r="D4184" t="inlineStr">
        <is>
          <t>Prada</t>
        </is>
      </c>
      <c r="E4184" t="n">
        <v>48.82</v>
      </c>
      <c r="F4184" t="n">
        <v>1</v>
      </c>
      <c r="G4184" t="n">
        <v>15</v>
      </c>
      <c r="H4184" s="5">
        <f>HYPERLINK("https://api.qogita.com/variants/link/3614273556187/", "View Product")</f>
        <v/>
      </c>
    </row>
    <row r="4185">
      <c r="A4185" t="inlineStr">
        <is>
          <t>3614273558075</t>
        </is>
      </c>
      <c r="B4185" t="inlineStr">
        <is>
          <t>Giorgio Armani Power Fabric Longwear High Cover Foundation SPF 25 1oz</t>
        </is>
      </c>
      <c r="C4185" t="inlineStr">
        <is>
          <t>Foundation</t>
        </is>
      </c>
      <c r="D4185" t="inlineStr">
        <is>
          <t>Giorgio Armani</t>
        </is>
      </c>
      <c r="E4185" t="n">
        <v>43.83</v>
      </c>
      <c r="F4185" t="n">
        <v>1</v>
      </c>
      <c r="G4185" t="n">
        <v>7</v>
      </c>
      <c r="H4185" s="5">
        <f>HYPERLINK("https://api.qogita.com/variants/link/3614273558075/", "View Product")</f>
        <v/>
      </c>
    </row>
    <row r="4186">
      <c r="A4186" t="inlineStr">
        <is>
          <t>3614273593519</t>
        </is>
      </c>
      <c r="B4186" t="inlineStr">
        <is>
          <t>Yves Saint Laurent Encre De Peau All Hours Foundation Lc5 25ml</t>
        </is>
      </c>
      <c r="C4186" t="inlineStr">
        <is>
          <t>Foundation</t>
        </is>
      </c>
      <c r="D4186" t="inlineStr">
        <is>
          <t>Yves Saint Laurent</t>
        </is>
      </c>
      <c r="E4186" t="n">
        <v>43.87</v>
      </c>
      <c r="F4186" t="n">
        <v>1</v>
      </c>
      <c r="G4186" t="n">
        <v>2</v>
      </c>
      <c r="H4186" s="5">
        <f>HYPERLINK("https://api.qogita.com/variants/link/3614273593519/", "View Product")</f>
        <v/>
      </c>
    </row>
    <row r="4187">
      <c r="A4187" t="inlineStr">
        <is>
          <t>3614273604895</t>
        </is>
      </c>
      <c r="B4187" t="inlineStr">
        <is>
          <t>Armani Code Pour Homme Perfume Refill 150ml</t>
        </is>
      </c>
      <c r="C4187" t="inlineStr">
        <is>
          <t>Refillable Fragrances &amp; Refills</t>
        </is>
      </c>
      <c r="D4187" t="inlineStr">
        <is>
          <t>Giorgio Armani</t>
        </is>
      </c>
      <c r="E4187" t="n">
        <v>90.81999999999999</v>
      </c>
      <c r="F4187" t="n">
        <v>1</v>
      </c>
      <c r="G4187" t="n">
        <v>41</v>
      </c>
      <c r="H4187" s="5">
        <f>HYPERLINK("https://api.qogita.com/variants/link/3614273604895/", "View Product")</f>
        <v/>
      </c>
    </row>
    <row r="4188">
      <c r="A4188" t="inlineStr">
        <is>
          <t>3614273612661</t>
        </is>
      </c>
      <c r="B4188" t="inlineStr">
        <is>
          <t>Maison Margiela Replica When The Rain Stops Eau De Toilette 30ml</t>
        </is>
      </c>
      <c r="C4188" t="inlineStr">
        <is>
          <t>Eau De Toilette</t>
        </is>
      </c>
      <c r="D4188" t="inlineStr">
        <is>
          <t>Maison Margiela</t>
        </is>
      </c>
      <c r="E4188" t="n">
        <v>43.11</v>
      </c>
      <c r="F4188" t="n">
        <v>1</v>
      </c>
      <c r="G4188" t="n">
        <v>5</v>
      </c>
      <c r="H4188" s="5">
        <f>HYPERLINK("https://api.qogita.com/variants/link/3614273612661/", "View Product")</f>
        <v/>
      </c>
    </row>
    <row r="4189">
      <c r="A4189" t="inlineStr">
        <is>
          <t>3614273636513</t>
        </is>
      </c>
      <c r="B4189" t="inlineStr">
        <is>
          <t>Armani Code Pour Homme Eau De Toilette Refillable Spray 125ml</t>
        </is>
      </c>
      <c r="C4189" t="inlineStr">
        <is>
          <t>Eau De Toilette</t>
        </is>
      </c>
      <c r="D4189" t="inlineStr">
        <is>
          <t>Armani</t>
        </is>
      </c>
      <c r="E4189" t="n">
        <v>73.06999999999999</v>
      </c>
      <c r="F4189" t="n">
        <v>1</v>
      </c>
      <c r="G4189" t="n">
        <v>29</v>
      </c>
      <c r="H4189" s="5">
        <f>HYPERLINK("https://api.qogita.com/variants/link/3614273636513/", "View Product")</f>
        <v/>
      </c>
    </row>
    <row r="4190">
      <c r="A4190" t="inlineStr">
        <is>
          <t>3614273638852</t>
        </is>
      </c>
      <c r="B4190" t="inlineStr">
        <is>
          <t>Azzaro Wanted The Most Wanted Parfum 100ml Men's Fragrance</t>
        </is>
      </c>
      <c r="C4190" t="inlineStr">
        <is>
          <t>Eau De Parfum</t>
        </is>
      </c>
      <c r="D4190" t="inlineStr">
        <is>
          <t>Azzaro</t>
        </is>
      </c>
      <c r="E4190" t="n">
        <v>60.08</v>
      </c>
      <c r="F4190" t="n">
        <v>1</v>
      </c>
      <c r="G4190" t="n">
        <v>21</v>
      </c>
      <c r="H4190" s="5">
        <f>HYPERLINK("https://api.qogita.com/variants/link/3614273638852/", "View Product")</f>
        <v/>
      </c>
    </row>
    <row r="4191">
      <c r="A4191" t="inlineStr">
        <is>
          <t>3614273638869</t>
        </is>
      </c>
      <c r="B4191" t="inlineStr">
        <is>
          <t>Azzaro The Most Wanted 50 Ml</t>
        </is>
      </c>
      <c r="C4191" t="inlineStr">
        <is>
          <t>Eau De Parfum</t>
        </is>
      </c>
      <c r="D4191" t="inlineStr">
        <is>
          <t>Azzaro</t>
        </is>
      </c>
      <c r="E4191" t="n">
        <v>50.95</v>
      </c>
      <c r="F4191" t="n">
        <v>1</v>
      </c>
      <c r="G4191" t="n">
        <v>22</v>
      </c>
      <c r="H4191" s="5">
        <f>HYPERLINK("https://api.qogita.com/variants/link/3614273638869/", "View Product")</f>
        <v/>
      </c>
    </row>
    <row r="4192">
      <c r="A4192" t="inlineStr">
        <is>
          <t>3614273647960</t>
        </is>
      </c>
      <c r="B4192" t="inlineStr">
        <is>
          <t>Prada Candy Florale Eau De Toilette Spray 80ml</t>
        </is>
      </c>
      <c r="C4192" t="inlineStr">
        <is>
          <t>Eau De Toilette</t>
        </is>
      </c>
      <c r="D4192" t="inlineStr">
        <is>
          <t>Prada</t>
        </is>
      </c>
      <c r="E4192" t="n">
        <v>50.67</v>
      </c>
      <c r="F4192" t="n">
        <v>1</v>
      </c>
      <c r="G4192" t="n">
        <v>6</v>
      </c>
      <c r="H4192" s="5">
        <f>HYPERLINK("https://api.qogita.com/variants/link/3614273647960/", "View Product")</f>
        <v/>
      </c>
    </row>
    <row r="4193">
      <c r="A4193" t="inlineStr">
        <is>
          <t>3614273660440</t>
        </is>
      </c>
      <c r="B4193" t="inlineStr">
        <is>
          <t>Lancme Advanced Gnifique Light Pearl Eye &amp; Lash Concentrate 20ml</t>
        </is>
      </c>
      <c r="C4193" t="inlineStr">
        <is>
          <t>Eye Serum</t>
        </is>
      </c>
      <c r="D4193" t="inlineStr">
        <is>
          <t>Lancôme</t>
        </is>
      </c>
      <c r="E4193" t="n">
        <v>62.63</v>
      </c>
      <c r="F4193" t="n">
        <v>1</v>
      </c>
      <c r="G4193" t="n">
        <v>7</v>
      </c>
      <c r="H4193" s="5">
        <f>HYPERLINK("https://api.qogita.com/variants/link/3614273660440/", "View Product")</f>
        <v/>
      </c>
    </row>
    <row r="4194">
      <c r="A4194" t="inlineStr">
        <is>
          <t>3614273668750</t>
        </is>
      </c>
      <c r="B4194" t="inlineStr">
        <is>
          <t>Yves Saint Laurent L'Homme Eau De Parfum Spray 60ml</t>
        </is>
      </c>
      <c r="C4194" t="inlineStr">
        <is>
          <t>Eau De Parfum</t>
        </is>
      </c>
      <c r="D4194" t="inlineStr">
        <is>
          <t>Yves Saint Laurent</t>
        </is>
      </c>
      <c r="E4194" t="n">
        <v>68.36</v>
      </c>
      <c r="F4194" t="n">
        <v>1</v>
      </c>
      <c r="G4194" t="n">
        <v>5</v>
      </c>
      <c r="H4194" s="5">
        <f>HYPERLINK("https://api.qogita.com/variants/link/3614273668750/", "View Product")</f>
        <v/>
      </c>
    </row>
    <row r="4195">
      <c r="A4195" t="inlineStr">
        <is>
          <t>3614273672412</t>
        </is>
      </c>
      <c r="B4195" t="inlineStr">
        <is>
          <t>Valentino Uomo Born In Roma Coral Fantasy Eau De Toilette 100ml</t>
        </is>
      </c>
      <c r="C4195" t="inlineStr">
        <is>
          <t>Eau De Toilette</t>
        </is>
      </c>
      <c r="D4195" t="inlineStr">
        <is>
          <t>Valentino</t>
        </is>
      </c>
      <c r="E4195" t="n">
        <v>76.15000000000001</v>
      </c>
      <c r="F4195" t="n">
        <v>1</v>
      </c>
      <c r="G4195" t="n">
        <v>139</v>
      </c>
      <c r="H4195" s="5">
        <f>HYPERLINK("https://api.qogita.com/variants/link/3614273672412/", "View Product")</f>
        <v/>
      </c>
    </row>
    <row r="4196">
      <c r="A4196" t="inlineStr">
        <is>
          <t>3614273673433</t>
        </is>
      </c>
      <c r="B4196" t="inlineStr">
        <is>
          <t>Thierry Mugler Alien Goddess Intense Eau De Parfum Spray 30ml</t>
        </is>
      </c>
      <c r="C4196" t="inlineStr">
        <is>
          <t>Eau De Parfum</t>
        </is>
      </c>
      <c r="D4196" t="inlineStr">
        <is>
          <t>Thierry Mugler</t>
        </is>
      </c>
      <c r="E4196" t="n">
        <v>40.29</v>
      </c>
      <c r="F4196" t="n">
        <v>1</v>
      </c>
      <c r="G4196" t="n">
        <v>35</v>
      </c>
      <c r="H4196" s="5">
        <f>HYPERLINK("https://api.qogita.com/variants/link/3614273673433/", "View Product")</f>
        <v/>
      </c>
    </row>
    <row r="4197">
      <c r="A4197" t="inlineStr">
        <is>
          <t>3614273674461</t>
        </is>
      </c>
      <c r="B4197" t="inlineStr">
        <is>
          <t>Prada Infusion D'Ylang Eau De Parfum 100ml</t>
        </is>
      </c>
      <c r="C4197" t="inlineStr">
        <is>
          <t>Eau De Parfum</t>
        </is>
      </c>
      <c r="D4197" t="inlineStr">
        <is>
          <t>Prada</t>
        </is>
      </c>
      <c r="E4197" t="n">
        <v>74.52</v>
      </c>
      <c r="F4197" t="n">
        <v>1</v>
      </c>
      <c r="G4197" t="n">
        <v>44</v>
      </c>
      <c r="H4197" s="5">
        <f>HYPERLINK("https://api.qogita.com/variants/link/3614273674461/", "View Product")</f>
        <v/>
      </c>
    </row>
    <row r="4198">
      <c r="A4198" t="inlineStr">
        <is>
          <t>3614273675932</t>
        </is>
      </c>
      <c r="B4198" t="inlineStr">
        <is>
          <t>Lancme Teint Idole Ultra Wear Care &amp; Glow Spf 15 30 Ml Shade 245c</t>
        </is>
      </c>
      <c r="C4198" t="inlineStr">
        <is>
          <t>Tinted Day Cream</t>
        </is>
      </c>
      <c r="D4198" t="inlineStr">
        <is>
          <t>Lancôme</t>
        </is>
      </c>
      <c r="E4198" t="n">
        <v>37.46</v>
      </c>
      <c r="F4198" t="n">
        <v>1</v>
      </c>
      <c r="G4198" t="n">
        <v>5</v>
      </c>
      <c r="H4198" s="5">
        <f>HYPERLINK("https://api.qogita.com/variants/link/3614273675932/", "View Product")</f>
        <v/>
      </c>
    </row>
    <row r="4199">
      <c r="A4199" t="inlineStr">
        <is>
          <t>3614273675987</t>
        </is>
      </c>
      <c r="B4199" t="inlineStr">
        <is>
          <t>Lancome Teint Idole Ultra Wear Care &amp; Glow Foundation - Up to 24h Healthy Glow</t>
        </is>
      </c>
      <c r="C4199" t="inlineStr">
        <is>
          <t>Foundation</t>
        </is>
      </c>
      <c r="D4199" t="inlineStr">
        <is>
          <t>Lancôme</t>
        </is>
      </c>
      <c r="E4199" t="n">
        <v>38.2</v>
      </c>
      <c r="F4199" t="n">
        <v>1</v>
      </c>
      <c r="G4199" t="n">
        <v>5</v>
      </c>
      <c r="H4199" s="5">
        <f>HYPERLINK("https://api.qogita.com/variants/link/3614273675987/", "View Product")</f>
        <v/>
      </c>
    </row>
    <row r="4200">
      <c r="A4200" t="inlineStr">
        <is>
          <t>3614273683395</t>
        </is>
      </c>
      <c r="B4200" t="inlineStr">
        <is>
          <t>Yves Saint Laurent Y Eau De Toilette Spray 60ml</t>
        </is>
      </c>
      <c r="C4200" t="inlineStr">
        <is>
          <t>Eau De Toilette</t>
        </is>
      </c>
      <c r="D4200" t="inlineStr">
        <is>
          <t>Yves Saint Laurent</t>
        </is>
      </c>
      <c r="E4200" t="n">
        <v>64.53</v>
      </c>
      <c r="F4200" t="n">
        <v>1</v>
      </c>
      <c r="G4200" t="n">
        <v>4</v>
      </c>
      <c r="H4200" s="5">
        <f>HYPERLINK("https://api.qogita.com/variants/link/3614273683395/", "View Product")</f>
        <v/>
      </c>
    </row>
    <row r="4201">
      <c r="A4201" t="inlineStr">
        <is>
          <t>3614273693509</t>
        </is>
      </c>
      <c r="B4201" t="inlineStr">
        <is>
          <t>Diesel D By Diesel Eau De Toilette Spray 100ml</t>
        </is>
      </c>
      <c r="C4201" t="inlineStr">
        <is>
          <t>Eau De Toilette</t>
        </is>
      </c>
      <c r="D4201" t="inlineStr">
        <is>
          <t>Diesel</t>
        </is>
      </c>
      <c r="E4201" t="n">
        <v>30.68</v>
      </c>
      <c r="F4201" t="n">
        <v>1</v>
      </c>
      <c r="G4201" t="n">
        <v>14</v>
      </c>
      <c r="H4201" s="5">
        <f>HYPERLINK("https://api.qogita.com/variants/link/3614273693509/", "View Product")</f>
        <v/>
      </c>
    </row>
    <row r="4202">
      <c r="A4202" t="inlineStr">
        <is>
          <t>3614273694797</t>
        </is>
      </c>
      <c r="B4202" t="inlineStr">
        <is>
          <t>Lancme La Vie Est Belle Eau De Parfum 150ml</t>
        </is>
      </c>
      <c r="C4202" t="inlineStr">
        <is>
          <t>Eau De Parfum</t>
        </is>
      </c>
      <c r="D4202" t="inlineStr">
        <is>
          <t>Lancôme</t>
        </is>
      </c>
      <c r="E4202" t="n">
        <v>110.48</v>
      </c>
      <c r="F4202" t="n">
        <v>1</v>
      </c>
      <c r="G4202" t="n">
        <v>3</v>
      </c>
      <c r="H4202" s="5">
        <f>HYPERLINK("https://api.qogita.com/variants/link/3614273694797/", "View Product")</f>
        <v/>
      </c>
    </row>
    <row r="4203">
      <c r="A4203" t="inlineStr">
        <is>
          <t>3614273711784</t>
        </is>
      </c>
      <c r="B4203" t="inlineStr">
        <is>
          <t>Maison Margiela Replica On A Date Eau De Toilette 100ml Unisex Spray</t>
        </is>
      </c>
      <c r="C4203" t="inlineStr">
        <is>
          <t>Eau De Toilette</t>
        </is>
      </c>
      <c r="D4203" t="inlineStr">
        <is>
          <t>Maison Margiela</t>
        </is>
      </c>
      <c r="E4203" t="n">
        <v>72.93000000000001</v>
      </c>
      <c r="F4203" t="n">
        <v>1</v>
      </c>
      <c r="G4203" t="n">
        <v>5</v>
      </c>
      <c r="H4203" s="5">
        <f>HYPERLINK("https://api.qogita.com/variants/link/3614273711784/", "View Product")</f>
        <v/>
      </c>
    </row>
    <row r="4204">
      <c r="A4204" t="inlineStr">
        <is>
          <t>3614273725903</t>
        </is>
      </c>
      <c r="B4204" t="inlineStr">
        <is>
          <t>Giorgio Armani Lip Power Lipstick 31 G</t>
        </is>
      </c>
      <c r="C4204" t="inlineStr">
        <is>
          <t>Lipstick</t>
        </is>
      </c>
      <c r="D4204" t="inlineStr">
        <is>
          <t>Giorgio Armani</t>
        </is>
      </c>
      <c r="E4204" t="n">
        <v>36.22</v>
      </c>
      <c r="F4204" t="n">
        <v>1</v>
      </c>
      <c r="G4204" t="n">
        <v>5</v>
      </c>
      <c r="H4204" s="5">
        <f>HYPERLINK("https://api.qogita.com/variants/link/3614273725903/", "View Product")</f>
        <v/>
      </c>
    </row>
    <row r="4205">
      <c r="A4205" t="inlineStr">
        <is>
          <t>3614273744928</t>
        </is>
      </c>
      <c r="B4205" t="inlineStr">
        <is>
          <t>Giorgio Armani Armani Eye Tint - 54, 4 Ml</t>
        </is>
      </c>
      <c r="C4205" t="inlineStr">
        <is>
          <t>Eyeshadow</t>
        </is>
      </c>
      <c r="D4205" t="inlineStr">
        <is>
          <t>Giorgio Armani</t>
        </is>
      </c>
      <c r="E4205" t="n">
        <v>28.66</v>
      </c>
      <c r="F4205" t="n">
        <v>1</v>
      </c>
      <c r="G4205" t="n">
        <v>2</v>
      </c>
      <c r="H4205" s="5">
        <f>HYPERLINK("https://api.qogita.com/variants/link/3614273744928/", "View Product")</f>
        <v/>
      </c>
    </row>
    <row r="4206">
      <c r="A4206" t="inlineStr">
        <is>
          <t>3614273749428</t>
        </is>
      </c>
      <c r="B4206" t="inlineStr">
        <is>
          <t>Lancome Idole Nectar Clear Glasses for Women with Rose and Popcorn Accord 25ml</t>
        </is>
      </c>
      <c r="C4206" t="inlineStr">
        <is>
          <t>Eau De Parfum</t>
        </is>
      </c>
      <c r="D4206" t="inlineStr">
        <is>
          <t>Lancôme</t>
        </is>
      </c>
      <c r="E4206" t="n">
        <v>40.12</v>
      </c>
      <c r="F4206" t="n">
        <v>1</v>
      </c>
      <c r="G4206" t="n">
        <v>34</v>
      </c>
      <c r="H4206" s="5">
        <f>HYPERLINK("https://api.qogita.com/variants/link/3614273749428/", "View Product")</f>
        <v/>
      </c>
    </row>
    <row r="4207">
      <c r="A4207" t="inlineStr">
        <is>
          <t>3614273760201</t>
        </is>
      </c>
      <c r="B4207" t="inlineStr">
        <is>
          <t>Prada Paradoxe Refill Bottle Eau De Parfum 100ml</t>
        </is>
      </c>
      <c r="C4207" t="inlineStr">
        <is>
          <t>Eau De Parfum</t>
        </is>
      </c>
      <c r="D4207" t="inlineStr">
        <is>
          <t>Prada</t>
        </is>
      </c>
      <c r="E4207" t="n">
        <v>79.15000000000001</v>
      </c>
      <c r="F4207" t="n">
        <v>1</v>
      </c>
      <c r="G4207" t="n">
        <v>55</v>
      </c>
      <c r="H4207" s="5">
        <f>HYPERLINK("https://api.qogita.com/variants/link/3614273760201/", "View Product")</f>
        <v/>
      </c>
    </row>
    <row r="4208">
      <c r="A4208" t="inlineStr">
        <is>
          <t>3614273760713</t>
        </is>
      </c>
      <c r="B4208" t="inlineStr">
        <is>
          <t>Prada Paradoxe Eau De Parfum 30ml Women's Fragrance</t>
        </is>
      </c>
      <c r="C4208" t="inlineStr">
        <is>
          <t>Eau De Parfum</t>
        </is>
      </c>
      <c r="D4208" t="inlineStr">
        <is>
          <t>Prada</t>
        </is>
      </c>
      <c r="E4208" t="n">
        <v>55.95</v>
      </c>
      <c r="F4208" t="n">
        <v>1</v>
      </c>
      <c r="G4208" t="n">
        <v>66</v>
      </c>
      <c r="H4208" s="5">
        <f>HYPERLINK("https://api.qogita.com/variants/link/3614273760713/", "View Product")</f>
        <v/>
      </c>
    </row>
    <row r="4209">
      <c r="A4209" t="inlineStr">
        <is>
          <t>3614273761666</t>
        </is>
      </c>
      <c r="B4209" t="inlineStr">
        <is>
          <t>Hypnôse Mascara - 02 Noir de Jais 8ml by Lancôme</t>
        </is>
      </c>
      <c r="C4209" t="inlineStr">
        <is>
          <t>Mascara</t>
        </is>
      </c>
      <c r="D4209" t="inlineStr">
        <is>
          <t>Lancôme</t>
        </is>
      </c>
      <c r="E4209" t="n">
        <v>29.29</v>
      </c>
      <c r="F4209" t="n">
        <v>1</v>
      </c>
      <c r="G4209" t="n">
        <v>4</v>
      </c>
      <c r="H4209" s="5">
        <f>HYPERLINK("https://api.qogita.com/variants/link/3614273761666/", "View Product")</f>
        <v/>
      </c>
    </row>
    <row r="4210">
      <c r="A4210" t="inlineStr">
        <is>
          <t>3614273764216</t>
        </is>
      </c>
      <c r="B4210" t="inlineStr">
        <is>
          <t>Thierry Mugler Angel Nova Eau De Parfum Refill 100ml</t>
        </is>
      </c>
      <c r="C4210" t="inlineStr">
        <is>
          <t>Eau De Parfum</t>
        </is>
      </c>
      <c r="D4210" t="inlineStr">
        <is>
          <t>Thierry Mugler</t>
        </is>
      </c>
      <c r="E4210" t="n">
        <v>63.02</v>
      </c>
      <c r="F4210" t="n">
        <v>1</v>
      </c>
      <c r="G4210" t="n">
        <v>68</v>
      </c>
      <c r="H4210" s="5">
        <f>HYPERLINK("https://api.qogita.com/variants/link/3614273764216/", "View Product")</f>
        <v/>
      </c>
    </row>
    <row r="4211">
      <c r="A4211" t="inlineStr">
        <is>
          <t>3614273776127</t>
        </is>
      </c>
      <c r="B4211" t="inlineStr">
        <is>
          <t>Yves Saint Laurent Libre Le Parfum Perfume Spray 90ml</t>
        </is>
      </c>
      <c r="C4211" t="inlineStr">
        <is>
          <t>Eau De Parfum</t>
        </is>
      </c>
      <c r="D4211" t="inlineStr">
        <is>
          <t>Yves Saint Laurent</t>
        </is>
      </c>
      <c r="E4211" t="n">
        <v>105.46</v>
      </c>
      <c r="F4211" t="n">
        <v>1</v>
      </c>
      <c r="G4211" t="n">
        <v>4</v>
      </c>
      <c r="H4211" s="5">
        <f>HYPERLINK("https://api.qogita.com/variants/link/3614273776127/", "View Product")</f>
        <v/>
      </c>
    </row>
    <row r="4212">
      <c r="A4212" t="inlineStr">
        <is>
          <t>3614273776134</t>
        </is>
      </c>
      <c r="B4212" t="inlineStr">
        <is>
          <t>Yves Saint Laurent Libre Le Parfum Perfume Spray 30ml</t>
        </is>
      </c>
      <c r="C4212" t="inlineStr">
        <is>
          <t>Eau De Parfum</t>
        </is>
      </c>
      <c r="D4212" t="inlineStr">
        <is>
          <t>Yves Saint Laurent</t>
        </is>
      </c>
      <c r="E4212" t="n">
        <v>58.24</v>
      </c>
      <c r="F4212" t="n">
        <v>1</v>
      </c>
      <c r="G4212" t="n">
        <v>7</v>
      </c>
      <c r="H4212" s="5">
        <f>HYPERLINK("https://api.qogita.com/variants/link/3614273776134/", "View Product")</f>
        <v/>
      </c>
    </row>
    <row r="4213">
      <c r="A4213" t="inlineStr">
        <is>
          <t>3614273785280</t>
        </is>
      </c>
      <c r="B4213" t="inlineStr">
        <is>
          <t>Helena Rubinstein Powercell Skinmunity Youth Reinforcing Serum 50ml</t>
        </is>
      </c>
      <c r="C4213" t="inlineStr">
        <is>
          <t>Anti-Aging Serum</t>
        </is>
      </c>
      <c r="D4213" t="inlineStr">
        <is>
          <t>Helena Rubinstein</t>
        </is>
      </c>
      <c r="E4213" t="n">
        <v>128.55</v>
      </c>
      <c r="F4213" t="n">
        <v>1</v>
      </c>
      <c r="G4213" t="n">
        <v>2</v>
      </c>
      <c r="H4213" s="5">
        <f>HYPERLINK("https://api.qogita.com/variants/link/3614273785280/", "View Product")</f>
        <v/>
      </c>
    </row>
    <row r="4214">
      <c r="A4214" t="inlineStr">
        <is>
          <t>3614273790840</t>
        </is>
      </c>
      <c r="B4214" t="inlineStr">
        <is>
          <t>Valentino Donna Born In Roma Intense Eau De Parfum 100ml</t>
        </is>
      </c>
      <c r="C4214" t="inlineStr">
        <is>
          <t>Eau De Parfum</t>
        </is>
      </c>
      <c r="D4214" t="inlineStr">
        <is>
          <t>Valentino</t>
        </is>
      </c>
      <c r="E4214" t="n">
        <v>102.32</v>
      </c>
      <c r="F4214" t="n">
        <v>1</v>
      </c>
      <c r="G4214" t="n">
        <v>16</v>
      </c>
      <c r="H4214" s="5">
        <f>HYPERLINK("https://api.qogita.com/variants/link/3614273790840/", "View Product")</f>
        <v/>
      </c>
    </row>
    <row r="4215">
      <c r="A4215" t="inlineStr">
        <is>
          <t>3614273790857</t>
        </is>
      </c>
      <c r="B4215" t="inlineStr">
        <is>
          <t>Valentino Donna Born In Roma Intense Eau De Parfum Spray 50 Ml</t>
        </is>
      </c>
      <c r="C4215" t="inlineStr">
        <is>
          <t>Eau De Parfum</t>
        </is>
      </c>
      <c r="D4215" t="inlineStr">
        <is>
          <t>Valentino</t>
        </is>
      </c>
      <c r="E4215" t="n">
        <v>72.2</v>
      </c>
      <c r="F4215" t="n">
        <v>1</v>
      </c>
      <c r="G4215" t="n">
        <v>15</v>
      </c>
      <c r="H4215" s="5">
        <f>HYPERLINK("https://api.qogita.com/variants/link/3614273790857/", "View Product")</f>
        <v/>
      </c>
    </row>
    <row r="4216">
      <c r="A4216" t="inlineStr">
        <is>
          <t>3614273790864</t>
        </is>
      </c>
      <c r="B4216" t="inlineStr">
        <is>
          <t>Valentino Donna Born In Roma Intense Eau De Parfum 30ml</t>
        </is>
      </c>
      <c r="C4216" t="inlineStr">
        <is>
          <t>Eau De Parfum</t>
        </is>
      </c>
      <c r="D4216" t="inlineStr">
        <is>
          <t>Valentino</t>
        </is>
      </c>
      <c r="E4216" t="n">
        <v>57.43</v>
      </c>
      <c r="F4216" t="n">
        <v>1</v>
      </c>
      <c r="G4216" t="n">
        <v>64</v>
      </c>
      <c r="H4216" s="5">
        <f>HYPERLINK("https://api.qogita.com/variants/link/3614273790864/", "View Product")</f>
        <v/>
      </c>
    </row>
    <row r="4217">
      <c r="A4217" t="inlineStr">
        <is>
          <t>3614273831208</t>
        </is>
      </c>
      <c r="B4217" t="inlineStr">
        <is>
          <t>Giorgio Armani Armani Lip Power Matte 409 Electric Longlasting Matte Lipstick 31 G</t>
        </is>
      </c>
      <c r="C4217" t="inlineStr">
        <is>
          <t>Lipstick</t>
        </is>
      </c>
      <c r="D4217" t="inlineStr">
        <is>
          <t>Giorgio Armani</t>
        </is>
      </c>
      <c r="E4217" t="n">
        <v>36.26</v>
      </c>
      <c r="F4217" t="n">
        <v>1</v>
      </c>
      <c r="G4217" t="n">
        <v>3</v>
      </c>
      <c r="H4217" s="5">
        <f>HYPERLINK("https://api.qogita.com/variants/link/3614273831208/", "View Product")</f>
        <v/>
      </c>
    </row>
    <row r="4218">
      <c r="A4218" t="inlineStr">
        <is>
          <t>3614273844673</t>
        </is>
      </c>
      <c r="B4218" t="inlineStr">
        <is>
          <t>Giorgio Armani My Way Le Parfum Pour Femme Eau De Parfum Spray 30ml</t>
        </is>
      </c>
      <c r="C4218" t="inlineStr">
        <is>
          <t>Eau De Parfum</t>
        </is>
      </c>
      <c r="D4218" t="inlineStr">
        <is>
          <t>Giorgio Armani</t>
        </is>
      </c>
      <c r="E4218" t="n">
        <v>50.66</v>
      </c>
      <c r="F4218" t="n">
        <v>1</v>
      </c>
      <c r="G4218" t="n">
        <v>2</v>
      </c>
      <c r="H4218" s="5">
        <f>HYPERLINK("https://api.qogita.com/variants/link/3614273844673/", "View Product")</f>
        <v/>
      </c>
    </row>
    <row r="4219">
      <c r="A4219" t="inlineStr">
        <is>
          <t>3614273863360</t>
        </is>
      </c>
      <c r="B4219" t="inlineStr">
        <is>
          <t>Yves Saint Laurent Black Opium Le Parfum Spray 90ml</t>
        </is>
      </c>
      <c r="C4219" t="inlineStr">
        <is>
          <t>Eau De Parfum</t>
        </is>
      </c>
      <c r="D4219" t="inlineStr">
        <is>
          <t>Yves Saint Laurent</t>
        </is>
      </c>
      <c r="E4219" t="n">
        <v>102.06</v>
      </c>
      <c r="F4219" t="n">
        <v>1</v>
      </c>
      <c r="G4219" t="n">
        <v>44</v>
      </c>
      <c r="H4219" s="5">
        <f>HYPERLINK("https://api.qogita.com/variants/link/3614273863360/", "View Product")</f>
        <v/>
      </c>
    </row>
    <row r="4220">
      <c r="A4220" t="inlineStr">
        <is>
          <t>3614273869997</t>
        </is>
      </c>
      <c r="B4220" t="inlineStr">
        <is>
          <t>Biotherm Blue Proretinol Eye Cream 15ml</t>
        </is>
      </c>
      <c r="C4220" t="inlineStr">
        <is>
          <t>Eye Cream</t>
        </is>
      </c>
      <c r="D4220" t="inlineStr">
        <is>
          <t>Biotherm</t>
        </is>
      </c>
      <c r="E4220" t="n">
        <v>40.89</v>
      </c>
      <c r="F4220" t="n">
        <v>1</v>
      </c>
      <c r="G4220" t="n">
        <v>8</v>
      </c>
      <c r="H4220" s="5">
        <f>HYPERLINK("https://api.qogita.com/variants/link/3614273869997/", "View Product")</f>
        <v/>
      </c>
    </row>
    <row r="4221">
      <c r="A4221" t="inlineStr">
        <is>
          <t>3614273872119</t>
        </is>
      </c>
      <c r="B4221" t="inlineStr">
        <is>
          <t>Giorgio Armani Si Eau De Parfum Refill 100ml</t>
        </is>
      </c>
      <c r="C4221" t="inlineStr">
        <is>
          <t>Refillable Fragrances &amp; Refills</t>
        </is>
      </c>
      <c r="D4221" t="inlineStr">
        <is>
          <t>Giorgio Armani</t>
        </is>
      </c>
      <c r="E4221" t="n">
        <v>80.43000000000001</v>
      </c>
      <c r="F4221" t="n">
        <v>1</v>
      </c>
      <c r="G4221" t="n">
        <v>6</v>
      </c>
      <c r="H4221" s="5">
        <f>HYPERLINK("https://api.qogita.com/variants/link/3614273872119/", "View Product")</f>
        <v/>
      </c>
    </row>
    <row r="4222">
      <c r="A4222" t="inlineStr">
        <is>
          <t>3614273872287</t>
        </is>
      </c>
      <c r="B4222" t="inlineStr">
        <is>
          <t>Azzaro Chrome Parfum Spray 100ml</t>
        </is>
      </c>
      <c r="C4222" t="inlineStr">
        <is>
          <t>Eau De Parfum</t>
        </is>
      </c>
      <c r="D4222" t="inlineStr">
        <is>
          <t>Azzaro</t>
        </is>
      </c>
      <c r="E4222" t="n">
        <v>60.31</v>
      </c>
      <c r="F4222" t="n">
        <v>1</v>
      </c>
      <c r="G4222" t="n">
        <v>20</v>
      </c>
      <c r="H4222" s="5">
        <f>HYPERLINK("https://api.qogita.com/variants/link/3614273872287/", "View Product")</f>
        <v/>
      </c>
    </row>
    <row r="4223">
      <c r="A4223" t="inlineStr">
        <is>
          <t>3614273875752</t>
        </is>
      </c>
      <c r="B4223" t="inlineStr">
        <is>
          <t>Giorgio Armani My Way Pour Femme Eau De Parfum Refill 100ml</t>
        </is>
      </c>
      <c r="C4223" t="inlineStr">
        <is>
          <t>Eau De Parfum</t>
        </is>
      </c>
      <c r="D4223" t="inlineStr">
        <is>
          <t>Giorgio Armani</t>
        </is>
      </c>
      <c r="E4223" t="n">
        <v>69.06999999999999</v>
      </c>
      <c r="F4223" t="n">
        <v>1</v>
      </c>
      <c r="G4223" t="n">
        <v>32</v>
      </c>
      <c r="H4223" s="5">
        <f>HYPERLINK("https://api.qogita.com/variants/link/3614273875752/", "View Product")</f>
        <v/>
      </c>
    </row>
    <row r="4224">
      <c r="A4224" t="inlineStr">
        <is>
          <t>3614273898478</t>
        </is>
      </c>
      <c r="B4224" t="inlineStr">
        <is>
          <t>Yves Saint Laurent Y Intense Pour Homme Eau De Parfum Spray 100ml</t>
        </is>
      </c>
      <c r="C4224" t="inlineStr">
        <is>
          <t>Eau De Parfum</t>
        </is>
      </c>
      <c r="D4224" t="inlineStr">
        <is>
          <t>Yves Saint Laurent</t>
        </is>
      </c>
      <c r="E4224" t="n">
        <v>83.95999999999999</v>
      </c>
      <c r="F4224" t="n">
        <v>1</v>
      </c>
      <c r="G4224" t="n">
        <v>16</v>
      </c>
      <c r="H4224" s="5">
        <f>HYPERLINK("https://api.qogita.com/variants/link/3614273898478/", "View Product")</f>
        <v/>
      </c>
    </row>
    <row r="4225">
      <c r="A4225" t="inlineStr">
        <is>
          <t>3614273903172</t>
        </is>
      </c>
      <c r="B4225" t="inlineStr">
        <is>
          <t>Azzaro Wanted Eau De Parfum 100ml</t>
        </is>
      </c>
      <c r="C4225" t="inlineStr">
        <is>
          <t>Eau De Parfum</t>
        </is>
      </c>
      <c r="D4225" t="inlineStr">
        <is>
          <t>Azzaro</t>
        </is>
      </c>
      <c r="E4225" t="n">
        <v>44.66</v>
      </c>
      <c r="F4225" t="n">
        <v>1</v>
      </c>
      <c r="G4225" t="n">
        <v>22</v>
      </c>
      <c r="H4225" s="5">
        <f>HYPERLINK("https://api.qogita.com/variants/link/3614273903172/", "View Product")</f>
        <v/>
      </c>
    </row>
    <row r="4226">
      <c r="A4226" t="inlineStr">
        <is>
          <t>3614273905428</t>
        </is>
      </c>
      <c r="B4226" t="inlineStr">
        <is>
          <t>Azzaro Wanted Eau De Parfum 50ml</t>
        </is>
      </c>
      <c r="C4226" t="inlineStr">
        <is>
          <t>Eau De Parfum</t>
        </is>
      </c>
      <c r="D4226" t="inlineStr">
        <is>
          <t>Azzaro</t>
        </is>
      </c>
      <c r="E4226" t="n">
        <v>42.1</v>
      </c>
      <c r="F4226" t="n">
        <v>1</v>
      </c>
      <c r="G4226" t="n">
        <v>36</v>
      </c>
      <c r="H4226" s="5">
        <f>HYPERLINK("https://api.qogita.com/variants/link/3614273905428/", "View Product")</f>
        <v/>
      </c>
    </row>
    <row r="4227">
      <c r="A4227" t="inlineStr">
        <is>
          <t>3614273906678</t>
        </is>
      </c>
      <c r="B4227" t="inlineStr">
        <is>
          <t>Prada Infusion De Figue Eau De Parfum Spray 100ml</t>
        </is>
      </c>
      <c r="C4227" t="inlineStr">
        <is>
          <t>Eau De Parfum</t>
        </is>
      </c>
      <c r="D4227" t="inlineStr">
        <is>
          <t>Prada</t>
        </is>
      </c>
      <c r="E4227" t="n">
        <v>68.65000000000001</v>
      </c>
      <c r="F4227" t="n">
        <v>1</v>
      </c>
      <c r="G4227" t="n">
        <v>7</v>
      </c>
      <c r="H4227" s="5">
        <f>HYPERLINK("https://api.qogita.com/variants/link/3614273906678/", "View Product")</f>
        <v/>
      </c>
    </row>
    <row r="4228">
      <c r="A4228" t="inlineStr">
        <is>
          <t>3614273921695</t>
        </is>
      </c>
      <c r="B4228" t="inlineStr">
        <is>
          <t>YVES SAINT LAURENT Couture Mini Clutch Eyeshadow Palette N. 200 Gueliz Dream</t>
        </is>
      </c>
      <c r="C4228" t="inlineStr">
        <is>
          <t>Eye Sets &amp; Pallets</t>
        </is>
      </c>
      <c r="D4228" t="inlineStr">
        <is>
          <t>Yves Saint Laurent</t>
        </is>
      </c>
      <c r="E4228" t="n">
        <v>58.43</v>
      </c>
      <c r="F4228" t="n">
        <v>1</v>
      </c>
      <c r="G4228" t="n">
        <v>2</v>
      </c>
      <c r="H4228" s="5">
        <f>HYPERLINK("https://api.qogita.com/variants/link/3614273921695/", "View Product")</f>
        <v/>
      </c>
    </row>
    <row r="4229">
      <c r="A4229" t="inlineStr">
        <is>
          <t>3614273922975</t>
        </is>
      </c>
      <c r="B4229" t="inlineStr">
        <is>
          <t>Lancome La Vie Est Belle Iris Absolu Eau De Parfum Spray 100ml</t>
        </is>
      </c>
      <c r="C4229" t="inlineStr">
        <is>
          <t>Eau De Parfum</t>
        </is>
      </c>
      <c r="D4229" t="inlineStr">
        <is>
          <t>Lancôme</t>
        </is>
      </c>
      <c r="E4229" t="n">
        <v>87.95</v>
      </c>
      <c r="F4229" t="n">
        <v>1</v>
      </c>
      <c r="G4229" t="n">
        <v>7</v>
      </c>
      <c r="H4229" s="5">
        <f>HYPERLINK("https://api.qogita.com/variants/link/3614273922975/", "View Product")</f>
        <v/>
      </c>
    </row>
    <row r="4230">
      <c r="A4230" t="inlineStr">
        <is>
          <t>3614273924030</t>
        </is>
      </c>
      <c r="B4230" t="inlineStr">
        <is>
          <t>Yves Saint Laurent Libre L'Absolu Platine Perfume Spray 90ml</t>
        </is>
      </c>
      <c r="C4230" t="inlineStr">
        <is>
          <t>Eau De Parfum</t>
        </is>
      </c>
      <c r="D4230" t="inlineStr">
        <is>
          <t>Yves Saint Laurent</t>
        </is>
      </c>
      <c r="E4230" t="n">
        <v>107.15</v>
      </c>
      <c r="F4230" t="n">
        <v>1</v>
      </c>
      <c r="G4230" t="n">
        <v>20</v>
      </c>
      <c r="H4230" s="5">
        <f>HYPERLINK("https://api.qogita.com/variants/link/3614273924030/", "View Product")</f>
        <v/>
      </c>
    </row>
    <row r="4231">
      <c r="A4231" t="inlineStr">
        <is>
          <t>3614273927345</t>
        </is>
      </c>
      <c r="B4231" t="inlineStr">
        <is>
          <t>Lancome Idole Now Eau De Parfum Spray 25ml</t>
        </is>
      </c>
      <c r="C4231" t="inlineStr">
        <is>
          <t>Eau De Parfum</t>
        </is>
      </c>
      <c r="D4231" t="inlineStr">
        <is>
          <t>Lancôme</t>
        </is>
      </c>
      <c r="E4231" t="n">
        <v>42.02</v>
      </c>
      <c r="F4231" t="n">
        <v>1</v>
      </c>
      <c r="G4231" t="n">
        <v>4</v>
      </c>
      <c r="H4231" s="5">
        <f>HYPERLINK("https://api.qogita.com/variants/link/3614273927345/", "View Product")</f>
        <v/>
      </c>
    </row>
    <row r="4232">
      <c r="A4232" t="inlineStr">
        <is>
          <t>3614273927963</t>
        </is>
      </c>
      <c r="B4232" t="inlineStr">
        <is>
          <t>MUGLER Alien Goddess 10ml Eau de Parfum Spray for Women</t>
        </is>
      </c>
      <c r="C4232" t="inlineStr">
        <is>
          <t>Eau De Parfum</t>
        </is>
      </c>
      <c r="D4232" t="inlineStr">
        <is>
          <t>Thierry Mugler</t>
        </is>
      </c>
      <c r="E4232" t="n">
        <v>10.47</v>
      </c>
      <c r="F4232" t="n">
        <v>1</v>
      </c>
      <c r="G4232" t="n">
        <v>22</v>
      </c>
      <c r="H4232" s="5">
        <f>HYPERLINK("https://api.qogita.com/variants/link/3614273927963/", "View Product")</f>
        <v/>
      </c>
    </row>
    <row r="4233">
      <c r="A4233" t="inlineStr">
        <is>
          <t>3614273945233</t>
        </is>
      </c>
      <c r="B4233" t="inlineStr">
        <is>
          <t>Yves Saint Laurent Rouge Pur Couture Caring Satin Lipstick Satin Lipstick 38 G Rouge Legion</t>
        </is>
      </c>
      <c r="C4233" t="inlineStr">
        <is>
          <t>Lipstick</t>
        </is>
      </c>
      <c r="D4233" t="inlineStr">
        <is>
          <t>Yves Saint Laurent</t>
        </is>
      </c>
      <c r="E4233" t="n">
        <v>34.33</v>
      </c>
      <c r="F4233" t="n">
        <v>1</v>
      </c>
      <c r="G4233" t="n">
        <v>2</v>
      </c>
      <c r="H4233" s="5">
        <f>HYPERLINK("https://api.qogita.com/variants/link/3614273945233/", "View Product")</f>
        <v/>
      </c>
    </row>
    <row r="4234">
      <c r="A4234" t="inlineStr">
        <is>
          <t>3614273945271</t>
        </is>
      </c>
      <c r="B4234" t="inlineStr">
        <is>
          <t>Yves Saint Laurent Rouge Pur Couture Caring Satin Lipstick 38 G</t>
        </is>
      </c>
      <c r="C4234" t="inlineStr">
        <is>
          <t>Lipstick</t>
        </is>
      </c>
      <c r="D4234" t="inlineStr">
        <is>
          <t>Yves Saint Laurent</t>
        </is>
      </c>
      <c r="E4234" t="n">
        <v>35.97</v>
      </c>
      <c r="F4234" t="n">
        <v>1</v>
      </c>
      <c r="G4234" t="n">
        <v>4</v>
      </c>
      <c r="H4234" s="5">
        <f>HYPERLINK("https://api.qogita.com/variants/link/3614273945271/", "View Product")</f>
        <v/>
      </c>
    </row>
    <row r="4235">
      <c r="A4235" t="inlineStr">
        <is>
          <t>3614273945523</t>
        </is>
      </c>
      <c r="B4235" t="inlineStr">
        <is>
          <t>Yves Saint Laurent Rouge Pur Couture Caring Satin Lipstick 38 G</t>
        </is>
      </c>
      <c r="C4235" t="inlineStr">
        <is>
          <t>Lipstick</t>
        </is>
      </c>
      <c r="D4235" t="inlineStr">
        <is>
          <t>Yves Saint Laurent</t>
        </is>
      </c>
      <c r="E4235" t="n">
        <v>34.67</v>
      </c>
      <c r="F4235" t="n">
        <v>1</v>
      </c>
      <c r="G4235" t="n">
        <v>2</v>
      </c>
      <c r="H4235" s="5">
        <f>HYPERLINK("https://api.qogita.com/variants/link/3614273945523/", "View Product")</f>
        <v/>
      </c>
    </row>
    <row r="4236">
      <c r="A4236" t="inlineStr">
        <is>
          <t>3614273947787</t>
        </is>
      </c>
      <c r="B4236" t="inlineStr">
        <is>
          <t>Giorgio Armani My Way Nectar Eau De Parfum 30ml</t>
        </is>
      </c>
      <c r="C4236" t="inlineStr">
        <is>
          <t>Eau De Parfum</t>
        </is>
      </c>
      <c r="D4236" t="inlineStr">
        <is>
          <t>Giorgio Armani</t>
        </is>
      </c>
      <c r="E4236" t="n">
        <v>56.63</v>
      </c>
      <c r="F4236" t="n">
        <v>1</v>
      </c>
      <c r="G4236" t="n">
        <v>10</v>
      </c>
      <c r="H4236" s="5">
        <f>HYPERLINK("https://api.qogita.com/variants/link/3614273947787/", "View Product")</f>
        <v/>
      </c>
    </row>
    <row r="4237">
      <c r="A4237" t="inlineStr">
        <is>
          <t>3614273953764</t>
        </is>
      </c>
      <c r="B4237" t="inlineStr">
        <is>
          <t>Giorgio Armani Acqua Di Gio Profondo Perfume Spray 50ml</t>
        </is>
      </c>
      <c r="C4237" t="inlineStr">
        <is>
          <t>Eau De Parfum</t>
        </is>
      </c>
      <c r="D4237" t="inlineStr">
        <is>
          <t>Giorgio Armani</t>
        </is>
      </c>
      <c r="E4237" t="n">
        <v>61.7</v>
      </c>
      <c r="F4237" t="n">
        <v>1</v>
      </c>
      <c r="G4237" t="n">
        <v>13</v>
      </c>
      <c r="H4237" s="5">
        <f>HYPERLINK("https://api.qogita.com/variants/link/3614273953764/", "View Product")</f>
        <v/>
      </c>
    </row>
    <row r="4238">
      <c r="A4238" t="inlineStr">
        <is>
          <t>3614273953771</t>
        </is>
      </c>
      <c r="B4238" t="inlineStr">
        <is>
          <t>Giorgio Armani Acqua Di Gio Deep Parfum 30ml</t>
        </is>
      </c>
      <c r="C4238" t="inlineStr">
        <is>
          <t>Eau De Parfum</t>
        </is>
      </c>
      <c r="D4238" t="inlineStr">
        <is>
          <t>Armani Beauty</t>
        </is>
      </c>
      <c r="E4238" t="n">
        <v>52.91</v>
      </c>
      <c r="F4238" t="n">
        <v>1</v>
      </c>
      <c r="G4238" t="n">
        <v>8</v>
      </c>
      <c r="H4238" s="5">
        <f>HYPERLINK("https://api.qogita.com/variants/link/3614273953771/", "View Product")</f>
        <v/>
      </c>
    </row>
    <row r="4239">
      <c r="A4239" t="inlineStr">
        <is>
          <t>3614273953832</t>
        </is>
      </c>
      <c r="B4239" t="inlineStr">
        <is>
          <t>Armani Acqua Di Gio Pour Homme Profondo EDP Refillable Spray 200ml</t>
        </is>
      </c>
      <c r="C4239" t="inlineStr">
        <is>
          <t>Eau De Parfum</t>
        </is>
      </c>
      <c r="D4239" t="inlineStr">
        <is>
          <t>Armani Beauty</t>
        </is>
      </c>
      <c r="E4239" t="n">
        <v>116.67</v>
      </c>
      <c r="F4239" t="n">
        <v>1</v>
      </c>
      <c r="G4239" t="n">
        <v>5</v>
      </c>
      <c r="H4239" s="5">
        <f>HYPERLINK("https://api.qogita.com/variants/link/3614273953832/", "View Product")</f>
        <v/>
      </c>
    </row>
    <row r="4240">
      <c r="A4240" t="inlineStr">
        <is>
          <t>3614273953856</t>
        </is>
      </c>
      <c r="B4240" t="inlineStr">
        <is>
          <t>Giorgio Armani Acqua Di Gio Profondo Eau De Parfum 50ml</t>
        </is>
      </c>
      <c r="C4240" t="inlineStr">
        <is>
          <t>Eau De Parfum</t>
        </is>
      </c>
      <c r="D4240" t="inlineStr">
        <is>
          <t>Giorgio Armani</t>
        </is>
      </c>
      <c r="E4240" t="n">
        <v>62.18</v>
      </c>
      <c r="F4240" t="n">
        <v>1</v>
      </c>
      <c r="G4240" t="n">
        <v>10</v>
      </c>
      <c r="H4240" s="5">
        <f>HYPERLINK("https://api.qogita.com/variants/link/3614273953856/", "View Product")</f>
        <v/>
      </c>
    </row>
    <row r="4241">
      <c r="A4241" t="inlineStr">
        <is>
          <t>3614273953863</t>
        </is>
      </c>
      <c r="B4241" t="inlineStr">
        <is>
          <t>Giorgio Armani Acqua Di Gi Profondo Eau De Parfum Refillable 30ml</t>
        </is>
      </c>
      <c r="C4241" t="inlineStr">
        <is>
          <t>Eau De Parfum</t>
        </is>
      </c>
      <c r="D4241" t="inlineStr">
        <is>
          <t>Giorgio Armani</t>
        </is>
      </c>
      <c r="E4241" t="n">
        <v>48.29</v>
      </c>
      <c r="F4241" t="n">
        <v>1</v>
      </c>
      <c r="G4241" t="n">
        <v>2</v>
      </c>
      <c r="H4241" s="5">
        <f>HYPERLINK("https://api.qogita.com/variants/link/3614273953863/", "View Product")</f>
        <v/>
      </c>
    </row>
    <row r="4242">
      <c r="A4242" t="inlineStr">
        <is>
          <t>3614273954174</t>
        </is>
      </c>
      <c r="B4242" t="inlineStr">
        <is>
          <t>Giorgio Armani Acqua Di Gio Pour Homme Refillable Spray 50ml</t>
        </is>
      </c>
      <c r="C4242" t="inlineStr">
        <is>
          <t>Eau De Toilette</t>
        </is>
      </c>
      <c r="D4242" t="inlineStr">
        <is>
          <t>Giorgio Armani</t>
        </is>
      </c>
      <c r="E4242" t="n">
        <v>64.70999999999999</v>
      </c>
      <c r="F4242" t="n">
        <v>1</v>
      </c>
      <c r="G4242" t="n">
        <v>23</v>
      </c>
      <c r="H4242" s="5">
        <f>HYPERLINK("https://api.qogita.com/variants/link/3614273954174/", "View Product")</f>
        <v/>
      </c>
    </row>
    <row r="4243">
      <c r="A4243" t="inlineStr">
        <is>
          <t>3614273954457</t>
        </is>
      </c>
      <c r="B4243" t="inlineStr">
        <is>
          <t>Yves Saint Laurent All Hours Precise Angles Concealer 15 Ml Mw2</t>
        </is>
      </c>
      <c r="C4243" t="inlineStr">
        <is>
          <t>Concealer</t>
        </is>
      </c>
      <c r="D4243" t="inlineStr">
        <is>
          <t>Yves Saint Laurent</t>
        </is>
      </c>
      <c r="E4243" t="n">
        <v>27.52</v>
      </c>
      <c r="F4243" t="n">
        <v>1</v>
      </c>
      <c r="G4243" t="n">
        <v>4</v>
      </c>
      <c r="H4243" s="5">
        <f>HYPERLINK("https://api.qogita.com/variants/link/3614273954457/", "View Product")</f>
        <v/>
      </c>
    </row>
    <row r="4244">
      <c r="A4244" t="inlineStr">
        <is>
          <t>3614273954495</t>
        </is>
      </c>
      <c r="B4244" t="inlineStr">
        <is>
          <t>Yves Saint Laurent All Hours Precise Angles Concealer Dw4 15ml</t>
        </is>
      </c>
      <c r="C4244" t="inlineStr">
        <is>
          <t>Concealer</t>
        </is>
      </c>
      <c r="D4244" t="inlineStr">
        <is>
          <t>Yves Saint Laurent</t>
        </is>
      </c>
      <c r="E4244" t="n">
        <v>25.52</v>
      </c>
      <c r="F4244" t="n">
        <v>1</v>
      </c>
      <c r="G4244" t="n">
        <v>5</v>
      </c>
      <c r="H4244" s="5">
        <f>HYPERLINK("https://api.qogita.com/variants/link/3614273954495/", "View Product")</f>
        <v/>
      </c>
    </row>
    <row r="4245">
      <c r="A4245" t="inlineStr">
        <is>
          <t>3614273959223</t>
        </is>
      </c>
      <c r="B4245" t="inlineStr">
        <is>
          <t>Diesel Bad Deodorizing Body Spray for Men - Seductive Fresh Masculine and Sexy</t>
        </is>
      </c>
      <c r="C4245" t="inlineStr">
        <is>
          <t>Deodorant &amp; Anti-Perspirant</t>
        </is>
      </c>
      <c r="D4245" t="inlineStr">
        <is>
          <t>Diesel</t>
        </is>
      </c>
      <c r="E4245" t="n">
        <v>7.36</v>
      </c>
      <c r="F4245" t="n">
        <v>1</v>
      </c>
      <c r="G4245" t="n">
        <v>2</v>
      </c>
      <c r="H4245" s="5">
        <f>HYPERLINK("https://api.qogita.com/variants/link/3614273959223/", "View Product")</f>
        <v/>
      </c>
    </row>
    <row r="4246">
      <c r="A4246" t="inlineStr">
        <is>
          <t>3614273964081</t>
        </is>
      </c>
      <c r="B4246" t="inlineStr">
        <is>
          <t>Yves Saint Laurent Lash Clash Mascara 04 Blue 8ml</t>
        </is>
      </c>
      <c r="C4246" t="inlineStr">
        <is>
          <t>Mascara</t>
        </is>
      </c>
      <c r="D4246" t="inlineStr">
        <is>
          <t>Yves Saint Laurent</t>
        </is>
      </c>
      <c r="E4246" t="n">
        <v>29.83</v>
      </c>
      <c r="F4246" t="n">
        <v>1</v>
      </c>
      <c r="G4246" t="n">
        <v>14</v>
      </c>
      <c r="H4246" s="5">
        <f>HYPERLINK("https://api.qogita.com/variants/link/3614273964081/", "View Product")</f>
        <v/>
      </c>
    </row>
    <row r="4247">
      <c r="A4247" t="inlineStr">
        <is>
          <t>3614274017076</t>
        </is>
      </c>
      <c r="B4247" t="inlineStr">
        <is>
          <t>Maison Margiela Replica Under The Stars Eau De Toilette Spray 30ml</t>
        </is>
      </c>
      <c r="C4247" t="inlineStr">
        <is>
          <t>Eau De Toilette</t>
        </is>
      </c>
      <c r="D4247" t="inlineStr">
        <is>
          <t>Maison Margiela</t>
        </is>
      </c>
      <c r="E4247" t="n">
        <v>48.24</v>
      </c>
      <c r="F4247" t="n">
        <v>1</v>
      </c>
      <c r="G4247" t="n">
        <v>2</v>
      </c>
      <c r="H4247" s="5">
        <f>HYPERLINK("https://api.qogita.com/variants/link/3614274017076/", "View Product")</f>
        <v/>
      </c>
    </row>
    <row r="4248">
      <c r="A4248" t="inlineStr">
        <is>
          <t>3614274066982</t>
        </is>
      </c>
      <c r="B4248" t="inlineStr">
        <is>
          <t>Thierry Mugler Alien Hypersense Eau De Parfum Refillable Spray 60ml</t>
        </is>
      </c>
      <c r="C4248" t="inlineStr">
        <is>
          <t>Eau De Parfum</t>
        </is>
      </c>
      <c r="D4248" t="inlineStr">
        <is>
          <t>Thierry Mugler</t>
        </is>
      </c>
      <c r="E4248" t="n">
        <v>47.44</v>
      </c>
      <c r="F4248" t="n">
        <v>1</v>
      </c>
      <c r="G4248" t="n">
        <v>38</v>
      </c>
      <c r="H4248" s="5">
        <f>HYPERLINK("https://api.qogita.com/variants/link/3614274066982/", "View Product")</f>
        <v/>
      </c>
    </row>
    <row r="4249">
      <c r="A4249" t="inlineStr">
        <is>
          <t>3614274068801</t>
        </is>
      </c>
      <c r="B4249" t="inlineStr">
        <is>
          <t>Lancome La Nuit Tresor Le Parfum Eau De Parfum Spray 50ml</t>
        </is>
      </c>
      <c r="C4249" t="inlineStr">
        <is>
          <t>Eau De Parfum</t>
        </is>
      </c>
      <c r="D4249" t="inlineStr">
        <is>
          <t>Lancôme</t>
        </is>
      </c>
      <c r="E4249" t="n">
        <v>80.43000000000001</v>
      </c>
      <c r="F4249" t="n">
        <v>1</v>
      </c>
      <c r="G4249" t="n">
        <v>2</v>
      </c>
      <c r="H4249" s="5">
        <f>HYPERLINK("https://api.qogita.com/variants/link/3614274068801/", "View Product")</f>
        <v/>
      </c>
    </row>
    <row r="4250">
      <c r="A4250" t="inlineStr">
        <is>
          <t>3614274078565</t>
        </is>
      </c>
      <c r="B4250" t="inlineStr">
        <is>
          <t>Lancme Idle Eau De Toilette 100 Ml</t>
        </is>
      </c>
      <c r="C4250" t="inlineStr">
        <is>
          <t>Eau De Toilette</t>
        </is>
      </c>
      <c r="D4250" t="inlineStr">
        <is>
          <t>Lancôme</t>
        </is>
      </c>
      <c r="E4250" t="n">
        <v>85.56</v>
      </c>
      <c r="F4250" t="n">
        <v>1</v>
      </c>
      <c r="G4250" t="n">
        <v>5</v>
      </c>
      <c r="H4250" s="5">
        <f>HYPERLINK("https://api.qogita.com/variants/link/3614274078565/", "View Product")</f>
        <v/>
      </c>
    </row>
    <row r="4251">
      <c r="A4251" t="inlineStr">
        <is>
          <t>3614274085501</t>
        </is>
      </c>
      <c r="B4251" t="inlineStr">
        <is>
          <t>Thierry Mugler Angel Fantasm Eau De Parfum Refillable Spray 50ml</t>
        </is>
      </c>
      <c r="C4251" t="inlineStr">
        <is>
          <t>Eau De Parfum</t>
        </is>
      </c>
      <c r="D4251" t="inlineStr">
        <is>
          <t>Thierry Mugler</t>
        </is>
      </c>
      <c r="E4251" t="n">
        <v>53.99</v>
      </c>
      <c r="F4251" t="n">
        <v>1</v>
      </c>
      <c r="G4251" t="n">
        <v>233</v>
      </c>
      <c r="H4251" s="5">
        <f>HYPERLINK("https://api.qogita.com/variants/link/3614274085501/", "View Product")</f>
        <v/>
      </c>
    </row>
    <row r="4252">
      <c r="A4252" t="inlineStr">
        <is>
          <t>3614274103007</t>
        </is>
      </c>
      <c r="B4252" t="inlineStr">
        <is>
          <t>Lancome La Vie Est Belle Rose Extraordinaire Eau De Parfum Spray 30ml</t>
        </is>
      </c>
      <c r="C4252" t="inlineStr">
        <is>
          <t>Eau De Parfum</t>
        </is>
      </c>
      <c r="D4252" t="inlineStr">
        <is>
          <t>Lancôme</t>
        </is>
      </c>
      <c r="E4252" t="n">
        <v>39.68</v>
      </c>
      <c r="F4252" t="n">
        <v>1</v>
      </c>
      <c r="G4252" t="n">
        <v>12</v>
      </c>
      <c r="H4252" s="5">
        <f>HYPERLINK("https://api.qogita.com/variants/link/3614274103007/", "View Product")</f>
        <v/>
      </c>
    </row>
    <row r="4253">
      <c r="A4253" t="inlineStr">
        <is>
          <t>3614274104448</t>
        </is>
      </c>
      <c r="B4253" t="inlineStr">
        <is>
          <t>Lancome La Vie Est Belle Rose Extraordinaire Eau De Parfum Spray 50ml</t>
        </is>
      </c>
      <c r="C4253" t="inlineStr">
        <is>
          <t>Eau De Parfum</t>
        </is>
      </c>
      <c r="D4253" t="inlineStr">
        <is>
          <t>Lancôme</t>
        </is>
      </c>
      <c r="E4253" t="n">
        <v>60.25</v>
      </c>
      <c r="F4253" t="n">
        <v>1</v>
      </c>
      <c r="G4253" t="n">
        <v>22</v>
      </c>
      <c r="H4253" s="5">
        <f>HYPERLINK("https://api.qogita.com/variants/link/3614274104448/", "View Product")</f>
        <v/>
      </c>
    </row>
    <row r="4254">
      <c r="A4254" t="inlineStr">
        <is>
          <t>3614274109412</t>
        </is>
      </c>
      <c r="B4254" t="inlineStr">
        <is>
          <t>Prada Luna Rossa Ocean Pour Homme EDP 50ml</t>
        </is>
      </c>
      <c r="C4254" t="inlineStr">
        <is>
          <t>Fragrance Sets</t>
        </is>
      </c>
      <c r="D4254" t="inlineStr">
        <is>
          <t>Prada</t>
        </is>
      </c>
      <c r="E4254" t="n">
        <v>64.66</v>
      </c>
      <c r="F4254" t="n">
        <v>1</v>
      </c>
      <c r="G4254" t="n">
        <v>3</v>
      </c>
      <c r="H4254" s="5">
        <f>HYPERLINK("https://api.qogita.com/variants/link/3614274109412/", "View Product")</f>
        <v/>
      </c>
    </row>
    <row r="4255">
      <c r="A4255" t="inlineStr">
        <is>
          <t>3614274110470</t>
        </is>
      </c>
      <c r="B4255" t="inlineStr">
        <is>
          <t>Lancme Teint Idole Ultra Wear Skin Transforming Highlighter 01 Light Glow 10 G</t>
        </is>
      </c>
      <c r="C4255" t="inlineStr">
        <is>
          <t>Highlighter</t>
        </is>
      </c>
      <c r="D4255" t="inlineStr">
        <is>
          <t>Lancôme</t>
        </is>
      </c>
      <c r="E4255" t="n">
        <v>37.44</v>
      </c>
      <c r="F4255" t="n">
        <v>1</v>
      </c>
      <c r="G4255" t="n">
        <v>2</v>
      </c>
      <c r="H4255" s="5">
        <f>HYPERLINK("https://api.qogita.com/variants/link/3614274110470/", "View Product")</f>
        <v/>
      </c>
    </row>
    <row r="4256">
      <c r="A4256" t="inlineStr">
        <is>
          <t>3614274114652</t>
        </is>
      </c>
      <c r="B4256" t="inlineStr">
        <is>
          <t>Yves Saint Laurent Myslf Le Parfum Spray 60ml</t>
        </is>
      </c>
      <c r="C4256" t="inlineStr">
        <is>
          <t>Eau De Parfum</t>
        </is>
      </c>
      <c r="D4256" t="inlineStr">
        <is>
          <t>Yves Saint Laurent</t>
        </is>
      </c>
      <c r="E4256" t="n">
        <v>66.93000000000001</v>
      </c>
      <c r="F4256" t="n">
        <v>1</v>
      </c>
      <c r="G4256" t="n">
        <v>5</v>
      </c>
      <c r="H4256" s="5">
        <f>HYPERLINK("https://api.qogita.com/variants/link/3614274114652/", "View Product")</f>
        <v/>
      </c>
    </row>
    <row r="4257">
      <c r="A4257" t="inlineStr">
        <is>
          <t>3614274114669</t>
        </is>
      </c>
      <c r="B4257" t="inlineStr">
        <is>
          <t>Myslf Le Parfum Perfume Spray 40ml</t>
        </is>
      </c>
      <c r="C4257" t="inlineStr">
        <is>
          <t>Eau De Parfum</t>
        </is>
      </c>
      <c r="D4257" t="inlineStr">
        <is>
          <t>Myslf</t>
        </is>
      </c>
      <c r="E4257" t="n">
        <v>73.5</v>
      </c>
      <c r="F4257" t="n">
        <v>1</v>
      </c>
      <c r="G4257" t="n">
        <v>15</v>
      </c>
      <c r="H4257" s="5">
        <f>HYPERLINK("https://api.qogita.com/variants/link/3614274114669/", "View Product")</f>
        <v/>
      </c>
    </row>
    <row r="4258">
      <c r="A4258" t="inlineStr">
        <is>
          <t>3614274115550</t>
        </is>
      </c>
      <c r="B4258" t="inlineStr">
        <is>
          <t>Biotherm Blue Peptides Uplift Cream 75ml</t>
        </is>
      </c>
      <c r="C4258" t="inlineStr">
        <is>
          <t>Anti-Aging Facial Care</t>
        </is>
      </c>
      <c r="D4258" t="inlineStr">
        <is>
          <t>Biotherm</t>
        </is>
      </c>
      <c r="E4258" t="n">
        <v>95.75</v>
      </c>
      <c r="F4258" t="n">
        <v>1</v>
      </c>
      <c r="G4258" t="n">
        <v>3</v>
      </c>
      <c r="H4258" s="5">
        <f>HYPERLINK("https://api.qogita.com/variants/link/3614274115550/", "View Product")</f>
        <v/>
      </c>
    </row>
    <row r="4259">
      <c r="A4259" t="inlineStr">
        <is>
          <t>3614274128307</t>
        </is>
      </c>
      <c r="B4259" t="inlineStr">
        <is>
          <t>Yves Saint Laurent Tinted Lip Balm Loveshine Candy Glow 32 G</t>
        </is>
      </c>
      <c r="C4259" t="inlineStr">
        <is>
          <t>Lip Balm</t>
        </is>
      </c>
      <c r="D4259" t="inlineStr">
        <is>
          <t>Yves Saint Laurent</t>
        </is>
      </c>
      <c r="E4259" t="n">
        <v>39.2</v>
      </c>
      <c r="F4259" t="n">
        <v>1</v>
      </c>
      <c r="G4259" t="n">
        <v>2</v>
      </c>
      <c r="H4259" s="5">
        <f>HYPERLINK("https://api.qogita.com/variants/link/3614274128307/", "View Product")</f>
        <v/>
      </c>
    </row>
    <row r="4260">
      <c r="A4260" t="inlineStr">
        <is>
          <t>3614274141078</t>
        </is>
      </c>
      <c r="B4260" t="inlineStr">
        <is>
          <t>Viktor &amp; Rolf Spicebomb 90ml Men's Fragrance</t>
        </is>
      </c>
      <c r="C4260" t="inlineStr">
        <is>
          <t>Eau De Toilette</t>
        </is>
      </c>
      <c r="D4260" t="inlineStr">
        <is>
          <t>Viktor &amp; Rolf</t>
        </is>
      </c>
      <c r="E4260" t="n">
        <v>82.52</v>
      </c>
      <c r="F4260" t="n">
        <v>1</v>
      </c>
      <c r="G4260" t="n">
        <v>8</v>
      </c>
      <c r="H4260" s="5">
        <f>HYPERLINK("https://api.qogita.com/variants/link/3614274141078/", "View Product")</f>
        <v/>
      </c>
    </row>
    <row r="4261">
      <c r="A4261" t="inlineStr">
        <is>
          <t>3614274142334</t>
        </is>
      </c>
      <c r="B4261" t="inlineStr">
        <is>
          <t>Lancome Renewing Skin Serum Genifique Ultimate 100 Ml</t>
        </is>
      </c>
      <c r="C4261" t="inlineStr">
        <is>
          <t>Anti-Aging Serum</t>
        </is>
      </c>
      <c r="D4261" t="inlineStr">
        <is>
          <t>Lancôme</t>
        </is>
      </c>
      <c r="E4261" t="n">
        <v>150.54</v>
      </c>
      <c r="F4261" t="n">
        <v>1</v>
      </c>
      <c r="G4261" t="n">
        <v>7</v>
      </c>
      <c r="H4261" s="5">
        <f>HYPERLINK("https://api.qogita.com/variants/link/3614274142334/", "View Product")</f>
        <v/>
      </c>
    </row>
    <row r="4262">
      <c r="A4262" t="inlineStr">
        <is>
          <t>3614274143751</t>
        </is>
      </c>
      <c r="B4262" t="inlineStr">
        <is>
          <t>Giorgio Armani Acqua Di Gio Elixir 50ml - A Refreshing Men's Fragrance</t>
        </is>
      </c>
      <c r="C4262" t="inlineStr">
        <is>
          <t>Eau De Parfum</t>
        </is>
      </c>
      <c r="D4262" t="inlineStr">
        <is>
          <t>Giorgio Armani</t>
        </is>
      </c>
      <c r="E4262" t="n">
        <v>88.45999999999999</v>
      </c>
      <c r="F4262" t="n">
        <v>1</v>
      </c>
      <c r="G4262" t="n">
        <v>10</v>
      </c>
      <c r="H4262" s="5">
        <f>HYPERLINK("https://api.qogita.com/variants/link/3614274143751/", "View Product")</f>
        <v/>
      </c>
    </row>
    <row r="4263">
      <c r="A4263" t="inlineStr">
        <is>
          <t>3614274151008</t>
        </is>
      </c>
      <c r="B4263" t="inlineStr">
        <is>
          <t>Giorgio Armani Si Passione Intense Eau De Parfum 30ml</t>
        </is>
      </c>
      <c r="C4263" t="inlineStr">
        <is>
          <t>Eau De Parfum</t>
        </is>
      </c>
      <c r="D4263" t="inlineStr">
        <is>
          <t>Giorgio Armani</t>
        </is>
      </c>
      <c r="E4263" t="n">
        <v>61.01</v>
      </c>
      <c r="F4263" t="n">
        <v>1</v>
      </c>
      <c r="G4263" t="n">
        <v>7</v>
      </c>
      <c r="H4263" s="5">
        <f>HYPERLINK("https://api.qogita.com/variants/link/3614274151008/", "View Product")</f>
        <v/>
      </c>
    </row>
    <row r="4264">
      <c r="A4264" t="inlineStr">
        <is>
          <t>3614274151701</t>
        </is>
      </c>
      <c r="B4264" t="inlineStr">
        <is>
          <t>Yves Saint Laurent Libre Flowers &amp; Flames Eau De Parfum 90 Ml</t>
        </is>
      </c>
      <c r="C4264" t="inlineStr">
        <is>
          <t>Eau De Parfum</t>
        </is>
      </c>
      <c r="D4264" t="inlineStr">
        <is>
          <t>Yves Saint Laurent</t>
        </is>
      </c>
      <c r="E4264" t="n">
        <v>91.63</v>
      </c>
      <c r="F4264" t="n">
        <v>1</v>
      </c>
      <c r="G4264" t="n">
        <v>43</v>
      </c>
      <c r="H4264" s="5">
        <f>HYPERLINK("https://api.qogita.com/variants/link/3614274151701/", "View Product")</f>
        <v/>
      </c>
    </row>
    <row r="4265">
      <c r="A4265" t="inlineStr">
        <is>
          <t>3614274154368</t>
        </is>
      </c>
      <c r="B4265" t="inlineStr">
        <is>
          <t>Giorgio Armani Prisma Glass Lip Gloss 35 Ml</t>
        </is>
      </c>
      <c r="C4265" t="inlineStr">
        <is>
          <t>Lip Gloss</t>
        </is>
      </c>
      <c r="D4265" t="inlineStr">
        <is>
          <t>Giorgio Armani</t>
        </is>
      </c>
      <c r="E4265" t="n">
        <v>29.7</v>
      </c>
      <c r="F4265" t="n">
        <v>1</v>
      </c>
      <c r="G4265" t="n">
        <v>2</v>
      </c>
      <c r="H4265" s="5">
        <f>HYPERLINK("https://api.qogita.com/variants/link/3614274154368/", "View Product")</f>
        <v/>
      </c>
    </row>
    <row r="4266">
      <c r="A4266" t="inlineStr">
        <is>
          <t>3614274154399</t>
        </is>
      </c>
      <c r="B4266" t="inlineStr">
        <is>
          <t>Giorgio Armani Prisma Glass Lip Gloss 35 Ml</t>
        </is>
      </c>
      <c r="C4266" t="inlineStr">
        <is>
          <t>Lip Gloss</t>
        </is>
      </c>
      <c r="D4266" t="inlineStr">
        <is>
          <t>Giorgio Armani</t>
        </is>
      </c>
      <c r="E4266" t="n">
        <v>31.41</v>
      </c>
      <c r="F4266" t="n">
        <v>1</v>
      </c>
      <c r="G4266" t="n">
        <v>5</v>
      </c>
      <c r="H4266" s="5">
        <f>HYPERLINK("https://api.qogita.com/variants/link/3614274154399/", "View Product")</f>
        <v/>
      </c>
    </row>
    <row r="4267">
      <c r="A4267" t="inlineStr">
        <is>
          <t>3614274156959</t>
        </is>
      </c>
      <c r="B4267" t="inlineStr">
        <is>
          <t>Biotherm Biocorps Anti-Roughness Peeling Body Scrub 200ml</t>
        </is>
      </c>
      <c r="C4267" t="inlineStr">
        <is>
          <t>Body Scrub &amp; Peeling</t>
        </is>
      </c>
      <c r="D4267" t="inlineStr">
        <is>
          <t>Biotherm</t>
        </is>
      </c>
      <c r="E4267" t="n">
        <v>24.01</v>
      </c>
      <c r="F4267" t="n">
        <v>1</v>
      </c>
      <c r="G4267" t="n">
        <v>5</v>
      </c>
      <c r="H4267" s="5">
        <f>HYPERLINK("https://api.qogita.com/variants/link/3614274156959/", "View Product")</f>
        <v/>
      </c>
    </row>
    <row r="4268">
      <c r="A4268" t="inlineStr">
        <is>
          <t>3614274158465</t>
        </is>
      </c>
      <c r="B4268" t="inlineStr">
        <is>
          <t>Lancme Hydra Zen Gel Cream 50ml Moisturizing Gel For Face</t>
        </is>
      </c>
      <c r="C4268" t="inlineStr">
        <is>
          <t>Face Cream</t>
        </is>
      </c>
      <c r="D4268" t="inlineStr">
        <is>
          <t>Lancôme</t>
        </is>
      </c>
      <c r="E4268" t="n">
        <v>43.92</v>
      </c>
      <c r="F4268" t="n">
        <v>1</v>
      </c>
      <c r="G4268" t="n">
        <v>43</v>
      </c>
      <c r="H4268" s="5">
        <f>HYPERLINK("https://api.qogita.com/variants/link/3614274158465/", "View Product")</f>
        <v/>
      </c>
    </row>
    <row r="4269">
      <c r="A4269" t="inlineStr">
        <is>
          <t>3614274163575</t>
        </is>
      </c>
      <c r="B4269" t="inlineStr">
        <is>
          <t>Azzaro Wanted 100ml Men's Fragrance</t>
        </is>
      </c>
      <c r="C4269" t="inlineStr">
        <is>
          <t>Eau De Toilette</t>
        </is>
      </c>
      <c r="D4269" t="inlineStr">
        <is>
          <t>Azzaro</t>
        </is>
      </c>
      <c r="E4269" t="n">
        <v>83.29000000000001</v>
      </c>
      <c r="F4269" t="n">
        <v>1</v>
      </c>
      <c r="G4269" t="n">
        <v>8</v>
      </c>
      <c r="H4269" s="5">
        <f>HYPERLINK("https://api.qogita.com/variants/link/3614274163575/", "View Product")</f>
        <v/>
      </c>
    </row>
    <row r="4270">
      <c r="A4270" t="inlineStr">
        <is>
          <t>3614274169737</t>
        </is>
      </c>
      <c r="B4270" t="inlineStr">
        <is>
          <t>Lancme Lip Idle Squalane12 Butterglow 10 Keep It Glowy Hydrating Lip Balm 3 G</t>
        </is>
      </c>
      <c r="C4270" t="inlineStr">
        <is>
          <t>Lip Balm</t>
        </is>
      </c>
      <c r="D4270" t="inlineStr">
        <is>
          <t>Lancôme</t>
        </is>
      </c>
      <c r="E4270" t="n">
        <v>32.92</v>
      </c>
      <c r="F4270" t="n">
        <v>1</v>
      </c>
      <c r="G4270" t="n">
        <v>3</v>
      </c>
      <c r="H4270" s="5">
        <f>HYPERLINK("https://api.qogita.com/variants/link/3614274169737/", "View Product")</f>
        <v/>
      </c>
    </row>
    <row r="4271">
      <c r="A4271" t="inlineStr">
        <is>
          <t>3614274169843</t>
        </is>
      </c>
      <c r="B4271" t="inlineStr">
        <is>
          <t>Lancme Hydrating Lip Balm Lip Idle Butterglow 3 G Sheik's Rosy Nude</t>
        </is>
      </c>
      <c r="C4271" t="inlineStr">
        <is>
          <t>Lip Balm</t>
        </is>
      </c>
      <c r="D4271" t="inlineStr">
        <is>
          <t>Lancôme</t>
        </is>
      </c>
      <c r="E4271" t="n">
        <v>28.46</v>
      </c>
      <c r="F4271" t="n">
        <v>1</v>
      </c>
      <c r="G4271" t="n">
        <v>6</v>
      </c>
      <c r="H4271" s="5">
        <f>HYPERLINK("https://api.qogita.com/variants/link/3614274169843/", "View Product")</f>
        <v/>
      </c>
    </row>
    <row r="4272">
      <c r="A4272" t="inlineStr">
        <is>
          <t>3614274169850</t>
        </is>
      </c>
      <c r="B4272" t="inlineStr">
        <is>
          <t>Lancme Hydrating Lip Balm Lip Idle Butterglow 3 G 51 Nude Vibe</t>
        </is>
      </c>
      <c r="C4272" t="inlineStr">
        <is>
          <t>Lip Balm</t>
        </is>
      </c>
      <c r="D4272" t="inlineStr">
        <is>
          <t>Lancôme</t>
        </is>
      </c>
      <c r="E4272" t="n">
        <v>28.82</v>
      </c>
      <c r="F4272" t="n">
        <v>1</v>
      </c>
      <c r="G4272" t="n">
        <v>4</v>
      </c>
      <c r="H4272" s="5">
        <f>HYPERLINK("https://api.qogita.com/variants/link/3614274169850/", "View Product")</f>
        <v/>
      </c>
    </row>
    <row r="4273">
      <c r="A4273" t="inlineStr">
        <is>
          <t>3614274171815</t>
        </is>
      </c>
      <c r="B4273" t="inlineStr">
        <is>
          <t>Giorgio Armani Vertigo Lift Lengthening Mascara - 10 Ml</t>
        </is>
      </c>
      <c r="C4273" t="inlineStr">
        <is>
          <t>Mascara</t>
        </is>
      </c>
      <c r="D4273" t="inlineStr">
        <is>
          <t>Giorgio Armani</t>
        </is>
      </c>
      <c r="E4273" t="n">
        <v>38.02</v>
      </c>
      <c r="F4273" t="n">
        <v>1</v>
      </c>
      <c r="G4273" t="n">
        <v>26</v>
      </c>
      <c r="H4273" s="5">
        <f>HYPERLINK("https://api.qogita.com/variants/link/3614274171815/", "View Product")</f>
        <v/>
      </c>
    </row>
    <row r="4274">
      <c r="A4274" t="inlineStr">
        <is>
          <t>3614274172737</t>
        </is>
      </c>
      <c r="B4274" t="inlineStr">
        <is>
          <t>Atelier Cologne Mandarine Fauve Eau De Parfum Spray 30ml</t>
        </is>
      </c>
      <c r="C4274" t="inlineStr">
        <is>
          <t>Eau De Parfum</t>
        </is>
      </c>
      <c r="D4274" t="inlineStr">
        <is>
          <t>Atelier Cologne</t>
        </is>
      </c>
      <c r="E4274" t="n">
        <v>36.12</v>
      </c>
      <c r="F4274" t="n">
        <v>1</v>
      </c>
      <c r="G4274" t="n">
        <v>3</v>
      </c>
      <c r="H4274" s="5">
        <f>HYPERLINK("https://api.qogita.com/variants/link/3614274172737/", "View Product")</f>
        <v/>
      </c>
    </row>
    <row r="4275">
      <c r="A4275" t="inlineStr">
        <is>
          <t>3614274177855</t>
        </is>
      </c>
      <c r="B4275" t="inlineStr">
        <is>
          <t>Mugler Angel Elixir Gift Set for Women</t>
        </is>
      </c>
      <c r="C4275" t="inlineStr">
        <is>
          <t>Fragrance Sets</t>
        </is>
      </c>
      <c r="D4275" t="inlineStr">
        <is>
          <t>Mugler</t>
        </is>
      </c>
      <c r="E4275" t="n">
        <v>55.78</v>
      </c>
      <c r="F4275" t="n">
        <v>1</v>
      </c>
      <c r="G4275" t="n">
        <v>142</v>
      </c>
      <c r="H4275" s="5">
        <f>HYPERLINK("https://api.qogita.com/variants/link/3614274177855/", "View Product")</f>
        <v/>
      </c>
    </row>
    <row r="4276">
      <c r="A4276" t="inlineStr">
        <is>
          <t>3614274185300</t>
        </is>
      </c>
      <c r="B4276" t="inlineStr">
        <is>
          <t>Yves Saint Laurent Black Opium Eau De Parfum Glitter - 50ml</t>
        </is>
      </c>
      <c r="C4276" t="inlineStr">
        <is>
          <t>Eau De Parfum</t>
        </is>
      </c>
      <c r="D4276" t="inlineStr">
        <is>
          <t>Yves Saint Laurent</t>
        </is>
      </c>
      <c r="E4276" t="n">
        <v>81.64</v>
      </c>
      <c r="F4276" t="n">
        <v>1</v>
      </c>
      <c r="G4276" t="n">
        <v>4</v>
      </c>
      <c r="H4276" s="5">
        <f>HYPERLINK("https://api.qogita.com/variants/link/3614274185300/", "View Product")</f>
        <v/>
      </c>
    </row>
    <row r="4277">
      <c r="A4277" t="inlineStr">
        <is>
          <t>3614274186116</t>
        </is>
      </c>
      <c r="B4277" t="inlineStr">
        <is>
          <t>Giorgio Armani Luminous Silk Bronzing Powder 18 G</t>
        </is>
      </c>
      <c r="C4277" t="inlineStr">
        <is>
          <t>Bronzer</t>
        </is>
      </c>
      <c r="D4277" t="inlineStr">
        <is>
          <t>Giorgio Armani</t>
        </is>
      </c>
      <c r="E4277" t="n">
        <v>56.72</v>
      </c>
      <c r="F4277" t="n">
        <v>1</v>
      </c>
      <c r="G4277" t="n">
        <v>5</v>
      </c>
      <c r="H4277" s="5">
        <f>HYPERLINK("https://api.qogita.com/variants/link/3614274186116/", "View Product")</f>
        <v/>
      </c>
    </row>
    <row r="4278">
      <c r="A4278" t="inlineStr">
        <is>
          <t>3614274190847</t>
        </is>
      </c>
      <c r="B4278" t="inlineStr">
        <is>
          <t>Giorgio Armani Luminous Silk Cheek Tint 12ml 50.5 Rosy Peach</t>
        </is>
      </c>
      <c r="C4278" t="inlineStr">
        <is>
          <t>Blush</t>
        </is>
      </c>
      <c r="D4278" t="inlineStr">
        <is>
          <t>Giorgio Armani</t>
        </is>
      </c>
      <c r="E4278" t="n">
        <v>32.86</v>
      </c>
      <c r="F4278" t="n">
        <v>1</v>
      </c>
      <c r="G4278" t="n">
        <v>16</v>
      </c>
      <c r="H4278" s="5">
        <f>HYPERLINK("https://api.qogita.com/variants/link/3614274190847/", "View Product")</f>
        <v/>
      </c>
    </row>
    <row r="4279">
      <c r="A4279" t="inlineStr">
        <is>
          <t>3614274190885</t>
        </is>
      </c>
      <c r="B4279" t="inlineStr">
        <is>
          <t>Giorgio Armani Luminous Silk Cheek Tint 12 Ml Vivid Coral</t>
        </is>
      </c>
      <c r="C4279" t="inlineStr">
        <is>
          <t>Blush</t>
        </is>
      </c>
      <c r="D4279" t="inlineStr">
        <is>
          <t>Giorgio Armani</t>
        </is>
      </c>
      <c r="E4279" t="n">
        <v>32.86</v>
      </c>
      <c r="F4279" t="n">
        <v>1</v>
      </c>
      <c r="G4279" t="n">
        <v>8</v>
      </c>
      <c r="H4279" s="5">
        <f>HYPERLINK("https://api.qogita.com/variants/link/3614274190885/", "View Product")</f>
        <v/>
      </c>
    </row>
    <row r="4280">
      <c r="A4280" t="inlineStr">
        <is>
          <t>3614274190892</t>
        </is>
      </c>
      <c r="B4280" t="inlineStr">
        <is>
          <t>Giorgio Armani Luminous Silk Cheek Tint 62 Delicate Mauve 12 Ml</t>
        </is>
      </c>
      <c r="C4280" t="inlineStr">
        <is>
          <t>Blush</t>
        </is>
      </c>
      <c r="D4280" t="inlineStr">
        <is>
          <t>Giorgio Armani</t>
        </is>
      </c>
      <c r="E4280" t="n">
        <v>32.86</v>
      </c>
      <c r="F4280" t="n">
        <v>1</v>
      </c>
      <c r="G4280" t="n">
        <v>14</v>
      </c>
      <c r="H4280" s="5">
        <f>HYPERLINK("https://api.qogita.com/variants/link/3614274190892/", "View Product")</f>
        <v/>
      </c>
    </row>
    <row r="4281">
      <c r="A4281" t="inlineStr">
        <is>
          <t>3614274192285</t>
        </is>
      </c>
      <c r="B4281" t="inlineStr">
        <is>
          <t>Giorgio Armani My Way Ylang Eau De Parfum</t>
        </is>
      </c>
      <c r="C4281" t="inlineStr">
        <is>
          <t>Eau De Parfum</t>
        </is>
      </c>
      <c r="D4281" t="inlineStr">
        <is>
          <t>Giorgio Armani</t>
        </is>
      </c>
      <c r="E4281" t="n">
        <v>80.43000000000001</v>
      </c>
      <c r="F4281" t="n">
        <v>1</v>
      </c>
      <c r="G4281" t="n">
        <v>2</v>
      </c>
      <c r="H4281" s="5">
        <f>HYPERLINK("https://api.qogita.com/variants/link/3614274192285/", "View Product")</f>
        <v/>
      </c>
    </row>
    <row r="4282">
      <c r="A4282" t="inlineStr">
        <is>
          <t>3614274195491</t>
        </is>
      </c>
      <c r="B4282" t="inlineStr">
        <is>
          <t>Lancme Matte Lip Pencil Lip Idole Lip Shaper 12 G Shade 33 Idle Nude</t>
        </is>
      </c>
      <c r="C4282" t="inlineStr">
        <is>
          <t>Lip Liner</t>
        </is>
      </c>
      <c r="D4282" t="inlineStr">
        <is>
          <t>Lancôme</t>
        </is>
      </c>
      <c r="E4282" t="n">
        <v>19.1</v>
      </c>
      <c r="F4282" t="n">
        <v>1</v>
      </c>
      <c r="G4282" t="n">
        <v>2</v>
      </c>
      <c r="H4282" s="5">
        <f>HYPERLINK("https://api.qogita.com/variants/link/3614274195491/", "View Product")</f>
        <v/>
      </c>
    </row>
    <row r="4283">
      <c r="A4283" t="inlineStr">
        <is>
          <t>3614274212082</t>
        </is>
      </c>
      <c r="B4283" t="inlineStr">
        <is>
          <t>Lancme Matte Lip Pencil Lip Idole Lip Shaper 12 G In Shade 62 Morning Espresso</t>
        </is>
      </c>
      <c r="C4283" t="inlineStr">
        <is>
          <t>Lip Liner</t>
        </is>
      </c>
      <c r="D4283" t="inlineStr">
        <is>
          <t>Lancôme</t>
        </is>
      </c>
      <c r="E4283" t="n">
        <v>18.98</v>
      </c>
      <c r="F4283" t="n">
        <v>1</v>
      </c>
      <c r="G4283" t="n">
        <v>5</v>
      </c>
      <c r="H4283" s="5">
        <f>HYPERLINK("https://api.qogita.com/variants/link/3614274212082/", "View Product")</f>
        <v/>
      </c>
    </row>
    <row r="4284">
      <c r="A4284" t="inlineStr">
        <is>
          <t>3614274213560</t>
        </is>
      </c>
      <c r="B4284" t="inlineStr">
        <is>
          <t>Giorgio Armani Acqua Di Gio Eau De Toilette 100ml</t>
        </is>
      </c>
      <c r="C4284" t="inlineStr">
        <is>
          <t>Eau De Toilette</t>
        </is>
      </c>
      <c r="D4284" t="inlineStr">
        <is>
          <t>Giorgio Armani</t>
        </is>
      </c>
      <c r="E4284" t="n">
        <v>71.27</v>
      </c>
      <c r="F4284" t="n">
        <v>1</v>
      </c>
      <c r="G4284" t="n">
        <v>33</v>
      </c>
      <c r="H4284" s="5">
        <f>HYPERLINK("https://api.qogita.com/variants/link/3614274213560/", "View Product")</f>
        <v/>
      </c>
    </row>
    <row r="4285">
      <c r="A4285" t="inlineStr">
        <is>
          <t>3614274219579</t>
        </is>
      </c>
      <c r="B4285" t="inlineStr">
        <is>
          <t>Emporio Armani Stronger With You Parfum - 100ml</t>
        </is>
      </c>
      <c r="C4285" t="inlineStr">
        <is>
          <t>Eau De Parfum</t>
        </is>
      </c>
      <c r="D4285" t="inlineStr">
        <is>
          <t>Emporio Armani</t>
        </is>
      </c>
      <c r="E4285" t="n">
        <v>95.36</v>
      </c>
      <c r="F4285" t="n">
        <v>1</v>
      </c>
      <c r="G4285" t="n">
        <v>4</v>
      </c>
      <c r="H4285" s="5">
        <f>HYPERLINK("https://api.qogita.com/variants/link/3614274219579/", "View Product")</f>
        <v/>
      </c>
    </row>
    <row r="4286">
      <c r="A4286" t="inlineStr">
        <is>
          <t>3614274241006</t>
        </is>
      </c>
      <c r="B4286" t="inlineStr">
        <is>
          <t>Yves Saint Laurent Libre L'Eau Nue - Eau De Parfum</t>
        </is>
      </c>
      <c r="C4286" t="inlineStr">
        <is>
          <t>Eau De Parfum</t>
        </is>
      </c>
      <c r="D4286" t="inlineStr">
        <is>
          <t>Yves Saint Laurent</t>
        </is>
      </c>
      <c r="E4286" t="n">
        <v>137.94</v>
      </c>
      <c r="F4286" t="n">
        <v>1</v>
      </c>
      <c r="G4286" t="n">
        <v>5</v>
      </c>
      <c r="H4286" s="5">
        <f>HYPERLINK("https://api.qogita.com/variants/link/3614274241006/", "View Product")</f>
        <v/>
      </c>
    </row>
    <row r="4287">
      <c r="A4287" t="inlineStr">
        <is>
          <t>3614274284898</t>
        </is>
      </c>
      <c r="B4287" t="inlineStr">
        <is>
          <t>Yves Saint Laurent Y Eau De Parfum Spray Set - 100ml And 10ml</t>
        </is>
      </c>
      <c r="C4287" t="inlineStr">
        <is>
          <t>Fragrance Sets</t>
        </is>
      </c>
      <c r="D4287" t="inlineStr">
        <is>
          <t>Yves Saint Laurent</t>
        </is>
      </c>
      <c r="E4287" t="n">
        <v>100.53</v>
      </c>
      <c r="F4287" t="n">
        <v>1</v>
      </c>
      <c r="G4287" t="n">
        <v>1</v>
      </c>
      <c r="H4287" s="5">
        <f>HYPERLINK("https://api.qogita.com/variants/link/3614274284898/", "View Product")</f>
        <v/>
      </c>
    </row>
    <row r="4288">
      <c r="A4288" t="inlineStr">
        <is>
          <t>3614274289466</t>
        </is>
      </c>
      <c r="B4288" t="inlineStr">
        <is>
          <t>Mugler Alien Extraintense Eau De Parfum Intense - 60ml</t>
        </is>
      </c>
      <c r="C4288" t="inlineStr">
        <is>
          <t>Eau De Parfum</t>
        </is>
      </c>
      <c r="D4288" t="inlineStr">
        <is>
          <t>Mugler</t>
        </is>
      </c>
      <c r="E4288" t="n">
        <v>79.20999999999999</v>
      </c>
      <c r="F4288" t="n">
        <v>1</v>
      </c>
      <c r="G4288" t="n">
        <v>3</v>
      </c>
      <c r="H4288" s="5">
        <f>HYPERLINK("https://api.qogita.com/variants/link/3614274289466/", "View Product")</f>
        <v/>
      </c>
    </row>
    <row r="4289">
      <c r="A4289" t="inlineStr">
        <is>
          <t>3614274289497</t>
        </is>
      </c>
      <c r="B4289" t="inlineStr">
        <is>
          <t>Mugler Alien Extraintense Eau De Parfum Intense - 30ml</t>
        </is>
      </c>
      <c r="C4289" t="inlineStr">
        <is>
          <t>Eau De Parfum</t>
        </is>
      </c>
      <c r="D4289" t="inlineStr">
        <is>
          <t>Mugler</t>
        </is>
      </c>
      <c r="E4289" t="n">
        <v>70.94</v>
      </c>
      <c r="F4289" t="n">
        <v>1</v>
      </c>
      <c r="G4289" t="n">
        <v>8</v>
      </c>
      <c r="H4289" s="5">
        <f>HYPERLINK("https://api.qogita.com/variants/link/3614274289497/", "View Product")</f>
        <v/>
      </c>
    </row>
    <row r="4290">
      <c r="A4290" t="inlineStr">
        <is>
          <t>3614274298000</t>
        </is>
      </c>
      <c r="B4290" t="inlineStr">
        <is>
          <t>Armani Code Pour Homme Eau De Parfum Refillable Spray 30ml</t>
        </is>
      </c>
      <c r="C4290" t="inlineStr">
        <is>
          <t>Eau De Parfum</t>
        </is>
      </c>
      <c r="D4290" t="inlineStr">
        <is>
          <t>Armani</t>
        </is>
      </c>
      <c r="E4290" t="n">
        <v>54.4</v>
      </c>
      <c r="F4290" t="n">
        <v>1</v>
      </c>
      <c r="G4290" t="n">
        <v>2</v>
      </c>
      <c r="H4290" s="5">
        <f>HYPERLINK("https://api.qogita.com/variants/link/3614274298000/", "View Product")</f>
        <v/>
      </c>
    </row>
    <row r="4291">
      <c r="A4291" t="inlineStr">
        <is>
          <t>3614274299212</t>
        </is>
      </c>
      <c r="B4291" t="inlineStr">
        <is>
          <t>Lancme Idle Power Eau De Parfum Intense 50ml</t>
        </is>
      </c>
      <c r="C4291" t="inlineStr">
        <is>
          <t>Eau De Parfum</t>
        </is>
      </c>
      <c r="D4291" t="inlineStr">
        <is>
          <t>Lancôme</t>
        </is>
      </c>
      <c r="E4291" t="n">
        <v>87.58</v>
      </c>
      <c r="F4291" t="n">
        <v>1</v>
      </c>
      <c r="G4291" t="n">
        <v>5</v>
      </c>
      <c r="H4291" s="5">
        <f>HYPERLINK("https://api.qogita.com/variants/link/3614274299212/", "View Product")</f>
        <v/>
      </c>
    </row>
    <row r="4292">
      <c r="A4292" t="inlineStr">
        <is>
          <t>3614274299229</t>
        </is>
      </c>
      <c r="B4292" t="inlineStr">
        <is>
          <t>Lancme Idle Power Eau De Parfum Intense 100ml</t>
        </is>
      </c>
      <c r="C4292" t="inlineStr">
        <is>
          <t>Eau De Parfum</t>
        </is>
      </c>
      <c r="D4292" t="inlineStr">
        <is>
          <t>Lancôme</t>
        </is>
      </c>
      <c r="E4292" t="n">
        <v>121.95</v>
      </c>
      <c r="F4292" t="n">
        <v>1</v>
      </c>
      <c r="G4292" t="n">
        <v>12</v>
      </c>
      <c r="H4292" s="5">
        <f>HYPERLINK("https://api.qogita.com/variants/link/3614274299229/", "View Product")</f>
        <v/>
      </c>
    </row>
    <row r="4293">
      <c r="A4293" t="inlineStr">
        <is>
          <t>3614274306477</t>
        </is>
      </c>
      <c r="B4293" t="inlineStr">
        <is>
          <t>Lancome Lash Idole Mascara - Volumizing Clump-Free - 002 Brown 8 Ml</t>
        </is>
      </c>
      <c r="C4293" t="inlineStr">
        <is>
          <t>Mascara</t>
        </is>
      </c>
      <c r="D4293" t="inlineStr">
        <is>
          <t>Lancôme</t>
        </is>
      </c>
      <c r="E4293" t="n">
        <v>27.88</v>
      </c>
      <c r="F4293" t="n">
        <v>1</v>
      </c>
      <c r="G4293" t="n">
        <v>5</v>
      </c>
      <c r="H4293" s="5">
        <f>HYPERLINK("https://api.qogita.com/variants/link/3614274306477/", "View Product")</f>
        <v/>
      </c>
    </row>
    <row r="4294">
      <c r="A4294" t="inlineStr">
        <is>
          <t>3614274336986</t>
        </is>
      </c>
      <c r="B4294" t="inlineStr">
        <is>
          <t>Giorgio Armani My Way Eau De Parfum Set - 50 Ml With Body Lotion And Shower Gel</t>
        </is>
      </c>
      <c r="C4294" t="inlineStr">
        <is>
          <t>Fragrance Sets</t>
        </is>
      </c>
      <c r="D4294" t="inlineStr">
        <is>
          <t>Giorgio Armani</t>
        </is>
      </c>
      <c r="E4294" t="n">
        <v>83.16</v>
      </c>
      <c r="F4294" t="n">
        <v>1</v>
      </c>
      <c r="G4294" t="n">
        <v>13</v>
      </c>
      <c r="H4294" s="5">
        <f>HYPERLINK("https://api.qogita.com/variants/link/3614274336986/", "View Product")</f>
        <v/>
      </c>
    </row>
    <row r="4295">
      <c r="A4295" t="inlineStr">
        <is>
          <t>3614274339000</t>
        </is>
      </c>
      <c r="B4295" t="inlineStr">
        <is>
          <t>Lancome Renergie H.P.N. 300- Peptide Skin Care Set</t>
        </is>
      </c>
      <c r="C4295" t="inlineStr">
        <is>
          <t>Facial Care Sets</t>
        </is>
      </c>
      <c r="D4295" t="inlineStr">
        <is>
          <t>Lancôme</t>
        </is>
      </c>
      <c r="E4295" t="n">
        <v>75.76000000000001</v>
      </c>
      <c r="F4295" t="n">
        <v>1</v>
      </c>
      <c r="G4295" t="n">
        <v>2</v>
      </c>
      <c r="H4295" s="5">
        <f>HYPERLINK("https://api.qogita.com/variants/link/3614274339000/", "View Product")</f>
        <v/>
      </c>
    </row>
    <row r="4296">
      <c r="A4296" t="inlineStr">
        <is>
          <t>3614274344714</t>
        </is>
      </c>
      <c r="B4296" t="inlineStr">
        <is>
          <t>Lancome Idole 3 Serum Supertint Skin Tint - Dewy Even Tone with Niacinamide</t>
        </is>
      </c>
      <c r="C4296" t="inlineStr">
        <is>
          <t>Glow Serum</t>
        </is>
      </c>
      <c r="D4296" t="inlineStr">
        <is>
          <t>Lancôme</t>
        </is>
      </c>
      <c r="E4296" t="n">
        <v>39.06</v>
      </c>
      <c r="F4296" t="n">
        <v>1</v>
      </c>
      <c r="G4296" t="n">
        <v>7</v>
      </c>
      <c r="H4296" s="5">
        <f>HYPERLINK("https://api.qogita.com/variants/link/3614274344714/", "View Product")</f>
        <v/>
      </c>
    </row>
    <row r="4297">
      <c r="A4297" t="inlineStr">
        <is>
          <t>3614274344721</t>
        </is>
      </c>
      <c r="B4297" t="inlineStr">
        <is>
          <t>Lancome Idole 3 Serum Supertint Skin Tint - Dewy Even Tone with Niacinamide</t>
        </is>
      </c>
      <c r="C4297" t="inlineStr">
        <is>
          <t>Glow Serum</t>
        </is>
      </c>
      <c r="D4297" t="inlineStr">
        <is>
          <t>Lancôme</t>
        </is>
      </c>
      <c r="E4297" t="n">
        <v>39.68</v>
      </c>
      <c r="F4297" t="n">
        <v>1</v>
      </c>
      <c r="G4297" t="n">
        <v>5</v>
      </c>
      <c r="H4297" s="5">
        <f>HYPERLINK("https://api.qogita.com/variants/link/3614274344721/", "View Product")</f>
        <v/>
      </c>
    </row>
    <row r="4298">
      <c r="A4298" t="inlineStr">
        <is>
          <t>3614274344783</t>
        </is>
      </c>
      <c r="B4298" t="inlineStr">
        <is>
          <t>Lancome Idole 3 Serum Supertint Skin Tint - Dewy Even Tone with Niacinamide</t>
        </is>
      </c>
      <c r="C4298" t="inlineStr">
        <is>
          <t>Glow Serum</t>
        </is>
      </c>
      <c r="D4298" t="inlineStr">
        <is>
          <t>Lancôme</t>
        </is>
      </c>
      <c r="E4298" t="n">
        <v>39.68</v>
      </c>
      <c r="F4298" t="n">
        <v>1</v>
      </c>
      <c r="G4298" t="n">
        <v>3</v>
      </c>
      <c r="H4298" s="5">
        <f>HYPERLINK("https://api.qogita.com/variants/link/3614274344783/", "View Product")</f>
        <v/>
      </c>
    </row>
    <row r="4299">
      <c r="A4299" t="inlineStr">
        <is>
          <t>3614274350753</t>
        </is>
      </c>
      <c r="B4299" t="inlineStr">
        <is>
          <t>Valentino Donna Born In Roma Extradose Parfum - 100ml</t>
        </is>
      </c>
      <c r="C4299" t="inlineStr">
        <is>
          <t>Eau De Parfum</t>
        </is>
      </c>
      <c r="D4299" t="inlineStr">
        <is>
          <t>Valentino</t>
        </is>
      </c>
      <c r="E4299" t="n">
        <v>121.11</v>
      </c>
      <c r="F4299" t="n">
        <v>1</v>
      </c>
      <c r="G4299" t="n">
        <v>7</v>
      </c>
      <c r="H4299" s="5">
        <f>HYPERLINK("https://api.qogita.com/variants/link/3614274350753/", "View Product")</f>
        <v/>
      </c>
    </row>
    <row r="4300">
      <c r="A4300" t="inlineStr">
        <is>
          <t>3614274380408</t>
        </is>
      </c>
      <c r="B4300" t="inlineStr">
        <is>
          <t>Lancome O De Lancome Over The Top Eau De Toilette - 100ml</t>
        </is>
      </c>
      <c r="C4300" t="inlineStr">
        <is>
          <t>Eau De Toilette</t>
        </is>
      </c>
      <c r="D4300" t="inlineStr">
        <is>
          <t>Lancôme</t>
        </is>
      </c>
      <c r="E4300" t="n">
        <v>65.08</v>
      </c>
      <c r="F4300" t="n">
        <v>1</v>
      </c>
      <c r="G4300" t="n">
        <v>27</v>
      </c>
      <c r="H4300" s="5">
        <f>HYPERLINK("https://api.qogita.com/variants/link/3614274380408/", "View Product")</f>
        <v/>
      </c>
    </row>
    <row r="4301">
      <c r="A4301" t="inlineStr">
        <is>
          <t>3614274382716</t>
        </is>
      </c>
      <c r="B4301" t="inlineStr">
        <is>
          <t>Lancome Lip Idole Juicytreat - N 40 Lip Treatment</t>
        </is>
      </c>
      <c r="C4301" t="inlineStr">
        <is>
          <t>Lip Balm</t>
        </is>
      </c>
      <c r="D4301" t="inlineStr">
        <is>
          <t>Lancôme</t>
        </is>
      </c>
      <c r="E4301" t="n">
        <v>29.18</v>
      </c>
      <c r="F4301" t="n">
        <v>1</v>
      </c>
      <c r="G4301" t="n">
        <v>2</v>
      </c>
      <c r="H4301" s="5">
        <f>HYPERLINK("https://api.qogita.com/variants/link/3614274382716/", "View Product")</f>
        <v/>
      </c>
    </row>
    <row r="4302">
      <c r="A4302" t="inlineStr">
        <is>
          <t>3614274400519</t>
        </is>
      </c>
      <c r="B4302" t="inlineStr">
        <is>
          <t>Cacharel Yes I Am Eau De Parfum 50 Ml Eau De Parfum 10 Ml Giftset</t>
        </is>
      </c>
      <c r="C4302" t="inlineStr">
        <is>
          <t>Fragrance Sets</t>
        </is>
      </c>
      <c r="D4302" t="inlineStr">
        <is>
          <t>Cacharel</t>
        </is>
      </c>
      <c r="E4302" t="n">
        <v>28.33</v>
      </c>
      <c r="F4302" t="n">
        <v>1</v>
      </c>
      <c r="G4302" t="n">
        <v>41</v>
      </c>
      <c r="H4302" s="5">
        <f>HYPERLINK("https://api.qogita.com/variants/link/3614274400519/", "View Product")</f>
        <v/>
      </c>
    </row>
    <row r="4303">
      <c r="A4303" t="inlineStr">
        <is>
          <t>3614274459708</t>
        </is>
      </c>
      <c r="B4303" t="inlineStr">
        <is>
          <t>Giorgio Armani Si Passione Red Musk Eau De Parfum - 50ml</t>
        </is>
      </c>
      <c r="C4303" t="inlineStr">
        <is>
          <t>Eau De Parfum</t>
        </is>
      </c>
      <c r="D4303" t="inlineStr">
        <is>
          <t>Giorgio Armani</t>
        </is>
      </c>
      <c r="E4303" t="n">
        <v>81.09</v>
      </c>
      <c r="F4303" t="n">
        <v>1</v>
      </c>
      <c r="G4303" t="n">
        <v>12</v>
      </c>
      <c r="H4303" s="5">
        <f>HYPERLINK("https://api.qogita.com/variants/link/3614274459708/", "View Product")</f>
        <v/>
      </c>
    </row>
    <row r="4304">
      <c r="A4304" t="inlineStr">
        <is>
          <t>3616300896037</t>
        </is>
      </c>
      <c r="B4304" t="inlineStr">
        <is>
          <t>Hugo Boss Alive Eau De Toilette 80ml For Women</t>
        </is>
      </c>
      <c r="C4304" t="inlineStr">
        <is>
          <t>Eau De Toilette</t>
        </is>
      </c>
      <c r="D4304" t="inlineStr">
        <is>
          <t>Hugo Boss</t>
        </is>
      </c>
      <c r="E4304" t="n">
        <v>46.43</v>
      </c>
      <c r="F4304" t="n">
        <v>1</v>
      </c>
      <c r="G4304" t="n">
        <v>4</v>
      </c>
      <c r="H4304" s="5">
        <f>HYPERLINK("https://api.qogita.com/variants/link/3616300896037/", "View Product")</f>
        <v/>
      </c>
    </row>
    <row r="4305">
      <c r="A4305" t="inlineStr">
        <is>
          <t>3616301295389</t>
        </is>
      </c>
      <c r="B4305" t="inlineStr">
        <is>
          <t>Lancaster Sun Sensitive Luminous Tan Oilfree Milk Spf 50 150ml</t>
        </is>
      </c>
      <c r="C4305" t="inlineStr">
        <is>
          <t>Body Sun Protection</t>
        </is>
      </c>
      <c r="D4305" t="inlineStr">
        <is>
          <t>Lancaster</t>
        </is>
      </c>
      <c r="E4305" t="n">
        <v>25.63</v>
      </c>
      <c r="F4305" t="n">
        <v>1</v>
      </c>
      <c r="G4305" t="n">
        <v>5</v>
      </c>
      <c r="H4305" s="5">
        <f>HYPERLINK("https://api.qogita.com/variants/link/3616301295389/", "View Product")</f>
        <v/>
      </c>
    </row>
    <row r="4306">
      <c r="A4306" t="inlineStr">
        <is>
          <t>3616301295396</t>
        </is>
      </c>
      <c r="B4306" t="inlineStr">
        <is>
          <t>Lancaster Sun Sensitive Luminous Tan Oilfree Milky Fluid Spf 50 50 Ml</t>
        </is>
      </c>
      <c r="C4306" t="inlineStr">
        <is>
          <t>Body Sun Protection</t>
        </is>
      </c>
      <c r="D4306" t="inlineStr">
        <is>
          <t>Lancaster</t>
        </is>
      </c>
      <c r="E4306" t="n">
        <v>21.02</v>
      </c>
      <c r="F4306" t="n">
        <v>1</v>
      </c>
      <c r="G4306" t="n">
        <v>5</v>
      </c>
      <c r="H4306" s="5">
        <f>HYPERLINK("https://api.qogita.com/variants/link/3616301295396/", "View Product")</f>
        <v/>
      </c>
    </row>
    <row r="4307">
      <c r="A4307" t="inlineStr">
        <is>
          <t>3616301296645</t>
        </is>
      </c>
      <c r="B4307" t="inlineStr">
        <is>
          <t>Calvin Klein Defy Men's Deodorant with Bergamot Oil and Lavender</t>
        </is>
      </c>
      <c r="C4307" t="inlineStr">
        <is>
          <t>Deodorant &amp; Anti-Perspirant</t>
        </is>
      </c>
      <c r="D4307" t="inlineStr">
        <is>
          <t>Calvin Klein</t>
        </is>
      </c>
      <c r="E4307" t="n">
        <v>8.31</v>
      </c>
      <c r="F4307" t="n">
        <v>1</v>
      </c>
      <c r="G4307" t="n">
        <v>6</v>
      </c>
      <c r="H4307" s="5">
        <f>HYPERLINK("https://api.qogita.com/variants/link/3616301296645/", "View Product")</f>
        <v/>
      </c>
    </row>
    <row r="4308">
      <c r="A4308" t="inlineStr">
        <is>
          <t>3616301641148</t>
        </is>
      </c>
      <c r="B4308" t="inlineStr">
        <is>
          <t>Bruno Banani Absolute Woman Eau De Toilette Spray 30ml</t>
        </is>
      </c>
      <c r="C4308" t="inlineStr">
        <is>
          <t>Eau De Toilette</t>
        </is>
      </c>
      <c r="D4308" t="inlineStr">
        <is>
          <t>Bruno Banani</t>
        </is>
      </c>
      <c r="E4308" t="n">
        <v>5</v>
      </c>
      <c r="F4308" t="n">
        <v>1</v>
      </c>
      <c r="G4308" t="n">
        <v>132</v>
      </c>
      <c r="H4308" s="5">
        <f>HYPERLINK("https://api.qogita.com/variants/link/3616301641148/", "View Product")</f>
        <v/>
      </c>
    </row>
    <row r="4309">
      <c r="A4309" t="inlineStr">
        <is>
          <t>3616301786467</t>
        </is>
      </c>
      <c r="B4309" t="inlineStr">
        <is>
          <t>Hugo Man Shower Gel with Aromatic and Invigorating Fragrance Notes of Pine Balsam 200ml</t>
        </is>
      </c>
      <c r="C4309" t="inlineStr">
        <is>
          <t>Shower Gel</t>
        </is>
      </c>
      <c r="D4309" t="inlineStr">
        <is>
          <t>Hugo Boss</t>
        </is>
      </c>
      <c r="E4309" t="n">
        <v>8.449999999999999</v>
      </c>
      <c r="F4309" t="n">
        <v>1</v>
      </c>
      <c r="G4309" t="n">
        <v>44</v>
      </c>
      <c r="H4309" s="5">
        <f>HYPERLINK("https://api.qogita.com/variants/link/3616301786467/", "View Product")</f>
        <v/>
      </c>
    </row>
    <row r="4310">
      <c r="A4310" t="inlineStr">
        <is>
          <t>3616301789277</t>
        </is>
      </c>
      <c r="B4310" t="inlineStr">
        <is>
          <t>Escada Fairy Love Limited Edition Eau De Toilette Spray 50ml</t>
        </is>
      </c>
      <c r="C4310" t="inlineStr">
        <is>
          <t>Eau De Toilette</t>
        </is>
      </c>
      <c r="D4310" t="inlineStr">
        <is>
          <t>Escada</t>
        </is>
      </c>
      <c r="E4310" t="n">
        <v>11.39</v>
      </c>
      <c r="F4310" t="n">
        <v>1</v>
      </c>
      <c r="G4310" t="n">
        <v>749</v>
      </c>
      <c r="H4310" s="5">
        <f>HYPERLINK("https://api.qogita.com/variants/link/3616301789277/", "View Product")</f>
        <v/>
      </c>
    </row>
    <row r="4311">
      <c r="A4311" t="inlineStr">
        <is>
          <t>3616301799603</t>
        </is>
      </c>
      <c r="B4311" t="inlineStr">
        <is>
          <t>Lacoste L1212 Rose Eau Fraiche Eau De Toilette 50ml For Women</t>
        </is>
      </c>
      <c r="C4311" t="inlineStr">
        <is>
          <t>Eau De Toilette</t>
        </is>
      </c>
      <c r="D4311" t="inlineStr">
        <is>
          <t>Lacoste</t>
        </is>
      </c>
      <c r="E4311" t="n">
        <v>24.15</v>
      </c>
      <c r="F4311" t="n">
        <v>1</v>
      </c>
      <c r="G4311" t="n">
        <v>13</v>
      </c>
      <c r="H4311" s="5">
        <f>HYPERLINK("https://api.qogita.com/variants/link/3616301799603/", "View Product")</f>
        <v/>
      </c>
    </row>
    <row r="4312">
      <c r="A4312" t="inlineStr">
        <is>
          <t>3616301838203</t>
        </is>
      </c>
      <c r="B4312" t="inlineStr">
        <is>
          <t>Burberry Men's Mr. Burberry Eau de Parfum 150ml</t>
        </is>
      </c>
      <c r="C4312" t="inlineStr">
        <is>
          <t>Eau De Parfum</t>
        </is>
      </c>
      <c r="D4312" t="inlineStr">
        <is>
          <t>Burberry</t>
        </is>
      </c>
      <c r="E4312" t="n">
        <v>61.84</v>
      </c>
      <c r="F4312" t="n">
        <v>1</v>
      </c>
      <c r="G4312" t="n">
        <v>22</v>
      </c>
      <c r="H4312" s="5">
        <f>HYPERLINK("https://api.qogita.com/variants/link/3616301838203/", "View Product")</f>
        <v/>
      </c>
    </row>
    <row r="4313">
      <c r="A4313" t="inlineStr">
        <is>
          <t>3616302015559</t>
        </is>
      </c>
      <c r="B4313" t="inlineStr">
        <is>
          <t>Calvin Klein Ck Free For Men Eau De Toilette Spray 50ml</t>
        </is>
      </c>
      <c r="C4313" t="inlineStr">
        <is>
          <t>Eau De Toilette</t>
        </is>
      </c>
      <c r="D4313" t="inlineStr">
        <is>
          <t>Calvin Klein</t>
        </is>
      </c>
      <c r="E4313" t="n">
        <v>13.97</v>
      </c>
      <c r="F4313" t="n">
        <v>1</v>
      </c>
      <c r="G4313" t="n">
        <v>14</v>
      </c>
      <c r="H4313" s="5">
        <f>HYPERLINK("https://api.qogita.com/variants/link/3616302015559/", "View Product")</f>
        <v/>
      </c>
    </row>
    <row r="4314">
      <c r="A4314" t="inlineStr">
        <is>
          <t>3616302020645</t>
        </is>
      </c>
      <c r="B4314" t="inlineStr">
        <is>
          <t>Burberry Goddess Eau De Parfum Spray 30 Ml</t>
        </is>
      </c>
      <c r="C4314" t="inlineStr">
        <is>
          <t>Eau De Parfum</t>
        </is>
      </c>
      <c r="D4314" t="inlineStr">
        <is>
          <t>Burberry</t>
        </is>
      </c>
      <c r="E4314" t="n">
        <v>41.17</v>
      </c>
      <c r="F4314" t="n">
        <v>1</v>
      </c>
      <c r="G4314" t="n">
        <v>48</v>
      </c>
      <c r="H4314" s="5">
        <f>HYPERLINK("https://api.qogita.com/variants/link/3616302020645/", "View Product")</f>
        <v/>
      </c>
    </row>
    <row r="4315">
      <c r="A4315" t="inlineStr">
        <is>
          <t>3616302022489</t>
        </is>
      </c>
      <c r="B4315" t="inlineStr">
        <is>
          <t>Gucci Flora Gorgeous Gardenia 50 ml</t>
        </is>
      </c>
      <c r="C4315" t="inlineStr">
        <is>
          <t>Eau De Parfum</t>
        </is>
      </c>
      <c r="D4315" t="inlineStr">
        <is>
          <t>Gucci</t>
        </is>
      </c>
      <c r="E4315" t="n">
        <v>60.09</v>
      </c>
      <c r="F4315" t="n">
        <v>1</v>
      </c>
      <c r="G4315" t="n">
        <v>13</v>
      </c>
      <c r="H4315" s="5">
        <f>HYPERLINK("https://api.qogita.com/variants/link/3616302022489/", "View Product")</f>
        <v/>
      </c>
    </row>
    <row r="4316">
      <c r="A4316" t="inlineStr">
        <is>
          <t>3616302038312</t>
        </is>
      </c>
      <c r="B4316" t="inlineStr">
        <is>
          <t>Chlo Rose Naturelle Eau De Parfum Intense 50ml Spray</t>
        </is>
      </c>
      <c r="C4316" t="inlineStr">
        <is>
          <t>Eau De Parfum</t>
        </is>
      </c>
      <c r="D4316" t="inlineStr">
        <is>
          <t>Chloé</t>
        </is>
      </c>
      <c r="E4316" t="n">
        <v>45.42</v>
      </c>
      <c r="F4316" t="n">
        <v>1</v>
      </c>
      <c r="G4316" t="n">
        <v>22</v>
      </c>
      <c r="H4316" s="5">
        <f>HYPERLINK("https://api.qogita.com/variants/link/3616302038312/", "View Product")</f>
        <v/>
      </c>
    </row>
    <row r="4317">
      <c r="A4317" t="inlineStr">
        <is>
          <t>3616302038367</t>
        </is>
      </c>
      <c r="B4317" t="inlineStr">
        <is>
          <t>Chloe Rose Naturelle Eau De Parfum Women's Fragrance Refillable 100ml</t>
        </is>
      </c>
      <c r="C4317" t="inlineStr">
        <is>
          <t>Eau De Parfum</t>
        </is>
      </c>
      <c r="D4317" t="inlineStr">
        <is>
          <t>Chloé</t>
        </is>
      </c>
      <c r="E4317" t="n">
        <v>61.03</v>
      </c>
      <c r="F4317" t="n">
        <v>1</v>
      </c>
      <c r="G4317" t="n">
        <v>23</v>
      </c>
      <c r="H4317" s="5">
        <f>HYPERLINK("https://api.qogita.com/variants/link/3616302038367/", "View Product")</f>
        <v/>
      </c>
    </row>
    <row r="4318">
      <c r="A4318" t="inlineStr">
        <is>
          <t>3616302038633</t>
        </is>
      </c>
      <c r="B4318" t="inlineStr">
        <is>
          <t>Chloe Eau De Parfum Refillable Spray 100ml - Chloe</t>
        </is>
      </c>
      <c r="C4318" t="inlineStr">
        <is>
          <t>Eau De Parfum</t>
        </is>
      </c>
      <c r="D4318" t="inlineStr">
        <is>
          <t>Chloé</t>
        </is>
      </c>
      <c r="E4318" t="n">
        <v>74.01000000000001</v>
      </c>
      <c r="F4318" t="n">
        <v>1</v>
      </c>
      <c r="G4318" t="n">
        <v>28</v>
      </c>
      <c r="H4318" s="5">
        <f>HYPERLINK("https://api.qogita.com/variants/link/3616302038633/", "View Product")</f>
        <v/>
      </c>
    </row>
    <row r="4319">
      <c r="A4319" t="inlineStr">
        <is>
          <t>3616302038794</t>
        </is>
      </c>
      <c r="B4319" t="inlineStr">
        <is>
          <t>Davidoff Cool Water Reborn Eau De Toilette</t>
        </is>
      </c>
      <c r="C4319" t="inlineStr">
        <is>
          <t>Eau De Toilette</t>
        </is>
      </c>
      <c r="D4319" t="inlineStr">
        <is>
          <t>Davidoff</t>
        </is>
      </c>
      <c r="E4319" t="n">
        <v>23.12</v>
      </c>
      <c r="F4319" t="n">
        <v>1</v>
      </c>
      <c r="G4319" t="n">
        <v>16</v>
      </c>
      <c r="H4319" s="5">
        <f>HYPERLINK("https://api.qogita.com/variants/link/3616302038794/", "View Product")</f>
        <v/>
      </c>
    </row>
    <row r="4320">
      <c r="A4320" t="inlineStr">
        <is>
          <t>3616302038916</t>
        </is>
      </c>
      <c r="B4320" t="inlineStr">
        <is>
          <t>Roberto Cavalli Gold Collection Woodiris Eau de Parfum 100ml</t>
        </is>
      </c>
      <c r="C4320" t="inlineStr">
        <is>
          <t>Eau De Parfum</t>
        </is>
      </c>
      <c r="D4320" t="inlineStr">
        <is>
          <t>Roberto Cavalli</t>
        </is>
      </c>
      <c r="E4320" t="n">
        <v>48.14</v>
      </c>
      <c r="F4320" t="n">
        <v>1</v>
      </c>
      <c r="G4320" t="n">
        <v>34</v>
      </c>
      <c r="H4320" s="5">
        <f>HYPERLINK("https://api.qogita.com/variants/link/3616302038916/", "View Product")</f>
        <v/>
      </c>
    </row>
    <row r="4321">
      <c r="A4321" t="inlineStr">
        <is>
          <t>3616302038961</t>
        </is>
      </c>
      <c r="B4321" t="inlineStr">
        <is>
          <t>Roberto Cavalli Magnetic Guaiac Eau De Parfum Spray 100ml</t>
        </is>
      </c>
      <c r="C4321" t="inlineStr">
        <is>
          <t>Eau De Parfum</t>
        </is>
      </c>
      <c r="D4321" t="inlineStr">
        <is>
          <t>Roberto Cavalli</t>
        </is>
      </c>
      <c r="E4321" t="n">
        <v>57.78</v>
      </c>
      <c r="F4321" t="n">
        <v>1</v>
      </c>
      <c r="G4321" t="n">
        <v>5</v>
      </c>
      <c r="H4321" s="5">
        <f>HYPERLINK("https://api.qogita.com/variants/link/3616302038961/", "View Product")</f>
        <v/>
      </c>
    </row>
    <row r="4322">
      <c r="A4322" t="inlineStr">
        <is>
          <t>3616302463916</t>
        </is>
      </c>
      <c r="B4322" t="inlineStr">
        <is>
          <t>Max Factor Masterpiece Nude Palette 002 Golden Nudes 6 Grams</t>
        </is>
      </c>
      <c r="C4322" t="inlineStr">
        <is>
          <t>Eye Sets &amp; Pallets</t>
        </is>
      </c>
      <c r="D4322" t="inlineStr">
        <is>
          <t>Max Factor</t>
        </is>
      </c>
      <c r="E4322" t="n">
        <v>10.14</v>
      </c>
      <c r="F4322" t="n">
        <v>1</v>
      </c>
      <c r="G4322" t="n">
        <v>4</v>
      </c>
      <c r="H4322" s="5">
        <f>HYPERLINK("https://api.qogita.com/variants/link/3616302463916/", "View Product")</f>
        <v/>
      </c>
    </row>
    <row r="4323">
      <c r="A4323" t="inlineStr">
        <is>
          <t>3616302498567</t>
        </is>
      </c>
      <c r="B4323" t="inlineStr">
        <is>
          <t>Boss Bottled Shower Gel 150ml</t>
        </is>
      </c>
      <c r="C4323" t="inlineStr">
        <is>
          <t>Shower Gel</t>
        </is>
      </c>
      <c r="D4323" t="inlineStr">
        <is>
          <t>Hugo Boss</t>
        </is>
      </c>
      <c r="E4323" t="n">
        <v>8.65</v>
      </c>
      <c r="F4323" t="n">
        <v>1</v>
      </c>
      <c r="G4323" t="n">
        <v>45</v>
      </c>
      <c r="H4323" s="5">
        <f>HYPERLINK("https://api.qogita.com/variants/link/3616302498567/", "View Product")</f>
        <v/>
      </c>
    </row>
    <row r="4324">
      <c r="A4324" t="inlineStr">
        <is>
          <t>3616302514298</t>
        </is>
      </c>
      <c r="B4324" t="inlineStr">
        <is>
          <t>Gucci Bloom Eau De Toilette Spray 100ml</t>
        </is>
      </c>
      <c r="C4324" t="inlineStr">
        <is>
          <t>Eau De Toilette</t>
        </is>
      </c>
      <c r="D4324" t="inlineStr">
        <is>
          <t>Gucci</t>
        </is>
      </c>
      <c r="E4324" t="n">
        <v>65.56999999999999</v>
      </c>
      <c r="F4324" t="n">
        <v>1</v>
      </c>
      <c r="G4324" t="n">
        <v>17</v>
      </c>
      <c r="H4324" s="5">
        <f>HYPERLINK("https://api.qogita.com/variants/link/3616302514298/", "View Product")</f>
        <v/>
      </c>
    </row>
    <row r="4325">
      <c r="A4325" t="inlineStr">
        <is>
          <t>3616302673339</t>
        </is>
      </c>
      <c r="B4325" t="inlineStr">
        <is>
          <t>Lancaster Skin Essentials Pore Refining Clay Mask 75ml</t>
        </is>
      </c>
      <c r="C4325" t="inlineStr">
        <is>
          <t>Clay Mask</t>
        </is>
      </c>
      <c r="D4325" t="inlineStr">
        <is>
          <t>Lancaster</t>
        </is>
      </c>
      <c r="E4325" t="n">
        <v>10.74</v>
      </c>
      <c r="F4325" t="n">
        <v>1</v>
      </c>
      <c r="G4325" t="n">
        <v>28</v>
      </c>
      <c r="H4325" s="5">
        <f>HYPERLINK("https://api.qogita.com/variants/link/3616302673339/", "View Product")</f>
        <v/>
      </c>
    </row>
    <row r="4326">
      <c r="A4326" t="inlineStr">
        <is>
          <t>3616302681105</t>
        </is>
      </c>
      <c r="B4326" t="inlineStr">
        <is>
          <t>Hugo Boss Ladies The Scent Le Parfum Eau De Parfum Spray 50ml</t>
        </is>
      </c>
      <c r="C4326" t="inlineStr">
        <is>
          <t>Eau De Parfum</t>
        </is>
      </c>
      <c r="D4326" t="inlineStr">
        <is>
          <t>Hugo Boss</t>
        </is>
      </c>
      <c r="E4326" t="n">
        <v>49.76</v>
      </c>
      <c r="F4326" t="n">
        <v>1</v>
      </c>
      <c r="G4326" t="n">
        <v>7</v>
      </c>
      <c r="H4326" s="5">
        <f>HYPERLINK("https://api.qogita.com/variants/link/3616302681105/", "View Product")</f>
        <v/>
      </c>
    </row>
    <row r="4327">
      <c r="A4327" t="inlineStr">
        <is>
          <t>3616302732760</t>
        </is>
      </c>
      <c r="B4327" t="inlineStr">
        <is>
          <t>Bourjois Always Fabulous Extreme Resist Spf20 Concealing Foundation 115 Golden Ivory 30ml</t>
        </is>
      </c>
      <c r="C4327" t="inlineStr">
        <is>
          <t>Foundation</t>
        </is>
      </c>
      <c r="D4327" t="inlineStr">
        <is>
          <t>Bourjois</t>
        </is>
      </c>
      <c r="E4327" t="n">
        <v>7.32</v>
      </c>
      <c r="F4327" t="n">
        <v>1</v>
      </c>
      <c r="G4327" t="n">
        <v>3</v>
      </c>
      <c r="H4327" s="5">
        <f>HYPERLINK("https://api.qogita.com/variants/link/3616302732760/", "View Product")</f>
        <v/>
      </c>
    </row>
    <row r="4328">
      <c r="A4328" t="inlineStr">
        <is>
          <t>3616302748754</t>
        </is>
      </c>
      <c r="B4328" t="inlineStr">
        <is>
          <t>Max Factor Creme Puff Powder 14 G In Candle Glow Shade 55</t>
        </is>
      </c>
      <c r="C4328" t="inlineStr">
        <is>
          <t>Powder</t>
        </is>
      </c>
      <c r="D4328" t="inlineStr">
        <is>
          <t>Max Factor</t>
        </is>
      </c>
      <c r="E4328" t="n">
        <v>4.21</v>
      </c>
      <c r="F4328" t="n">
        <v>1</v>
      </c>
      <c r="G4328" t="n">
        <v>27</v>
      </c>
      <c r="H4328" s="5">
        <f>HYPERLINK("https://api.qogita.com/variants/link/3616302748754/", "View Product")</f>
        <v/>
      </c>
    </row>
    <row r="4329">
      <c r="A4329" t="inlineStr">
        <is>
          <t>3616302748785</t>
        </is>
      </c>
      <c r="B4329" t="inlineStr">
        <is>
          <t>Max Factor Creme Puff Pressed Powder 50 Natural 14g</t>
        </is>
      </c>
      <c r="C4329" t="inlineStr">
        <is>
          <t>Powder</t>
        </is>
      </c>
      <c r="D4329" t="inlineStr">
        <is>
          <t>Max Factor</t>
        </is>
      </c>
      <c r="E4329" t="n">
        <v>4.79</v>
      </c>
      <c r="F4329" t="n">
        <v>1</v>
      </c>
      <c r="G4329" t="n">
        <v>32</v>
      </c>
      <c r="H4329" s="5">
        <f>HYPERLINK("https://api.qogita.com/variants/link/3616302748785/", "View Product")</f>
        <v/>
      </c>
    </row>
    <row r="4330">
      <c r="A4330" t="inlineStr">
        <is>
          <t>3616303173081</t>
        </is>
      </c>
      <c r="B4330" t="inlineStr">
        <is>
          <t>Hugo Boss Boss Bottled Perfume Spray 50ml</t>
        </is>
      </c>
      <c r="C4330" t="inlineStr">
        <is>
          <t>Eau De Toilette</t>
        </is>
      </c>
      <c r="D4330" t="inlineStr">
        <is>
          <t>Hugo Boss</t>
        </is>
      </c>
      <c r="E4330" t="n">
        <v>46.87</v>
      </c>
      <c r="F4330" t="n">
        <v>1</v>
      </c>
      <c r="G4330" t="n">
        <v>79</v>
      </c>
      <c r="H4330" s="5">
        <f>HYPERLINK("https://api.qogita.com/variants/link/3616303173081/", "View Product")</f>
        <v/>
      </c>
    </row>
    <row r="4331">
      <c r="A4331" t="inlineStr">
        <is>
          <t>3616303321932</t>
        </is>
      </c>
      <c r="B4331" t="inlineStr">
        <is>
          <t>Adidas Ice Dive Eau De Toilette Spray 100ml</t>
        </is>
      </c>
      <c r="C4331" t="inlineStr">
        <is>
          <t>Eau De Toilette</t>
        </is>
      </c>
      <c r="D4331" t="inlineStr">
        <is>
          <t>adidas</t>
        </is>
      </c>
      <c r="E4331" t="n">
        <v>7.7</v>
      </c>
      <c r="F4331" t="n">
        <v>1</v>
      </c>
      <c r="G4331" t="n">
        <v>19</v>
      </c>
      <c r="H4331" s="5">
        <f>HYPERLINK("https://api.qogita.com/variants/link/3616303321932/", "View Product")</f>
        <v/>
      </c>
    </row>
    <row r="4332">
      <c r="A4332" t="inlineStr">
        <is>
          <t>3616303322052</t>
        </is>
      </c>
      <c r="B4332" t="inlineStr">
        <is>
          <t>Adidas Victory League Eau De Toilette Spray 100ml</t>
        </is>
      </c>
      <c r="C4332" t="inlineStr">
        <is>
          <t>Eau De Toilette</t>
        </is>
      </c>
      <c r="D4332" t="inlineStr">
        <is>
          <t>adidas</t>
        </is>
      </c>
      <c r="E4332" t="n">
        <v>7.45</v>
      </c>
      <c r="F4332" t="n">
        <v>1</v>
      </c>
      <c r="G4332" t="n">
        <v>46</v>
      </c>
      <c r="H4332" s="5">
        <f>HYPERLINK("https://api.qogita.com/variants/link/3616303322052/", "View Product")</f>
        <v/>
      </c>
    </row>
    <row r="4333">
      <c r="A4333" t="inlineStr">
        <is>
          <t>3616303397197</t>
        </is>
      </c>
      <c r="B4333" t="inlineStr">
        <is>
          <t>Bourjois Healthy Mix Clean &amp; Vegan Foundation 52.5 Rose Beige 30ml</t>
        </is>
      </c>
      <c r="C4333" t="inlineStr">
        <is>
          <t>Foundation</t>
        </is>
      </c>
      <c r="D4333" t="inlineStr">
        <is>
          <t>Bourjois</t>
        </is>
      </c>
      <c r="E4333" t="n">
        <v>6.36</v>
      </c>
      <c r="F4333" t="n">
        <v>1</v>
      </c>
      <c r="G4333" t="n">
        <v>3</v>
      </c>
      <c r="H4333" s="5">
        <f>HYPERLINK("https://api.qogita.com/variants/link/3616303397197/", "View Product")</f>
        <v/>
      </c>
    </row>
    <row r="4334">
      <c r="A4334" t="inlineStr">
        <is>
          <t>3616303397265</t>
        </is>
      </c>
      <c r="B4334" t="inlineStr">
        <is>
          <t>Bourjois Healthy Mix Anti-Fatigue Illuminating Foundation 54n Beige 30ml</t>
        </is>
      </c>
      <c r="C4334" t="inlineStr">
        <is>
          <t>Foundation</t>
        </is>
      </c>
      <c r="D4334" t="inlineStr">
        <is>
          <t>Bourjois</t>
        </is>
      </c>
      <c r="E4334" t="n">
        <v>6.07</v>
      </c>
      <c r="F4334" t="n">
        <v>1</v>
      </c>
      <c r="G4334" t="n">
        <v>11</v>
      </c>
      <c r="H4334" s="5">
        <f>HYPERLINK("https://api.qogita.com/variants/link/3616303397265/", "View Product")</f>
        <v/>
      </c>
    </row>
    <row r="4335">
      <c r="A4335" t="inlineStr">
        <is>
          <t>3616303424213</t>
        </is>
      </c>
      <c r="B4335" t="inlineStr">
        <is>
          <t>Bruno Banani Magnetic Woman Eau De Toilette Natural Spray Amber Gourmand</t>
        </is>
      </c>
      <c r="C4335" t="inlineStr">
        <is>
          <t>Eau De Toilette</t>
        </is>
      </c>
      <c r="D4335" t="inlineStr">
        <is>
          <t>Bruno Banani</t>
        </is>
      </c>
      <c r="E4335" t="n">
        <v>8.119999999999999</v>
      </c>
      <c r="F4335" t="n">
        <v>1</v>
      </c>
      <c r="G4335" t="n">
        <v>11</v>
      </c>
      <c r="H4335" s="5">
        <f>HYPERLINK("https://api.qogita.com/variants/link/3616303424213/", "View Product")</f>
        <v/>
      </c>
    </row>
    <row r="4336">
      <c r="A4336" t="inlineStr">
        <is>
          <t>3616303429584</t>
        </is>
      </c>
      <c r="B4336" t="inlineStr">
        <is>
          <t>LACOSTE Match Point Cologne EDT Spray 100ml</t>
        </is>
      </c>
      <c r="C4336" t="inlineStr">
        <is>
          <t>Eau De Cologne</t>
        </is>
      </c>
      <c r="D4336" t="inlineStr">
        <is>
          <t>Lacoste</t>
        </is>
      </c>
      <c r="E4336" t="n">
        <v>28.01</v>
      </c>
      <c r="F4336" t="n">
        <v>1</v>
      </c>
      <c r="G4336" t="n">
        <v>3</v>
      </c>
      <c r="H4336" s="5">
        <f>HYPERLINK("https://api.qogita.com/variants/link/3616303429584/", "View Product")</f>
        <v/>
      </c>
    </row>
    <row r="4337">
      <c r="A4337" t="inlineStr">
        <is>
          <t>3616303442903</t>
        </is>
      </c>
      <c r="B4337" t="inlineStr">
        <is>
          <t>Adidas Active Skin &amp; Mind Instant Cool Deodorant Roll-On 50ml</t>
        </is>
      </c>
      <c r="C4337" t="inlineStr">
        <is>
          <t>Deodorant &amp; Anti-Perspirant</t>
        </is>
      </c>
      <c r="D4337" t="inlineStr">
        <is>
          <t>adidas</t>
        </is>
      </c>
      <c r="E4337" t="n">
        <v>2.63</v>
      </c>
      <c r="F4337" t="n">
        <v>1</v>
      </c>
      <c r="G4337" t="n">
        <v>2</v>
      </c>
      <c r="H4337" s="5">
        <f>HYPERLINK("https://api.qogita.com/variants/link/3616303442903/", "View Product")</f>
        <v/>
      </c>
    </row>
    <row r="4338">
      <c r="A4338" t="inlineStr">
        <is>
          <t>3616303444273</t>
        </is>
      </c>
      <c r="B4338" t="inlineStr">
        <is>
          <t>Adidas Skin Detox Shower Gel</t>
        </is>
      </c>
      <c r="C4338" t="inlineStr">
        <is>
          <t>Shower Gel</t>
        </is>
      </c>
      <c r="D4338" t="inlineStr">
        <is>
          <t>adidas</t>
        </is>
      </c>
      <c r="E4338" t="n">
        <v>1.55</v>
      </c>
      <c r="F4338" t="n">
        <v>1</v>
      </c>
      <c r="G4338" t="n">
        <v>85</v>
      </c>
      <c r="H4338" s="5">
        <f>HYPERLINK("https://api.qogita.com/variants/link/3616303444273/", "View Product")</f>
        <v/>
      </c>
    </row>
    <row r="4339">
      <c r="A4339" t="inlineStr">
        <is>
          <t>3616303445164</t>
        </is>
      </c>
      <c r="B4339" t="inlineStr">
        <is>
          <t>Roberto Cavalli Uomo Eau De Toilette Spray 100ml</t>
        </is>
      </c>
      <c r="C4339" t="inlineStr">
        <is>
          <t>Eau De Toilette</t>
        </is>
      </c>
      <c r="D4339" t="inlineStr">
        <is>
          <t>Roberto Cavalli</t>
        </is>
      </c>
      <c r="E4339" t="n">
        <v>24.04</v>
      </c>
      <c r="F4339" t="n">
        <v>1</v>
      </c>
      <c r="G4339" t="n">
        <v>14</v>
      </c>
      <c r="H4339" s="5">
        <f>HYPERLINK("https://api.qogita.com/variants/link/3616303445164/", "View Product")</f>
        <v/>
      </c>
    </row>
    <row r="4340">
      <c r="A4340" t="inlineStr">
        <is>
          <t>3616303445256</t>
        </is>
      </c>
      <c r="B4340" t="inlineStr">
        <is>
          <t>Roberto Cavalli Signature for Women 3.3 Oz Parfum Spray</t>
        </is>
      </c>
      <c r="C4340" t="inlineStr">
        <is>
          <t>Eau De Parfum</t>
        </is>
      </c>
      <c r="D4340" t="inlineStr">
        <is>
          <t>Roberto Cavalli</t>
        </is>
      </c>
      <c r="E4340" t="n">
        <v>26.63</v>
      </c>
      <c r="F4340" t="n">
        <v>1</v>
      </c>
      <c r="G4340" t="n">
        <v>6</v>
      </c>
      <c r="H4340" s="5">
        <f>HYPERLINK("https://api.qogita.com/variants/link/3616303445256/", "View Product")</f>
        <v/>
      </c>
    </row>
    <row r="4341">
      <c r="A4341" t="inlineStr">
        <is>
          <t>3616303445287</t>
        </is>
      </c>
      <c r="B4341" t="inlineStr">
        <is>
          <t>Roberto Cavalli Uomo Perfume Spray 100ml</t>
        </is>
      </c>
      <c r="C4341" t="inlineStr">
        <is>
          <t>Eau De Parfum</t>
        </is>
      </c>
      <c r="D4341" t="inlineStr">
        <is>
          <t>Roberto Cavalli</t>
        </is>
      </c>
      <c r="E4341" t="n">
        <v>24.21</v>
      </c>
      <c r="F4341" t="n">
        <v>1</v>
      </c>
      <c r="G4341" t="n">
        <v>25</v>
      </c>
      <c r="H4341" s="5">
        <f>HYPERLINK("https://api.qogita.com/variants/link/3616303445287/", "View Product")</f>
        <v/>
      </c>
    </row>
    <row r="4342">
      <c r="A4342" t="inlineStr">
        <is>
          <t>3616303445584</t>
        </is>
      </c>
      <c r="B4342" t="inlineStr">
        <is>
          <t>Chloe Chloe Signature Intense Eau De Parfum Refillable Vaporizer 100 Ml</t>
        </is>
      </c>
      <c r="C4342" t="inlineStr">
        <is>
          <t>Eau De Parfum</t>
        </is>
      </c>
      <c r="D4342" t="inlineStr">
        <is>
          <t>Chloé</t>
        </is>
      </c>
      <c r="E4342" t="n">
        <v>73.48</v>
      </c>
      <c r="F4342" t="n">
        <v>1</v>
      </c>
      <c r="G4342" t="n">
        <v>12</v>
      </c>
      <c r="H4342" s="5">
        <f>HYPERLINK("https://api.qogita.com/variants/link/3616303445584/", "View Product")</f>
        <v/>
      </c>
    </row>
    <row r="4343">
      <c r="A4343" t="inlineStr">
        <is>
          <t>3616303452414</t>
        </is>
      </c>
      <c r="B4343" t="inlineStr">
        <is>
          <t>Escada Show Me Love Limited Edition Eau De Parfum Spray 30ml</t>
        </is>
      </c>
      <c r="C4343" t="inlineStr">
        <is>
          <t>Eau De Parfum</t>
        </is>
      </c>
      <c r="D4343" t="inlineStr">
        <is>
          <t>Escada</t>
        </is>
      </c>
      <c r="E4343" t="n">
        <v>20.64</v>
      </c>
      <c r="F4343" t="n">
        <v>1</v>
      </c>
      <c r="G4343" t="n">
        <v>8</v>
      </c>
      <c r="H4343" s="5">
        <f>HYPERLINK("https://api.qogita.com/variants/link/3616303452414/", "View Product")</f>
        <v/>
      </c>
    </row>
    <row r="4344">
      <c r="A4344" t="inlineStr">
        <is>
          <t>3616303459147</t>
        </is>
      </c>
      <c r="B4344" t="inlineStr">
        <is>
          <t>Adidas Victory League Shower Gel 400ml</t>
        </is>
      </c>
      <c r="C4344" t="inlineStr">
        <is>
          <t>Shower Gel</t>
        </is>
      </c>
      <c r="D4344" t="inlineStr">
        <is>
          <t>adidas</t>
        </is>
      </c>
      <c r="E4344" t="n">
        <v>3.44</v>
      </c>
      <c r="F4344" t="n">
        <v>1</v>
      </c>
      <c r="G4344" t="n">
        <v>14</v>
      </c>
      <c r="H4344" s="5">
        <f>HYPERLINK("https://api.qogita.com/variants/link/3616303459147/", "View Product")</f>
        <v/>
      </c>
    </row>
    <row r="4345">
      <c r="A4345" t="inlineStr">
        <is>
          <t>3616303459666</t>
        </is>
      </c>
      <c r="B4345" t="inlineStr">
        <is>
          <t>Chlo Nomade Jasmine Naturel Intense Eau De Parfum Intense Spray 50ml</t>
        </is>
      </c>
      <c r="C4345" t="inlineStr">
        <is>
          <t>Eau De Parfum</t>
        </is>
      </c>
      <c r="D4345" t="inlineStr">
        <is>
          <t>Chloé</t>
        </is>
      </c>
      <c r="E4345" t="n">
        <v>42.02</v>
      </c>
      <c r="F4345" t="n">
        <v>1</v>
      </c>
      <c r="G4345" t="n">
        <v>17</v>
      </c>
      <c r="H4345" s="5">
        <f>HYPERLINK("https://api.qogita.com/variants/link/3616303459666/", "View Product")</f>
        <v/>
      </c>
    </row>
    <row r="4346">
      <c r="A4346" t="inlineStr">
        <is>
          <t>3616303461881</t>
        </is>
      </c>
      <c r="B4346" t="inlineStr">
        <is>
          <t>Marc Jacobs Perfect Eau De Toilette Spray 100ml</t>
        </is>
      </c>
      <c r="C4346" t="inlineStr">
        <is>
          <t>Eau De Toilette</t>
        </is>
      </c>
      <c r="D4346" t="inlineStr">
        <is>
          <t>Marc Jacobs</t>
        </is>
      </c>
      <c r="E4346" t="n">
        <v>52.74</v>
      </c>
      <c r="F4346" t="n">
        <v>1</v>
      </c>
      <c r="G4346" t="n">
        <v>5</v>
      </c>
      <c r="H4346" s="5">
        <f>HYPERLINK("https://api.qogita.com/variants/link/3616303461881/", "View Product")</f>
        <v/>
      </c>
    </row>
    <row r="4347">
      <c r="A4347" t="inlineStr">
        <is>
          <t>3616303467371</t>
        </is>
      </c>
      <c r="B4347" t="inlineStr">
        <is>
          <t>Davidoff Cool Water Oceanic Edition Eau De Toilette 125ml Spray For Men</t>
        </is>
      </c>
      <c r="C4347" t="inlineStr">
        <is>
          <t>Eau De Toilette</t>
        </is>
      </c>
      <c r="D4347" t="inlineStr">
        <is>
          <t>Davidoff</t>
        </is>
      </c>
      <c r="E4347" t="n">
        <v>21.71</v>
      </c>
      <c r="F4347" t="n">
        <v>1</v>
      </c>
      <c r="G4347" t="n">
        <v>9</v>
      </c>
      <c r="H4347" s="5">
        <f>HYPERLINK("https://api.qogita.com/variants/link/3616303467371/", "View Product")</f>
        <v/>
      </c>
    </row>
    <row r="4348">
      <c r="A4348" t="inlineStr">
        <is>
          <t>3616303467388</t>
        </is>
      </c>
      <c r="B4348" t="inlineStr">
        <is>
          <t>Davidoff Cool Water Oceanic Edition Eau De Toilette 100ml For Women</t>
        </is>
      </c>
      <c r="C4348" t="inlineStr">
        <is>
          <t>Eau De Toilette</t>
        </is>
      </c>
      <c r="D4348" t="inlineStr">
        <is>
          <t>Davidoff</t>
        </is>
      </c>
      <c r="E4348" t="n">
        <v>18.31</v>
      </c>
      <c r="F4348" t="n">
        <v>1</v>
      </c>
      <c r="G4348" t="n">
        <v>26</v>
      </c>
      <c r="H4348" s="5">
        <f>HYPERLINK("https://api.qogita.com/variants/link/3616303467388/", "View Product")</f>
        <v/>
      </c>
    </row>
    <row r="4349">
      <c r="A4349" t="inlineStr">
        <is>
          <t>3616303470906</t>
        </is>
      </c>
      <c r="B4349" t="inlineStr">
        <is>
          <t>Gucci Flora Gorgeous Magnolia Eau De Parfum Spray 50ml</t>
        </is>
      </c>
      <c r="C4349" t="inlineStr">
        <is>
          <t>Eau De Parfum</t>
        </is>
      </c>
      <c r="D4349" t="inlineStr">
        <is>
          <t>Gucci</t>
        </is>
      </c>
      <c r="E4349" t="n">
        <v>67.06999999999999</v>
      </c>
      <c r="F4349" t="n">
        <v>1</v>
      </c>
      <c r="G4349" t="n">
        <v>13</v>
      </c>
      <c r="H4349" s="5">
        <f>HYPERLINK("https://api.qogita.com/variants/link/3616303470906/", "View Product")</f>
        <v/>
      </c>
    </row>
    <row r="4350">
      <c r="A4350" t="inlineStr">
        <is>
          <t>3616303475437</t>
        </is>
      </c>
      <c r="B4350" t="inlineStr">
        <is>
          <t>Chlo L'Eau Parfum Lumineuse Eau De Parfum Spray 100ml</t>
        </is>
      </c>
      <c r="C4350" t="inlineStr">
        <is>
          <t>Eau De Parfum</t>
        </is>
      </c>
      <c r="D4350" t="inlineStr">
        <is>
          <t>Chloé</t>
        </is>
      </c>
      <c r="E4350" t="n">
        <v>62.23</v>
      </c>
      <c r="F4350" t="n">
        <v>1</v>
      </c>
      <c r="G4350" t="n">
        <v>54</v>
      </c>
      <c r="H4350" s="5">
        <f>HYPERLINK("https://api.qogita.com/variants/link/3616303475437/", "View Product")</f>
        <v/>
      </c>
    </row>
    <row r="4351">
      <c r="A4351" t="inlineStr">
        <is>
          <t>3616303476809</t>
        </is>
      </c>
      <c r="B4351" t="inlineStr">
        <is>
          <t>Calvin Klein Eternity For Women Aromatic Essence Eau de Parfum</t>
        </is>
      </c>
      <c r="C4351" t="inlineStr">
        <is>
          <t>Eau De Parfum</t>
        </is>
      </c>
      <c r="D4351" t="inlineStr">
        <is>
          <t>Calvin Klein</t>
        </is>
      </c>
      <c r="E4351" t="n">
        <v>34.63</v>
      </c>
      <c r="F4351" t="n">
        <v>1</v>
      </c>
      <c r="G4351" t="n">
        <v>36</v>
      </c>
      <c r="H4351" s="5">
        <f>HYPERLINK("https://api.qogita.com/variants/link/3616303476809/", "View Product")</f>
        <v/>
      </c>
    </row>
    <row r="4352">
      <c r="A4352" t="inlineStr">
        <is>
          <t>3616303479558</t>
        </is>
      </c>
      <c r="B4352" t="inlineStr">
        <is>
          <t>Bruno Banani Pure Women Deodorant Spray 150ml</t>
        </is>
      </c>
      <c r="C4352" t="inlineStr">
        <is>
          <t>Deodorant &amp; Anti-Perspirant</t>
        </is>
      </c>
      <c r="D4352" t="inlineStr">
        <is>
          <t>Bruno Banani</t>
        </is>
      </c>
      <c r="E4352" t="n">
        <v>2.34</v>
      </c>
      <c r="F4352" t="n">
        <v>1</v>
      </c>
      <c r="G4352" t="n">
        <v>5</v>
      </c>
      <c r="H4352" s="5">
        <f>HYPERLINK("https://api.qogita.com/variants/link/3616303479558/", "View Product")</f>
        <v/>
      </c>
    </row>
    <row r="4353">
      <c r="A4353" t="inlineStr">
        <is>
          <t>3616303545987</t>
        </is>
      </c>
      <c r="B4353" t="inlineStr">
        <is>
          <t>Adidas Sport Sensation Pure Game Aftershave Lotion for Men 100ml</t>
        </is>
      </c>
      <c r="C4353" t="inlineStr">
        <is>
          <t>Aftershave</t>
        </is>
      </c>
      <c r="D4353" t="inlineStr">
        <is>
          <t>adidas</t>
        </is>
      </c>
      <c r="E4353" t="n">
        <v>6.28</v>
      </c>
      <c r="F4353" t="n">
        <v>1</v>
      </c>
      <c r="G4353" t="n">
        <v>15</v>
      </c>
      <c r="H4353" s="5">
        <f>HYPERLINK("https://api.qogita.com/variants/link/3616303545987/", "View Product")</f>
        <v/>
      </c>
    </row>
    <row r="4354">
      <c r="A4354" t="inlineStr">
        <is>
          <t>3616303842154</t>
        </is>
      </c>
      <c r="B4354" t="inlineStr">
        <is>
          <t>Adidas Fresh Endurance 72h Antiperspirant For Women Rollon</t>
        </is>
      </c>
      <c r="C4354" t="inlineStr">
        <is>
          <t>Deodorant &amp; Anti-Perspirant</t>
        </is>
      </c>
      <c r="D4354" t="inlineStr">
        <is>
          <t>adidas</t>
        </is>
      </c>
      <c r="E4354" t="n">
        <v>2.31</v>
      </c>
      <c r="F4354" t="n">
        <v>1</v>
      </c>
      <c r="G4354" t="n">
        <v>14</v>
      </c>
      <c r="H4354" s="5">
        <f>HYPERLINK("https://api.qogita.com/variants/link/3616303842154/", "View Product")</f>
        <v/>
      </c>
    </row>
    <row r="4355">
      <c r="A4355" t="inlineStr">
        <is>
          <t>3616303990893</t>
        </is>
      </c>
      <c r="B4355" t="inlineStr">
        <is>
          <t>Max Factor Miracle Pure Vitamin C Skin-Illuminating Serum 30ml 98g</t>
        </is>
      </c>
      <c r="C4355" t="inlineStr">
        <is>
          <t>Vitamin Serum</t>
        </is>
      </c>
      <c r="D4355" t="inlineStr">
        <is>
          <t>Max Factor</t>
        </is>
      </c>
      <c r="E4355" t="n">
        <v>8.82</v>
      </c>
      <c r="F4355" t="n">
        <v>1</v>
      </c>
      <c r="G4355" t="n">
        <v>13</v>
      </c>
      <c r="H4355" s="5">
        <f>HYPERLINK("https://api.qogita.com/variants/link/3616303990893/", "View Product")</f>
        <v/>
      </c>
    </row>
    <row r="4356">
      <c r="A4356" t="inlineStr">
        <is>
          <t>3616303999384</t>
        </is>
      </c>
      <c r="B4356" t="inlineStr">
        <is>
          <t>Max Factor Facefinity All Day Flawless 3 In 1 Foundation C30porcelain 30ml Long Lasting Makeup</t>
        </is>
      </c>
      <c r="C4356" t="inlineStr">
        <is>
          <t>Foundation</t>
        </is>
      </c>
      <c r="D4356" t="inlineStr">
        <is>
          <t>Max Factor</t>
        </is>
      </c>
      <c r="E4356" t="n">
        <v>7.46</v>
      </c>
      <c r="F4356" t="n">
        <v>1</v>
      </c>
      <c r="G4356" t="n">
        <v>5</v>
      </c>
      <c r="H4356" s="5">
        <f>HYPERLINK("https://api.qogita.com/variants/link/3616303999384/", "View Product")</f>
        <v/>
      </c>
    </row>
    <row r="4357">
      <c r="A4357" t="inlineStr">
        <is>
          <t>3616303999391</t>
        </is>
      </c>
      <c r="B4357" t="inlineStr">
        <is>
          <t>Max Factor Facenity All Day Flawless 3 In 1 Foundation W70 30ml</t>
        </is>
      </c>
      <c r="C4357" t="inlineStr">
        <is>
          <t>Foundation</t>
        </is>
      </c>
      <c r="D4357" t="inlineStr">
        <is>
          <t>Max Factor</t>
        </is>
      </c>
      <c r="E4357" t="n">
        <v>8.81</v>
      </c>
      <c r="F4357" t="n">
        <v>1</v>
      </c>
      <c r="G4357" t="n">
        <v>4</v>
      </c>
      <c r="H4357" s="5">
        <f>HYPERLINK("https://api.qogita.com/variants/link/3616303999391/", "View Product")</f>
        <v/>
      </c>
    </row>
    <row r="4358">
      <c r="A4358" t="inlineStr">
        <is>
          <t>3616303999476</t>
        </is>
      </c>
      <c r="B4358" t="inlineStr">
        <is>
          <t>Max Factor Facenity All Day Flawless 3 In 1 Foundation N75 30ml</t>
        </is>
      </c>
      <c r="C4358" t="inlineStr">
        <is>
          <t>Foundation</t>
        </is>
      </c>
      <c r="D4358" t="inlineStr">
        <is>
          <t>Max Factor</t>
        </is>
      </c>
      <c r="E4358" t="n">
        <v>6.93</v>
      </c>
      <c r="F4358" t="n">
        <v>1</v>
      </c>
      <c r="G4358" t="n">
        <v>26</v>
      </c>
      <c r="H4358" s="5">
        <f>HYPERLINK("https://api.qogita.com/variants/link/3616303999476/", "View Product")</f>
        <v/>
      </c>
    </row>
    <row r="4359">
      <c r="A4359" t="inlineStr">
        <is>
          <t>3616303999483</t>
        </is>
      </c>
      <c r="B4359" t="inlineStr">
        <is>
          <t>Max Factor Facenity All Day Flawless 3 In 1 Foundation N77 30ml</t>
        </is>
      </c>
      <c r="C4359" t="inlineStr">
        <is>
          <t>Foundation</t>
        </is>
      </c>
      <c r="D4359" t="inlineStr">
        <is>
          <t>Max Factor</t>
        </is>
      </c>
      <c r="E4359" t="n">
        <v>8.98</v>
      </c>
      <c r="F4359" t="n">
        <v>1</v>
      </c>
      <c r="G4359" t="n">
        <v>5</v>
      </c>
      <c r="H4359" s="5">
        <f>HYPERLINK("https://api.qogita.com/variants/link/3616303999483/", "View Product")</f>
        <v/>
      </c>
    </row>
    <row r="4360">
      <c r="A4360" t="inlineStr">
        <is>
          <t>3616303999568</t>
        </is>
      </c>
      <c r="B4360" t="inlineStr">
        <is>
          <t>Max Factor Facefinity 3 In 1 Primer Concealer And Foundation 85caramel 30ml Long Lasting Makeup</t>
        </is>
      </c>
      <c r="C4360" t="inlineStr">
        <is>
          <t>Foundation</t>
        </is>
      </c>
      <c r="D4360" t="inlineStr">
        <is>
          <t>Max Factor</t>
        </is>
      </c>
      <c r="E4360" t="n">
        <v>11.39</v>
      </c>
      <c r="F4360" t="n">
        <v>1</v>
      </c>
      <c r="G4360" t="n">
        <v>3</v>
      </c>
      <c r="H4360" s="5">
        <f>HYPERLINK("https://api.qogita.com/variants/link/3616303999568/", "View Product")</f>
        <v/>
      </c>
    </row>
    <row r="4361">
      <c r="A4361" t="inlineStr">
        <is>
          <t>3616303999612</t>
        </is>
      </c>
      <c r="B4361" t="inlineStr">
        <is>
          <t>Max Factor All Day Flawless Facefinity 3 In 1 Long Lasting Makeup 30 Ml Shade 88 Praline</t>
        </is>
      </c>
      <c r="C4361" t="inlineStr">
        <is>
          <t>Foundation</t>
        </is>
      </c>
      <c r="D4361" t="inlineStr">
        <is>
          <t>Max Factor</t>
        </is>
      </c>
      <c r="E4361" t="n">
        <v>9.56</v>
      </c>
      <c r="F4361" t="n">
        <v>1</v>
      </c>
      <c r="G4361" t="n">
        <v>10</v>
      </c>
      <c r="H4361" s="5">
        <f>HYPERLINK("https://api.qogita.com/variants/link/3616303999612/", "View Product")</f>
        <v/>
      </c>
    </row>
    <row r="4362">
      <c r="A4362" t="inlineStr">
        <is>
          <t>3616304061929</t>
        </is>
      </c>
      <c r="B4362" t="inlineStr">
        <is>
          <t>Burberry Her Elixir Eau de Parfum spray 30ml</t>
        </is>
      </c>
      <c r="C4362" t="inlineStr">
        <is>
          <t>Eau De Parfum</t>
        </is>
      </c>
      <c r="D4362" t="inlineStr">
        <is>
          <t>Burberry</t>
        </is>
      </c>
      <c r="E4362" t="n">
        <v>55.7</v>
      </c>
      <c r="F4362" t="n">
        <v>1</v>
      </c>
      <c r="G4362" t="n">
        <v>2</v>
      </c>
      <c r="H4362" s="5">
        <f>HYPERLINK("https://api.qogita.com/variants/link/3616304061929/", "View Product")</f>
        <v/>
      </c>
    </row>
    <row r="4363">
      <c r="A4363" t="inlineStr">
        <is>
          <t>3616304061936</t>
        </is>
      </c>
      <c r="B4363" t="inlineStr">
        <is>
          <t>Burberry Her Elixir Eau De Parfum for Women 50ml</t>
        </is>
      </c>
      <c r="C4363" t="inlineStr">
        <is>
          <t>Eau De Parfum</t>
        </is>
      </c>
      <c r="D4363" t="inlineStr">
        <is>
          <t>Burberry</t>
        </is>
      </c>
      <c r="E4363" t="n">
        <v>73.40000000000001</v>
      </c>
      <c r="F4363" t="n">
        <v>1</v>
      </c>
      <c r="G4363" t="n">
        <v>13</v>
      </c>
      <c r="H4363" s="5">
        <f>HYPERLINK("https://api.qogita.com/variants/link/3616304061936/", "View Product")</f>
        <v/>
      </c>
    </row>
    <row r="4364">
      <c r="A4364" t="inlineStr">
        <is>
          <t>3616304203565</t>
        </is>
      </c>
      <c r="B4364" t="inlineStr">
        <is>
          <t>Escada Escada Brisa Cubana Eau De Toilette Spray 50ml</t>
        </is>
      </c>
      <c r="C4364" t="inlineStr">
        <is>
          <t>Eau De Toilette</t>
        </is>
      </c>
      <c r="D4364" t="inlineStr">
        <is>
          <t>Escada</t>
        </is>
      </c>
      <c r="E4364" t="n">
        <v>15.48</v>
      </c>
      <c r="F4364" t="n">
        <v>1</v>
      </c>
      <c r="G4364" t="n">
        <v>32</v>
      </c>
      <c r="H4364" s="5">
        <f>HYPERLINK("https://api.qogita.com/variants/link/3616304203565/", "View Product")</f>
        <v/>
      </c>
    </row>
    <row r="4365">
      <c r="A4365" t="inlineStr">
        <is>
          <t>3616304240454</t>
        </is>
      </c>
      <c r="B4365" t="inlineStr">
        <is>
          <t>Adidas Ice Dive Shower Gel 250ml</t>
        </is>
      </c>
      <c r="C4365" t="inlineStr">
        <is>
          <t>Shower Gel</t>
        </is>
      </c>
      <c r="D4365" t="inlineStr">
        <is>
          <t>adidas</t>
        </is>
      </c>
      <c r="E4365" t="n">
        <v>2.69</v>
      </c>
      <c r="F4365" t="n">
        <v>1</v>
      </c>
      <c r="G4365" t="n">
        <v>25</v>
      </c>
      <c r="H4365" s="5">
        <f>HYPERLINK("https://api.qogita.com/variants/link/3616304240454/", "View Product")</f>
        <v/>
      </c>
    </row>
    <row r="4366">
      <c r="A4366" t="inlineStr">
        <is>
          <t>3616304240508</t>
        </is>
      </c>
      <c r="B4366" t="inlineStr">
        <is>
          <t>Adidas Dynamic Pulse Shower Gel Large Size</t>
        </is>
      </c>
      <c r="C4366" t="inlineStr">
        <is>
          <t>Shower Gel</t>
        </is>
      </c>
      <c r="D4366" t="inlineStr">
        <is>
          <t>adidas</t>
        </is>
      </c>
      <c r="E4366" t="n">
        <v>1.55</v>
      </c>
      <c r="F4366" t="n">
        <v>1</v>
      </c>
      <c r="G4366" t="n">
        <v>65</v>
      </c>
      <c r="H4366" s="5">
        <f>HYPERLINK("https://api.qogita.com/variants/link/3616304240508/", "View Product")</f>
        <v/>
      </c>
    </row>
    <row r="4367">
      <c r="A4367" t="inlineStr">
        <is>
          <t>3616304240652</t>
        </is>
      </c>
      <c r="B4367" t="inlineStr">
        <is>
          <t>Adidas Active Start Shower Gel 250ml</t>
        </is>
      </c>
      <c r="C4367" t="inlineStr">
        <is>
          <t>Shower Gel</t>
        </is>
      </c>
      <c r="D4367" t="inlineStr">
        <is>
          <t>adidas</t>
        </is>
      </c>
      <c r="E4367" t="n">
        <v>1.55</v>
      </c>
      <c r="F4367" t="n">
        <v>1</v>
      </c>
      <c r="G4367" t="n">
        <v>14</v>
      </c>
      <c r="H4367" s="5">
        <f>HYPERLINK("https://api.qogita.com/variants/link/3616304240652/", "View Product")</f>
        <v/>
      </c>
    </row>
    <row r="4368">
      <c r="A4368" t="inlineStr">
        <is>
          <t>3616304252938</t>
        </is>
      </c>
      <c r="B4368" t="inlineStr">
        <is>
          <t>Hugo Boss Alive Eau De Parfum 50ml Ladies Floral Fragrance Spray</t>
        </is>
      </c>
      <c r="C4368" t="inlineStr">
        <is>
          <t>Eau De Parfum</t>
        </is>
      </c>
      <c r="D4368" t="inlineStr">
        <is>
          <t>Hugo Boss</t>
        </is>
      </c>
      <c r="E4368" t="n">
        <v>49.79</v>
      </c>
      <c r="F4368" t="n">
        <v>1</v>
      </c>
      <c r="G4368" t="n">
        <v>2</v>
      </c>
      <c r="H4368" s="5">
        <f>HYPERLINK("https://api.qogita.com/variants/link/3616304252938/", "View Product")</f>
        <v/>
      </c>
    </row>
    <row r="4369">
      <c r="A4369" t="inlineStr">
        <is>
          <t>3616304472411</t>
        </is>
      </c>
      <c r="B4369" t="inlineStr">
        <is>
          <t>Lancaster Sun Sensitive Tinted Mattifying Fluid Spf50 30 Ml</t>
        </is>
      </c>
      <c r="C4369" t="inlineStr">
        <is>
          <t>Face Sun Protection</t>
        </is>
      </c>
      <c r="D4369" t="inlineStr">
        <is>
          <t>Lancaster</t>
        </is>
      </c>
      <c r="E4369" t="n">
        <v>21.27</v>
      </c>
      <c r="F4369" t="n">
        <v>1</v>
      </c>
      <c r="G4369" t="n">
        <v>51</v>
      </c>
      <c r="H4369" s="5">
        <f>HYPERLINK("https://api.qogita.com/variants/link/3616304472411/", "View Product")</f>
        <v/>
      </c>
    </row>
    <row r="4370">
      <c r="A4370" t="inlineStr">
        <is>
          <t>3616304668722</t>
        </is>
      </c>
      <c r="B4370" t="inlineStr">
        <is>
          <t>Roberto Cavalli Gold Collection Royal Soul U Parfum 100ml</t>
        </is>
      </c>
      <c r="C4370" t="inlineStr">
        <is>
          <t>Eau De Parfum</t>
        </is>
      </c>
      <c r="D4370" t="inlineStr">
        <is>
          <t>Roberto Cavalli</t>
        </is>
      </c>
      <c r="E4370" t="n">
        <v>49.78</v>
      </c>
      <c r="F4370" t="n">
        <v>1</v>
      </c>
      <c r="G4370" t="n">
        <v>47</v>
      </c>
      <c r="H4370" s="5">
        <f>HYPERLINK("https://api.qogita.com/variants/link/3616304668722/", "View Product")</f>
        <v/>
      </c>
    </row>
    <row r="4371">
      <c r="A4371" t="inlineStr">
        <is>
          <t>3616304668784</t>
        </is>
      </c>
      <c r="B4371" t="inlineStr">
        <is>
          <t>Escada Party Love Eau De Parfum 50ml Limited Edition</t>
        </is>
      </c>
      <c r="C4371" t="inlineStr">
        <is>
          <t>Eau De Parfum</t>
        </is>
      </c>
      <c r="D4371" t="inlineStr">
        <is>
          <t>Escada</t>
        </is>
      </c>
      <c r="E4371" t="n">
        <v>21.01</v>
      </c>
      <c r="F4371" t="n">
        <v>1</v>
      </c>
      <c r="G4371" t="n">
        <v>7</v>
      </c>
      <c r="H4371" s="5">
        <f>HYPERLINK("https://api.qogita.com/variants/link/3616304668784/", "View Product")</f>
        <v/>
      </c>
    </row>
    <row r="4372">
      <c r="A4372" t="inlineStr">
        <is>
          <t>3616304668791</t>
        </is>
      </c>
      <c r="B4372" t="inlineStr">
        <is>
          <t>Escada Party Love Eau De Parfum Spray 100ml</t>
        </is>
      </c>
      <c r="C4372" t="inlineStr">
        <is>
          <t>Eau De Parfum</t>
        </is>
      </c>
      <c r="D4372" t="inlineStr">
        <is>
          <t>Escada</t>
        </is>
      </c>
      <c r="E4372" t="n">
        <v>22.36</v>
      </c>
      <c r="F4372" t="n">
        <v>1</v>
      </c>
      <c r="G4372" t="n">
        <v>15</v>
      </c>
      <c r="H4372" s="5">
        <f>HYPERLINK("https://api.qogita.com/variants/link/3616304668791/", "View Product")</f>
        <v/>
      </c>
    </row>
    <row r="4373">
      <c r="A4373" t="inlineStr">
        <is>
          <t>3616304686825</t>
        </is>
      </c>
      <c r="B4373" t="inlineStr">
        <is>
          <t>Chlo Nomade Eau De Parfum Spray 75 Ml Gift Set</t>
        </is>
      </c>
      <c r="C4373" t="inlineStr">
        <is>
          <t>Fragrance Sets</t>
        </is>
      </c>
      <c r="D4373" t="inlineStr">
        <is>
          <t>Chloé</t>
        </is>
      </c>
      <c r="E4373" t="n">
        <v>92.06999999999999</v>
      </c>
      <c r="F4373" t="n">
        <v>1</v>
      </c>
      <c r="G4373" t="n">
        <v>123</v>
      </c>
      <c r="H4373" s="5">
        <f>HYPERLINK("https://api.qogita.com/variants/link/3616304686825/", "View Product")</f>
        <v/>
      </c>
    </row>
    <row r="4374">
      <c r="A4374" t="inlineStr">
        <is>
          <t>3616304940835</t>
        </is>
      </c>
      <c r="B4374" t="inlineStr">
        <is>
          <t>Marc Jacobs Dot Eau De Parfum 100ml A Floral Fruity Fragrance</t>
        </is>
      </c>
      <c r="C4374" t="inlineStr">
        <is>
          <t>Eau De Parfum</t>
        </is>
      </c>
      <c r="D4374" t="inlineStr">
        <is>
          <t>Marc Jacobs</t>
        </is>
      </c>
      <c r="E4374" t="n">
        <v>26.38</v>
      </c>
      <c r="F4374" t="n">
        <v>1</v>
      </c>
      <c r="G4374" t="n">
        <v>3</v>
      </c>
      <c r="H4374" s="5">
        <f>HYPERLINK("https://api.qogita.com/variants/link/3616304940835/", "View Product")</f>
        <v/>
      </c>
    </row>
    <row r="4375">
      <c r="A4375" t="inlineStr">
        <is>
          <t>3616304957758</t>
        </is>
      </c>
      <c r="B4375" t="inlineStr">
        <is>
          <t>Hugo Boss Boss The Scent For Man Gift Set - Eau De Toilette Spray 100ml + Deodorant Stick 75ml</t>
        </is>
      </c>
      <c r="C4375" t="inlineStr">
        <is>
          <t>Fragrance Sets</t>
        </is>
      </c>
      <c r="D4375" t="inlineStr">
        <is>
          <t>Hugo Boss</t>
        </is>
      </c>
      <c r="E4375" t="n">
        <v>45.61</v>
      </c>
      <c r="F4375" t="n">
        <v>1</v>
      </c>
      <c r="G4375" t="n">
        <v>71</v>
      </c>
      <c r="H4375" s="5">
        <f>HYPERLINK("https://api.qogita.com/variants/link/3616304957758/", "View Product")</f>
        <v/>
      </c>
    </row>
    <row r="4376">
      <c r="A4376" t="inlineStr">
        <is>
          <t>3616304966590</t>
        </is>
      </c>
      <c r="B4376" t="inlineStr">
        <is>
          <t>CALVIN KLEIN Defy Men 100ml Eau De Toilette Gift Set</t>
        </is>
      </c>
      <c r="C4376" t="inlineStr">
        <is>
          <t>Fragrance Sets</t>
        </is>
      </c>
      <c r="D4376" t="inlineStr">
        <is>
          <t>Calvin Klein</t>
        </is>
      </c>
      <c r="E4376" t="n">
        <v>44.43</v>
      </c>
      <c r="F4376" t="n">
        <v>1</v>
      </c>
      <c r="G4376" t="n">
        <v>32</v>
      </c>
      <c r="H4376" s="5">
        <f>HYPERLINK("https://api.qogita.com/variants/link/3616304966590/", "View Product")</f>
        <v/>
      </c>
    </row>
    <row r="4377">
      <c r="A4377" t="inlineStr">
        <is>
          <t>3616304966682</t>
        </is>
      </c>
      <c r="B4377" t="inlineStr">
        <is>
          <t>Calvin Klein Ck Eternity Eau De Parfum Spray 100 Ml Set With Body Lotion 100 Ml And Miniature Eau De Parfum 10 Ml</t>
        </is>
      </c>
      <c r="C4377" t="inlineStr">
        <is>
          <t>Fragrance Sets</t>
        </is>
      </c>
      <c r="D4377" t="inlineStr">
        <is>
          <t>Calvin Klein</t>
        </is>
      </c>
      <c r="E4377" t="n">
        <v>52.26</v>
      </c>
      <c r="F4377" t="n">
        <v>1</v>
      </c>
      <c r="G4377" t="n">
        <v>48</v>
      </c>
      <c r="H4377" s="5">
        <f>HYPERLINK("https://api.qogita.com/variants/link/3616304966682/", "View Product")</f>
        <v/>
      </c>
    </row>
    <row r="4378">
      <c r="A4378" t="inlineStr">
        <is>
          <t>3616304966729</t>
        </is>
      </c>
      <c r="B4378" t="inlineStr">
        <is>
          <t>Calvin Klein My Euphoria Gift Set 100ml Edp And 10ml Miniature</t>
        </is>
      </c>
      <c r="C4378" t="inlineStr">
        <is>
          <t>Fragrance Sets</t>
        </is>
      </c>
      <c r="D4378" t="inlineStr">
        <is>
          <t>Calvin Klein</t>
        </is>
      </c>
      <c r="E4378" t="n">
        <v>54.01</v>
      </c>
      <c r="F4378" t="n">
        <v>1</v>
      </c>
      <c r="G4378" t="n">
        <v>26</v>
      </c>
      <c r="H4378" s="5">
        <f>HYPERLINK("https://api.qogita.com/variants/link/3616304966729/", "View Product")</f>
        <v/>
      </c>
    </row>
    <row r="4379">
      <c r="A4379" t="inlineStr">
        <is>
          <t>3616304967115</t>
        </is>
      </c>
      <c r="B4379" t="inlineStr">
        <is>
          <t>Burberry Goddess Eau De Parfum Intense 50ml</t>
        </is>
      </c>
      <c r="C4379" t="inlineStr">
        <is>
          <t>Eau De Parfum</t>
        </is>
      </c>
      <c r="D4379" t="inlineStr">
        <is>
          <t>Burberry</t>
        </is>
      </c>
      <c r="E4379" t="n">
        <v>59.63</v>
      </c>
      <c r="F4379" t="n">
        <v>1</v>
      </c>
      <c r="G4379" t="n">
        <v>12</v>
      </c>
      <c r="H4379" s="5">
        <f>HYPERLINK("https://api.qogita.com/variants/link/3616304967115/", "View Product")</f>
        <v/>
      </c>
    </row>
    <row r="4380">
      <c r="A4380" t="inlineStr">
        <is>
          <t>3616305026033</t>
        </is>
      </c>
      <c r="B4380" t="inlineStr">
        <is>
          <t>David Beckham Infinite Aqua Eau De Parfum Spray 50ml</t>
        </is>
      </c>
      <c r="C4380" t="inlineStr">
        <is>
          <t>Eau De Parfum</t>
        </is>
      </c>
      <c r="D4380" t="inlineStr">
        <is>
          <t>David Beckham</t>
        </is>
      </c>
      <c r="E4380" t="n">
        <v>7.07</v>
      </c>
      <c r="F4380" t="n">
        <v>1</v>
      </c>
      <c r="G4380" t="n">
        <v>32</v>
      </c>
      <c r="H4380" s="5">
        <f>HYPERLINK("https://api.qogita.com/variants/link/3616305026033/", "View Product")</f>
        <v/>
      </c>
    </row>
    <row r="4381">
      <c r="A4381" t="inlineStr">
        <is>
          <t>3616305026071</t>
        </is>
      </c>
      <c r="B4381" t="inlineStr">
        <is>
          <t>David Beckham Refined Woods Eau De Parfum Spray 100ml</t>
        </is>
      </c>
      <c r="C4381" t="inlineStr">
        <is>
          <t>Eau De Parfum</t>
        </is>
      </c>
      <c r="D4381" t="inlineStr">
        <is>
          <t>David Beckham</t>
        </is>
      </c>
      <c r="E4381" t="n">
        <v>16.15</v>
      </c>
      <c r="F4381" t="n">
        <v>1</v>
      </c>
      <c r="G4381" t="n">
        <v>65</v>
      </c>
      <c r="H4381" s="5">
        <f>HYPERLINK("https://api.qogita.com/variants/link/3616305026071/", "View Product")</f>
        <v/>
      </c>
    </row>
    <row r="4382">
      <c r="A4382" t="inlineStr">
        <is>
          <t>3616305040527</t>
        </is>
      </c>
      <c r="B4382" t="inlineStr">
        <is>
          <t>Boss The Scent Eau De Parfum for Her Ambery Fragrance with Notes of Honey</t>
        </is>
      </c>
      <c r="C4382" t="inlineStr">
        <is>
          <t>Eau De Parfum</t>
        </is>
      </c>
      <c r="D4382" t="inlineStr">
        <is>
          <t>Hugo Boss</t>
        </is>
      </c>
      <c r="E4382" t="n">
        <v>44.57</v>
      </c>
      <c r="F4382" t="n">
        <v>1</v>
      </c>
      <c r="G4382" t="n">
        <v>82</v>
      </c>
      <c r="H4382" s="5">
        <f>HYPERLINK("https://api.qogita.com/variants/link/3616305040527/", "View Product")</f>
        <v/>
      </c>
    </row>
    <row r="4383">
      <c r="A4383" t="inlineStr">
        <is>
          <t>3616305160577</t>
        </is>
      </c>
      <c r="B4383" t="inlineStr">
        <is>
          <t>Hugo Boss Boss Bottled Triumph Elixir Perfume Spray 50ml</t>
        </is>
      </c>
      <c r="C4383" t="inlineStr">
        <is>
          <t>Eau De Parfum</t>
        </is>
      </c>
      <c r="D4383" t="inlineStr">
        <is>
          <t>Hugo Boss</t>
        </is>
      </c>
      <c r="E4383" t="n">
        <v>48.93</v>
      </c>
      <c r="F4383" t="n">
        <v>1</v>
      </c>
      <c r="G4383" t="n">
        <v>8</v>
      </c>
      <c r="H4383" s="5">
        <f>HYPERLINK("https://api.qogita.com/variants/link/3616305160577/", "View Product")</f>
        <v/>
      </c>
    </row>
    <row r="4384">
      <c r="A4384" t="inlineStr">
        <is>
          <t>3616305169273</t>
        </is>
      </c>
      <c r="B4384" t="inlineStr">
        <is>
          <t>Gucci Flora Gorgeous Orchid Eau de Parfum Spray</t>
        </is>
      </c>
      <c r="C4384" t="inlineStr">
        <is>
          <t>Eau De Parfum</t>
        </is>
      </c>
      <c r="D4384" t="inlineStr">
        <is>
          <t>Gucci</t>
        </is>
      </c>
      <c r="E4384" t="n">
        <v>72.91</v>
      </c>
      <c r="F4384" t="n">
        <v>1</v>
      </c>
      <c r="G4384" t="n">
        <v>22</v>
      </c>
      <c r="H4384" s="5">
        <f>HYPERLINK("https://api.qogita.com/variants/link/3616305169273/", "View Product")</f>
        <v/>
      </c>
    </row>
    <row r="4385">
      <c r="A4385" t="inlineStr">
        <is>
          <t>3616305181473</t>
        </is>
      </c>
      <c r="B4385" t="inlineStr">
        <is>
          <t>Marc Jacobs Perfect By Marc Jacobs 2 Piece Gift Set - 3.3 Oz Eau De Parfum</t>
        </is>
      </c>
      <c r="C4385" t="inlineStr">
        <is>
          <t>Fragrance Sets</t>
        </is>
      </c>
      <c r="D4385" t="inlineStr">
        <is>
          <t>Marc Jacobs</t>
        </is>
      </c>
      <c r="E4385" t="n">
        <v>62.23</v>
      </c>
      <c r="F4385" t="n">
        <v>1</v>
      </c>
      <c r="G4385" t="n">
        <v>105</v>
      </c>
      <c r="H4385" s="5">
        <f>HYPERLINK("https://api.qogita.com/variants/link/3616305181473/", "View Product")</f>
        <v/>
      </c>
    </row>
    <row r="4386">
      <c r="A4386" t="inlineStr">
        <is>
          <t>3616305187567</t>
        </is>
      </c>
      <c r="B4386" t="inlineStr">
        <is>
          <t>Davidoff Cool Water Reborn EDP Intense for Men 50ml</t>
        </is>
      </c>
      <c r="C4386" t="inlineStr">
        <is>
          <t>Eau De Parfum</t>
        </is>
      </c>
      <c r="D4386" t="inlineStr">
        <is>
          <t>Davidoff</t>
        </is>
      </c>
      <c r="E4386" t="n">
        <v>25.25</v>
      </c>
      <c r="F4386" t="n">
        <v>1</v>
      </c>
      <c r="G4386" t="n">
        <v>3</v>
      </c>
      <c r="H4386" s="5">
        <f>HYPERLINK("https://api.qogita.com/variants/link/3616305187567/", "View Product")</f>
        <v/>
      </c>
    </row>
    <row r="4387">
      <c r="A4387" t="inlineStr">
        <is>
          <t>3616305187635</t>
        </is>
      </c>
      <c r="B4387" t="inlineStr">
        <is>
          <t>Lancaster My Sun Routine Spf 30 Set - Darkova Sada Pece Na Opalovani</t>
        </is>
      </c>
      <c r="C4387" t="inlineStr">
        <is>
          <t>Sun Protection Sets</t>
        </is>
      </c>
      <c r="D4387" t="inlineStr">
        <is>
          <t>Lancaster</t>
        </is>
      </c>
      <c r="E4387" t="n">
        <v>14.22</v>
      </c>
      <c r="F4387" t="n">
        <v>1</v>
      </c>
      <c r="G4387" t="n">
        <v>7</v>
      </c>
      <c r="H4387" s="5">
        <f>HYPERLINK("https://api.qogita.com/variants/link/3616305187635/", "View Product")</f>
        <v/>
      </c>
    </row>
    <row r="4388">
      <c r="A4388" t="inlineStr">
        <is>
          <t>3616305212511</t>
        </is>
      </c>
      <c r="B4388" t="inlineStr">
        <is>
          <t>Sally Hansen Insta-Dri Pride Be You Blue 0.3oz</t>
        </is>
      </c>
      <c r="C4388" t="inlineStr">
        <is>
          <t>Nail Polish</t>
        </is>
      </c>
      <c r="D4388" t="inlineStr">
        <is>
          <t>Sally Hansen</t>
        </is>
      </c>
      <c r="E4388" t="n">
        <v>1.35</v>
      </c>
      <c r="F4388" t="n">
        <v>1</v>
      </c>
      <c r="G4388" t="n">
        <v>5</v>
      </c>
      <c r="H4388" s="5">
        <f>HYPERLINK("https://api.qogita.com/variants/link/3616305212511/", "View Product")</f>
        <v/>
      </c>
    </row>
    <row r="4389">
      <c r="A4389" t="inlineStr">
        <is>
          <t>3616305243058</t>
        </is>
      </c>
      <c r="B4389" t="inlineStr">
        <is>
          <t>Max Factor Nailfinity Lacquer Nail Polish 320 The Sensation 12 Ml</t>
        </is>
      </c>
      <c r="C4389" t="inlineStr">
        <is>
          <t>Nail Polish</t>
        </is>
      </c>
      <c r="D4389" t="inlineStr">
        <is>
          <t>Max Factor</t>
        </is>
      </c>
      <c r="E4389" t="n">
        <v>3.68</v>
      </c>
      <c r="F4389" t="n">
        <v>1</v>
      </c>
      <c r="G4389" t="n">
        <v>16</v>
      </c>
      <c r="H4389" s="5">
        <f>HYPERLINK("https://api.qogita.com/variants/link/3616305243058/", "View Product")</f>
        <v/>
      </c>
    </row>
    <row r="4390">
      <c r="A4390" t="inlineStr">
        <is>
          <t>3616305250155</t>
        </is>
      </c>
      <c r="B4390" t="inlineStr">
        <is>
          <t>LANC SUN DUO BODY MILK P50TAN MAX 125 - Sun Care</t>
        </is>
      </c>
      <c r="C4390" t="inlineStr">
        <is>
          <t>Body Sun Protection</t>
        </is>
      </c>
      <c r="D4390" t="inlineStr">
        <is>
          <t>Lancaster</t>
        </is>
      </c>
      <c r="E4390" t="n">
        <v>25.78</v>
      </c>
      <c r="F4390" t="n">
        <v>1</v>
      </c>
      <c r="G4390" t="n">
        <v>10</v>
      </c>
      <c r="H4390" s="5">
        <f>HYPERLINK("https://api.qogita.com/variants/link/3616305250155/", "View Product")</f>
        <v/>
      </c>
    </row>
    <row r="4391">
      <c r="A4391" t="inlineStr">
        <is>
          <t>3616305258441</t>
        </is>
      </c>
      <c r="B4391" t="inlineStr">
        <is>
          <t>Joop! Homme Neon Eau De Toilette 75ml</t>
        </is>
      </c>
      <c r="C4391" t="inlineStr">
        <is>
          <t>Eau De Toilette</t>
        </is>
      </c>
      <c r="D4391" t="inlineStr">
        <is>
          <t>Joop!</t>
        </is>
      </c>
      <c r="E4391" t="n">
        <v>16.54</v>
      </c>
      <c r="F4391" t="n">
        <v>1</v>
      </c>
      <c r="G4391" t="n">
        <v>4</v>
      </c>
      <c r="H4391" s="5">
        <f>HYPERLINK("https://api.qogita.com/variants/link/3616305258441/", "View Product")</f>
        <v/>
      </c>
    </row>
    <row r="4392">
      <c r="A4392" t="inlineStr">
        <is>
          <t>3616305258472</t>
        </is>
      </c>
      <c r="B4392" t="inlineStr">
        <is>
          <t>Chloe Nomade Fragrance For Women - 50 Ml</t>
        </is>
      </c>
      <c r="C4392" t="inlineStr">
        <is>
          <t>Eau De Parfum</t>
        </is>
      </c>
      <c r="D4392" t="inlineStr">
        <is>
          <t>Chloé</t>
        </is>
      </c>
      <c r="E4392" t="n">
        <v>43.07</v>
      </c>
      <c r="F4392" t="n">
        <v>1</v>
      </c>
      <c r="G4392" t="n">
        <v>67</v>
      </c>
      <c r="H4392" s="5">
        <f>HYPERLINK("https://api.qogita.com/variants/link/3616305258472/", "View Product")</f>
        <v/>
      </c>
    </row>
    <row r="4393">
      <c r="A4393" t="inlineStr">
        <is>
          <t>3616305266132</t>
        </is>
      </c>
      <c r="B4393" t="inlineStr">
        <is>
          <t>Calvin Klein Ck One Essence Parfum Intense Case 3 Pcs</t>
        </is>
      </c>
      <c r="C4393" t="inlineStr">
        <is>
          <t>Fragrance Sets</t>
        </is>
      </c>
      <c r="D4393" t="inlineStr">
        <is>
          <t>Calvin Klein</t>
        </is>
      </c>
      <c r="E4393" t="n">
        <v>35.59</v>
      </c>
      <c r="F4393" t="n">
        <v>1</v>
      </c>
      <c r="G4393" t="n">
        <v>149</v>
      </c>
      <c r="H4393" s="5">
        <f>HYPERLINK("https://api.qogita.com/variants/link/3616305266132/", "View Product")</f>
        <v/>
      </c>
    </row>
    <row r="4394">
      <c r="A4394" t="inlineStr">
        <is>
          <t>3616305266194</t>
        </is>
      </c>
      <c r="B4394" t="inlineStr">
        <is>
          <t>Calvin Klein Euphoria Gift Set 3 Pieces</t>
        </is>
      </c>
      <c r="C4394" t="inlineStr">
        <is>
          <t>Fragrance Sets</t>
        </is>
      </c>
      <c r="D4394" t="inlineStr">
        <is>
          <t>Calvin Klein</t>
        </is>
      </c>
      <c r="E4394" t="n">
        <v>64.31999999999999</v>
      </c>
      <c r="F4394" t="n">
        <v>1</v>
      </c>
      <c r="G4394" t="n">
        <v>263</v>
      </c>
      <c r="H4394" s="5">
        <f>HYPERLINK("https://api.qogita.com/variants/link/3616305266194/", "View Product")</f>
        <v/>
      </c>
    </row>
    <row r="4395">
      <c r="A4395" t="inlineStr">
        <is>
          <t>3616305266729</t>
        </is>
      </c>
      <c r="B4395" t="inlineStr">
        <is>
          <t>Marc Jacobs Perfect 50 Ml + 10 Ml Eau De Parfum Set</t>
        </is>
      </c>
      <c r="C4395" t="inlineStr">
        <is>
          <t>Fragrance Sets</t>
        </is>
      </c>
      <c r="D4395" t="inlineStr">
        <is>
          <t>Marc Jacobs</t>
        </is>
      </c>
      <c r="E4395" t="n">
        <v>45.33</v>
      </c>
      <c r="F4395" t="n">
        <v>1</v>
      </c>
      <c r="G4395" t="n">
        <v>66</v>
      </c>
      <c r="H4395" s="5">
        <f>HYPERLINK("https://api.qogita.com/variants/link/3616305266729/", "View Product")</f>
        <v/>
      </c>
    </row>
    <row r="4396">
      <c r="A4396" t="inlineStr">
        <is>
          <t>3616305270504</t>
        </is>
      </c>
      <c r="B4396" t="inlineStr">
        <is>
          <t>Chloe Chloe Signature Set 3 Pcs - A Luxurious Fragrance Gift Set</t>
        </is>
      </c>
      <c r="C4396" t="inlineStr">
        <is>
          <t>Fragrance Sets</t>
        </is>
      </c>
      <c r="D4396" t="inlineStr">
        <is>
          <t>Chloé</t>
        </is>
      </c>
      <c r="E4396" t="n">
        <v>80.43000000000001</v>
      </c>
      <c r="F4396" t="n">
        <v>1</v>
      </c>
      <c r="G4396" t="n">
        <v>19</v>
      </c>
      <c r="H4396" s="5">
        <f>HYPERLINK("https://api.qogita.com/variants/link/3616305270504/", "View Product")</f>
        <v/>
      </c>
    </row>
    <row r="4397">
      <c r="A4397" t="inlineStr">
        <is>
          <t>3616305274601</t>
        </is>
      </c>
      <c r="B4397" t="inlineStr">
        <is>
          <t>Lancaster Solar Lotion Spf50 400 Ml - High Protection Sunscreen</t>
        </is>
      </c>
      <c r="C4397" t="inlineStr">
        <is>
          <t>Body Sun Protection</t>
        </is>
      </c>
      <c r="D4397" t="inlineStr">
        <is>
          <t>Lancaster</t>
        </is>
      </c>
      <c r="E4397" t="n">
        <v>31.46</v>
      </c>
      <c r="F4397" t="n">
        <v>1</v>
      </c>
      <c r="G4397" t="n">
        <v>7</v>
      </c>
      <c r="H4397" s="5">
        <f>HYPERLINK("https://api.qogita.com/variants/link/3616305274601/", "View Product")</f>
        <v/>
      </c>
    </row>
    <row r="4398">
      <c r="A4398" t="inlineStr">
        <is>
          <t>3616305279958</t>
        </is>
      </c>
      <c r="B4398" t="inlineStr">
        <is>
          <t>Bruno Banani Magic Man Gift Set With Deodorant 75 Ml And Deodorant Spray 150 Ml</t>
        </is>
      </c>
      <c r="C4398" t="inlineStr">
        <is>
          <t>Fragrance</t>
        </is>
      </c>
      <c r="D4398" t="inlineStr">
        <is>
          <t>Bruno Banani</t>
        </is>
      </c>
      <c r="E4398" t="n">
        <v>9.710000000000001</v>
      </c>
      <c r="F4398" t="n">
        <v>1</v>
      </c>
      <c r="G4398" t="n">
        <v>5</v>
      </c>
      <c r="H4398" s="5">
        <f>HYPERLINK("https://api.qogita.com/variants/link/3616305279958/", "View Product")</f>
        <v/>
      </c>
    </row>
    <row r="4399">
      <c r="A4399" t="inlineStr">
        <is>
          <t>3616305439420</t>
        </is>
      </c>
      <c r="B4399" t="inlineStr">
        <is>
          <t>BOSS Men's BOSS Bottled Festive Gift Set with 50ml Eau de Toilette and 100ml Shower Gel</t>
        </is>
      </c>
      <c r="C4399" t="inlineStr">
        <is>
          <t>Fragrance Sets</t>
        </is>
      </c>
      <c r="D4399" t="inlineStr">
        <is>
          <t>Hugo Boss</t>
        </is>
      </c>
      <c r="E4399" t="n">
        <v>52.45</v>
      </c>
      <c r="F4399" t="n">
        <v>1</v>
      </c>
      <c r="G4399" t="n">
        <v>284</v>
      </c>
      <c r="H4399" s="5">
        <f>HYPERLINK("https://api.qogita.com/variants/link/3616305439420/", "View Product")</f>
        <v/>
      </c>
    </row>
    <row r="4400">
      <c r="A4400" t="inlineStr">
        <is>
          <t>3616305439475</t>
        </is>
      </c>
      <c r="B4400" t="inlineStr">
        <is>
          <t>Hugo Boss Bottled Gift Set - Eau De Toilette Spray 200ml And Deodorant Stick 75ml</t>
        </is>
      </c>
      <c r="C4400" t="inlineStr">
        <is>
          <t>Fragrance</t>
        </is>
      </c>
      <c r="D4400" t="inlineStr">
        <is>
          <t>Hugo Boss</t>
        </is>
      </c>
      <c r="E4400" t="n">
        <v>80.43000000000001</v>
      </c>
      <c r="F4400" t="n">
        <v>1</v>
      </c>
      <c r="G4400" t="n">
        <v>16</v>
      </c>
      <c r="H4400" s="5">
        <f>HYPERLINK("https://api.qogita.com/variants/link/3616305439475/", "View Product")</f>
        <v/>
      </c>
    </row>
    <row r="4401">
      <c r="A4401" t="inlineStr">
        <is>
          <t>3616305439499</t>
        </is>
      </c>
      <c r="B4401" t="inlineStr">
        <is>
          <t>Hugo Boss No6 Bottled Parfum Gift Set 100ml Parfum 10ml Parfum And 100ml Shower Gel</t>
        </is>
      </c>
      <c r="C4401" t="inlineStr">
        <is>
          <t>Fragrance Sets</t>
        </is>
      </c>
      <c r="D4401" t="inlineStr">
        <is>
          <t>Hugo Boss</t>
        </is>
      </c>
      <c r="E4401" t="n">
        <v>72.38</v>
      </c>
      <c r="F4401" t="n">
        <v>1</v>
      </c>
      <c r="G4401" t="n">
        <v>14</v>
      </c>
      <c r="H4401" s="5">
        <f>HYPERLINK("https://api.qogita.com/variants/link/3616305439499/", "View Product")</f>
        <v/>
      </c>
    </row>
    <row r="4402">
      <c r="A4402" t="inlineStr">
        <is>
          <t>3616305439512</t>
        </is>
      </c>
      <c r="B4402" t="inlineStr">
        <is>
          <t>Hugo Boss Alive Eau De Parfum Spray 50ml And Body Lotion 75ml Set</t>
        </is>
      </c>
      <c r="C4402" t="inlineStr">
        <is>
          <t>Fragrance Sets</t>
        </is>
      </c>
      <c r="D4402" t="inlineStr">
        <is>
          <t>Hugo Boss</t>
        </is>
      </c>
      <c r="E4402" t="n">
        <v>54.31</v>
      </c>
      <c r="F4402" t="n">
        <v>1</v>
      </c>
      <c r="G4402" t="n">
        <v>126</v>
      </c>
      <c r="H4402" s="5">
        <f>HYPERLINK("https://api.qogita.com/variants/link/3616305439512/", "View Product")</f>
        <v/>
      </c>
    </row>
    <row r="4403">
      <c r="A4403" t="inlineStr">
        <is>
          <t>3616305439550</t>
        </is>
      </c>
      <c r="B4403" t="inlineStr">
        <is>
          <t>Hugo Boss The Scent Gift Set - Eau De Toilette 100 Ml, Miniature Eau De Toilette 10 Ml, And Shower Gel 100 Ml</t>
        </is>
      </c>
      <c r="C4403" t="inlineStr">
        <is>
          <t>Fragrance Sets</t>
        </is>
      </c>
      <c r="D4403" t="inlineStr">
        <is>
          <t>Hugo Boss</t>
        </is>
      </c>
      <c r="E4403" t="n">
        <v>48.07</v>
      </c>
      <c r="F4403" t="n">
        <v>1</v>
      </c>
      <c r="G4403" t="n">
        <v>59</v>
      </c>
      <c r="H4403" s="5">
        <f>HYPERLINK("https://api.qogita.com/variants/link/3616305439550/", "View Product")</f>
        <v/>
      </c>
    </row>
    <row r="4404">
      <c r="A4404" t="inlineStr">
        <is>
          <t>3616305439567</t>
        </is>
      </c>
      <c r="B4404" t="inlineStr">
        <is>
          <t>BOSS Women's BOSS The Scent For Her Festive Gift Set 30ml Eau de Parfum 50ml Body Lotion</t>
        </is>
      </c>
      <c r="C4404" t="inlineStr">
        <is>
          <t>Fragrance Sets</t>
        </is>
      </c>
      <c r="D4404" t="inlineStr">
        <is>
          <t>Hugo Boss</t>
        </is>
      </c>
      <c r="E4404" t="n">
        <v>42.92</v>
      </c>
      <c r="F4404" t="n">
        <v>1</v>
      </c>
      <c r="G4404" t="n">
        <v>37</v>
      </c>
      <c r="H4404" s="5">
        <f>HYPERLINK("https://api.qogita.com/variants/link/3616305439567/", "View Product")</f>
        <v/>
      </c>
    </row>
    <row r="4405">
      <c r="A4405" t="inlineStr">
        <is>
          <t>3616305443571</t>
        </is>
      </c>
      <c r="B4405" t="inlineStr">
        <is>
          <t>Hugo Boss Boss Bottled 50 Ml - Men's Fragrance</t>
        </is>
      </c>
      <c r="C4405" t="inlineStr">
        <is>
          <t>Eau De Toilette</t>
        </is>
      </c>
      <c r="D4405" t="inlineStr">
        <is>
          <t>Hugo Boss</t>
        </is>
      </c>
      <c r="E4405" t="n">
        <v>41.07</v>
      </c>
      <c r="F4405" t="n">
        <v>1</v>
      </c>
      <c r="G4405" t="n">
        <v>25</v>
      </c>
      <c r="H4405" s="5">
        <f>HYPERLINK("https://api.qogita.com/variants/link/3616305443571/", "View Product")</f>
        <v/>
      </c>
    </row>
    <row r="4406">
      <c r="A4406" t="inlineStr">
        <is>
          <t>3616305443588</t>
        </is>
      </c>
      <c r="B4406" t="inlineStr">
        <is>
          <t>Boss Bottled Gift Set - Eau De Parfum Spray 100ml, Eau De Parfum 10ml, Shower Gel 100ml</t>
        </is>
      </c>
      <c r="C4406" t="inlineStr">
        <is>
          <t>Fragrance Sets</t>
        </is>
      </c>
      <c r="D4406" t="inlineStr">
        <is>
          <t>Hugo Boss</t>
        </is>
      </c>
      <c r="E4406" t="n">
        <v>52.26</v>
      </c>
      <c r="F4406" t="n">
        <v>1</v>
      </c>
      <c r="G4406" t="n">
        <v>43</v>
      </c>
      <c r="H4406" s="5">
        <f>HYPERLINK("https://api.qogita.com/variants/link/3616305443588/", "View Product")</f>
        <v/>
      </c>
    </row>
    <row r="4407">
      <c r="A4407" t="inlineStr">
        <is>
          <t>3616305448378</t>
        </is>
      </c>
      <c r="B4407" t="inlineStr">
        <is>
          <t>Bruno Banani Made For Men 3-in-1 Shower Gel with Refreshing Formula</t>
        </is>
      </c>
      <c r="C4407" t="inlineStr">
        <is>
          <t>Shower Gel</t>
        </is>
      </c>
      <c r="D4407" t="inlineStr">
        <is>
          <t>Bruno Banani</t>
        </is>
      </c>
      <c r="E4407" t="n">
        <v>2.67</v>
      </c>
      <c r="F4407" t="n">
        <v>1</v>
      </c>
      <c r="G4407" t="n">
        <v>69</v>
      </c>
      <c r="H4407" s="5">
        <f>HYPERLINK("https://api.qogita.com/variants/link/3616305448378/", "View Product")</f>
        <v/>
      </c>
    </row>
    <row r="4408">
      <c r="A4408" t="inlineStr">
        <is>
          <t>3616305500243</t>
        </is>
      </c>
      <c r="B4408" t="inlineStr">
        <is>
          <t>Rimmel London Thrill Seeker Lip Latex Lip Gloss 450majesty 6ml</t>
        </is>
      </c>
      <c r="C4408" t="inlineStr">
        <is>
          <t>Lip Gloss</t>
        </is>
      </c>
      <c r="D4408" t="inlineStr">
        <is>
          <t>Rimmel London</t>
        </is>
      </c>
      <c r="E4408" t="n">
        <v>8.699999999999999</v>
      </c>
      <c r="F4408" t="n">
        <v>1</v>
      </c>
      <c r="G4408" t="n">
        <v>3</v>
      </c>
      <c r="H4408" s="5">
        <f>HYPERLINK("https://api.qogita.com/variants/link/3616305500243/", "View Product")</f>
        <v/>
      </c>
    </row>
    <row r="4409">
      <c r="A4409" t="inlineStr">
        <is>
          <t>3616305616210</t>
        </is>
      </c>
      <c r="B4409" t="inlineStr">
        <is>
          <t>Hugo Boss Boss Boss Alive Absolu Parfum Intense 50 Ml</t>
        </is>
      </c>
      <c r="C4409" t="inlineStr">
        <is>
          <t>Eau De Parfum</t>
        </is>
      </c>
      <c r="D4409" t="inlineStr">
        <is>
          <t>Hugo Boss</t>
        </is>
      </c>
      <c r="E4409" t="n">
        <v>67.38</v>
      </c>
      <c r="F4409" t="n">
        <v>1</v>
      </c>
      <c r="G4409" t="n">
        <v>75</v>
      </c>
      <c r="H4409" s="5">
        <f>HYPERLINK("https://api.qogita.com/variants/link/3616305616210/", "View Product")</f>
        <v/>
      </c>
    </row>
    <row r="4410">
      <c r="A4410" t="inlineStr">
        <is>
          <t>3616305630087</t>
        </is>
      </c>
      <c r="B4410" t="inlineStr">
        <is>
          <t>Lancaster Sun Care Set Soothing Emulsion 50ml Oil Free Soothing Lotion 50ml Spf50</t>
        </is>
      </c>
      <c r="C4410" t="inlineStr">
        <is>
          <t>Sun Protection Sets</t>
        </is>
      </c>
      <c r="D4410" t="inlineStr">
        <is>
          <t>Lancaster</t>
        </is>
      </c>
      <c r="E4410" t="n">
        <v>17.38</v>
      </c>
      <c r="F4410" t="n">
        <v>1</v>
      </c>
      <c r="G4410" t="n">
        <v>7</v>
      </c>
      <c r="H4410" s="5">
        <f>HYPERLINK("https://api.qogita.com/variants/link/3616305630087/", "View Product")</f>
        <v/>
      </c>
    </row>
    <row r="4411">
      <c r="A4411" t="inlineStr">
        <is>
          <t>3616305711687</t>
        </is>
      </c>
      <c r="B4411" t="inlineStr">
        <is>
          <t>Max Factor Miracle Pure Foundation With Serum For Face 30-40 Fair To Light 30ml</t>
        </is>
      </c>
      <c r="C4411" t="inlineStr">
        <is>
          <t>Foundation</t>
        </is>
      </c>
      <c r="D4411" t="inlineStr">
        <is>
          <t>Max Factor</t>
        </is>
      </c>
      <c r="E4411" t="n">
        <v>8.039999999999999</v>
      </c>
      <c r="F4411" t="n">
        <v>1</v>
      </c>
      <c r="G4411" t="n">
        <v>3</v>
      </c>
      <c r="H4411" s="5">
        <f>HYPERLINK("https://api.qogita.com/variants/link/3616305711687/", "View Product")</f>
        <v/>
      </c>
    </row>
    <row r="4412">
      <c r="A4412" t="inlineStr">
        <is>
          <t>3616305711724</t>
        </is>
      </c>
      <c r="B4412" t="inlineStr">
        <is>
          <t>Max Factor Miracle Pure Skin Reset 2in1 Serum Foundation Makeup 30 Ml 100110 Very Deep</t>
        </is>
      </c>
      <c r="C4412" t="inlineStr">
        <is>
          <t>Foundation</t>
        </is>
      </c>
      <c r="D4412" t="inlineStr">
        <is>
          <t>Max Factor</t>
        </is>
      </c>
      <c r="E4412" t="n">
        <v>7.1</v>
      </c>
      <c r="F4412" t="n">
        <v>1</v>
      </c>
      <c r="G4412" t="n">
        <v>7</v>
      </c>
      <c r="H4412" s="5">
        <f>HYPERLINK("https://api.qogita.com/variants/link/3616305711724/", "View Product")</f>
        <v/>
      </c>
    </row>
    <row r="4413">
      <c r="A4413" t="inlineStr">
        <is>
          <t>3616305916174</t>
        </is>
      </c>
      <c r="B4413" t="inlineStr">
        <is>
          <t>Lancaster Sun Beauty Sun Body Water Spf50 Solar Protector Spray - Size: 100 Ml</t>
        </is>
      </c>
      <c r="C4413" t="inlineStr">
        <is>
          <t>Body Sun Protection</t>
        </is>
      </c>
      <c r="D4413" t="inlineStr">
        <is>
          <t>Lancaster</t>
        </is>
      </c>
      <c r="E4413" t="n">
        <v>16.9</v>
      </c>
      <c r="F4413" t="n">
        <v>1</v>
      </c>
      <c r="G4413" t="n">
        <v>2</v>
      </c>
      <c r="H4413" s="5">
        <f>HYPERLINK("https://api.qogita.com/variants/link/3616305916174/", "View Product")</f>
        <v/>
      </c>
    </row>
    <row r="4414">
      <c r="A4414" t="inlineStr">
        <is>
          <t>3616306894518</t>
        </is>
      </c>
      <c r="B4414" t="inlineStr">
        <is>
          <t>Rimmel London Super Gel Nail Polish 18orange Sorbet 12ml</t>
        </is>
      </c>
      <c r="C4414" t="inlineStr">
        <is>
          <t>Nail Polish</t>
        </is>
      </c>
      <c r="D4414" t="inlineStr">
        <is>
          <t>Rimmel London</t>
        </is>
      </c>
      <c r="E4414" t="n">
        <v>3.48</v>
      </c>
      <c r="F4414" t="n">
        <v>1</v>
      </c>
      <c r="G4414" t="n">
        <v>32</v>
      </c>
      <c r="H4414" s="5">
        <f>HYPERLINK("https://api.qogita.com/variants/link/3616306894518/", "View Product")</f>
        <v/>
      </c>
    </row>
    <row r="4415">
      <c r="A4415" t="inlineStr">
        <is>
          <t>3616306894563</t>
        </is>
      </c>
      <c r="B4415" t="inlineStr">
        <is>
          <t>Rimmel London Super Gel Nail Polish 10coco Suga 12ml</t>
        </is>
      </c>
      <c r="C4415" t="inlineStr">
        <is>
          <t>Nail Polish</t>
        </is>
      </c>
      <c r="D4415" t="inlineStr">
        <is>
          <t>Rimmel London</t>
        </is>
      </c>
      <c r="E4415" t="n">
        <v>1.88</v>
      </c>
      <c r="F4415" t="n">
        <v>1</v>
      </c>
      <c r="G4415" t="n">
        <v>19</v>
      </c>
      <c r="H4415" s="5">
        <f>HYPERLINK("https://api.qogita.com/variants/link/3616306894563/", "View Product")</f>
        <v/>
      </c>
    </row>
    <row r="4416">
      <c r="A4416" t="inlineStr">
        <is>
          <t>3660732009541</t>
        </is>
      </c>
      <c r="B4416" t="inlineStr">
        <is>
          <t>Lancme La Vie Est Belle Eau De Parfum 50 Ml Gift Set With Body Lotion 50 Ml</t>
        </is>
      </c>
      <c r="C4416" t="inlineStr">
        <is>
          <t>Fragrance Sets</t>
        </is>
      </c>
      <c r="D4416" t="inlineStr">
        <is>
          <t>Lancôme</t>
        </is>
      </c>
      <c r="E4416" t="n">
        <v>56.24</v>
      </c>
      <c r="F4416" t="n">
        <v>1</v>
      </c>
      <c r="G4416" t="n">
        <v>65</v>
      </c>
      <c r="H4416" s="5">
        <f>HYPERLINK("https://api.qogita.com/variants/link/3660732009541/", "View Product")</f>
        <v/>
      </c>
    </row>
    <row r="4417">
      <c r="A4417" t="inlineStr">
        <is>
          <t>3660732086658</t>
        </is>
      </c>
      <c r="B4417" t="inlineStr">
        <is>
          <t>Yves Saint Laurent Mon Paris Eau De Parfum 50ml Body Lotion 50ml Set</t>
        </is>
      </c>
      <c r="C4417" t="inlineStr">
        <is>
          <t>Fragrance Sets</t>
        </is>
      </c>
      <c r="D4417" t="inlineStr">
        <is>
          <t>Yves Saint Laurent</t>
        </is>
      </c>
      <c r="E4417" t="n">
        <v>59.55</v>
      </c>
      <c r="F4417" t="n">
        <v>1</v>
      </c>
      <c r="G4417" t="n">
        <v>107</v>
      </c>
      <c r="H4417" s="5">
        <f>HYPERLINK("https://api.qogita.com/variants/link/3660732086658/", "View Product")</f>
        <v/>
      </c>
    </row>
    <row r="4418">
      <c r="A4418" t="inlineStr">
        <is>
          <t>3660732582105</t>
        </is>
      </c>
      <c r="B4418" t="inlineStr">
        <is>
          <t>Lancome Idole Eau De Parfum 25ml Gift Set</t>
        </is>
      </c>
      <c r="C4418" t="inlineStr">
        <is>
          <t>Fragrance Sets</t>
        </is>
      </c>
      <c r="D4418" t="inlineStr">
        <is>
          <t>Lancôme</t>
        </is>
      </c>
      <c r="E4418" t="n">
        <v>64.11</v>
      </c>
      <c r="F4418" t="n">
        <v>1</v>
      </c>
      <c r="G4418" t="n">
        <v>2</v>
      </c>
      <c r="H4418" s="5">
        <f>HYPERLINK("https://api.qogita.com/variants/link/3660732582105/", "View Product")</f>
        <v/>
      </c>
    </row>
    <row r="4419">
      <c r="A4419" t="inlineStr">
        <is>
          <t>3660732649709</t>
        </is>
      </c>
      <c r="B4419" t="inlineStr">
        <is>
          <t>Giorgio Armani Acqua Di Gio Eau De Toilette Set - 100ml + Deodorant Stick 75ml</t>
        </is>
      </c>
      <c r="C4419" t="inlineStr">
        <is>
          <t>Fragrance Sets</t>
        </is>
      </c>
      <c r="D4419" t="inlineStr">
        <is>
          <t>Giorgio Armani</t>
        </is>
      </c>
      <c r="E4419" t="n">
        <v>79.92</v>
      </c>
      <c r="F4419" t="n">
        <v>1</v>
      </c>
      <c r="G4419" t="n">
        <v>27</v>
      </c>
      <c r="H4419" s="5">
        <f>HYPERLINK("https://api.qogita.com/variants/link/3660732649709/", "View Product")</f>
        <v/>
      </c>
    </row>
    <row r="4420">
      <c r="A4420" t="inlineStr">
        <is>
          <t>3661434000539</t>
        </is>
      </c>
      <c r="B4420" t="inlineStr">
        <is>
          <t>Uriage Thermal Spring Water Spray - 50ml</t>
        </is>
      </c>
      <c r="C4420" t="inlineStr">
        <is>
          <t>Facial Spray</t>
        </is>
      </c>
      <c r="D4420" t="inlineStr">
        <is>
          <t>Uriage</t>
        </is>
      </c>
      <c r="E4420" t="n">
        <v>3.36</v>
      </c>
      <c r="F4420" t="n">
        <v>1</v>
      </c>
      <c r="G4420" t="n">
        <v>18</v>
      </c>
      <c r="H4420" s="5">
        <f>HYPERLINK("https://api.qogita.com/variants/link/3661434000539/", "View Product")</f>
        <v/>
      </c>
    </row>
    <row r="4421">
      <c r="A4421" t="inlineStr">
        <is>
          <t>3661434002069</t>
        </is>
      </c>
      <c r="B4421" t="inlineStr">
        <is>
          <t>Uriage Ds Hair Regulating Soothing Spray Anti-Dandruff Spray For Scalp 100ml</t>
        </is>
      </c>
      <c r="C4421" t="inlineStr">
        <is>
          <t>Scalp Care</t>
        </is>
      </c>
      <c r="D4421" t="inlineStr">
        <is>
          <t>Uriage</t>
        </is>
      </c>
      <c r="E4421" t="n">
        <v>11.96</v>
      </c>
      <c r="F4421" t="n">
        <v>1</v>
      </c>
      <c r="G4421" t="n">
        <v>10</v>
      </c>
      <c r="H4421" s="5">
        <f>HYPERLINK("https://api.qogita.com/variants/link/3661434002069/", "View Product")</f>
        <v/>
      </c>
    </row>
    <row r="4422">
      <c r="A4422" t="inlineStr">
        <is>
          <t>3661434004421</t>
        </is>
      </c>
      <c r="B4422" t="inlineStr">
        <is>
          <t>Uriage Eau Thermale Moisturizing Lipstick - 4g</t>
        </is>
      </c>
      <c r="C4422" t="inlineStr">
        <is>
          <t>Lipstick</t>
        </is>
      </c>
      <c r="D4422" t="inlineStr">
        <is>
          <t>Uriage</t>
        </is>
      </c>
      <c r="E4422" t="n">
        <v>3.88</v>
      </c>
      <c r="F4422" t="n">
        <v>1</v>
      </c>
      <c r="G4422" t="n">
        <v>18</v>
      </c>
      <c r="H4422" s="5">
        <f>HYPERLINK("https://api.qogita.com/variants/link/3661434004421/", "View Product")</f>
        <v/>
      </c>
    </row>
    <row r="4423">
      <c r="A4423" t="inlineStr">
        <is>
          <t>3661434005008</t>
        </is>
      </c>
      <c r="B4423" t="inlineStr">
        <is>
          <t>Uriage Light Water Cream 40 Ml Hydrating Moisturizer For Normal Combination Skin</t>
        </is>
      </c>
      <c r="C4423" t="inlineStr">
        <is>
          <t>Face Cream</t>
        </is>
      </c>
      <c r="D4423" t="inlineStr">
        <is>
          <t>Uriage</t>
        </is>
      </c>
      <c r="E4423" t="n">
        <v>8.880000000000001</v>
      </c>
      <c r="F4423" t="n">
        <v>1</v>
      </c>
      <c r="G4423" t="n">
        <v>50</v>
      </c>
      <c r="H4423" s="5">
        <f>HYPERLINK("https://api.qogita.com/variants/link/3661434005008/", "View Product")</f>
        <v/>
      </c>
    </row>
    <row r="4424">
      <c r="A4424" t="inlineStr">
        <is>
          <t>3661434005459</t>
        </is>
      </c>
      <c r="B4424" t="inlineStr">
        <is>
          <t>Uriage Bariderm Cica Lips Repairing Balm 15ml Lip Care</t>
        </is>
      </c>
      <c r="C4424" t="inlineStr">
        <is>
          <t>Medicated Treatments</t>
        </is>
      </c>
      <c r="D4424" t="inlineStr">
        <is>
          <t>Uriage</t>
        </is>
      </c>
      <c r="E4424" t="n">
        <v>5.88</v>
      </c>
      <c r="F4424" t="n">
        <v>1</v>
      </c>
      <c r="G4424" t="n">
        <v>7</v>
      </c>
      <c r="H4424" s="5">
        <f>HYPERLINK("https://api.qogita.com/variants/link/3661434005459/", "View Product")</f>
        <v/>
      </c>
    </row>
    <row r="4425">
      <c r="A4425" t="inlineStr">
        <is>
          <t>3661434005510</t>
        </is>
      </c>
      <c r="B4425" t="inlineStr">
        <is>
          <t>Uriage Eau Thermale Water Hand Cream Moisturizing Hand Cream 50ml</t>
        </is>
      </c>
      <c r="C4425" t="inlineStr">
        <is>
          <t>Hand Cream</t>
        </is>
      </c>
      <c r="D4425" t="inlineStr">
        <is>
          <t>Uriage</t>
        </is>
      </c>
      <c r="E4425" t="n">
        <v>4.58</v>
      </c>
      <c r="F4425" t="n">
        <v>1</v>
      </c>
      <c r="G4425" t="n">
        <v>7</v>
      </c>
      <c r="H4425" s="5">
        <f>HYPERLINK("https://api.qogita.com/variants/link/3661434005510/", "View Product")</f>
        <v/>
      </c>
    </row>
    <row r="4426">
      <c r="A4426" t="inlineStr">
        <is>
          <t>3661434005862</t>
        </is>
      </c>
      <c r="B4426" t="inlineStr">
        <is>
          <t>Uriage Extra-Rich Dermatological Gel Soothing Moisturizing Solution 500ml</t>
        </is>
      </c>
      <c r="C4426" t="inlineStr">
        <is>
          <t>Neurodermatitis</t>
        </is>
      </c>
      <c r="D4426" t="inlineStr">
        <is>
          <t>Uriage</t>
        </is>
      </c>
      <c r="E4426" t="n">
        <v>9.210000000000001</v>
      </c>
      <c r="F4426" t="n">
        <v>1</v>
      </c>
      <c r="G4426" t="n">
        <v>10</v>
      </c>
      <c r="H4426" s="5">
        <f>HYPERLINK("https://api.qogita.com/variants/link/3661434005862/", "View Product")</f>
        <v/>
      </c>
    </row>
    <row r="4427">
      <c r="A4427" t="inlineStr">
        <is>
          <t>3661434005916</t>
        </is>
      </c>
      <c r="B4427" t="inlineStr">
        <is>
          <t>Uriage Xemose Gentle Cleansing Syndet Cream-Gel For Very Dry Skin With A Tendency To Atopy 500ml</t>
        </is>
      </c>
      <c r="C4427" t="inlineStr">
        <is>
          <t>Cleansing Cream</t>
        </is>
      </c>
      <c r="D4427" t="inlineStr">
        <is>
          <t>Uriage</t>
        </is>
      </c>
      <c r="E4427" t="n">
        <v>10.47</v>
      </c>
      <c r="F4427" t="n">
        <v>1</v>
      </c>
      <c r="G4427" t="n">
        <v>11</v>
      </c>
      <c r="H4427" s="5">
        <f>HYPERLINK("https://api.qogita.com/variants/link/3661434005916/", "View Product")</f>
        <v/>
      </c>
    </row>
    <row r="4428">
      <c r="A4428" t="inlineStr">
        <is>
          <t>3661434006494</t>
        </is>
      </c>
      <c r="B4428" t="inlineStr">
        <is>
          <t>Uriage Gentle Jelly Face Scrub Exfoliating Cream For Face 50ml</t>
        </is>
      </c>
      <c r="C4428" t="inlineStr">
        <is>
          <t>Facial Scrub &amp; Peeling</t>
        </is>
      </c>
      <c r="D4428" t="inlineStr">
        <is>
          <t>Uriage</t>
        </is>
      </c>
      <c r="E4428" t="n">
        <v>8.609999999999999</v>
      </c>
      <c r="F4428" t="n">
        <v>1</v>
      </c>
      <c r="G4428" t="n">
        <v>11</v>
      </c>
      <c r="H4428" s="5">
        <f>HYPERLINK("https://api.qogita.com/variants/link/3661434006494/", "View Product")</f>
        <v/>
      </c>
    </row>
    <row r="4429">
      <c r="A4429" t="inlineStr">
        <is>
          <t>3661434007408</t>
        </is>
      </c>
      <c r="B4429" t="inlineStr">
        <is>
          <t>Uriage Ds Hair Soft Balancing Shampoo - 200 Ml</t>
        </is>
      </c>
      <c r="C4429" t="inlineStr">
        <is>
          <t>Shampoo</t>
        </is>
      </c>
      <c r="D4429" t="inlineStr">
        <is>
          <t>Uriage</t>
        </is>
      </c>
      <c r="E4429" t="n">
        <v>6.52</v>
      </c>
      <c r="F4429" t="n">
        <v>1</v>
      </c>
      <c r="G4429" t="n">
        <v>65</v>
      </c>
      <c r="H4429" s="5">
        <f>HYPERLINK("https://api.qogita.com/variants/link/3661434007408/", "View Product")</f>
        <v/>
      </c>
    </row>
    <row r="4430">
      <c r="A4430" t="inlineStr">
        <is>
          <t>3661434007910</t>
        </is>
      </c>
      <c r="B4430" t="inlineStr">
        <is>
          <t>Uriage Xemose Sos Anti-Itch Mist Body Spray 200ml</t>
        </is>
      </c>
      <c r="C4430" t="inlineStr">
        <is>
          <t>Body Mist</t>
        </is>
      </c>
      <c r="D4430" t="inlineStr">
        <is>
          <t>Uriage</t>
        </is>
      </c>
      <c r="E4430" t="n">
        <v>11.33</v>
      </c>
      <c r="F4430" t="n">
        <v>1</v>
      </c>
      <c r="G4430" t="n">
        <v>8</v>
      </c>
      <c r="H4430" s="5">
        <f>HYPERLINK("https://api.qogita.com/variants/link/3661434007910/", "View Product")</f>
        <v/>
      </c>
    </row>
    <row r="4431">
      <c r="A4431" t="inlineStr">
        <is>
          <t>3661434008283</t>
        </is>
      </c>
      <c r="B4431" t="inlineStr">
        <is>
          <t>Uriage Hyseac Purifying Peel-Off Mask 50ml</t>
        </is>
      </c>
      <c r="C4431" t="inlineStr">
        <is>
          <t>Purifying Mask</t>
        </is>
      </c>
      <c r="D4431" t="inlineStr">
        <is>
          <t>Uriage</t>
        </is>
      </c>
      <c r="E4431" t="n">
        <v>8.81</v>
      </c>
      <c r="F4431" t="n">
        <v>1</v>
      </c>
      <c r="G4431" t="n">
        <v>5</v>
      </c>
      <c r="H4431" s="5">
        <f>HYPERLINK("https://api.qogita.com/variants/link/3661434008283/", "View Product")</f>
        <v/>
      </c>
    </row>
    <row r="4432">
      <c r="A4432" t="inlineStr">
        <is>
          <t>3661434008337</t>
        </is>
      </c>
      <c r="B4432" t="inlineStr">
        <is>
          <t>Uriage Bariésun Silk Milk Very High Protection SPF 50+ 100ml</t>
        </is>
      </c>
      <c r="C4432" t="inlineStr">
        <is>
          <t>Body Sun Protection</t>
        </is>
      </c>
      <c r="D4432" t="inlineStr">
        <is>
          <t>Uriage</t>
        </is>
      </c>
      <c r="E4432" t="n">
        <v>10.53</v>
      </c>
      <c r="F4432" t="n">
        <v>1</v>
      </c>
      <c r="G4432" t="n">
        <v>3</v>
      </c>
      <c r="H4432" s="5">
        <f>HYPERLINK("https://api.qogita.com/variants/link/3661434008337/", "View Product")</f>
        <v/>
      </c>
    </row>
    <row r="4433">
      <c r="A4433" t="inlineStr">
        <is>
          <t>3661434008405</t>
        </is>
      </c>
      <c r="B4433" t="inlineStr">
        <is>
          <t>Uriage Barisun Spf50 Invisible Spray Fragrancefree 200ml</t>
        </is>
      </c>
      <c r="C4433" t="inlineStr">
        <is>
          <t>Body Sun Protection</t>
        </is>
      </c>
      <c r="D4433" t="inlineStr">
        <is>
          <t>Uriage</t>
        </is>
      </c>
      <c r="E4433" t="n">
        <v>14.93</v>
      </c>
      <c r="F4433" t="n">
        <v>1</v>
      </c>
      <c r="G4433" t="n">
        <v>5</v>
      </c>
      <c r="H4433" s="5">
        <f>HYPERLINK("https://api.qogita.com/variants/link/3661434008405/", "View Product")</f>
        <v/>
      </c>
    </row>
    <row r="4434">
      <c r="A4434" t="inlineStr">
        <is>
          <t>3661434008610</t>
        </is>
      </c>
      <c r="B4434" t="inlineStr">
        <is>
          <t>Bebe 1st Moisturizing Milk Moisturizing Body Milk For Children 500ml</t>
        </is>
      </c>
      <c r="C4434" t="inlineStr">
        <is>
          <t>Baby Cream &amp; Oil</t>
        </is>
      </c>
      <c r="D4434" t="inlineStr">
        <is>
          <t>Bebe</t>
        </is>
      </c>
      <c r="E4434" t="n">
        <v>13.2</v>
      </c>
      <c r="F4434" t="n">
        <v>1</v>
      </c>
      <c r="G4434" t="n">
        <v>10</v>
      </c>
      <c r="H4434" s="5">
        <f>HYPERLINK("https://api.qogita.com/variants/link/3661434008610/", "View Product")</f>
        <v/>
      </c>
    </row>
    <row r="4435">
      <c r="A4435" t="inlineStr">
        <is>
          <t>3661434008627</t>
        </is>
      </c>
      <c r="B4435" t="inlineStr">
        <is>
          <t>Uriage Bebe 1st Shampoo Extra Gentle Soap Free Chamomile 200ml</t>
        </is>
      </c>
      <c r="C4435" t="inlineStr">
        <is>
          <t>Baby Shampoo</t>
        </is>
      </c>
      <c r="D4435" t="inlineStr">
        <is>
          <t>Uriage</t>
        </is>
      </c>
      <c r="E4435" t="n">
        <v>6.58</v>
      </c>
      <c r="F4435" t="n">
        <v>1</v>
      </c>
      <c r="G4435" t="n">
        <v>5</v>
      </c>
      <c r="H4435" s="5">
        <f>HYPERLINK("https://api.qogita.com/variants/link/3661434008627/", "View Product")</f>
        <v/>
      </c>
    </row>
    <row r="4436">
      <c r="A4436" t="inlineStr">
        <is>
          <t>3661434008917</t>
        </is>
      </c>
      <c r="B4436" t="inlineStr">
        <is>
          <t>Uriage Barisun Antibrown Spot Fluid Spf 50 40ml</t>
        </is>
      </c>
      <c r="C4436" t="inlineStr">
        <is>
          <t>Face Sun Protection</t>
        </is>
      </c>
      <c r="D4436" t="inlineStr">
        <is>
          <t>Uriage</t>
        </is>
      </c>
      <c r="E4436" t="n">
        <v>9.970000000000001</v>
      </c>
      <c r="F4436" t="n">
        <v>1</v>
      </c>
      <c r="G4436" t="n">
        <v>21</v>
      </c>
      <c r="H4436" s="5">
        <f>HYPERLINK("https://api.qogita.com/variants/link/3661434008917/", "View Product")</f>
        <v/>
      </c>
    </row>
    <row r="4437">
      <c r="A4437" t="inlineStr">
        <is>
          <t>3661434009242</t>
        </is>
      </c>
      <c r="B4437" t="inlineStr">
        <is>
          <t>Uriage Age Lift Firming Smoothing Day Cream 40ml</t>
        </is>
      </c>
      <c r="C4437" t="inlineStr">
        <is>
          <t>Day Cream</t>
        </is>
      </c>
      <c r="D4437" t="inlineStr">
        <is>
          <t>Uriage</t>
        </is>
      </c>
      <c r="E4437" t="n">
        <v>20.03</v>
      </c>
      <c r="F4437" t="n">
        <v>1</v>
      </c>
      <c r="G4437" t="n">
        <v>10</v>
      </c>
      <c r="H4437" s="5">
        <f>HYPERLINK("https://api.qogita.com/variants/link/3661434009242/", "View Product")</f>
        <v/>
      </c>
    </row>
    <row r="4438">
      <c r="A4438" t="inlineStr">
        <is>
          <t>3661434009273</t>
        </is>
      </c>
      <c r="B4438" t="inlineStr">
        <is>
          <t>Uriage Age Lift Intensive Firming Smoothing Serum 30 Ml</t>
        </is>
      </c>
      <c r="C4438" t="inlineStr">
        <is>
          <t>Anti-Aging Serum</t>
        </is>
      </c>
      <c r="D4438" t="inlineStr">
        <is>
          <t>Uriage</t>
        </is>
      </c>
      <c r="E4438" t="n">
        <v>21.56</v>
      </c>
      <c r="F4438" t="n">
        <v>1</v>
      </c>
      <c r="G4438" t="n">
        <v>14</v>
      </c>
      <c r="H4438" s="5">
        <f>HYPERLINK("https://api.qogita.com/variants/link/3661434009273/", "View Product")</f>
        <v/>
      </c>
    </row>
    <row r="4439">
      <c r="A4439" t="inlineStr">
        <is>
          <t>3661434009303</t>
        </is>
      </c>
      <c r="B4439" t="inlineStr">
        <is>
          <t>Uriage Ds Antidandruff Shampoo 200ml</t>
        </is>
      </c>
      <c r="C4439" t="inlineStr">
        <is>
          <t>Shampoo</t>
        </is>
      </c>
      <c r="D4439" t="inlineStr">
        <is>
          <t>Uriage</t>
        </is>
      </c>
      <c r="E4439" t="n">
        <v>8.859999999999999</v>
      </c>
      <c r="F4439" t="n">
        <v>1</v>
      </c>
      <c r="G4439" t="n">
        <v>15</v>
      </c>
      <c r="H4439" s="5">
        <f>HYPERLINK("https://api.qogita.com/variants/link/3661434009303/", "View Product")</f>
        <v/>
      </c>
    </row>
    <row r="4440">
      <c r="A4440" t="inlineStr">
        <is>
          <t>3661434009341</t>
        </is>
      </c>
      <c r="B4440" t="inlineStr">
        <is>
          <t>Uriage Eau Thermale Micellar Water - 100ml</t>
        </is>
      </c>
      <c r="C4440" t="inlineStr">
        <is>
          <t>Micellar Water</t>
        </is>
      </c>
      <c r="D4440" t="inlineStr">
        <is>
          <t>Uriage</t>
        </is>
      </c>
      <c r="E4440" t="n">
        <v>5.6</v>
      </c>
      <c r="F4440" t="n">
        <v>1</v>
      </c>
      <c r="G4440" t="n">
        <v>2</v>
      </c>
      <c r="H4440" s="5">
        <f>HYPERLINK("https://api.qogita.com/variants/link/3661434009341/", "View Product")</f>
        <v/>
      </c>
    </row>
    <row r="4441">
      <c r="A4441" t="inlineStr">
        <is>
          <t>3661434009402</t>
        </is>
      </c>
      <c r="B4441" t="inlineStr">
        <is>
          <t>Uriage Make Up Remover Cleansing Milk For Dry And Normal Skin 250ml</t>
        </is>
      </c>
      <c r="C4441" t="inlineStr">
        <is>
          <t>Cleansing Milk</t>
        </is>
      </c>
      <c r="D4441" t="inlineStr">
        <is>
          <t>Uriage</t>
        </is>
      </c>
      <c r="E4441" t="n">
        <v>9.34</v>
      </c>
      <c r="F4441" t="n">
        <v>1</v>
      </c>
      <c r="G4441" t="n">
        <v>11</v>
      </c>
      <c r="H4441" s="5">
        <f>HYPERLINK("https://api.qogita.com/variants/link/3661434009402/", "View Product")</f>
        <v/>
      </c>
    </row>
    <row r="4442">
      <c r="A4442" t="inlineStr">
        <is>
          <t>3661434009433</t>
        </is>
      </c>
      <c r="B4442" t="inlineStr">
        <is>
          <t>Uriage Cleansing Face Oil 100ml</t>
        </is>
      </c>
      <c r="C4442" t="inlineStr">
        <is>
          <t>Cleansing Oil</t>
        </is>
      </c>
      <c r="D4442" t="inlineStr">
        <is>
          <t>Uriage</t>
        </is>
      </c>
      <c r="E4442" t="n">
        <v>9.34</v>
      </c>
      <c r="F4442" t="n">
        <v>1</v>
      </c>
      <c r="G4442" t="n">
        <v>10</v>
      </c>
      <c r="H4442" s="5">
        <f>HYPERLINK("https://api.qogita.com/variants/link/3661434009433/", "View Product")</f>
        <v/>
      </c>
    </row>
    <row r="4443">
      <c r="A4443" t="inlineStr">
        <is>
          <t>3661434009495</t>
        </is>
      </c>
      <c r="B4443" t="inlineStr">
        <is>
          <t>Uriage Barisun Ultra Light Fluid Spf50 30ml High Protection Sunscreen</t>
        </is>
      </c>
      <c r="C4443" t="inlineStr">
        <is>
          <t>Face Sun Protection</t>
        </is>
      </c>
      <c r="D4443" t="inlineStr">
        <is>
          <t>Uriage</t>
        </is>
      </c>
      <c r="E4443" t="n">
        <v>7.8</v>
      </c>
      <c r="F4443" t="n">
        <v>1</v>
      </c>
      <c r="G4443" t="n">
        <v>11</v>
      </c>
      <c r="H4443" s="5">
        <f>HYPERLINK("https://api.qogita.com/variants/link/3661434009495/", "View Product")</f>
        <v/>
      </c>
    </row>
    <row r="4444">
      <c r="A4444" t="inlineStr">
        <is>
          <t>3661434009693</t>
        </is>
      </c>
      <c r="B4444" t="inlineStr">
        <is>
          <t>Uriage Pruriced Sos After-Sting Soothing Care - 15ml</t>
        </is>
      </c>
      <c r="C4444" t="inlineStr">
        <is>
          <t>Face Cream</t>
        </is>
      </c>
      <c r="D4444" t="inlineStr">
        <is>
          <t>Uriage</t>
        </is>
      </c>
      <c r="E4444" t="n">
        <v>5.99</v>
      </c>
      <c r="F4444" t="n">
        <v>1</v>
      </c>
      <c r="G4444" t="n">
        <v>4</v>
      </c>
      <c r="H4444" s="5">
        <f>HYPERLINK("https://api.qogita.com/variants/link/3661434009693/", "View Product")</f>
        <v/>
      </c>
    </row>
    <row r="4445">
      <c r="A4445" t="inlineStr">
        <is>
          <t>3661434009761</t>
        </is>
      </c>
      <c r="B4445" t="inlineStr">
        <is>
          <t>Uriage Depiderm Anti-Dark Spot Intensive Care - 30ml</t>
        </is>
      </c>
      <c r="C4445" t="inlineStr">
        <is>
          <t>Anti-Pigmentation Spot Cream</t>
        </is>
      </c>
      <c r="D4445" t="inlineStr">
        <is>
          <t>Uriage</t>
        </is>
      </c>
      <c r="E4445" t="n">
        <v>15.22</v>
      </c>
      <c r="F4445" t="n">
        <v>1</v>
      </c>
      <c r="G4445" t="n">
        <v>5</v>
      </c>
      <c r="H4445" s="5">
        <f>HYPERLINK("https://api.qogita.com/variants/link/3661434009761/", "View Product")</f>
        <v/>
      </c>
    </row>
    <row r="4446">
      <c r="A4446" t="inlineStr">
        <is>
          <t>3661434009785</t>
        </is>
      </c>
      <c r="B4446" t="inlineStr">
        <is>
          <t>Uriage Depiderm Brightening Cleansing Foam 100ml</t>
        </is>
      </c>
      <c r="C4446" t="inlineStr">
        <is>
          <t>Cleansing Foam</t>
        </is>
      </c>
      <c r="D4446" t="inlineStr">
        <is>
          <t>Uriage</t>
        </is>
      </c>
      <c r="E4446" t="n">
        <v>9.9</v>
      </c>
      <c r="F4446" t="n">
        <v>1</v>
      </c>
      <c r="G4446" t="n">
        <v>17</v>
      </c>
      <c r="H4446" s="5">
        <f>HYPERLINK("https://api.qogita.com/variants/link/3661434009785/", "View Product")</f>
        <v/>
      </c>
    </row>
    <row r="4447">
      <c r="A4447" t="inlineStr">
        <is>
          <t>3661434009990</t>
        </is>
      </c>
      <c r="B4447" t="inlineStr">
        <is>
          <t>Uriage Hyseac Anti-Blemish Cleansing Gel - Effective Cleansing Gel For Skin Imperfections</t>
        </is>
      </c>
      <c r="C4447" t="inlineStr">
        <is>
          <t>Cleansing Gel</t>
        </is>
      </c>
      <c r="D4447" t="inlineStr">
        <is>
          <t>Uriage</t>
        </is>
      </c>
      <c r="E4447" t="n">
        <v>11.54</v>
      </c>
      <c r="F4447" t="n">
        <v>1</v>
      </c>
      <c r="G4447" t="n">
        <v>23</v>
      </c>
      <c r="H4447" s="5">
        <f>HYPERLINK("https://api.qogita.com/variants/link/3661434009990/", "View Product")</f>
        <v/>
      </c>
    </row>
    <row r="4448">
      <c r="A4448" t="inlineStr">
        <is>
          <t>3661434010019</t>
        </is>
      </c>
      <c r="B4448" t="inlineStr">
        <is>
          <t>Uriage Hyseac Exfoliating Mask 100ml</t>
        </is>
      </c>
      <c r="C4448" t="inlineStr">
        <is>
          <t>Purifying Mask</t>
        </is>
      </c>
      <c r="D4448" t="inlineStr">
        <is>
          <t>Uriage</t>
        </is>
      </c>
      <c r="E4448" t="n">
        <v>7.6</v>
      </c>
      <c r="F4448" t="n">
        <v>1</v>
      </c>
      <c r="G4448" t="n">
        <v>7</v>
      </c>
      <c r="H4448" s="5">
        <f>HYPERLINK("https://api.qogita.com/variants/link/3661434010019/", "View Product")</f>
        <v/>
      </c>
    </row>
    <row r="4449">
      <c r="A4449" t="inlineStr">
        <is>
          <t>3661434010040</t>
        </is>
      </c>
      <c r="B4449" t="inlineStr">
        <is>
          <t>Uriage Hysac Hydra Restructuring 40ml Skin Care</t>
        </is>
      </c>
      <c r="C4449" t="inlineStr">
        <is>
          <t>Face Cream</t>
        </is>
      </c>
      <c r="D4449" t="inlineStr">
        <is>
          <t>Uriage</t>
        </is>
      </c>
      <c r="E4449" t="n">
        <v>8.08</v>
      </c>
      <c r="F4449" t="n">
        <v>1</v>
      </c>
      <c r="G4449" t="n">
        <v>42</v>
      </c>
      <c r="H4449" s="5">
        <f>HYPERLINK("https://api.qogita.com/variants/link/3661434010040/", "View Product")</f>
        <v/>
      </c>
    </row>
    <row r="4450">
      <c r="A4450" t="inlineStr">
        <is>
          <t>3661434011917</t>
        </is>
      </c>
      <c r="B4450" t="inlineStr">
        <is>
          <t>Uriage Cica Daily Repairing Cream Concentrate 50ml</t>
        </is>
      </c>
      <c r="C4450" t="inlineStr">
        <is>
          <t>Face Cream</t>
        </is>
      </c>
      <c r="D4450" t="inlineStr">
        <is>
          <t>Uriage</t>
        </is>
      </c>
      <c r="E4450" t="n">
        <v>16.08</v>
      </c>
      <c r="F4450" t="n">
        <v>1</v>
      </c>
      <c r="G4450" t="n">
        <v>14</v>
      </c>
      <c r="H4450" s="5">
        <f>HYPERLINK("https://api.qogita.com/variants/link/3661434011917/", "View Product")</f>
        <v/>
      </c>
    </row>
    <row r="4451">
      <c r="A4451" t="inlineStr">
        <is>
          <t>3661434023446</t>
        </is>
      </c>
      <c r="B4451" t="inlineStr">
        <is>
          <t>Uriage Roseliane Cream Spf 30</t>
        </is>
      </c>
      <c r="C4451" t="inlineStr">
        <is>
          <t>Face Sun Protection</t>
        </is>
      </c>
      <c r="D4451" t="inlineStr">
        <is>
          <t>Uriage</t>
        </is>
      </c>
      <c r="E4451" t="n">
        <v>12.24</v>
      </c>
      <c r="F4451" t="n">
        <v>1</v>
      </c>
      <c r="G4451" t="n">
        <v>5</v>
      </c>
      <c r="H4451" s="5">
        <f>HYPERLINK("https://api.qogita.com/variants/link/3661434023446/", "View Product")</f>
        <v/>
      </c>
    </row>
    <row r="4452">
      <c r="A4452" t="inlineStr">
        <is>
          <t>3661434023491</t>
        </is>
      </c>
      <c r="B4452" t="inlineStr">
        <is>
          <t>Uriage Rosliane Cleansing Fluid 250ml</t>
        </is>
      </c>
      <c r="C4452" t="inlineStr">
        <is>
          <t>Makeup Remover</t>
        </is>
      </c>
      <c r="D4452" t="inlineStr">
        <is>
          <t>Uriage</t>
        </is>
      </c>
      <c r="E4452" t="n">
        <v>9.619999999999999</v>
      </c>
      <c r="F4452" t="n">
        <v>1</v>
      </c>
      <c r="G4452" t="n">
        <v>12</v>
      </c>
      <c r="H4452" s="5">
        <f>HYPERLINK("https://api.qogita.com/variants/link/3661434023491/", "View Product")</f>
        <v/>
      </c>
    </row>
    <row r="4453">
      <c r="A4453" t="inlineStr">
        <is>
          <t>3662361000104</t>
        </is>
      </c>
      <c r="B4453" t="inlineStr">
        <is>
          <t>Svr Spirial Spray Vegetal Deodorant Regulating Sweat 75ml</t>
        </is>
      </c>
      <c r="C4453" t="inlineStr">
        <is>
          <t>Deodorant &amp; Anti-Perspirant</t>
        </is>
      </c>
      <c r="D4453" t="inlineStr">
        <is>
          <t>Svr</t>
        </is>
      </c>
      <c r="E4453" t="n">
        <v>8.699999999999999</v>
      </c>
      <c r="F4453" t="n">
        <v>1</v>
      </c>
      <c r="G4453" t="n">
        <v>2</v>
      </c>
      <c r="H4453" s="5">
        <f>HYPERLINK("https://api.qogita.com/variants/link/3662361000104/", "View Product")</f>
        <v/>
      </c>
    </row>
    <row r="4454">
      <c r="A4454" t="inlineStr">
        <is>
          <t>3662361001910</t>
        </is>
      </c>
      <c r="B4454" t="inlineStr">
        <is>
          <t>Svr Topialyse Baume Protect+ Protective Balm For Dry And Atopic Skin 200ml</t>
        </is>
      </c>
      <c r="C4454" t="inlineStr">
        <is>
          <t>Body Lotion</t>
        </is>
      </c>
      <c r="D4454" t="inlineStr">
        <is>
          <t>Svr</t>
        </is>
      </c>
      <c r="E4454" t="n">
        <v>13.1</v>
      </c>
      <c r="F4454" t="n">
        <v>1</v>
      </c>
      <c r="G4454" t="n">
        <v>3</v>
      </c>
      <c r="H4454" s="5">
        <f>HYPERLINK("https://api.qogita.com/variants/link/3662361001910/", "View Product")</f>
        <v/>
      </c>
    </row>
    <row r="4455">
      <c r="A4455" t="inlineStr">
        <is>
          <t>3662361002436</t>
        </is>
      </c>
      <c r="B4455" t="inlineStr">
        <is>
          <t>Svr Topialyse Nourishing Cream For Dry And Sensitive Skin 200ml</t>
        </is>
      </c>
      <c r="C4455" t="inlineStr">
        <is>
          <t>Face Cream</t>
        </is>
      </c>
      <c r="D4455" t="inlineStr">
        <is>
          <t>Svr</t>
        </is>
      </c>
      <c r="E4455" t="n">
        <v>7.8</v>
      </c>
      <c r="F4455" t="n">
        <v>1</v>
      </c>
      <c r="G4455" t="n">
        <v>3</v>
      </c>
      <c r="H4455" s="5">
        <f>HYPERLINK("https://api.qogita.com/variants/link/3662361002436/", "View Product")</f>
        <v/>
      </c>
    </row>
    <row r="4456">
      <c r="A4456" t="inlineStr">
        <is>
          <t>3662361003303</t>
        </is>
      </c>
      <c r="B4456" t="inlineStr">
        <is>
          <t>Svr Topialyse Cleansing Concentrate For Face &amp; Body</t>
        </is>
      </c>
      <c r="C4456" t="inlineStr">
        <is>
          <t>Shower Gel</t>
        </is>
      </c>
      <c r="D4456" t="inlineStr">
        <is>
          <t>Svr</t>
        </is>
      </c>
      <c r="E4456" t="n">
        <v>10.8</v>
      </c>
      <c r="F4456" t="n">
        <v>1</v>
      </c>
      <c r="G4456" t="n">
        <v>2</v>
      </c>
      <c r="H4456" s="5">
        <f>HYPERLINK("https://api.qogita.com/variants/link/3662361003303/", "View Product")</f>
        <v/>
      </c>
    </row>
    <row r="4457">
      <c r="A4457" t="inlineStr">
        <is>
          <t>3662361003372</t>
        </is>
      </c>
      <c r="B4457" t="inlineStr">
        <is>
          <t>Svr Sebiaclear Moisturizing Cleansing Gel For Face 400ml</t>
        </is>
      </c>
      <c r="C4457" t="inlineStr">
        <is>
          <t>Facial Cleansing</t>
        </is>
      </c>
      <c r="D4457" t="inlineStr">
        <is>
          <t>Svr</t>
        </is>
      </c>
      <c r="E4457" t="n">
        <v>12.15</v>
      </c>
      <c r="F4457" t="n">
        <v>1</v>
      </c>
      <c r="G4457" t="n">
        <v>3</v>
      </c>
      <c r="H4457" s="5">
        <f>HYPERLINK("https://api.qogita.com/variants/link/3662361003372/", "View Product")</f>
        <v/>
      </c>
    </row>
    <row r="4458">
      <c r="A4458" t="inlineStr">
        <is>
          <t>3665543032047</t>
        </is>
      </c>
      <c r="B4458" t="inlineStr">
        <is>
          <t>Majouri Charming Tuberose Eau De Parfum 75ml</t>
        </is>
      </c>
      <c r="C4458" t="inlineStr">
        <is>
          <t>Eau De Parfum</t>
        </is>
      </c>
      <c r="D4458" t="inlineStr">
        <is>
          <t>Majouri</t>
        </is>
      </c>
      <c r="E4458" t="n">
        <v>31.93</v>
      </c>
      <c r="F4458" t="n">
        <v>1</v>
      </c>
      <c r="G4458" t="n">
        <v>18</v>
      </c>
      <c r="H4458" s="5">
        <f>HYPERLINK("https://api.qogita.com/variants/link/3665543032047/", "View Product")</f>
        <v/>
      </c>
    </row>
    <row r="4459">
      <c r="A4459" t="inlineStr">
        <is>
          <t>3666057003417</t>
        </is>
      </c>
      <c r="B4459" t="inlineStr">
        <is>
          <t>Clarins Men Super Moisture Balm 50ml</t>
        </is>
      </c>
      <c r="C4459" t="inlineStr">
        <is>
          <t>Face Cream</t>
        </is>
      </c>
      <c r="D4459" t="inlineStr">
        <is>
          <t>Clarins</t>
        </is>
      </c>
      <c r="E4459" t="n">
        <v>23.34</v>
      </c>
      <c r="F4459" t="n">
        <v>1</v>
      </c>
      <c r="G4459" t="n">
        <v>3</v>
      </c>
      <c r="H4459" s="5">
        <f>HYPERLINK("https://api.qogita.com/variants/link/3666057003417/", "View Product")</f>
        <v/>
      </c>
    </row>
    <row r="4460">
      <c r="A4460" t="inlineStr">
        <is>
          <t>3666057012839</t>
        </is>
      </c>
      <c r="B4460" t="inlineStr">
        <is>
          <t>Clarins Total Eye Hydrate Eye Maskbalm 20ml</t>
        </is>
      </c>
      <c r="C4460" t="inlineStr">
        <is>
          <t>Eye Masks &amp; Eye Pads</t>
        </is>
      </c>
      <c r="D4460" t="inlineStr">
        <is>
          <t>Clarins</t>
        </is>
      </c>
      <c r="E4460" t="n">
        <v>23.13</v>
      </c>
      <c r="F4460" t="n">
        <v>1</v>
      </c>
      <c r="G4460" t="n">
        <v>3</v>
      </c>
      <c r="H4460" s="5">
        <f>HYPERLINK("https://api.qogita.com/variants/link/3666057012839/", "View Product")</f>
        <v/>
      </c>
    </row>
    <row r="4461">
      <c r="A4461" t="inlineStr">
        <is>
          <t>3666057013607</t>
        </is>
      </c>
      <c r="B4461" t="inlineStr">
        <is>
          <t>Clarins Instant Light Natural Lip Perfector Lip Gloss 12 Ml 02 Apricot</t>
        </is>
      </c>
      <c r="C4461" t="inlineStr">
        <is>
          <t>Lip Gloss</t>
        </is>
      </c>
      <c r="D4461" t="inlineStr">
        <is>
          <t>Clarins</t>
        </is>
      </c>
      <c r="E4461" t="n">
        <v>14.68</v>
      </c>
      <c r="F4461" t="n">
        <v>1</v>
      </c>
      <c r="G4461" t="n">
        <v>8</v>
      </c>
      <c r="H4461" s="5">
        <f>HYPERLINK("https://api.qogita.com/variants/link/3666057013607/", "View Product")</f>
        <v/>
      </c>
    </row>
    <row r="4462">
      <c r="A4462" t="inlineStr">
        <is>
          <t>3666057023354</t>
        </is>
      </c>
      <c r="B4462" t="inlineStr">
        <is>
          <t>Clarins Bright Plus Treatment Essence 200ml</t>
        </is>
      </c>
      <c r="C4462" t="inlineStr">
        <is>
          <t>Anti-Pigmentation Spot Cream</t>
        </is>
      </c>
      <c r="D4462" t="inlineStr">
        <is>
          <t>Clarins</t>
        </is>
      </c>
      <c r="E4462" t="n">
        <v>24.3</v>
      </c>
      <c r="F4462" t="n">
        <v>1</v>
      </c>
      <c r="G4462" t="n">
        <v>3</v>
      </c>
      <c r="H4462" s="5">
        <f>HYPERLINK("https://api.qogita.com/variants/link/3666057023354/", "View Product")</f>
        <v/>
      </c>
    </row>
    <row r="4463">
      <c r="A4463" t="inlineStr">
        <is>
          <t>3666057025822</t>
        </is>
      </c>
      <c r="B4463" t="inlineStr">
        <is>
          <t>Clarins Eau Dynamisante Gentle Deodorant 100ml</t>
        </is>
      </c>
      <c r="C4463" t="inlineStr">
        <is>
          <t>Deodorant &amp; Anti-Perspirant</t>
        </is>
      </c>
      <c r="D4463" t="inlineStr">
        <is>
          <t>Clarins</t>
        </is>
      </c>
      <c r="E4463" t="n">
        <v>15.19</v>
      </c>
      <c r="F4463" t="n">
        <v>1</v>
      </c>
      <c r="G4463" t="n">
        <v>64</v>
      </c>
      <c r="H4463" s="5">
        <f>HYPERLINK("https://api.qogita.com/variants/link/3666057025822/", "View Product")</f>
        <v/>
      </c>
    </row>
    <row r="4464">
      <c r="A4464" t="inlineStr">
        <is>
          <t>3666057025860</t>
        </is>
      </c>
      <c r="B4464" t="inlineStr">
        <is>
          <t>Clarins Eau Dynamisante Energizing Melting Body Lotion 200ml</t>
        </is>
      </c>
      <c r="C4464" t="inlineStr">
        <is>
          <t>Body Lotion</t>
        </is>
      </c>
      <c r="D4464" t="inlineStr">
        <is>
          <t>Clarins</t>
        </is>
      </c>
      <c r="E4464" t="n">
        <v>27.34</v>
      </c>
      <c r="F4464" t="n">
        <v>1</v>
      </c>
      <c r="G4464" t="n">
        <v>5</v>
      </c>
      <c r="H4464" s="5">
        <f>HYPERLINK("https://api.qogita.com/variants/link/3666057025860/", "View Product")</f>
        <v/>
      </c>
    </row>
    <row r="4465">
      <c r="A4465" t="inlineStr">
        <is>
          <t>3666057030901</t>
        </is>
      </c>
      <c r="B4465" t="inlineStr">
        <is>
          <t>Clarins Blue Orchid Face Treatment Oil 30 Ml Rejuvenating Oil For Dehydrated Skin</t>
        </is>
      </c>
      <c r="C4465" t="inlineStr">
        <is>
          <t>Facial Oil</t>
        </is>
      </c>
      <c r="D4465" t="inlineStr">
        <is>
          <t>Clarins</t>
        </is>
      </c>
      <c r="E4465" t="n">
        <v>24.53</v>
      </c>
      <c r="F4465" t="n">
        <v>1</v>
      </c>
      <c r="G4465" t="n">
        <v>2</v>
      </c>
      <c r="H4465" s="5">
        <f>HYPERLINK("https://api.qogita.com/variants/link/3666057030901/", "View Product")</f>
        <v/>
      </c>
    </row>
    <row r="4466">
      <c r="A4466" t="inlineStr">
        <is>
          <t>3666057034145</t>
        </is>
      </c>
      <c r="B4466" t="inlineStr">
        <is>
          <t>Clarins Super Restorative Dcollet Neck Intensive Care For Neck And Dcollet 75ml</t>
        </is>
      </c>
      <c r="C4466" t="inlineStr">
        <is>
          <t>Neck &amp; Decollete</t>
        </is>
      </c>
      <c r="D4466" t="inlineStr">
        <is>
          <t>Clarins</t>
        </is>
      </c>
      <c r="E4466" t="n">
        <v>55.68</v>
      </c>
      <c r="F4466" t="n">
        <v>1</v>
      </c>
      <c r="G4466" t="n">
        <v>7</v>
      </c>
      <c r="H4466" s="5">
        <f>HYPERLINK("https://api.qogita.com/variants/link/3666057034145/", "View Product")</f>
        <v/>
      </c>
    </row>
    <row r="4467">
      <c r="A4467" t="inlineStr">
        <is>
          <t>3666057036699</t>
        </is>
      </c>
      <c r="B4467" t="inlineStr">
        <is>
          <t>Clarins Super Restorative Hand Cream 100ml Intensive Hand And Nail Cream For Age Control</t>
        </is>
      </c>
      <c r="C4467" t="inlineStr">
        <is>
          <t>Hand Cream</t>
        </is>
      </c>
      <c r="D4467" t="inlineStr">
        <is>
          <t>Clarins</t>
        </is>
      </c>
      <c r="E4467" t="n">
        <v>26.64</v>
      </c>
      <c r="F4467" t="n">
        <v>1</v>
      </c>
      <c r="G4467" t="n">
        <v>3</v>
      </c>
      <c r="H4467" s="5">
        <f>HYPERLINK("https://api.qogita.com/variants/link/3666057036699/", "View Product")</f>
        <v/>
      </c>
    </row>
    <row r="4468">
      <c r="A4468" t="inlineStr">
        <is>
          <t>3666057040238</t>
        </is>
      </c>
      <c r="B4468" t="inlineStr">
        <is>
          <t>Clarins Bright Plus Advanced Brightening Dark Spot Serum 50ml</t>
        </is>
      </c>
      <c r="C4468" t="inlineStr">
        <is>
          <t>Glow Serum</t>
        </is>
      </c>
      <c r="D4468" t="inlineStr">
        <is>
          <t>Clarins</t>
        </is>
      </c>
      <c r="E4468" t="n">
        <v>69.16</v>
      </c>
      <c r="F4468" t="n">
        <v>1</v>
      </c>
      <c r="G4468" t="n">
        <v>4</v>
      </c>
      <c r="H4468" s="5">
        <f>HYPERLINK("https://api.qogita.com/variants/link/3666057040238/", "View Product")</f>
        <v/>
      </c>
    </row>
    <row r="4469">
      <c r="A4469" t="inlineStr">
        <is>
          <t>3666057042317</t>
        </is>
      </c>
      <c r="B4469" t="inlineStr">
        <is>
          <t>Clarins Men Active Face Wash 125ml Foaming Cleansing Gel For Men</t>
        </is>
      </c>
      <c r="C4469" t="inlineStr">
        <is>
          <t>Cleansing Gel</t>
        </is>
      </c>
      <c r="D4469" t="inlineStr">
        <is>
          <t>Clarins</t>
        </is>
      </c>
      <c r="E4469" t="n">
        <v>16.67</v>
      </c>
      <c r="F4469" t="n">
        <v>1</v>
      </c>
      <c r="G4469" t="n">
        <v>5</v>
      </c>
      <c r="H4469" s="5">
        <f>HYPERLINK("https://api.qogita.com/variants/link/3666057042317/", "View Product")</f>
        <v/>
      </c>
    </row>
    <row r="4470">
      <c r="A4470" t="inlineStr">
        <is>
          <t>3666057052804</t>
        </is>
      </c>
      <c r="B4470" t="inlineStr">
        <is>
          <t>Clarins Lip Comfort Oil 10 Plum 7 Ml</t>
        </is>
      </c>
      <c r="C4470" t="inlineStr">
        <is>
          <t>Lip Gloss</t>
        </is>
      </c>
      <c r="D4470" t="inlineStr">
        <is>
          <t>Clarins</t>
        </is>
      </c>
      <c r="E4470" t="n">
        <v>17.65</v>
      </c>
      <c r="F4470" t="n">
        <v>1</v>
      </c>
      <c r="G4470" t="n">
        <v>2</v>
      </c>
      <c r="H4470" s="5">
        <f>HYPERLINK("https://api.qogita.com/variants/link/3666057052804/", "View Product")</f>
        <v/>
      </c>
    </row>
    <row r="4471">
      <c r="A4471" t="inlineStr">
        <is>
          <t>3666057059377</t>
        </is>
      </c>
      <c r="B4471" t="inlineStr">
        <is>
          <t>Clarins Lip Comfort Oil 02 Raspberry 7 Ml</t>
        </is>
      </c>
      <c r="C4471" t="inlineStr">
        <is>
          <t>Lip Gloss</t>
        </is>
      </c>
      <c r="D4471" t="inlineStr">
        <is>
          <t>Clarins</t>
        </is>
      </c>
      <c r="E4471" t="n">
        <v>17.09</v>
      </c>
      <c r="F4471" t="n">
        <v>1</v>
      </c>
      <c r="G4471" t="n">
        <v>108</v>
      </c>
      <c r="H4471" s="5">
        <f>HYPERLINK("https://api.qogita.com/variants/link/3666057059377/", "View Product")</f>
        <v/>
      </c>
    </row>
    <row r="4472">
      <c r="A4472" t="inlineStr">
        <is>
          <t>3666057059896</t>
        </is>
      </c>
      <c r="B4472" t="inlineStr">
        <is>
          <t>Clarins Beauty Flash Peel Resurfacing &amp; Radiance Boosting 50ml</t>
        </is>
      </c>
      <c r="C4472" t="inlineStr">
        <is>
          <t>Face Cream</t>
        </is>
      </c>
      <c r="D4472" t="inlineStr">
        <is>
          <t>Clarins</t>
        </is>
      </c>
      <c r="E4472" t="n">
        <v>29.85</v>
      </c>
      <c r="F4472" t="n">
        <v>1</v>
      </c>
      <c r="G4472" t="n">
        <v>5</v>
      </c>
      <c r="H4472" s="5">
        <f>HYPERLINK("https://api.qogita.com/variants/link/3666057059896/", "View Product")</f>
        <v/>
      </c>
    </row>
    <row r="4473">
      <c r="A4473" t="inlineStr">
        <is>
          <t>3666057067006</t>
        </is>
      </c>
      <c r="B4473" t="inlineStr">
        <is>
          <t>Clarins Lash &amp; Brow Double Fix Mascara 8ml</t>
        </is>
      </c>
      <c r="C4473" t="inlineStr">
        <is>
          <t>Mascara</t>
        </is>
      </c>
      <c r="D4473" t="inlineStr">
        <is>
          <t>Clarins</t>
        </is>
      </c>
      <c r="E4473" t="n">
        <v>16.96</v>
      </c>
      <c r="F4473" t="n">
        <v>1</v>
      </c>
      <c r="G4473" t="n">
        <v>13</v>
      </c>
      <c r="H4473" s="5">
        <f>HYPERLINK("https://api.qogita.com/variants/link/3666057067006/", "View Product")</f>
        <v/>
      </c>
    </row>
    <row r="4474">
      <c r="A4474" t="inlineStr">
        <is>
          <t>3666057097959</t>
        </is>
      </c>
      <c r="B4474" t="inlineStr">
        <is>
          <t>Clarins Hydra-Essentiel [Ha2] Bi-Phase Serum 30ml</t>
        </is>
      </c>
      <c r="C4474" t="inlineStr">
        <is>
          <t>Hydrating Serum</t>
        </is>
      </c>
      <c r="D4474" t="inlineStr">
        <is>
          <t>Clarins</t>
        </is>
      </c>
      <c r="E4474" t="n">
        <v>31.16</v>
      </c>
      <c r="F4474" t="n">
        <v>1</v>
      </c>
      <c r="G4474" t="n">
        <v>3</v>
      </c>
      <c r="H4474" s="5">
        <f>HYPERLINK("https://api.qogita.com/variants/link/3666057097959/", "View Product")</f>
        <v/>
      </c>
    </row>
    <row r="4475">
      <c r="A4475" t="inlineStr">
        <is>
          <t>3666057098031</t>
        </is>
      </c>
      <c r="B4475" t="inlineStr">
        <is>
          <t>Clarins Hydraessentiel Matte Gel 75ml Hydrating And Mattifying Skin Gel</t>
        </is>
      </c>
      <c r="C4475" t="inlineStr">
        <is>
          <t>Face Cream</t>
        </is>
      </c>
      <c r="D4475" t="inlineStr">
        <is>
          <t>Clarins</t>
        </is>
      </c>
      <c r="E4475" t="n">
        <v>27.36</v>
      </c>
      <c r="F4475" t="n">
        <v>1</v>
      </c>
      <c r="G4475" t="n">
        <v>5</v>
      </c>
      <c r="H4475" s="5">
        <f>HYPERLINK("https://api.qogita.com/variants/link/3666057098031/", "View Product")</f>
        <v/>
      </c>
    </row>
    <row r="4476">
      <c r="A4476" t="inlineStr">
        <is>
          <t>3666057098048</t>
        </is>
      </c>
      <c r="B4476" t="inlineStr">
        <is>
          <t>Clarins Hydra Essentiel Ha Emulsion 75ml Moisturizer</t>
        </is>
      </c>
      <c r="C4476" t="inlineStr">
        <is>
          <t>Face Cream</t>
        </is>
      </c>
      <c r="D4476" t="inlineStr">
        <is>
          <t>Clarins</t>
        </is>
      </c>
      <c r="E4476" t="n">
        <v>29.62</v>
      </c>
      <c r="F4476" t="n">
        <v>1</v>
      </c>
      <c r="G4476" t="n">
        <v>7</v>
      </c>
      <c r="H4476" s="5">
        <f>HYPERLINK("https://api.qogita.com/variants/link/3666057098048/", "View Product")</f>
        <v/>
      </c>
    </row>
    <row r="4477">
      <c r="A4477" t="inlineStr">
        <is>
          <t>3666057101953</t>
        </is>
      </c>
      <c r="B4477" t="inlineStr">
        <is>
          <t>Clarins Men After Shave Soothing Gel 75ml</t>
        </is>
      </c>
      <c r="C4477" t="inlineStr">
        <is>
          <t>Aftershave</t>
        </is>
      </c>
      <c r="D4477" t="inlineStr">
        <is>
          <t>Clarins</t>
        </is>
      </c>
      <c r="E4477" t="n">
        <v>22.91</v>
      </c>
      <c r="F4477" t="n">
        <v>1</v>
      </c>
      <c r="G4477" t="n">
        <v>55</v>
      </c>
      <c r="H4477" s="5">
        <f>HYPERLINK("https://api.qogita.com/variants/link/3666057101953/", "View Product")</f>
        <v/>
      </c>
    </row>
    <row r="4478">
      <c r="A4478" t="inlineStr">
        <is>
          <t>3666057103827</t>
        </is>
      </c>
      <c r="B4478" t="inlineStr">
        <is>
          <t>Clarins Hydraessentiel Hydrating Multiprotection Mist 75ml</t>
        </is>
      </c>
      <c r="C4478" t="inlineStr">
        <is>
          <t>Facial Spray</t>
        </is>
      </c>
      <c r="D4478" t="inlineStr">
        <is>
          <t>Clarins</t>
        </is>
      </c>
      <c r="E4478" t="n">
        <v>16</v>
      </c>
      <c r="F4478" t="n">
        <v>1</v>
      </c>
      <c r="G4478" t="n">
        <v>3</v>
      </c>
      <c r="H4478" s="5">
        <f>HYPERLINK("https://api.qogita.com/variants/link/3666057103827/", "View Product")</f>
        <v/>
      </c>
    </row>
    <row r="4479">
      <c r="A4479" t="inlineStr">
        <is>
          <t>3666057106897</t>
        </is>
      </c>
      <c r="B4479" t="inlineStr">
        <is>
          <t>Clarins After Sun Sos Sunburn Soother Mask - 100ml</t>
        </is>
      </c>
      <c r="C4479" t="inlineStr">
        <is>
          <t>After Sun</t>
        </is>
      </c>
      <c r="D4479" t="inlineStr">
        <is>
          <t>Clarins</t>
        </is>
      </c>
      <c r="E4479" t="n">
        <v>18.84</v>
      </c>
      <c r="F4479" t="n">
        <v>1</v>
      </c>
      <c r="G4479" t="n">
        <v>2</v>
      </c>
      <c r="H4479" s="5">
        <f>HYPERLINK("https://api.qogita.com/variants/link/3666057106897/", "View Product")</f>
        <v/>
      </c>
    </row>
    <row r="4480">
      <c r="A4480" t="inlineStr">
        <is>
          <t>3666057115288</t>
        </is>
      </c>
      <c r="B4480" t="inlineStr">
        <is>
          <t>Clarins Soothing After Sun Balm 150 Ml Soothing Balm For Face And Body</t>
        </is>
      </c>
      <c r="C4480" t="inlineStr">
        <is>
          <t>Aftersun</t>
        </is>
      </c>
      <c r="D4480" t="inlineStr">
        <is>
          <t>Clarins</t>
        </is>
      </c>
      <c r="E4480" t="n">
        <v>18.55</v>
      </c>
      <c r="F4480" t="n">
        <v>1</v>
      </c>
      <c r="G4480" t="n">
        <v>5</v>
      </c>
      <c r="H4480" s="5">
        <f>HYPERLINK("https://api.qogita.com/variants/link/3666057115288/", "View Product")</f>
        <v/>
      </c>
    </row>
    <row r="4481">
      <c r="A4481" t="inlineStr">
        <is>
          <t>3666057117091</t>
        </is>
      </c>
      <c r="B4481" t="inlineStr">
        <is>
          <t>Clarins Joli Rouge Lipstick 705 Soft Berry 35 G</t>
        </is>
      </c>
      <c r="C4481" t="inlineStr">
        <is>
          <t>Lipstick</t>
        </is>
      </c>
      <c r="D4481" t="inlineStr">
        <is>
          <t>Clarins</t>
        </is>
      </c>
      <c r="E4481" t="n">
        <v>17.99</v>
      </c>
      <c r="F4481" t="n">
        <v>1</v>
      </c>
      <c r="G4481" t="n">
        <v>14</v>
      </c>
      <c r="H4481" s="5">
        <f>HYPERLINK("https://api.qogita.com/variants/link/3666057117091/", "View Product")</f>
        <v/>
      </c>
    </row>
    <row r="4482">
      <c r="A4482" t="inlineStr">
        <is>
          <t>3666057117169</t>
        </is>
      </c>
      <c r="B4482" t="inlineStr">
        <is>
          <t>Clarins Joli Rouge Lipstick 752 Rosewood 35g</t>
        </is>
      </c>
      <c r="C4482" t="inlineStr">
        <is>
          <t>Lipstick</t>
        </is>
      </c>
      <c r="D4482" t="inlineStr">
        <is>
          <t>Clarins</t>
        </is>
      </c>
      <c r="E4482" t="n">
        <v>18.72</v>
      </c>
      <c r="F4482" t="n">
        <v>1</v>
      </c>
      <c r="G4482" t="n">
        <v>6</v>
      </c>
      <c r="H4482" s="5">
        <f>HYPERLINK("https://api.qogita.com/variants/link/3666057117169/", "View Product")</f>
        <v/>
      </c>
    </row>
    <row r="4483">
      <c r="A4483" t="inlineStr">
        <is>
          <t>3666057117183</t>
        </is>
      </c>
      <c r="B4483" t="inlineStr">
        <is>
          <t>Clarins Joli Rouge Lipstick 737 Spicy Cinnamon 35g</t>
        </is>
      </c>
      <c r="C4483" t="inlineStr">
        <is>
          <t>Lipstick</t>
        </is>
      </c>
      <c r="D4483" t="inlineStr">
        <is>
          <t>Clarins</t>
        </is>
      </c>
      <c r="E4483" t="n">
        <v>17.25</v>
      </c>
      <c r="F4483" t="n">
        <v>1</v>
      </c>
      <c r="G4483" t="n">
        <v>30</v>
      </c>
      <c r="H4483" s="5">
        <f>HYPERLINK("https://api.qogita.com/variants/link/3666057117183/", "View Product")</f>
        <v/>
      </c>
    </row>
    <row r="4484">
      <c r="A4484" t="inlineStr">
        <is>
          <t>3666057117206</t>
        </is>
      </c>
      <c r="B4484" t="inlineStr">
        <is>
          <t>Clarins Joli Rouge Lipstick 757 Nude Brick 35 G</t>
        </is>
      </c>
      <c r="C4484" t="inlineStr">
        <is>
          <t>Lipstick</t>
        </is>
      </c>
      <c r="D4484" t="inlineStr">
        <is>
          <t>Clarins</t>
        </is>
      </c>
      <c r="E4484" t="n">
        <v>17.42</v>
      </c>
      <c r="F4484" t="n">
        <v>1</v>
      </c>
      <c r="G4484" t="n">
        <v>64</v>
      </c>
      <c r="H4484" s="5">
        <f>HYPERLINK("https://api.qogita.com/variants/link/3666057117206/", "View Product")</f>
        <v/>
      </c>
    </row>
    <row r="4485">
      <c r="A4485" t="inlineStr">
        <is>
          <t>3666057117282</t>
        </is>
      </c>
      <c r="B4485" t="inlineStr">
        <is>
          <t>Clarins Joli Rouge Shine Lipstick 732s Grenadine 35g Glossy Lipstick</t>
        </is>
      </c>
      <c r="C4485" t="inlineStr">
        <is>
          <t>Lipstick</t>
        </is>
      </c>
      <c r="D4485" t="inlineStr">
        <is>
          <t>Clarins</t>
        </is>
      </c>
      <c r="E4485" t="n">
        <v>21.94</v>
      </c>
      <c r="F4485" t="n">
        <v>1</v>
      </c>
      <c r="G4485" t="n">
        <v>3</v>
      </c>
      <c r="H4485" s="5">
        <f>HYPERLINK("https://api.qogita.com/variants/link/3666057117282/", "View Product")</f>
        <v/>
      </c>
    </row>
    <row r="4486">
      <c r="A4486" t="inlineStr">
        <is>
          <t>3666057117299</t>
        </is>
      </c>
      <c r="B4486" t="inlineStr">
        <is>
          <t>Clarins Joli Rouge Shine 723s Raspberry Rechargeable</t>
        </is>
      </c>
      <c r="C4486" t="inlineStr">
        <is>
          <t>Lipstick</t>
        </is>
      </c>
      <c r="D4486" t="inlineStr">
        <is>
          <t>Clarins</t>
        </is>
      </c>
      <c r="E4486" t="n">
        <v>25.24</v>
      </c>
      <c r="F4486" t="n">
        <v>1</v>
      </c>
      <c r="G4486" t="n">
        <v>3</v>
      </c>
      <c r="H4486" s="5">
        <f>HYPERLINK("https://api.qogita.com/variants/link/3666057117299/", "View Product")</f>
        <v/>
      </c>
    </row>
    <row r="4487">
      <c r="A4487" t="inlineStr">
        <is>
          <t>3666057117312</t>
        </is>
      </c>
      <c r="B4487" t="inlineStr">
        <is>
          <t>Clarins Joli Rouge Shine Glossy Lipstick 35 G Shade 744s</t>
        </is>
      </c>
      <c r="C4487" t="inlineStr">
        <is>
          <t>Lipstick</t>
        </is>
      </c>
      <c r="D4487" t="inlineStr">
        <is>
          <t>Clarins</t>
        </is>
      </c>
      <c r="E4487" t="n">
        <v>19.37</v>
      </c>
      <c r="F4487" t="n">
        <v>1</v>
      </c>
      <c r="G4487" t="n">
        <v>3</v>
      </c>
      <c r="H4487" s="5">
        <f>HYPERLINK("https://api.qogita.com/variants/link/3666057117312/", "View Product")</f>
        <v/>
      </c>
    </row>
    <row r="4488">
      <c r="A4488" t="inlineStr">
        <is>
          <t>3666057133459</t>
        </is>
      </c>
      <c r="B4488" t="inlineStr">
        <is>
          <t>Clarins Sos Primer Pink 30ml</t>
        </is>
      </c>
      <c r="C4488" t="inlineStr">
        <is>
          <t>Facial Spray</t>
        </is>
      </c>
      <c r="D4488" t="inlineStr">
        <is>
          <t>Clarins</t>
        </is>
      </c>
      <c r="E4488" t="n">
        <v>23.73</v>
      </c>
      <c r="F4488" t="n">
        <v>1</v>
      </c>
      <c r="G4488" t="n">
        <v>2</v>
      </c>
      <c r="H4488" s="5">
        <f>HYPERLINK("https://api.qogita.com/variants/link/3666057133459/", "View Product")</f>
        <v/>
      </c>
    </row>
    <row r="4489">
      <c r="A4489" t="inlineStr">
        <is>
          <t>3666057144608</t>
        </is>
      </c>
      <c r="B4489" t="inlineStr">
        <is>
          <t>Clarins Double Serum Set Includes Double Serum Eye 20ml Instant Eye Make Up Remover 50ml And Mascara Supra Lift &amp; Curl 3ml</t>
        </is>
      </c>
      <c r="C4489" t="inlineStr">
        <is>
          <t>Eye Care Sets</t>
        </is>
      </c>
      <c r="D4489" t="inlineStr">
        <is>
          <t>Clarins</t>
        </is>
      </c>
      <c r="E4489" t="n">
        <v>56.97</v>
      </c>
      <c r="F4489" t="n">
        <v>1</v>
      </c>
      <c r="G4489" t="n">
        <v>2</v>
      </c>
      <c r="H4489" s="5">
        <f>HYPERLINK("https://api.qogita.com/variants/link/3666057144608/", "View Product")</f>
        <v/>
      </c>
    </row>
    <row r="4490">
      <c r="A4490" t="inlineStr">
        <is>
          <t>3666057145414</t>
        </is>
      </c>
      <c r="B4490" t="inlineStr">
        <is>
          <t>Clarins Cleansing Milk For All Skin Types 200ml</t>
        </is>
      </c>
      <c r="C4490" t="inlineStr">
        <is>
          <t>Cleansing Milk</t>
        </is>
      </c>
      <c r="D4490" t="inlineStr">
        <is>
          <t>Clarins</t>
        </is>
      </c>
      <c r="E4490" t="n">
        <v>14.01</v>
      </c>
      <c r="F4490" t="n">
        <v>1</v>
      </c>
      <c r="G4490" t="n">
        <v>22</v>
      </c>
      <c r="H4490" s="5">
        <f>HYPERLINK("https://api.qogita.com/variants/link/3666057145414/", "View Product")</f>
        <v/>
      </c>
    </row>
    <row r="4491">
      <c r="A4491" t="inlineStr">
        <is>
          <t>3666057150845</t>
        </is>
      </c>
      <c r="B4491" t="inlineStr">
        <is>
          <t>Hydra Essentiel Lip Repair Balm 15ml</t>
        </is>
      </c>
      <c r="C4491" t="inlineStr">
        <is>
          <t>Lip Balm</t>
        </is>
      </c>
      <c r="D4491" t="inlineStr">
        <is>
          <t>Clarins</t>
        </is>
      </c>
      <c r="E4491" t="n">
        <v>11.25</v>
      </c>
      <c r="F4491" t="n">
        <v>1</v>
      </c>
      <c r="G4491" t="n">
        <v>10</v>
      </c>
      <c r="H4491" s="5">
        <f>HYPERLINK("https://api.qogita.com/variants/link/3666057150845/", "View Product")</f>
        <v/>
      </c>
    </row>
    <row r="4492">
      <c r="A4492" t="inlineStr">
        <is>
          <t>3666057156236</t>
        </is>
      </c>
      <c r="B4492" t="inlineStr">
        <is>
          <t>Clarins Hydra-Essentiel Partners Set - Darkova Sada Hydratacni Pletove Pece</t>
        </is>
      </c>
      <c r="C4492" t="inlineStr">
        <is>
          <t>Facial Care Sets</t>
        </is>
      </c>
      <c r="D4492" t="inlineStr">
        <is>
          <t>Clarins</t>
        </is>
      </c>
      <c r="E4492" t="n">
        <v>56.45</v>
      </c>
      <c r="F4492" t="n">
        <v>1</v>
      </c>
      <c r="G4492" t="n">
        <v>8</v>
      </c>
      <c r="H4492" s="5">
        <f>HYPERLINK("https://api.qogita.com/variants/link/3666057156236/", "View Product")</f>
        <v/>
      </c>
    </row>
    <row r="4493">
      <c r="A4493" t="inlineStr">
        <is>
          <t>3666057162923</t>
        </is>
      </c>
      <c r="B4493" t="inlineStr">
        <is>
          <t>Clarins Joli Rouge Velvet Matte Lipstick 35 G 768v Strawberry</t>
        </is>
      </c>
      <c r="C4493" t="inlineStr">
        <is>
          <t>Lipstick</t>
        </is>
      </c>
      <c r="D4493" t="inlineStr">
        <is>
          <t>Clarins</t>
        </is>
      </c>
      <c r="E4493" t="n">
        <v>17.94</v>
      </c>
      <c r="F4493" t="n">
        <v>1</v>
      </c>
      <c r="G4493" t="n">
        <v>6</v>
      </c>
      <c r="H4493" s="5">
        <f>HYPERLINK("https://api.qogita.com/variants/link/3666057162923/", "View Product")</f>
        <v/>
      </c>
    </row>
    <row r="4494">
      <c r="A4494" t="inlineStr">
        <is>
          <t>3666057165566</t>
        </is>
      </c>
      <c r="B4494" t="inlineStr">
        <is>
          <t>Clarins Ombre Skin Mono Eyeshadow 02 Pearly Rose Gold 15g</t>
        </is>
      </c>
      <c r="C4494" t="inlineStr">
        <is>
          <t>Eyeshadow</t>
        </is>
      </c>
      <c r="D4494" t="inlineStr">
        <is>
          <t>Clarins</t>
        </is>
      </c>
      <c r="E4494" t="n">
        <v>15.3</v>
      </c>
      <c r="F4494" t="n">
        <v>1</v>
      </c>
      <c r="G4494" t="n">
        <v>9</v>
      </c>
      <c r="H4494" s="5">
        <f>HYPERLINK("https://api.qogita.com/variants/link/3666057165566/", "View Product")</f>
        <v/>
      </c>
    </row>
    <row r="4495">
      <c r="A4495" t="inlineStr">
        <is>
          <t>3666057165603</t>
        </is>
      </c>
      <c r="B4495" t="inlineStr">
        <is>
          <t>Clarins Ombre Skin Mono Eyeshadow 06 Satin Mocha 15g</t>
        </is>
      </c>
      <c r="C4495" t="inlineStr">
        <is>
          <t>Eyeshadow</t>
        </is>
      </c>
      <c r="D4495" t="inlineStr">
        <is>
          <t>Clarins</t>
        </is>
      </c>
      <c r="E4495" t="n">
        <v>13.94</v>
      </c>
      <c r="F4495" t="n">
        <v>1</v>
      </c>
      <c r="G4495" t="n">
        <v>5</v>
      </c>
      <c r="H4495" s="5">
        <f>HYPERLINK("https://api.qogita.com/variants/link/3666057165603/", "View Product")</f>
        <v/>
      </c>
    </row>
    <row r="4496">
      <c r="A4496" t="inlineStr">
        <is>
          <t>3666057188565</t>
        </is>
      </c>
      <c r="B4496" t="inlineStr">
        <is>
          <t>Clarins Energizing Emulsion Soothes Tired Legs 125 Ml</t>
        </is>
      </c>
      <c r="C4496" t="inlineStr">
        <is>
          <t>Body Lotion</t>
        </is>
      </c>
      <c r="D4496" t="inlineStr">
        <is>
          <t>Clarins</t>
        </is>
      </c>
      <c r="E4496" t="n">
        <v>24.67</v>
      </c>
      <c r="F4496" t="n">
        <v>1</v>
      </c>
      <c r="G4496" t="n">
        <v>8</v>
      </c>
      <c r="H4496" s="5">
        <f>HYPERLINK("https://api.qogita.com/variants/link/3666057188565/", "View Product")</f>
        <v/>
      </c>
    </row>
    <row r="4497">
      <c r="A4497" t="inlineStr">
        <is>
          <t>3666057202476</t>
        </is>
      </c>
      <c r="B4497" t="inlineStr">
        <is>
          <t>Clarins Double Serum Hydric Lipid System Light Texture 50ml Brand New Box</t>
        </is>
      </c>
      <c r="C4497" t="inlineStr">
        <is>
          <t>Hydrating Serum</t>
        </is>
      </c>
      <c r="D4497" t="inlineStr">
        <is>
          <t>Clarins</t>
        </is>
      </c>
      <c r="E4497" t="n">
        <v>74.01000000000001</v>
      </c>
      <c r="F4497" t="n">
        <v>1</v>
      </c>
      <c r="G4497" t="n">
        <v>23</v>
      </c>
      <c r="H4497" s="5">
        <f>HYPERLINK("https://api.qogita.com/variants/link/3666057202476/", "View Product")</f>
        <v/>
      </c>
    </row>
    <row r="4498">
      <c r="A4498" t="inlineStr">
        <is>
          <t>3666057210600</t>
        </is>
      </c>
      <c r="B4498" t="inlineStr">
        <is>
          <t>Clarins Double Serum &amp; Extra-Firming Day &amp; Night Ritual Gift Set</t>
        </is>
      </c>
      <c r="C4498" t="inlineStr">
        <is>
          <t>Facial Care Sets</t>
        </is>
      </c>
      <c r="D4498" t="inlineStr">
        <is>
          <t>Clarins</t>
        </is>
      </c>
      <c r="E4498" t="n">
        <v>208.29</v>
      </c>
      <c r="F4498" t="n">
        <v>1</v>
      </c>
      <c r="G4498" t="n">
        <v>6</v>
      </c>
      <c r="H4498" s="5">
        <f>HYPERLINK("https://api.qogita.com/variants/link/3666057210600/", "View Product")</f>
        <v/>
      </c>
    </row>
    <row r="4499">
      <c r="A4499" t="inlineStr">
        <is>
          <t>3666057213977</t>
        </is>
      </c>
      <c r="B4499" t="inlineStr">
        <is>
          <t>Clarins Nutri-Lumiere Spf 15 - Revitalizing Day Cream For The Face With Pigment Spots Spf 15</t>
        </is>
      </c>
      <c r="C4499" t="inlineStr">
        <is>
          <t>Tinted Day Cream</t>
        </is>
      </c>
      <c r="D4499" t="inlineStr">
        <is>
          <t>Clarins</t>
        </is>
      </c>
      <c r="E4499" t="n">
        <v>88.20999999999999</v>
      </c>
      <c r="F4499" t="n">
        <v>1</v>
      </c>
      <c r="G4499" t="n">
        <v>14</v>
      </c>
      <c r="H4499" s="5">
        <f>HYPERLINK("https://api.qogita.com/variants/link/3666057213977/", "View Product")</f>
        <v/>
      </c>
    </row>
    <row r="4500">
      <c r="A4500" t="inlineStr">
        <is>
          <t>3666057216671</t>
        </is>
      </c>
      <c r="B4500" t="inlineStr">
        <is>
          <t>Clarins Onestep Gentle Exfoliating Cleanser With Orange Extract 125ml</t>
        </is>
      </c>
      <c r="C4500" t="inlineStr">
        <is>
          <t>Facial Scrub &amp; Peeling</t>
        </is>
      </c>
      <c r="D4500" t="inlineStr">
        <is>
          <t>Clarins</t>
        </is>
      </c>
      <c r="E4500" t="n">
        <v>19.2</v>
      </c>
      <c r="F4500" t="n">
        <v>1</v>
      </c>
      <c r="G4500" t="n">
        <v>4</v>
      </c>
      <c r="H4500" s="5">
        <f>HYPERLINK("https://api.qogita.com/variants/link/3666057216671/", "View Product")</f>
        <v/>
      </c>
    </row>
    <row r="4501">
      <c r="A4501" t="inlineStr">
        <is>
          <t>3666057216862</t>
        </is>
      </c>
      <c r="B4501" t="inlineStr">
        <is>
          <t>Clarins Purifying Toning Lotion 400ml</t>
        </is>
      </c>
      <c r="C4501" t="inlineStr">
        <is>
          <t>Face Lotion</t>
        </is>
      </c>
      <c r="D4501" t="inlineStr">
        <is>
          <t>Clarins</t>
        </is>
      </c>
      <c r="E4501" t="n">
        <v>21.63</v>
      </c>
      <c r="F4501" t="n">
        <v>1</v>
      </c>
      <c r="G4501" t="n">
        <v>3</v>
      </c>
      <c r="H4501" s="5">
        <f>HYPERLINK("https://api.qogita.com/variants/link/3666057216862/", "View Product")</f>
        <v/>
      </c>
    </row>
    <row r="4502">
      <c r="A4502" t="inlineStr">
        <is>
          <t>3666057217340</t>
        </is>
      </c>
      <c r="B4502" t="inlineStr">
        <is>
          <t>Clarins Youth Protection Sunscreen Cream Spf 50 50ml</t>
        </is>
      </c>
      <c r="C4502" t="inlineStr">
        <is>
          <t>Face Sun Protection</t>
        </is>
      </c>
      <c r="D4502" t="inlineStr">
        <is>
          <t>Clarins</t>
        </is>
      </c>
      <c r="E4502" t="n">
        <v>18.67</v>
      </c>
      <c r="F4502" t="n">
        <v>1</v>
      </c>
      <c r="G4502" t="n">
        <v>5</v>
      </c>
      <c r="H4502" s="5">
        <f>HYPERLINK("https://api.qogita.com/variants/link/3666057217340/", "View Product")</f>
        <v/>
      </c>
    </row>
    <row r="4503">
      <c r="A4503" t="inlineStr">
        <is>
          <t>3666057226526</t>
        </is>
      </c>
      <c r="B4503" t="inlineStr">
        <is>
          <t>Clarins Travel Body Care Set 5 Pieces</t>
        </is>
      </c>
      <c r="C4503" t="inlineStr">
        <is>
          <t>Body Care Sets</t>
        </is>
      </c>
      <c r="D4503" t="inlineStr">
        <is>
          <t>Clarins</t>
        </is>
      </c>
      <c r="E4503" t="n">
        <v>28.46</v>
      </c>
      <c r="F4503" t="n">
        <v>1</v>
      </c>
      <c r="G4503" t="n">
        <v>26</v>
      </c>
      <c r="H4503" s="5">
        <f>HYPERLINK("https://api.qogita.com/variants/link/3666057226526/", "View Product")</f>
        <v/>
      </c>
    </row>
    <row r="4504">
      <c r="A4504" t="inlineStr">
        <is>
          <t>3666057228582</t>
        </is>
      </c>
      <c r="B4504" t="inlineStr">
        <is>
          <t>Clarins Total Cleansing Oil 150ml</t>
        </is>
      </c>
      <c r="C4504" t="inlineStr">
        <is>
          <t>Cleansing Oil</t>
        </is>
      </c>
      <c r="D4504" t="inlineStr">
        <is>
          <t>Clarins</t>
        </is>
      </c>
      <c r="E4504" t="n">
        <v>19.86</v>
      </c>
      <c r="F4504" t="n">
        <v>1</v>
      </c>
      <c r="G4504" t="n">
        <v>5</v>
      </c>
      <c r="H4504" s="5">
        <f>HYPERLINK("https://api.qogita.com/variants/link/3666057228582/", "View Product")</f>
        <v/>
      </c>
    </row>
    <row r="4505">
      <c r="A4505" t="inlineStr">
        <is>
          <t>3666057228629</t>
        </is>
      </c>
      <c r="B4505" t="inlineStr">
        <is>
          <t>Clarins Gentle Renewing Cleansing Mousse Exfoliating Tamarind Pulp Extract 5.5 Oz</t>
        </is>
      </c>
      <c r="C4505" t="inlineStr">
        <is>
          <t>Cleansing Foam</t>
        </is>
      </c>
      <c r="D4505" t="inlineStr">
        <is>
          <t>Clarins</t>
        </is>
      </c>
      <c r="E4505" t="n">
        <v>17.14</v>
      </c>
      <c r="F4505" t="n">
        <v>1</v>
      </c>
      <c r="G4505" t="n">
        <v>15</v>
      </c>
      <c r="H4505" s="5">
        <f>HYPERLINK("https://api.qogita.com/variants/link/3666057228629/", "View Product")</f>
        <v/>
      </c>
    </row>
    <row r="4506">
      <c r="A4506" t="inlineStr">
        <is>
          <t>3666057238536</t>
        </is>
      </c>
      <c r="B4506" t="inlineStr">
        <is>
          <t>Clarins Ombre Mono Eye Shadow 08 Pearly Raisin 15 G</t>
        </is>
      </c>
      <c r="C4506" t="inlineStr">
        <is>
          <t>Eyeshadow</t>
        </is>
      </c>
      <c r="D4506" t="inlineStr">
        <is>
          <t>Clarins</t>
        </is>
      </c>
      <c r="E4506" t="n">
        <v>13.77</v>
      </c>
      <c r="F4506" t="n">
        <v>1</v>
      </c>
      <c r="G4506" t="n">
        <v>8</v>
      </c>
      <c r="H4506" s="5">
        <f>HYPERLINK("https://api.qogita.com/variants/link/3666057238536/", "View Product")</f>
        <v/>
      </c>
    </row>
    <row r="4507">
      <c r="A4507" t="inlineStr">
        <is>
          <t>3666057241369</t>
        </is>
      </c>
      <c r="B4507" t="inlineStr">
        <is>
          <t>Clarins Skin Illusion Full Coverage Hydrating Foundation 30ml Shade 105n</t>
        </is>
      </c>
      <c r="C4507" t="inlineStr">
        <is>
          <t>Foundation</t>
        </is>
      </c>
      <c r="D4507" t="inlineStr">
        <is>
          <t>Clarins</t>
        </is>
      </c>
      <c r="E4507" t="n">
        <v>39.94</v>
      </c>
      <c r="F4507" t="n">
        <v>1</v>
      </c>
      <c r="G4507" t="n">
        <v>2</v>
      </c>
      <c r="H4507" s="5">
        <f>HYPERLINK("https://api.qogita.com/variants/link/3666057241369/", "View Product")</f>
        <v/>
      </c>
    </row>
    <row r="4508">
      <c r="A4508" t="inlineStr">
        <is>
          <t>3666057241437</t>
        </is>
      </c>
      <c r="B4508" t="inlineStr">
        <is>
          <t>Clarins Skin Illusion Full Coverage Foundation 30ml Hydrating Makeup</t>
        </is>
      </c>
      <c r="C4508" t="inlineStr">
        <is>
          <t>Foundation</t>
        </is>
      </c>
      <c r="D4508" t="inlineStr">
        <is>
          <t>Clarins</t>
        </is>
      </c>
      <c r="E4508" t="n">
        <v>35.26</v>
      </c>
      <c r="F4508" t="n">
        <v>1</v>
      </c>
      <c r="G4508" t="n">
        <v>14</v>
      </c>
      <c r="H4508" s="5">
        <f>HYPERLINK("https://api.qogita.com/variants/link/3666057241437/", "View Product")</f>
        <v/>
      </c>
    </row>
    <row r="4509">
      <c r="A4509" t="inlineStr">
        <is>
          <t>3666057241512</t>
        </is>
      </c>
      <c r="B4509" t="inlineStr">
        <is>
          <t>Clarins Skin Illusion Full Coverage Foundation 30ml 113c Hydrating Makeup</t>
        </is>
      </c>
      <c r="C4509" t="inlineStr">
        <is>
          <t>Foundation</t>
        </is>
      </c>
      <c r="D4509" t="inlineStr">
        <is>
          <t>Clarins</t>
        </is>
      </c>
      <c r="E4509" t="n">
        <v>39.94</v>
      </c>
      <c r="F4509" t="n">
        <v>1</v>
      </c>
      <c r="G4509" t="n">
        <v>3</v>
      </c>
      <c r="H4509" s="5">
        <f>HYPERLINK("https://api.qogita.com/variants/link/3666057241512/", "View Product")</f>
        <v/>
      </c>
    </row>
    <row r="4510">
      <c r="A4510" t="inlineStr">
        <is>
          <t>3666057241567</t>
        </is>
      </c>
      <c r="B4510" t="inlineStr">
        <is>
          <t>Clarins Skin Illusion Full Coverage Hydrating Foundation 30 Ml Shade 1165w</t>
        </is>
      </c>
      <c r="C4510" t="inlineStr">
        <is>
          <t>Foundation</t>
        </is>
      </c>
      <c r="D4510" t="inlineStr">
        <is>
          <t>Clarins</t>
        </is>
      </c>
      <c r="E4510" t="n">
        <v>39.94</v>
      </c>
      <c r="F4510" t="n">
        <v>1</v>
      </c>
      <c r="G4510" t="n">
        <v>4</v>
      </c>
      <c r="H4510" s="5">
        <f>HYPERLINK("https://api.qogita.com/variants/link/3666057241567/", "View Product")</f>
        <v/>
      </c>
    </row>
    <row r="4511">
      <c r="A4511" t="inlineStr">
        <is>
          <t>3666057247941</t>
        </is>
      </c>
      <c r="B4511" t="inlineStr">
        <is>
          <t>Clarins Joli Rouge Satin 789 Mocha Nude Lipstick - 4 Grams</t>
        </is>
      </c>
      <c r="C4511" t="inlineStr">
        <is>
          <t>Lipstick</t>
        </is>
      </c>
      <c r="D4511" t="inlineStr">
        <is>
          <t>Clarins</t>
        </is>
      </c>
      <c r="E4511" t="n">
        <v>20.25</v>
      </c>
      <c r="F4511" t="n">
        <v>1</v>
      </c>
      <c r="G4511" t="n">
        <v>11</v>
      </c>
      <c r="H4511" s="5">
        <f>HYPERLINK("https://api.qogita.com/variants/link/3666057247941/", "View Product")</f>
        <v/>
      </c>
    </row>
    <row r="4512">
      <c r="A4512" t="inlineStr">
        <is>
          <t>3666057247958</t>
        </is>
      </c>
      <c r="B4512" t="inlineStr">
        <is>
          <t>Clarins Joli Rouge Satin 789 Mocha Nude Lipstick - 4 Grams</t>
        </is>
      </c>
      <c r="C4512" t="inlineStr">
        <is>
          <t>Lipstick</t>
        </is>
      </c>
      <c r="D4512" t="inlineStr">
        <is>
          <t>Clarins</t>
        </is>
      </c>
      <c r="E4512" t="n">
        <v>25.24</v>
      </c>
      <c r="F4512" t="n">
        <v>1</v>
      </c>
      <c r="G4512" t="n">
        <v>4</v>
      </c>
      <c r="H4512" s="5">
        <f>HYPERLINK("https://api.qogita.com/variants/link/3666057247958/", "View Product")</f>
        <v/>
      </c>
    </row>
    <row r="4513">
      <c r="A4513" t="inlineStr">
        <is>
          <t>3666057297373</t>
        </is>
      </c>
      <c r="B4513" t="inlineStr">
        <is>
          <t>Clarins Extra-Firming Luxury Collection Gift Set</t>
        </is>
      </c>
      <c r="C4513" t="inlineStr">
        <is>
          <t>Facial Care Sets</t>
        </is>
      </c>
      <c r="D4513" t="inlineStr">
        <is>
          <t>Clarins</t>
        </is>
      </c>
      <c r="E4513" t="n">
        <v>145.59</v>
      </c>
      <c r="F4513" t="n">
        <v>1</v>
      </c>
      <c r="G4513" t="n">
        <v>5</v>
      </c>
      <c r="H4513" s="5">
        <f>HYPERLINK("https://api.qogita.com/variants/link/3666057297373/", "View Product")</f>
        <v/>
      </c>
    </row>
    <row r="4514">
      <c r="A4514" t="inlineStr">
        <is>
          <t>3666057297533</t>
        </is>
      </c>
      <c r="B4514" t="inlineStr">
        <is>
          <t>Clarins Self-Care Essentials Gift Set</t>
        </is>
      </c>
      <c r="C4514" t="inlineStr">
        <is>
          <t>Facial Care Sets</t>
        </is>
      </c>
      <c r="D4514" t="inlineStr">
        <is>
          <t>Clarins</t>
        </is>
      </c>
      <c r="E4514" t="n">
        <v>58.54</v>
      </c>
      <c r="F4514" t="n">
        <v>1</v>
      </c>
      <c r="G4514" t="n">
        <v>17</v>
      </c>
      <c r="H4514" s="5">
        <f>HYPERLINK("https://api.qogita.com/variants/link/3666057297533/", "View Product")</f>
        <v/>
      </c>
    </row>
    <row r="4515">
      <c r="A4515" t="inlineStr">
        <is>
          <t>3666057297557</t>
        </is>
      </c>
      <c r="B4515" t="inlineStr">
        <is>
          <t>Clarins Eau Extraordinaire Spray 100ml Set 4 Pieces</t>
        </is>
      </c>
      <c r="C4515" t="inlineStr">
        <is>
          <t>Fragrance Sets</t>
        </is>
      </c>
      <c r="D4515" t="inlineStr">
        <is>
          <t>Clarins</t>
        </is>
      </c>
      <c r="E4515" t="n">
        <v>43.94</v>
      </c>
      <c r="F4515" t="n">
        <v>1</v>
      </c>
      <c r="G4515" t="n">
        <v>28</v>
      </c>
      <c r="H4515" s="5">
        <f>HYPERLINK("https://api.qogita.com/variants/link/3666057297557/", "View Product")</f>
        <v/>
      </c>
    </row>
    <row r="4516">
      <c r="A4516" t="inlineStr">
        <is>
          <t>3666057297588</t>
        </is>
      </c>
      <c r="B4516" t="inlineStr">
        <is>
          <t>Clarins Gift Set Men Essentials 54ml - Stocking Filler Worth 22</t>
        </is>
      </c>
      <c r="C4516" t="inlineStr">
        <is>
          <t>Shaving Sets</t>
        </is>
      </c>
      <c r="D4516" t="inlineStr">
        <is>
          <t>Clarins</t>
        </is>
      </c>
      <c r="E4516" t="n">
        <v>18.87</v>
      </c>
      <c r="F4516" t="n">
        <v>1</v>
      </c>
      <c r="G4516" t="n">
        <v>10</v>
      </c>
      <c r="H4516" s="5">
        <f>HYPERLINK("https://api.qogita.com/variants/link/3666057297588/", "View Product")</f>
        <v/>
      </c>
    </row>
    <row r="4517">
      <c r="A4517" t="inlineStr">
        <is>
          <t>3666057297625</t>
        </is>
      </c>
      <c r="B4517" t="inlineStr">
        <is>
          <t>Clarins Joli Rouge Collection Lipstick Gift Set</t>
        </is>
      </c>
      <c r="C4517" t="inlineStr">
        <is>
          <t>Lip Sets</t>
        </is>
      </c>
      <c r="D4517" t="inlineStr">
        <is>
          <t>Clarins</t>
        </is>
      </c>
      <c r="E4517" t="n">
        <v>57.77</v>
      </c>
      <c r="F4517" t="n">
        <v>1</v>
      </c>
      <c r="G4517" t="n">
        <v>12</v>
      </c>
      <c r="H4517" s="5">
        <f>HYPERLINK("https://api.qogita.com/variants/link/3666057297625/", "View Product")</f>
        <v/>
      </c>
    </row>
    <row r="4518">
      <c r="A4518" t="inlineStr">
        <is>
          <t>3666057298035</t>
        </is>
      </c>
      <c r="B4518" t="inlineStr">
        <is>
          <t>Clarins Tinted Moisturizer - 40 Ml</t>
        </is>
      </c>
      <c r="C4518" t="inlineStr">
        <is>
          <t>Tinted Day Cream</t>
        </is>
      </c>
      <c r="D4518" t="inlineStr">
        <is>
          <t>Clarins</t>
        </is>
      </c>
      <c r="E4518" t="n">
        <v>30.01</v>
      </c>
      <c r="F4518" t="n">
        <v>1</v>
      </c>
      <c r="G4518" t="n">
        <v>6</v>
      </c>
      <c r="H4518" s="5">
        <f>HYPERLINK("https://api.qogita.com/variants/link/3666057298035/", "View Product")</f>
        <v/>
      </c>
    </row>
    <row r="4519">
      <c r="A4519" t="inlineStr">
        <is>
          <t>3666057298042</t>
        </is>
      </c>
      <c r="B4519" t="inlineStr">
        <is>
          <t>Clarins Tinted Moisturizer - 40 Ml</t>
        </is>
      </c>
      <c r="C4519" t="inlineStr">
        <is>
          <t>Tinted Day Cream</t>
        </is>
      </c>
      <c r="D4519" t="inlineStr">
        <is>
          <t>Clarins</t>
        </is>
      </c>
      <c r="E4519" t="n">
        <v>30.01</v>
      </c>
      <c r="F4519" t="n">
        <v>1</v>
      </c>
      <c r="G4519" t="n">
        <v>10</v>
      </c>
      <c r="H4519" s="5">
        <f>HYPERLINK("https://api.qogita.com/variants/link/3666057298042/", "View Product")</f>
        <v/>
      </c>
    </row>
    <row r="4520">
      <c r="A4520" t="inlineStr">
        <is>
          <t>3666057307379</t>
        </is>
      </c>
      <c r="B4520" t="inlineStr">
        <is>
          <t>Clarins Instant Concealer - Long Lasting Concealer For Eyes, 15 Ml</t>
        </is>
      </c>
      <c r="C4520" t="inlineStr">
        <is>
          <t>Concealer</t>
        </is>
      </c>
      <c r="D4520" t="inlineStr">
        <is>
          <t>Clarins</t>
        </is>
      </c>
      <c r="E4520" t="n">
        <v>21.37</v>
      </c>
      <c r="F4520" t="n">
        <v>1</v>
      </c>
      <c r="G4520" t="n">
        <v>8</v>
      </c>
      <c r="H4520" s="5">
        <f>HYPERLINK("https://api.qogita.com/variants/link/3666057307379/", "View Product")</f>
        <v/>
      </c>
    </row>
    <row r="4521">
      <c r="A4521" t="inlineStr">
        <is>
          <t>3666057319044</t>
        </is>
      </c>
      <c r="B4521" t="inlineStr">
        <is>
          <t>Clarins Lip Perfector Glow Gloss - 19 Intense Smoky Rose</t>
        </is>
      </c>
      <c r="C4521" t="inlineStr">
        <is>
          <t>Lip Gloss</t>
        </is>
      </c>
      <c r="D4521" t="inlineStr">
        <is>
          <t>Clarins</t>
        </is>
      </c>
      <c r="E4521" t="n">
        <v>14.73</v>
      </c>
      <c r="F4521" t="n">
        <v>1</v>
      </c>
      <c r="G4521" t="n">
        <v>12</v>
      </c>
      <c r="H4521" s="5">
        <f>HYPERLINK("https://api.qogita.com/variants/link/3666057319044/", "View Product")</f>
        <v/>
      </c>
    </row>
    <row r="4522">
      <c r="A4522" t="inlineStr">
        <is>
          <t>3666057319303</t>
        </is>
      </c>
      <c r="B4522" t="inlineStr">
        <is>
          <t>Clarins Lip Enhancer 22 - A Cosmetic Product By Clarins</t>
        </is>
      </c>
      <c r="C4522" t="inlineStr">
        <is>
          <t>Lip Gloss</t>
        </is>
      </c>
      <c r="D4522" t="inlineStr">
        <is>
          <t>Clarins</t>
        </is>
      </c>
      <c r="E4522" t="n">
        <v>14.65</v>
      </c>
      <c r="F4522" t="n">
        <v>1</v>
      </c>
      <c r="G4522" t="n">
        <v>5</v>
      </c>
      <c r="H4522" s="5">
        <f>HYPERLINK("https://api.qogita.com/variants/link/3666057319303/", "View Product")</f>
        <v/>
      </c>
    </row>
    <row r="4523">
      <c r="A4523" t="inlineStr">
        <is>
          <t>3666057327193</t>
        </is>
      </c>
      <c r="B4523" t="inlineStr">
        <is>
          <t>Clarins Body Hydration Essentials Kit Gift Set</t>
        </is>
      </c>
      <c r="C4523" t="inlineStr">
        <is>
          <t>Body Care Sets</t>
        </is>
      </c>
      <c r="D4523" t="inlineStr">
        <is>
          <t>Clarins</t>
        </is>
      </c>
      <c r="E4523" t="n">
        <v>33.39</v>
      </c>
      <c r="F4523" t="n">
        <v>1</v>
      </c>
      <c r="G4523" t="n">
        <v>15</v>
      </c>
      <c r="H4523" s="5">
        <f>HYPERLINK("https://api.qogita.com/variants/link/3666057327193/", "View Product")</f>
        <v/>
      </c>
    </row>
    <row r="4524">
      <c r="A4524" t="inlineStr">
        <is>
          <t>3666057327346</t>
        </is>
      </c>
      <c r="B4524" t="inlineStr">
        <is>
          <t>Clarins The Essentials Makeup Remover - Normal Or Dry Skin Set</t>
        </is>
      </c>
      <c r="C4524" t="inlineStr">
        <is>
          <t>Makeup Remover</t>
        </is>
      </c>
      <c r="D4524" t="inlineStr">
        <is>
          <t>Clarins</t>
        </is>
      </c>
      <c r="E4524" t="n">
        <v>34.62</v>
      </c>
      <c r="F4524" t="n">
        <v>1</v>
      </c>
      <c r="G4524" t="n">
        <v>5</v>
      </c>
      <c r="H4524" s="5">
        <f>HYPERLINK("https://api.qogita.com/variants/link/3666057327346/", "View Product")</f>
        <v/>
      </c>
    </row>
    <row r="4525">
      <c r="A4525" t="inlineStr">
        <is>
          <t>3666057333330</t>
        </is>
      </c>
      <c r="B4525" t="inlineStr">
        <is>
          <t>Clarins Water Lip Stain - 7 Ml</t>
        </is>
      </c>
      <c r="C4525" t="inlineStr">
        <is>
          <t>Lip Gloss</t>
        </is>
      </c>
      <c r="D4525" t="inlineStr">
        <is>
          <t>Clarins</t>
        </is>
      </c>
      <c r="E4525" t="n">
        <v>24.52</v>
      </c>
      <c r="F4525" t="n">
        <v>1</v>
      </c>
      <c r="G4525" t="n">
        <v>8</v>
      </c>
      <c r="H4525" s="5">
        <f>HYPERLINK("https://api.qogita.com/variants/link/3666057333330/", "View Product")</f>
        <v/>
      </c>
    </row>
    <row r="4526">
      <c r="A4526" t="inlineStr">
        <is>
          <t>3666057333347</t>
        </is>
      </c>
      <c r="B4526" t="inlineStr">
        <is>
          <t>Clarins Water Lip Stain - 7 Ml</t>
        </is>
      </c>
      <c r="C4526" t="inlineStr">
        <is>
          <t>Lip Gloss</t>
        </is>
      </c>
      <c r="D4526" t="inlineStr">
        <is>
          <t>Clarins</t>
        </is>
      </c>
      <c r="E4526" t="n">
        <v>24.52</v>
      </c>
      <c r="F4526" t="n">
        <v>1</v>
      </c>
      <c r="G4526" t="n">
        <v>10</v>
      </c>
      <c r="H4526" s="5">
        <f>HYPERLINK("https://api.qogita.com/variants/link/3666057333347/", "View Product")</f>
        <v/>
      </c>
    </row>
    <row r="4527">
      <c r="A4527" t="inlineStr">
        <is>
          <t>3666057333545</t>
        </is>
      </c>
      <c r="B4527" t="inlineStr">
        <is>
          <t>Clarins Clarins Fresh Scrub 50ml</t>
        </is>
      </c>
      <c r="C4527" t="inlineStr">
        <is>
          <t>Facial Scrub &amp; Peeling</t>
        </is>
      </c>
      <c r="D4527" t="inlineStr">
        <is>
          <t>Clarins</t>
        </is>
      </c>
      <c r="E4527" t="n">
        <v>26.7</v>
      </c>
      <c r="F4527" t="n">
        <v>1</v>
      </c>
      <c r="G4527" t="n">
        <v>4</v>
      </c>
      <c r="H4527" s="5">
        <f>HYPERLINK("https://api.qogita.com/variants/link/3666057333545/", "View Product")</f>
        <v/>
      </c>
    </row>
    <row r="4528">
      <c r="A4528" t="inlineStr">
        <is>
          <t>3700076442243</t>
        </is>
      </c>
      <c r="B4528" t="inlineStr">
        <is>
          <t>By Terry Cover Expert SPF 15 Liquid Foundation N R. 1 Fair Beige 3</t>
        </is>
      </c>
      <c r="C4528" t="inlineStr">
        <is>
          <t>Foundation</t>
        </is>
      </c>
      <c r="D4528" t="inlineStr">
        <is>
          <t>By Terry</t>
        </is>
      </c>
      <c r="E4528" t="n">
        <v>4.91</v>
      </c>
      <c r="F4528" t="n">
        <v>1</v>
      </c>
      <c r="G4528" t="n">
        <v>5</v>
      </c>
      <c r="H4528" s="5">
        <f>HYPERLINK("https://api.qogita.com/variants/link/3700076442243/", "View Product")</f>
        <v/>
      </c>
    </row>
    <row r="4529">
      <c r="A4529" t="inlineStr">
        <is>
          <t>3700135012837</t>
        </is>
      </c>
      <c r="B4529" t="inlineStr">
        <is>
          <t>Frederic Malle Sale Gosse Eau De Parfum Spray 100ml</t>
        </is>
      </c>
      <c r="C4529" t="inlineStr">
        <is>
          <t>Eau De Parfum</t>
        </is>
      </c>
      <c r="D4529" t="inlineStr">
        <is>
          <t>Frederic Malle</t>
        </is>
      </c>
      <c r="E4529" t="n">
        <v>212.26</v>
      </c>
      <c r="F4529" t="n">
        <v>1</v>
      </c>
      <c r="G4529" t="n">
        <v>2</v>
      </c>
      <c r="H4529" s="5">
        <f>HYPERLINK("https://api.qogita.com/variants/link/3700135012837/", "View Product")</f>
        <v/>
      </c>
    </row>
    <row r="4530">
      <c r="A4530" t="inlineStr">
        <is>
          <t>3700135020412</t>
        </is>
      </c>
      <c r="B4530" t="inlineStr">
        <is>
          <t>Frederic Malle Synthetic Nature Eau De Parfum Spray 50ml</t>
        </is>
      </c>
      <c r="C4530" t="inlineStr">
        <is>
          <t>Eau De Parfum</t>
        </is>
      </c>
      <c r="D4530" t="inlineStr">
        <is>
          <t>Frederic Malle</t>
        </is>
      </c>
      <c r="E4530" t="n">
        <v>121.08</v>
      </c>
      <c r="F4530" t="n">
        <v>1</v>
      </c>
      <c r="G4530" t="n">
        <v>2</v>
      </c>
      <c r="H4530" s="5">
        <f>HYPERLINK("https://api.qogita.com/variants/link/3700135020412/", "View Product")</f>
        <v/>
      </c>
    </row>
    <row r="4531">
      <c r="A4531" t="inlineStr">
        <is>
          <t>3700194711696</t>
        </is>
      </c>
      <c r="B4531" t="inlineStr">
        <is>
          <t>Kiehl's Cucumber Herbal Alcoholfree Toner 250ml Unisex For Dry Or Sensitive Skin</t>
        </is>
      </c>
      <c r="C4531" t="inlineStr">
        <is>
          <t>Facial Spray</t>
        </is>
      </c>
      <c r="D4531" t="inlineStr">
        <is>
          <t>Kiehl's</t>
        </is>
      </c>
      <c r="E4531" t="n">
        <v>20.7</v>
      </c>
      <c r="F4531" t="n">
        <v>1</v>
      </c>
      <c r="G4531" t="n">
        <v>3</v>
      </c>
      <c r="H4531" s="5">
        <f>HYPERLINK("https://api.qogita.com/variants/link/3700194711696/", "View Product")</f>
        <v/>
      </c>
    </row>
    <row r="4532">
      <c r="A4532" t="inlineStr">
        <is>
          <t>3700281702316</t>
        </is>
      </c>
      <c r="B4532" t="inlineStr">
        <is>
          <t>Topicrem UR-10 Callus Repair Foot Cream 75ml</t>
        </is>
      </c>
      <c r="C4532" t="inlineStr">
        <is>
          <t>Foot Cream</t>
        </is>
      </c>
      <c r="D4532" t="inlineStr">
        <is>
          <t>Topicrem</t>
        </is>
      </c>
      <c r="E4532" t="n">
        <v>8.710000000000001</v>
      </c>
      <c r="F4532" t="n">
        <v>1</v>
      </c>
      <c r="G4532" t="n">
        <v>21</v>
      </c>
      <c r="H4532" s="5">
        <f>HYPERLINK("https://api.qogita.com/variants/link/3700281702316/", "View Product")</f>
        <v/>
      </c>
    </row>
    <row r="4533">
      <c r="A4533" t="inlineStr">
        <is>
          <t>3700281702415</t>
        </is>
      </c>
      <c r="B4533" t="inlineStr">
        <is>
          <t>Topicrem Cleansing Gel 500ml</t>
        </is>
      </c>
      <c r="C4533" t="inlineStr">
        <is>
          <t>Shower Gel</t>
        </is>
      </c>
      <c r="D4533" t="inlineStr">
        <is>
          <t>Topicrem</t>
        </is>
      </c>
      <c r="E4533" t="n">
        <v>9.1</v>
      </c>
      <c r="F4533" t="n">
        <v>1</v>
      </c>
      <c r="G4533" t="n">
        <v>78</v>
      </c>
      <c r="H4533" s="5">
        <f>HYPERLINK("https://api.qogita.com/variants/link/3700281702415/", "View Product")</f>
        <v/>
      </c>
    </row>
    <row r="4534">
      <c r="A4534" t="inlineStr">
        <is>
          <t>3700281702576</t>
        </is>
      </c>
      <c r="B4534" t="inlineStr">
        <is>
          <t>Topicrem Body Cream 1000ml</t>
        </is>
      </c>
      <c r="C4534" t="inlineStr">
        <is>
          <t>Body Lotion</t>
        </is>
      </c>
      <c r="D4534" t="inlineStr">
        <is>
          <t>Topicrem</t>
        </is>
      </c>
      <c r="E4534" t="n">
        <v>23.59</v>
      </c>
      <c r="F4534" t="n">
        <v>1</v>
      </c>
      <c r="G4534" t="n">
        <v>38</v>
      </c>
      <c r="H4534" s="5">
        <f>HYPERLINK("https://api.qogita.com/variants/link/3700281702576/", "View Product")</f>
        <v/>
      </c>
    </row>
    <row r="4535">
      <c r="A4535" t="inlineStr">
        <is>
          <t>3700281702897</t>
        </is>
      </c>
      <c r="B4535" t="inlineStr">
        <is>
          <t>Topicrem Sensitive Skin Ultra-Moisturizing Progressive Tan 200ml</t>
        </is>
      </c>
      <c r="C4535" t="inlineStr">
        <is>
          <t>Body Self-Tanner</t>
        </is>
      </c>
      <c r="D4535" t="inlineStr">
        <is>
          <t>Topicrem</t>
        </is>
      </c>
      <c r="E4535" t="n">
        <v>13.18</v>
      </c>
      <c r="F4535" t="n">
        <v>1</v>
      </c>
      <c r="G4535" t="n">
        <v>31</v>
      </c>
      <c r="H4535" s="5">
        <f>HYPERLINK("https://api.qogita.com/variants/link/3700281702897/", "View Product")</f>
        <v/>
      </c>
    </row>
    <row r="4536">
      <c r="A4536" t="inlineStr">
        <is>
          <t>3700281702989</t>
        </is>
      </c>
      <c r="B4536" t="inlineStr">
        <is>
          <t>Topicrem Calm Light Soothing Cream For Normal To Combination Skin 40 Ml</t>
        </is>
      </c>
      <c r="C4536" t="inlineStr">
        <is>
          <t>Face Cream</t>
        </is>
      </c>
      <c r="D4536" t="inlineStr">
        <is>
          <t>Topicrem</t>
        </is>
      </c>
      <c r="E4536" t="n">
        <v>13.03</v>
      </c>
      <c r="F4536" t="n">
        <v>1</v>
      </c>
      <c r="G4536" t="n">
        <v>43</v>
      </c>
      <c r="H4536" s="5">
        <f>HYPERLINK("https://api.qogita.com/variants/link/3700281702989/", "View Product")</f>
        <v/>
      </c>
    </row>
    <row r="4537">
      <c r="A4537" t="inlineStr">
        <is>
          <t>3700281703924</t>
        </is>
      </c>
      <c r="B4537" t="inlineStr">
        <is>
          <t>Topicrem CALM+ Soothing Micellar Water 200ml</t>
        </is>
      </c>
      <c r="C4537" t="inlineStr">
        <is>
          <t>Micellar Water</t>
        </is>
      </c>
      <c r="D4537" t="inlineStr">
        <is>
          <t>Topicrem</t>
        </is>
      </c>
      <c r="E4537" t="n">
        <v>7.83</v>
      </c>
      <c r="F4537" t="n">
        <v>1</v>
      </c>
      <c r="G4537" t="n">
        <v>9</v>
      </c>
      <c r="H4537" s="5">
        <f>HYPERLINK("https://api.qogita.com/variants/link/3700281703924/", "View Product")</f>
        <v/>
      </c>
    </row>
    <row r="4538">
      <c r="A4538" t="inlineStr">
        <is>
          <t>3700281703993</t>
        </is>
      </c>
      <c r="B4538" t="inlineStr">
        <is>
          <t>Topicrem Brightening Eye Cream Against Undereye Circles Hydra Radiance Eye Contour 15 Ml</t>
        </is>
      </c>
      <c r="C4538" t="inlineStr">
        <is>
          <t>Eye Cream</t>
        </is>
      </c>
      <c r="D4538" t="inlineStr">
        <is>
          <t>Topicrem</t>
        </is>
      </c>
      <c r="E4538" t="n">
        <v>12.48</v>
      </c>
      <c r="F4538" t="n">
        <v>1</v>
      </c>
      <c r="G4538" t="n">
        <v>14</v>
      </c>
      <c r="H4538" s="5">
        <f>HYPERLINK("https://api.qogita.com/variants/link/3700281703993/", "View Product")</f>
        <v/>
      </c>
    </row>
    <row r="4539">
      <c r="A4539" t="inlineStr">
        <is>
          <t>3700281704310</t>
        </is>
      </c>
      <c r="B4539" t="inlineStr">
        <is>
          <t>Topicrem Refreshing Facial Gel Hydra Moisturizing Radiance Gel 40 Ml</t>
        </is>
      </c>
      <c r="C4539" t="inlineStr">
        <is>
          <t>Face Cream</t>
        </is>
      </c>
      <c r="D4539" t="inlineStr">
        <is>
          <t>Topicrem</t>
        </is>
      </c>
      <c r="E4539" t="n">
        <v>12.83</v>
      </c>
      <c r="F4539" t="n">
        <v>1</v>
      </c>
      <c r="G4539" t="n">
        <v>10</v>
      </c>
      <c r="H4539" s="5">
        <f>HYPERLINK("https://api.qogita.com/variants/link/3700281704310/", "View Product")</f>
        <v/>
      </c>
    </row>
    <row r="4540">
      <c r="A4540" t="inlineStr">
        <is>
          <t>3700281704396</t>
        </is>
      </c>
      <c r="B4540" t="inlineStr">
        <is>
          <t>Topicrem Mela Anti-Dark Spot Day Cream SPF 50+ 40ml</t>
        </is>
      </c>
      <c r="C4540" t="inlineStr">
        <is>
          <t>Day Cream</t>
        </is>
      </c>
      <c r="D4540" t="inlineStr">
        <is>
          <t>Topicrem</t>
        </is>
      </c>
      <c r="E4540" t="n">
        <v>21.18</v>
      </c>
      <c r="F4540" t="n">
        <v>1</v>
      </c>
      <c r="G4540" t="n">
        <v>29</v>
      </c>
      <c r="H4540" s="5">
        <f>HYPERLINK("https://api.qogita.com/variants/link/3700281704396/", "View Product")</f>
        <v/>
      </c>
    </row>
    <row r="4541">
      <c r="A4541" t="inlineStr">
        <is>
          <t>3700281704457</t>
        </is>
      </c>
      <c r="B4541" t="inlineStr">
        <is>
          <t>Topicrem Mela Ultra Moisturizing Body Milk 500ml - Floral Scented Liquid Texture</t>
        </is>
      </c>
      <c r="C4541" t="inlineStr">
        <is>
          <t>Body Lotion</t>
        </is>
      </c>
      <c r="D4541" t="inlineStr">
        <is>
          <t>Topicrem</t>
        </is>
      </c>
      <c r="E4541" t="n">
        <v>36.83</v>
      </c>
      <c r="F4541" t="n">
        <v>1</v>
      </c>
      <c r="G4541" t="n">
        <v>7</v>
      </c>
      <c r="H4541" s="5">
        <f>HYPERLINK("https://api.qogita.com/variants/link/3700281704457/", "View Product")</f>
        <v/>
      </c>
    </row>
    <row r="4542">
      <c r="A4542" t="inlineStr">
        <is>
          <t>3700281704464</t>
        </is>
      </c>
      <c r="B4542" t="inlineStr">
        <is>
          <t>Topicrem MELA Even-Toning Ultra Moisturizing Milk 200ml</t>
        </is>
      </c>
      <c r="C4542" t="inlineStr">
        <is>
          <t>Body Lotion</t>
        </is>
      </c>
      <c r="D4542" t="inlineStr">
        <is>
          <t>Topicrem</t>
        </is>
      </c>
      <c r="E4542" t="n">
        <v>20.1</v>
      </c>
      <c r="F4542" t="n">
        <v>1</v>
      </c>
      <c r="G4542" t="n">
        <v>2</v>
      </c>
      <c r="H4542" s="5">
        <f>HYPERLINK("https://api.qogita.com/variants/link/3700281704464/", "View Product")</f>
        <v/>
      </c>
    </row>
    <row r="4543">
      <c r="A4543" t="inlineStr">
        <is>
          <t>3700281704532</t>
        </is>
      </c>
      <c r="B4543" t="inlineStr">
        <is>
          <t>Topicrem UR-30 Anti-Roughness Soothing Cream 75ml</t>
        </is>
      </c>
      <c r="C4543" t="inlineStr">
        <is>
          <t>Neurodermatitis</t>
        </is>
      </c>
      <c r="D4543" t="inlineStr">
        <is>
          <t>Topicrem</t>
        </is>
      </c>
      <c r="E4543" t="n">
        <v>12.1</v>
      </c>
      <c r="F4543" t="n">
        <v>1</v>
      </c>
      <c r="G4543" t="n">
        <v>21</v>
      </c>
      <c r="H4543" s="5">
        <f>HYPERLINK("https://api.qogita.com/variants/link/3700281704532/", "View Product")</f>
        <v/>
      </c>
    </row>
    <row r="4544">
      <c r="A4544" t="inlineStr">
        <is>
          <t>3700281704730</t>
        </is>
      </c>
      <c r="B4544" t="inlineStr">
        <is>
          <t>Topicrem Mela Soft Peeling Night Cream 40ml</t>
        </is>
      </c>
      <c r="C4544" t="inlineStr">
        <is>
          <t>Night Cream</t>
        </is>
      </c>
      <c r="D4544" t="inlineStr">
        <is>
          <t>Topicrem</t>
        </is>
      </c>
      <c r="E4544" t="n">
        <v>22.82</v>
      </c>
      <c r="F4544" t="n">
        <v>1</v>
      </c>
      <c r="G4544" t="n">
        <v>53</v>
      </c>
      <c r="H4544" s="5">
        <f>HYPERLINK("https://api.qogita.com/variants/link/3700281704730/", "View Product")</f>
        <v/>
      </c>
    </row>
    <row r="4545">
      <c r="A4545" t="inlineStr">
        <is>
          <t>3700281704853</t>
        </is>
      </c>
      <c r="B4545" t="inlineStr">
        <is>
          <t>Topicrem HYDRA+ Tinted Moisturizer with Medium Shine for Sensitive and Dehydrated Skin Adults and Teens - Provides 24 Hour Moisture, Protects the Skin</t>
        </is>
      </c>
      <c r="C4545" t="inlineStr">
        <is>
          <t>Tinted Day Cream</t>
        </is>
      </c>
      <c r="D4545" t="inlineStr">
        <is>
          <t>Topicrem</t>
        </is>
      </c>
      <c r="E4545" t="n">
        <v>15.82</v>
      </c>
      <c r="F4545" t="n">
        <v>1</v>
      </c>
      <c r="G4545" t="n">
        <v>16</v>
      </c>
      <c r="H4545" s="5">
        <f>HYPERLINK("https://api.qogita.com/variants/link/3700281704853/", "View Product")</f>
        <v/>
      </c>
    </row>
    <row r="4546">
      <c r="A4546" t="inlineStr">
        <is>
          <t>3700281704907</t>
        </is>
      </c>
      <c r="B4546" t="inlineStr">
        <is>
          <t>Topicrem Moisturizing Day Cream For Sensitive Skin Spf 50 Hydra 40 Ml</t>
        </is>
      </c>
      <c r="C4546" t="inlineStr">
        <is>
          <t>Day Cream</t>
        </is>
      </c>
      <c r="D4546" t="inlineStr">
        <is>
          <t>Topicrem</t>
        </is>
      </c>
      <c r="E4546" t="n">
        <v>15.45</v>
      </c>
      <c r="F4546" t="n">
        <v>1</v>
      </c>
      <c r="G4546" t="n">
        <v>27</v>
      </c>
      <c r="H4546" s="5">
        <f>HYPERLINK("https://api.qogita.com/variants/link/3700281704907/", "View Product")</f>
        <v/>
      </c>
    </row>
    <row r="4547">
      <c r="A4547" t="inlineStr">
        <is>
          <t>3700281705003</t>
        </is>
      </c>
      <c r="B4547" t="inlineStr">
        <is>
          <t>Topicrem MELA Anti Dark Spot Radiance Serum 30ml</t>
        </is>
      </c>
      <c r="C4547" t="inlineStr">
        <is>
          <t>Glow Serum</t>
        </is>
      </c>
      <c r="D4547" t="inlineStr">
        <is>
          <t>Radiance</t>
        </is>
      </c>
      <c r="E4547" t="n">
        <v>24</v>
      </c>
      <c r="F4547" t="n">
        <v>1</v>
      </c>
      <c r="G4547" t="n">
        <v>14</v>
      </c>
      <c r="H4547" s="5">
        <f>HYPERLINK("https://api.qogita.com/variants/link/3700281705003/", "View Product")</f>
        <v/>
      </c>
    </row>
    <row r="4548">
      <c r="A4548" t="inlineStr">
        <is>
          <t>3700281705089</t>
        </is>
      </c>
      <c r="B4548" t="inlineStr">
        <is>
          <t>DA Shower Oil 500 ml</t>
        </is>
      </c>
      <c r="C4548" t="inlineStr">
        <is>
          <t>Shower Oil</t>
        </is>
      </c>
      <c r="D4548" t="inlineStr">
        <is>
          <t>Da</t>
        </is>
      </c>
      <c r="E4548" t="n">
        <v>13.87</v>
      </c>
      <c r="F4548" t="n">
        <v>1</v>
      </c>
      <c r="G4548" t="n">
        <v>20</v>
      </c>
      <c r="H4548" s="5">
        <f>HYPERLINK("https://api.qogita.com/variants/link/3700281705089/", "View Product")</f>
        <v/>
      </c>
    </row>
    <row r="4549">
      <c r="A4549" t="inlineStr">
        <is>
          <t>3700281705195</t>
        </is>
      </c>
      <c r="B4549" t="inlineStr">
        <is>
          <t>Topicrem Mela Spot Concentrate for Targeted Areas 24 Hour Moisturizing - Corrects Hyperpigmentation</t>
        </is>
      </c>
      <c r="C4549" t="inlineStr">
        <is>
          <t>Anti-Pigmentation Spot Cream</t>
        </is>
      </c>
      <c r="D4549" t="inlineStr">
        <is>
          <t>Topicrem</t>
        </is>
      </c>
      <c r="E4549" t="n">
        <v>23.09</v>
      </c>
      <c r="F4549" t="n">
        <v>1</v>
      </c>
      <c r="G4549" t="n">
        <v>19</v>
      </c>
      <c r="H4549" s="5">
        <f>HYPERLINK("https://api.qogita.com/variants/link/3700281705195/", "View Product")</f>
        <v/>
      </c>
    </row>
    <row r="4550">
      <c r="A4550" t="inlineStr">
        <is>
          <t>3700281705270</t>
        </is>
      </c>
      <c r="B4550" t="inlineStr">
        <is>
          <t>Topicrem Ac Control Clear Skin Dietary Supplement For Problematic Acne-Prone Skin - 60 Pieces</t>
        </is>
      </c>
      <c r="C4550" t="inlineStr">
        <is>
          <t>Vitamin</t>
        </is>
      </c>
      <c r="D4550" t="inlineStr">
        <is>
          <t>Topicrem</t>
        </is>
      </c>
      <c r="E4550" t="n">
        <v>15.98</v>
      </c>
      <c r="F4550" t="n">
        <v>1</v>
      </c>
      <c r="G4550" t="n">
        <v>11</v>
      </c>
      <c r="H4550" s="5">
        <f>HYPERLINK("https://api.qogita.com/variants/link/3700281705270/", "View Product")</f>
        <v/>
      </c>
    </row>
    <row r="4551">
      <c r="A4551" t="inlineStr">
        <is>
          <t>3700431405746</t>
        </is>
      </c>
      <c r="B4551" t="inlineStr">
        <is>
          <t>Diptyque Dao EDT Vapo 50ml</t>
        </is>
      </c>
      <c r="C4551" t="inlineStr">
        <is>
          <t>Eau De Toilette</t>
        </is>
      </c>
      <c r="D4551" t="inlineStr">
        <is>
          <t>Diptyque</t>
        </is>
      </c>
      <c r="E4551" t="n">
        <v>99.34</v>
      </c>
      <c r="F4551" t="n">
        <v>1</v>
      </c>
      <c r="G4551" t="n">
        <v>3</v>
      </c>
      <c r="H4551" s="5">
        <f>HYPERLINK("https://api.qogita.com/variants/link/3700431405746/", "View Product")</f>
        <v/>
      </c>
    </row>
    <row r="4552">
      <c r="A4552" t="inlineStr">
        <is>
          <t>3700431421555</t>
        </is>
      </c>
      <c r="B4552" t="inlineStr">
        <is>
          <t>Diptyque Philosykos Eau De Toilette Spray 100ml</t>
        </is>
      </c>
      <c r="C4552" t="inlineStr">
        <is>
          <t>Eau De Toilette</t>
        </is>
      </c>
      <c r="D4552" t="inlineStr">
        <is>
          <t>Diptyque</t>
        </is>
      </c>
      <c r="E4552" t="n">
        <v>125.91</v>
      </c>
      <c r="F4552" t="n">
        <v>1</v>
      </c>
      <c r="G4552" t="n">
        <v>5</v>
      </c>
      <c r="H4552" s="5">
        <f>HYPERLINK("https://api.qogita.com/variants/link/3700431421555/", "View Product")</f>
        <v/>
      </c>
    </row>
    <row r="4553">
      <c r="A4553" t="inlineStr">
        <is>
          <t>3700431425669</t>
        </is>
      </c>
      <c r="B4553" t="inlineStr">
        <is>
          <t>Diptyque L'Ombre Dans L'Eau Eau De Toilette</t>
        </is>
      </c>
      <c r="C4553" t="inlineStr">
        <is>
          <t>Eau De Toilette</t>
        </is>
      </c>
      <c r="D4553" t="inlineStr">
        <is>
          <t>Diptyque</t>
        </is>
      </c>
      <c r="E4553" t="n">
        <v>91.76000000000001</v>
      </c>
      <c r="F4553" t="n">
        <v>1</v>
      </c>
      <c r="G4553" t="n">
        <v>3</v>
      </c>
      <c r="H4553" s="5">
        <f>HYPERLINK("https://api.qogita.com/variants/link/3700431425669/", "View Product")</f>
        <v/>
      </c>
    </row>
    <row r="4554">
      <c r="A4554" t="inlineStr">
        <is>
          <t>3700431425782</t>
        </is>
      </c>
      <c r="B4554" t="inlineStr">
        <is>
          <t>Diptyque Tam Dao Eau De Parfum Spray 75ml</t>
        </is>
      </c>
      <c r="C4554" t="inlineStr">
        <is>
          <t>Eau De Parfum</t>
        </is>
      </c>
      <c r="D4554" t="inlineStr">
        <is>
          <t>Diptyque</t>
        </is>
      </c>
      <c r="E4554" t="n">
        <v>148.83</v>
      </c>
      <c r="F4554" t="n">
        <v>1</v>
      </c>
      <c r="G4554" t="n">
        <v>2</v>
      </c>
      <c r="H4554" s="5">
        <f>HYPERLINK("https://api.qogita.com/variants/link/3700431425782/", "View Product")</f>
        <v/>
      </c>
    </row>
    <row r="4555">
      <c r="A4555" t="inlineStr">
        <is>
          <t>3700431441690</t>
        </is>
      </c>
      <c r="B4555" t="inlineStr">
        <is>
          <t>Diptyque Ofresia Eau De Toilette Spray 100ml</t>
        </is>
      </c>
      <c r="C4555" t="inlineStr">
        <is>
          <t>Eau De Toilette</t>
        </is>
      </c>
      <c r="D4555" t="inlineStr">
        <is>
          <t>Diptyque</t>
        </is>
      </c>
      <c r="E4555" t="n">
        <v>113.73</v>
      </c>
      <c r="F4555" t="n">
        <v>1</v>
      </c>
      <c r="G4555" t="n">
        <v>11</v>
      </c>
      <c r="H4555" s="5">
        <f>HYPERLINK("https://api.qogita.com/variants/link/3700431441690/", "View Product")</f>
        <v/>
      </c>
    </row>
    <row r="4556">
      <c r="A4556" t="inlineStr">
        <is>
          <t>3700431442666</t>
        </is>
      </c>
      <c r="B4556" t="inlineStr">
        <is>
          <t>Diptyque L'Eau De Neroli Eau De Toilette Spray 100ml</t>
        </is>
      </c>
      <c r="C4556" t="inlineStr">
        <is>
          <t>Eau De Toilette</t>
        </is>
      </c>
      <c r="D4556" t="inlineStr">
        <is>
          <t>Diptyque</t>
        </is>
      </c>
      <c r="E4556" t="n">
        <v>123.76</v>
      </c>
      <c r="F4556" t="n">
        <v>1</v>
      </c>
      <c r="G4556" t="n">
        <v>3</v>
      </c>
      <c r="H4556" s="5">
        <f>HYPERLINK("https://api.qogita.com/variants/link/3700431442666/", "View Product")</f>
        <v/>
      </c>
    </row>
    <row r="4557">
      <c r="A4557" t="inlineStr">
        <is>
          <t>3700431442703</t>
        </is>
      </c>
      <c r="B4557" t="inlineStr">
        <is>
          <t>Diptyque Geranium Odorata Eau De Toilette Spray 100ml</t>
        </is>
      </c>
      <c r="C4557" t="inlineStr">
        <is>
          <t>Eau De Toilette</t>
        </is>
      </c>
      <c r="D4557" t="inlineStr">
        <is>
          <t>Diptyque</t>
        </is>
      </c>
      <c r="E4557" t="n">
        <v>120.64</v>
      </c>
      <c r="F4557" t="n">
        <v>1</v>
      </c>
      <c r="G4557" t="n">
        <v>44</v>
      </c>
      <c r="H4557" s="5">
        <f>HYPERLINK("https://api.qogita.com/variants/link/3700431442703/", "View Product")</f>
        <v/>
      </c>
    </row>
    <row r="4558">
      <c r="A4558" t="inlineStr">
        <is>
          <t>3700431442734</t>
        </is>
      </c>
      <c r="B4558" t="inlineStr">
        <is>
          <t>Diptyque Olene Eau De Toilette 100ml</t>
        </is>
      </c>
      <c r="C4558" t="inlineStr">
        <is>
          <t>Eau De Toilette</t>
        </is>
      </c>
      <c r="D4558" t="inlineStr">
        <is>
          <t>Diptyque</t>
        </is>
      </c>
      <c r="E4558" t="n">
        <v>116.65</v>
      </c>
      <c r="F4558" t="n">
        <v>1</v>
      </c>
      <c r="G4558" t="n">
        <v>19</v>
      </c>
      <c r="H4558" s="5">
        <f>HYPERLINK("https://api.qogita.com/variants/link/3700431442734/", "View Product")</f>
        <v/>
      </c>
    </row>
    <row r="4559">
      <c r="A4559" t="inlineStr">
        <is>
          <t>3700431442840</t>
        </is>
      </c>
      <c r="B4559" t="inlineStr">
        <is>
          <t>Diptyque Eau De Lierre Eau De Toilette 100ml For Women</t>
        </is>
      </c>
      <c r="C4559" t="inlineStr">
        <is>
          <t>Eau De Toilette</t>
        </is>
      </c>
      <c r="D4559" t="inlineStr">
        <is>
          <t>Diptyque</t>
        </is>
      </c>
      <c r="E4559" t="n">
        <v>121.65</v>
      </c>
      <c r="F4559" t="n">
        <v>1</v>
      </c>
      <c r="G4559" t="n">
        <v>10</v>
      </c>
      <c r="H4559" s="5">
        <f>HYPERLINK("https://api.qogita.com/variants/link/3700431442840/", "View Product")</f>
        <v/>
      </c>
    </row>
    <row r="4560">
      <c r="A4560" t="inlineStr">
        <is>
          <t>3700431442994</t>
        </is>
      </c>
      <c r="B4560" t="inlineStr">
        <is>
          <t>Diptyque Eau Capitale Eau De Parfum 75ml</t>
        </is>
      </c>
      <c r="C4560" t="inlineStr">
        <is>
          <t>Eau De Parfum</t>
        </is>
      </c>
      <c r="D4560" t="inlineStr">
        <is>
          <t>Diptyque</t>
        </is>
      </c>
      <c r="E4560" t="n">
        <v>146.79</v>
      </c>
      <c r="F4560" t="n">
        <v>1</v>
      </c>
      <c r="G4560" t="n">
        <v>6</v>
      </c>
      <c r="H4560" s="5">
        <f>HYPERLINK("https://api.qogita.com/variants/link/3700431442994/", "View Product")</f>
        <v/>
      </c>
    </row>
    <row r="4561">
      <c r="A4561" t="inlineStr">
        <is>
          <t>3700458602524</t>
        </is>
      </c>
      <c r="B4561" t="inlineStr">
        <is>
          <t>Memo Paris Corfu Eau De Parfum Spray 75ml</t>
        </is>
      </c>
      <c r="C4561" t="inlineStr">
        <is>
          <t>Eau De Parfum</t>
        </is>
      </c>
      <c r="D4561" t="inlineStr">
        <is>
          <t>Memo Paris</t>
        </is>
      </c>
      <c r="E4561" t="n">
        <v>106.96</v>
      </c>
      <c r="F4561" t="n">
        <v>1</v>
      </c>
      <c r="G4561" t="n">
        <v>14</v>
      </c>
      <c r="H4561" s="5">
        <f>HYPERLINK("https://api.qogita.com/variants/link/3700458602524/", "View Product")</f>
        <v/>
      </c>
    </row>
    <row r="4562">
      <c r="A4562" t="inlineStr">
        <is>
          <t>3700458602968</t>
        </is>
      </c>
      <c r="B4562" t="inlineStr">
        <is>
          <t>Memo Kedu Eau De Parfum</t>
        </is>
      </c>
      <c r="C4562" t="inlineStr">
        <is>
          <t>Eau De Parfum</t>
        </is>
      </c>
      <c r="D4562" t="inlineStr">
        <is>
          <t>Memo</t>
        </is>
      </c>
      <c r="E4562" t="n">
        <v>124.36</v>
      </c>
      <c r="F4562" t="n">
        <v>1</v>
      </c>
      <c r="G4562" t="n">
        <v>8</v>
      </c>
      <c r="H4562" s="5">
        <f>HYPERLINK("https://api.qogita.com/variants/link/3700458602968/", "View Product")</f>
        <v/>
      </c>
    </row>
    <row r="4563">
      <c r="A4563" t="inlineStr">
        <is>
          <t>3700458603002</t>
        </is>
      </c>
      <c r="B4563" t="inlineStr">
        <is>
          <t>Memo Paris Ocean Leather Eau De Parfum Spray 75ml</t>
        </is>
      </c>
      <c r="C4563" t="inlineStr">
        <is>
          <t>Eau De Parfum</t>
        </is>
      </c>
      <c r="D4563" t="inlineStr">
        <is>
          <t>Memo Paris</t>
        </is>
      </c>
      <c r="E4563" t="n">
        <v>137.78</v>
      </c>
      <c r="F4563" t="n">
        <v>1</v>
      </c>
      <c r="G4563" t="n">
        <v>18</v>
      </c>
      <c r="H4563" s="5">
        <f>HYPERLINK("https://api.qogita.com/variants/link/3700458603002/", "View Product")</f>
        <v/>
      </c>
    </row>
    <row r="4564">
      <c r="A4564" t="inlineStr">
        <is>
          <t>3700458604023</t>
        </is>
      </c>
      <c r="B4564" t="inlineStr">
        <is>
          <t>Memo Paris Eau De Memo Eau De Parfum Spray 100ml</t>
        </is>
      </c>
      <c r="C4564" t="inlineStr">
        <is>
          <t>Eau De Parfum</t>
        </is>
      </c>
      <c r="D4564" t="inlineStr">
        <is>
          <t>Memo Paris</t>
        </is>
      </c>
      <c r="E4564" t="n">
        <v>130.81</v>
      </c>
      <c r="F4564" t="n">
        <v>1</v>
      </c>
      <c r="G4564" t="n">
        <v>9</v>
      </c>
      <c r="H4564" s="5">
        <f>HYPERLINK("https://api.qogita.com/variants/link/3700458604023/", "View Product")</f>
        <v/>
      </c>
    </row>
    <row r="4565">
      <c r="A4565" t="inlineStr">
        <is>
          <t>3700550218142</t>
        </is>
      </c>
      <c r="B4565" t="inlineStr">
        <is>
          <t>By Kilian Moonlight In Heaven Eau De Parfum Refillable Spray 50ml</t>
        </is>
      </c>
      <c r="C4565" t="inlineStr">
        <is>
          <t>Eau De Parfum</t>
        </is>
      </c>
      <c r="D4565" t="inlineStr">
        <is>
          <t>By Kilian</t>
        </is>
      </c>
      <c r="E4565" t="n">
        <v>164.38</v>
      </c>
      <c r="F4565" t="n">
        <v>1</v>
      </c>
      <c r="G4565" t="n">
        <v>20</v>
      </c>
      <c r="H4565" s="5">
        <f>HYPERLINK("https://api.qogita.com/variants/link/3700550218142/", "View Product")</f>
        <v/>
      </c>
    </row>
    <row r="4566">
      <c r="A4566" t="inlineStr">
        <is>
          <t>3700550218173</t>
        </is>
      </c>
      <c r="B4566" t="inlineStr">
        <is>
          <t>Kilian Bamboo Harmony Eau De Parfum Spray 50ml</t>
        </is>
      </c>
      <c r="C4566" t="inlineStr">
        <is>
          <t>Eau De Parfum</t>
        </is>
      </c>
      <c r="D4566" t="inlineStr">
        <is>
          <t>Kilian</t>
        </is>
      </c>
      <c r="E4566" t="n">
        <v>190.19</v>
      </c>
      <c r="F4566" t="n">
        <v>1</v>
      </c>
      <c r="G4566" t="n">
        <v>2</v>
      </c>
      <c r="H4566" s="5">
        <f>HYPERLINK("https://api.qogita.com/variants/link/3700550218173/", "View Product")</f>
        <v/>
      </c>
    </row>
    <row r="4567">
      <c r="A4567" t="inlineStr">
        <is>
          <t>3700550218777</t>
        </is>
      </c>
      <c r="B4567" t="inlineStr">
        <is>
          <t>Kilian Voulez-Vous Coucher Avec Moi 50ml Clutch</t>
        </is>
      </c>
      <c r="C4567" t="inlineStr">
        <is>
          <t>Eau De Parfum</t>
        </is>
      </c>
      <c r="D4567" t="inlineStr">
        <is>
          <t>Kilian</t>
        </is>
      </c>
      <c r="E4567" t="n">
        <v>199.54</v>
      </c>
      <c r="F4567" t="n">
        <v>1</v>
      </c>
      <c r="G4567" t="n">
        <v>2</v>
      </c>
      <c r="H4567" s="5">
        <f>HYPERLINK("https://api.qogita.com/variants/link/3700550218777/", "View Product")</f>
        <v/>
      </c>
    </row>
    <row r="4568">
      <c r="A4568" t="inlineStr">
        <is>
          <t>3700550222699</t>
        </is>
      </c>
      <c r="B4568" t="inlineStr">
        <is>
          <t>By Kilian A Kiss From A Rose Eau De Parfum Spray 50ml</t>
        </is>
      </c>
      <c r="C4568" t="inlineStr">
        <is>
          <t>Eau De Parfum</t>
        </is>
      </c>
      <c r="D4568" t="inlineStr">
        <is>
          <t>By Kilian</t>
        </is>
      </c>
      <c r="E4568" t="n">
        <v>185.82</v>
      </c>
      <c r="F4568" t="n">
        <v>1</v>
      </c>
      <c r="G4568" t="n">
        <v>4</v>
      </c>
      <c r="H4568" s="5">
        <f>HYPERLINK("https://api.qogita.com/variants/link/3700550222699/", "View Product")</f>
        <v/>
      </c>
    </row>
    <row r="4569">
      <c r="A4569" t="inlineStr">
        <is>
          <t>3700550226543</t>
        </is>
      </c>
      <c r="B4569" t="inlineStr">
        <is>
          <t>By Kilian Sacred Wood Eau De Parfum Spray 50ml</t>
        </is>
      </c>
      <c r="C4569" t="inlineStr">
        <is>
          <t>Eau De Parfum</t>
        </is>
      </c>
      <c r="D4569" t="inlineStr">
        <is>
          <t>By Kilian</t>
        </is>
      </c>
      <c r="E4569" t="n">
        <v>166.02</v>
      </c>
      <c r="F4569" t="n">
        <v>1</v>
      </c>
      <c r="G4569" t="n">
        <v>5</v>
      </c>
      <c r="H4569" s="5">
        <f>HYPERLINK("https://api.qogita.com/variants/link/3700550226543/", "View Product")</f>
        <v/>
      </c>
    </row>
    <row r="4570">
      <c r="A4570" t="inlineStr">
        <is>
          <t>3700573800003</t>
        </is>
      </c>
      <c r="B4570" t="inlineStr">
        <is>
          <t>MONTANA Collection Edition 1 Women's EDP 100ml</t>
        </is>
      </c>
      <c r="C4570" t="inlineStr">
        <is>
          <t>Eau De Parfum</t>
        </is>
      </c>
      <c r="D4570" t="inlineStr">
        <is>
          <t>Montana</t>
        </is>
      </c>
      <c r="E4570" t="n">
        <v>20.17</v>
      </c>
      <c r="F4570" t="n">
        <v>1</v>
      </c>
      <c r="G4570" t="n">
        <v>2</v>
      </c>
      <c r="H4570" s="5">
        <f>HYPERLINK("https://api.qogita.com/variants/link/3700573800003/", "View Product")</f>
        <v/>
      </c>
    </row>
    <row r="4571">
      <c r="A4571" t="inlineStr">
        <is>
          <t>3700578501943</t>
        </is>
      </c>
      <c r="B4571" t="inlineStr">
        <is>
          <t>Parfums De Marly Delina Hair Perfume 75ml</t>
        </is>
      </c>
      <c r="C4571" t="inlineStr">
        <is>
          <t>Eau De Parfum</t>
        </is>
      </c>
      <c r="D4571" t="inlineStr">
        <is>
          <t>Parfums De Marly</t>
        </is>
      </c>
      <c r="E4571" t="n">
        <v>51.5</v>
      </c>
      <c r="F4571" t="n">
        <v>1</v>
      </c>
      <c r="G4571" t="n">
        <v>34</v>
      </c>
      <c r="H4571" s="5">
        <f>HYPERLINK("https://api.qogita.com/variants/link/3700578501943/", "View Product")</f>
        <v/>
      </c>
    </row>
    <row r="4572">
      <c r="A4572" t="inlineStr">
        <is>
          <t>3700578502094</t>
        </is>
      </c>
      <c r="B4572" t="inlineStr">
        <is>
          <t>Parfum De Marly Oajan Eau De Parfum 125ml</t>
        </is>
      </c>
      <c r="C4572" t="inlineStr">
        <is>
          <t>Eau De Parfum</t>
        </is>
      </c>
      <c r="D4572" t="inlineStr">
        <is>
          <t>Parfums De Marly</t>
        </is>
      </c>
      <c r="E4572" t="n">
        <v>179.09</v>
      </c>
      <c r="F4572" t="n">
        <v>1</v>
      </c>
      <c r="G4572" t="n">
        <v>101</v>
      </c>
      <c r="H4572" s="5">
        <f>HYPERLINK("https://api.qogita.com/variants/link/3700578502094/", "View Product")</f>
        <v/>
      </c>
    </row>
    <row r="4573">
      <c r="A4573" t="inlineStr">
        <is>
          <t>3700578502353</t>
        </is>
      </c>
      <c r="B4573" t="inlineStr">
        <is>
          <t>Herod by Parfums de Marly for Men 4.2 Oz EDP Spray</t>
        </is>
      </c>
      <c r="C4573" t="inlineStr">
        <is>
          <t>Eau De Parfum</t>
        </is>
      </c>
      <c r="D4573" t="inlineStr">
        <is>
          <t>Parfums De Marly</t>
        </is>
      </c>
      <c r="E4573" t="n">
        <v>175.81</v>
      </c>
      <c r="F4573" t="n">
        <v>1</v>
      </c>
      <c r="G4573" t="n">
        <v>3</v>
      </c>
      <c r="H4573" s="5">
        <f>HYPERLINK("https://api.qogita.com/variants/link/3700578502353/", "View Product")</f>
        <v/>
      </c>
    </row>
    <row r="4574">
      <c r="A4574" t="inlineStr">
        <is>
          <t>3700796900245</t>
        </is>
      </c>
      <c r="B4574" t="inlineStr">
        <is>
          <t>Nasamat England Cashmere Eau De Parfum Spray 100ml</t>
        </is>
      </c>
      <c r="C4574" t="inlineStr">
        <is>
          <t>Eau De Parfum</t>
        </is>
      </c>
      <c r="D4574" t="inlineStr">
        <is>
          <t>Nasamat</t>
        </is>
      </c>
      <c r="E4574" t="n">
        <v>53.28</v>
      </c>
      <c r="F4574" t="n">
        <v>1</v>
      </c>
      <c r="G4574" t="n">
        <v>5</v>
      </c>
      <c r="H4574" s="5">
        <f>HYPERLINK("https://api.qogita.com/variants/link/3700796900245/", "View Product")</f>
        <v/>
      </c>
    </row>
    <row r="4575">
      <c r="A4575" t="inlineStr">
        <is>
          <t>3701066205251</t>
        </is>
      </c>
      <c r="B4575" t="inlineStr">
        <is>
          <t>Intensive Purifying Youth Solution</t>
        </is>
      </c>
      <c r="C4575" t="inlineStr">
        <is>
          <t>Anti-Aging Serum</t>
        </is>
      </c>
      <c r="D4575" t="inlineStr">
        <is>
          <t>Dr Renaud</t>
        </is>
      </c>
      <c r="E4575" t="n">
        <v>28.29</v>
      </c>
      <c r="F4575" t="n">
        <v>1</v>
      </c>
      <c r="G4575" t="n">
        <v>16</v>
      </c>
      <c r="H4575" s="5">
        <f>HYPERLINK("https://api.qogita.com/variants/link/3701066205251/", "View Product")</f>
        <v/>
      </c>
    </row>
    <row r="4576">
      <c r="A4576" t="inlineStr">
        <is>
          <t>3701129800119</t>
        </is>
      </c>
      <c r="B4576" t="inlineStr">
        <is>
          <t>Pigmentbio C-Concentrate Brightening Concentrate For Pigmentation Spots 15ml By Pigmentbio</t>
        </is>
      </c>
      <c r="C4576" t="inlineStr">
        <is>
          <t>Vitamin Serum</t>
        </is>
      </c>
      <c r="D4576" t="inlineStr">
        <is>
          <t>Pigmentbio</t>
        </is>
      </c>
      <c r="E4576" t="n">
        <v>18.05</v>
      </c>
      <c r="F4576" t="n">
        <v>1</v>
      </c>
      <c r="G4576" t="n">
        <v>7</v>
      </c>
      <c r="H4576" s="5">
        <f>HYPERLINK("https://api.qogita.com/variants/link/3701129800119/", "View Product")</f>
        <v/>
      </c>
    </row>
    <row r="4577">
      <c r="A4577" t="inlineStr">
        <is>
          <t>3701129801543</t>
        </is>
      </c>
      <c r="B4577" t="inlineStr">
        <is>
          <t>Bioderma Abcder Cold Cream Nourishing Cleansing Cream For Children 1000 Ml</t>
        </is>
      </c>
      <c r="C4577" t="inlineStr">
        <is>
          <t>Baby Cream &amp; Oil</t>
        </is>
      </c>
      <c r="D4577" t="inlineStr">
        <is>
          <t>Bioderma</t>
        </is>
      </c>
      <c r="E4577" t="n">
        <v>21.57</v>
      </c>
      <c r="F4577" t="n">
        <v>1</v>
      </c>
      <c r="G4577" t="n">
        <v>3</v>
      </c>
      <c r="H4577" s="5">
        <f>HYPERLINK("https://api.qogita.com/variants/link/3701129801543/", "View Product")</f>
        <v/>
      </c>
    </row>
    <row r="4578">
      <c r="A4578" t="inlineStr">
        <is>
          <t>3701129802007</t>
        </is>
      </c>
      <c r="B4578" t="inlineStr">
        <is>
          <t>Bioderma Atoderm Shower Cream 1000ml Nourishing And Protective Cleansing Cream</t>
        </is>
      </c>
      <c r="C4578" t="inlineStr">
        <is>
          <t>Shower Gel</t>
        </is>
      </c>
      <c r="D4578" t="inlineStr">
        <is>
          <t>Bioderma</t>
        </is>
      </c>
      <c r="E4578" t="n">
        <v>15.63</v>
      </c>
      <c r="F4578" t="n">
        <v>1</v>
      </c>
      <c r="G4578" t="n">
        <v>5</v>
      </c>
      <c r="H4578" s="5">
        <f>HYPERLINK("https://api.qogita.com/variants/link/3701129802007/", "View Product")</f>
        <v/>
      </c>
    </row>
    <row r="4579">
      <c r="A4579" t="inlineStr">
        <is>
          <t>3701129802076</t>
        </is>
      </c>
      <c r="B4579" t="inlineStr">
        <is>
          <t>Bioderma Atoderm Intensive Baume Ultra Soothing Balm 500ml</t>
        </is>
      </c>
      <c r="C4579" t="inlineStr">
        <is>
          <t>Body Lotion</t>
        </is>
      </c>
      <c r="D4579" t="inlineStr">
        <is>
          <t>Bioderma</t>
        </is>
      </c>
      <c r="E4579" t="n">
        <v>18.53</v>
      </c>
      <c r="F4579" t="n">
        <v>1</v>
      </c>
      <c r="G4579" t="n">
        <v>2</v>
      </c>
      <c r="H4579" s="5">
        <f>HYPERLINK("https://api.qogita.com/variants/link/3701129802076/", "View Product")</f>
        <v/>
      </c>
    </row>
    <row r="4580">
      <c r="A4580" t="inlineStr">
        <is>
          <t>3701129803400</t>
        </is>
      </c>
      <c r="B4580" t="inlineStr">
        <is>
          <t>Bioderma Sbium Active Foaming Gel 200 Ml For Acneic And Oily Skin</t>
        </is>
      </c>
      <c r="C4580" t="inlineStr">
        <is>
          <t>Cleansing Gel</t>
        </is>
      </c>
      <c r="D4580" t="inlineStr">
        <is>
          <t>Bioderma</t>
        </is>
      </c>
      <c r="E4580" t="n">
        <v>12.62</v>
      </c>
      <c r="F4580" t="n">
        <v>1</v>
      </c>
      <c r="G4580" t="n">
        <v>5</v>
      </c>
      <c r="H4580" s="5">
        <f>HYPERLINK("https://api.qogita.com/variants/link/3701129803400/", "View Product")</f>
        <v/>
      </c>
    </row>
    <row r="4581">
      <c r="A4581" t="inlineStr">
        <is>
          <t>3701129803448</t>
        </is>
      </c>
      <c r="B4581" t="inlineStr">
        <is>
          <t>Bioderma Tinted Protective Fluid With The Effect Of Natural Makeup Spf 50 40 Ml</t>
        </is>
      </c>
      <c r="C4581" t="inlineStr">
        <is>
          <t>Face Sun Protection</t>
        </is>
      </c>
      <c r="D4581" t="inlineStr">
        <is>
          <t>Bioderma</t>
        </is>
      </c>
      <c r="E4581" t="n">
        <v>17.15</v>
      </c>
      <c r="F4581" t="n">
        <v>1</v>
      </c>
      <c r="G4581" t="n">
        <v>21</v>
      </c>
      <c r="H4581" s="5">
        <f>HYPERLINK("https://api.qogita.com/variants/link/3701129803448/", "View Product")</f>
        <v/>
      </c>
    </row>
    <row r="4582">
      <c r="A4582" t="inlineStr">
        <is>
          <t>3701129803455</t>
        </is>
      </c>
      <c r="B4582" t="inlineStr">
        <is>
          <t>Bioderma Photoderm Nude Touch Mineral Spf50 Very Light 40ml</t>
        </is>
      </c>
      <c r="C4582" t="inlineStr">
        <is>
          <t>Face Sun Protection</t>
        </is>
      </c>
      <c r="D4582" t="inlineStr">
        <is>
          <t>Bioderma</t>
        </is>
      </c>
      <c r="E4582" t="n">
        <v>13.07</v>
      </c>
      <c r="F4582" t="n">
        <v>1</v>
      </c>
      <c r="G4582" t="n">
        <v>12</v>
      </c>
      <c r="H4582" s="5">
        <f>HYPERLINK("https://api.qogita.com/variants/link/3701129803455/", "View Product")</f>
        <v/>
      </c>
    </row>
    <row r="4583">
      <c r="A4583" t="inlineStr">
        <is>
          <t>3701129804049</t>
        </is>
      </c>
      <c r="B4583" t="inlineStr">
        <is>
          <t>Bioderma Sensibio Ar Bb Cream Spf 30 40ml For Sensitive Skin</t>
        </is>
      </c>
      <c r="C4583" t="inlineStr">
        <is>
          <t>Tinted Day Cream</t>
        </is>
      </c>
      <c r="D4583" t="inlineStr">
        <is>
          <t>Bioderma</t>
        </is>
      </c>
      <c r="E4583" t="n">
        <v>13.06</v>
      </c>
      <c r="F4583" t="n">
        <v>1</v>
      </c>
      <c r="G4583" t="n">
        <v>22</v>
      </c>
      <c r="H4583" s="5">
        <f>HYPERLINK("https://api.qogita.com/variants/link/3701129804049/", "View Product")</f>
        <v/>
      </c>
    </row>
    <row r="4584">
      <c r="A4584" t="inlineStr">
        <is>
          <t>3701129804438</t>
        </is>
      </c>
      <c r="B4584" t="inlineStr">
        <is>
          <t>Bioderma Photoderm Stick SPF50+ 8g</t>
        </is>
      </c>
      <c r="C4584" t="inlineStr">
        <is>
          <t>Body Sun Protection</t>
        </is>
      </c>
      <c r="D4584" t="inlineStr">
        <is>
          <t>Bioderma</t>
        </is>
      </c>
      <c r="E4584" t="n">
        <v>8.859999999999999</v>
      </c>
      <c r="F4584" t="n">
        <v>1</v>
      </c>
      <c r="G4584" t="n">
        <v>10</v>
      </c>
      <c r="H4584" s="5">
        <f>HYPERLINK("https://api.qogita.com/variants/link/3701129804438/", "View Product")</f>
        <v/>
      </c>
    </row>
    <row r="4585">
      <c r="A4585" t="inlineStr">
        <is>
          <t>3701129804469</t>
        </is>
      </c>
      <c r="B4585" t="inlineStr">
        <is>
          <t>Bioderma Sensibio Defensive Rich 40ml Active Soothing Cream For Sensitive Skin</t>
        </is>
      </c>
      <c r="C4585" t="inlineStr">
        <is>
          <t>Face Cream</t>
        </is>
      </c>
      <c r="D4585" t="inlineStr">
        <is>
          <t>Bioderma</t>
        </is>
      </c>
      <c r="E4585" t="n">
        <v>11.01</v>
      </c>
      <c r="F4585" t="n">
        <v>1</v>
      </c>
      <c r="G4585" t="n">
        <v>34</v>
      </c>
      <c r="H4585" s="5">
        <f>HYPERLINK("https://api.qogita.com/variants/link/3701129804469/", "View Product")</f>
        <v/>
      </c>
    </row>
    <row r="4586">
      <c r="A4586" t="inlineStr">
        <is>
          <t>3701129804773</t>
        </is>
      </c>
      <c r="B4586" t="inlineStr">
        <is>
          <t>Noda P Soothing Moderate Dandruff Shampoo 400ml</t>
        </is>
      </c>
      <c r="C4586" t="inlineStr">
        <is>
          <t>Shampoo</t>
        </is>
      </c>
      <c r="D4586" t="inlineStr">
        <is>
          <t>Bioderma</t>
        </is>
      </c>
      <c r="E4586" t="n">
        <v>14.04</v>
      </c>
      <c r="F4586" t="n">
        <v>1</v>
      </c>
      <c r="G4586" t="n">
        <v>40</v>
      </c>
      <c r="H4586" s="5">
        <f>HYPERLINK("https://api.qogita.com/variants/link/3701129804773/", "View Product")</f>
        <v/>
      </c>
    </row>
    <row r="4587">
      <c r="A4587" t="inlineStr">
        <is>
          <t>3701129804780</t>
        </is>
      </c>
      <c r="B4587" t="inlineStr">
        <is>
          <t>Bioderma Node P Anti-Dandruff Shampoo 400ml</t>
        </is>
      </c>
      <c r="C4587" t="inlineStr">
        <is>
          <t>Shampoo</t>
        </is>
      </c>
      <c r="D4587" t="inlineStr">
        <is>
          <t>Bioderma</t>
        </is>
      </c>
      <c r="E4587" t="n">
        <v>13.94</v>
      </c>
      <c r="F4587" t="n">
        <v>1</v>
      </c>
      <c r="G4587" t="n">
        <v>18</v>
      </c>
      <c r="H4587" s="5">
        <f>HYPERLINK("https://api.qogita.com/variants/link/3701129804780/", "View Product")</f>
        <v/>
      </c>
    </row>
    <row r="4588">
      <c r="A4588" t="inlineStr">
        <is>
          <t>3701129805343</t>
        </is>
      </c>
      <c r="B4588" t="inlineStr">
        <is>
          <t>Bioderma Atoderm Crme Ultranourishing Cream 500ml</t>
        </is>
      </c>
      <c r="C4588" t="inlineStr">
        <is>
          <t>Body Lotion</t>
        </is>
      </c>
      <c r="D4588" t="inlineStr">
        <is>
          <t>Bioderma</t>
        </is>
      </c>
      <c r="E4588" t="n">
        <v>12.1</v>
      </c>
      <c r="F4588" t="n">
        <v>1</v>
      </c>
      <c r="G4588" t="n">
        <v>422</v>
      </c>
      <c r="H4588" s="5">
        <f>HYPERLINK("https://api.qogita.com/variants/link/3701129805343/", "View Product")</f>
        <v/>
      </c>
    </row>
    <row r="4589">
      <c r="A4589" t="inlineStr">
        <is>
          <t>3701129805824</t>
        </is>
      </c>
      <c r="B4589" t="inlineStr">
        <is>
          <t>Bioderma Atoderm Ultra-Nourishing Moisturising Cream 500ml - Pack of 2</t>
        </is>
      </c>
      <c r="C4589" t="inlineStr">
        <is>
          <t>Body Lotion</t>
        </is>
      </c>
      <c r="D4589" t="inlineStr">
        <is>
          <t>Bioderma</t>
        </is>
      </c>
      <c r="E4589" t="n">
        <v>19.28</v>
      </c>
      <c r="F4589" t="n">
        <v>1</v>
      </c>
      <c r="G4589" t="n">
        <v>37</v>
      </c>
      <c r="H4589" s="5">
        <f>HYPERLINK("https://api.qogita.com/variants/link/3701129805824/", "View Product")</f>
        <v/>
      </c>
    </row>
    <row r="4590">
      <c r="A4590" t="inlineStr">
        <is>
          <t>3701129807385</t>
        </is>
      </c>
      <c r="B4590" t="inlineStr">
        <is>
          <t>Bioderma Photoderm Aquafluide Invisible Fluid Spf50 40ml</t>
        </is>
      </c>
      <c r="C4590" t="inlineStr">
        <is>
          <t>Face Sun Protection</t>
        </is>
      </c>
      <c r="D4590" t="inlineStr">
        <is>
          <t>Bioderma</t>
        </is>
      </c>
      <c r="E4590" t="n">
        <v>12.15</v>
      </c>
      <c r="F4590" t="n">
        <v>1</v>
      </c>
      <c r="G4590" t="n">
        <v>14</v>
      </c>
      <c r="H4590" s="5">
        <f>HYPERLINK("https://api.qogita.com/variants/link/3701129807385/", "View Product")</f>
        <v/>
      </c>
    </row>
    <row r="4591">
      <c r="A4591" t="inlineStr">
        <is>
          <t>3701129807729</t>
        </is>
      </c>
      <c r="B4591" t="inlineStr">
        <is>
          <t>Bioderma Sensibio Ds Gel Purifying Soothing Cleansing Gel 200ml</t>
        </is>
      </c>
      <c r="C4591" t="inlineStr">
        <is>
          <t>Cleansing Gel</t>
        </is>
      </c>
      <c r="D4591" t="inlineStr">
        <is>
          <t>Bioderma</t>
        </is>
      </c>
      <c r="E4591" t="n">
        <v>9.970000000000001</v>
      </c>
      <c r="F4591" t="n">
        <v>1</v>
      </c>
      <c r="G4591" t="n">
        <v>51</v>
      </c>
      <c r="H4591" s="5">
        <f>HYPERLINK("https://api.qogita.com/variants/link/3701129807729/", "View Product")</f>
        <v/>
      </c>
    </row>
    <row r="4592">
      <c r="A4592" t="inlineStr">
        <is>
          <t>3701129807934</t>
        </is>
      </c>
      <c r="B4592" t="inlineStr">
        <is>
          <t>Bioderma Atoderm 2 In 1 Oil Dry Body Oil 150 Ml</t>
        </is>
      </c>
      <c r="C4592" t="inlineStr">
        <is>
          <t>Body Oil</t>
        </is>
      </c>
      <c r="D4592" t="inlineStr">
        <is>
          <t>Bioderma</t>
        </is>
      </c>
      <c r="E4592" t="n">
        <v>16.08</v>
      </c>
      <c r="F4592" t="n">
        <v>1</v>
      </c>
      <c r="G4592" t="n">
        <v>39</v>
      </c>
      <c r="H4592" s="5">
        <f>HYPERLINK("https://api.qogita.com/variants/link/3701129807934/", "View Product")</f>
        <v/>
      </c>
    </row>
    <row r="4593">
      <c r="A4593" t="inlineStr">
        <is>
          <t>3701129810019</t>
        </is>
      </c>
      <c r="B4593" t="inlineStr">
        <is>
          <t>Bioderma Cicabio Soothing Protective Cleansing Balm 200 Ml</t>
        </is>
      </c>
      <c r="C4593" t="inlineStr">
        <is>
          <t>Facial Cleansing</t>
        </is>
      </c>
      <c r="D4593" t="inlineStr">
        <is>
          <t>Bioderma</t>
        </is>
      </c>
      <c r="E4593" t="n">
        <v>9.470000000000001</v>
      </c>
      <c r="F4593" t="n">
        <v>1</v>
      </c>
      <c r="G4593" t="n">
        <v>14</v>
      </c>
      <c r="H4593" s="5">
        <f>HYPERLINK("https://api.qogita.com/variants/link/3701129810019/", "View Product")</f>
        <v/>
      </c>
    </row>
    <row r="4594">
      <c r="A4594" t="inlineStr">
        <is>
          <t>3701129811542</t>
        </is>
      </c>
      <c r="B4594" t="inlineStr">
        <is>
          <t>Bioderma Atoderm Shower Gel Body Wash for Normal, Dry &amp; Sensitive Skin</t>
        </is>
      </c>
      <c r="C4594" t="inlineStr">
        <is>
          <t>Shower Gel</t>
        </is>
      </c>
      <c r="D4594" t="inlineStr">
        <is>
          <t>Bioderma</t>
        </is>
      </c>
      <c r="E4594" t="n">
        <v>10.61</v>
      </c>
      <c r="F4594" t="n">
        <v>1</v>
      </c>
      <c r="G4594" t="n">
        <v>56</v>
      </c>
      <c r="H4594" s="5">
        <f>HYPERLINK("https://api.qogita.com/variants/link/3701129811542/", "View Product")</f>
        <v/>
      </c>
    </row>
    <row r="4595">
      <c r="A4595" t="inlineStr">
        <is>
          <t>3701129812013</t>
        </is>
      </c>
      <c r="B4595" t="inlineStr">
        <is>
          <t>Bioderma Sebium H2o Specific Acne Micellar Solution 500 Ml</t>
        </is>
      </c>
      <c r="C4595" t="inlineStr">
        <is>
          <t>Micellar Water</t>
        </is>
      </c>
      <c r="D4595" t="inlineStr">
        <is>
          <t>Bioderma</t>
        </is>
      </c>
      <c r="E4595" t="n">
        <v>10.88</v>
      </c>
      <c r="F4595" t="n">
        <v>1</v>
      </c>
      <c r="G4595" t="n">
        <v>75</v>
      </c>
      <c r="H4595" s="5">
        <f>HYPERLINK("https://api.qogita.com/variants/link/3701129812013/", "View Product")</f>
        <v/>
      </c>
    </row>
    <row r="4596">
      <c r="A4596" t="inlineStr">
        <is>
          <t>3701129813614</t>
        </is>
      </c>
      <c r="B4596" t="inlineStr">
        <is>
          <t>Bioderma Photoderm Xdefense Neutral Spf 50+ Colorless 40ml - High Protection Sunscreen</t>
        </is>
      </c>
      <c r="C4596" t="inlineStr">
        <is>
          <t>Face Sun Protection</t>
        </is>
      </c>
      <c r="D4596" t="inlineStr">
        <is>
          <t>Bioderma</t>
        </is>
      </c>
      <c r="E4596" t="n">
        <v>17.35</v>
      </c>
      <c r="F4596" t="n">
        <v>1</v>
      </c>
      <c r="G4596" t="n">
        <v>11</v>
      </c>
      <c r="H4596" s="5">
        <f>HYPERLINK("https://api.qogita.com/variants/link/3701129813614/", "View Product")</f>
        <v/>
      </c>
    </row>
    <row r="4597">
      <c r="A4597" t="inlineStr">
        <is>
          <t>3701129813621</t>
        </is>
      </c>
      <c r="B4597" t="inlineStr">
        <is>
          <t>Photoderm Xdefense Ultra Fluid SPF 50+ 40ml Shade 01 - Very Light</t>
        </is>
      </c>
      <c r="C4597" t="inlineStr">
        <is>
          <t>Face Sun Protection</t>
        </is>
      </c>
      <c r="D4597" t="inlineStr">
        <is>
          <t>Bioderma</t>
        </is>
      </c>
      <c r="E4597" t="n">
        <v>17.35</v>
      </c>
      <c r="F4597" t="n">
        <v>1</v>
      </c>
      <c r="G4597" t="n">
        <v>11</v>
      </c>
      <c r="H4597" s="5">
        <f>HYPERLINK("https://api.qogita.com/variants/link/3701129813621/", "View Product")</f>
        <v/>
      </c>
    </row>
    <row r="4598">
      <c r="A4598" t="inlineStr">
        <is>
          <t>3701278600479</t>
        </is>
      </c>
      <c r="B4598" t="inlineStr">
        <is>
          <t>Alexandre.J The Collector Rose Alba Eau De Parfum 100ml</t>
        </is>
      </c>
      <c r="C4598" t="inlineStr">
        <is>
          <t>Eau De Parfum</t>
        </is>
      </c>
      <c r="D4598" t="inlineStr">
        <is>
          <t>Alexandre J</t>
        </is>
      </c>
      <c r="E4598" t="n">
        <v>58.15</v>
      </c>
      <c r="F4598" t="n">
        <v>1</v>
      </c>
      <c r="G4598" t="n">
        <v>20</v>
      </c>
      <c r="H4598" s="5">
        <f>HYPERLINK("https://api.qogita.com/variants/link/3701278600479/", "View Product")</f>
        <v/>
      </c>
    </row>
    <row r="4599">
      <c r="A4599" t="inlineStr">
        <is>
          <t>3701278600851</t>
        </is>
      </c>
      <c r="B4599" t="inlineStr">
        <is>
          <t>ALEXANDRE J The Majestic Musk 100ml EDP 1920 Art Deco</t>
        </is>
      </c>
      <c r="C4599" t="inlineStr">
        <is>
          <t>Eau De Parfum</t>
        </is>
      </c>
      <c r="D4599" t="inlineStr">
        <is>
          <t>Alexandre J</t>
        </is>
      </c>
      <c r="E4599" t="n">
        <v>67.73999999999999</v>
      </c>
      <c r="F4599" t="n">
        <v>1</v>
      </c>
      <c r="G4599" t="n">
        <v>14</v>
      </c>
      <c r="H4599" s="5">
        <f>HYPERLINK("https://api.qogita.com/variants/link/3701278600851/", "View Product")</f>
        <v/>
      </c>
    </row>
    <row r="4600">
      <c r="A4600" t="inlineStr">
        <is>
          <t>3701392053106</t>
        </is>
      </c>
      <c r="B4600" t="inlineStr">
        <is>
          <t>Sophie La Girafe 5310 100 Ml Skincare Water Gift Set + Sophie Soft Toy</t>
        </is>
      </c>
      <c r="C4600" t="inlineStr">
        <is>
          <t>Baby Cream &amp; Oil</t>
        </is>
      </c>
      <c r="D4600" t="inlineStr">
        <is>
          <t>Sophie La Girafe</t>
        </is>
      </c>
      <c r="E4600" t="n">
        <v>19.07</v>
      </c>
      <c r="F4600" t="n">
        <v>1</v>
      </c>
      <c r="G4600" t="n">
        <v>22</v>
      </c>
      <c r="H4600" s="5">
        <f>HYPERLINK("https://api.qogita.com/variants/link/3701392053106/", "View Product")</f>
        <v/>
      </c>
    </row>
    <row r="4601">
      <c r="A4601" t="inlineStr">
        <is>
          <t>3701415900134</t>
        </is>
      </c>
      <c r="B4601" t="inlineStr">
        <is>
          <t>Initio Parfums Prives Mystic Experience Eau De Parfum 90ml</t>
        </is>
      </c>
      <c r="C4601" t="inlineStr">
        <is>
          <t>Eau De Parfum</t>
        </is>
      </c>
      <c r="D4601" t="inlineStr">
        <is>
          <t>Initio Parfums Prives</t>
        </is>
      </c>
      <c r="E4601" t="n">
        <v>157.25</v>
      </c>
      <c r="F4601" t="n">
        <v>1</v>
      </c>
      <c r="G4601" t="n">
        <v>2</v>
      </c>
      <c r="H4601" s="5">
        <f>HYPERLINK("https://api.qogita.com/variants/link/3701415900134/", "View Product")</f>
        <v/>
      </c>
    </row>
    <row r="4602">
      <c r="A4602" t="inlineStr">
        <is>
          <t>3701415900844</t>
        </is>
      </c>
      <c r="B4602" t="inlineStr">
        <is>
          <t>Initio Parfums Prives Oud For Happiness Eau De Parfum Spray 90ml</t>
        </is>
      </c>
      <c r="C4602" t="inlineStr">
        <is>
          <t>Eau De Parfum</t>
        </is>
      </c>
      <c r="D4602" t="inlineStr">
        <is>
          <t>Initio Parfums Prives</t>
        </is>
      </c>
      <c r="E4602" t="n">
        <v>162.76</v>
      </c>
      <c r="F4602" t="n">
        <v>1</v>
      </c>
      <c r="G4602" t="n">
        <v>22</v>
      </c>
      <c r="H4602" s="5">
        <f>HYPERLINK("https://api.qogita.com/variants/link/3701415900844/", "View Product")</f>
        <v/>
      </c>
    </row>
    <row r="4603">
      <c r="A4603" t="inlineStr">
        <is>
          <t>3701415901407</t>
        </is>
      </c>
      <c r="B4603" t="inlineStr">
        <is>
          <t>Initio High Frequency 3.04 oz Eau de Parfum Spray for Women</t>
        </is>
      </c>
      <c r="C4603" t="inlineStr">
        <is>
          <t>Eau De Parfum</t>
        </is>
      </c>
      <c r="D4603" t="inlineStr">
        <is>
          <t>Initio</t>
        </is>
      </c>
      <c r="E4603" t="n">
        <v>152.3</v>
      </c>
      <c r="F4603" t="n">
        <v>1</v>
      </c>
      <c r="G4603" t="n">
        <v>17</v>
      </c>
      <c r="H4603" s="5">
        <f>HYPERLINK("https://api.qogita.com/variants/link/3701415901407/", "View Product")</f>
        <v/>
      </c>
    </row>
    <row r="4604">
      <c r="A4604" t="inlineStr">
        <is>
          <t>3701415901414</t>
        </is>
      </c>
      <c r="B4604" t="inlineStr">
        <is>
          <t>Initio Psychedelic Love Eau De Parfum 90ml</t>
        </is>
      </c>
      <c r="C4604" t="inlineStr">
        <is>
          <t>Eau De Parfum</t>
        </is>
      </c>
      <c r="D4604" t="inlineStr">
        <is>
          <t>Initio</t>
        </is>
      </c>
      <c r="E4604" t="n">
        <v>163.91</v>
      </c>
      <c r="F4604" t="n">
        <v>1</v>
      </c>
      <c r="G4604" t="n">
        <v>36</v>
      </c>
      <c r="H4604" s="5">
        <f>HYPERLINK("https://api.qogita.com/variants/link/3701415901414/", "View Product")</f>
        <v/>
      </c>
    </row>
    <row r="4605">
      <c r="A4605" t="inlineStr">
        <is>
          <t>3701436908317</t>
        </is>
      </c>
      <c r="B4605" t="inlineStr">
        <is>
          <t>Lierac Cleansing Milk 200ml</t>
        </is>
      </c>
      <c r="C4605" t="inlineStr">
        <is>
          <t>Cleansing Milk</t>
        </is>
      </c>
      <c r="D4605" t="inlineStr">
        <is>
          <t>Lierac</t>
        </is>
      </c>
      <c r="E4605" t="n">
        <v>9.81</v>
      </c>
      <c r="F4605" t="n">
        <v>1</v>
      </c>
      <c r="G4605" t="n">
        <v>21</v>
      </c>
      <c r="H4605" s="5">
        <f>HYPERLINK("https://api.qogita.com/variants/link/3701436908317/", "View Product")</f>
        <v/>
      </c>
    </row>
    <row r="4606">
      <c r="A4606" t="inlineStr">
        <is>
          <t>3701436908324</t>
        </is>
      </c>
      <c r="B4606" t="inlineStr">
        <is>
          <t>Lierac Demaq The Moisturizing Lotion - 200ml</t>
        </is>
      </c>
      <c r="C4606" t="inlineStr">
        <is>
          <t>Face Lotion</t>
        </is>
      </c>
      <c r="D4606" t="inlineStr">
        <is>
          <t>Lierac</t>
        </is>
      </c>
      <c r="E4606" t="n">
        <v>9.210000000000001</v>
      </c>
      <c r="F4606" t="n">
        <v>1</v>
      </c>
      <c r="G4606" t="n">
        <v>5</v>
      </c>
      <c r="H4606" s="5">
        <f>HYPERLINK("https://api.qogita.com/variants/link/3701436908324/", "View Product")</f>
        <v/>
      </c>
    </row>
    <row r="4607">
      <c r="A4607" t="inlineStr">
        <is>
          <t>3701436908348</t>
        </is>
      </c>
      <c r="B4607" t="inlineStr">
        <is>
          <t>Lierac Cleansing Foam 150ml</t>
        </is>
      </c>
      <c r="C4607" t="inlineStr">
        <is>
          <t>Cleansing Foam</t>
        </is>
      </c>
      <c r="D4607" t="inlineStr">
        <is>
          <t>Lierac</t>
        </is>
      </c>
      <c r="E4607" t="n">
        <v>9.380000000000001</v>
      </c>
      <c r="F4607" t="n">
        <v>1</v>
      </c>
      <c r="G4607" t="n">
        <v>32</v>
      </c>
      <c r="H4607" s="5">
        <f>HYPERLINK("https://api.qogita.com/variants/link/3701436908348/", "View Product")</f>
        <v/>
      </c>
    </row>
    <row r="4608">
      <c r="A4608" t="inlineStr">
        <is>
          <t>3701436910938</t>
        </is>
      </c>
      <c r="B4608" t="inlineStr">
        <is>
          <t>Lierac Hydragenist The Rehydrating Radiance Cream - 50ml</t>
        </is>
      </c>
      <c r="C4608" t="inlineStr">
        <is>
          <t>Face Cream</t>
        </is>
      </c>
      <c r="D4608" t="inlineStr">
        <is>
          <t>Lierac</t>
        </is>
      </c>
      <c r="E4608" t="n">
        <v>24.9</v>
      </c>
      <c r="F4608" t="n">
        <v>1</v>
      </c>
      <c r="G4608" t="n">
        <v>18</v>
      </c>
      <c r="H4608" s="5">
        <f>HYPERLINK("https://api.qogita.com/variants/link/3701436910938/", "View Product")</f>
        <v/>
      </c>
    </row>
    <row r="4609">
      <c r="A4609" t="inlineStr">
        <is>
          <t>3701436910945</t>
        </is>
      </c>
      <c r="B4609" t="inlineStr">
        <is>
          <t>Lierac Hydragenist Rehydrating Gelcream 50ml</t>
        </is>
      </c>
      <c r="C4609" t="inlineStr">
        <is>
          <t>Face Cream</t>
        </is>
      </c>
      <c r="D4609" t="inlineStr">
        <is>
          <t>Lierac</t>
        </is>
      </c>
      <c r="E4609" t="n">
        <v>20.63</v>
      </c>
      <c r="F4609" t="n">
        <v>1</v>
      </c>
      <c r="G4609" t="n">
        <v>21</v>
      </c>
      <c r="H4609" s="5">
        <f>HYPERLINK("https://api.qogita.com/variants/link/3701436910945/", "View Product")</f>
        <v/>
      </c>
    </row>
    <row r="4610">
      <c r="A4610" t="inlineStr">
        <is>
          <t>3701436910952</t>
        </is>
      </c>
      <c r="B4610" t="inlineStr">
        <is>
          <t>Lierac Hydragenist The Rehydrating Serum Moisturizing And Illuminating Face Serum 30ml</t>
        </is>
      </c>
      <c r="C4610" t="inlineStr">
        <is>
          <t>Hydrating Serum</t>
        </is>
      </c>
      <c r="D4610" t="inlineStr">
        <is>
          <t>Lierac</t>
        </is>
      </c>
      <c r="E4610" t="n">
        <v>23</v>
      </c>
      <c r="F4610" t="n">
        <v>1</v>
      </c>
      <c r="G4610" t="n">
        <v>2</v>
      </c>
      <c r="H4610" s="5">
        <f>HYPERLINK("https://api.qogita.com/variants/link/3701436910952/", "View Product")</f>
        <v/>
      </c>
    </row>
    <row r="4611">
      <c r="A4611" t="inlineStr">
        <is>
          <t>3701436910969</t>
        </is>
      </c>
      <c r="B4611" t="inlineStr">
        <is>
          <t>Lierac Hydragenist Rehydrating Eye Cream 15ml</t>
        </is>
      </c>
      <c r="C4611" t="inlineStr">
        <is>
          <t>Eye Cream</t>
        </is>
      </c>
      <c r="D4611" t="inlineStr">
        <is>
          <t>Lierac</t>
        </is>
      </c>
      <c r="E4611" t="n">
        <v>18.34</v>
      </c>
      <c r="F4611" t="n">
        <v>1</v>
      </c>
      <c r="G4611" t="n">
        <v>22</v>
      </c>
      <c r="H4611" s="5">
        <f>HYPERLINK("https://api.qogita.com/variants/link/3701436910969/", "View Product")</f>
        <v/>
      </c>
    </row>
    <row r="4612">
      <c r="A4612" t="inlineStr">
        <is>
          <t>3701436913199</t>
        </is>
      </c>
      <c r="B4612" t="inlineStr">
        <is>
          <t>Phyto Softness Dry Shampoo With Prebiotic 75ml</t>
        </is>
      </c>
      <c r="C4612" t="inlineStr">
        <is>
          <t>Dry Shampoo</t>
        </is>
      </c>
      <c r="D4612" t="inlineStr">
        <is>
          <t>Phyto</t>
        </is>
      </c>
      <c r="E4612" t="n">
        <v>4.62</v>
      </c>
      <c r="F4612" t="n">
        <v>1</v>
      </c>
      <c r="G4612" t="n">
        <v>2</v>
      </c>
      <c r="H4612" s="5">
        <f>HYPERLINK("https://api.qogita.com/variants/link/3701436913199/", "View Product")</f>
        <v/>
      </c>
    </row>
    <row r="4613">
      <c r="A4613" t="inlineStr">
        <is>
          <t>3701436915780</t>
        </is>
      </c>
      <c r="B4613" t="inlineStr">
        <is>
          <t>Roger &amp; Gallet Open Eau De Toilette</t>
        </is>
      </c>
      <c r="C4613" t="inlineStr">
        <is>
          <t>Eau De Toilette</t>
        </is>
      </c>
      <c r="D4613" t="inlineStr">
        <is>
          <t>Roger Gallet</t>
        </is>
      </c>
      <c r="E4613" t="n">
        <v>14.3</v>
      </c>
      <c r="F4613" t="n">
        <v>1</v>
      </c>
      <c r="G4613" t="n">
        <v>225</v>
      </c>
      <c r="H4613" s="5">
        <f>HYPERLINK("https://api.qogita.com/variants/link/3701436915780/", "View Product")</f>
        <v/>
      </c>
    </row>
    <row r="4614">
      <c r="A4614" t="inlineStr">
        <is>
          <t>3701436917531</t>
        </is>
      </c>
      <c r="B4614" t="inlineStr">
        <is>
          <t>Lierac Sunissime Tanning Oil Spf30 150ml</t>
        </is>
      </c>
      <c r="C4614" t="inlineStr">
        <is>
          <t>Body Sun Protection</t>
        </is>
      </c>
      <c r="D4614" t="inlineStr">
        <is>
          <t>Lierac</t>
        </is>
      </c>
      <c r="E4614" t="n">
        <v>22.53</v>
      </c>
      <c r="F4614" t="n">
        <v>1</v>
      </c>
      <c r="G4614" t="n">
        <v>7</v>
      </c>
      <c r="H4614" s="5">
        <f>HYPERLINK("https://api.qogita.com/variants/link/3701436917531/", "View Product")</f>
        <v/>
      </c>
    </row>
    <row r="4615">
      <c r="A4615" t="inlineStr">
        <is>
          <t>3701436922092</t>
        </is>
      </c>
      <c r="B4615" t="inlineStr">
        <is>
          <t>DIOPTI Eye Contour Cream Wrinkle Correction 15ml</t>
        </is>
      </c>
      <c r="C4615" t="inlineStr">
        <is>
          <t>Eye Cream</t>
        </is>
      </c>
      <c r="D4615" t="inlineStr">
        <is>
          <t>Lierac</t>
        </is>
      </c>
      <c r="E4615" t="n">
        <v>16.04</v>
      </c>
      <c r="F4615" t="n">
        <v>1</v>
      </c>
      <c r="G4615" t="n">
        <v>19</v>
      </c>
      <c r="H4615" s="5">
        <f>HYPERLINK("https://api.qogita.com/variants/link/3701436922092/", "View Product")</f>
        <v/>
      </c>
    </row>
    <row r="4616">
      <c r="A4616" t="inlineStr">
        <is>
          <t>3701436926298</t>
        </is>
      </c>
      <c r="B4616" t="inlineStr">
        <is>
          <t>Lierac Protocol Anti-Dark Spots The Serum 30 Ml - Serum Against Pigment Spots</t>
        </is>
      </c>
      <c r="C4616" t="inlineStr">
        <is>
          <t>Face Serum</t>
        </is>
      </c>
      <c r="D4616" t="inlineStr">
        <is>
          <t>Lierac</t>
        </is>
      </c>
      <c r="E4616" t="n">
        <v>29.49</v>
      </c>
      <c r="F4616" t="n">
        <v>1</v>
      </c>
      <c r="G4616" t="n">
        <v>5</v>
      </c>
      <c r="H4616" s="5">
        <f>HYPERLINK("https://api.qogita.com/variants/link/3701436926298/", "View Product")</f>
        <v/>
      </c>
    </row>
    <row r="4617">
      <c r="A4617" t="inlineStr">
        <is>
          <t>3701436930707</t>
        </is>
      </c>
      <c r="B4617" t="inlineStr">
        <is>
          <t>Roger &amp; Gallet Nroli Body Lotion 250ml</t>
        </is>
      </c>
      <c r="C4617" t="inlineStr">
        <is>
          <t>Body Lotion</t>
        </is>
      </c>
      <c r="D4617" t="inlineStr">
        <is>
          <t>Roger &amp; Gallet</t>
        </is>
      </c>
      <c r="E4617" t="n">
        <v>11.38</v>
      </c>
      <c r="F4617" t="n">
        <v>1</v>
      </c>
      <c r="G4617" t="n">
        <v>6</v>
      </c>
      <c r="H4617" s="5">
        <f>HYPERLINK("https://api.qogita.com/variants/link/3701436930707/", "View Product")</f>
        <v/>
      </c>
    </row>
    <row r="4618">
      <c r="A4618" t="inlineStr">
        <is>
          <t>3751970010540</t>
        </is>
      </c>
      <c r="B4618" t="inlineStr">
        <is>
          <t>Royal Collection Saa-Ed Eau De Parfum</t>
        </is>
      </c>
      <c r="C4618" t="inlineStr">
        <is>
          <t>Eau De Parfum</t>
        </is>
      </c>
      <c r="D4618" t="inlineStr">
        <is>
          <t>Royal Collection</t>
        </is>
      </c>
      <c r="E4618" t="n">
        <v>15.52</v>
      </c>
      <c r="F4618" t="n">
        <v>1</v>
      </c>
      <c r="G4618" t="n">
        <v>5</v>
      </c>
      <c r="H4618" s="5">
        <f>HYPERLINK("https://api.qogita.com/variants/link/3751970010540/", "View Product")</f>
        <v/>
      </c>
    </row>
    <row r="4619">
      <c r="A4619" t="inlineStr">
        <is>
          <t>3760004321354</t>
        </is>
      </c>
      <c r="B4619" t="inlineStr">
        <is>
          <t>Saint Hilaire Oud Ultime Eau De Parfum Spray 100ml</t>
        </is>
      </c>
      <c r="C4619" t="inlineStr">
        <is>
          <t>Eau De Parfum</t>
        </is>
      </c>
      <c r="D4619" t="inlineStr">
        <is>
          <t>Saint Hilaire</t>
        </is>
      </c>
      <c r="E4619" t="n">
        <v>8.949999999999999</v>
      </c>
      <c r="F4619" t="n">
        <v>1</v>
      </c>
      <c r="G4619" t="n">
        <v>3</v>
      </c>
      <c r="H4619" s="5">
        <f>HYPERLINK("https://api.qogita.com/variants/link/3760004321354/", "View Product")</f>
        <v/>
      </c>
    </row>
    <row r="4620">
      <c r="A4620" t="inlineStr">
        <is>
          <t>3760004322139</t>
        </is>
      </c>
      <c r="B4620" t="inlineStr">
        <is>
          <t>Pascal Morabito Pure Perle Eau de Parfum Spray 100ml</t>
        </is>
      </c>
      <c r="C4620" t="inlineStr">
        <is>
          <t>Eau De Parfum</t>
        </is>
      </c>
      <c r="D4620" t="inlineStr">
        <is>
          <t>Pascal Morabito</t>
        </is>
      </c>
      <c r="E4620" t="n">
        <v>19.17</v>
      </c>
      <c r="F4620" t="n">
        <v>1</v>
      </c>
      <c r="G4620" t="n">
        <v>2</v>
      </c>
      <c r="H4620" s="5">
        <f>HYPERLINK("https://api.qogita.com/variants/link/3760004322139/", "View Product")</f>
        <v/>
      </c>
    </row>
    <row r="4621">
      <c r="A4621" t="inlineStr">
        <is>
          <t>3760019129488</t>
        </is>
      </c>
      <c r="B4621" t="inlineStr">
        <is>
          <t>Soskin Paris Cicaplex Skin Repair Protective Care 30 Ml</t>
        </is>
      </c>
      <c r="C4621" t="inlineStr">
        <is>
          <t>Face Cream</t>
        </is>
      </c>
      <c r="D4621" t="inlineStr">
        <is>
          <t>Soskin Paris</t>
        </is>
      </c>
      <c r="E4621" t="n">
        <v>12.86</v>
      </c>
      <c r="F4621" t="n">
        <v>1</v>
      </c>
      <c r="G4621" t="n">
        <v>2</v>
      </c>
      <c r="H4621" s="5">
        <f>HYPERLINK("https://api.qogita.com/variants/link/3760019129488/", "View Product")</f>
        <v/>
      </c>
    </row>
    <row r="4622">
      <c r="A4622" t="inlineStr">
        <is>
          <t>3760022730251</t>
        </is>
      </c>
      <c r="B4622" t="inlineStr">
        <is>
          <t>Juliette Has A Gun Mmmm Eau De Parfum Spray 100ml</t>
        </is>
      </c>
      <c r="C4622" t="inlineStr">
        <is>
          <t>Eau De Parfum</t>
        </is>
      </c>
      <c r="D4622" t="inlineStr">
        <is>
          <t>Juliette has a gun</t>
        </is>
      </c>
      <c r="E4622" t="n">
        <v>47.23</v>
      </c>
      <c r="F4622" t="n">
        <v>1</v>
      </c>
      <c r="G4622" t="n">
        <v>14</v>
      </c>
      <c r="H4622" s="5">
        <f>HYPERLINK("https://api.qogita.com/variants/link/3760022730251/", "View Product")</f>
        <v/>
      </c>
    </row>
    <row r="4623">
      <c r="A4623" t="inlineStr">
        <is>
          <t>3760022730282</t>
        </is>
      </c>
      <c r="B4623" t="inlineStr">
        <is>
          <t>Juliette Has A Gun MMMM Eau de Parfum Travel Spray 0.17 oz 5 ml - New in Box</t>
        </is>
      </c>
      <c r="C4623" t="inlineStr">
        <is>
          <t>Eau De Parfum</t>
        </is>
      </c>
      <c r="D4623" t="inlineStr">
        <is>
          <t>Juliette has a gun</t>
        </is>
      </c>
      <c r="E4623" t="n">
        <v>6.67</v>
      </c>
      <c r="F4623" t="n">
        <v>1</v>
      </c>
      <c r="G4623" t="n">
        <v>12</v>
      </c>
      <c r="H4623" s="5">
        <f>HYPERLINK("https://api.qogita.com/variants/link/3760022730282/", "View Product")</f>
        <v/>
      </c>
    </row>
    <row r="4624">
      <c r="A4624" t="inlineStr">
        <is>
          <t>3760022730299</t>
        </is>
      </c>
      <c r="B4624" t="inlineStr">
        <is>
          <t>Juliette Has A Gun Mmmm... Eau De Parfum Spray 7.5ml</t>
        </is>
      </c>
      <c r="C4624" t="inlineStr">
        <is>
          <t>Eau De Parfum</t>
        </is>
      </c>
      <c r="D4624" t="inlineStr">
        <is>
          <t>Juliette has a gun</t>
        </is>
      </c>
      <c r="E4624" t="n">
        <v>21.17</v>
      </c>
      <c r="F4624" t="n">
        <v>1</v>
      </c>
      <c r="G4624" t="n">
        <v>32</v>
      </c>
      <c r="H4624" s="5">
        <f>HYPERLINK("https://api.qogita.com/variants/link/3760022730299/", "View Product")</f>
        <v/>
      </c>
    </row>
    <row r="4625">
      <c r="A4625" t="inlineStr">
        <is>
          <t>3760022730381</t>
        </is>
      </c>
      <c r="B4625" t="inlineStr">
        <is>
          <t>Juliette Has A Gun Metal Chypre Eau De Parfum Spray 75ml</t>
        </is>
      </c>
      <c r="C4625" t="inlineStr">
        <is>
          <t>Eau De Parfum</t>
        </is>
      </c>
      <c r="D4625" t="inlineStr">
        <is>
          <t>Juliette has a gun</t>
        </is>
      </c>
      <c r="E4625" t="n">
        <v>91.23</v>
      </c>
      <c r="F4625" t="n">
        <v>1</v>
      </c>
      <c r="G4625" t="n">
        <v>2</v>
      </c>
      <c r="H4625" s="5">
        <f>HYPERLINK("https://api.qogita.com/variants/link/3760022730381/", "View Product")</f>
        <v/>
      </c>
    </row>
    <row r="4626">
      <c r="A4626" t="inlineStr">
        <is>
          <t>3760022730466</t>
        </is>
      </c>
      <c r="B4626" t="inlineStr">
        <is>
          <t>Juliette Has A Gun Sunny Side Up Eau De Parfum Spray 100ml</t>
        </is>
      </c>
      <c r="C4626" t="inlineStr">
        <is>
          <t>Eau De Parfum</t>
        </is>
      </c>
      <c r="D4626" t="inlineStr">
        <is>
          <t>Juliette has a gun</t>
        </is>
      </c>
      <c r="E4626" t="n">
        <v>51.27</v>
      </c>
      <c r="F4626" t="n">
        <v>1</v>
      </c>
      <c r="G4626" t="n">
        <v>122</v>
      </c>
      <c r="H4626" s="5">
        <f>HYPERLINK("https://api.qogita.com/variants/link/3760022730466/", "View Product")</f>
        <v/>
      </c>
    </row>
    <row r="4627">
      <c r="A4627" t="inlineStr">
        <is>
          <t>3760022730480</t>
        </is>
      </c>
      <c r="B4627" t="inlineStr">
        <is>
          <t>Juliette Has A Gun Eau de Parfum Spray Sunny Side Up 0.25 Fl Oz</t>
        </is>
      </c>
      <c r="C4627" t="inlineStr">
        <is>
          <t>Eau De Parfum</t>
        </is>
      </c>
      <c r="D4627" t="inlineStr">
        <is>
          <t>Juliette has a gun</t>
        </is>
      </c>
      <c r="E4627" t="n">
        <v>12.56</v>
      </c>
      <c r="F4627" t="n">
        <v>1</v>
      </c>
      <c r="G4627" t="n">
        <v>24</v>
      </c>
      <c r="H4627" s="5">
        <f>HYPERLINK("https://api.qogita.com/variants/link/3760022730480/", "View Product")</f>
        <v/>
      </c>
    </row>
    <row r="4628">
      <c r="A4628" t="inlineStr">
        <is>
          <t>3760022731814</t>
        </is>
      </c>
      <c r="B4628" t="inlineStr">
        <is>
          <t>Juliette Has A Gun Musc Invisible Eau De Parfum Spray 100ml</t>
        </is>
      </c>
      <c r="C4628" t="inlineStr">
        <is>
          <t>Eau De Parfum</t>
        </is>
      </c>
      <c r="D4628" t="inlineStr">
        <is>
          <t>Juliette has a gun</t>
        </is>
      </c>
      <c r="E4628" t="n">
        <v>49.67</v>
      </c>
      <c r="F4628" t="n">
        <v>1</v>
      </c>
      <c r="G4628" t="n">
        <v>93</v>
      </c>
      <c r="H4628" s="5">
        <f>HYPERLINK("https://api.qogita.com/variants/link/3760022731814/", "View Product")</f>
        <v/>
      </c>
    </row>
    <row r="4629">
      <c r="A4629" t="inlineStr">
        <is>
          <t>3760022733337</t>
        </is>
      </c>
      <c r="B4629" t="inlineStr">
        <is>
          <t>Juliette Has A Gun Ego Stratis Eau De Parfum Spray 100ml</t>
        </is>
      </c>
      <c r="C4629" t="inlineStr">
        <is>
          <t>Eau De Parfum</t>
        </is>
      </c>
      <c r="D4629" t="inlineStr">
        <is>
          <t>Juliette has a gun</t>
        </is>
      </c>
      <c r="E4629" t="n">
        <v>53.8</v>
      </c>
      <c r="F4629" t="n">
        <v>1</v>
      </c>
      <c r="G4629" t="n">
        <v>5</v>
      </c>
      <c r="H4629" s="5">
        <f>HYPERLINK("https://api.qogita.com/variants/link/3760022733337/", "View Product")</f>
        <v/>
      </c>
    </row>
    <row r="4630">
      <c r="A4630" t="inlineStr">
        <is>
          <t>3760033635309</t>
        </is>
      </c>
      <c r="B4630" t="inlineStr">
        <is>
          <t>The Different Company Sublime Balkiss Eau De Parfum 100ml Unisex Spray</t>
        </is>
      </c>
      <c r="C4630" t="inlineStr">
        <is>
          <t>Eau De Parfum</t>
        </is>
      </c>
      <c r="D4630" t="inlineStr">
        <is>
          <t>The Different Company</t>
        </is>
      </c>
      <c r="E4630" t="n">
        <v>91.88</v>
      </c>
      <c r="F4630" t="n">
        <v>1</v>
      </c>
      <c r="G4630" t="n">
        <v>5</v>
      </c>
      <c r="H4630" s="5">
        <f>HYPERLINK("https://api.qogita.com/variants/link/3760033635309/", "View Product")</f>
        <v/>
      </c>
    </row>
    <row r="4631">
      <c r="A4631" t="inlineStr">
        <is>
          <t>3760033635460</t>
        </is>
      </c>
      <c r="B4631" t="inlineStr">
        <is>
          <t>The Different Company Kashan Rose Eau De Toilette 100ml Unisex Spray</t>
        </is>
      </c>
      <c r="C4631" t="inlineStr">
        <is>
          <t>Eau De Toilette</t>
        </is>
      </c>
      <c r="D4631" t="inlineStr">
        <is>
          <t>The Different Company</t>
        </is>
      </c>
      <c r="E4631" t="n">
        <v>55.74</v>
      </c>
      <c r="F4631" t="n">
        <v>1</v>
      </c>
      <c r="G4631" t="n">
        <v>3</v>
      </c>
      <c r="H4631" s="5">
        <f>HYPERLINK("https://api.qogita.com/variants/link/3760033635460/", "View Product")</f>
        <v/>
      </c>
    </row>
    <row r="4632">
      <c r="A4632" t="inlineStr">
        <is>
          <t>3760033635583</t>
        </is>
      </c>
      <c r="B4632" t="inlineStr">
        <is>
          <t>The Different Company Santo Incenso Unisex Eau De Parfum 100ml Glass Bottle</t>
        </is>
      </c>
      <c r="C4632" t="inlineStr">
        <is>
          <t>Eau De Parfum</t>
        </is>
      </c>
      <c r="D4632" t="inlineStr">
        <is>
          <t>The Different Company</t>
        </is>
      </c>
      <c r="E4632" t="n">
        <v>100.88</v>
      </c>
      <c r="F4632" t="n">
        <v>1</v>
      </c>
      <c r="G4632" t="n">
        <v>5</v>
      </c>
      <c r="H4632" s="5">
        <f>HYPERLINK("https://api.qogita.com/variants/link/3760033635583/", "View Product")</f>
        <v/>
      </c>
    </row>
    <row r="4633">
      <c r="A4633" t="inlineStr">
        <is>
          <t>3760035450320</t>
        </is>
      </c>
      <c r="B4633" t="inlineStr">
        <is>
          <t>BDK Eau De Parfum 100ml French Bouquet</t>
        </is>
      </c>
      <c r="C4633" t="inlineStr">
        <is>
          <t>Eau De Parfum</t>
        </is>
      </c>
      <c r="D4633" t="inlineStr">
        <is>
          <t>Bdk Parfums</t>
        </is>
      </c>
      <c r="E4633" t="n">
        <v>95.97</v>
      </c>
      <c r="F4633" t="n">
        <v>1</v>
      </c>
      <c r="G4633" t="n">
        <v>9</v>
      </c>
      <c r="H4633" s="5">
        <f>HYPERLINK("https://api.qogita.com/variants/link/3760035450320/", "View Product")</f>
        <v/>
      </c>
    </row>
    <row r="4634">
      <c r="A4634" t="inlineStr">
        <is>
          <t>3760040110141</t>
        </is>
      </c>
      <c r="B4634" t="inlineStr">
        <is>
          <t>Premiere Note Java Wood Eau de Parfum 50ml</t>
        </is>
      </c>
      <c r="C4634" t="inlineStr">
        <is>
          <t>Eau De Parfum</t>
        </is>
      </c>
      <c r="D4634" t="inlineStr">
        <is>
          <t>Premiere Note</t>
        </is>
      </c>
      <c r="E4634" t="n">
        <v>24.39</v>
      </c>
      <c r="F4634" t="n">
        <v>1</v>
      </c>
      <c r="G4634" t="n">
        <v>6</v>
      </c>
      <c r="H4634" s="5">
        <f>HYPERLINK("https://api.qogita.com/variants/link/3760040110141/", "View Product")</f>
        <v/>
      </c>
    </row>
    <row r="4635">
      <c r="A4635" t="inlineStr">
        <is>
          <t>3760040114149</t>
        </is>
      </c>
      <c r="B4635" t="inlineStr">
        <is>
          <t>Salvador Dali Natural Spray Vaporizer</t>
        </is>
      </c>
      <c r="C4635" t="inlineStr">
        <is>
          <t>Eau De Toilette</t>
        </is>
      </c>
      <c r="D4635" t="inlineStr">
        <is>
          <t>Salvador Dali</t>
        </is>
      </c>
      <c r="E4635" t="n">
        <v>19.43</v>
      </c>
      <c r="F4635" t="n">
        <v>1</v>
      </c>
      <c r="G4635" t="n">
        <v>56</v>
      </c>
      <c r="H4635" s="5">
        <f>HYPERLINK("https://api.qogita.com/variants/link/3760040114149/", "View Product")</f>
        <v/>
      </c>
    </row>
    <row r="4636">
      <c r="A4636" t="inlineStr">
        <is>
          <t>3760048791854</t>
        </is>
      </c>
      <c r="B4636" t="inlineStr">
        <is>
          <t>Mauboussin Pour Elle Eau de Parfum for Women Floral &amp; Fruity Scents 100ml</t>
        </is>
      </c>
      <c r="C4636" t="inlineStr">
        <is>
          <t>Eau De Parfum</t>
        </is>
      </c>
      <c r="D4636" t="inlineStr">
        <is>
          <t>Mauboussin</t>
        </is>
      </c>
      <c r="E4636" t="n">
        <v>26.94</v>
      </c>
      <c r="F4636" t="n">
        <v>1</v>
      </c>
      <c r="G4636" t="n">
        <v>3</v>
      </c>
      <c r="H4636" s="5">
        <f>HYPERLINK("https://api.qogita.com/variants/link/3760048791854/", "View Product")</f>
        <v/>
      </c>
    </row>
    <row r="4637">
      <c r="A4637" t="inlineStr">
        <is>
          <t>3760048792387</t>
        </is>
      </c>
      <c r="B4637" t="inlineStr">
        <is>
          <t>Mauboussin Rose Pour Elle Eau de Parfum for Women Floral Fruity Fresh Scents 100ml</t>
        </is>
      </c>
      <c r="C4637" t="inlineStr">
        <is>
          <t>Eau De Parfum</t>
        </is>
      </c>
      <c r="D4637" t="inlineStr">
        <is>
          <t>Mauboussin</t>
        </is>
      </c>
      <c r="E4637" t="n">
        <v>21.28</v>
      </c>
      <c r="F4637" t="n">
        <v>1</v>
      </c>
      <c r="G4637" t="n">
        <v>5</v>
      </c>
      <c r="H4637" s="5">
        <f>HYPERLINK("https://api.qogita.com/variants/link/3760048792387/", "View Product")</f>
        <v/>
      </c>
    </row>
    <row r="4638">
      <c r="A4638" t="inlineStr">
        <is>
          <t>3760048795548</t>
        </is>
      </c>
      <c r="B4638" t="inlineStr">
        <is>
          <t>Mauboussin Pour Lui In Black Eau De Parfum Spray 100ml</t>
        </is>
      </c>
      <c r="C4638" t="inlineStr">
        <is>
          <t>Eau De Parfum</t>
        </is>
      </c>
      <c r="D4638" t="inlineStr">
        <is>
          <t>Mauboussin</t>
        </is>
      </c>
      <c r="E4638" t="n">
        <v>17.94</v>
      </c>
      <c r="F4638" t="n">
        <v>1</v>
      </c>
      <c r="G4638" t="n">
        <v>15</v>
      </c>
      <c r="H4638" s="5">
        <f>HYPERLINK("https://api.qogita.com/variants/link/3760048795548/", "View Product")</f>
        <v/>
      </c>
    </row>
    <row r="4639">
      <c r="A4639" t="inlineStr">
        <is>
          <t>3760048797818</t>
        </is>
      </c>
      <c r="B4639" t="inlineStr">
        <is>
          <t>Mauboussin Mauboussin Pour Lui In Red Eau De Parfum 100 Ml</t>
        </is>
      </c>
      <c r="C4639" t="inlineStr">
        <is>
          <t>Eau De Parfum</t>
        </is>
      </c>
      <c r="D4639" t="inlineStr">
        <is>
          <t>Mauboussin</t>
        </is>
      </c>
      <c r="E4639" t="n">
        <v>20.59</v>
      </c>
      <c r="F4639" t="n">
        <v>1</v>
      </c>
      <c r="G4639" t="n">
        <v>1</v>
      </c>
      <c r="H4639" s="5">
        <f>HYPERLINK("https://api.qogita.com/variants/link/3760048797818/", "View Product")</f>
        <v/>
      </c>
    </row>
    <row r="4640">
      <c r="A4640" t="inlineStr">
        <is>
          <t>3760048937030</t>
        </is>
      </c>
      <c r="B4640" t="inlineStr">
        <is>
          <t>24 Gold Eau de Toilette 50ml by ScentStory</t>
        </is>
      </c>
      <c r="C4640" t="inlineStr">
        <is>
          <t>Eau De Toilette</t>
        </is>
      </c>
      <c r="D4640" t="inlineStr">
        <is>
          <t>Scentstory</t>
        </is>
      </c>
      <c r="E4640" t="n">
        <v>17.32</v>
      </c>
      <c r="F4640" t="n">
        <v>1</v>
      </c>
      <c r="G4640" t="n">
        <v>15</v>
      </c>
      <c r="H4640" s="5">
        <f>HYPERLINK("https://api.qogita.com/variants/link/3760048937030/", "View Product")</f>
        <v/>
      </c>
    </row>
    <row r="4641">
      <c r="A4641" t="inlineStr">
        <is>
          <t>3760060762177</t>
        </is>
      </c>
      <c r="B4641" t="inlineStr">
        <is>
          <t>Borouj Lamasat Oud Arabic Inspired Unisex Perfume 85ml</t>
        </is>
      </c>
      <c r="C4641" t="inlineStr">
        <is>
          <t>Eau De Parfum</t>
        </is>
      </c>
      <c r="D4641" t="inlineStr">
        <is>
          <t>Dumont</t>
        </is>
      </c>
      <c r="E4641" t="n">
        <v>46.99</v>
      </c>
      <c r="F4641" t="n">
        <v>1</v>
      </c>
      <c r="G4641" t="n">
        <v>16</v>
      </c>
      <c r="H4641" s="5">
        <f>HYPERLINK("https://api.qogita.com/variants/link/3760060762177/", "View Product")</f>
        <v/>
      </c>
    </row>
    <row r="4642">
      <c r="A4642" t="inlineStr">
        <is>
          <t>3760084670144</t>
        </is>
      </c>
      <c r="B4642" t="inlineStr">
        <is>
          <t>Pascal Morabito Black Granit for Men 3.3 oz EDT Spray</t>
        </is>
      </c>
      <c r="C4642" t="inlineStr">
        <is>
          <t>Eau De Toilette</t>
        </is>
      </c>
      <c r="D4642" t="inlineStr">
        <is>
          <t>Pascal Morabito</t>
        </is>
      </c>
      <c r="E4642" t="n">
        <v>14.16</v>
      </c>
      <c r="F4642" t="n">
        <v>1</v>
      </c>
      <c r="G4642" t="n">
        <v>4</v>
      </c>
      <c r="H4642" s="5">
        <f>HYPERLINK("https://api.qogita.com/variants/link/3760084670144/", "View Product")</f>
        <v/>
      </c>
    </row>
    <row r="4643">
      <c r="A4643" t="inlineStr">
        <is>
          <t>3760095250106</t>
        </is>
      </c>
      <c r="B4643" t="inlineStr">
        <is>
          <t>Depiwhite Mask 40ml</t>
        </is>
      </c>
      <c r="C4643" t="inlineStr">
        <is>
          <t>Hydrating Mask</t>
        </is>
      </c>
      <c r="D4643" t="inlineStr">
        <is>
          <t>Mac</t>
        </is>
      </c>
      <c r="E4643" t="n">
        <v>18.7</v>
      </c>
      <c r="F4643" t="n">
        <v>1</v>
      </c>
      <c r="G4643" t="n">
        <v>5</v>
      </c>
      <c r="H4643" s="5">
        <f>HYPERLINK("https://api.qogita.com/variants/link/3760095250106/", "View Product")</f>
        <v/>
      </c>
    </row>
    <row r="4644">
      <c r="A4644" t="inlineStr">
        <is>
          <t>3760095250168</t>
        </is>
      </c>
      <c r="B4644" t="inlineStr">
        <is>
          <t>Novophane Hair and Nails Capsules 60</t>
        </is>
      </c>
      <c r="C4644" t="inlineStr">
        <is>
          <t>Vitamin</t>
        </is>
      </c>
      <c r="D4644" t="inlineStr">
        <is>
          <t>Other Animal</t>
        </is>
      </c>
      <c r="E4644" t="n">
        <v>18.68</v>
      </c>
      <c r="F4644" t="n">
        <v>1</v>
      </c>
      <c r="G4644" t="n">
        <v>2</v>
      </c>
      <c r="H4644" s="5">
        <f>HYPERLINK("https://api.qogita.com/variants/link/3760095250168/", "View Product")</f>
        <v/>
      </c>
    </row>
    <row r="4645">
      <c r="A4645" t="inlineStr">
        <is>
          <t>3760095250182</t>
        </is>
      </c>
      <c r="B4645" t="inlineStr">
        <is>
          <t>Acm Novophane Ds Antidandruff Shampoo 125 Ml</t>
        </is>
      </c>
      <c r="C4645" t="inlineStr">
        <is>
          <t>Shampoo</t>
        </is>
      </c>
      <c r="D4645" t="inlineStr">
        <is>
          <t>MAC Cosmetics</t>
        </is>
      </c>
      <c r="E4645" t="n">
        <v>9.52</v>
      </c>
      <c r="F4645" t="n">
        <v>1</v>
      </c>
      <c r="G4645" t="n">
        <v>11</v>
      </c>
      <c r="H4645" s="5">
        <f>HYPERLINK("https://api.qogita.com/variants/link/3760095250182/", "View Product")</f>
        <v/>
      </c>
    </row>
    <row r="4646">
      <c r="A4646" t="inlineStr">
        <is>
          <t>3760095250380</t>
        </is>
      </c>
      <c r="B4646" t="inlineStr">
        <is>
          <t>Trigopax Protective Cream for Redness and Irritation 30ml</t>
        </is>
      </c>
      <c r="C4646" t="inlineStr">
        <is>
          <t>Neurodermatitis</t>
        </is>
      </c>
      <c r="D4646" t="inlineStr">
        <is>
          <t>Balmoral</t>
        </is>
      </c>
      <c r="E4646" t="n">
        <v>12.87</v>
      </c>
      <c r="F4646" t="n">
        <v>1</v>
      </c>
      <c r="G4646" t="n">
        <v>2</v>
      </c>
      <c r="H4646" s="5">
        <f>HYPERLINK("https://api.qogita.com/variants/link/3760095250380/", "View Product")</f>
        <v/>
      </c>
    </row>
    <row r="4647">
      <c r="A4647" t="inlineStr">
        <is>
          <t>3760095251578</t>
        </is>
      </c>
      <c r="B4647" t="inlineStr">
        <is>
          <t>Acm Antiageing Sunscreen Cream Spf 50 50 Ml</t>
        </is>
      </c>
      <c r="C4647" t="inlineStr">
        <is>
          <t>Face Sun Protection</t>
        </is>
      </c>
      <c r="D4647" t="inlineStr">
        <is>
          <t>MAC Cosmetics</t>
        </is>
      </c>
      <c r="E4647" t="n">
        <v>20.59</v>
      </c>
      <c r="F4647" t="n">
        <v>1</v>
      </c>
      <c r="G4647" t="n">
        <v>3</v>
      </c>
      <c r="H4647" s="5">
        <f>HYPERLINK("https://api.qogita.com/variants/link/3760095251578/", "View Product")</f>
        <v/>
      </c>
    </row>
    <row r="4648">
      <c r="A4648" t="inlineStr">
        <is>
          <t>3760095252681</t>
        </is>
      </c>
      <c r="B4648" t="inlineStr">
        <is>
          <t>ACM Labo Depiwhite M Tinted Cream SPF50+ Tinted Protective Cream 40ml</t>
        </is>
      </c>
      <c r="C4648" t="inlineStr">
        <is>
          <t>Face Sun Protection</t>
        </is>
      </c>
      <c r="D4648" t="inlineStr">
        <is>
          <t>Acm</t>
        </is>
      </c>
      <c r="E4648" t="n">
        <v>18.68</v>
      </c>
      <c r="F4648" t="n">
        <v>1</v>
      </c>
      <c r="G4648" t="n">
        <v>10</v>
      </c>
      <c r="H4648" s="5">
        <f>HYPERLINK("https://api.qogita.com/variants/link/3760095252681/", "View Product")</f>
        <v/>
      </c>
    </row>
    <row r="4649">
      <c r="A4649" t="inlineStr">
        <is>
          <t>3760168590078</t>
        </is>
      </c>
      <c r="B4649" t="inlineStr">
        <is>
          <t>Etat Libre D'Orange Putain Des Palaces Eau De Parfum 50ml For Women</t>
        </is>
      </c>
      <c r="C4649" t="inlineStr">
        <is>
          <t>Eau De Parfum</t>
        </is>
      </c>
      <c r="D4649" t="inlineStr">
        <is>
          <t>Etat Libre D'Orange</t>
        </is>
      </c>
      <c r="E4649" t="n">
        <v>51.28</v>
      </c>
      <c r="F4649" t="n">
        <v>1</v>
      </c>
      <c r="G4649" t="n">
        <v>4</v>
      </c>
      <c r="H4649" s="5">
        <f>HYPERLINK("https://api.qogita.com/variants/link/3760168590078/", "View Product")</f>
        <v/>
      </c>
    </row>
    <row r="4650">
      <c r="A4650" t="inlineStr">
        <is>
          <t>3760168590252</t>
        </is>
      </c>
      <c r="B4650" t="inlineStr">
        <is>
          <t>Etat Libre D'Orange Rien Unisex Eau De Parfum Spray 100ml</t>
        </is>
      </c>
      <c r="C4650" t="inlineStr">
        <is>
          <t>Eau De Parfum</t>
        </is>
      </c>
      <c r="D4650" t="inlineStr">
        <is>
          <t>Etat Libre D'Orange</t>
        </is>
      </c>
      <c r="E4650" t="n">
        <v>62.92</v>
      </c>
      <c r="F4650" t="n">
        <v>1</v>
      </c>
      <c r="G4650" t="n">
        <v>18</v>
      </c>
      <c r="H4650" s="5">
        <f>HYPERLINK("https://api.qogita.com/variants/link/3760168590252/", "View Product")</f>
        <v/>
      </c>
    </row>
    <row r="4651">
      <c r="A4651" t="inlineStr">
        <is>
          <t>3760168590320</t>
        </is>
      </c>
      <c r="B4651" t="inlineStr">
        <is>
          <t>Etat Libre D'Orange Noel Au Balcon Eau De Parfum 100ml For Women</t>
        </is>
      </c>
      <c r="C4651" t="inlineStr">
        <is>
          <t>Eau De Parfum</t>
        </is>
      </c>
      <c r="D4651" t="inlineStr">
        <is>
          <t>Etat Libre D'Orange</t>
        </is>
      </c>
      <c r="E4651" t="n">
        <v>71.23</v>
      </c>
      <c r="F4651" t="n">
        <v>1</v>
      </c>
      <c r="G4651" t="n">
        <v>21</v>
      </c>
      <c r="H4651" s="5">
        <f>HYPERLINK("https://api.qogita.com/variants/link/3760168590320/", "View Product")</f>
        <v/>
      </c>
    </row>
    <row r="4652">
      <c r="A4652" t="inlineStr">
        <is>
          <t>3760168590481</t>
        </is>
      </c>
      <c r="B4652" t="inlineStr">
        <is>
          <t>Etat Libre D Orange Fet Electrician EDP Spray 50ml</t>
        </is>
      </c>
      <c r="C4652" t="inlineStr">
        <is>
          <t>Eau De Parfum</t>
        </is>
      </c>
      <c r="D4652" t="inlineStr">
        <is>
          <t>Etat Libre D'Orange</t>
        </is>
      </c>
      <c r="E4652" t="n">
        <v>42.07</v>
      </c>
      <c r="F4652" t="n">
        <v>1</v>
      </c>
      <c r="G4652" t="n">
        <v>7</v>
      </c>
      <c r="H4652" s="5">
        <f>HYPERLINK("https://api.qogita.com/variants/link/3760168590481/", "View Product")</f>
        <v/>
      </c>
    </row>
    <row r="4653">
      <c r="A4653" t="inlineStr">
        <is>
          <t>3760168590948</t>
        </is>
      </c>
      <c r="B4653" t="inlineStr">
        <is>
          <t>Etat Libre d'Orange Soul of My Soul Unisex Eau de Parfum 3.4oz</t>
        </is>
      </c>
      <c r="C4653" t="inlineStr">
        <is>
          <t>Eau De Parfum</t>
        </is>
      </c>
      <c r="D4653" t="inlineStr">
        <is>
          <t>Etat Libre D'Orange</t>
        </is>
      </c>
      <c r="E4653" t="n">
        <v>102.38</v>
      </c>
      <c r="F4653" t="n">
        <v>1</v>
      </c>
      <c r="G4653" t="n">
        <v>22</v>
      </c>
      <c r="H4653" s="5">
        <f>HYPERLINK("https://api.qogita.com/variants/link/3760168590948/", "View Product")</f>
        <v/>
      </c>
    </row>
    <row r="4654">
      <c r="A4654" t="inlineStr">
        <is>
          <t>3760168590955</t>
        </is>
      </c>
      <c r="B4654" t="inlineStr">
        <is>
          <t>Etat Libre D'Orange Dangerous Complicity Eau De Parfum 50ml Unisex Spray</t>
        </is>
      </c>
      <c r="C4654" t="inlineStr">
        <is>
          <t>Eau De Parfum</t>
        </is>
      </c>
      <c r="D4654" t="inlineStr">
        <is>
          <t>Etat Libre D'Orange</t>
        </is>
      </c>
      <c r="E4654" t="n">
        <v>48.93</v>
      </c>
      <c r="F4654" t="n">
        <v>1</v>
      </c>
      <c r="G4654" t="n">
        <v>4</v>
      </c>
      <c r="H4654" s="5">
        <f>HYPERLINK("https://api.qogita.com/variants/link/3760168590955/", "View Product")</f>
        <v/>
      </c>
    </row>
    <row r="4655">
      <c r="A4655" t="inlineStr">
        <is>
          <t>3760168591174</t>
        </is>
      </c>
      <c r="B4655" t="inlineStr">
        <is>
          <t>Etat Libre D'Orange Elo Cologne Eau De Parfum 100ml Unisex Spray</t>
        </is>
      </c>
      <c r="C4655" t="inlineStr">
        <is>
          <t>Eau De Parfum</t>
        </is>
      </c>
      <c r="D4655" t="inlineStr">
        <is>
          <t>Etat Libre D'Orange</t>
        </is>
      </c>
      <c r="E4655" t="n">
        <v>46.99</v>
      </c>
      <c r="F4655" t="n">
        <v>1</v>
      </c>
      <c r="G4655" t="n">
        <v>2</v>
      </c>
      <c r="H4655" s="5">
        <f>HYPERLINK("https://api.qogita.com/variants/link/3760168591174/", "View Product")</f>
        <v/>
      </c>
    </row>
    <row r="4656">
      <c r="A4656" t="inlineStr">
        <is>
          <t>3760168591211</t>
        </is>
      </c>
      <c r="B4656" t="inlineStr">
        <is>
          <t>Etat Libre D'Orange Remarkable People Unisex Eau De Parfum Spray 100ml</t>
        </is>
      </c>
      <c r="C4656" t="inlineStr">
        <is>
          <t>Eau De Parfum</t>
        </is>
      </c>
      <c r="D4656" t="inlineStr">
        <is>
          <t>Etat Libre D'Orange</t>
        </is>
      </c>
      <c r="E4656" t="n">
        <v>69.01000000000001</v>
      </c>
      <c r="F4656" t="n">
        <v>1</v>
      </c>
      <c r="G4656" t="n">
        <v>5</v>
      </c>
      <c r="H4656" s="5">
        <f>HYPERLINK("https://api.qogita.com/variants/link/3760168591211/", "View Product")</f>
        <v/>
      </c>
    </row>
    <row r="4657">
      <c r="A4657" t="inlineStr">
        <is>
          <t>3760168591280</t>
        </is>
      </c>
      <c r="B4657" t="inlineStr">
        <is>
          <t>État Libre d'Orange Hermann Bis Month Cotes Mich Paraisait Une Ombre EDV 100ml</t>
        </is>
      </c>
      <c r="C4657" t="inlineStr">
        <is>
          <t>Eau De Parfum</t>
        </is>
      </c>
      <c r="D4657" t="inlineStr">
        <is>
          <t>Etat Libre D'Orange</t>
        </is>
      </c>
      <c r="E4657" t="n">
        <v>74.31</v>
      </c>
      <c r="F4657" t="n">
        <v>1</v>
      </c>
      <c r="G4657" t="n">
        <v>4</v>
      </c>
      <c r="H4657" s="5">
        <f>HYPERLINK("https://api.qogita.com/variants/link/3760168591280/", "View Product")</f>
        <v/>
      </c>
    </row>
    <row r="4658">
      <c r="A4658" t="inlineStr">
        <is>
          <t>3760168591488</t>
        </is>
      </c>
      <c r="B4658" t="inlineStr">
        <is>
          <t>Attaquer Le Soleil Marquis De Sade Perfumed Water Spray 100ml</t>
        </is>
      </c>
      <c r="C4658" t="inlineStr">
        <is>
          <t>Eau De Parfum</t>
        </is>
      </c>
      <c r="D4658" t="inlineStr">
        <is>
          <t>Attaquer Le Soleil</t>
        </is>
      </c>
      <c r="E4658" t="n">
        <v>70.56999999999999</v>
      </c>
      <c r="F4658" t="n">
        <v>1</v>
      </c>
      <c r="G4658" t="n">
        <v>4</v>
      </c>
      <c r="H4658" s="5">
        <f>HYPERLINK("https://api.qogita.com/variants/link/3760168591488/", "View Product")</f>
        <v/>
      </c>
    </row>
    <row r="4659">
      <c r="A4659" t="inlineStr">
        <is>
          <t>3760168591662</t>
        </is>
      </c>
      <c r="B4659" t="inlineStr">
        <is>
          <t>Etat Libre D'Orange You Or Someone Like You Eau De Parfum Spray 3.4 Fl Oz</t>
        </is>
      </c>
      <c r="C4659" t="inlineStr">
        <is>
          <t>Eau De Parfum</t>
        </is>
      </c>
      <c r="D4659" t="inlineStr">
        <is>
          <t>Etat Libre D'Orange</t>
        </is>
      </c>
      <c r="E4659" t="n">
        <v>92.95</v>
      </c>
      <c r="F4659" t="n">
        <v>1</v>
      </c>
      <c r="G4659" t="n">
        <v>5</v>
      </c>
      <c r="H4659" s="5">
        <f>HYPERLINK("https://api.qogita.com/variants/link/3760168591662/", "View Product")</f>
        <v/>
      </c>
    </row>
    <row r="4660">
      <c r="A4660" t="inlineStr">
        <is>
          <t>3760168591860</t>
        </is>
      </c>
      <c r="B4660" t="inlineStr">
        <is>
          <t>Roland Mouret Une Amourette Eau De Parfum Spray 100ml</t>
        </is>
      </c>
      <c r="C4660" t="inlineStr">
        <is>
          <t>Eau De Parfum</t>
        </is>
      </c>
      <c r="D4660" t="inlineStr">
        <is>
          <t>Roland Mouret</t>
        </is>
      </c>
      <c r="E4660" t="n">
        <v>69.81</v>
      </c>
      <c r="F4660" t="n">
        <v>1</v>
      </c>
      <c r="G4660" t="n">
        <v>4</v>
      </c>
      <c r="H4660" s="5">
        <f>HYPERLINK("https://api.qogita.com/variants/link/3760168591860/", "View Product")</f>
        <v/>
      </c>
    </row>
    <row r="4661">
      <c r="A4661" t="inlineStr">
        <is>
          <t>3760168592140</t>
        </is>
      </c>
      <c r="B4661" t="inlineStr">
        <is>
          <t>Etat Libre D'Orange Unisex Eau De Parfum 500 Years 3.4 Oz</t>
        </is>
      </c>
      <c r="C4661" t="inlineStr">
        <is>
          <t>Eau De Parfum</t>
        </is>
      </c>
      <c r="D4661" t="inlineStr">
        <is>
          <t>Etat Libre D'Orange</t>
        </is>
      </c>
      <c r="E4661" t="n">
        <v>93.53</v>
      </c>
      <c r="F4661" t="n">
        <v>1</v>
      </c>
      <c r="G4661" t="n">
        <v>8</v>
      </c>
      <c r="H4661" s="5">
        <f>HYPERLINK("https://api.qogita.com/variants/link/3760168592140/", "View Product")</f>
        <v/>
      </c>
    </row>
    <row r="4662">
      <c r="A4662" t="inlineStr">
        <is>
          <t>3760231011950</t>
        </is>
      </c>
      <c r="B4662" t="inlineStr">
        <is>
          <t>M.Micallef Note Vanille Eau De Parfum Spray 100ml</t>
        </is>
      </c>
      <c r="C4662" t="inlineStr">
        <is>
          <t>Eau De Parfum</t>
        </is>
      </c>
      <c r="D4662" t="inlineStr">
        <is>
          <t>M. Micallef</t>
        </is>
      </c>
      <c r="E4662" t="n">
        <v>120.04</v>
      </c>
      <c r="F4662" t="n">
        <v>1</v>
      </c>
      <c r="G4662" t="n">
        <v>2</v>
      </c>
      <c r="H4662" s="5">
        <f>HYPERLINK("https://api.qogita.com/variants/link/3760231011950/", "View Product")</f>
        <v/>
      </c>
    </row>
    <row r="4663">
      <c r="A4663" t="inlineStr">
        <is>
          <t>3760232240007</t>
        </is>
      </c>
      <c r="B4663" t="inlineStr">
        <is>
          <t>Stephane Humbert Lucas 2022 Generation Black Eau de Parfum 50ml</t>
        </is>
      </c>
      <c r="C4663" t="inlineStr">
        <is>
          <t>Eau De Parfum</t>
        </is>
      </c>
      <c r="D4663" t="inlineStr">
        <is>
          <t>Stephane Humbert Lucas</t>
        </is>
      </c>
      <c r="E4663" t="n">
        <v>74.59</v>
      </c>
      <c r="F4663" t="n">
        <v>1</v>
      </c>
      <c r="G4663" t="n">
        <v>37</v>
      </c>
      <c r="H4663" s="5">
        <f>HYPERLINK("https://api.qogita.com/variants/link/3760232240007/", "View Product")</f>
        <v/>
      </c>
    </row>
    <row r="4664">
      <c r="A4664" t="inlineStr">
        <is>
          <t>3760240890638</t>
        </is>
      </c>
      <c r="B4664" t="inlineStr">
        <is>
          <t>Roos &amp; Roos Bloody Rose Eau De Parfum For Women - 50 Ml</t>
        </is>
      </c>
      <c r="C4664" t="inlineStr">
        <is>
          <t>Eau De Parfum</t>
        </is>
      </c>
      <c r="D4664" t="inlineStr">
        <is>
          <t>Roos &amp; Roos</t>
        </is>
      </c>
      <c r="E4664" t="n">
        <v>35.97</v>
      </c>
      <c r="F4664" t="n">
        <v>1</v>
      </c>
      <c r="G4664" t="n">
        <v>4</v>
      </c>
      <c r="H4664" s="5">
        <f>HYPERLINK("https://api.qogita.com/variants/link/3760240890638/", "View Product")</f>
        <v/>
      </c>
    </row>
    <row r="4665">
      <c r="A4665" t="inlineStr">
        <is>
          <t>3760245852013</t>
        </is>
      </c>
      <c r="B4665" t="inlineStr">
        <is>
          <t>A313 Vitamin A Retinol Cream Closest Version to Avibon Available</t>
        </is>
      </c>
      <c r="C4665" t="inlineStr">
        <is>
          <t>Anti-Aging Facial Care</t>
        </is>
      </c>
      <c r="D4665" t="inlineStr">
        <is>
          <t>A313</t>
        </is>
      </c>
      <c r="E4665" t="n">
        <v>10.34</v>
      </c>
      <c r="F4665" t="n">
        <v>1</v>
      </c>
      <c r="G4665" t="n">
        <v>337</v>
      </c>
      <c r="H4665" s="5">
        <f>HYPERLINK("https://api.qogita.com/variants/link/3760245852013/", "View Product")</f>
        <v/>
      </c>
    </row>
    <row r="4666">
      <c r="A4666" t="inlineStr">
        <is>
          <t>3760251870414</t>
        </is>
      </c>
      <c r="B4666" t="inlineStr">
        <is>
          <t>Korloff Iris Dore Unisex Eau De Parfum Spray 100ml</t>
        </is>
      </c>
      <c r="C4666" t="inlineStr">
        <is>
          <t>Eau De Parfum</t>
        </is>
      </c>
      <c r="D4666" t="inlineStr">
        <is>
          <t>Korloff</t>
        </is>
      </c>
      <c r="E4666" t="n">
        <v>81.37</v>
      </c>
      <c r="F4666" t="n">
        <v>1</v>
      </c>
      <c r="G4666" t="n">
        <v>2</v>
      </c>
      <c r="H4666" s="5">
        <f>HYPERLINK("https://api.qogita.com/variants/link/3760251870414/", "View Product")</f>
        <v/>
      </c>
    </row>
    <row r="4667">
      <c r="A4667" t="inlineStr">
        <is>
          <t>3760269840355</t>
        </is>
      </c>
      <c r="B4667" t="inlineStr">
        <is>
          <t>Lolita Lempicka Le Parfum Eau De Parfum Spray 50ml</t>
        </is>
      </c>
      <c r="C4667" t="inlineStr">
        <is>
          <t>Eau De Parfum</t>
        </is>
      </c>
      <c r="D4667" t="inlineStr">
        <is>
          <t>Lolita Lempicka</t>
        </is>
      </c>
      <c r="E4667" t="n">
        <v>43.34</v>
      </c>
      <c r="F4667" t="n">
        <v>1</v>
      </c>
      <c r="G4667" t="n">
        <v>10</v>
      </c>
      <c r="H4667" s="5">
        <f>HYPERLINK("https://api.qogita.com/variants/link/3760269840355/", "View Product")</f>
        <v/>
      </c>
    </row>
    <row r="4668">
      <c r="A4668" t="inlineStr">
        <is>
          <t>3760269849303</t>
        </is>
      </c>
      <c r="B4668" t="inlineStr">
        <is>
          <t>Lolita Lempicka Mon Premier Eau De Parfum 100ml For Women</t>
        </is>
      </c>
      <c r="C4668" t="inlineStr">
        <is>
          <t>Eau De Parfum</t>
        </is>
      </c>
      <c r="D4668" t="inlineStr">
        <is>
          <t>Lolita Lempicka</t>
        </is>
      </c>
      <c r="E4668" t="n">
        <v>33.47</v>
      </c>
      <c r="F4668" t="n">
        <v>1</v>
      </c>
      <c r="G4668" t="n">
        <v>36</v>
      </c>
      <c r="H4668" s="5">
        <f>HYPERLINK("https://api.qogita.com/variants/link/3760269849303/", "View Product")</f>
        <v/>
      </c>
    </row>
    <row r="4669">
      <c r="A4669" t="inlineStr">
        <is>
          <t>3760269849310</t>
        </is>
      </c>
      <c r="B4669" t="inlineStr">
        <is>
          <t>Lolita Lempicka Mon Premier Parfum Eau De Parfum Spray 50ml</t>
        </is>
      </c>
      <c r="C4669" t="inlineStr">
        <is>
          <t>Eau De Parfum</t>
        </is>
      </c>
      <c r="D4669" t="inlineStr">
        <is>
          <t>Lolita Lempicka</t>
        </is>
      </c>
      <c r="E4669" t="n">
        <v>24.08</v>
      </c>
      <c r="F4669" t="n">
        <v>1</v>
      </c>
      <c r="G4669" t="n">
        <v>89</v>
      </c>
      <c r="H4669" s="5">
        <f>HYPERLINK("https://api.qogita.com/variants/link/3760269849310/", "View Product")</f>
        <v/>
      </c>
    </row>
    <row r="4670">
      <c r="A4670" t="inlineStr">
        <is>
          <t>3760269849327</t>
        </is>
      </c>
      <c r="B4670" t="inlineStr">
        <is>
          <t>Lolita Lempicka Mon Premier Parfum Eau De Parfum Spray 30ml</t>
        </is>
      </c>
      <c r="C4670" t="inlineStr">
        <is>
          <t>Eau De Parfum</t>
        </is>
      </c>
      <c r="D4670" t="inlineStr">
        <is>
          <t>Lolita Lempicka</t>
        </is>
      </c>
      <c r="E4670" t="n">
        <v>24.52</v>
      </c>
      <c r="F4670" t="n">
        <v>1</v>
      </c>
      <c r="G4670" t="n">
        <v>23</v>
      </c>
      <c r="H4670" s="5">
        <f>HYPERLINK("https://api.qogita.com/variants/link/3760269849327/", "View Product")</f>
        <v/>
      </c>
    </row>
    <row r="4671">
      <c r="A4671" t="inlineStr">
        <is>
          <t>3760269849372</t>
        </is>
      </c>
      <c r="B4671" t="inlineStr">
        <is>
          <t>Lolita Lempicka Sweet Eau De Parfum - 15 Ml</t>
        </is>
      </c>
      <c r="C4671" t="inlineStr">
        <is>
          <t>Eau De Parfum</t>
        </is>
      </c>
      <c r="D4671" t="inlineStr">
        <is>
          <t>Lolita Lempicka</t>
        </is>
      </c>
      <c r="E4671" t="n">
        <v>8.869999999999999</v>
      </c>
      <c r="F4671" t="n">
        <v>1</v>
      </c>
      <c r="G4671" t="n">
        <v>27</v>
      </c>
      <c r="H4671" s="5">
        <f>HYPERLINK("https://api.qogita.com/variants/link/3760269849372/", "View Product")</f>
        <v/>
      </c>
    </row>
    <row r="4672">
      <c r="A4672" t="inlineStr">
        <is>
          <t>3760269849549</t>
        </is>
      </c>
      <c r="B4672" t="inlineStr">
        <is>
          <t>Lolita Lempicka Lempicka Homme Eau De Toilette Spray 100ml</t>
        </is>
      </c>
      <c r="C4672" t="inlineStr">
        <is>
          <t>Eau De Toilette</t>
        </is>
      </c>
      <c r="D4672" t="inlineStr">
        <is>
          <t>Lolita Lempicka</t>
        </is>
      </c>
      <c r="E4672" t="n">
        <v>27.39</v>
      </c>
      <c r="F4672" t="n">
        <v>1</v>
      </c>
      <c r="G4672" t="n">
        <v>143</v>
      </c>
      <c r="H4672" s="5">
        <f>HYPERLINK("https://api.qogita.com/variants/link/3760269849549/", "View Product")</f>
        <v/>
      </c>
    </row>
    <row r="4673">
      <c r="A4673" t="inlineStr">
        <is>
          <t>3760285900767</t>
        </is>
      </c>
      <c r="B4673" t="inlineStr">
        <is>
          <t>State Of Mind Open Mind Eau de Parfum 100ml</t>
        </is>
      </c>
      <c r="C4673" t="inlineStr">
        <is>
          <t>Eau De Parfum</t>
        </is>
      </c>
      <c r="D4673" t="inlineStr">
        <is>
          <t>State Of Mind</t>
        </is>
      </c>
      <c r="E4673" t="n">
        <v>135.1</v>
      </c>
      <c r="F4673" t="n">
        <v>1</v>
      </c>
      <c r="G4673" t="n">
        <v>5</v>
      </c>
      <c r="H4673" s="5">
        <f>HYPERLINK("https://api.qogita.com/variants/link/3760285900767/", "View Product")</f>
        <v/>
      </c>
    </row>
    <row r="4674">
      <c r="A4674" t="inlineStr">
        <is>
          <t>3760294350591</t>
        </is>
      </c>
      <c r="B4674" t="inlineStr">
        <is>
          <t>The Woods Collection Twilight Eau De Parfum 100ml</t>
        </is>
      </c>
      <c r="C4674" t="inlineStr">
        <is>
          <t>Eau De Parfum</t>
        </is>
      </c>
      <c r="D4674" t="inlineStr">
        <is>
          <t>The Woods Collection</t>
        </is>
      </c>
      <c r="E4674" t="n">
        <v>37.98</v>
      </c>
      <c r="F4674" t="n">
        <v>1</v>
      </c>
      <c r="G4674" t="n">
        <v>5</v>
      </c>
      <c r="H4674" s="5">
        <f>HYPERLINK("https://api.qogita.com/variants/link/3760294350591/", "View Product")</f>
        <v/>
      </c>
    </row>
    <row r="4675">
      <c r="A4675" t="inlineStr">
        <is>
          <t>3760294350638</t>
        </is>
      </c>
      <c r="B4675" t="inlineStr">
        <is>
          <t>The Woods Collection Natural By The Woods Collection Glow 2 Piece Gift Set 100ml And 5ml Unisex Eau De Parfum</t>
        </is>
      </c>
      <c r="C4675" t="inlineStr">
        <is>
          <t>Fragrance Sets</t>
        </is>
      </c>
      <c r="D4675" t="inlineStr">
        <is>
          <t>The Woods Collection</t>
        </is>
      </c>
      <c r="E4675" t="n">
        <v>37.49</v>
      </c>
      <c r="F4675" t="n">
        <v>1</v>
      </c>
      <c r="G4675" t="n">
        <v>7</v>
      </c>
      <c r="H4675" s="5">
        <f>HYPERLINK("https://api.qogita.com/variants/link/3760294350638/", "View Product")</f>
        <v/>
      </c>
    </row>
    <row r="4676">
      <c r="A4676" t="inlineStr">
        <is>
          <t>3760294350645</t>
        </is>
      </c>
      <c r="B4676" t="inlineStr">
        <is>
          <t>The Woods Collection Secrets Eau de Parfum Spray 3.4oz Natural Collection</t>
        </is>
      </c>
      <c r="C4676" t="inlineStr">
        <is>
          <t>Eau De Parfum</t>
        </is>
      </c>
      <c r="D4676" t="inlineStr">
        <is>
          <t>The Woods Collection</t>
        </is>
      </c>
      <c r="E4676" t="n">
        <v>37.18</v>
      </c>
      <c r="F4676" t="n">
        <v>1</v>
      </c>
      <c r="G4676" t="n">
        <v>10</v>
      </c>
      <c r="H4676" s="5">
        <f>HYPERLINK("https://api.qogita.com/variants/link/3760294350645/", "View Product")</f>
        <v/>
      </c>
    </row>
    <row r="4677">
      <c r="A4677" t="inlineStr">
        <is>
          <t>3760294351215</t>
        </is>
      </c>
      <c r="B4677" t="inlineStr">
        <is>
          <t>The Woods Collection Natural North Star Perfume for Unisex 100ml</t>
        </is>
      </c>
      <c r="C4677" t="inlineStr">
        <is>
          <t>Eau De Parfum</t>
        </is>
      </c>
      <c r="D4677" t="inlineStr">
        <is>
          <t>Amazing Creations</t>
        </is>
      </c>
      <c r="E4677" t="n">
        <v>33.22</v>
      </c>
      <c r="F4677" t="n">
        <v>1</v>
      </c>
      <c r="G4677" t="n">
        <v>16</v>
      </c>
      <c r="H4677" s="5">
        <f>HYPERLINK("https://api.qogita.com/variants/link/3760294351215/", "View Product")</f>
        <v/>
      </c>
    </row>
    <row r="4678">
      <c r="A4678" t="inlineStr">
        <is>
          <t>3760294351239</t>
        </is>
      </c>
      <c r="B4678" t="inlineStr">
        <is>
          <t>The Woods Collection Azure Eau de Parfum Spray 3.4oz - Old Packaging</t>
        </is>
      </c>
      <c r="C4678" t="inlineStr">
        <is>
          <t>Eau De Parfum</t>
        </is>
      </c>
      <c r="D4678" t="inlineStr">
        <is>
          <t>The Woods Collection</t>
        </is>
      </c>
      <c r="E4678" t="n">
        <v>34.15</v>
      </c>
      <c r="F4678" t="n">
        <v>1</v>
      </c>
      <c r="G4678" t="n">
        <v>4</v>
      </c>
      <c r="H4678" s="5">
        <f>HYPERLINK("https://api.qogita.com/variants/link/3760294351239/", "View Product")</f>
        <v/>
      </c>
    </row>
    <row r="4679">
      <c r="A4679" t="inlineStr">
        <is>
          <t>3760294351260</t>
        </is>
      </c>
      <c r="B4679" t="inlineStr">
        <is>
          <t>THE WOODS COLLECTION Mirage Eau de Parfum Unisex Scent 100ml</t>
        </is>
      </c>
      <c r="C4679" t="inlineStr">
        <is>
          <t>Eau De Parfum</t>
        </is>
      </c>
      <c r="D4679" t="inlineStr">
        <is>
          <t>The Woods Collection</t>
        </is>
      </c>
      <c r="E4679" t="n">
        <v>27.94</v>
      </c>
      <c r="F4679" t="n">
        <v>1</v>
      </c>
      <c r="G4679" t="n">
        <v>9</v>
      </c>
      <c r="H4679" s="5">
        <f>HYPERLINK("https://api.qogita.com/variants/link/3760294351260/", "View Product")</f>
        <v/>
      </c>
    </row>
    <row r="4680">
      <c r="A4680" t="inlineStr">
        <is>
          <t>3760303362409</t>
        </is>
      </c>
      <c r="B4680" t="inlineStr">
        <is>
          <t>Liquides Imaginaires Ame Du Coeur Perfume 100 Ml</t>
        </is>
      </c>
      <c r="C4680" t="inlineStr">
        <is>
          <t>Eau De Parfum</t>
        </is>
      </c>
      <c r="D4680" t="inlineStr">
        <is>
          <t>Liquides Imaginaires</t>
        </is>
      </c>
      <c r="E4680" t="n">
        <v>103.24</v>
      </c>
      <c r="F4680" t="n">
        <v>1</v>
      </c>
      <c r="G4680" t="n">
        <v>5</v>
      </c>
      <c r="H4680" s="5">
        <f>HYPERLINK("https://api.qogita.com/variants/link/3760303362409/", "View Product")</f>
        <v/>
      </c>
    </row>
    <row r="4681">
      <c r="A4681" t="inlineStr">
        <is>
          <t>3760361770826</t>
        </is>
      </c>
      <c r="B4681" t="inlineStr">
        <is>
          <t>Sigh Maraschino Eau De Parfum 100ml</t>
        </is>
      </c>
      <c r="C4681" t="inlineStr">
        <is>
          <t>Eau De Parfum</t>
        </is>
      </c>
      <c r="D4681" t="inlineStr">
        <is>
          <t>Sospiro</t>
        </is>
      </c>
      <c r="E4681" t="n">
        <v>134.73</v>
      </c>
      <c r="F4681" t="n">
        <v>1</v>
      </c>
      <c r="G4681" t="n">
        <v>11</v>
      </c>
      <c r="H4681" s="5">
        <f>HYPERLINK("https://api.qogita.com/variants/link/3760361770826/", "View Product")</f>
        <v/>
      </c>
    </row>
    <row r="4682">
      <c r="A4682" t="inlineStr">
        <is>
          <t>3760372460044</t>
        </is>
      </c>
      <c r="B4682" t="inlineStr">
        <is>
          <t>Matiere Premiere Bois D'Ebene Unisex Eau De Parfum Spray 50ml</t>
        </is>
      </c>
      <c r="C4682" t="inlineStr">
        <is>
          <t>Eau De Parfum</t>
        </is>
      </c>
      <c r="D4682" t="inlineStr">
        <is>
          <t>Matière Premiere</t>
        </is>
      </c>
      <c r="E4682" t="n">
        <v>106.47</v>
      </c>
      <c r="F4682" t="n">
        <v>1</v>
      </c>
      <c r="G4682" t="n">
        <v>15</v>
      </c>
      <c r="H4682" s="5">
        <f>HYPERLINK("https://api.qogita.com/variants/link/3760372460044/", "View Product")</f>
        <v/>
      </c>
    </row>
    <row r="4683">
      <c r="A4683" t="inlineStr">
        <is>
          <t>3770000002683</t>
        </is>
      </c>
      <c r="B4683" t="inlineStr">
        <is>
          <t>Juliette Has A Gun Lady Vengeance Eau De Parfum Spray 100ml</t>
        </is>
      </c>
      <c r="C4683" t="inlineStr">
        <is>
          <t>Eau De Parfum</t>
        </is>
      </c>
      <c r="D4683" t="inlineStr">
        <is>
          <t>Juliette has a gun</t>
        </is>
      </c>
      <c r="E4683" t="n">
        <v>58.97</v>
      </c>
      <c r="F4683" t="n">
        <v>1</v>
      </c>
      <c r="G4683" t="n">
        <v>4</v>
      </c>
      <c r="H4683" s="5">
        <f>HYPERLINK("https://api.qogita.com/variants/link/3770000002683/", "View Product")</f>
        <v/>
      </c>
    </row>
    <row r="4684">
      <c r="A4684" t="inlineStr">
        <is>
          <t>3770003318255</t>
        </is>
      </c>
      <c r="B4684" t="inlineStr">
        <is>
          <t>Chabaud Concentrated Milk 30ml Eau De Toilette Spray</t>
        </is>
      </c>
      <c r="C4684" t="inlineStr">
        <is>
          <t>Eau De Toilette</t>
        </is>
      </c>
      <c r="D4684" t="inlineStr">
        <is>
          <t>Chabaud</t>
        </is>
      </c>
      <c r="E4684" t="n">
        <v>39.7</v>
      </c>
      <c r="F4684" t="n">
        <v>1</v>
      </c>
      <c r="G4684" t="n">
        <v>5</v>
      </c>
      <c r="H4684" s="5">
        <f>HYPERLINK("https://api.qogita.com/variants/link/3770003318255/", "View Product")</f>
        <v/>
      </c>
    </row>
    <row r="4685">
      <c r="A4685" t="inlineStr">
        <is>
          <t>3770003318699</t>
        </is>
      </c>
      <c r="B4685" t="inlineStr">
        <is>
          <t>Chabaud Innoc Frag Eau De Parfum Vapo100 Ml Skin Care 100 Ml Pack Of 1</t>
        </is>
      </c>
      <c r="C4685" t="inlineStr">
        <is>
          <t>Eau De Parfum</t>
        </is>
      </c>
      <c r="D4685" t="inlineStr">
        <is>
          <t>Chabaud</t>
        </is>
      </c>
      <c r="E4685" t="n">
        <v>67.90000000000001</v>
      </c>
      <c r="F4685" t="n">
        <v>1</v>
      </c>
      <c r="G4685" t="n">
        <v>5</v>
      </c>
      <c r="H4685" s="5">
        <f>HYPERLINK("https://api.qogita.com/variants/link/3770003318699/", "View Product")</f>
        <v/>
      </c>
    </row>
    <row r="4686">
      <c r="A4686" t="inlineStr">
        <is>
          <t>3770003318705</t>
        </is>
      </c>
      <c r="B4686" t="inlineStr">
        <is>
          <t>Chabaud Chic De Boh EDP Vapo 100ml</t>
        </is>
      </c>
      <c r="C4686" t="inlineStr">
        <is>
          <t>Eau De Parfum</t>
        </is>
      </c>
      <c r="D4686" t="inlineStr">
        <is>
          <t>Chabaud</t>
        </is>
      </c>
      <c r="E4686" t="n">
        <v>67.90000000000001</v>
      </c>
      <c r="F4686" t="n">
        <v>1</v>
      </c>
      <c r="G4686" t="n">
        <v>10</v>
      </c>
      <c r="H4686" s="5">
        <f>HYPERLINK("https://api.qogita.com/variants/link/3770003318705/", "View Product")</f>
        <v/>
      </c>
    </row>
    <row r="4687">
      <c r="A4687" t="inlineStr">
        <is>
          <t>3770004394500</t>
        </is>
      </c>
      <c r="B4687" t="inlineStr">
        <is>
          <t>LIQUIDES IMAGINAIRES ILE POURPRE Eau de Parfum</t>
        </is>
      </c>
      <c r="C4687" t="inlineStr">
        <is>
          <t>Eau De Parfum</t>
        </is>
      </c>
      <c r="D4687" t="inlineStr">
        <is>
          <t>Liquides Imaginaires</t>
        </is>
      </c>
      <c r="E4687" t="n">
        <v>87.44</v>
      </c>
      <c r="F4687" t="n">
        <v>1</v>
      </c>
      <c r="G4687" t="n">
        <v>3</v>
      </c>
      <c r="H4687" s="5">
        <f>HYPERLINK("https://api.qogita.com/variants/link/3770004394500/", "View Product")</f>
        <v/>
      </c>
    </row>
    <row r="4688">
      <c r="A4688" t="inlineStr">
        <is>
          <t>3770004394623</t>
        </is>
      </c>
      <c r="B4688" t="inlineStr">
        <is>
          <t>LIQUIDES IMAGINAIRES Desert Suave Eau de Parfum</t>
        </is>
      </c>
      <c r="C4688" t="inlineStr">
        <is>
          <t>Eau De Parfum</t>
        </is>
      </c>
      <c r="D4688" t="inlineStr">
        <is>
          <t>Liquides Imaginaires</t>
        </is>
      </c>
      <c r="E4688" t="n">
        <v>91.06999999999999</v>
      </c>
      <c r="F4688" t="n">
        <v>1</v>
      </c>
      <c r="G4688" t="n">
        <v>5</v>
      </c>
      <c r="H4688" s="5">
        <f>HYPERLINK("https://api.qogita.com/variants/link/3770004394623/", "View Product")</f>
        <v/>
      </c>
    </row>
    <row r="4689">
      <c r="A4689" t="inlineStr">
        <is>
          <t>3770004394746</t>
        </is>
      </c>
      <c r="B4689" t="inlineStr">
        <is>
          <t>Fleur de Sable Eau de l'Est by Liquides Imaginaires 3.3oz (100ml) EDP - New and Sealed</t>
        </is>
      </c>
      <c r="C4689" t="inlineStr">
        <is>
          <t>Eau De Parfum</t>
        </is>
      </c>
      <c r="D4689" t="inlineStr">
        <is>
          <t>Liquides Imaginaires</t>
        </is>
      </c>
      <c r="E4689" t="n">
        <v>106.11</v>
      </c>
      <c r="F4689" t="n">
        <v>1</v>
      </c>
      <c r="G4689" t="n">
        <v>16</v>
      </c>
      <c r="H4689" s="5">
        <f>HYPERLINK("https://api.qogita.com/variants/link/3770004394746/", "View Product")</f>
        <v/>
      </c>
    </row>
    <row r="4690">
      <c r="A4690" t="inlineStr">
        <is>
          <t>3770007317469</t>
        </is>
      </c>
      <c r="B4690" t="inlineStr">
        <is>
          <t>Radical Rose by Matiere Premiere Unisex 3.4 Oz EDP Spray</t>
        </is>
      </c>
      <c r="C4690" t="inlineStr">
        <is>
          <t>Eau De Parfum</t>
        </is>
      </c>
      <c r="D4690" t="inlineStr">
        <is>
          <t>Matière Premiere</t>
        </is>
      </c>
      <c r="E4690" t="n">
        <v>158.29</v>
      </c>
      <c r="F4690" t="n">
        <v>1</v>
      </c>
      <c r="G4690" t="n">
        <v>6</v>
      </c>
      <c r="H4690" s="5">
        <f>HYPERLINK("https://api.qogita.com/variants/link/3770007317469/", "View Product")</f>
        <v/>
      </c>
    </row>
    <row r="4691">
      <c r="A4691" t="inlineStr">
        <is>
          <t>3770007900128</t>
        </is>
      </c>
      <c r="B4691" t="inlineStr">
        <is>
          <t>Chabaud Île Mythique EdP 100ml</t>
        </is>
      </c>
      <c r="C4691" t="inlineStr">
        <is>
          <t>Eau De Parfum</t>
        </is>
      </c>
      <c r="D4691" t="inlineStr">
        <is>
          <t>Chabaud</t>
        </is>
      </c>
      <c r="E4691" t="n">
        <v>81.03</v>
      </c>
      <c r="F4691" t="n">
        <v>1</v>
      </c>
      <c r="G4691" t="n">
        <v>5</v>
      </c>
      <c r="H4691" s="5">
        <f>HYPERLINK("https://api.qogita.com/variants/link/3770007900128/", "View Product")</f>
        <v/>
      </c>
    </row>
    <row r="4692">
      <c r="A4692" t="inlineStr">
        <is>
          <t>3770007900159</t>
        </is>
      </c>
      <c r="B4692" t="inlineStr">
        <is>
          <t>Chabaud Ambre Du Rêve Extrait de Parfum 100ml</t>
        </is>
      </c>
      <c r="C4692" t="inlineStr">
        <is>
          <t>Extrait De Parfum</t>
        </is>
      </c>
      <c r="D4692" t="inlineStr">
        <is>
          <t>Chabaud</t>
        </is>
      </c>
      <c r="E4692" t="n">
        <v>143.9</v>
      </c>
      <c r="F4692" t="n">
        <v>1</v>
      </c>
      <c r="G4692" t="n">
        <v>5</v>
      </c>
      <c r="H4692" s="5">
        <f>HYPERLINK("https://api.qogita.com/variants/link/3770007900159/", "View Product")</f>
        <v/>
      </c>
    </row>
    <row r="4693">
      <c r="A4693" t="inlineStr">
        <is>
          <t>3770007900890</t>
        </is>
      </c>
      <c r="B4693" t="inlineStr">
        <is>
          <t>Chabaud Orangerie Musicale Eau de Parfum 100ml</t>
        </is>
      </c>
      <c r="C4693" t="inlineStr">
        <is>
          <t>Eau De Parfum</t>
        </is>
      </c>
      <c r="D4693" t="inlineStr">
        <is>
          <t>Chabaud</t>
        </is>
      </c>
      <c r="E4693" t="n">
        <v>81.92</v>
      </c>
      <c r="F4693" t="n">
        <v>1</v>
      </c>
      <c r="G4693" t="n">
        <v>5</v>
      </c>
      <c r="H4693" s="5">
        <f>HYPERLINK("https://api.qogita.com/variants/link/3770007900890/", "View Product")</f>
        <v/>
      </c>
    </row>
    <row r="4694">
      <c r="A4694" t="inlineStr">
        <is>
          <t>3770009208031</t>
        </is>
      </c>
      <c r="B4694" t="inlineStr">
        <is>
          <t>State Of Mind Sense Of Humor Perfume</t>
        </is>
      </c>
      <c r="C4694" t="inlineStr">
        <is>
          <t>Eau De Parfum</t>
        </is>
      </c>
      <c r="D4694" t="inlineStr">
        <is>
          <t>State Of Mind</t>
        </is>
      </c>
      <c r="E4694" t="n">
        <v>132.62</v>
      </c>
      <c r="F4694" t="n">
        <v>1</v>
      </c>
      <c r="G4694" t="n">
        <v>4</v>
      </c>
      <c r="H4694" s="5">
        <f>HYPERLINK("https://api.qogita.com/variants/link/3770009208031/", "View Product")</f>
        <v/>
      </c>
    </row>
    <row r="4695">
      <c r="A4695" t="inlineStr">
        <is>
          <t>3770014291158</t>
        </is>
      </c>
      <c r="B4695" t="inlineStr">
        <is>
          <t>Maison Matine Origine Collection Hasard Bazar Eau De Parfum Spray</t>
        </is>
      </c>
      <c r="C4695" t="inlineStr">
        <is>
          <t>Eau De Parfum</t>
        </is>
      </c>
      <c r="D4695" t="inlineStr">
        <is>
          <t>Maison Matine</t>
        </is>
      </c>
      <c r="E4695" t="n">
        <v>15.8</v>
      </c>
      <c r="F4695" t="n">
        <v>1</v>
      </c>
      <c r="G4695" t="n">
        <v>2</v>
      </c>
      <c r="H4695" s="5">
        <f>HYPERLINK("https://api.qogita.com/variants/link/3770014291158/", "View Product")</f>
        <v/>
      </c>
    </row>
    <row r="4696">
      <c r="A4696" t="inlineStr">
        <is>
          <t>3770022101159</t>
        </is>
      </c>
      <c r="B4696" t="inlineStr">
        <is>
          <t>Brecourt Paris Ambre Noir Eau De Parfum 100ml</t>
        </is>
      </c>
      <c r="C4696" t="inlineStr">
        <is>
          <t>Eau De Parfum</t>
        </is>
      </c>
      <c r="D4696" t="inlineStr">
        <is>
          <t>Brecourt</t>
        </is>
      </c>
      <c r="E4696" t="n">
        <v>79.73</v>
      </c>
      <c r="F4696" t="n">
        <v>1</v>
      </c>
      <c r="G4696" t="n">
        <v>8</v>
      </c>
      <c r="H4696" s="5">
        <f>HYPERLINK("https://api.qogita.com/variants/link/3770022101159/", "View Product")</f>
        <v/>
      </c>
    </row>
    <row r="4697">
      <c r="A4697" t="inlineStr">
        <is>
          <t>3770022101432</t>
        </is>
      </c>
      <c r="B4697" t="inlineStr">
        <is>
          <t>Brecourt Esprit Mondain Eau De Parfum 50ml</t>
        </is>
      </c>
      <c r="C4697" t="inlineStr">
        <is>
          <t>Eau De Parfum</t>
        </is>
      </c>
      <c r="D4697" t="inlineStr">
        <is>
          <t>Brecourt</t>
        </is>
      </c>
      <c r="E4697" t="n">
        <v>50.85</v>
      </c>
      <c r="F4697" t="n">
        <v>1</v>
      </c>
      <c r="G4697" t="n">
        <v>5</v>
      </c>
      <c r="H4697" s="5">
        <f>HYPERLINK("https://api.qogita.com/variants/link/3770022101432/", "View Product")</f>
        <v/>
      </c>
    </row>
    <row r="4698">
      <c r="A4698" t="inlineStr">
        <is>
          <t>3770022101500</t>
        </is>
      </c>
      <c r="B4698" t="inlineStr">
        <is>
          <t>Brecourt Eau Libre Eau De Parfum 50ml</t>
        </is>
      </c>
      <c r="C4698" t="inlineStr">
        <is>
          <t>Eau De Parfum</t>
        </is>
      </c>
      <c r="D4698" t="inlineStr">
        <is>
          <t>Brecourt</t>
        </is>
      </c>
      <c r="E4698" t="n">
        <v>50.25</v>
      </c>
      <c r="F4698" t="n">
        <v>1</v>
      </c>
      <c r="G4698" t="n">
        <v>5</v>
      </c>
      <c r="H4698" s="5">
        <f>HYPERLINK("https://api.qogita.com/variants/link/3770022101500/", "View Product")</f>
        <v/>
      </c>
    </row>
    <row r="4699">
      <c r="A4699" t="inlineStr">
        <is>
          <t>3770022101906</t>
        </is>
      </c>
      <c r="B4699" t="inlineStr">
        <is>
          <t>Brecourt Noces De Nerola Eau De Parfum 50 Milliliters</t>
        </is>
      </c>
      <c r="C4699" t="inlineStr">
        <is>
          <t>Eau De Parfum</t>
        </is>
      </c>
      <c r="D4699" t="inlineStr">
        <is>
          <t>Brecourt</t>
        </is>
      </c>
      <c r="E4699" t="n">
        <v>50.25</v>
      </c>
      <c r="F4699" t="n">
        <v>1</v>
      </c>
      <c r="G4699" t="n">
        <v>2</v>
      </c>
      <c r="H4699" s="5">
        <f>HYPERLINK("https://api.qogita.com/variants/link/3770022101906/", "View Product")</f>
        <v/>
      </c>
    </row>
    <row r="4700">
      <c r="A4700" t="inlineStr">
        <is>
          <t>3800221841430</t>
        </is>
      </c>
      <c r="B4700" t="inlineStr">
        <is>
          <t>Biotrade Regenerating Cream For Skin Prone To Imperfections Spf 30 Acnaut Repair Cream - 30 Ml</t>
        </is>
      </c>
      <c r="C4700" t="inlineStr">
        <is>
          <t>Pimple &amp; Blackhead Treatments</t>
        </is>
      </c>
      <c r="D4700" t="inlineStr">
        <is>
          <t>Biotrade</t>
        </is>
      </c>
      <c r="E4700" t="n">
        <v>24.08</v>
      </c>
      <c r="F4700" t="n">
        <v>1</v>
      </c>
      <c r="G4700" t="n">
        <v>5</v>
      </c>
      <c r="H4700" s="5">
        <f>HYPERLINK("https://api.qogita.com/variants/link/3800221841430/", "View Product")</f>
        <v/>
      </c>
    </row>
    <row r="4701">
      <c r="A4701" t="inlineStr">
        <is>
          <t>3800221841447</t>
        </is>
      </c>
      <c r="B4701" t="inlineStr">
        <is>
          <t>Biotrade Cleansing Foam For Oily And Problematic Skin Acnaut - 150 Ml</t>
        </is>
      </c>
      <c r="C4701" t="inlineStr">
        <is>
          <t>Cleansing Foam</t>
        </is>
      </c>
      <c r="D4701" t="inlineStr">
        <is>
          <t>Biotrade</t>
        </is>
      </c>
      <c r="E4701" t="n">
        <v>16.28</v>
      </c>
      <c r="F4701" t="n">
        <v>1</v>
      </c>
      <c r="G4701" t="n">
        <v>7</v>
      </c>
      <c r="H4701" s="5">
        <f>HYPERLINK("https://api.qogita.com/variants/link/3800221841447/", "View Product")</f>
        <v/>
      </c>
    </row>
    <row r="4702">
      <c r="A4702" t="inlineStr">
        <is>
          <t>3800221841454</t>
        </is>
      </c>
      <c r="B4702" t="inlineStr">
        <is>
          <t>Biotrade Mattifying Tonic For Oily And Problematic Skin Acnaut - 60 Ml</t>
        </is>
      </c>
      <c r="C4702" t="inlineStr">
        <is>
          <t>Facial Cleansing</t>
        </is>
      </c>
      <c r="D4702" t="inlineStr">
        <is>
          <t>Biotrade</t>
        </is>
      </c>
      <c r="E4702" t="n">
        <v>20.54</v>
      </c>
      <c r="F4702" t="n">
        <v>1</v>
      </c>
      <c r="G4702" t="n">
        <v>9</v>
      </c>
      <c r="H4702" s="5">
        <f>HYPERLINK("https://api.qogita.com/variants/link/3800221841454/", "View Product")</f>
        <v/>
      </c>
    </row>
    <row r="4703">
      <c r="A4703" t="inlineStr">
        <is>
          <t>3800221841478</t>
        </is>
      </c>
      <c r="B4703" t="inlineStr">
        <is>
          <t>Biotrade Acnaut Cleansing Soap For Oily And Problematic Skin - 100 G</t>
        </is>
      </c>
      <c r="C4703" t="inlineStr">
        <is>
          <t>Facial Soap</t>
        </is>
      </c>
      <c r="D4703" t="inlineStr">
        <is>
          <t>Biotrade</t>
        </is>
      </c>
      <c r="E4703" t="n">
        <v>8.56</v>
      </c>
      <c r="F4703" t="n">
        <v>1</v>
      </c>
      <c r="G4703" t="n">
        <v>12</v>
      </c>
      <c r="H4703" s="5">
        <f>HYPERLINK("https://api.qogita.com/variants/link/3800221841478/", "View Product")</f>
        <v/>
      </c>
    </row>
    <row r="4704">
      <c r="A4704" t="inlineStr">
        <is>
          <t>3800221841935</t>
        </is>
      </c>
      <c r="B4704" t="inlineStr">
        <is>
          <t>Biotrade Odorex Deo Antiperspirant Spray - 40 Ml</t>
        </is>
      </c>
      <c r="C4704" t="inlineStr">
        <is>
          <t>Deodorant &amp; Anti-Perspirant</t>
        </is>
      </c>
      <c r="D4704" t="inlineStr">
        <is>
          <t>Biotrade</t>
        </is>
      </c>
      <c r="E4704" t="n">
        <v>16.28</v>
      </c>
      <c r="F4704" t="n">
        <v>1</v>
      </c>
      <c r="G4704" t="n">
        <v>13</v>
      </c>
      <c r="H4704" s="5">
        <f>HYPERLINK("https://api.qogita.com/variants/link/3800221841935/", "View Product")</f>
        <v/>
      </c>
    </row>
    <row r="4705">
      <c r="A4705" t="inlineStr">
        <is>
          <t>3800500519821</t>
        </is>
      </c>
      <c r="B4705" t="inlineStr">
        <is>
          <t>Cocosolis Uomo Suntan Body Oil 110 Ml</t>
        </is>
      </c>
      <c r="C4705" t="inlineStr">
        <is>
          <t>Body Oil</t>
        </is>
      </c>
      <c r="D4705" t="inlineStr">
        <is>
          <t>Cocosolis</t>
        </is>
      </c>
      <c r="E4705" t="n">
        <v>19.59</v>
      </c>
      <c r="F4705" t="n">
        <v>1</v>
      </c>
      <c r="G4705" t="n">
        <v>7</v>
      </c>
      <c r="H4705" s="5">
        <f>HYPERLINK("https://api.qogita.com/variants/link/3800500519821/", "View Product")</f>
        <v/>
      </c>
    </row>
    <row r="4706">
      <c r="A4706" t="inlineStr">
        <is>
          <t>3800501636268</t>
        </is>
      </c>
      <c r="B4706" t="inlineStr">
        <is>
          <t>COCOSOLIS AQUA Filler-Effect Hyaluron Supreme Facial Serum with 8 Types of Hyaluronic Acid and Aquaxyl Vegan Anti-Age Day Care with Ultra Hydration</t>
        </is>
      </c>
      <c r="C4706" t="inlineStr">
        <is>
          <t>Hyaluronic Acid Serum</t>
        </is>
      </c>
      <c r="D4706" t="inlineStr">
        <is>
          <t>Cocosolis</t>
        </is>
      </c>
      <c r="E4706" t="n">
        <v>33.96</v>
      </c>
      <c r="F4706" t="n">
        <v>1</v>
      </c>
      <c r="G4706" t="n">
        <v>5</v>
      </c>
      <c r="H4706" s="5">
        <f>HYPERLINK("https://api.qogita.com/variants/link/3800501636268/", "View Product")</f>
        <v/>
      </c>
    </row>
    <row r="4707">
      <c r="A4707" t="inlineStr">
        <is>
          <t>4001638080262</t>
        </is>
      </c>
      <c r="B4707" t="inlineStr">
        <is>
          <t>Weleda Iris Moisture Cream 1 fl oz</t>
        </is>
      </c>
      <c r="C4707" t="inlineStr">
        <is>
          <t>Face Cream</t>
        </is>
      </c>
      <c r="D4707" t="inlineStr">
        <is>
          <t>Weleda</t>
        </is>
      </c>
      <c r="E4707" t="n">
        <v>15.17</v>
      </c>
      <c r="F4707" t="n">
        <v>1</v>
      </c>
      <c r="G4707" t="n">
        <v>3</v>
      </c>
      <c r="H4707" s="5">
        <f>HYPERLINK("https://api.qogita.com/variants/link/4001638080262/", "View Product")</f>
        <v/>
      </c>
    </row>
    <row r="4708">
      <c r="A4708" t="inlineStr">
        <is>
          <t>4001638088084</t>
        </is>
      </c>
      <c r="B4708" t="inlineStr">
        <is>
          <t>Weleda Rosehip Deodorant Spray 100ml 24h Protection</t>
        </is>
      </c>
      <c r="C4708" t="inlineStr">
        <is>
          <t>Deodorant &amp; Anti-Perspirant</t>
        </is>
      </c>
      <c r="D4708" t="inlineStr">
        <is>
          <t>Weleda</t>
        </is>
      </c>
      <c r="E4708" t="n">
        <v>14.41</v>
      </c>
      <c r="F4708" t="n">
        <v>1</v>
      </c>
      <c r="G4708" t="n">
        <v>7</v>
      </c>
      <c r="H4708" s="5">
        <f>HYPERLINK("https://api.qogita.com/variants/link/4001638088084/", "View Product")</f>
        <v/>
      </c>
    </row>
    <row r="4709">
      <c r="A4709" t="inlineStr">
        <is>
          <t>4001638095723</t>
        </is>
      </c>
      <c r="B4709" t="inlineStr">
        <is>
          <t>2-In-1 Cleaner &amp; Toner</t>
        </is>
      </c>
      <c r="C4709" t="inlineStr">
        <is>
          <t>Makeup Remover</t>
        </is>
      </c>
      <c r="D4709" t="inlineStr">
        <is>
          <t>Weleda</t>
        </is>
      </c>
      <c r="E4709" t="n">
        <v>12.87</v>
      </c>
      <c r="F4709" t="n">
        <v>1</v>
      </c>
      <c r="G4709" t="n">
        <v>4</v>
      </c>
      <c r="H4709" s="5">
        <f>HYPERLINK("https://api.qogita.com/variants/link/4001638095723/", "View Product")</f>
        <v/>
      </c>
    </row>
    <row r="4710">
      <c r="A4710" t="inlineStr">
        <is>
          <t>4001638096560</t>
        </is>
      </c>
      <c r="B4710" t="inlineStr">
        <is>
          <t>Weleda Calendula Baby Oil 200 Ml</t>
        </is>
      </c>
      <c r="C4710" t="inlineStr">
        <is>
          <t>Baby Cream &amp; Oil</t>
        </is>
      </c>
      <c r="D4710" t="inlineStr">
        <is>
          <t>Weleda</t>
        </is>
      </c>
      <c r="E4710" t="n">
        <v>11.51</v>
      </c>
      <c r="F4710" t="n">
        <v>1</v>
      </c>
      <c r="G4710" t="n">
        <v>5</v>
      </c>
      <c r="H4710" s="5">
        <f>HYPERLINK("https://api.qogita.com/variants/link/4001638096560/", "View Product")</f>
        <v/>
      </c>
    </row>
    <row r="4711">
      <c r="A4711" t="inlineStr">
        <is>
          <t>4001638098595</t>
        </is>
      </c>
      <c r="B4711" t="inlineStr">
        <is>
          <t>Weleda Skin Food Original Ultra-Rich Cream 75ml</t>
        </is>
      </c>
      <c r="C4711" t="inlineStr">
        <is>
          <t>Body Butter</t>
        </is>
      </c>
      <c r="D4711" t="inlineStr">
        <is>
          <t>Weleda</t>
        </is>
      </c>
      <c r="E4711" t="n">
        <v>10.68</v>
      </c>
      <c r="F4711" t="n">
        <v>1</v>
      </c>
      <c r="G4711" t="n">
        <v>18</v>
      </c>
      <c r="H4711" s="5">
        <f>HYPERLINK("https://api.qogita.com/variants/link/4001638098595/", "View Product")</f>
        <v/>
      </c>
    </row>
    <row r="4712">
      <c r="A4712" t="inlineStr">
        <is>
          <t>4001638098649</t>
        </is>
      </c>
      <c r="B4712" t="inlineStr">
        <is>
          <t>Weleda Skin Food Face Cream 30ml</t>
        </is>
      </c>
      <c r="C4712" t="inlineStr">
        <is>
          <t>Face Cream</t>
        </is>
      </c>
      <c r="D4712" t="inlineStr">
        <is>
          <t>Weleda</t>
        </is>
      </c>
      <c r="E4712" t="n">
        <v>7.47</v>
      </c>
      <c r="F4712" t="n">
        <v>1</v>
      </c>
      <c r="G4712" t="n">
        <v>20</v>
      </c>
      <c r="H4712" s="5">
        <f>HYPERLINK("https://api.qogita.com/variants/link/4001638098649/", "View Product")</f>
        <v/>
      </c>
    </row>
    <row r="4713">
      <c r="A4713" t="inlineStr">
        <is>
          <t>4001638099271</t>
        </is>
      </c>
      <c r="B4713" t="inlineStr">
        <is>
          <t>Weleda Deodorant Spray Sage 100ml</t>
        </is>
      </c>
      <c r="C4713" t="inlineStr">
        <is>
          <t>Deodorant &amp; Anti-Perspirant</t>
        </is>
      </c>
      <c r="D4713" t="inlineStr">
        <is>
          <t>Weleda</t>
        </is>
      </c>
      <c r="E4713" t="n">
        <v>10.57</v>
      </c>
      <c r="F4713" t="n">
        <v>1</v>
      </c>
      <c r="G4713" t="n">
        <v>3</v>
      </c>
      <c r="H4713" s="5">
        <f>HYPERLINK("https://api.qogita.com/variants/link/4001638099271/", "View Product")</f>
        <v/>
      </c>
    </row>
    <row r="4714">
      <c r="A4714" t="inlineStr">
        <is>
          <t>4001638500784</t>
        </is>
      </c>
      <c r="B4714" t="inlineStr">
        <is>
          <t>Weleda Seabuckthorn Oil 100 Ml</t>
        </is>
      </c>
      <c r="C4714" t="inlineStr">
        <is>
          <t>Body Oil</t>
        </is>
      </c>
      <c r="D4714" t="inlineStr">
        <is>
          <t>Weleda</t>
        </is>
      </c>
      <c r="E4714" t="n">
        <v>17.06</v>
      </c>
      <c r="F4714" t="n">
        <v>1</v>
      </c>
      <c r="G4714" t="n">
        <v>4</v>
      </c>
      <c r="H4714" s="5">
        <f>HYPERLINK("https://api.qogita.com/variants/link/4001638500784/", "View Product")</f>
        <v/>
      </c>
    </row>
    <row r="4715">
      <c r="A4715" t="inlineStr">
        <is>
          <t>4001638501989</t>
        </is>
      </c>
      <c r="B4715" t="inlineStr">
        <is>
          <t>Weleda Skin Food Repairing Lip Balm 8ml Nourishing Lip Care</t>
        </is>
      </c>
      <c r="C4715" t="inlineStr">
        <is>
          <t>Medicated Treatments</t>
        </is>
      </c>
      <c r="D4715" t="inlineStr">
        <is>
          <t>Weleda</t>
        </is>
      </c>
      <c r="E4715" t="n">
        <v>7.47</v>
      </c>
      <c r="F4715" t="n">
        <v>1</v>
      </c>
      <c r="G4715" t="n">
        <v>14</v>
      </c>
      <c r="H4715" s="5">
        <f>HYPERLINK("https://api.qogita.com/variants/link/4001638501989/", "View Product")</f>
        <v/>
      </c>
    </row>
    <row r="4716">
      <c r="A4716" t="inlineStr">
        <is>
          <t>4001638502368</t>
        </is>
      </c>
      <c r="B4716" t="inlineStr">
        <is>
          <t>Weleda Pomegranate Firming Face Oil 30 Ml</t>
        </is>
      </c>
      <c r="C4716" t="inlineStr">
        <is>
          <t>Facial Oil</t>
        </is>
      </c>
      <c r="D4716" t="inlineStr">
        <is>
          <t>Weleda</t>
        </is>
      </c>
      <c r="E4716" t="n">
        <v>23.28</v>
      </c>
      <c r="F4716" t="n">
        <v>1</v>
      </c>
      <c r="G4716" t="n">
        <v>5</v>
      </c>
      <c r="H4716" s="5">
        <f>HYPERLINK("https://api.qogita.com/variants/link/4001638502368/", "View Product")</f>
        <v/>
      </c>
    </row>
    <row r="4717">
      <c r="A4717" t="inlineStr">
        <is>
          <t>4001638529426</t>
        </is>
      </c>
      <c r="B4717" t="inlineStr">
        <is>
          <t>Weleda Skin Food Body Lotion Deeply Nourishing Body Lotion 200 Ml</t>
        </is>
      </c>
      <c r="C4717" t="inlineStr">
        <is>
          <t>Body Lotion</t>
        </is>
      </c>
      <c r="D4717" t="inlineStr">
        <is>
          <t>Weleda</t>
        </is>
      </c>
      <c r="E4717" t="n">
        <v>14.13</v>
      </c>
      <c r="F4717" t="n">
        <v>1</v>
      </c>
      <c r="G4717" t="n">
        <v>3</v>
      </c>
      <c r="H4717" s="5">
        <f>HYPERLINK("https://api.qogita.com/variants/link/4001638529426/", "View Product")</f>
        <v/>
      </c>
    </row>
    <row r="4718">
      <c r="A4718" t="inlineStr">
        <is>
          <t>4001638579995</t>
        </is>
      </c>
      <c r="B4718" t="inlineStr">
        <is>
          <t>Weleda Firming Serum Pomegranate &amp; Maca Peptide 30ml</t>
        </is>
      </c>
      <c r="C4718" t="inlineStr">
        <is>
          <t>Anti-Aging Serum</t>
        </is>
      </c>
      <c r="D4718" t="inlineStr">
        <is>
          <t>Weleda</t>
        </is>
      </c>
      <c r="E4718" t="n">
        <v>22.97</v>
      </c>
      <c r="F4718" t="n">
        <v>1</v>
      </c>
      <c r="G4718" t="n">
        <v>10</v>
      </c>
      <c r="H4718" s="5">
        <f>HYPERLINK("https://api.qogita.com/variants/link/4001638579995/", "View Product")</f>
        <v/>
      </c>
    </row>
    <row r="4719">
      <c r="A4719" t="inlineStr">
        <is>
          <t>4001638580342</t>
        </is>
      </c>
      <c r="B4719" t="inlineStr">
        <is>
          <t>Weleda Skin Food Ultra-Light Dry Oil</t>
        </is>
      </c>
      <c r="C4719" t="inlineStr">
        <is>
          <t>Body Oil</t>
        </is>
      </c>
      <c r="D4719" t="inlineStr">
        <is>
          <t>Weleda</t>
        </is>
      </c>
      <c r="E4719" t="n">
        <v>14.78</v>
      </c>
      <c r="F4719" t="n">
        <v>1</v>
      </c>
      <c r="G4719" t="n">
        <v>28</v>
      </c>
      <c r="H4719" s="5">
        <f>HYPERLINK("https://api.qogita.com/variants/link/4001638580342/", "View Product")</f>
        <v/>
      </c>
    </row>
    <row r="4720">
      <c r="A4720" t="inlineStr">
        <is>
          <t>4002448095200</t>
        </is>
      </c>
      <c r="B4720" t="inlineStr">
        <is>
          <t>Scholl Gelactiv Insoles For Open Shoes 1 Pair</t>
        </is>
      </c>
      <c r="C4720" t="inlineStr">
        <is>
          <t>Foot Care Sets</t>
        </is>
      </c>
      <c r="D4720" t="inlineStr">
        <is>
          <t>Scholl</t>
        </is>
      </c>
      <c r="E4720" t="n">
        <v>10.08</v>
      </c>
      <c r="F4720" t="n">
        <v>1</v>
      </c>
      <c r="G4720" t="n">
        <v>5</v>
      </c>
      <c r="H4720" s="5">
        <f>HYPERLINK("https://api.qogita.com/variants/link/4002448095200/", "View Product")</f>
        <v/>
      </c>
    </row>
    <row r="4721">
      <c r="A4721" t="inlineStr">
        <is>
          <t>4002448152651</t>
        </is>
      </c>
      <c r="B4721" t="inlineStr">
        <is>
          <t>Scholl ExpertCare Electric Express Pedi for Silky Soft Feet with Special Heel Roll</t>
        </is>
      </c>
      <c r="C4721" t="inlineStr">
        <is>
          <t>Callus Remover</t>
        </is>
      </c>
      <c r="D4721" t="inlineStr">
        <is>
          <t>Scholl</t>
        </is>
      </c>
      <c r="E4721" t="n">
        <v>21.29</v>
      </c>
      <c r="F4721" t="n">
        <v>1</v>
      </c>
      <c r="G4721" t="n">
        <v>43</v>
      </c>
      <c r="H4721" s="5">
        <f>HYPERLINK("https://api.qogita.com/variants/link/4002448152651/", "View Product")</f>
        <v/>
      </c>
    </row>
    <row r="4722">
      <c r="A4722" t="inlineStr">
        <is>
          <t>4003349083761</t>
        </is>
      </c>
      <c r="B4722" t="inlineStr">
        <is>
          <t>Pfeilring Manicure Manicure Pouch 5 Piece</t>
        </is>
      </c>
      <c r="C4722" t="inlineStr">
        <is>
          <t>Manicure Sets</t>
        </is>
      </c>
      <c r="D4722" t="inlineStr">
        <is>
          <t>Pfeilring</t>
        </is>
      </c>
      <c r="E4722" t="n">
        <v>55.92</v>
      </c>
      <c r="F4722" t="n">
        <v>1</v>
      </c>
      <c r="G4722" t="n">
        <v>4</v>
      </c>
      <c r="H4722" s="5">
        <f>HYPERLINK("https://api.qogita.com/variants/link/4003349083761/", "View Product")</f>
        <v/>
      </c>
    </row>
    <row r="4723">
      <c r="A4723" t="inlineStr">
        <is>
          <t>4003349122453</t>
        </is>
      </c>
      <c r="B4723" t="inlineStr">
        <is>
          <t>Pfeilring Solingen Manicure Set 5 Pieces Black</t>
        </is>
      </c>
      <c r="C4723" t="inlineStr">
        <is>
          <t>Manicure Sets</t>
        </is>
      </c>
      <c r="D4723" t="inlineStr">
        <is>
          <t>Pfeilring</t>
        </is>
      </c>
      <c r="E4723" t="n">
        <v>71.28</v>
      </c>
      <c r="F4723" t="n">
        <v>1</v>
      </c>
      <c r="G4723" t="n">
        <v>3</v>
      </c>
      <c r="H4723" s="5">
        <f>HYPERLINK("https://api.qogita.com/variants/link/4003349122453/", "View Product")</f>
        <v/>
      </c>
    </row>
    <row r="4724">
      <c r="A4724" t="inlineStr">
        <is>
          <t>4003349129674</t>
        </is>
      </c>
      <c r="B4724" t="inlineStr">
        <is>
          <t>Pfeilring Solingen Manicure Travel Set 3 Pieces Blue</t>
        </is>
      </c>
      <c r="C4724" t="inlineStr">
        <is>
          <t>Manicure Sets</t>
        </is>
      </c>
      <c r="D4724" t="inlineStr">
        <is>
          <t>Pfeilring</t>
        </is>
      </c>
      <c r="E4724" t="n">
        <v>27.68</v>
      </c>
      <c r="F4724" t="n">
        <v>1</v>
      </c>
      <c r="G4724" t="n">
        <v>5</v>
      </c>
      <c r="H4724" s="5">
        <f>HYPERLINK("https://api.qogita.com/variants/link/4003349129674/", "View Product")</f>
        <v/>
      </c>
    </row>
    <row r="4725">
      <c r="A4725" t="inlineStr">
        <is>
          <t>4005800036798</t>
        </is>
      </c>
      <c r="B4725" t="inlineStr">
        <is>
          <t>Eucerin Shampoo 250ml</t>
        </is>
      </c>
      <c r="C4725" t="inlineStr">
        <is>
          <t>Shampoo</t>
        </is>
      </c>
      <c r="D4725" t="inlineStr">
        <is>
          <t>Eucerin</t>
        </is>
      </c>
      <c r="E4725" t="n">
        <v>18.33</v>
      </c>
      <c r="F4725" t="n">
        <v>1</v>
      </c>
      <c r="G4725" t="n">
        <v>18</v>
      </c>
      <c r="H4725" s="5">
        <f>HYPERLINK("https://api.qogita.com/variants/link/4005800036798/", "View Product")</f>
        <v/>
      </c>
    </row>
    <row r="4726">
      <c r="A4726" t="inlineStr">
        <is>
          <t>4005800050176</t>
        </is>
      </c>
      <c r="B4726" t="inlineStr">
        <is>
          <t>Eucerin Volume-Filler Eye Contour 15ml</t>
        </is>
      </c>
      <c r="C4726" t="inlineStr">
        <is>
          <t>Eye Cream</t>
        </is>
      </c>
      <c r="D4726" t="inlineStr">
        <is>
          <t>Eucerin</t>
        </is>
      </c>
      <c r="E4726" t="n">
        <v>31.46</v>
      </c>
      <c r="F4726" t="n">
        <v>1</v>
      </c>
      <c r="G4726" t="n">
        <v>7</v>
      </c>
      <c r="H4726" s="5">
        <f>HYPERLINK("https://api.qogita.com/variants/link/4005800050176/", "View Product")</f>
        <v/>
      </c>
    </row>
    <row r="4727">
      <c r="A4727" t="inlineStr">
        <is>
          <t>4005800066023</t>
        </is>
      </c>
      <c r="B4727" t="inlineStr">
        <is>
          <t>Eucerin Sensitive Protect Sun Lotion Extra Light SPF 50+ 150ml</t>
        </is>
      </c>
      <c r="C4727" t="inlineStr">
        <is>
          <t>Body Sun Protection</t>
        </is>
      </c>
      <c r="D4727" t="inlineStr">
        <is>
          <t>Eucerin</t>
        </is>
      </c>
      <c r="E4727" t="n">
        <v>25.92</v>
      </c>
      <c r="F4727" t="n">
        <v>1</v>
      </c>
      <c r="G4727" t="n">
        <v>17</v>
      </c>
      <c r="H4727" s="5">
        <f>HYPERLINK("https://api.qogita.com/variants/link/4005800066023/", "View Product")</f>
        <v/>
      </c>
    </row>
    <row r="4728">
      <c r="A4728" t="inlineStr">
        <is>
          <t>4005800074738</t>
        </is>
      </c>
      <c r="B4728" t="inlineStr">
        <is>
          <t>Eucerin AtopiControl Lotion 400ml</t>
        </is>
      </c>
      <c r="C4728" t="inlineStr">
        <is>
          <t>Neurodermatitis</t>
        </is>
      </c>
      <c r="D4728" t="inlineStr">
        <is>
          <t>Eucerin</t>
        </is>
      </c>
      <c r="E4728" t="n">
        <v>33.82</v>
      </c>
      <c r="F4728" t="n">
        <v>1</v>
      </c>
      <c r="G4728" t="n">
        <v>6</v>
      </c>
      <c r="H4728" s="5">
        <f>HYPERLINK("https://api.qogita.com/variants/link/4005800074738/", "View Product")</f>
        <v/>
      </c>
    </row>
    <row r="4729">
      <c r="A4729" t="inlineStr">
        <is>
          <t>4005800076503</t>
        </is>
      </c>
      <c r="B4729" t="inlineStr">
        <is>
          <t>Eucerin Atopicontrol Face Cream 50 Ml</t>
        </is>
      </c>
      <c r="C4729" t="inlineStr">
        <is>
          <t>Face Cream</t>
        </is>
      </c>
      <c r="D4729" t="inlineStr">
        <is>
          <t>Eucerin</t>
        </is>
      </c>
      <c r="E4729" t="n">
        <v>19.48</v>
      </c>
      <c r="F4729" t="n">
        <v>1</v>
      </c>
      <c r="G4729" t="n">
        <v>5</v>
      </c>
      <c r="H4729" s="5">
        <f>HYPERLINK("https://api.qogita.com/variants/link/4005800076503/", "View Product")</f>
        <v/>
      </c>
    </row>
    <row r="4730">
      <c r="A4730" t="inlineStr">
        <is>
          <t>4005800078002</t>
        </is>
      </c>
      <c r="B4730" t="inlineStr">
        <is>
          <t>Atopicontrol Soothing Cream For Atopic Skin 40ml</t>
        </is>
      </c>
      <c r="C4730" t="inlineStr">
        <is>
          <t>Body Care</t>
        </is>
      </c>
      <c r="D4730" t="inlineStr">
        <is>
          <t>Eucerin</t>
        </is>
      </c>
      <c r="E4730" t="n">
        <v>19.45</v>
      </c>
      <c r="F4730" t="n">
        <v>1</v>
      </c>
      <c r="G4730" t="n">
        <v>5</v>
      </c>
      <c r="H4730" s="5">
        <f>HYPERLINK("https://api.qogita.com/variants/link/4005800078002/", "View Product")</f>
        <v/>
      </c>
    </row>
    <row r="4731">
      <c r="A4731" t="inlineStr">
        <is>
          <t>4005800120282</t>
        </is>
      </c>
      <c r="B4731" t="inlineStr">
        <is>
          <t>Eucerin Sun Gel Cream Oil Control Dry Touch Spf 30 50ml Sunscreen</t>
        </is>
      </c>
      <c r="C4731" t="inlineStr">
        <is>
          <t>Face Sun Protection</t>
        </is>
      </c>
      <c r="D4731" t="inlineStr">
        <is>
          <t>Eucerin</t>
        </is>
      </c>
      <c r="E4731" t="n">
        <v>15.63</v>
      </c>
      <c r="F4731" t="n">
        <v>1</v>
      </c>
      <c r="G4731" t="n">
        <v>5</v>
      </c>
      <c r="H4731" s="5">
        <f>HYPERLINK("https://api.qogita.com/variants/link/4005800120282/", "View Product")</f>
        <v/>
      </c>
    </row>
    <row r="4732">
      <c r="A4732" t="inlineStr">
        <is>
          <t>4005800256998</t>
        </is>
      </c>
      <c r="B4732" t="inlineStr">
        <is>
          <t>Eucerin UreaRepair Face Cream 5% Day 50ml</t>
        </is>
      </c>
      <c r="C4732" t="inlineStr">
        <is>
          <t>Day Cream</t>
        </is>
      </c>
      <c r="D4732" t="inlineStr">
        <is>
          <t>Eucerin</t>
        </is>
      </c>
      <c r="E4732" t="n">
        <v>29.83</v>
      </c>
      <c r="F4732" t="n">
        <v>1</v>
      </c>
      <c r="G4732" t="n">
        <v>5</v>
      </c>
      <c r="H4732" s="5">
        <f>HYPERLINK("https://api.qogita.com/variants/link/4005800256998/", "View Product")</f>
        <v/>
      </c>
    </row>
    <row r="4733">
      <c r="A4733" t="inlineStr">
        <is>
          <t>4005800271137</t>
        </is>
      </c>
      <c r="B4733" t="inlineStr">
        <is>
          <t>Eucerin Hyaluron-Filler + Elasticity 3D Serum 30ml</t>
        </is>
      </c>
      <c r="C4733" t="inlineStr">
        <is>
          <t>Hyaluronic Acid Serum</t>
        </is>
      </c>
      <c r="D4733" t="inlineStr">
        <is>
          <t>Eucerin</t>
        </is>
      </c>
      <c r="E4733" t="n">
        <v>37.24</v>
      </c>
      <c r="F4733" t="n">
        <v>1</v>
      </c>
      <c r="G4733" t="n">
        <v>2</v>
      </c>
      <c r="H4733" s="5">
        <f>HYPERLINK("https://api.qogita.com/variants/link/4005800271137/", "View Product")</f>
        <v/>
      </c>
    </row>
    <row r="4734">
      <c r="A4734" t="inlineStr">
        <is>
          <t>4005800287633</t>
        </is>
      </c>
      <c r="B4734" t="inlineStr">
        <is>
          <t>Eucerin Protective Tinting And Matting Face Gel Cream Spf 50 50 Ml</t>
        </is>
      </c>
      <c r="C4734" t="inlineStr">
        <is>
          <t>Face Sun Protection</t>
        </is>
      </c>
      <c r="D4734" t="inlineStr">
        <is>
          <t>Eucerin</t>
        </is>
      </c>
      <c r="E4734" t="n">
        <v>24.97</v>
      </c>
      <c r="F4734" t="n">
        <v>1</v>
      </c>
      <c r="G4734" t="n">
        <v>2</v>
      </c>
      <c r="H4734" s="5">
        <f>HYPERLINK("https://api.qogita.com/variants/link/4005800287633/", "View Product")</f>
        <v/>
      </c>
    </row>
    <row r="4735">
      <c r="A4735" t="inlineStr">
        <is>
          <t>4005800288173</t>
        </is>
      </c>
      <c r="B4735" t="inlineStr">
        <is>
          <t>Eucerin Aquaphor Protect &amp; Repair Spray 250ml</t>
        </is>
      </c>
      <c r="C4735" t="inlineStr">
        <is>
          <t>Neurodermatitis</t>
        </is>
      </c>
      <c r="D4735" t="inlineStr">
        <is>
          <t>Eucerin</t>
        </is>
      </c>
      <c r="E4735" t="n">
        <v>21.91</v>
      </c>
      <c r="F4735" t="n">
        <v>1</v>
      </c>
      <c r="G4735" t="n">
        <v>7</v>
      </c>
      <c r="H4735" s="5">
        <f>HYPERLINK("https://api.qogita.com/variants/link/4005800288173/", "View Product")</f>
        <v/>
      </c>
    </row>
    <row r="4736">
      <c r="A4736" t="inlineStr">
        <is>
          <t>4005800294976</t>
        </is>
      </c>
      <c r="B4736" t="inlineStr">
        <is>
          <t>Eucerin Hyaluron-Filler + 3x Effect Night Peel &amp; Serum 30ml</t>
        </is>
      </c>
      <c r="C4736" t="inlineStr">
        <is>
          <t>Hyaluronic Acid Serum</t>
        </is>
      </c>
      <c r="D4736" t="inlineStr">
        <is>
          <t>Eucerin</t>
        </is>
      </c>
      <c r="E4736" t="n">
        <v>34.2</v>
      </c>
      <c r="F4736" t="n">
        <v>1</v>
      </c>
      <c r="G4736" t="n">
        <v>5</v>
      </c>
      <c r="H4736" s="5">
        <f>HYPERLINK("https://api.qogita.com/variants/link/4005800294976/", "View Product")</f>
        <v/>
      </c>
    </row>
    <row r="4737">
      <c r="A4737" t="inlineStr">
        <is>
          <t>4005800328459</t>
        </is>
      </c>
      <c r="B4737" t="inlineStr">
        <is>
          <t>Eucerin Hyaluron-Filler Elasticity Anti-Age Body Cream 200 Ml</t>
        </is>
      </c>
      <c r="C4737" t="inlineStr">
        <is>
          <t>Body Lotion</t>
        </is>
      </c>
      <c r="D4737" t="inlineStr">
        <is>
          <t>Eucerin</t>
        </is>
      </c>
      <c r="E4737" t="n">
        <v>25.92</v>
      </c>
      <c r="F4737" t="n">
        <v>1</v>
      </c>
      <c r="G4737" t="n">
        <v>3</v>
      </c>
      <c r="H4737" s="5">
        <f>HYPERLINK("https://api.qogita.com/variants/link/4005800328459/", "View Product")</f>
        <v/>
      </c>
    </row>
    <row r="4738">
      <c r="A4738" t="inlineStr">
        <is>
          <t>4005800631221</t>
        </is>
      </c>
      <c r="B4738" t="inlineStr">
        <is>
          <t>Eucerin Ph5 Shower Oil - 400ml</t>
        </is>
      </c>
      <c r="C4738" t="inlineStr">
        <is>
          <t>Shower Oil</t>
        </is>
      </c>
      <c r="D4738" t="inlineStr">
        <is>
          <t>Eucerin</t>
        </is>
      </c>
      <c r="E4738" t="n">
        <v>16.17</v>
      </c>
      <c r="F4738" t="n">
        <v>1</v>
      </c>
      <c r="G4738" t="n">
        <v>6</v>
      </c>
      <c r="H4738" s="5">
        <f>HYPERLINK("https://api.qogita.com/variants/link/4005800631221/", "View Product")</f>
        <v/>
      </c>
    </row>
    <row r="4739">
      <c r="A4739" t="inlineStr">
        <is>
          <t>4005800634857</t>
        </is>
      </c>
      <c r="B4739" t="inlineStr">
        <is>
          <t>Eucerin Hyaluronfiller Spf 15 Dry Skin Intensive Daily Antiwrinkle Cream 50 Ml</t>
        </is>
      </c>
      <c r="C4739" t="inlineStr">
        <is>
          <t>Day Cream</t>
        </is>
      </c>
      <c r="D4739" t="inlineStr">
        <is>
          <t>Eucerin</t>
        </is>
      </c>
      <c r="E4739" t="n">
        <v>30.99</v>
      </c>
      <c r="F4739" t="n">
        <v>1</v>
      </c>
      <c r="G4739" t="n">
        <v>3</v>
      </c>
      <c r="H4739" s="5">
        <f>HYPERLINK("https://api.qogita.com/variants/link/4005800634857/", "View Product")</f>
        <v/>
      </c>
    </row>
    <row r="4740">
      <c r="A4740" t="inlineStr">
        <is>
          <t>4005808123834</t>
        </is>
      </c>
      <c r="B4740" t="inlineStr">
        <is>
          <t>Nivea Creme Soft Shower Gel</t>
        </is>
      </c>
      <c r="C4740" t="inlineStr">
        <is>
          <t>Shower Gel</t>
        </is>
      </c>
      <c r="D4740" t="inlineStr">
        <is>
          <t>Nivea</t>
        </is>
      </c>
      <c r="E4740" t="n">
        <v>3.58</v>
      </c>
      <c r="F4740" t="n">
        <v>1</v>
      </c>
      <c r="G4740" t="n">
        <v>15</v>
      </c>
      <c r="H4740" s="5">
        <f>HYPERLINK("https://api.qogita.com/variants/link/4005808123834/", "View Product")</f>
        <v/>
      </c>
    </row>
    <row r="4741">
      <c r="A4741" t="inlineStr">
        <is>
          <t>4005808237029</t>
        </is>
      </c>
      <c r="B4741" t="inlineStr">
        <is>
          <t>Nivea Nourishing Body Milk For Dry To Very Dry Skin - 400 Ml</t>
        </is>
      </c>
      <c r="C4741" t="inlineStr">
        <is>
          <t>Body Lotion</t>
        </is>
      </c>
      <c r="D4741" t="inlineStr">
        <is>
          <t>Nivea</t>
        </is>
      </c>
      <c r="E4741" t="n">
        <v>8.34</v>
      </c>
      <c r="F4741" t="n">
        <v>1</v>
      </c>
      <c r="G4741" t="n">
        <v>10</v>
      </c>
      <c r="H4741" s="5">
        <f>HYPERLINK("https://api.qogita.com/variants/link/4005808237029/", "View Product")</f>
        <v/>
      </c>
    </row>
    <row r="4742">
      <c r="A4742" t="inlineStr">
        <is>
          <t>4005808515615</t>
        </is>
      </c>
      <c r="B4742" t="inlineStr">
        <is>
          <t>Nivea Soft Body Cream 200ml</t>
        </is>
      </c>
      <c r="C4742" t="inlineStr">
        <is>
          <t>Body Lotion</t>
        </is>
      </c>
      <c r="D4742" t="inlineStr">
        <is>
          <t>Nivea</t>
        </is>
      </c>
      <c r="E4742" t="n">
        <v>3.23</v>
      </c>
      <c r="F4742" t="n">
        <v>1</v>
      </c>
      <c r="G4742" t="n">
        <v>6</v>
      </c>
      <c r="H4742" s="5">
        <f>HYPERLINK("https://api.qogita.com/variants/link/4005808515615/", "View Product")</f>
        <v/>
      </c>
    </row>
    <row r="4743">
      <c r="A4743" t="inlineStr">
        <is>
          <t>4005808628087</t>
        </is>
      </c>
      <c r="B4743" t="inlineStr">
        <is>
          <t>Nivea Men Pure Impact Shower Gel 500ml</t>
        </is>
      </c>
      <c r="C4743" t="inlineStr">
        <is>
          <t>Shower Gel</t>
        </is>
      </c>
      <c r="D4743" t="inlineStr">
        <is>
          <t>Nivea</t>
        </is>
      </c>
      <c r="E4743" t="n">
        <v>6</v>
      </c>
      <c r="F4743" t="n">
        <v>1</v>
      </c>
      <c r="G4743" t="n">
        <v>5</v>
      </c>
      <c r="H4743" s="5">
        <f>HYPERLINK("https://api.qogita.com/variants/link/4005808628087/", "View Product")</f>
        <v/>
      </c>
    </row>
    <row r="4744">
      <c r="A4744" t="inlineStr">
        <is>
          <t>4005900111296</t>
        </is>
      </c>
      <c r="B4744" t="inlineStr">
        <is>
          <t>Nivea Sun Protect Bronze Oil Spf 20</t>
        </is>
      </c>
      <c r="C4744" t="inlineStr">
        <is>
          <t>Body Sun Protection</t>
        </is>
      </c>
      <c r="D4744" t="inlineStr">
        <is>
          <t>Nivea</t>
        </is>
      </c>
      <c r="E4744" t="n">
        <v>12.92</v>
      </c>
      <c r="F4744" t="n">
        <v>1</v>
      </c>
      <c r="G4744" t="n">
        <v>8</v>
      </c>
      <c r="H4744" s="5">
        <f>HYPERLINK("https://api.qogita.com/variants/link/4005900111296/", "View Product")</f>
        <v/>
      </c>
    </row>
    <row r="4745">
      <c r="A4745" t="inlineStr">
        <is>
          <t>4005900247186</t>
        </is>
      </c>
      <c r="B4745" t="inlineStr">
        <is>
          <t>Nivea Sun Lotion Carotene 6 Intense Tan Silky Skin UVA UVB Protection 200ml</t>
        </is>
      </c>
      <c r="C4745" t="inlineStr">
        <is>
          <t>Body Sun Protection</t>
        </is>
      </c>
      <c r="D4745" t="inlineStr">
        <is>
          <t>Nivea</t>
        </is>
      </c>
      <c r="E4745" t="n">
        <v>9.390000000000001</v>
      </c>
      <c r="F4745" t="n">
        <v>1</v>
      </c>
      <c r="G4745" t="n">
        <v>6</v>
      </c>
      <c r="H4745" s="5">
        <f>HYPERLINK("https://api.qogita.com/variants/link/4005900247186/", "View Product")</f>
        <v/>
      </c>
    </row>
    <row r="4746">
      <c r="A4746" t="inlineStr">
        <is>
          <t>4005900908698</t>
        </is>
      </c>
      <c r="B4746" t="inlineStr">
        <is>
          <t>Nivea Sun Protect &amp; Hydrate Spray SPF30 270ml</t>
        </is>
      </c>
      <c r="C4746" t="inlineStr">
        <is>
          <t>Body Sun Protection</t>
        </is>
      </c>
      <c r="D4746" t="inlineStr">
        <is>
          <t>Nivea</t>
        </is>
      </c>
      <c r="E4746" t="n">
        <v>14.72</v>
      </c>
      <c r="F4746" t="n">
        <v>1</v>
      </c>
      <c r="G4746" t="n">
        <v>20</v>
      </c>
      <c r="H4746" s="5">
        <f>HYPERLINK("https://api.qogita.com/variants/link/4005900908698/", "View Product")</f>
        <v/>
      </c>
    </row>
    <row r="4747">
      <c r="A4747" t="inlineStr">
        <is>
          <t>4005900908841</t>
        </is>
      </c>
      <c r="B4747" t="inlineStr">
        <is>
          <t>Nivea Sun Sensitive Spray Spf 50 270 Ml Allergyfriendly Sunscreen</t>
        </is>
      </c>
      <c r="C4747" t="inlineStr">
        <is>
          <t>Body Sun Protection</t>
        </is>
      </c>
      <c r="D4747" t="inlineStr">
        <is>
          <t>Nivea</t>
        </is>
      </c>
      <c r="E4747" t="n">
        <v>11.48</v>
      </c>
      <c r="F4747" t="n">
        <v>1</v>
      </c>
      <c r="G4747" t="n">
        <v>3</v>
      </c>
      <c r="H4747" s="5">
        <f>HYPERLINK("https://api.qogita.com/variants/link/4005900908841/", "View Product")</f>
        <v/>
      </c>
    </row>
    <row r="4748">
      <c r="A4748" t="inlineStr">
        <is>
          <t>4005900915900</t>
        </is>
      </c>
      <c r="B4748" t="inlineStr">
        <is>
          <t>Nivea Q10 Energy Fresh Look Eye Care Energizing Antiwrinkle Eye Cream 15 Ml</t>
        </is>
      </c>
      <c r="C4748" t="inlineStr">
        <is>
          <t>Eye Cream</t>
        </is>
      </c>
      <c r="D4748" t="inlineStr">
        <is>
          <t>Nivea</t>
        </is>
      </c>
      <c r="E4748" t="n">
        <v>10.85</v>
      </c>
      <c r="F4748" t="n">
        <v>1</v>
      </c>
      <c r="G4748" t="n">
        <v>5</v>
      </c>
      <c r="H4748" s="5">
        <f>HYPERLINK("https://api.qogita.com/variants/link/4005900915900/", "View Product")</f>
        <v/>
      </c>
    </row>
    <row r="4749">
      <c r="A4749" t="inlineStr">
        <is>
          <t>4005900935540</t>
        </is>
      </c>
      <c r="B4749" t="inlineStr">
        <is>
          <t>Nivea Nourishing Day Cream For Dry Skin Spf 15 50 Ml</t>
        </is>
      </c>
      <c r="C4749" t="inlineStr">
        <is>
          <t>Day Cream</t>
        </is>
      </c>
      <c r="D4749" t="inlineStr">
        <is>
          <t>Nivea</t>
        </is>
      </c>
      <c r="E4749" t="n">
        <v>5.41</v>
      </c>
      <c r="F4749" t="n">
        <v>1</v>
      </c>
      <c r="G4749" t="n">
        <v>4</v>
      </c>
      <c r="H4749" s="5">
        <f>HYPERLINK("https://api.qogita.com/variants/link/4005900935540/", "View Product")</f>
        <v/>
      </c>
    </row>
    <row r="4750">
      <c r="A4750" t="inlineStr">
        <is>
          <t>4005900935922</t>
        </is>
      </c>
      <c r="B4750" t="inlineStr">
        <is>
          <t>Nivea Mattifying Day Cream 50 Ml Face Cream</t>
        </is>
      </c>
      <c r="C4750" t="inlineStr">
        <is>
          <t>Day Cream</t>
        </is>
      </c>
      <c r="D4750" t="inlineStr">
        <is>
          <t>Nivea</t>
        </is>
      </c>
      <c r="E4750" t="n">
        <v>7.92</v>
      </c>
      <c r="F4750" t="n">
        <v>1</v>
      </c>
      <c r="G4750" t="n">
        <v>6</v>
      </c>
      <c r="H4750" s="5">
        <f>HYPERLINK("https://api.qogita.com/variants/link/4005900935922/", "View Product")</f>
        <v/>
      </c>
    </row>
    <row r="4751">
      <c r="A4751" t="inlineStr">
        <is>
          <t>4005900946164</t>
        </is>
      </c>
      <c r="B4751" t="inlineStr">
        <is>
          <t>Nivea Nivea Creme 150ml</t>
        </is>
      </c>
      <c r="C4751" t="inlineStr">
        <is>
          <t>Body Lotion</t>
        </is>
      </c>
      <c r="D4751" t="inlineStr">
        <is>
          <t>Nivea</t>
        </is>
      </c>
      <c r="E4751" t="n">
        <v>2.93</v>
      </c>
      <c r="F4751" t="n">
        <v>1</v>
      </c>
      <c r="G4751" t="n">
        <v>15</v>
      </c>
      <c r="H4751" s="5">
        <f>HYPERLINK("https://api.qogita.com/variants/link/4005900946164/", "View Product")</f>
        <v/>
      </c>
    </row>
    <row r="4752">
      <c r="A4752" t="inlineStr">
        <is>
          <t>4006160301106</t>
        </is>
      </c>
      <c r="B4752" t="inlineStr">
        <is>
          <t>Proficare Hair Curler Has 3011 Wh</t>
        </is>
      </c>
      <c r="C4752" t="inlineStr">
        <is>
          <t>Curling Irons</t>
        </is>
      </c>
      <c r="D4752" t="inlineStr">
        <is>
          <t>Proficare</t>
        </is>
      </c>
      <c r="E4752" t="n">
        <v>14.9</v>
      </c>
      <c r="F4752" t="n">
        <v>1</v>
      </c>
      <c r="G4752" t="n">
        <v>8</v>
      </c>
      <c r="H4752" s="5">
        <f>HYPERLINK("https://api.qogita.com/variants/link/4006160301106/", "View Product")</f>
        <v/>
      </c>
    </row>
    <row r="4753">
      <c r="A4753" t="inlineStr">
        <is>
          <t>4006160308204</t>
        </is>
      </c>
      <c r="B4753" t="inlineStr">
        <is>
          <t>ProfiCare PC-HT 3082 Hair Dryer with 3 Temperature/Power Settings and 360° Rotating Easy Click Nozzle - Blue Anthracite</t>
        </is>
      </c>
      <c r="C4753" t="inlineStr">
        <is>
          <t>Hair Dryers</t>
        </is>
      </c>
      <c r="D4753" t="inlineStr">
        <is>
          <t>Proficare</t>
        </is>
      </c>
      <c r="E4753" t="n">
        <v>19.02</v>
      </c>
      <c r="F4753" t="n">
        <v>1</v>
      </c>
      <c r="G4753" t="n">
        <v>4</v>
      </c>
      <c r="H4753" s="5">
        <f>HYPERLINK("https://api.qogita.com/variants/link/4006160308204/", "View Product")</f>
        <v/>
      </c>
    </row>
    <row r="4754">
      <c r="A4754" t="inlineStr">
        <is>
          <t>4006160309409</t>
        </is>
      </c>
      <c r="B4754" t="inlineStr">
        <is>
          <t>ProfiCare PC-FT 3094 Contactless Forehead Thermometer Infrared Thermometer for Babies Children and Adults with 3-Color LCD Fever Indicator Including Fever Alarm High Measuring Range White</t>
        </is>
      </c>
      <c r="C4754" t="inlineStr">
        <is>
          <t>Baby &amp; Child</t>
        </is>
      </c>
      <c r="D4754" t="inlineStr">
        <is>
          <t>Proficare</t>
        </is>
      </c>
      <c r="E4754" t="n">
        <v>22.21</v>
      </c>
      <c r="F4754" t="n">
        <v>1</v>
      </c>
      <c r="G4754" t="n">
        <v>5</v>
      </c>
      <c r="H4754" s="5">
        <f>HYPERLINK("https://api.qogita.com/variants/link/4006160309409/", "View Product")</f>
        <v/>
      </c>
    </row>
    <row r="4755">
      <c r="A4755" t="inlineStr">
        <is>
          <t>4006160309508</t>
        </is>
      </c>
      <c r="B4755" t="inlineStr">
        <is>
          <t>Proficare Pc-Ft 3095 Forehead Thermometer, Clinical Thermometer, Infrared Thermometer</t>
        </is>
      </c>
      <c r="C4755" t="inlineStr">
        <is>
          <t>Clinical Thermometer</t>
        </is>
      </c>
      <c r="D4755" t="inlineStr">
        <is>
          <t>Proficare</t>
        </is>
      </c>
      <c r="E4755" t="n">
        <v>23.49</v>
      </c>
      <c r="F4755" t="n">
        <v>1</v>
      </c>
      <c r="G4755" t="n">
        <v>3</v>
      </c>
      <c r="H4755" s="5">
        <f>HYPERLINK("https://api.qogita.com/variants/link/4006160309508/", "View Product")</f>
        <v/>
      </c>
    </row>
    <row r="4756">
      <c r="A4756" t="inlineStr">
        <is>
          <t>4008233029368</t>
        </is>
      </c>
      <c r="B4756" t="inlineStr">
        <is>
          <t>Kneipp Ylangylang Massage Oil 100 Ml</t>
        </is>
      </c>
      <c r="C4756" t="inlineStr">
        <is>
          <t>Body Oil</t>
        </is>
      </c>
      <c r="D4756" t="inlineStr">
        <is>
          <t>Kneipp</t>
        </is>
      </c>
      <c r="E4756" t="n">
        <v>10.12</v>
      </c>
      <c r="F4756" t="n">
        <v>1</v>
      </c>
      <c r="G4756" t="n">
        <v>4</v>
      </c>
      <c r="H4756" s="5">
        <f>HYPERLINK("https://api.qogita.com/variants/link/4008233029368/", "View Product")</f>
        <v/>
      </c>
    </row>
    <row r="4757">
      <c r="A4757" t="inlineStr">
        <is>
          <t>4008233081519</t>
        </is>
      </c>
      <c r="B4757" t="inlineStr">
        <is>
          <t>Kneipp Nourishing Massage Oil Almond Blossom Gentle Skin 100ml</t>
        </is>
      </c>
      <c r="C4757" t="inlineStr">
        <is>
          <t>Body Oil</t>
        </is>
      </c>
      <c r="D4757" t="inlineStr">
        <is>
          <t>Kneipp</t>
        </is>
      </c>
      <c r="E4757" t="n">
        <v>10.12</v>
      </c>
      <c r="F4757" t="n">
        <v>1</v>
      </c>
      <c r="G4757" t="n">
        <v>2</v>
      </c>
      <c r="H4757" s="5">
        <f>HYPERLINK("https://api.qogita.com/variants/link/4008233081519/", "View Product")</f>
        <v/>
      </c>
    </row>
    <row r="4758">
      <c r="A4758" t="inlineStr">
        <is>
          <t>4008233119908</t>
        </is>
      </c>
      <c r="B4758" t="inlineStr">
        <is>
          <t>Kneipp Muscle Activ Gel With Arnica Cooling Gel 200 Ml</t>
        </is>
      </c>
      <c r="C4758" t="inlineStr">
        <is>
          <t>Sporting Tension</t>
        </is>
      </c>
      <c r="D4758" t="inlineStr">
        <is>
          <t>Kneipp</t>
        </is>
      </c>
      <c r="E4758" t="n">
        <v>7.34</v>
      </c>
      <c r="F4758" t="n">
        <v>1</v>
      </c>
      <c r="G4758" t="n">
        <v>4</v>
      </c>
      <c r="H4758" s="5">
        <f>HYPERLINK("https://api.qogita.com/variants/link/4008233119908/", "View Product")</f>
        <v/>
      </c>
    </row>
    <row r="4759">
      <c r="A4759" t="inlineStr">
        <is>
          <t>4008233128009</t>
        </is>
      </c>
      <c r="B4759" t="inlineStr">
        <is>
          <t>Kneipp Raspberry &amp; Cranberry Bath Crystals 60g</t>
        </is>
      </c>
      <c r="C4759" t="inlineStr">
        <is>
          <t>Bath Salts &amp; Bath Bombs</t>
        </is>
      </c>
      <c r="D4759" t="inlineStr">
        <is>
          <t>Kneipp</t>
        </is>
      </c>
      <c r="E4759" t="n">
        <v>3.22</v>
      </c>
      <c r="F4759" t="n">
        <v>1</v>
      </c>
      <c r="G4759" t="n">
        <v>4</v>
      </c>
      <c r="H4759" s="5">
        <f>HYPERLINK("https://api.qogita.com/variants/link/4008233128009/", "View Product")</f>
        <v/>
      </c>
    </row>
    <row r="4760">
      <c r="A4760" t="inlineStr">
        <is>
          <t>4008233131344</t>
        </is>
      </c>
      <c r="B4760" t="inlineStr">
        <is>
          <t>Kneipp Men Shower Foam Cedarjojoba Oil Kick Start 200 Ml</t>
        </is>
      </c>
      <c r="C4760" t="inlineStr">
        <is>
          <t>Shower Foam</t>
        </is>
      </c>
      <c r="D4760" t="inlineStr">
        <is>
          <t>Kneipp</t>
        </is>
      </c>
      <c r="E4760" t="n">
        <v>7.34</v>
      </c>
      <c r="F4760" t="n">
        <v>1</v>
      </c>
      <c r="G4760" t="n">
        <v>4</v>
      </c>
      <c r="H4760" s="5">
        <f>HYPERLINK("https://api.qogita.com/variants/link/4008233131344/", "View Product")</f>
        <v/>
      </c>
    </row>
    <row r="4761">
      <c r="A4761" t="inlineStr">
        <is>
          <t>4008233144368</t>
        </is>
      </c>
      <c r="B4761" t="inlineStr">
        <is>
          <t>Kneipp Creamoil Peeling Almond Blossoms 40 Ml</t>
        </is>
      </c>
      <c r="C4761" t="inlineStr">
        <is>
          <t>Body Care Sets</t>
        </is>
      </c>
      <c r="D4761" t="inlineStr">
        <is>
          <t>Kneipp</t>
        </is>
      </c>
      <c r="E4761" t="n">
        <v>3.5</v>
      </c>
      <c r="F4761" t="n">
        <v>1</v>
      </c>
      <c r="G4761" t="n">
        <v>3</v>
      </c>
      <c r="H4761" s="5">
        <f>HYPERLINK("https://api.qogita.com/variants/link/4008233144368/", "View Product")</f>
        <v/>
      </c>
    </row>
    <row r="4762">
      <c r="A4762" t="inlineStr">
        <is>
          <t>4008233154329</t>
        </is>
      </c>
      <c r="B4762" t="inlineStr">
        <is>
          <t>Kneipp Lavender Bath Salt 55 G</t>
        </is>
      </c>
      <c r="C4762" t="inlineStr">
        <is>
          <t>Bath Salts &amp; Bath Bombs</t>
        </is>
      </c>
      <c r="D4762" t="inlineStr">
        <is>
          <t>Kneipp</t>
        </is>
      </c>
      <c r="E4762" t="n">
        <v>7.34</v>
      </c>
      <c r="F4762" t="n">
        <v>1</v>
      </c>
      <c r="G4762" t="n">
        <v>10</v>
      </c>
      <c r="H4762" s="5">
        <f>HYPERLINK("https://api.qogita.com/variants/link/4008233154329/", "View Product")</f>
        <v/>
      </c>
    </row>
    <row r="4763">
      <c r="A4763" t="inlineStr">
        <is>
          <t>4008233154701</t>
        </is>
      </c>
      <c r="B4763" t="inlineStr">
        <is>
          <t>Kneipp Deep Release Bath Oil 100 Ml</t>
        </is>
      </c>
      <c r="C4763" t="inlineStr">
        <is>
          <t>Bath Oil &amp; Bath Milk</t>
        </is>
      </c>
      <c r="D4763" t="inlineStr">
        <is>
          <t>Kneipp</t>
        </is>
      </c>
      <c r="E4763" t="n">
        <v>7.34</v>
      </c>
      <c r="F4763" t="n">
        <v>1</v>
      </c>
      <c r="G4763" t="n">
        <v>7</v>
      </c>
      <c r="H4763" s="5">
        <f>HYPERLINK("https://api.qogita.com/variants/link/4008233154701/", "View Product")</f>
        <v/>
      </c>
    </row>
    <row r="4764">
      <c r="A4764" t="inlineStr">
        <is>
          <t>4008233155937</t>
        </is>
      </c>
      <c r="B4764" t="inlineStr">
        <is>
          <t>Kneipp Goodbye Stress Shower Foam 200 Ml</t>
        </is>
      </c>
      <c r="C4764" t="inlineStr">
        <is>
          <t>Shower Foam</t>
        </is>
      </c>
      <c r="D4764" t="inlineStr">
        <is>
          <t>Kneipp</t>
        </is>
      </c>
      <c r="E4764" t="n">
        <v>7.34</v>
      </c>
      <c r="F4764" t="n">
        <v>1</v>
      </c>
      <c r="G4764" t="n">
        <v>10</v>
      </c>
      <c r="H4764" s="5">
        <f>HYPERLINK("https://api.qogita.com/variants/link/4008233155937/", "View Product")</f>
        <v/>
      </c>
    </row>
    <row r="4765">
      <c r="A4765" t="inlineStr">
        <is>
          <t>4008233161938</t>
        </is>
      </c>
      <c r="B4765" t="inlineStr">
        <is>
          <t>Kneipp Good Night Skin Cleansing Shower Gel 200ml</t>
        </is>
      </c>
      <c r="C4765" t="inlineStr">
        <is>
          <t>Shower Gel</t>
        </is>
      </c>
      <c r="D4765" t="inlineStr">
        <is>
          <t>Kneipp</t>
        </is>
      </c>
      <c r="E4765" t="n">
        <v>4.99</v>
      </c>
      <c r="F4765" t="n">
        <v>1</v>
      </c>
      <c r="G4765" t="n">
        <v>2</v>
      </c>
      <c r="H4765" s="5">
        <f>HYPERLINK("https://api.qogita.com/variants/link/4008233161938/", "View Product")</f>
        <v/>
      </c>
    </row>
    <row r="4766">
      <c r="A4766" t="inlineStr">
        <is>
          <t>4008233165189</t>
        </is>
      </c>
      <c r="B4766" t="inlineStr">
        <is>
          <t>Kneipp Shower Oil for Women</t>
        </is>
      </c>
      <c r="C4766" t="inlineStr">
        <is>
          <t>Shower Oil</t>
        </is>
      </c>
      <c r="D4766" t="inlineStr">
        <is>
          <t>Kneipp</t>
        </is>
      </c>
      <c r="E4766" t="n">
        <v>7.34</v>
      </c>
      <c r="F4766" t="n">
        <v>1</v>
      </c>
      <c r="G4766" t="n">
        <v>5</v>
      </c>
      <c r="H4766" s="5">
        <f>HYPERLINK("https://api.qogita.com/variants/link/4008233165189/", "View Product")</f>
        <v/>
      </c>
    </row>
    <row r="4767">
      <c r="A4767" t="inlineStr">
        <is>
          <t>4008233171166</t>
        </is>
      </c>
      <c r="B4767" t="inlineStr">
        <is>
          <t>Kneipp Men Shower Gel Trio Set 3x75ml Cool Breeze Successful Startup Powerful</t>
        </is>
      </c>
      <c r="C4767" t="inlineStr">
        <is>
          <t>Shower &amp; Bath Sets</t>
        </is>
      </c>
      <c r="D4767" t="inlineStr">
        <is>
          <t>Kneipp</t>
        </is>
      </c>
      <c r="E4767" t="n">
        <v>9.960000000000001</v>
      </c>
      <c r="F4767" t="n">
        <v>1</v>
      </c>
      <c r="G4767" t="n">
        <v>93</v>
      </c>
      <c r="H4767" s="5">
        <f>HYPERLINK("https://api.qogita.com/variants/link/4008233171166/", "View Product")</f>
        <v/>
      </c>
    </row>
    <row r="4768">
      <c r="A4768" t="inlineStr">
        <is>
          <t>4008233175041</t>
        </is>
      </c>
      <c r="B4768" t="inlineStr">
        <is>
          <t>Kneipp Goodbye Stress Body Care Gift Set</t>
        </is>
      </c>
      <c r="C4768" t="inlineStr">
        <is>
          <t>Body Care Sets</t>
        </is>
      </c>
      <c r="D4768" t="inlineStr">
        <is>
          <t>Kneipp</t>
        </is>
      </c>
      <c r="E4768" t="n">
        <v>11.55</v>
      </c>
      <c r="F4768" t="n">
        <v>1</v>
      </c>
      <c r="G4768" t="n">
        <v>48</v>
      </c>
      <c r="H4768" s="5">
        <f>HYPERLINK("https://api.qogita.com/variants/link/4008233175041/", "View Product")</f>
        <v/>
      </c>
    </row>
    <row r="4769">
      <c r="A4769" t="inlineStr">
        <is>
          <t>4008233177465</t>
        </is>
      </c>
      <c r="B4769" t="inlineStr">
        <is>
          <t>Kneipp Goodbye Stress Bath Salt 600 G</t>
        </is>
      </c>
      <c r="C4769" t="inlineStr">
        <is>
          <t>Mood</t>
        </is>
      </c>
      <c r="D4769" t="inlineStr">
        <is>
          <t>Kneipp</t>
        </is>
      </c>
      <c r="E4769" t="n">
        <v>7.78</v>
      </c>
      <c r="F4769" t="n">
        <v>1</v>
      </c>
      <c r="G4769" t="n">
        <v>7</v>
      </c>
      <c r="H4769" s="5">
        <f>HYPERLINK("https://api.qogita.com/variants/link/4008233177465/", "View Product")</f>
        <v/>
      </c>
    </row>
    <row r="4770">
      <c r="A4770" t="inlineStr">
        <is>
          <t>4008666145550</t>
        </is>
      </c>
      <c r="B4770" t="inlineStr">
        <is>
          <t>ALCINA It's Never Too Late Coffein Vital Conditioner for Thinning or Hair Loss Prone Hair 150ml</t>
        </is>
      </c>
      <c r="C4770" t="inlineStr">
        <is>
          <t>Conditioner</t>
        </is>
      </c>
      <c r="D4770" t="inlineStr">
        <is>
          <t>Alcina</t>
        </is>
      </c>
      <c r="E4770" t="n">
        <v>12.91</v>
      </c>
      <c r="F4770" t="n">
        <v>1</v>
      </c>
      <c r="G4770" t="n">
        <v>4</v>
      </c>
      <c r="H4770" s="5">
        <f>HYPERLINK("https://api.qogita.com/variants/link/4008666145550/", "View Product")</f>
        <v/>
      </c>
    </row>
    <row r="4771">
      <c r="A4771" t="inlineStr">
        <is>
          <t>4008666210364</t>
        </is>
      </c>
      <c r="B4771" t="inlineStr">
        <is>
          <t>Alpecin Tuning Shampoo 200ml Dark Caffeine</t>
        </is>
      </c>
      <c r="C4771" t="inlineStr">
        <is>
          <t>Shampoo</t>
        </is>
      </c>
      <c r="D4771" t="inlineStr">
        <is>
          <t>Alpecin</t>
        </is>
      </c>
      <c r="E4771" t="n">
        <v>9.1</v>
      </c>
      <c r="F4771" t="n">
        <v>1</v>
      </c>
      <c r="G4771" t="n">
        <v>123</v>
      </c>
      <c r="H4771" s="5">
        <f>HYPERLINK("https://api.qogita.com/variants/link/4008666210364/", "View Product")</f>
        <v/>
      </c>
    </row>
    <row r="4772">
      <c r="A4772" t="inlineStr">
        <is>
          <t>4008666210425</t>
        </is>
      </c>
      <c r="B4772" t="inlineStr">
        <is>
          <t>Energizer Double Effect Shampoo 200 ml</t>
        </is>
      </c>
      <c r="C4772" t="inlineStr">
        <is>
          <t>Shampoo</t>
        </is>
      </c>
      <c r="D4772" t="inlineStr">
        <is>
          <t>Alpecin</t>
        </is>
      </c>
      <c r="E4772" t="n">
        <v>9.1</v>
      </c>
      <c r="F4772" t="n">
        <v>1</v>
      </c>
      <c r="G4772" t="n">
        <v>82</v>
      </c>
      <c r="H4772" s="5">
        <f>HYPERLINK("https://api.qogita.com/variants/link/4008666210425/", "View Product")</f>
        <v/>
      </c>
    </row>
    <row r="4773">
      <c r="A4773" t="inlineStr">
        <is>
          <t>4008666220202</t>
        </is>
      </c>
      <c r="B4773" t="inlineStr">
        <is>
          <t>Alpecin Coffein Shampoo C1 Black Edition 250 Ml Antihair Loss Shampoo</t>
        </is>
      </c>
      <c r="C4773" t="inlineStr">
        <is>
          <t>Shampoo</t>
        </is>
      </c>
      <c r="D4773" t="inlineStr">
        <is>
          <t>Alpecin</t>
        </is>
      </c>
      <c r="E4773" t="n">
        <v>7.66</v>
      </c>
      <c r="F4773" t="n">
        <v>1</v>
      </c>
      <c r="G4773" t="n">
        <v>145</v>
      </c>
      <c r="H4773" s="5">
        <f>HYPERLINK("https://api.qogita.com/variants/link/4008666220202/", "View Product")</f>
        <v/>
      </c>
    </row>
    <row r="4774">
      <c r="A4774" t="inlineStr">
        <is>
          <t>4008666222244</t>
        </is>
      </c>
      <c r="B4774" t="inlineStr">
        <is>
          <t>Medicinal Shampoo Concentrate Anti-Dandruff 200 ml</t>
        </is>
      </c>
      <c r="C4774" t="inlineStr">
        <is>
          <t>Shampoo</t>
        </is>
      </c>
      <c r="D4774" t="inlineStr">
        <is>
          <t>Alpecin</t>
        </is>
      </c>
      <c r="E4774" t="n">
        <v>6.1</v>
      </c>
      <c r="F4774" t="n">
        <v>1</v>
      </c>
      <c r="G4774" t="n">
        <v>44</v>
      </c>
      <c r="H4774" s="5">
        <f>HYPERLINK("https://api.qogita.com/variants/link/4008666222244/", "View Product")</f>
        <v/>
      </c>
    </row>
    <row r="4775">
      <c r="A4775" t="inlineStr">
        <is>
          <t>4008666224712</t>
        </is>
      </c>
      <c r="B4775" t="inlineStr">
        <is>
          <t>Alpecin Caffeine Shampoo Against Hair Loss C1 Black Edition 375 Ml</t>
        </is>
      </c>
      <c r="C4775" t="inlineStr">
        <is>
          <t>Shampoo</t>
        </is>
      </c>
      <c r="D4775" t="inlineStr">
        <is>
          <t>Alpecin</t>
        </is>
      </c>
      <c r="E4775" t="n">
        <v>10.37</v>
      </c>
      <c r="F4775" t="n">
        <v>1</v>
      </c>
      <c r="G4775" t="n">
        <v>125</v>
      </c>
      <c r="H4775" s="5">
        <f>HYPERLINK("https://api.qogita.com/variants/link/4008666224712/", "View Product")</f>
        <v/>
      </c>
    </row>
    <row r="4776">
      <c r="A4776" t="inlineStr">
        <is>
          <t>4008666750129</t>
        </is>
      </c>
      <c r="B4776" t="inlineStr">
        <is>
          <t>Plantur 21 Longhair Nutri Balm 175ml - Hair Conditioner</t>
        </is>
      </c>
      <c r="C4776" t="inlineStr">
        <is>
          <t>Conditioner</t>
        </is>
      </c>
      <c r="D4776" t="inlineStr">
        <is>
          <t>Plantur</t>
        </is>
      </c>
      <c r="E4776" t="n">
        <v>7.55</v>
      </c>
      <c r="F4776" t="n">
        <v>1</v>
      </c>
      <c r="G4776" t="n">
        <v>2</v>
      </c>
      <c r="H4776" s="5">
        <f>HYPERLINK("https://api.qogita.com/variants/link/4008666750129/", "View Product")</f>
        <v/>
      </c>
    </row>
    <row r="4777">
      <c r="A4777" t="inlineStr">
        <is>
          <t>4011700415502</t>
        </is>
      </c>
      <c r="B4777" t="inlineStr">
        <is>
          <t>Tabac Original Shower Gel 200ml By Tabac Original</t>
        </is>
      </c>
      <c r="C4777" t="inlineStr">
        <is>
          <t>Shower Gel</t>
        </is>
      </c>
      <c r="D4777" t="inlineStr">
        <is>
          <t>Tabac Original</t>
        </is>
      </c>
      <c r="E4777" t="n">
        <v>4.83</v>
      </c>
      <c r="F4777" t="n">
        <v>1</v>
      </c>
      <c r="G4777" t="n">
        <v>41</v>
      </c>
      <c r="H4777" s="5">
        <f>HYPERLINK("https://api.qogita.com/variants/link/4011700415502/", "View Product")</f>
        <v/>
      </c>
    </row>
    <row r="4778">
      <c r="A4778" t="inlineStr">
        <is>
          <t>4011700422074</t>
        </is>
      </c>
      <c r="B4778" t="inlineStr">
        <is>
          <t>Maurer &amp; Wirtz Tabac Original Eau De Toilette 30ml</t>
        </is>
      </c>
      <c r="C4778" t="inlineStr">
        <is>
          <t>Eau De Toilette</t>
        </is>
      </c>
      <c r="D4778" t="inlineStr">
        <is>
          <t>Maurer &amp; Wirtz</t>
        </is>
      </c>
      <c r="E4778" t="n">
        <v>10</v>
      </c>
      <c r="F4778" t="n">
        <v>1</v>
      </c>
      <c r="G4778" t="n">
        <v>10</v>
      </c>
      <c r="H4778" s="5">
        <f>HYPERLINK("https://api.qogita.com/variants/link/4011700422074/", "View Product")</f>
        <v/>
      </c>
    </row>
    <row r="4779">
      <c r="A4779" t="inlineStr">
        <is>
          <t>4011700431502</t>
        </is>
      </c>
      <c r="B4779" t="inlineStr">
        <is>
          <t>Tabac Original After Shave 300ml</t>
        </is>
      </c>
      <c r="C4779" t="inlineStr">
        <is>
          <t>Aftershave</t>
        </is>
      </c>
      <c r="D4779" t="inlineStr">
        <is>
          <t>Tabac</t>
        </is>
      </c>
      <c r="E4779" t="n">
        <v>13.91</v>
      </c>
      <c r="F4779" t="n">
        <v>1</v>
      </c>
      <c r="G4779" t="n">
        <v>597</v>
      </c>
      <c r="H4779" s="5">
        <f>HYPERLINK("https://api.qogita.com/variants/link/4011700431502/", "View Product")</f>
        <v/>
      </c>
    </row>
    <row r="4780">
      <c r="A4780" t="inlineStr">
        <is>
          <t>4011700435029</t>
        </is>
      </c>
      <c r="B4780" t="inlineStr">
        <is>
          <t>Tabac Original Beard Oil - 50ml</t>
        </is>
      </c>
      <c r="C4780" t="inlineStr">
        <is>
          <t>Beard Care Accessories</t>
        </is>
      </c>
      <c r="D4780" t="inlineStr">
        <is>
          <t>Tabac</t>
        </is>
      </c>
      <c r="E4780" t="n">
        <v>5.94</v>
      </c>
      <c r="F4780" t="n">
        <v>1</v>
      </c>
      <c r="G4780" t="n">
        <v>4</v>
      </c>
      <c r="H4780" s="5">
        <f>HYPERLINK("https://api.qogita.com/variants/link/4011700435029/", "View Product")</f>
        <v/>
      </c>
    </row>
    <row r="4781">
      <c r="A4781" t="inlineStr">
        <is>
          <t>4011700456024</t>
        </is>
      </c>
      <c r="B4781" t="inlineStr">
        <is>
          <t>Tabac Wild Ride Eau De Toilette Spray 75ml</t>
        </is>
      </c>
      <c r="C4781" t="inlineStr">
        <is>
          <t>Eau De Toilette</t>
        </is>
      </c>
      <c r="D4781" t="inlineStr">
        <is>
          <t>Tabac</t>
        </is>
      </c>
      <c r="E4781" t="n">
        <v>9.23</v>
      </c>
      <c r="F4781" t="n">
        <v>1</v>
      </c>
      <c r="G4781" t="n">
        <v>9</v>
      </c>
      <c r="H4781" s="5">
        <f>HYPERLINK("https://api.qogita.com/variants/link/4011700456024/", "View Product")</f>
        <v/>
      </c>
    </row>
    <row r="4782">
      <c r="A4782" t="inlineStr">
        <is>
          <t>4011700456048</t>
        </is>
      </c>
      <c r="B4782" t="inlineStr">
        <is>
          <t>Maurer &amp; Wirtz Tabac Wild Ride Eau De Toilette 125ml</t>
        </is>
      </c>
      <c r="C4782" t="inlineStr">
        <is>
          <t>Eau De Toilette</t>
        </is>
      </c>
      <c r="D4782" t="inlineStr">
        <is>
          <t>Maurer &amp; Wirtz</t>
        </is>
      </c>
      <c r="E4782" t="n">
        <v>12.87</v>
      </c>
      <c r="F4782" t="n">
        <v>1</v>
      </c>
      <c r="G4782" t="n">
        <v>11</v>
      </c>
      <c r="H4782" s="5">
        <f>HYPERLINK("https://api.qogita.com/variants/link/4011700456048/", "View Product")</f>
        <v/>
      </c>
    </row>
    <row r="4783">
      <c r="A4783" t="inlineStr">
        <is>
          <t>4011700740048</t>
        </is>
      </c>
      <c r="B4783" t="inlineStr">
        <is>
          <t>4711 Eau De Cologne Flacon 400ml</t>
        </is>
      </c>
      <c r="C4783" t="inlineStr">
        <is>
          <t>Eau De Cologne</t>
        </is>
      </c>
      <c r="D4783" t="inlineStr">
        <is>
          <t>4711</t>
        </is>
      </c>
      <c r="E4783" t="n">
        <v>18.4</v>
      </c>
      <c r="F4783" t="n">
        <v>1</v>
      </c>
      <c r="G4783" t="n">
        <v>43</v>
      </c>
      <c r="H4783" s="5">
        <f>HYPERLINK("https://api.qogita.com/variants/link/4011700740048/", "View Product")</f>
        <v/>
      </c>
    </row>
    <row r="4784">
      <c r="A4784" t="inlineStr">
        <is>
          <t>4011700745371</t>
        </is>
      </c>
      <c r="B4784" t="inlineStr">
        <is>
          <t>4711 Acqua Colonia White Peach &amp; Coriander Eau De Cologne Spray 170ml</t>
        </is>
      </c>
      <c r="C4784" t="inlineStr">
        <is>
          <t>Eau De Cologne</t>
        </is>
      </c>
      <c r="D4784" t="inlineStr">
        <is>
          <t>4711</t>
        </is>
      </c>
      <c r="E4784" t="n">
        <v>18.62</v>
      </c>
      <c r="F4784" t="n">
        <v>1</v>
      </c>
      <c r="G4784" t="n">
        <v>4</v>
      </c>
      <c r="H4784" s="5">
        <f>HYPERLINK("https://api.qogita.com/variants/link/4011700745371/", "View Product")</f>
        <v/>
      </c>
    </row>
    <row r="4785">
      <c r="A4785" t="inlineStr">
        <is>
          <t>4011700747740</t>
        </is>
      </c>
      <c r="B4785" t="inlineStr">
        <is>
          <t>4711 Acqua Colonia Lychee &amp; White Mint Eau De Cologne Spray 170ml</t>
        </is>
      </c>
      <c r="C4785" t="inlineStr">
        <is>
          <t>Eau De Cologne</t>
        </is>
      </c>
      <c r="D4785" t="inlineStr">
        <is>
          <t>4711</t>
        </is>
      </c>
      <c r="E4785" t="n">
        <v>20.19</v>
      </c>
      <c r="F4785" t="n">
        <v>1</v>
      </c>
      <c r="G4785" t="n">
        <v>22</v>
      </c>
      <c r="H4785" s="5">
        <f>HYPERLINK("https://api.qogita.com/variants/link/4011700747740/", "View Product")</f>
        <v/>
      </c>
    </row>
    <row r="4786">
      <c r="A4786" t="inlineStr">
        <is>
          <t>4011700748181</t>
        </is>
      </c>
      <c r="B4786" t="inlineStr">
        <is>
          <t>4711 Remix Festival Vibes Eau De Cologne Spray 100ml</t>
        </is>
      </c>
      <c r="C4786" t="inlineStr">
        <is>
          <t>Eau De Cologne</t>
        </is>
      </c>
      <c r="D4786" t="inlineStr">
        <is>
          <t>4711</t>
        </is>
      </c>
      <c r="E4786" t="n">
        <v>12.67</v>
      </c>
      <c r="F4786" t="n">
        <v>1</v>
      </c>
      <c r="G4786" t="n">
        <v>6</v>
      </c>
      <c r="H4786" s="5">
        <f>HYPERLINK("https://api.qogita.com/variants/link/4011700748181/", "View Product")</f>
        <v/>
      </c>
    </row>
    <row r="4787">
      <c r="A4787" t="inlineStr">
        <is>
          <t>4011700748280</t>
        </is>
      </c>
      <c r="B4787" t="inlineStr">
        <is>
          <t>4711 Acqua Colonia Starfruit And White Flowers Eau De Cologne Spray 50ml</t>
        </is>
      </c>
      <c r="C4787" t="inlineStr">
        <is>
          <t>Eau De Cologne</t>
        </is>
      </c>
      <c r="D4787" t="inlineStr">
        <is>
          <t>4711</t>
        </is>
      </c>
      <c r="E4787" t="n">
        <v>12.24</v>
      </c>
      <c r="F4787" t="n">
        <v>1</v>
      </c>
      <c r="G4787" t="n">
        <v>2</v>
      </c>
      <c r="H4787" s="5">
        <f>HYPERLINK("https://api.qogita.com/variants/link/4011700748280/", "View Product")</f>
        <v/>
      </c>
    </row>
    <row r="4788">
      <c r="A4788" t="inlineStr">
        <is>
          <t>4011700748389</t>
        </is>
      </c>
      <c r="B4788" t="inlineStr">
        <is>
          <t>4711 Remix Exotic Paradise Eau De Cologne for Women 100ml - Vibrant Fragrance</t>
        </is>
      </c>
      <c r="C4788" t="inlineStr">
        <is>
          <t>Eau De Cologne</t>
        </is>
      </c>
      <c r="D4788" t="inlineStr">
        <is>
          <t>4711</t>
        </is>
      </c>
      <c r="E4788" t="n">
        <v>11.91</v>
      </c>
      <c r="F4788" t="n">
        <v>1</v>
      </c>
      <c r="G4788" t="n">
        <v>6</v>
      </c>
      <c r="H4788" s="5">
        <f>HYPERLINK("https://api.qogita.com/variants/link/4011700748389/", "View Product")</f>
        <v/>
      </c>
    </row>
    <row r="4789">
      <c r="A4789" t="inlineStr">
        <is>
          <t>4011700757282</t>
        </is>
      </c>
      <c r="B4789" t="inlineStr">
        <is>
          <t>4711 Floral Collection Lily Of The Valley Eau De Cologne Spray 100ml</t>
        </is>
      </c>
      <c r="C4789" t="inlineStr">
        <is>
          <t>Eau De Cologne</t>
        </is>
      </c>
      <c r="D4789" t="inlineStr">
        <is>
          <t>4711</t>
        </is>
      </c>
      <c r="E4789" t="n">
        <v>13.24</v>
      </c>
      <c r="F4789" t="n">
        <v>1</v>
      </c>
      <c r="G4789" t="n">
        <v>4</v>
      </c>
      <c r="H4789" s="5">
        <f>HYPERLINK("https://api.qogita.com/variants/link/4011700757282/", "View Product")</f>
        <v/>
      </c>
    </row>
    <row r="4790">
      <c r="A4790" t="inlineStr">
        <is>
          <t>4011700856015</t>
        </is>
      </c>
      <c r="B4790" t="inlineStr">
        <is>
          <t>S.Oliver Selection Men Eau De Toilette Spray 50ml with Patchouli, Sage, and Rose</t>
        </is>
      </c>
      <c r="C4790" t="inlineStr">
        <is>
          <t>Eau De Toilette</t>
        </is>
      </c>
      <c r="D4790" t="inlineStr">
        <is>
          <t>S. Oliver</t>
        </is>
      </c>
      <c r="E4790" t="n">
        <v>15.62</v>
      </c>
      <c r="F4790" t="n">
        <v>1</v>
      </c>
      <c r="G4790" t="n">
        <v>6</v>
      </c>
      <c r="H4790" s="5">
        <f>HYPERLINK("https://api.qogita.com/variants/link/4011700856015/", "View Product")</f>
        <v/>
      </c>
    </row>
    <row r="4791">
      <c r="A4791" t="inlineStr">
        <is>
          <t>4011700903276</t>
        </is>
      </c>
      <c r="B4791" t="inlineStr">
        <is>
          <t>Baldessarini Eau De Cologne Spray 75ml By Baldessarini</t>
        </is>
      </c>
      <c r="C4791" t="inlineStr">
        <is>
          <t>Eau De Cologne</t>
        </is>
      </c>
      <c r="D4791" t="inlineStr">
        <is>
          <t>Baldessarini</t>
        </is>
      </c>
      <c r="E4791" t="n">
        <v>24.58</v>
      </c>
      <c r="F4791" t="n">
        <v>1</v>
      </c>
      <c r="G4791" t="n">
        <v>84</v>
      </c>
      <c r="H4791" s="5">
        <f>HYPERLINK("https://api.qogita.com/variants/link/4011700903276/", "View Product")</f>
        <v/>
      </c>
    </row>
    <row r="4792">
      <c r="A4792" t="inlineStr">
        <is>
          <t>4011700905027</t>
        </is>
      </c>
      <c r="B4792" t="inlineStr">
        <is>
          <t>Baldessarini Bella Eau De Parfum 50ml</t>
        </is>
      </c>
      <c r="C4792" t="inlineStr">
        <is>
          <t>Eau De Parfum</t>
        </is>
      </c>
      <c r="D4792" t="inlineStr">
        <is>
          <t>Baldessarini</t>
        </is>
      </c>
      <c r="E4792" t="n">
        <v>28.28</v>
      </c>
      <c r="F4792" t="n">
        <v>1</v>
      </c>
      <c r="G4792" t="n">
        <v>79</v>
      </c>
      <c r="H4792" s="5">
        <f>HYPERLINK("https://api.qogita.com/variants/link/4011700905027/", "View Product")</f>
        <v/>
      </c>
    </row>
    <row r="4793">
      <c r="A4793" t="inlineStr">
        <is>
          <t>4011700908165</t>
        </is>
      </c>
      <c r="B4793" t="inlineStr">
        <is>
          <t>Baldessarini Sign Asl 90ml</t>
        </is>
      </c>
      <c r="C4793" t="inlineStr">
        <is>
          <t>Eau De Toilette</t>
        </is>
      </c>
      <c r="D4793" t="inlineStr">
        <is>
          <t>Baldessarini</t>
        </is>
      </c>
      <c r="E4793" t="n">
        <v>24.11</v>
      </c>
      <c r="F4793" t="n">
        <v>1</v>
      </c>
      <c r="G4793" t="n">
        <v>29</v>
      </c>
      <c r="H4793" s="5">
        <f>HYPERLINK("https://api.qogita.com/variants/link/4011700908165/", "View Product")</f>
        <v/>
      </c>
    </row>
    <row r="4794">
      <c r="A4794" t="inlineStr">
        <is>
          <t>4011700919062</t>
        </is>
      </c>
      <c r="B4794" t="inlineStr">
        <is>
          <t>Baldessarini Cool Force Shower Gel 200ml</t>
        </is>
      </c>
      <c r="C4794" t="inlineStr">
        <is>
          <t>Shower Gel</t>
        </is>
      </c>
      <c r="D4794" t="inlineStr">
        <is>
          <t>Baldessarini</t>
        </is>
      </c>
      <c r="E4794" t="n">
        <v>9.57</v>
      </c>
      <c r="F4794" t="n">
        <v>1</v>
      </c>
      <c r="G4794" t="n">
        <v>60</v>
      </c>
      <c r="H4794" s="5">
        <f>HYPERLINK("https://api.qogita.com/variants/link/4011700919062/", "View Product")</f>
        <v/>
      </c>
    </row>
    <row r="4795">
      <c r="A4795" t="inlineStr">
        <is>
          <t>4013670001402</t>
        </is>
      </c>
      <c r="B4795" t="inlineStr">
        <is>
          <t>Aigner True Icon Eau de Parfum 100ml</t>
        </is>
      </c>
      <c r="C4795" t="inlineStr">
        <is>
          <t>Eau De Parfum</t>
        </is>
      </c>
      <c r="D4795" t="inlineStr">
        <is>
          <t>Etienne Aigner</t>
        </is>
      </c>
      <c r="E4795" t="n">
        <v>39.51</v>
      </c>
      <c r="F4795" t="n">
        <v>1</v>
      </c>
      <c r="G4795" t="n">
        <v>2</v>
      </c>
      <c r="H4795" s="5">
        <f>HYPERLINK("https://api.qogita.com/variants/link/4013670001402/", "View Product")</f>
        <v/>
      </c>
    </row>
    <row r="4796">
      <c r="A4796" t="inlineStr">
        <is>
          <t>4013670003253</t>
        </is>
      </c>
      <c r="B4796" t="inlineStr">
        <is>
          <t>Etienne Aigner First Class Eau De Toilette 100ml Men Spray</t>
        </is>
      </c>
      <c r="C4796" t="inlineStr">
        <is>
          <t>Eau De Toilette</t>
        </is>
      </c>
      <c r="D4796" t="inlineStr">
        <is>
          <t>Etienne Aigner</t>
        </is>
      </c>
      <c r="E4796" t="n">
        <v>20.69</v>
      </c>
      <c r="F4796" t="n">
        <v>1</v>
      </c>
      <c r="G4796" t="n">
        <v>16</v>
      </c>
      <c r="H4796" s="5">
        <f>HYPERLINK("https://api.qogita.com/variants/link/4013670003253/", "View Product")</f>
        <v/>
      </c>
    </row>
    <row r="4797">
      <c r="A4797" t="inlineStr">
        <is>
          <t>4013670005868</t>
        </is>
      </c>
      <c r="B4797" t="inlineStr">
        <is>
          <t>Aigner Parfums Etienne Aigner Icon Eau De Parfum 100ml For Women</t>
        </is>
      </c>
      <c r="C4797" t="inlineStr">
        <is>
          <t>Eau De Parfum</t>
        </is>
      </c>
      <c r="D4797" t="inlineStr">
        <is>
          <t>Etienne Aigner</t>
        </is>
      </c>
      <c r="E4797" t="n">
        <v>37.67</v>
      </c>
      <c r="F4797" t="n">
        <v>1</v>
      </c>
      <c r="G4797" t="n">
        <v>2</v>
      </c>
      <c r="H4797" s="5">
        <f>HYPERLINK("https://api.qogita.com/variants/link/4013670005868/", "View Product")</f>
        <v/>
      </c>
    </row>
    <row r="4798">
      <c r="A4798" t="inlineStr">
        <is>
          <t>4013670508406</t>
        </is>
      </c>
      <c r="B4798" t="inlineStr">
        <is>
          <t>Aigner No1 Eau de Toilette for Men 30ml</t>
        </is>
      </c>
      <c r="C4798" t="inlineStr">
        <is>
          <t>Eau De Toilette</t>
        </is>
      </c>
      <c r="D4798" t="inlineStr">
        <is>
          <t>Etienne Aigner</t>
        </is>
      </c>
      <c r="E4798" t="n">
        <v>13.24</v>
      </c>
      <c r="F4798" t="n">
        <v>1</v>
      </c>
      <c r="G4798" t="n">
        <v>9</v>
      </c>
      <c r="H4798" s="5">
        <f>HYPERLINK("https://api.qogita.com/variants/link/4013670508406/", "View Product")</f>
        <v/>
      </c>
    </row>
    <row r="4799">
      <c r="A4799" t="inlineStr">
        <is>
          <t>4013671000909</t>
        </is>
      </c>
      <c r="B4799" t="inlineStr">
        <is>
          <t>Etienne Aigner No.1 Oud Eau de Parfum Spray 100ml</t>
        </is>
      </c>
      <c r="C4799" t="inlineStr">
        <is>
          <t>Eau De Parfum</t>
        </is>
      </c>
      <c r="D4799" t="inlineStr">
        <is>
          <t>Etienne Aigner</t>
        </is>
      </c>
      <c r="E4799" t="n">
        <v>27.95</v>
      </c>
      <c r="F4799" t="n">
        <v>1</v>
      </c>
      <c r="G4799" t="n">
        <v>2</v>
      </c>
      <c r="H4799" s="5">
        <f>HYPERLINK("https://api.qogita.com/variants/link/4013671000909/", "View Product")</f>
        <v/>
      </c>
    </row>
    <row r="4800">
      <c r="A4800" t="inlineStr">
        <is>
          <t>4013671002408</t>
        </is>
      </c>
      <c r="B4800" t="inlineStr">
        <is>
          <t>Aigner Initial EDP Spray 100ml</t>
        </is>
      </c>
      <c r="C4800" t="inlineStr">
        <is>
          <t>Eau De Parfum</t>
        </is>
      </c>
      <c r="D4800" t="inlineStr">
        <is>
          <t>Etienne Aigner</t>
        </is>
      </c>
      <c r="E4800" t="n">
        <v>26.46</v>
      </c>
      <c r="F4800" t="n">
        <v>1</v>
      </c>
      <c r="G4800" t="n">
        <v>3</v>
      </c>
      <c r="H4800" s="5">
        <f>HYPERLINK("https://api.qogita.com/variants/link/4013671002408/", "View Product")</f>
        <v/>
      </c>
    </row>
    <row r="4801">
      <c r="A4801" t="inlineStr">
        <is>
          <t>4015000503136</t>
        </is>
      </c>
      <c r="B4801" t="inlineStr">
        <is>
          <t>Diadermine Moisturizing Makeup Remover Wipes 25 Units Hydrating Cleansing Wipes</t>
        </is>
      </c>
      <c r="C4801" t="inlineStr">
        <is>
          <t>Makeup Remover</t>
        </is>
      </c>
      <c r="D4801" t="inlineStr">
        <is>
          <t>Diadermine</t>
        </is>
      </c>
      <c r="E4801" t="n">
        <v>2.82</v>
      </c>
      <c r="F4801" t="n">
        <v>1</v>
      </c>
      <c r="G4801" t="n">
        <v>26</v>
      </c>
      <c r="H4801" s="5">
        <f>HYPERLINK("https://api.qogita.com/variants/link/4015000503136/", "View Product")</f>
        <v/>
      </c>
    </row>
    <row r="4802">
      <c r="A4802" t="inlineStr">
        <is>
          <t>4015000944038</t>
        </is>
      </c>
      <c r="B4802" t="inlineStr">
        <is>
          <t>Schwarzkopf Syoss Repair Therapy Shampoo 500ml</t>
        </is>
      </c>
      <c r="C4802" t="inlineStr">
        <is>
          <t>Shampoo</t>
        </is>
      </c>
      <c r="D4802" t="inlineStr">
        <is>
          <t>Schwarzkopf</t>
        </is>
      </c>
      <c r="E4802" t="n">
        <v>3.3</v>
      </c>
      <c r="F4802" t="n">
        <v>1</v>
      </c>
      <c r="G4802" t="n">
        <v>14</v>
      </c>
      <c r="H4802" s="5">
        <f>HYPERLINK("https://api.qogita.com/variants/link/4015000944038/", "View Product")</f>
        <v/>
      </c>
    </row>
    <row r="4803">
      <c r="A4803" t="inlineStr">
        <is>
          <t>4015100201611</t>
        </is>
      </c>
      <c r="B4803" t="inlineStr">
        <is>
          <t>Diadermine Lift+ Nutri-Lifting Night Cream 50ml</t>
        </is>
      </c>
      <c r="C4803" t="inlineStr">
        <is>
          <t>Night Cream</t>
        </is>
      </c>
      <c r="D4803" t="inlineStr">
        <is>
          <t>Diadermine</t>
        </is>
      </c>
      <c r="E4803" t="n">
        <v>7.97</v>
      </c>
      <c r="F4803" t="n">
        <v>1</v>
      </c>
      <c r="G4803" t="n">
        <v>64</v>
      </c>
      <c r="H4803" s="5">
        <f>HYPERLINK("https://api.qogita.com/variants/link/4015100201611/", "View Product")</f>
        <v/>
      </c>
    </row>
    <row r="4804">
      <c r="A4804" t="inlineStr">
        <is>
          <t>4015100201628</t>
        </is>
      </c>
      <c r="B4804" t="inlineStr">
        <is>
          <t>Diadermine Lift+ Hydra-Lifting Day Cream, H2o Firming Anti-Aging</t>
        </is>
      </c>
      <c r="C4804" t="inlineStr">
        <is>
          <t>Day Cream</t>
        </is>
      </c>
      <c r="D4804" t="inlineStr">
        <is>
          <t>Diadermine</t>
        </is>
      </c>
      <c r="E4804" t="n">
        <v>7.97</v>
      </c>
      <c r="F4804" t="n">
        <v>1</v>
      </c>
      <c r="G4804" t="n">
        <v>37</v>
      </c>
      <c r="H4804" s="5">
        <f>HYPERLINK("https://api.qogita.com/variants/link/4015100201628/", "View Product")</f>
        <v/>
      </c>
    </row>
    <row r="4805">
      <c r="A4805" t="inlineStr">
        <is>
          <t>4015100201642</t>
        </is>
      </c>
      <c r="B4805" t="inlineStr">
        <is>
          <t>Diadermine Lift+ Hydra-Lifting Eye Contour Cream 15ml</t>
        </is>
      </c>
      <c r="C4805" t="inlineStr">
        <is>
          <t>Eye Cream</t>
        </is>
      </c>
      <c r="D4805" t="inlineStr">
        <is>
          <t>Diadermine</t>
        </is>
      </c>
      <c r="E4805" t="n">
        <v>7.49</v>
      </c>
      <c r="F4805" t="n">
        <v>1</v>
      </c>
      <c r="G4805" t="n">
        <v>7</v>
      </c>
      <c r="H4805" s="5">
        <f>HYPERLINK("https://api.qogita.com/variants/link/4015100201642/", "View Product")</f>
        <v/>
      </c>
    </row>
    <row r="4806">
      <c r="A4806" t="inlineStr">
        <is>
          <t>4015100432411</t>
        </is>
      </c>
      <c r="B4806" t="inlineStr">
        <is>
          <t>Diadermine Age Supreme Wrinkle Expert 3D Anti-Age Eye Cream 15ml</t>
        </is>
      </c>
      <c r="C4806" t="inlineStr">
        <is>
          <t>Eye Cream</t>
        </is>
      </c>
      <c r="D4806" t="inlineStr">
        <is>
          <t>Diadermine</t>
        </is>
      </c>
      <c r="E4806" t="n">
        <v>8.82</v>
      </c>
      <c r="F4806" t="n">
        <v>1</v>
      </c>
      <c r="G4806" t="n">
        <v>79</v>
      </c>
      <c r="H4806" s="5">
        <f>HYPERLINK("https://api.qogita.com/variants/link/4015100432411/", "View Product")</f>
        <v/>
      </c>
    </row>
    <row r="4807">
      <c r="A4807" t="inlineStr">
        <is>
          <t>4015165337706</t>
        </is>
      </c>
      <c r="B4807" t="inlineStr">
        <is>
          <t>Light Face Cream 50 ml</t>
        </is>
      </c>
      <c r="C4807" t="inlineStr">
        <is>
          <t>Face Cream</t>
        </is>
      </c>
      <c r="D4807" t="inlineStr">
        <is>
          <t>Dr. Barbara Sturm</t>
        </is>
      </c>
      <c r="E4807" t="n">
        <v>117.98</v>
      </c>
      <c r="F4807" t="n">
        <v>1</v>
      </c>
      <c r="G4807" t="n">
        <v>23</v>
      </c>
      <c r="H4807" s="5">
        <f>HYPERLINK("https://api.qogita.com/variants/link/4015165337706/", "View Product")</f>
        <v/>
      </c>
    </row>
    <row r="4808">
      <c r="A4808" t="inlineStr">
        <is>
          <t>4015165352655</t>
        </is>
      </c>
      <c r="B4808" t="inlineStr">
        <is>
          <t>BABOR MAKE UP Hydra Liquid Foundation with Moisturizing Serum 30ml 10 Clay</t>
        </is>
      </c>
      <c r="C4808" t="inlineStr">
        <is>
          <t>Foundation</t>
        </is>
      </c>
      <c r="D4808" t="inlineStr">
        <is>
          <t>Babor</t>
        </is>
      </c>
      <c r="E4808" t="n">
        <v>27.74</v>
      </c>
      <c r="F4808" t="n">
        <v>1</v>
      </c>
      <c r="G4808" t="n">
        <v>2</v>
      </c>
      <c r="H4808" s="5">
        <f>HYPERLINK("https://api.qogita.com/variants/link/4015165352655/", "View Product")</f>
        <v/>
      </c>
    </row>
    <row r="4809">
      <c r="A4809" t="inlineStr">
        <is>
          <t>4015165358749</t>
        </is>
      </c>
      <c r="B4809" t="inlineStr">
        <is>
          <t>Babor Algae Vitalizer Ampoule Concentrates Facial Ampoules 7x2ml</t>
        </is>
      </c>
      <c r="C4809" t="inlineStr">
        <is>
          <t>Ampoules</t>
        </is>
      </c>
      <c r="D4809" t="inlineStr">
        <is>
          <t>Babor</t>
        </is>
      </c>
      <c r="E4809" t="n">
        <v>29.49</v>
      </c>
      <c r="F4809" t="n">
        <v>1</v>
      </c>
      <c r="G4809" t="n">
        <v>5</v>
      </c>
      <c r="H4809" s="5">
        <f>HYPERLINK("https://api.qogita.com/variants/link/4015165358749/", "View Product")</f>
        <v/>
      </c>
    </row>
    <row r="4810">
      <c r="A4810" t="inlineStr">
        <is>
          <t>4015165367277</t>
        </is>
      </c>
      <c r="B4810" t="inlineStr">
        <is>
          <t>BABOR Instant Fresh &amp; Smooth Eye Serum + Patches Intensive Moisture &amp; Freshness for a Smooth Eye Area</t>
        </is>
      </c>
      <c r="C4810" t="inlineStr">
        <is>
          <t>Eye Serum</t>
        </is>
      </c>
      <c r="D4810" t="inlineStr">
        <is>
          <t>Babor</t>
        </is>
      </c>
      <c r="E4810" t="n">
        <v>40.64</v>
      </c>
      <c r="F4810" t="n">
        <v>1</v>
      </c>
      <c r="G4810" t="n">
        <v>8</v>
      </c>
      <c r="H4810" s="5">
        <f>HYPERLINK("https://api.qogita.com/variants/link/4015165367277/", "View Product")</f>
        <v/>
      </c>
    </row>
    <row r="4811">
      <c r="A4811" t="inlineStr">
        <is>
          <t>4015165368656</t>
        </is>
      </c>
      <c r="B4811" t="inlineStr">
        <is>
          <t>DOCTOR BABOR Collagen Peptide Booster Cream Moisturizing Face Cream for Intensive Firming Anti-Wrinkle Cream for Visibly Smooth Skin Vegan 50ml</t>
        </is>
      </c>
      <c r="C4811" t="inlineStr">
        <is>
          <t>Anti-Aging Facial Care</t>
        </is>
      </c>
      <c r="D4811" t="inlineStr">
        <is>
          <t>Babor</t>
        </is>
      </c>
      <c r="E4811" t="n">
        <v>95.09999999999999</v>
      </c>
      <c r="F4811" t="n">
        <v>1</v>
      </c>
      <c r="G4811" t="n">
        <v>2</v>
      </c>
      <c r="H4811" s="5">
        <f>HYPERLINK("https://api.qogita.com/variants/link/4015165368656/", "View Product")</f>
        <v/>
      </c>
    </row>
    <row r="4812">
      <c r="A4812" t="inlineStr">
        <is>
          <t>4015165368830</t>
        </is>
      </c>
      <c r="B4812" t="inlineStr">
        <is>
          <t>Babor Renewal Eye Zone Patch</t>
        </is>
      </c>
      <c r="C4812" t="inlineStr">
        <is>
          <t>Eye Masks &amp; Eye Pads</t>
        </is>
      </c>
      <c r="D4812" t="inlineStr">
        <is>
          <t>Babor</t>
        </is>
      </c>
      <c r="E4812" t="n">
        <v>39.33</v>
      </c>
      <c r="F4812" t="n">
        <v>1</v>
      </c>
      <c r="G4812" t="n">
        <v>5</v>
      </c>
      <c r="H4812" s="5">
        <f>HYPERLINK("https://api.qogita.com/variants/link/4015165368830/", "View Product")</f>
        <v/>
      </c>
    </row>
    <row r="4813">
      <c r="A4813" t="inlineStr">
        <is>
          <t>4015165369011</t>
        </is>
      </c>
      <c r="B4813" t="inlineStr">
        <is>
          <t>Babor Radiance Ampoule Serum Concentrate - 14 Ml</t>
        </is>
      </c>
      <c r="C4813" t="inlineStr">
        <is>
          <t>Ampoules</t>
        </is>
      </c>
      <c r="D4813" t="inlineStr">
        <is>
          <t>Babor</t>
        </is>
      </c>
      <c r="E4813" t="n">
        <v>32.21</v>
      </c>
      <c r="F4813" t="n">
        <v>1</v>
      </c>
      <c r="G4813" t="n">
        <v>7</v>
      </c>
      <c r="H4813" s="5">
        <f>HYPERLINK("https://api.qogita.com/variants/link/4015165369011/", "View Product")</f>
        <v/>
      </c>
    </row>
    <row r="4814">
      <c r="A4814" t="inlineStr">
        <is>
          <t>4015165369059</t>
        </is>
      </c>
      <c r="B4814" t="inlineStr">
        <is>
          <t>Babor Sensitive Soothing Cream Cleanser</t>
        </is>
      </c>
      <c r="C4814" t="inlineStr">
        <is>
          <t>Cleansing Cream</t>
        </is>
      </c>
      <c r="D4814" t="inlineStr">
        <is>
          <t>Babor</t>
        </is>
      </c>
      <c r="E4814" t="n">
        <v>30.81</v>
      </c>
      <c r="F4814" t="n">
        <v>1</v>
      </c>
      <c r="G4814" t="n">
        <v>5</v>
      </c>
      <c r="H4814" s="5">
        <f>HYPERLINK("https://api.qogita.com/variants/link/4015165369059/", "View Product")</f>
        <v/>
      </c>
    </row>
    <row r="4815">
      <c r="A4815" t="inlineStr">
        <is>
          <t>4015400963455</t>
        </is>
      </c>
      <c r="B4815" t="inlineStr">
        <is>
          <t>Londa Professional Permanent Color Extra Rich Creme Permanent Cream Hair Color 896 Light Blond Cendre Violet</t>
        </is>
      </c>
      <c r="C4815" t="inlineStr">
        <is>
          <t>Hair Dye</t>
        </is>
      </c>
      <c r="D4815" t="inlineStr">
        <is>
          <t>Londa Professional</t>
        </is>
      </c>
      <c r="E4815" t="n">
        <v>3.53</v>
      </c>
      <c r="F4815" t="n">
        <v>1</v>
      </c>
      <c r="G4815" t="n">
        <v>2</v>
      </c>
      <c r="H4815" s="5">
        <f>HYPERLINK("https://api.qogita.com/variants/link/4015400963455/", "View Product")</f>
        <v/>
      </c>
    </row>
    <row r="4816">
      <c r="A4816" t="inlineStr">
        <is>
          <t>4015600027629</t>
        </is>
      </c>
      <c r="B4816" t="inlineStr">
        <is>
          <t>WELLA Color Touch Plus 77/03 Medium Blonde Intensive Natural Gold 60ml</t>
        </is>
      </c>
      <c r="C4816" t="inlineStr">
        <is>
          <t>Hair Dye</t>
        </is>
      </c>
      <c r="D4816" t="inlineStr">
        <is>
          <t>Wella Professionals</t>
        </is>
      </c>
      <c r="E4816" t="n">
        <v>7.27</v>
      </c>
      <c r="F4816" t="n">
        <v>1</v>
      </c>
      <c r="G4816" t="n">
        <v>3</v>
      </c>
      <c r="H4816" s="5">
        <f>HYPERLINK("https://api.qogita.com/variants/link/4015600027629/", "View Product")</f>
        <v/>
      </c>
    </row>
    <row r="4817">
      <c r="A4817" t="inlineStr">
        <is>
          <t>4015600028053</t>
        </is>
      </c>
      <c r="B4817" t="inlineStr">
        <is>
          <t>WELLA Color Touch Professional Plus 33-06 Dark Intense Natural Violet Hair Dye 60ml</t>
        </is>
      </c>
      <c r="C4817" t="inlineStr">
        <is>
          <t>Hair Dye</t>
        </is>
      </c>
      <c r="D4817" t="inlineStr">
        <is>
          <t>Wella</t>
        </is>
      </c>
      <c r="E4817" t="n">
        <v>7.58</v>
      </c>
      <c r="F4817" t="n">
        <v>1</v>
      </c>
      <c r="G4817" t="n">
        <v>3</v>
      </c>
      <c r="H4817" s="5">
        <f>HYPERLINK("https://api.qogita.com/variants/link/4015600028053/", "View Product")</f>
        <v/>
      </c>
    </row>
    <row r="4818">
      <c r="A4818" t="inlineStr">
        <is>
          <t>4015600045357</t>
        </is>
      </c>
      <c r="B4818" t="inlineStr">
        <is>
          <t>WELLA Number 6/73 Demi-Permanent Colour Touch CT 6/73 Dark Blonde Brown Gold 60ml</t>
        </is>
      </c>
      <c r="C4818" t="inlineStr">
        <is>
          <t>Hair Dye</t>
        </is>
      </c>
      <c r="D4818" t="inlineStr">
        <is>
          <t>Wella</t>
        </is>
      </c>
      <c r="E4818" t="n">
        <v>7.58</v>
      </c>
      <c r="F4818" t="n">
        <v>1</v>
      </c>
      <c r="G4818" t="n">
        <v>3</v>
      </c>
      <c r="H4818" s="5">
        <f>HYPERLINK("https://api.qogita.com/variants/link/4015600045357/", "View Product")</f>
        <v/>
      </c>
    </row>
    <row r="4819">
      <c r="A4819" t="inlineStr">
        <is>
          <t>4015600195076</t>
        </is>
      </c>
      <c r="B4819" t="inlineStr">
        <is>
          <t>Wella Professionals Color Touch Rich Naturals Coloring Tone 8/38 60ml</t>
        </is>
      </c>
      <c r="C4819" t="inlineStr">
        <is>
          <t>Hair Dye</t>
        </is>
      </c>
      <c r="D4819" t="inlineStr">
        <is>
          <t>Wella Professionals</t>
        </is>
      </c>
      <c r="E4819" t="n">
        <v>7.54</v>
      </c>
      <c r="F4819" t="n">
        <v>1</v>
      </c>
      <c r="G4819" t="n">
        <v>5</v>
      </c>
      <c r="H4819" s="5">
        <f>HYPERLINK("https://api.qogita.com/variants/link/4015600195076/", "View Product")</f>
        <v/>
      </c>
    </row>
    <row r="4820">
      <c r="A4820" t="inlineStr">
        <is>
          <t>4015600205041</t>
        </is>
      </c>
      <c r="B4820" t="inlineStr">
        <is>
          <t>Wella Professionals Color Touch Plus Hair Color 66-04 60ml</t>
        </is>
      </c>
      <c r="C4820" t="inlineStr">
        <is>
          <t>Hair Dye</t>
        </is>
      </c>
      <c r="D4820" t="inlineStr">
        <is>
          <t>Wella</t>
        </is>
      </c>
      <c r="E4820" t="n">
        <v>7.54</v>
      </c>
      <c r="F4820" t="n">
        <v>1</v>
      </c>
      <c r="G4820" t="n">
        <v>3</v>
      </c>
      <c r="H4820" s="5">
        <f>HYPERLINK("https://api.qogita.com/variants/link/4015600205041/", "View Product")</f>
        <v/>
      </c>
    </row>
    <row r="4821">
      <c r="A4821" t="inlineStr">
        <is>
          <t>4015600792787</t>
        </is>
      </c>
      <c r="B4821" t="inlineStr">
        <is>
          <t>Wella Professional Illumina Color 60 Ml 1005 Permanent Hair Color</t>
        </is>
      </c>
      <c r="C4821" t="inlineStr">
        <is>
          <t>Hair Dye</t>
        </is>
      </c>
      <c r="D4821" t="inlineStr">
        <is>
          <t>Wella Professionals</t>
        </is>
      </c>
      <c r="E4821" t="n">
        <v>7.34</v>
      </c>
      <c r="F4821" t="n">
        <v>1</v>
      </c>
      <c r="G4821" t="n">
        <v>3</v>
      </c>
      <c r="H4821" s="5">
        <f>HYPERLINK("https://api.qogita.com/variants/link/4015600792787/", "View Product")</f>
        <v/>
      </c>
    </row>
    <row r="4822">
      <c r="A4822" t="inlineStr">
        <is>
          <t>4015600792879</t>
        </is>
      </c>
      <c r="B4822" t="inlineStr">
        <is>
          <t>Wella Professional Illumina Color 60 Ml 838 Permanent Hair Color</t>
        </is>
      </c>
      <c r="C4822" t="inlineStr">
        <is>
          <t>Hair Dye</t>
        </is>
      </c>
      <c r="D4822" t="inlineStr">
        <is>
          <t>Wella Professionals</t>
        </is>
      </c>
      <c r="E4822" t="n">
        <v>7.58</v>
      </c>
      <c r="F4822" t="n">
        <v>1</v>
      </c>
      <c r="G4822" t="n">
        <v>5</v>
      </c>
      <c r="H4822" s="5">
        <f>HYPERLINK("https://api.qogita.com/variants/link/4015600792879/", "View Product")</f>
        <v/>
      </c>
    </row>
    <row r="4823">
      <c r="A4823" t="inlineStr">
        <is>
          <t>4015600987442</t>
        </is>
      </c>
      <c r="B4823" t="inlineStr">
        <is>
          <t>Londacolor Creme Hair Color 6/43 60ml Copper Tones</t>
        </is>
      </c>
      <c r="C4823" t="inlineStr">
        <is>
          <t>Hair Dye</t>
        </is>
      </c>
      <c r="D4823" t="inlineStr">
        <is>
          <t>Londa</t>
        </is>
      </c>
      <c r="E4823" t="n">
        <v>4.46</v>
      </c>
      <c r="F4823" t="n">
        <v>1</v>
      </c>
      <c r="G4823" t="n">
        <v>2</v>
      </c>
      <c r="H4823" s="5">
        <f>HYPERLINK("https://api.qogita.com/variants/link/4015600987442/", "View Product")</f>
        <v/>
      </c>
    </row>
    <row r="4824">
      <c r="A4824" t="inlineStr">
        <is>
          <t>4015600988548</t>
        </is>
      </c>
      <c r="B4824" t="inlineStr">
        <is>
          <t>Londa Londacolor Hair Color Creme 8/43 Light Blonde-Copper-Gold</t>
        </is>
      </c>
      <c r="C4824" t="inlineStr">
        <is>
          <t>Hair Dye</t>
        </is>
      </c>
      <c r="D4824" t="inlineStr">
        <is>
          <t>Londa</t>
        </is>
      </c>
      <c r="E4824" t="n">
        <v>3.43</v>
      </c>
      <c r="F4824" t="n">
        <v>1</v>
      </c>
      <c r="G4824" t="n">
        <v>5</v>
      </c>
      <c r="H4824" s="5">
        <f>HYPERLINK("https://api.qogita.com/variants/link/4015600988548/", "View Product")</f>
        <v/>
      </c>
    </row>
    <row r="4825">
      <c r="A4825" t="inlineStr">
        <is>
          <t>4015953620980</t>
        </is>
      </c>
      <c r="B4825" t="inlineStr">
        <is>
          <t>Accentra Sixpack Gift Set for Men with Bottle Opener in Beer Carrier - 7 Piece Beer Care Set with Shower Gel, After Shave, Body Lotion, Shampoo and More</t>
        </is>
      </c>
      <c r="C4825" t="inlineStr">
        <is>
          <t>Body Care Sets</t>
        </is>
      </c>
      <c r="D4825" t="inlineStr">
        <is>
          <t>Accentra</t>
        </is>
      </c>
      <c r="E4825" t="n">
        <v>17.9</v>
      </c>
      <c r="F4825" t="n">
        <v>1</v>
      </c>
      <c r="G4825" t="n">
        <v>19</v>
      </c>
      <c r="H4825" s="5">
        <f>HYPERLINK("https://api.qogita.com/variants/link/4015953620980/", "View Product")</f>
        <v/>
      </c>
    </row>
    <row r="4826">
      <c r="A4826" t="inlineStr">
        <is>
          <t>4015953660481</t>
        </is>
      </c>
      <c r="B4826" t="inlineStr">
        <is>
          <t>Accentra Winter Magic Vanilla &amp; Musk Hand Care Gift Set</t>
        </is>
      </c>
      <c r="C4826" t="inlineStr">
        <is>
          <t>Hand Care Sets</t>
        </is>
      </c>
      <c r="D4826" t="inlineStr">
        <is>
          <t>Accentra</t>
        </is>
      </c>
      <c r="E4826" t="n">
        <v>15.34</v>
      </c>
      <c r="F4826" t="n">
        <v>1</v>
      </c>
      <c r="G4826" t="n">
        <v>13</v>
      </c>
      <c r="H4826" s="5">
        <f>HYPERLINK("https://api.qogita.com/variants/link/4015953660481/", "View Product")</f>
        <v/>
      </c>
    </row>
    <row r="4827">
      <c r="A4827" t="inlineStr">
        <is>
          <t>4015953721427</t>
        </is>
      </c>
      <c r="B4827" t="inlineStr">
        <is>
          <t>Accentra Advent Calendar Beauty 2024 with 24 Wellness and Body Care Products</t>
        </is>
      </c>
      <c r="C4827" t="inlineStr">
        <is>
          <t>Body Care Sets</t>
        </is>
      </c>
      <c r="D4827" t="inlineStr">
        <is>
          <t>Accentra</t>
        </is>
      </c>
      <c r="E4827" t="n">
        <v>25.48</v>
      </c>
      <c r="F4827" t="n">
        <v>1</v>
      </c>
      <c r="G4827" t="n">
        <v>3</v>
      </c>
      <c r="H4827" s="5">
        <f>HYPERLINK("https://api.qogita.com/variants/link/4015953721427/", "View Product")</f>
        <v/>
      </c>
    </row>
    <row r="4828">
      <c r="A4828" t="inlineStr">
        <is>
          <t>4019674019313</t>
        </is>
      </c>
      <c r="B4828" t="inlineStr">
        <is>
          <t>Artdeco Glossy Lip Finish Lip Gloss 5ml</t>
        </is>
      </c>
      <c r="C4828" t="inlineStr">
        <is>
          <t>Lip Gloss</t>
        </is>
      </c>
      <c r="D4828" t="inlineStr">
        <is>
          <t>Artdeco</t>
        </is>
      </c>
      <c r="E4828" t="n">
        <v>7</v>
      </c>
      <c r="F4828" t="n">
        <v>1</v>
      </c>
      <c r="G4828" t="n">
        <v>11</v>
      </c>
      <c r="H4828" s="5">
        <f>HYPERLINK("https://api.qogita.com/variants/link/4019674019313/", "View Product")</f>
        <v/>
      </c>
    </row>
    <row r="4829">
      <c r="A4829" t="inlineStr">
        <is>
          <t>4019674022023</t>
        </is>
      </c>
      <c r="B4829" t="inlineStr">
        <is>
          <t>Artdeco Kajal Liner Eye Pencil 02 Black 1.1g</t>
        </is>
      </c>
      <c r="C4829" t="inlineStr">
        <is>
          <t>Eye Pencil</t>
        </is>
      </c>
      <c r="D4829" t="inlineStr">
        <is>
          <t>Artdeco</t>
        </is>
      </c>
      <c r="E4829" t="n">
        <v>3.23</v>
      </c>
      <c r="F4829" t="n">
        <v>1</v>
      </c>
      <c r="G4829" t="n">
        <v>6</v>
      </c>
      <c r="H4829" s="5">
        <f>HYPERLINK("https://api.qogita.com/variants/link/4019674022023/", "View Product")</f>
        <v/>
      </c>
    </row>
    <row r="4830">
      <c r="A4830" t="inlineStr">
        <is>
          <t>4019674028230</t>
        </is>
      </c>
      <c r="B4830" t="inlineStr">
        <is>
          <t>Artdeco Eyebrow Powder In Brown, 0.8g</t>
        </is>
      </c>
      <c r="C4830" t="inlineStr">
        <is>
          <t>Eyebrow Powder</t>
        </is>
      </c>
      <c r="D4830" t="inlineStr">
        <is>
          <t>Artdeco</t>
        </is>
      </c>
      <c r="E4830" t="n">
        <v>4.4</v>
      </c>
      <c r="F4830" t="n">
        <v>1</v>
      </c>
      <c r="G4830" t="n">
        <v>16</v>
      </c>
      <c r="H4830" s="5">
        <f>HYPERLINK("https://api.qogita.com/variants/link/4019674028230/", "View Product")</f>
        <v/>
      </c>
    </row>
    <row r="4831">
      <c r="A4831" t="inlineStr">
        <is>
          <t>4019674030080</t>
        </is>
      </c>
      <c r="B4831" t="inlineStr">
        <is>
          <t>Artdeco Eyeshadow Pearl 08 G 08 Pearly Linen Pearlescent Eyeshadow</t>
        </is>
      </c>
      <c r="C4831" t="inlineStr">
        <is>
          <t>Eyeshadow</t>
        </is>
      </c>
      <c r="D4831" t="inlineStr">
        <is>
          <t>Artdeco</t>
        </is>
      </c>
      <c r="E4831" t="n">
        <v>4.46</v>
      </c>
      <c r="F4831" t="n">
        <v>1</v>
      </c>
      <c r="G4831" t="n">
        <v>3</v>
      </c>
      <c r="H4831" s="5">
        <f>HYPERLINK("https://api.qogita.com/variants/link/4019674030080/", "View Product")</f>
        <v/>
      </c>
    </row>
    <row r="4832">
      <c r="A4832" t="inlineStr">
        <is>
          <t>4019674030165</t>
        </is>
      </c>
      <c r="B4832" t="inlineStr">
        <is>
          <t>Artdeco Eyeshadow Pearl Magnetic Eyeshadow Shade No. 16 0.8g</t>
        </is>
      </c>
      <c r="C4832" t="inlineStr">
        <is>
          <t>Eyeshadow</t>
        </is>
      </c>
      <c r="D4832" t="inlineStr">
        <is>
          <t>Artdeco</t>
        </is>
      </c>
      <c r="E4832" t="n">
        <v>4.43</v>
      </c>
      <c r="F4832" t="n">
        <v>1</v>
      </c>
      <c r="G4832" t="n">
        <v>18</v>
      </c>
      <c r="H4832" s="5">
        <f>HYPERLINK("https://api.qogita.com/variants/link/4019674030165/", "View Product")</f>
        <v/>
      </c>
    </row>
    <row r="4833">
      <c r="A4833" t="inlineStr">
        <is>
          <t>4019674030264</t>
        </is>
      </c>
      <c r="B4833" t="inlineStr">
        <is>
          <t>Artdeco Eyeshadow Pearl Magnetic Eyeshadow Shade No. 26 0.8g</t>
        </is>
      </c>
      <c r="C4833" t="inlineStr">
        <is>
          <t>Eyeshadow</t>
        </is>
      </c>
      <c r="D4833" t="inlineStr">
        <is>
          <t>Artdeco</t>
        </is>
      </c>
      <c r="E4833" t="n">
        <v>4.43</v>
      </c>
      <c r="F4833" t="n">
        <v>1</v>
      </c>
      <c r="G4833" t="n">
        <v>17</v>
      </c>
      <c r="H4833" s="5">
        <f>HYPERLINK("https://api.qogita.com/variants/link/4019674030264/", "View Product")</f>
        <v/>
      </c>
    </row>
    <row r="4834">
      <c r="A4834" t="inlineStr">
        <is>
          <t>4019674030790</t>
        </is>
      </c>
      <c r="B4834" t="inlineStr">
        <is>
          <t>ARTDECO Eyeshadow Intense and Long-Lasting Pearl Blue Eyeshadow 1g - Shade 79 Pearly Steel Blue</t>
        </is>
      </c>
      <c r="C4834" t="inlineStr">
        <is>
          <t>Eyeshadow</t>
        </is>
      </c>
      <c r="D4834" t="inlineStr">
        <is>
          <t>Artdeco</t>
        </is>
      </c>
      <c r="E4834" t="n">
        <v>4.4</v>
      </c>
      <c r="F4834" t="n">
        <v>1</v>
      </c>
      <c r="G4834" t="n">
        <v>28</v>
      </c>
      <c r="H4834" s="5">
        <f>HYPERLINK("https://api.qogita.com/variants/link/4019674030790/", "View Product")</f>
        <v/>
      </c>
    </row>
    <row r="4835">
      <c r="A4835" t="inlineStr">
        <is>
          <t>4019674034026</t>
        </is>
      </c>
      <c r="B4835" t="inlineStr">
        <is>
          <t>Artdeco Mineral Powder Foundation - Shade 02, 15g</t>
        </is>
      </c>
      <c r="C4835" t="inlineStr">
        <is>
          <t>Foundation</t>
        </is>
      </c>
      <c r="D4835" t="inlineStr">
        <is>
          <t>Artdeco</t>
        </is>
      </c>
      <c r="E4835" t="n">
        <v>12.18</v>
      </c>
      <c r="F4835" t="n">
        <v>1</v>
      </c>
      <c r="G4835" t="n">
        <v>2</v>
      </c>
      <c r="H4835" s="5">
        <f>HYPERLINK("https://api.qogita.com/variants/link/4019674034026/", "View Product")</f>
        <v/>
      </c>
    </row>
    <row r="4836">
      <c r="A4836" t="inlineStr">
        <is>
          <t>4019674049266</t>
        </is>
      </c>
      <c r="B4836" t="inlineStr">
        <is>
          <t>Artdeco Camouflage Cream Concealer Cream 06 4.5g</t>
        </is>
      </c>
      <c r="C4836" t="inlineStr">
        <is>
          <t>Camouflage Makeup</t>
        </is>
      </c>
      <c r="D4836" t="inlineStr">
        <is>
          <t>Artdeco</t>
        </is>
      </c>
      <c r="E4836" t="n">
        <v>3.74</v>
      </c>
      <c r="F4836" t="n">
        <v>1</v>
      </c>
      <c r="G4836" t="n">
        <v>4</v>
      </c>
      <c r="H4836" s="5">
        <f>HYPERLINK("https://api.qogita.com/variants/link/4019674049266/", "View Product")</f>
        <v/>
      </c>
    </row>
    <row r="4837">
      <c r="A4837" t="inlineStr">
        <is>
          <t>4019674049792</t>
        </is>
      </c>
      <c r="B4837" t="inlineStr">
        <is>
          <t>Artdeco Perfect Teint Concealer Brightening Corrector 2 Ml In 09 Ivory</t>
        </is>
      </c>
      <c r="C4837" t="inlineStr">
        <is>
          <t>Concealer</t>
        </is>
      </c>
      <c r="D4837" t="inlineStr">
        <is>
          <t>Artdeco</t>
        </is>
      </c>
      <c r="E4837" t="n">
        <v>6.57</v>
      </c>
      <c r="F4837" t="n">
        <v>1</v>
      </c>
      <c r="G4837" t="n">
        <v>8</v>
      </c>
      <c r="H4837" s="5">
        <f>HYPERLINK("https://api.qogita.com/variants/link/4019674049792/", "View Product")</f>
        <v/>
      </c>
    </row>
    <row r="4838">
      <c r="A4838" t="inlineStr">
        <is>
          <t>4019674060902</t>
        </is>
      </c>
      <c r="B4838" t="inlineStr">
        <is>
          <t>Artdeco Makeup Sponge Edges 8 Pieces</t>
        </is>
      </c>
      <c r="C4838" t="inlineStr">
        <is>
          <t>Makeup Sponges</t>
        </is>
      </c>
      <c r="D4838" t="inlineStr">
        <is>
          <t>Artdeco</t>
        </is>
      </c>
      <c r="E4838" t="n">
        <v>3.62</v>
      </c>
      <c r="F4838" t="n">
        <v>1</v>
      </c>
      <c r="G4838" t="n">
        <v>8</v>
      </c>
      <c r="H4838" s="5">
        <f>HYPERLINK("https://api.qogita.com/variants/link/4019674060902/", "View Product")</f>
        <v/>
      </c>
    </row>
    <row r="4839">
      <c r="A4839" t="inlineStr">
        <is>
          <t>4019674195529</t>
        </is>
      </c>
      <c r="B4839" t="inlineStr">
        <is>
          <t>Artdeco Longlasting Lip Gloss Lip Brilliance 5 Ml</t>
        </is>
      </c>
      <c r="C4839" t="inlineStr">
        <is>
          <t>Lip Gloss</t>
        </is>
      </c>
      <c r="D4839" t="inlineStr">
        <is>
          <t>Artdeco</t>
        </is>
      </c>
      <c r="E4839" t="n">
        <v>7.85</v>
      </c>
      <c r="F4839" t="n">
        <v>1</v>
      </c>
      <c r="G4839" t="n">
        <v>5</v>
      </c>
      <c r="H4839" s="5">
        <f>HYPERLINK("https://api.qogita.com/variants/link/4019674195529/", "View Product")</f>
        <v/>
      </c>
    </row>
    <row r="4840">
      <c r="A4840" t="inlineStr">
        <is>
          <t>4019674221211</t>
        </is>
      </c>
      <c r="B4840" t="inlineStr">
        <is>
          <t>Artdeco Soft Eye Liner Waterproof - 1.2g</t>
        </is>
      </c>
      <c r="C4840" t="inlineStr">
        <is>
          <t>Eyeliner</t>
        </is>
      </c>
      <c r="D4840" t="inlineStr">
        <is>
          <t>Artdeco</t>
        </is>
      </c>
      <c r="E4840" t="n">
        <v>3.54</v>
      </c>
      <c r="F4840" t="n">
        <v>1</v>
      </c>
      <c r="G4840" t="n">
        <v>26</v>
      </c>
      <c r="H4840" s="5">
        <f>HYPERLINK("https://api.qogita.com/variants/link/4019674221211/", "View Product")</f>
        <v/>
      </c>
    </row>
    <row r="4841">
      <c r="A4841" t="inlineStr">
        <is>
          <t>4019674221235</t>
        </is>
      </c>
      <c r="B4841" t="inlineStr">
        <is>
          <t>Artdeco Soft Eye Liner Waterproof 23 Cobalt Blue 12 G</t>
        </is>
      </c>
      <c r="C4841" t="inlineStr">
        <is>
          <t>Eyeliner</t>
        </is>
      </c>
      <c r="D4841" t="inlineStr">
        <is>
          <t>Artdeco</t>
        </is>
      </c>
      <c r="E4841" t="n">
        <v>4.33</v>
      </c>
      <c r="F4841" t="n">
        <v>1</v>
      </c>
      <c r="G4841" t="n">
        <v>5</v>
      </c>
      <c r="H4841" s="5">
        <f>HYPERLINK("https://api.qogita.com/variants/link/4019674221235/", "View Product")</f>
        <v/>
      </c>
    </row>
    <row r="4842">
      <c r="A4842" t="inlineStr">
        <is>
          <t>4019674303160</t>
        </is>
      </c>
      <c r="B4842" t="inlineStr">
        <is>
          <t>Artdeco Glamour Eyeshadow 316 Glam Granite Grey 08 G</t>
        </is>
      </c>
      <c r="C4842" t="inlineStr">
        <is>
          <t>Eyeshadow</t>
        </is>
      </c>
      <c r="D4842" t="inlineStr">
        <is>
          <t>Artdeco</t>
        </is>
      </c>
      <c r="E4842" t="n">
        <v>4.46</v>
      </c>
      <c r="F4842" t="n">
        <v>1</v>
      </c>
      <c r="G4842" t="n">
        <v>3</v>
      </c>
      <c r="H4842" s="5">
        <f>HYPERLINK("https://api.qogita.com/variants/link/4019674303160/", "View Product")</f>
        <v/>
      </c>
    </row>
    <row r="4843">
      <c r="A4843" t="inlineStr">
        <is>
          <t>4019674305034</t>
        </is>
      </c>
      <c r="B4843" t="inlineStr">
        <is>
          <t>Artdeco Eyeshadow Matt Magnetic Shade For Eyelids No. 503 - 0.8g</t>
        </is>
      </c>
      <c r="C4843" t="inlineStr">
        <is>
          <t>Eyeshadow</t>
        </is>
      </c>
      <c r="D4843" t="inlineStr">
        <is>
          <t>Artdeco</t>
        </is>
      </c>
      <c r="E4843" t="n">
        <v>4.46</v>
      </c>
      <c r="F4843" t="n">
        <v>1</v>
      </c>
      <c r="G4843" t="n">
        <v>14</v>
      </c>
      <c r="H4843" s="5">
        <f>HYPERLINK("https://api.qogita.com/variants/link/4019674305034/", "View Product")</f>
        <v/>
      </c>
    </row>
    <row r="4844">
      <c r="A4844" t="inlineStr">
        <is>
          <t>4019674305140</t>
        </is>
      </c>
      <c r="B4844" t="inlineStr">
        <is>
          <t>ARTDECO Eyeshadow Color-Intense Long-Lasting Matte Eyeshadow 1g 514 Light Grey Beige</t>
        </is>
      </c>
      <c r="C4844" t="inlineStr">
        <is>
          <t>Eyeshadow</t>
        </is>
      </c>
      <c r="D4844" t="inlineStr">
        <is>
          <t>Artdeco</t>
        </is>
      </c>
      <c r="E4844" t="n">
        <v>4.43</v>
      </c>
      <c r="F4844" t="n">
        <v>1</v>
      </c>
      <c r="G4844" t="n">
        <v>11</v>
      </c>
      <c r="H4844" s="5">
        <f>HYPERLINK("https://api.qogita.com/variants/link/4019674305140/", "View Product")</f>
        <v/>
      </c>
    </row>
    <row r="4845">
      <c r="A4845" t="inlineStr">
        <is>
          <t>4019674305249</t>
        </is>
      </c>
      <c r="B4845" t="inlineStr">
        <is>
          <t>Artdeco Eyeshadow Matte Magnetic Shade For Eyelids No. 524 - 0.8g</t>
        </is>
      </c>
      <c r="C4845" t="inlineStr">
        <is>
          <t>Eyeshadow</t>
        </is>
      </c>
      <c r="D4845" t="inlineStr">
        <is>
          <t>Artdeco</t>
        </is>
      </c>
      <c r="E4845" t="n">
        <v>4.43</v>
      </c>
      <c r="F4845" t="n">
        <v>1</v>
      </c>
      <c r="G4845" t="n">
        <v>15</v>
      </c>
      <c r="H4845" s="5">
        <f>HYPERLINK("https://api.qogita.com/variants/link/4019674305249/", "View Product")</f>
        <v/>
      </c>
    </row>
    <row r="4846">
      <c r="A4846" t="inlineStr">
        <is>
          <t>4019674305577</t>
        </is>
      </c>
      <c r="B4846" t="inlineStr">
        <is>
          <t>Artdeco Eyeshadow Matt Magnetic Shade No. 557 - 0.8g</t>
        </is>
      </c>
      <c r="C4846" t="inlineStr">
        <is>
          <t>Eyeshadow</t>
        </is>
      </c>
      <c r="D4846" t="inlineStr">
        <is>
          <t>Artdeco</t>
        </is>
      </c>
      <c r="E4846" t="n">
        <v>4.43</v>
      </c>
      <c r="F4846" t="n">
        <v>1</v>
      </c>
      <c r="G4846" t="n">
        <v>18</v>
      </c>
      <c r="H4846" s="5">
        <f>HYPERLINK("https://api.qogita.com/variants/link/4019674305577/", "View Product")</f>
        <v/>
      </c>
    </row>
    <row r="4847">
      <c r="A4847" t="inlineStr">
        <is>
          <t>4019674405055</t>
        </is>
      </c>
      <c r="B4847" t="inlineStr">
        <is>
          <t>Artdeco Mineral Compact Powder Refill 05 - 9g</t>
        </is>
      </c>
      <c r="C4847" t="inlineStr">
        <is>
          <t>Powder</t>
        </is>
      </c>
      <c r="D4847" t="inlineStr">
        <is>
          <t>Artdeco</t>
        </is>
      </c>
      <c r="E4847" t="n">
        <v>8.19</v>
      </c>
      <c r="F4847" t="n">
        <v>1</v>
      </c>
      <c r="G4847" t="n">
        <v>5</v>
      </c>
      <c r="H4847" s="5">
        <f>HYPERLINK("https://api.qogita.com/variants/link/4019674405055/", "View Product")</f>
        <v/>
      </c>
    </row>
    <row r="4848">
      <c r="A4848" t="inlineStr">
        <is>
          <t>4019674610220</t>
        </is>
      </c>
      <c r="B4848" t="inlineStr">
        <is>
          <t>ARTDECO Mineral Nail File for Sealing Nails</t>
        </is>
      </c>
      <c r="C4848" t="inlineStr">
        <is>
          <t>Nail Clippers &amp; Tools</t>
        </is>
      </c>
      <c r="D4848" t="inlineStr">
        <is>
          <t>Artdeco</t>
        </is>
      </c>
      <c r="E4848" t="n">
        <v>8.08</v>
      </c>
      <c r="F4848" t="n">
        <v>1</v>
      </c>
      <c r="G4848" t="n">
        <v>14</v>
      </c>
      <c r="H4848" s="5">
        <f>HYPERLINK("https://api.qogita.com/variants/link/4019674610220/", "View Product")</f>
        <v/>
      </c>
    </row>
    <row r="4849">
      <c r="A4849" t="inlineStr">
        <is>
          <t>4019674672006</t>
        </is>
      </c>
      <c r="B4849" t="inlineStr">
        <is>
          <t>Artdeco Adhesive for Permanent Lashes Transparent Eyelash Glue Waterproof</t>
        </is>
      </c>
      <c r="C4849" t="inlineStr">
        <is>
          <t>False Eyelashes</t>
        </is>
      </c>
      <c r="D4849" t="inlineStr">
        <is>
          <t>Artdeco</t>
        </is>
      </c>
      <c r="E4849" t="n">
        <v>9.41</v>
      </c>
      <c r="F4849" t="n">
        <v>1</v>
      </c>
      <c r="G4849" t="n">
        <v>5</v>
      </c>
      <c r="H4849" s="5">
        <f>HYPERLINK("https://api.qogita.com/variants/link/4019674672006/", "View Product")</f>
        <v/>
      </c>
    </row>
    <row r="4850">
      <c r="A4850" t="inlineStr">
        <is>
          <t>4020829005136</t>
        </is>
      </c>
      <c r="B4850" t="inlineStr">
        <is>
          <t>Dr. Hauschka Cleansing Cream 50ml For All Skin Types</t>
        </is>
      </c>
      <c r="C4850" t="inlineStr">
        <is>
          <t>Cleansing Cream</t>
        </is>
      </c>
      <c r="D4850" t="inlineStr">
        <is>
          <t>Dr. Hauschka</t>
        </is>
      </c>
      <c r="E4850" t="n">
        <v>10</v>
      </c>
      <c r="F4850" t="n">
        <v>1</v>
      </c>
      <c r="G4850" t="n">
        <v>11</v>
      </c>
      <c r="H4850" s="5">
        <f>HYPERLINK("https://api.qogita.com/variants/link/4020829005136/", "View Product")</f>
        <v/>
      </c>
    </row>
    <row r="4851">
      <c r="A4851" t="inlineStr">
        <is>
          <t>4020829005259</t>
        </is>
      </c>
      <c r="B4851" t="inlineStr">
        <is>
          <t>Dr. Hauschka Clarifying Toner 100ml</t>
        </is>
      </c>
      <c r="C4851" t="inlineStr">
        <is>
          <t>Facial Spray</t>
        </is>
      </c>
      <c r="D4851" t="inlineStr">
        <is>
          <t>Dr. Hauschka</t>
        </is>
      </c>
      <c r="E4851" t="n">
        <v>17.9</v>
      </c>
      <c r="F4851" t="n">
        <v>1</v>
      </c>
      <c r="G4851" t="n">
        <v>5</v>
      </c>
      <c r="H4851" s="5">
        <f>HYPERLINK("https://api.qogita.com/variants/link/4020829005259/", "View Product")</f>
        <v/>
      </c>
    </row>
    <row r="4852">
      <c r="A4852" t="inlineStr">
        <is>
          <t>4020829006317</t>
        </is>
      </c>
      <c r="B4852" t="inlineStr">
        <is>
          <t>Dr. Hauschka Hydrating Foot Cream - 75ml</t>
        </is>
      </c>
      <c r="C4852" t="inlineStr">
        <is>
          <t>Foot Cream</t>
        </is>
      </c>
      <c r="D4852" t="inlineStr">
        <is>
          <t>Dr. Hauschka</t>
        </is>
      </c>
      <c r="E4852" t="n">
        <v>13.75</v>
      </c>
      <c r="F4852" t="n">
        <v>1</v>
      </c>
      <c r="G4852" t="n">
        <v>14</v>
      </c>
      <c r="H4852" s="5">
        <f>HYPERLINK("https://api.qogita.com/variants/link/4020829006317/", "View Product")</f>
        <v/>
      </c>
    </row>
    <row r="4853">
      <c r="A4853" t="inlineStr">
        <is>
          <t>4020829006386</t>
        </is>
      </c>
      <c r="B4853" t="inlineStr">
        <is>
          <t>Dr. Hauschka Daily Hydrating Eye Cream 12.5 ml</t>
        </is>
      </c>
      <c r="C4853" t="inlineStr">
        <is>
          <t>Eye Cream</t>
        </is>
      </c>
      <c r="D4853" t="inlineStr">
        <is>
          <t>Dr Hauschka</t>
        </is>
      </c>
      <c r="E4853" t="n">
        <v>24.5</v>
      </c>
      <c r="F4853" t="n">
        <v>1</v>
      </c>
      <c r="G4853" t="n">
        <v>4</v>
      </c>
      <c r="H4853" s="5">
        <f>HYPERLINK("https://api.qogita.com/variants/link/4020829006386/", "View Product")</f>
        <v/>
      </c>
    </row>
    <row r="4854">
      <c r="A4854" t="inlineStr">
        <is>
          <t>4020829007222</t>
        </is>
      </c>
      <c r="B4854" t="inlineStr">
        <is>
          <t>Dr. Hauschka Rejuvenating Mask 30ml</t>
        </is>
      </c>
      <c r="C4854" t="inlineStr">
        <is>
          <t>Anti-Aging Mask</t>
        </is>
      </c>
      <c r="D4854" t="inlineStr">
        <is>
          <t>Dr Hauschka</t>
        </is>
      </c>
      <c r="E4854" t="n">
        <v>25.8</v>
      </c>
      <c r="F4854" t="n">
        <v>1</v>
      </c>
      <c r="G4854" t="n">
        <v>6</v>
      </c>
      <c r="H4854" s="5">
        <f>HYPERLINK("https://api.qogita.com/variants/link/4020829007222/", "View Product")</f>
        <v/>
      </c>
    </row>
    <row r="4855">
      <c r="A4855" t="inlineStr">
        <is>
          <t>4020829007680</t>
        </is>
      </c>
      <c r="B4855" t="inlineStr">
        <is>
          <t>Dr Hauschka Lemon Lemongrass Vitalizing Body Oil 75 Ml</t>
        </is>
      </c>
      <c r="C4855" t="inlineStr">
        <is>
          <t>Body Oil</t>
        </is>
      </c>
      <c r="D4855" t="inlineStr">
        <is>
          <t>Dr Hauschka</t>
        </is>
      </c>
      <c r="E4855" t="n">
        <v>14.06</v>
      </c>
      <c r="F4855" t="n">
        <v>1</v>
      </c>
      <c r="G4855" t="n">
        <v>8</v>
      </c>
      <c r="H4855" s="5">
        <f>HYPERLINK("https://api.qogita.com/variants/link/4020829007680/", "View Product")</f>
        <v/>
      </c>
    </row>
    <row r="4856">
      <c r="A4856" t="inlineStr">
        <is>
          <t>4020829007727</t>
        </is>
      </c>
      <c r="B4856" t="inlineStr">
        <is>
          <t>Dr. Hauschka Birch Arnica Body Oil Unisex Activating Body Oil 75ml</t>
        </is>
      </c>
      <c r="C4856" t="inlineStr">
        <is>
          <t>Body Oil</t>
        </is>
      </c>
      <c r="D4856" t="inlineStr">
        <is>
          <t>Dr. Hauschka</t>
        </is>
      </c>
      <c r="E4856" t="n">
        <v>12.06</v>
      </c>
      <c r="F4856" t="n">
        <v>1</v>
      </c>
      <c r="G4856" t="n">
        <v>2</v>
      </c>
      <c r="H4856" s="5">
        <f>HYPERLINK("https://api.qogita.com/variants/link/4020829007727/", "View Product")</f>
        <v/>
      </c>
    </row>
    <row r="4857">
      <c r="A4857" t="inlineStr">
        <is>
          <t>4020829007802</t>
        </is>
      </c>
      <c r="B4857" t="inlineStr">
        <is>
          <t>Dr. Hauschka Calming Body Oil Moor &amp; Lavender 75ml</t>
        </is>
      </c>
      <c r="C4857" t="inlineStr">
        <is>
          <t>Body Oil</t>
        </is>
      </c>
      <c r="D4857" t="inlineStr">
        <is>
          <t>Dr. Hauschka</t>
        </is>
      </c>
      <c r="E4857" t="n">
        <v>13.62</v>
      </c>
      <c r="F4857" t="n">
        <v>1</v>
      </c>
      <c r="G4857" t="n">
        <v>10</v>
      </c>
      <c r="H4857" s="5">
        <f>HYPERLINK("https://api.qogita.com/variants/link/4020829007802/", "View Product")</f>
        <v/>
      </c>
    </row>
    <row r="4858">
      <c r="A4858" t="inlineStr">
        <is>
          <t>4020829008342</t>
        </is>
      </c>
      <c r="B4858" t="inlineStr">
        <is>
          <t>Dr. Hauschka Regenerating Neck and Décolleté Cream 40ml</t>
        </is>
      </c>
      <c r="C4858" t="inlineStr">
        <is>
          <t>Neck &amp; Decollete</t>
        </is>
      </c>
      <c r="D4858" t="inlineStr">
        <is>
          <t>Dr. Hauschka</t>
        </is>
      </c>
      <c r="E4858" t="n">
        <v>43.27</v>
      </c>
      <c r="F4858" t="n">
        <v>1</v>
      </c>
      <c r="G4858" t="n">
        <v>9</v>
      </c>
      <c r="H4858" s="5">
        <f>HYPERLINK("https://api.qogita.com/variants/link/4020829008342/", "View Product")</f>
        <v/>
      </c>
    </row>
    <row r="4859">
      <c r="A4859" t="inlineStr">
        <is>
          <t>4020829009011</t>
        </is>
      </c>
      <c r="B4859" t="inlineStr">
        <is>
          <t>Dr. Hauschka Body Care</t>
        </is>
      </c>
      <c r="C4859" t="inlineStr">
        <is>
          <t>Body Care Sets</t>
        </is>
      </c>
      <c r="D4859" t="inlineStr">
        <is>
          <t>Dr Hauschka</t>
        </is>
      </c>
      <c r="E4859" t="n">
        <v>13.87</v>
      </c>
      <c r="F4859" t="n">
        <v>1</v>
      </c>
      <c r="G4859" t="n">
        <v>4</v>
      </c>
      <c r="H4859" s="5">
        <f>HYPERLINK("https://api.qogita.com/variants/link/4020829009011/", "View Product")</f>
        <v/>
      </c>
    </row>
    <row r="4860">
      <c r="A4860" t="inlineStr">
        <is>
          <t>4020829009059</t>
        </is>
      </c>
      <c r="B4860" t="inlineStr">
        <is>
          <t>Lavender Sandalwood Calming Body Cream 145ml</t>
        </is>
      </c>
      <c r="C4860" t="inlineStr">
        <is>
          <t>Body Lotion</t>
        </is>
      </c>
      <c r="D4860" t="inlineStr">
        <is>
          <t>Dr Hauschka</t>
        </is>
      </c>
      <c r="E4860" t="n">
        <v>16.34</v>
      </c>
      <c r="F4860" t="n">
        <v>1</v>
      </c>
      <c r="G4860" t="n">
        <v>5</v>
      </c>
      <c r="H4860" s="5">
        <f>HYPERLINK("https://api.qogita.com/variants/link/4020829009059/", "View Product")</f>
        <v/>
      </c>
    </row>
    <row r="4861">
      <c r="A4861" t="inlineStr">
        <is>
          <t>4020829049666</t>
        </is>
      </c>
      <c r="B4861" t="inlineStr">
        <is>
          <t>Dr. Hauschka Regenerating Hand Cream  50ml</t>
        </is>
      </c>
      <c r="C4861" t="inlineStr">
        <is>
          <t>Hand Cream</t>
        </is>
      </c>
      <c r="D4861" t="inlineStr">
        <is>
          <t>Dr Hauschka</t>
        </is>
      </c>
      <c r="E4861" t="n">
        <v>15.7</v>
      </c>
      <c r="F4861" t="n">
        <v>1</v>
      </c>
      <c r="G4861" t="n">
        <v>10</v>
      </c>
      <c r="H4861" s="5">
        <f>HYPERLINK("https://api.qogita.com/variants/link/4020829049666/", "View Product")</f>
        <v/>
      </c>
    </row>
    <row r="4862">
      <c r="A4862" t="inlineStr">
        <is>
          <t>4020829077461</t>
        </is>
      </c>
      <c r="B4862" t="inlineStr">
        <is>
          <t>Dr Hauschka Conditioner For Shine And Softness</t>
        </is>
      </c>
      <c r="C4862" t="inlineStr">
        <is>
          <t>Conditioner</t>
        </is>
      </c>
      <c r="D4862" t="inlineStr">
        <is>
          <t>Dr Hauschka</t>
        </is>
      </c>
      <c r="E4862" t="n">
        <v>15.86</v>
      </c>
      <c r="F4862" t="n">
        <v>1</v>
      </c>
      <c r="G4862" t="n">
        <v>7</v>
      </c>
      <c r="H4862" s="5">
        <f>HYPERLINK("https://api.qogita.com/variants/link/4020829077461/", "View Product")</f>
        <v/>
      </c>
    </row>
    <row r="4863">
      <c r="A4863" t="inlineStr">
        <is>
          <t>4020829085817</t>
        </is>
      </c>
      <c r="B4863" t="inlineStr">
        <is>
          <t>Wala Italia Dr Hauschka Pumpkin Seed Scalp Mask 25ml</t>
        </is>
      </c>
      <c r="C4863" t="inlineStr">
        <is>
          <t>Scalp Care</t>
        </is>
      </c>
      <c r="D4863" t="inlineStr">
        <is>
          <t>Dr Hauschka</t>
        </is>
      </c>
      <c r="E4863" t="n">
        <v>17.43</v>
      </c>
      <c r="F4863" t="n">
        <v>1</v>
      </c>
      <c r="G4863" t="n">
        <v>3</v>
      </c>
      <c r="H4863" s="5">
        <f>HYPERLINK("https://api.qogita.com/variants/link/4020829085817/", "View Product")</f>
        <v/>
      </c>
    </row>
    <row r="4864">
      <c r="A4864" t="inlineStr">
        <is>
          <t>4020829095021</t>
        </is>
      </c>
      <c r="B4864" t="inlineStr">
        <is>
          <t>Dr. Hauschka Coverstick Sand</t>
        </is>
      </c>
      <c r="C4864" t="inlineStr">
        <is>
          <t>Concealer</t>
        </is>
      </c>
      <c r="D4864" t="inlineStr">
        <is>
          <t>Dr. Hauschka</t>
        </is>
      </c>
      <c r="E4864" t="n">
        <v>12.23</v>
      </c>
      <c r="F4864" t="n">
        <v>1</v>
      </c>
      <c r="G4864" t="n">
        <v>19</v>
      </c>
      <c r="H4864" s="5">
        <f>HYPERLINK("https://api.qogita.com/variants/link/4020829095021/", "View Product")</f>
        <v/>
      </c>
    </row>
    <row r="4865">
      <c r="A4865" t="inlineStr">
        <is>
          <t>4020829098374</t>
        </is>
      </c>
      <c r="B4865" t="inlineStr">
        <is>
          <t>Dr. Hauschka Makeup Base 30ml Macadamia</t>
        </is>
      </c>
      <c r="C4865" t="inlineStr">
        <is>
          <t>Foundation</t>
        </is>
      </c>
      <c r="D4865" t="inlineStr">
        <is>
          <t>Dr. Hauschka</t>
        </is>
      </c>
      <c r="E4865" t="n">
        <v>22.02</v>
      </c>
      <c r="F4865" t="n">
        <v>1</v>
      </c>
      <c r="G4865" t="n">
        <v>2</v>
      </c>
      <c r="H4865" s="5">
        <f>HYPERLINK("https://api.qogita.com/variants/link/4020829098374/", "View Product")</f>
        <v/>
      </c>
    </row>
    <row r="4866">
      <c r="A4866" t="inlineStr">
        <is>
          <t>4020829098732</t>
        </is>
      </c>
      <c r="B4866" t="inlineStr">
        <is>
          <t>Dr. Hauschka Eye &amp; Brow Palette - 5.3g</t>
        </is>
      </c>
      <c r="C4866" t="inlineStr">
        <is>
          <t>Eyebrow Sets &amp; Pallets</t>
        </is>
      </c>
      <c r="D4866" t="inlineStr">
        <is>
          <t>Dr. Hauschka</t>
        </is>
      </c>
      <c r="E4866" t="n">
        <v>27</v>
      </c>
      <c r="F4866" t="n">
        <v>1</v>
      </c>
      <c r="G4866" t="n">
        <v>15</v>
      </c>
      <c r="H4866" s="5">
        <f>HYPERLINK("https://api.qogita.com/variants/link/4020829098732/", "View Product")</f>
        <v/>
      </c>
    </row>
    <row r="4867">
      <c r="A4867" t="inlineStr">
        <is>
          <t>4020829098848</t>
        </is>
      </c>
      <c r="B4867" t="inlineStr">
        <is>
          <t>Dr Hauschka Highlighter Illuminating 01 5 G</t>
        </is>
      </c>
      <c r="C4867" t="inlineStr">
        <is>
          <t>Highlighter</t>
        </is>
      </c>
      <c r="D4867" t="inlineStr">
        <is>
          <t>Dr Hauschka</t>
        </is>
      </c>
      <c r="E4867" t="n">
        <v>16.91</v>
      </c>
      <c r="F4867" t="n">
        <v>1</v>
      </c>
      <c r="G4867" t="n">
        <v>2</v>
      </c>
      <c r="H4867" s="5">
        <f>HYPERLINK("https://api.qogita.com/variants/link/4020829098848/", "View Product")</f>
        <v/>
      </c>
    </row>
    <row r="4868">
      <c r="A4868" t="inlineStr">
        <is>
          <t>4020829099111</t>
        </is>
      </c>
      <c r="B4868" t="inlineStr">
        <is>
          <t>Dr. Hauschka Loose Powder No. 00 Translucent 12g</t>
        </is>
      </c>
      <c r="C4868" t="inlineStr">
        <is>
          <t>Powder</t>
        </is>
      </c>
      <c r="D4868" t="inlineStr">
        <is>
          <t>Dr. Hauschka</t>
        </is>
      </c>
      <c r="E4868" t="n">
        <v>23.35</v>
      </c>
      <c r="F4868" t="n">
        <v>1</v>
      </c>
      <c r="G4868" t="n">
        <v>12</v>
      </c>
      <c r="H4868" s="5">
        <f>HYPERLINK("https://api.qogita.com/variants/link/4020829099111/", "View Product")</f>
        <v/>
      </c>
    </row>
    <row r="4869">
      <c r="A4869" t="inlineStr">
        <is>
          <t>4020829099197</t>
        </is>
      </c>
      <c r="B4869" t="inlineStr">
        <is>
          <t>Dr. Hauschka Bronzing Powder 01 Bronze</t>
        </is>
      </c>
      <c r="C4869" t="inlineStr">
        <is>
          <t>Bronzer</t>
        </is>
      </c>
      <c r="D4869" t="inlineStr">
        <is>
          <t>Dr. Hauschka</t>
        </is>
      </c>
      <c r="E4869" t="n">
        <v>22.58</v>
      </c>
      <c r="F4869" t="n">
        <v>1</v>
      </c>
      <c r="G4869" t="n">
        <v>7</v>
      </c>
      <c r="H4869" s="5">
        <f>HYPERLINK("https://api.qogita.com/variants/link/4020829099197/", "View Product")</f>
        <v/>
      </c>
    </row>
    <row r="4870">
      <c r="A4870" t="inlineStr">
        <is>
          <t>4020829103542</t>
        </is>
      </c>
      <c r="B4870" t="inlineStr">
        <is>
          <t>Dr. Hauschka Sensitive Toothpaste with Salt Water 75ml</t>
        </is>
      </c>
      <c r="C4870" t="inlineStr">
        <is>
          <t>Toothpaste</t>
        </is>
      </c>
      <c r="D4870" t="inlineStr">
        <is>
          <t>Dr. Hauschka</t>
        </is>
      </c>
      <c r="E4870" t="n">
        <v>5.94</v>
      </c>
      <c r="F4870" t="n">
        <v>1</v>
      </c>
      <c r="G4870" t="n">
        <v>13</v>
      </c>
      <c r="H4870" s="5">
        <f>HYPERLINK("https://api.qogita.com/variants/link/4020829103542/", "View Product")</f>
        <v/>
      </c>
    </row>
    <row r="4871">
      <c r="A4871" t="inlineStr">
        <is>
          <t>4021457637638</t>
        </is>
      </c>
      <c r="B4871" t="inlineStr">
        <is>
          <t>LAVERA Express Body Lotion 250ml</t>
        </is>
      </c>
      <c r="C4871" t="inlineStr">
        <is>
          <t>Body Lotion</t>
        </is>
      </c>
      <c r="D4871" t="inlineStr">
        <is>
          <t>Lavera</t>
        </is>
      </c>
      <c r="E4871" t="n">
        <v>9.81</v>
      </c>
      <c r="F4871" t="n">
        <v>1</v>
      </c>
      <c r="G4871" t="n">
        <v>5</v>
      </c>
      <c r="H4871" s="5">
        <f>HYPERLINK("https://api.qogita.com/variants/link/4021457637638/", "View Product")</f>
        <v/>
      </c>
    </row>
    <row r="4872">
      <c r="A4872" t="inlineStr">
        <is>
          <t>4021457637676</t>
        </is>
      </c>
      <c r="B4872" t="inlineStr">
        <is>
          <t>Lavera Firming Body Lotion With Coenzyme Q10 Basis Sensitiv 250 Ml</t>
        </is>
      </c>
      <c r="C4872" t="inlineStr">
        <is>
          <t>Body Lotion</t>
        </is>
      </c>
      <c r="D4872" t="inlineStr">
        <is>
          <t>Lavera</t>
        </is>
      </c>
      <c r="E4872" t="n">
        <v>12.68</v>
      </c>
      <c r="F4872" t="n">
        <v>1</v>
      </c>
      <c r="G4872" t="n">
        <v>7</v>
      </c>
      <c r="H4872" s="5">
        <f>HYPERLINK("https://api.qogita.com/variants/link/4021457637676/", "View Product")</f>
        <v/>
      </c>
    </row>
    <row r="4873">
      <c r="A4873" t="inlineStr">
        <is>
          <t>4021457645442</t>
        </is>
      </c>
      <c r="B4873" t="inlineStr">
        <is>
          <t>lavera Soft Eyeliner Grey 03 Natural Cosmetics Comfortable Application 1.14g</t>
        </is>
      </c>
      <c r="C4873" t="inlineStr">
        <is>
          <t>Eyeliner</t>
        </is>
      </c>
      <c r="D4873" t="inlineStr">
        <is>
          <t>Lavera</t>
        </is>
      </c>
      <c r="E4873" t="n">
        <v>6.45</v>
      </c>
      <c r="F4873" t="n">
        <v>1</v>
      </c>
      <c r="G4873" t="n">
        <v>2</v>
      </c>
      <c r="H4873" s="5">
        <f>HYPERLINK("https://api.qogita.com/variants/link/4021457645442/", "View Product")</f>
        <v/>
      </c>
    </row>
    <row r="4874">
      <c r="A4874" t="inlineStr">
        <is>
          <t>4021457645497</t>
        </is>
      </c>
      <c r="B4874" t="inlineStr">
        <is>
          <t>Lavera Eyebrow Pencil 02 Blonde 114 Grams</t>
        </is>
      </c>
      <c r="C4874" t="inlineStr">
        <is>
          <t>Eyebrow Pencil</t>
        </is>
      </c>
      <c r="D4874" t="inlineStr">
        <is>
          <t>Lavera</t>
        </is>
      </c>
      <c r="E4874" t="n">
        <v>6.16</v>
      </c>
      <c r="F4874" t="n">
        <v>1</v>
      </c>
      <c r="G4874" t="n">
        <v>13</v>
      </c>
      <c r="H4874" s="5">
        <f>HYPERLINK("https://api.qogita.com/variants/link/4021457645497/", "View Product")</f>
        <v/>
      </c>
    </row>
    <row r="4875">
      <c r="A4875" t="inlineStr">
        <is>
          <t>4021457651665</t>
        </is>
      </c>
      <c r="B4875" t="inlineStr">
        <is>
          <t>Lavera Lash To Impress Mascara 14 Ml Black Volume Mascara</t>
        </is>
      </c>
      <c r="C4875" t="inlineStr">
        <is>
          <t>Mascara</t>
        </is>
      </c>
      <c r="D4875" t="inlineStr">
        <is>
          <t>Lavera</t>
        </is>
      </c>
      <c r="E4875" t="n">
        <v>12.96</v>
      </c>
      <c r="F4875" t="n">
        <v>1</v>
      </c>
      <c r="G4875" t="n">
        <v>9</v>
      </c>
      <c r="H4875" s="5">
        <f>HYPERLINK("https://api.qogita.com/variants/link/4021457651665/", "View Product")</f>
        <v/>
      </c>
    </row>
    <row r="4876">
      <c r="A4876" t="inlineStr">
        <is>
          <t>4021609000426</t>
        </is>
      </c>
      <c r="B4876" t="inlineStr">
        <is>
          <t>Goldwell Topchic TB Permanent Hair Colour 9Gb Sahara Blonde Extra Light Beige 60ml</t>
        </is>
      </c>
      <c r="C4876" t="inlineStr">
        <is>
          <t>Hair Dye</t>
        </is>
      </c>
      <c r="D4876" t="inlineStr">
        <is>
          <t>Goldwell</t>
        </is>
      </c>
      <c r="E4876" t="n">
        <v>6.58</v>
      </c>
      <c r="F4876" t="n">
        <v>1</v>
      </c>
      <c r="G4876" t="n">
        <v>3</v>
      </c>
      <c r="H4876" s="5">
        <f>HYPERLINK("https://api.qogita.com/variants/link/4021609000426/", "View Product")</f>
        <v/>
      </c>
    </row>
    <row r="4877">
      <c r="A4877" t="inlineStr">
        <is>
          <t>4021609000532</t>
        </is>
      </c>
      <c r="B4877" t="inlineStr">
        <is>
          <t>Goldwell Topchic Hair Colour 60ml Chestnut</t>
        </is>
      </c>
      <c r="C4877" t="inlineStr">
        <is>
          <t>Hair Dye</t>
        </is>
      </c>
      <c r="D4877" t="inlineStr">
        <is>
          <t>Goldwell</t>
        </is>
      </c>
      <c r="E4877" t="n">
        <v>6.93</v>
      </c>
      <c r="F4877" t="n">
        <v>1</v>
      </c>
      <c r="G4877" t="n">
        <v>2</v>
      </c>
      <c r="H4877" s="5">
        <f>HYPERLINK("https://api.qogita.com/variants/link/4021609000532/", "View Product")</f>
        <v/>
      </c>
    </row>
    <row r="4878">
      <c r="A4878" t="inlineStr">
        <is>
          <t>4021609000778</t>
        </is>
      </c>
      <c r="B4878" t="inlineStr">
        <is>
          <t>Goldwell Topchic Haircolor 6SB 60ml</t>
        </is>
      </c>
      <c r="C4878" t="inlineStr">
        <is>
          <t>Hair Dye</t>
        </is>
      </c>
      <c r="D4878" t="inlineStr">
        <is>
          <t>Goldwell</t>
        </is>
      </c>
      <c r="E4878" t="n">
        <v>6.7</v>
      </c>
      <c r="F4878" t="n">
        <v>1</v>
      </c>
      <c r="G4878" t="n">
        <v>3</v>
      </c>
      <c r="H4878" s="5">
        <f>HYPERLINK("https://api.qogita.com/variants/link/4021609000778/", "View Product")</f>
        <v/>
      </c>
    </row>
    <row r="4879">
      <c r="A4879" t="inlineStr">
        <is>
          <t>4021609000983</t>
        </is>
      </c>
      <c r="B4879" t="inlineStr">
        <is>
          <t>Goldwell Topchic Hair Color 60 Ml 3vv</t>
        </is>
      </c>
      <c r="C4879" t="inlineStr">
        <is>
          <t>Hair Dye</t>
        </is>
      </c>
      <c r="D4879" t="inlineStr">
        <is>
          <t>Goldwell</t>
        </is>
      </c>
      <c r="E4879" t="n">
        <v>5.56</v>
      </c>
      <c r="F4879" t="n">
        <v>1</v>
      </c>
      <c r="G4879" t="n">
        <v>3</v>
      </c>
      <c r="H4879" s="5">
        <f>HYPERLINK("https://api.qogita.com/variants/link/4021609000983/", "View Product")</f>
        <v/>
      </c>
    </row>
    <row r="4880">
      <c r="A4880" t="inlineStr">
        <is>
          <t>4021609001232</t>
        </is>
      </c>
      <c r="B4880" t="inlineStr">
        <is>
          <t>Goldwell Topchic Ash Hair Colour 7MB 60ml</t>
        </is>
      </c>
      <c r="C4880" t="inlineStr">
        <is>
          <t>Hair Dye</t>
        </is>
      </c>
      <c r="D4880" t="inlineStr">
        <is>
          <t>Goldwell</t>
        </is>
      </c>
      <c r="E4880" t="n">
        <v>6.78</v>
      </c>
      <c r="F4880" t="n">
        <v>1</v>
      </c>
      <c r="G4880" t="n">
        <v>3</v>
      </c>
      <c r="H4880" s="5">
        <f>HYPERLINK("https://api.qogita.com/variants/link/4021609001232/", "View Product")</f>
        <v/>
      </c>
    </row>
    <row r="4881">
      <c r="A4881" t="inlineStr">
        <is>
          <t>4021609015321</t>
        </is>
      </c>
      <c r="B4881" t="inlineStr">
        <is>
          <t>Goldwell Silklift Control Light Dimensions Hair Lightener 500 G</t>
        </is>
      </c>
      <c r="C4881" t="inlineStr">
        <is>
          <t>Bleaching</t>
        </is>
      </c>
      <c r="D4881" t="inlineStr">
        <is>
          <t>Goldwell</t>
        </is>
      </c>
      <c r="E4881" t="n">
        <v>36.63</v>
      </c>
      <c r="F4881" t="n">
        <v>1</v>
      </c>
      <c r="G4881" t="n">
        <v>10</v>
      </c>
      <c r="H4881" s="5">
        <f>HYPERLINK("https://api.qogita.com/variants/link/4021609015321/", "View Product")</f>
        <v/>
      </c>
    </row>
    <row r="4882">
      <c r="A4882" t="inlineStr">
        <is>
          <t>4021609015352</t>
        </is>
      </c>
      <c r="B4882" t="inlineStr">
        <is>
          <t>Goldwell Silklift Conditioning Cream Developer 6% 20 volumes 750ml</t>
        </is>
      </c>
      <c r="C4882" t="inlineStr">
        <is>
          <t>Bleaching</t>
        </is>
      </c>
      <c r="D4882" t="inlineStr">
        <is>
          <t>Goldwell</t>
        </is>
      </c>
      <c r="E4882" t="n">
        <v>8.890000000000001</v>
      </c>
      <c r="F4882" t="n">
        <v>1</v>
      </c>
      <c r="G4882" t="n">
        <v>7</v>
      </c>
      <c r="H4882" s="5">
        <f>HYPERLINK("https://api.qogita.com/variants/link/4021609015352/", "View Product")</f>
        <v/>
      </c>
    </row>
    <row r="4883">
      <c r="A4883" t="inlineStr">
        <is>
          <t>4021609028420</t>
        </is>
      </c>
      <c r="B4883" t="inlineStr">
        <is>
          <t>Goldwell Dualsenses Color Extra Rich Shampoo 250ml Professional Hair Care</t>
        </is>
      </c>
      <c r="C4883" t="inlineStr">
        <is>
          <t>Shampoo</t>
        </is>
      </c>
      <c r="D4883" t="inlineStr">
        <is>
          <t>Goldwell</t>
        </is>
      </c>
      <c r="E4883" t="n">
        <v>7.06</v>
      </c>
      <c r="F4883" t="n">
        <v>1</v>
      </c>
      <c r="G4883" t="n">
        <v>8</v>
      </c>
      <c r="H4883" s="5">
        <f>HYPERLINK("https://api.qogita.com/variants/link/4021609028420/", "View Product")</f>
        <v/>
      </c>
    </row>
    <row r="4884">
      <c r="A4884" t="inlineStr">
        <is>
          <t>4021609028499</t>
        </is>
      </c>
      <c r="B4884" t="inlineStr">
        <is>
          <t>Goldwell Dualsenses Rich Repair Cream Shampoo For Dry And Stressed Hair 250ml</t>
        </is>
      </c>
      <c r="C4884" t="inlineStr">
        <is>
          <t>Shampoo</t>
        </is>
      </c>
      <c r="D4884" t="inlineStr">
        <is>
          <t>Goldwell</t>
        </is>
      </c>
      <c r="E4884" t="n">
        <v>6.92</v>
      </c>
      <c r="F4884" t="n">
        <v>1</v>
      </c>
      <c r="G4884" t="n">
        <v>19</v>
      </c>
      <c r="H4884" s="5">
        <f>HYPERLINK("https://api.qogita.com/variants/link/4021609028499/", "View Product")</f>
        <v/>
      </c>
    </row>
    <row r="4885">
      <c r="A4885" t="inlineStr">
        <is>
          <t>4021609028505</t>
        </is>
      </c>
      <c r="B4885" t="inlineStr">
        <is>
          <t>Goldwell Dualsenses Rich Repair Cream Shampoo For Dry And Stressed Hair 1000ml</t>
        </is>
      </c>
      <c r="C4885" t="inlineStr">
        <is>
          <t>Shampoo</t>
        </is>
      </c>
      <c r="D4885" t="inlineStr">
        <is>
          <t>Goldwell</t>
        </is>
      </c>
      <c r="E4885" t="n">
        <v>15.1</v>
      </c>
      <c r="F4885" t="n">
        <v>1</v>
      </c>
      <c r="G4885" t="n">
        <v>9</v>
      </c>
      <c r="H4885" s="5">
        <f>HYPERLINK("https://api.qogita.com/variants/link/4021609028505/", "View Product")</f>
        <v/>
      </c>
    </row>
    <row r="4886">
      <c r="A4886" t="inlineStr">
        <is>
          <t>4021609028710</t>
        </is>
      </c>
      <c r="B4886" t="inlineStr">
        <is>
          <t>Goldwell Dualsenses Silver Shampoo 250 Ml For Blonde And Gray Hair</t>
        </is>
      </c>
      <c r="C4886" t="inlineStr">
        <is>
          <t>Shampoo</t>
        </is>
      </c>
      <c r="D4886" t="inlineStr">
        <is>
          <t>Goldwell</t>
        </is>
      </c>
      <c r="E4886" t="n">
        <v>6.64</v>
      </c>
      <c r="F4886" t="n">
        <v>1</v>
      </c>
      <c r="G4886" t="n">
        <v>9</v>
      </c>
      <c r="H4886" s="5">
        <f>HYPERLINK("https://api.qogita.com/variants/link/4021609028710/", "View Product")</f>
        <v/>
      </c>
    </row>
    <row r="4887">
      <c r="A4887" t="inlineStr">
        <is>
          <t>4021609028796</t>
        </is>
      </c>
      <c r="B4887" t="inlineStr">
        <is>
          <t>Goldwell Dualsenses Curls &amp; Waves Shampoo 1000ml Moisturizing Shampoo For Curly Hair</t>
        </is>
      </c>
      <c r="C4887" t="inlineStr">
        <is>
          <t>Shampoo</t>
        </is>
      </c>
      <c r="D4887" t="inlineStr">
        <is>
          <t>Goldwell</t>
        </is>
      </c>
      <c r="E4887" t="n">
        <v>15.75</v>
      </c>
      <c r="F4887" t="n">
        <v>1</v>
      </c>
      <c r="G4887" t="n">
        <v>19</v>
      </c>
      <c r="H4887" s="5">
        <f>HYPERLINK("https://api.qogita.com/variants/link/4021609028796/", "View Product")</f>
        <v/>
      </c>
    </row>
    <row r="4888">
      <c r="A4888" t="inlineStr">
        <is>
          <t>4021609028895</t>
        </is>
      </c>
      <c r="B4888" t="inlineStr">
        <is>
          <t>Goldwell Dualsenses Just Smooth Shampoo 250ml</t>
        </is>
      </c>
      <c r="C4888" t="inlineStr">
        <is>
          <t>Shampoo</t>
        </is>
      </c>
      <c r="D4888" t="inlineStr">
        <is>
          <t>Goldwell</t>
        </is>
      </c>
      <c r="E4888" t="n">
        <v>6.92</v>
      </c>
      <c r="F4888" t="n">
        <v>1</v>
      </c>
      <c r="G4888" t="n">
        <v>12</v>
      </c>
      <c r="H4888" s="5">
        <f>HYPERLINK("https://api.qogita.com/variants/link/4021609028895/", "View Product")</f>
        <v/>
      </c>
    </row>
    <row r="4889">
      <c r="A4889" t="inlineStr">
        <is>
          <t>4021609028970</t>
        </is>
      </c>
      <c r="B4889" t="inlineStr">
        <is>
          <t>Goldwell Dualsenses Sun Reflects Aftersun Shampoo 250ml</t>
        </is>
      </c>
      <c r="C4889" t="inlineStr">
        <is>
          <t>Shampoo</t>
        </is>
      </c>
      <c r="D4889" t="inlineStr">
        <is>
          <t>Goldwell</t>
        </is>
      </c>
      <c r="E4889" t="n">
        <v>7.54</v>
      </c>
      <c r="F4889" t="n">
        <v>1</v>
      </c>
      <c r="G4889" t="n">
        <v>11</v>
      </c>
      <c r="H4889" s="5">
        <f>HYPERLINK("https://api.qogita.com/variants/link/4021609028970/", "View Product")</f>
        <v/>
      </c>
    </row>
    <row r="4890">
      <c r="A4890" t="inlineStr">
        <is>
          <t>4021609061007</t>
        </is>
      </c>
      <c r="B4890" t="inlineStr">
        <is>
          <t>Goldwell Dualsenses Color Detangling Conditioner 200ml</t>
        </is>
      </c>
      <c r="C4890" t="inlineStr">
        <is>
          <t>Conditioner</t>
        </is>
      </c>
      <c r="D4890" t="inlineStr">
        <is>
          <t>Goldwell</t>
        </is>
      </c>
      <c r="E4890" t="n">
        <v>7.94</v>
      </c>
      <c r="F4890" t="n">
        <v>1</v>
      </c>
      <c r="G4890" t="n">
        <v>10</v>
      </c>
      <c r="H4890" s="5">
        <f>HYPERLINK("https://api.qogita.com/variants/link/4021609061007/", "View Product")</f>
        <v/>
      </c>
    </row>
    <row r="4891">
      <c r="A4891" t="inlineStr">
        <is>
          <t>4021609061038</t>
        </is>
      </c>
      <c r="B4891" t="inlineStr">
        <is>
          <t>Goldwell Dualsenses Color Brilliance Serum Spray 150 Ml</t>
        </is>
      </c>
      <c r="C4891" t="inlineStr">
        <is>
          <t>Hair Oil &amp; Hair Serum</t>
        </is>
      </c>
      <c r="D4891" t="inlineStr">
        <is>
          <t>Goldwell</t>
        </is>
      </c>
      <c r="E4891" t="n">
        <v>8.609999999999999</v>
      </c>
      <c r="F4891" t="n">
        <v>1</v>
      </c>
      <c r="G4891" t="n">
        <v>17</v>
      </c>
      <c r="H4891" s="5">
        <f>HYPERLINK("https://api.qogita.com/variants/link/4021609061038/", "View Product")</f>
        <v/>
      </c>
    </row>
    <row r="4892">
      <c r="A4892" t="inlineStr">
        <is>
          <t>4021609061052</t>
        </is>
      </c>
      <c r="B4892" t="inlineStr">
        <is>
          <t>Goldwell Dualsenses Color Treatment 500ml Nutrifying Mask For Colored Hair</t>
        </is>
      </c>
      <c r="C4892" t="inlineStr">
        <is>
          <t>Hair Masks</t>
        </is>
      </c>
      <c r="D4892" t="inlineStr">
        <is>
          <t>Goldwell</t>
        </is>
      </c>
      <c r="E4892" t="n">
        <v>17.73</v>
      </c>
      <c r="F4892" t="n">
        <v>1</v>
      </c>
      <c r="G4892" t="n">
        <v>5</v>
      </c>
      <c r="H4892" s="5">
        <f>HYPERLINK("https://api.qogita.com/variants/link/4021609061052/", "View Product")</f>
        <v/>
      </c>
    </row>
    <row r="4893">
      <c r="A4893" t="inlineStr">
        <is>
          <t>4021609061113</t>
        </is>
      </c>
      <c r="B4893" t="inlineStr">
        <is>
          <t>Goldwell Dualsenses Color Extra Rich Brilliance Conditioner - 200ml</t>
        </is>
      </c>
      <c r="C4893" t="inlineStr">
        <is>
          <t>Conditioner</t>
        </is>
      </c>
      <c r="D4893" t="inlineStr">
        <is>
          <t>Goldwell</t>
        </is>
      </c>
      <c r="E4893" t="n">
        <v>8.220000000000001</v>
      </c>
      <c r="F4893" t="n">
        <v>1</v>
      </c>
      <c r="G4893" t="n">
        <v>25</v>
      </c>
      <c r="H4893" s="5">
        <f>HYPERLINK("https://api.qogita.com/variants/link/4021609061113/", "View Product")</f>
        <v/>
      </c>
    </row>
    <row r="4894">
      <c r="A4894" t="inlineStr">
        <is>
          <t>4021609061205</t>
        </is>
      </c>
      <c r="B4894" t="inlineStr">
        <is>
          <t>Goldwell Dualsenses Blondes &amp; Highlights Brilliance Serum Spray - 150ml</t>
        </is>
      </c>
      <c r="C4894" t="inlineStr">
        <is>
          <t>Hair Oil &amp; Hair Serum</t>
        </is>
      </c>
      <c r="D4894" t="inlineStr">
        <is>
          <t>Goldwell</t>
        </is>
      </c>
      <c r="E4894" t="n">
        <v>9.06</v>
      </c>
      <c r="F4894" t="n">
        <v>1</v>
      </c>
      <c r="G4894" t="n">
        <v>15</v>
      </c>
      <c r="H4894" s="5">
        <f>HYPERLINK("https://api.qogita.com/variants/link/4021609061205/", "View Product")</f>
        <v/>
      </c>
    </row>
    <row r="4895">
      <c r="A4895" t="inlineStr">
        <is>
          <t>4021609061229</t>
        </is>
      </c>
      <c r="B4895" t="inlineStr">
        <is>
          <t>Goldwell Dualsenses Blondes &amp; Highlights Antibrassiness Conditioner 1000ml</t>
        </is>
      </c>
      <c r="C4895" t="inlineStr">
        <is>
          <t>Conditioner</t>
        </is>
      </c>
      <c r="D4895" t="inlineStr">
        <is>
          <t>Goldwell</t>
        </is>
      </c>
      <c r="E4895" t="n">
        <v>18.14</v>
      </c>
      <c r="F4895" t="n">
        <v>1</v>
      </c>
      <c r="G4895" t="n">
        <v>80</v>
      </c>
      <c r="H4895" s="5">
        <f>HYPERLINK("https://api.qogita.com/variants/link/4021609061229/", "View Product")</f>
        <v/>
      </c>
    </row>
    <row r="4896">
      <c r="A4896" t="inlineStr">
        <is>
          <t>4021609061328</t>
        </is>
      </c>
      <c r="B4896" t="inlineStr">
        <is>
          <t>Goldwell Dualsenses Just Smooth Conditioner 1000ml Smoothing Conditioner</t>
        </is>
      </c>
      <c r="C4896" t="inlineStr">
        <is>
          <t>Conditioner</t>
        </is>
      </c>
      <c r="D4896" t="inlineStr">
        <is>
          <t>Goldwell</t>
        </is>
      </c>
      <c r="E4896" t="n">
        <v>17.1</v>
      </c>
      <c r="F4896" t="n">
        <v>1</v>
      </c>
      <c r="G4896" t="n">
        <v>22</v>
      </c>
      <c r="H4896" s="5">
        <f>HYPERLINK("https://api.qogita.com/variants/link/4021609061328/", "View Product")</f>
        <v/>
      </c>
    </row>
    <row r="4897">
      <c r="A4897" t="inlineStr">
        <is>
          <t>4021609061410</t>
        </is>
      </c>
      <c r="B4897" t="inlineStr">
        <is>
          <t>Goldwell Dualsenses Rich Repair 6 Effects Serum For Dry And Damaged Hair 100ml</t>
        </is>
      </c>
      <c r="C4897" t="inlineStr">
        <is>
          <t>Hair Oil &amp; Hair Serum</t>
        </is>
      </c>
      <c r="D4897" t="inlineStr">
        <is>
          <t>Goldwell</t>
        </is>
      </c>
      <c r="E4897" t="n">
        <v>10.96</v>
      </c>
      <c r="F4897" t="n">
        <v>1</v>
      </c>
      <c r="G4897" t="n">
        <v>11</v>
      </c>
      <c r="H4897" s="5">
        <f>HYPERLINK("https://api.qogita.com/variants/link/4021609061410/", "View Product")</f>
        <v/>
      </c>
    </row>
    <row r="4898">
      <c r="A4898" t="inlineStr">
        <is>
          <t>4021609061434</t>
        </is>
      </c>
      <c r="B4898" t="inlineStr">
        <is>
          <t>Goldwell Dualsenses Rich Repair Antibreakage Conditioner 1000ml</t>
        </is>
      </c>
      <c r="C4898" t="inlineStr">
        <is>
          <t>Conditioner</t>
        </is>
      </c>
      <c r="D4898" t="inlineStr">
        <is>
          <t>Goldwell</t>
        </is>
      </c>
      <c r="E4898" t="n">
        <v>18.2</v>
      </c>
      <c r="F4898" t="n">
        <v>1</v>
      </c>
      <c r="G4898" t="n">
        <v>8</v>
      </c>
      <c r="H4898" s="5">
        <f>HYPERLINK("https://api.qogita.com/variants/link/4021609061434/", "View Product")</f>
        <v/>
      </c>
    </row>
    <row r="4899">
      <c r="A4899" t="inlineStr">
        <is>
          <t>4021609061502</t>
        </is>
      </c>
      <c r="B4899" t="inlineStr">
        <is>
          <t>Goldwell Dualsenses Ultra Volume Bodifying Conditioner - 200ml</t>
        </is>
      </c>
      <c r="C4899" t="inlineStr">
        <is>
          <t>Conditioner</t>
        </is>
      </c>
      <c r="D4899" t="inlineStr">
        <is>
          <t>Goldwell</t>
        </is>
      </c>
      <c r="E4899" t="n">
        <v>7.41</v>
      </c>
      <c r="F4899" t="n">
        <v>1</v>
      </c>
      <c r="G4899" t="n">
        <v>5</v>
      </c>
      <c r="H4899" s="5">
        <f>HYPERLINK("https://api.qogita.com/variants/link/4021609061502/", "View Product")</f>
        <v/>
      </c>
    </row>
    <row r="4900">
      <c r="A4900" t="inlineStr">
        <is>
          <t>4021609061526</t>
        </is>
      </c>
      <c r="B4900" t="inlineStr">
        <is>
          <t>Goldwell Dualsenses Ultra Volume Bodifying Conditioner For Fine To Normal Hair 1000ml</t>
        </is>
      </c>
      <c r="C4900" t="inlineStr">
        <is>
          <t>Conditioner</t>
        </is>
      </c>
      <c r="D4900" t="inlineStr">
        <is>
          <t>Goldwell</t>
        </is>
      </c>
      <c r="E4900" t="n">
        <v>17.38</v>
      </c>
      <c r="F4900" t="n">
        <v>1</v>
      </c>
      <c r="G4900" t="n">
        <v>3</v>
      </c>
      <c r="H4900" s="5">
        <f>HYPERLINK("https://api.qogita.com/variants/link/4021609061526/", "View Product")</f>
        <v/>
      </c>
    </row>
    <row r="4901">
      <c r="A4901" t="inlineStr">
        <is>
          <t>4021609061977</t>
        </is>
      </c>
      <c r="B4901" t="inlineStr">
        <is>
          <t>Goldwell Dualsenses Just Smooth Intensive Conditioning Serum For Stubborn Hair 12 X 18 Ml</t>
        </is>
      </c>
      <c r="C4901" t="inlineStr">
        <is>
          <t>Hair Oil &amp; Hair Serum</t>
        </is>
      </c>
      <c r="D4901" t="inlineStr">
        <is>
          <t>Goldwell</t>
        </is>
      </c>
      <c r="E4901" t="n">
        <v>28.15</v>
      </c>
      <c r="F4901" t="n">
        <v>1</v>
      </c>
      <c r="G4901" t="n">
        <v>5</v>
      </c>
      <c r="H4901" s="5">
        <f>HYPERLINK("https://api.qogita.com/variants/link/4021609061977/", "View Product")</f>
        <v/>
      </c>
    </row>
    <row r="4902">
      <c r="A4902" t="inlineStr">
        <is>
          <t>4021609061991</t>
        </is>
      </c>
      <c r="B4902" t="inlineStr">
        <is>
          <t>Goldwell Dualsenses Ultra Volume Intensive Conditioning Serum 12 X 18 Ml</t>
        </is>
      </c>
      <c r="C4902" t="inlineStr">
        <is>
          <t>Hair Oil &amp; Hair Serum</t>
        </is>
      </c>
      <c r="D4902" t="inlineStr">
        <is>
          <t>Goldwell</t>
        </is>
      </c>
      <c r="E4902" t="n">
        <v>33.65</v>
      </c>
      <c r="F4902" t="n">
        <v>1</v>
      </c>
      <c r="G4902" t="n">
        <v>9</v>
      </c>
      <c r="H4902" s="5">
        <f>HYPERLINK("https://api.qogita.com/variants/link/4021609061991/", "View Product")</f>
        <v/>
      </c>
    </row>
    <row r="4903">
      <c r="A4903" t="inlineStr">
        <is>
          <t>4021609062219</t>
        </is>
      </c>
      <c r="B4903" t="inlineStr">
        <is>
          <t>Goldwell Curls &amp; Waves Hydrating Serum Spray - 150ml</t>
        </is>
      </c>
      <c r="C4903" t="inlineStr">
        <is>
          <t>Hair Oil &amp; Hair Serum</t>
        </is>
      </c>
      <c r="D4903" t="inlineStr">
        <is>
          <t>Goldwell</t>
        </is>
      </c>
      <c r="E4903" t="n">
        <v>8.58</v>
      </c>
      <c r="F4903" t="n">
        <v>1</v>
      </c>
      <c r="G4903" t="n">
        <v>5</v>
      </c>
      <c r="H4903" s="5">
        <f>HYPERLINK("https://api.qogita.com/variants/link/4021609062219/", "View Product")</f>
        <v/>
      </c>
    </row>
    <row r="4904">
      <c r="A4904" t="inlineStr">
        <is>
          <t>4021609062349</t>
        </is>
      </c>
      <c r="B4904" t="inlineStr">
        <is>
          <t>Goldwell Dualsenses Bond Pro Fluid Strengthens Hair And Repairs Split Ends 75ml</t>
        </is>
      </c>
      <c r="C4904" t="inlineStr">
        <is>
          <t>Hair Oil &amp; Hair Serum</t>
        </is>
      </c>
      <c r="D4904" t="inlineStr">
        <is>
          <t>Goldwell</t>
        </is>
      </c>
      <c r="E4904" t="n">
        <v>11.55</v>
      </c>
      <c r="F4904" t="n">
        <v>1</v>
      </c>
      <c r="G4904" t="n">
        <v>29</v>
      </c>
      <c r="H4904" s="5">
        <f>HYPERLINK("https://api.qogita.com/variants/link/4021609062349/", "View Product")</f>
        <v/>
      </c>
    </row>
    <row r="4905">
      <c r="A4905" t="inlineStr">
        <is>
          <t>4021609062363</t>
        </is>
      </c>
      <c r="B4905" t="inlineStr">
        <is>
          <t>Goldwell Dualsenses Bond Pro 60sec Treatment For Weak And Brittle Hair 500ml</t>
        </is>
      </c>
      <c r="C4905" t="inlineStr">
        <is>
          <t>Hair Masks</t>
        </is>
      </c>
      <c r="D4905" t="inlineStr">
        <is>
          <t>Goldwell</t>
        </is>
      </c>
      <c r="E4905" t="n">
        <v>18.51</v>
      </c>
      <c r="F4905" t="n">
        <v>1</v>
      </c>
      <c r="G4905" t="n">
        <v>18</v>
      </c>
      <c r="H4905" s="5">
        <f>HYPERLINK("https://api.qogita.com/variants/link/4021609062363/", "View Product")</f>
        <v/>
      </c>
    </row>
    <row r="4906">
      <c r="A4906" t="inlineStr">
        <is>
          <t>4021609062523</t>
        </is>
      </c>
      <c r="B4906" t="inlineStr">
        <is>
          <t>Goldwell Dualsenses Scalp Deep Cleansing Shampoo For Hair 1000ml</t>
        </is>
      </c>
      <c r="C4906" t="inlineStr">
        <is>
          <t>Shampoo</t>
        </is>
      </c>
      <c r="D4906" t="inlineStr">
        <is>
          <t>Goldwell</t>
        </is>
      </c>
      <c r="E4906" t="n">
        <v>14.85</v>
      </c>
      <c r="F4906" t="n">
        <v>1</v>
      </c>
      <c r="G4906" t="n">
        <v>7</v>
      </c>
      <c r="H4906" s="5">
        <f>HYPERLINK("https://api.qogita.com/variants/link/4021609062523/", "View Product")</f>
        <v/>
      </c>
    </row>
    <row r="4907">
      <c r="A4907" t="inlineStr">
        <is>
          <t>4021609062530</t>
        </is>
      </c>
      <c r="B4907" t="inlineStr">
        <is>
          <t>Goldwell Dualsenses Scalp Specialist Antidandruff Shampoo 250ml</t>
        </is>
      </c>
      <c r="C4907" t="inlineStr">
        <is>
          <t>Shampoo</t>
        </is>
      </c>
      <c r="D4907" t="inlineStr">
        <is>
          <t>Goldwell</t>
        </is>
      </c>
      <c r="E4907" t="n">
        <v>7.76</v>
      </c>
      <c r="F4907" t="n">
        <v>1</v>
      </c>
      <c r="G4907" t="n">
        <v>8</v>
      </c>
      <c r="H4907" s="5">
        <f>HYPERLINK("https://api.qogita.com/variants/link/4021609062530/", "View Product")</f>
        <v/>
      </c>
    </row>
    <row r="4908">
      <c r="A4908" t="inlineStr">
        <is>
          <t>4021609062547</t>
        </is>
      </c>
      <c r="B4908" t="inlineStr">
        <is>
          <t>Goldwell Dualsenses Scalp Specialist Sensitive Foam Shampoo 250 Ml</t>
        </is>
      </c>
      <c r="C4908" t="inlineStr">
        <is>
          <t>Shampoo</t>
        </is>
      </c>
      <c r="D4908" t="inlineStr">
        <is>
          <t>Goldwell</t>
        </is>
      </c>
      <c r="E4908" t="n">
        <v>6.64</v>
      </c>
      <c r="F4908" t="n">
        <v>1</v>
      </c>
      <c r="G4908" t="n">
        <v>4</v>
      </c>
      <c r="H4908" s="5">
        <f>HYPERLINK("https://api.qogita.com/variants/link/4021609062547/", "View Product")</f>
        <v/>
      </c>
    </row>
    <row r="4909">
      <c r="A4909" t="inlineStr">
        <is>
          <t>4021609062554</t>
        </is>
      </c>
      <c r="B4909" t="inlineStr">
        <is>
          <t>Goldwell Densifying Shampoo For Thinning Hair 250ml</t>
        </is>
      </c>
      <c r="C4909" t="inlineStr">
        <is>
          <t>Shampoo</t>
        </is>
      </c>
      <c r="D4909" t="inlineStr">
        <is>
          <t>Goldwell</t>
        </is>
      </c>
      <c r="E4909" t="n">
        <v>7.23</v>
      </c>
      <c r="F4909" t="n">
        <v>1</v>
      </c>
      <c r="G4909" t="n">
        <v>2</v>
      </c>
      <c r="H4909" s="5">
        <f>HYPERLINK("https://api.qogita.com/variants/link/4021609062554/", "View Product")</f>
        <v/>
      </c>
    </row>
    <row r="4910">
      <c r="A4910" t="inlineStr">
        <is>
          <t>4021609062561</t>
        </is>
      </c>
      <c r="B4910" t="inlineStr">
        <is>
          <t>Goldwell Dualsenses Scalp Specialist Anti Hair Loss Serum 150ml</t>
        </is>
      </c>
      <c r="C4910" t="inlineStr">
        <is>
          <t>Scalp Care</t>
        </is>
      </c>
      <c r="D4910" t="inlineStr">
        <is>
          <t>Goldwell</t>
        </is>
      </c>
      <c r="E4910" t="n">
        <v>13.06</v>
      </c>
      <c r="F4910" t="n">
        <v>1</v>
      </c>
      <c r="G4910" t="n">
        <v>21</v>
      </c>
      <c r="H4910" s="5">
        <f>HYPERLINK("https://api.qogita.com/variants/link/4021609062561/", "View Product")</f>
        <v/>
      </c>
    </row>
    <row r="4911">
      <c r="A4911" t="inlineStr">
        <is>
          <t>4021609075493</t>
        </is>
      </c>
      <c r="B4911" t="inlineStr">
        <is>
          <t>Goldwell Salon Only Hair Lacquer Mega Hold 5 - 600ml</t>
        </is>
      </c>
      <c r="C4911" t="inlineStr">
        <is>
          <t>Hairspray</t>
        </is>
      </c>
      <c r="D4911" t="inlineStr">
        <is>
          <t>Goldwell</t>
        </is>
      </c>
      <c r="E4911" t="n">
        <v>9.720000000000001</v>
      </c>
      <c r="F4911" t="n">
        <v>1</v>
      </c>
      <c r="G4911" t="n">
        <v>47</v>
      </c>
      <c r="H4911" s="5">
        <f>HYPERLINK("https://api.qogita.com/variants/link/4021609075493/", "View Product")</f>
        <v/>
      </c>
    </row>
    <row r="4912">
      <c r="A4912" t="inlineStr">
        <is>
          <t>4021609108900</t>
        </is>
      </c>
      <c r="B4912" t="inlineStr">
        <is>
          <t>ELU P. Blue HC Pastel Blue 200ml</t>
        </is>
      </c>
      <c r="C4912" t="inlineStr">
        <is>
          <t>Body Lotion</t>
        </is>
      </c>
      <c r="D4912" t="inlineStr">
        <is>
          <t>Goldwell</t>
        </is>
      </c>
      <c r="E4912" t="n">
        <v>14.52</v>
      </c>
      <c r="F4912" t="n">
        <v>1</v>
      </c>
      <c r="G4912" t="n">
        <v>2</v>
      </c>
      <c r="H4912" s="5">
        <f>HYPERLINK("https://api.qogita.com/variants/link/4021609108900/", "View Product")</f>
        <v/>
      </c>
    </row>
    <row r="4913">
      <c r="A4913" t="inlineStr">
        <is>
          <t>4021609109495</t>
        </is>
      </c>
      <c r="B4913" t="inlineStr">
        <is>
          <t>Goldwell Elumen Return Hair Color Stain Remover 250 Ml</t>
        </is>
      </c>
      <c r="C4913" t="inlineStr">
        <is>
          <t>Hair Dye</t>
        </is>
      </c>
      <c r="D4913" t="inlineStr">
        <is>
          <t>Goldwell</t>
        </is>
      </c>
      <c r="E4913" t="n">
        <v>16.07</v>
      </c>
      <c r="F4913" t="n">
        <v>1</v>
      </c>
      <c r="G4913" t="n">
        <v>9</v>
      </c>
      <c r="H4913" s="5">
        <f>HYPERLINK("https://api.qogita.com/variants/link/4021609109495/", "View Product")</f>
        <v/>
      </c>
    </row>
    <row r="4914">
      <c r="A4914" t="inlineStr">
        <is>
          <t>4021609109792</t>
        </is>
      </c>
      <c r="B4914" t="inlineStr">
        <is>
          <t>Goldwell Elumen Color Shampoo 250ml</t>
        </is>
      </c>
      <c r="C4914" t="inlineStr">
        <is>
          <t>Shampoo</t>
        </is>
      </c>
      <c r="D4914" t="inlineStr">
        <is>
          <t>Goldwell</t>
        </is>
      </c>
      <c r="E4914" t="n">
        <v>9.369999999999999</v>
      </c>
      <c r="F4914" t="n">
        <v>1</v>
      </c>
      <c r="G4914" t="n">
        <v>10</v>
      </c>
      <c r="H4914" s="5">
        <f>HYPERLINK("https://api.qogita.com/variants/link/4021609109792/", "View Product")</f>
        <v/>
      </c>
    </row>
    <row r="4915">
      <c r="A4915" t="inlineStr">
        <is>
          <t>4021609109808</t>
        </is>
      </c>
      <c r="B4915" t="inlineStr">
        <is>
          <t>Goldwell Elumen Color Protection Shampoo 1000ml</t>
        </is>
      </c>
      <c r="C4915" t="inlineStr">
        <is>
          <t>Shampoo</t>
        </is>
      </c>
      <c r="D4915" t="inlineStr">
        <is>
          <t>Goldwell</t>
        </is>
      </c>
      <c r="E4915" t="n">
        <v>26.03</v>
      </c>
      <c r="F4915" t="n">
        <v>1</v>
      </c>
      <c r="G4915" t="n">
        <v>10</v>
      </c>
      <c r="H4915" s="5">
        <f>HYPERLINK("https://api.qogita.com/variants/link/4021609109808/", "View Product")</f>
        <v/>
      </c>
    </row>
    <row r="4916">
      <c r="A4916" t="inlineStr">
        <is>
          <t>4021609520085</t>
        </is>
      </c>
      <c r="B4916" t="inlineStr">
        <is>
          <t>Goldwell Stylesign Curls Bundling Gel Hydrating Gel For Wave Definition 150 Ml</t>
        </is>
      </c>
      <c r="C4916" t="inlineStr">
        <is>
          <t>Gel</t>
        </is>
      </c>
      <c r="D4916" t="inlineStr">
        <is>
          <t>Goldwell</t>
        </is>
      </c>
      <c r="E4916" t="n">
        <v>7.44</v>
      </c>
      <c r="F4916" t="n">
        <v>1</v>
      </c>
      <c r="G4916" t="n">
        <v>12</v>
      </c>
      <c r="H4916" s="5">
        <f>HYPERLINK("https://api.qogita.com/variants/link/4021609520085/", "View Product")</f>
        <v/>
      </c>
    </row>
    <row r="4917">
      <c r="A4917" t="inlineStr">
        <is>
          <t>4021609520207</t>
        </is>
      </c>
      <c r="B4917" t="inlineStr">
        <is>
          <t>Goldwell St Everyday Blowdry Spray 200ml Heat Styling Spray For Daily Use</t>
        </is>
      </c>
      <c r="C4917" t="inlineStr">
        <is>
          <t>Styling Sprays</t>
        </is>
      </c>
      <c r="D4917" t="inlineStr">
        <is>
          <t>Goldwell</t>
        </is>
      </c>
      <c r="E4917" t="n">
        <v>8.4</v>
      </c>
      <c r="F4917" t="n">
        <v>1</v>
      </c>
      <c r="G4917" t="n">
        <v>16</v>
      </c>
      <c r="H4917" s="5">
        <f>HYPERLINK("https://api.qogita.com/variants/link/4021609520207/", "View Product")</f>
        <v/>
      </c>
    </row>
    <row r="4918">
      <c r="A4918" t="inlineStr">
        <is>
          <t>4021609520238</t>
        </is>
      </c>
      <c r="B4918" t="inlineStr">
        <is>
          <t>Goldwell Stylesign Heat Styling Smoothing Serum Spray 100ml</t>
        </is>
      </c>
      <c r="C4918" t="inlineStr">
        <is>
          <t>Styling Sprays</t>
        </is>
      </c>
      <c r="D4918" t="inlineStr">
        <is>
          <t>Goldwell</t>
        </is>
      </c>
      <c r="E4918" t="n">
        <v>10.27</v>
      </c>
      <c r="F4918" t="n">
        <v>1</v>
      </c>
      <c r="G4918" t="n">
        <v>2</v>
      </c>
      <c r="H4918" s="5">
        <f>HYPERLINK("https://api.qogita.com/variants/link/4021609520238/", "View Product")</f>
        <v/>
      </c>
    </row>
    <row r="4919">
      <c r="A4919" t="inlineStr">
        <is>
          <t>4021609520269</t>
        </is>
      </c>
      <c r="B4919" t="inlineStr">
        <is>
          <t>Goldwell Stylesign Smooth Airdry Bb Cream 125ml Styling Cream And Nourishing Care For Smooth Hair</t>
        </is>
      </c>
      <c r="C4919" t="inlineStr">
        <is>
          <t>Styling Creams</t>
        </is>
      </c>
      <c r="D4919" t="inlineStr">
        <is>
          <t>Goldwell</t>
        </is>
      </c>
      <c r="E4919" t="n">
        <v>9.300000000000001</v>
      </c>
      <c r="F4919" t="n">
        <v>1</v>
      </c>
      <c r="G4919" t="n">
        <v>6</v>
      </c>
      <c r="H4919" s="5">
        <f>HYPERLINK("https://api.qogita.com/variants/link/4021609520269/", "View Product")</f>
        <v/>
      </c>
    </row>
    <row r="4920">
      <c r="A4920" t="inlineStr">
        <is>
          <t>4021609520344</t>
        </is>
      </c>
      <c r="B4920" t="inlineStr">
        <is>
          <t>Goldwell Mattifying Hair Paste Stylesign Texture 100 Ml</t>
        </is>
      </c>
      <c r="C4920" t="inlineStr">
        <is>
          <t>Wax</t>
        </is>
      </c>
      <c r="D4920" t="inlineStr">
        <is>
          <t>Goldwell</t>
        </is>
      </c>
      <c r="E4920" t="n">
        <v>8.5</v>
      </c>
      <c r="F4920" t="n">
        <v>1</v>
      </c>
      <c r="G4920" t="n">
        <v>9</v>
      </c>
      <c r="H4920" s="5">
        <f>HYPERLINK("https://api.qogita.com/variants/link/4021609520344/", "View Product")</f>
        <v/>
      </c>
    </row>
    <row r="4921">
      <c r="A4921" t="inlineStr">
        <is>
          <t>4021609520351</t>
        </is>
      </c>
      <c r="B4921" t="inlineStr">
        <is>
          <t>Goldwell Stylesign Texture Defining Wax 75ml Hair Defining Wax</t>
        </is>
      </c>
      <c r="C4921" t="inlineStr">
        <is>
          <t>Wax</t>
        </is>
      </c>
      <c r="D4921" t="inlineStr">
        <is>
          <t>Goldwell</t>
        </is>
      </c>
      <c r="E4921" t="n">
        <v>8.960000000000001</v>
      </c>
      <c r="F4921" t="n">
        <v>1</v>
      </c>
      <c r="G4921" t="n">
        <v>9</v>
      </c>
      <c r="H4921" s="5">
        <f>HYPERLINK("https://api.qogita.com/variants/link/4021609520351/", "View Product")</f>
        <v/>
      </c>
    </row>
    <row r="4922">
      <c r="A4922" t="inlineStr">
        <is>
          <t>4021609520399</t>
        </is>
      </c>
      <c r="B4922" t="inlineStr">
        <is>
          <t>Goldwell Stylesign Volume Bodifying Control Mousse 500ml</t>
        </is>
      </c>
      <c r="C4922" t="inlineStr">
        <is>
          <t>Mousse</t>
        </is>
      </c>
      <c r="D4922" t="inlineStr">
        <is>
          <t>Goldwell</t>
        </is>
      </c>
      <c r="E4922" t="n">
        <v>10.27</v>
      </c>
      <c r="F4922" t="n">
        <v>1</v>
      </c>
      <c r="G4922" t="n">
        <v>6</v>
      </c>
      <c r="H4922" s="5">
        <f>HYPERLINK("https://api.qogita.com/variants/link/4021609520399/", "View Product")</f>
        <v/>
      </c>
    </row>
    <row r="4923">
      <c r="A4923" t="inlineStr">
        <is>
          <t>4021609520429</t>
        </is>
      </c>
      <c r="B4923" t="inlineStr">
        <is>
          <t>Goldwell Stylesign Hairspray Extra Strong Hairspray 500ml Extra Strong Hair Spray</t>
        </is>
      </c>
      <c r="C4923" t="inlineStr">
        <is>
          <t>Hairspray</t>
        </is>
      </c>
      <c r="D4923" t="inlineStr">
        <is>
          <t>Goldwell</t>
        </is>
      </c>
      <c r="E4923" t="n">
        <v>12.22</v>
      </c>
      <c r="F4923" t="n">
        <v>1</v>
      </c>
      <c r="G4923" t="n">
        <v>32</v>
      </c>
      <c r="H4923" s="5">
        <f>HYPERLINK("https://api.qogita.com/variants/link/4021609520429/", "View Product")</f>
        <v/>
      </c>
    </row>
    <row r="4924">
      <c r="A4924" t="inlineStr">
        <is>
          <t>4021609520597</t>
        </is>
      </c>
      <c r="B4924" t="inlineStr">
        <is>
          <t>Goldwell Stylesign Texture Lagoom Jam Styling Gel 75 Ml</t>
        </is>
      </c>
      <c r="C4924" t="inlineStr">
        <is>
          <t>Gel</t>
        </is>
      </c>
      <c r="D4924" t="inlineStr">
        <is>
          <t>Goldwell</t>
        </is>
      </c>
      <c r="E4924" t="n">
        <v>5</v>
      </c>
      <c r="F4924" t="n">
        <v>1</v>
      </c>
      <c r="G4924" t="n">
        <v>7</v>
      </c>
      <c r="H4924" s="5">
        <f>HYPERLINK("https://api.qogita.com/variants/link/4021609520597/", "View Product")</f>
        <v/>
      </c>
    </row>
    <row r="4925">
      <c r="A4925" t="inlineStr">
        <is>
          <t>4021609850700</t>
        </is>
      </c>
      <c r="B4925" t="inlineStr">
        <is>
          <t>Goldwell Kerasilk Strengthening Mask For Fine And Limp Hair 200ml</t>
        </is>
      </c>
      <c r="C4925" t="inlineStr">
        <is>
          <t>Hair Masks</t>
        </is>
      </c>
      <c r="D4925" t="inlineStr">
        <is>
          <t>Goldwell</t>
        </is>
      </c>
      <c r="E4925" t="n">
        <v>23.12</v>
      </c>
      <c r="F4925" t="n">
        <v>1</v>
      </c>
      <c r="G4925" t="n">
        <v>19</v>
      </c>
      <c r="H4925" s="5">
        <f>HYPERLINK("https://api.qogita.com/variants/link/4021609850700/", "View Product")</f>
        <v/>
      </c>
    </row>
    <row r="4926">
      <c r="A4926" t="inlineStr">
        <is>
          <t>4021609850755</t>
        </is>
      </c>
      <c r="B4926" t="inlineStr">
        <is>
          <t>Goldwell Kerasilk Strengthening Mask For Fine And Limp Hair 500ml</t>
        </is>
      </c>
      <c r="C4926" t="inlineStr">
        <is>
          <t>Hair Masks</t>
        </is>
      </c>
      <c r="D4926" t="inlineStr">
        <is>
          <t>Goldwell</t>
        </is>
      </c>
      <c r="E4926" t="n">
        <v>25.21</v>
      </c>
      <c r="F4926" t="n">
        <v>1</v>
      </c>
      <c r="G4926" t="n">
        <v>23</v>
      </c>
      <c r="H4926" s="5">
        <f>HYPERLINK("https://api.qogita.com/variants/link/4021609850755/", "View Product")</f>
        <v/>
      </c>
    </row>
    <row r="4927">
      <c r="A4927" t="inlineStr">
        <is>
          <t>4021609851301</t>
        </is>
      </c>
      <c r="B4927" t="inlineStr">
        <is>
          <t>Kerasilk Multibenefit Hair Oil 50 Ml By Kerasilk Goldwell</t>
        </is>
      </c>
      <c r="C4927" t="inlineStr">
        <is>
          <t>Hair Oil &amp; Hair Serum</t>
        </is>
      </c>
      <c r="D4927" t="inlineStr">
        <is>
          <t>Kerasilk</t>
        </is>
      </c>
      <c r="E4927" t="n">
        <v>21.4</v>
      </c>
      <c r="F4927" t="n">
        <v>1</v>
      </c>
      <c r="G4927" t="n">
        <v>10</v>
      </c>
      <c r="H4927" s="5">
        <f>HYPERLINK("https://api.qogita.com/variants/link/4021609851301/", "View Product")</f>
        <v/>
      </c>
    </row>
    <row r="4928">
      <c r="A4928" t="inlineStr">
        <is>
          <t>4021609864110</t>
        </is>
      </c>
      <c r="B4928" t="inlineStr">
        <is>
          <t>Kerasilk Hydrating Essence for All Hair Types Lightweight Treatment</t>
        </is>
      </c>
      <c r="C4928" t="inlineStr">
        <is>
          <t>Hair Oil &amp; Hair Serum</t>
        </is>
      </c>
      <c r="D4928" t="inlineStr">
        <is>
          <t>Kerasilk</t>
        </is>
      </c>
      <c r="E4928" t="n">
        <v>26.21</v>
      </c>
      <c r="F4928" t="n">
        <v>1</v>
      </c>
      <c r="G4928" t="n">
        <v>9</v>
      </c>
      <c r="H4928" s="5">
        <f>HYPERLINK("https://api.qogita.com/variants/link/4021609864110/", "View Product")</f>
        <v/>
      </c>
    </row>
    <row r="4929">
      <c r="A4929" t="inlineStr">
        <is>
          <t>4026600141208</t>
        </is>
      </c>
      <c r="B4929" t="inlineStr">
        <is>
          <t>Pitralon After Shave Lotion 100ml</t>
        </is>
      </c>
      <c r="C4929" t="inlineStr">
        <is>
          <t>Aftershave</t>
        </is>
      </c>
      <c r="D4929" t="inlineStr">
        <is>
          <t>Pitralon</t>
        </is>
      </c>
      <c r="E4929" t="n">
        <v>3.99</v>
      </c>
      <c r="F4929" t="n">
        <v>1</v>
      </c>
      <c r="G4929" t="n">
        <v>405</v>
      </c>
      <c r="H4929" s="5">
        <f>HYPERLINK("https://api.qogita.com/variants/link/4026600141208/", "View Product")</f>
        <v/>
      </c>
    </row>
    <row r="4930">
      <c r="A4930" t="inlineStr">
        <is>
          <t>4026600141703</t>
        </is>
      </c>
      <c r="B4930" t="inlineStr">
        <is>
          <t>Pitralon Classic Pre Shave 100ml</t>
        </is>
      </c>
      <c r="C4930" t="inlineStr">
        <is>
          <t>Aftershave</t>
        </is>
      </c>
      <c r="D4930" t="inlineStr">
        <is>
          <t>Pitralon</t>
        </is>
      </c>
      <c r="E4930" t="n">
        <v>3.99</v>
      </c>
      <c r="F4930" t="n">
        <v>1</v>
      </c>
      <c r="G4930" t="n">
        <v>19</v>
      </c>
      <c r="H4930" s="5">
        <f>HYPERLINK("https://api.qogita.com/variants/link/4026600141703/", "View Product")</f>
        <v/>
      </c>
    </row>
    <row r="4931">
      <c r="A4931" t="inlineStr">
        <is>
          <t>4027800009107</t>
        </is>
      </c>
      <c r="B4931" t="inlineStr">
        <is>
          <t>Wilkinson Sword Quattro Titanium Precision Razor Blades</t>
        </is>
      </c>
      <c r="C4931" t="inlineStr">
        <is>
          <t>Razors &amp; Hair Removal Tools</t>
        </is>
      </c>
      <c r="D4931" t="inlineStr">
        <is>
          <t>Wilkinson Sword</t>
        </is>
      </c>
      <c r="E4931" t="n">
        <v>9.630000000000001</v>
      </c>
      <c r="F4931" t="n">
        <v>1</v>
      </c>
      <c r="G4931" t="n">
        <v>33</v>
      </c>
      <c r="H4931" s="5">
        <f>HYPERLINK("https://api.qogita.com/variants/link/4027800009107/", "View Product")</f>
        <v/>
      </c>
    </row>
    <row r="4932">
      <c r="A4932" t="inlineStr">
        <is>
          <t>4027800012503</t>
        </is>
      </c>
      <c r="B4932" t="inlineStr">
        <is>
          <t>Wilkinson Sword Systems Quattro 8 Blades</t>
        </is>
      </c>
      <c r="C4932" t="inlineStr">
        <is>
          <t>Razors &amp; Hair Removal Tools</t>
        </is>
      </c>
      <c r="D4932" t="inlineStr">
        <is>
          <t>Wilkinson Sword</t>
        </is>
      </c>
      <c r="E4932" t="n">
        <v>8.44</v>
      </c>
      <c r="F4932" t="n">
        <v>1</v>
      </c>
      <c r="G4932" t="n">
        <v>32</v>
      </c>
      <c r="H4932" s="5">
        <f>HYPERLINK("https://api.qogita.com/variants/link/4027800012503/", "View Product")</f>
        <v/>
      </c>
    </row>
    <row r="4933">
      <c r="A4933" t="inlineStr">
        <is>
          <t>4027800045501</t>
        </is>
      </c>
      <c r="B4933" t="inlineStr">
        <is>
          <t>Wilkinson Sword Manicure Glass Nail File</t>
        </is>
      </c>
      <c r="C4933" t="inlineStr">
        <is>
          <t>Nail Clippers &amp; Tools</t>
        </is>
      </c>
      <c r="D4933" t="inlineStr">
        <is>
          <t>Wilkinson Sword</t>
        </is>
      </c>
      <c r="E4933" t="n">
        <v>9.24</v>
      </c>
      <c r="F4933" t="n">
        <v>1</v>
      </c>
      <c r="G4933" t="n">
        <v>2</v>
      </c>
      <c r="H4933" s="5">
        <f>HYPERLINK("https://api.qogita.com/variants/link/4027800045501/", "View Product")</f>
        <v/>
      </c>
    </row>
    <row r="4934">
      <c r="A4934" t="inlineStr">
        <is>
          <t>4027800081158</t>
        </is>
      </c>
      <c r="B4934" t="inlineStr">
        <is>
          <t>Wilkinson Sword Intuition Eyebrow Shaper for Women Facial Hair Remover</t>
        </is>
      </c>
      <c r="C4934" t="inlineStr">
        <is>
          <t>Tweezers</t>
        </is>
      </c>
      <c r="D4934" t="inlineStr">
        <is>
          <t>Wilkinson Sword</t>
        </is>
      </c>
      <c r="E4934" t="n">
        <v>5.25</v>
      </c>
      <c r="F4934" t="n">
        <v>1</v>
      </c>
      <c r="G4934" t="n">
        <v>77</v>
      </c>
      <c r="H4934" s="5">
        <f>HYPERLINK("https://api.qogita.com/variants/link/4027800081158/", "View Product")</f>
        <v/>
      </c>
    </row>
    <row r="4935">
      <c r="A4935" t="inlineStr">
        <is>
          <t>4027800102808</t>
        </is>
      </c>
      <c r="B4935" t="inlineStr">
        <is>
          <t>Wilkinson Sword Hydro 5 Groomer 4-In-1 Replacement Blades For Razor - 4 Pieces</t>
        </is>
      </c>
      <c r="C4935" t="inlineStr">
        <is>
          <t>Razors &amp; Hair Removal Tools</t>
        </is>
      </c>
      <c r="D4935" t="inlineStr">
        <is>
          <t>Wilkinson Sword</t>
        </is>
      </c>
      <c r="E4935" t="n">
        <v>14.06</v>
      </c>
      <c r="F4935" t="n">
        <v>1</v>
      </c>
      <c r="G4935" t="n">
        <v>2</v>
      </c>
      <c r="H4935" s="5">
        <f>HYPERLINK("https://api.qogita.com/variants/link/4027800102808/", "View Product")</f>
        <v/>
      </c>
    </row>
    <row r="4936">
      <c r="A4936" t="inlineStr">
        <is>
          <t>4027800114207</t>
        </is>
      </c>
      <c r="B4936" t="inlineStr">
        <is>
          <t>Wilkinson Sword Quattro for Women 3 Razor Blades plus 1 Free Blade</t>
        </is>
      </c>
      <c r="C4936" t="inlineStr">
        <is>
          <t>Razors &amp; Hair Removal Tools</t>
        </is>
      </c>
      <c r="D4936" t="inlineStr">
        <is>
          <t>Wilkinson Sword</t>
        </is>
      </c>
      <c r="E4936" t="n">
        <v>7.64</v>
      </c>
      <c r="F4936" t="n">
        <v>1</v>
      </c>
      <c r="G4936" t="n">
        <v>33</v>
      </c>
      <c r="H4936" s="5">
        <f>HYPERLINK("https://api.qogita.com/variants/link/4027800114207/", "View Product")</f>
        <v/>
      </c>
    </row>
    <row r="4937">
      <c r="A4937" t="inlineStr">
        <is>
          <t>4027800138005</t>
        </is>
      </c>
      <c r="B4937" t="inlineStr">
        <is>
          <t>Wilkinson Sword Wilkinson Quattro For Women Razor</t>
        </is>
      </c>
      <c r="C4937" t="inlineStr">
        <is>
          <t>Razors &amp; Hair Removal Tools</t>
        </is>
      </c>
      <c r="D4937" t="inlineStr">
        <is>
          <t>Wilkinson Sword</t>
        </is>
      </c>
      <c r="E4937" t="n">
        <v>6.4</v>
      </c>
      <c r="F4937" t="n">
        <v>1</v>
      </c>
      <c r="G4937" t="n">
        <v>36</v>
      </c>
      <c r="H4937" s="5">
        <f>HYPERLINK("https://api.qogita.com/variants/link/4027800138005/", "View Product")</f>
        <v/>
      </c>
    </row>
    <row r="4938">
      <c r="A4938" t="inlineStr">
        <is>
          <t>4027800138609</t>
        </is>
      </c>
      <c r="B4938" t="inlineStr">
        <is>
          <t>Wilkinson Sword Hydro 5 Groomer 4-In-1 Razor</t>
        </is>
      </c>
      <c r="C4938" t="inlineStr">
        <is>
          <t>Razors &amp; Hair Removal Tools</t>
        </is>
      </c>
      <c r="D4938" t="inlineStr">
        <is>
          <t>Wilkinson Sword</t>
        </is>
      </c>
      <c r="E4938" t="n">
        <v>12.03</v>
      </c>
      <c r="F4938" t="n">
        <v>1</v>
      </c>
      <c r="G4938" t="n">
        <v>21</v>
      </c>
      <c r="H4938" s="5">
        <f>HYPERLINK("https://api.qogita.com/variants/link/4027800138609/", "View Product")</f>
        <v/>
      </c>
    </row>
    <row r="4939">
      <c r="A4939" t="inlineStr">
        <is>
          <t>4027800211203</t>
        </is>
      </c>
      <c r="B4939" t="inlineStr">
        <is>
          <t>Wilkinson Sword Classic Premium Razor With 5 Replacement Blades</t>
        </is>
      </c>
      <c r="C4939" t="inlineStr">
        <is>
          <t>Razors &amp; Hair Removal Tools</t>
        </is>
      </c>
      <c r="D4939" t="inlineStr">
        <is>
          <t>Wilkinson</t>
        </is>
      </c>
      <c r="E4939" t="n">
        <v>21.06</v>
      </c>
      <c r="F4939" t="n">
        <v>1</v>
      </c>
      <c r="G4939" t="n">
        <v>5</v>
      </c>
      <c r="H4939" s="5">
        <f>HYPERLINK("https://api.qogita.com/variants/link/4027800211203/", "View Product")</f>
        <v/>
      </c>
    </row>
    <row r="4940">
      <c r="A4940" t="inlineStr">
        <is>
          <t>4027800238804</t>
        </is>
      </c>
      <c r="B4940" t="inlineStr">
        <is>
          <t>Wilkinson Sword Vintage Edition Shaving Soap - 125 G</t>
        </is>
      </c>
      <c r="C4940" t="inlineStr">
        <is>
          <t>Shaving Creams &amp; Foams</t>
        </is>
      </c>
      <c r="D4940" t="inlineStr">
        <is>
          <t>Wilkinson Sword</t>
        </is>
      </c>
      <c r="E4940" t="n">
        <v>5.5</v>
      </c>
      <c r="F4940" t="n">
        <v>1</v>
      </c>
      <c r="G4940" t="n">
        <v>9</v>
      </c>
      <c r="H4940" s="5">
        <f>HYPERLINK("https://api.qogita.com/variants/link/4027800238804/", "View Product")</f>
        <v/>
      </c>
    </row>
    <row r="4941">
      <c r="A4941" t="inlineStr">
        <is>
          <t>4027800239504</t>
        </is>
      </c>
      <c r="B4941" t="inlineStr">
        <is>
          <t>Wilkinson Sword Double Edge Premium Stainless Steel Safety Razor</t>
        </is>
      </c>
      <c r="C4941" t="inlineStr">
        <is>
          <t>Razors &amp; Hair Removal Tools</t>
        </is>
      </c>
      <c r="D4941" t="inlineStr">
        <is>
          <t>Wilkinson Sword</t>
        </is>
      </c>
      <c r="E4941" t="n">
        <v>11.66</v>
      </c>
      <c r="F4941" t="n">
        <v>1</v>
      </c>
      <c r="G4941" t="n">
        <v>20</v>
      </c>
      <c r="H4941" s="5">
        <f>HYPERLINK("https://api.qogita.com/variants/link/4027800239504/", "View Product")</f>
        <v/>
      </c>
    </row>
    <row r="4942">
      <c r="A4942" t="inlineStr">
        <is>
          <t>4027800277001</t>
        </is>
      </c>
      <c r="B4942" t="inlineStr">
        <is>
          <t>Wilkinson Sword Classic After Shave Lotion 100 Ml</t>
        </is>
      </c>
      <c r="C4942" t="inlineStr">
        <is>
          <t>Aftershave</t>
        </is>
      </c>
      <c r="D4942" t="inlineStr">
        <is>
          <t>Wilkinson Sword</t>
        </is>
      </c>
      <c r="E4942" t="n">
        <v>7.21</v>
      </c>
      <c r="F4942" t="n">
        <v>1</v>
      </c>
      <c r="G4942" t="n">
        <v>3</v>
      </c>
      <c r="H4942" s="5">
        <f>HYPERLINK("https://api.qogita.com/variants/link/4027800277001/", "View Product")</f>
        <v/>
      </c>
    </row>
    <row r="4943">
      <c r="A4943" t="inlineStr">
        <is>
          <t>4027800318308</t>
        </is>
      </c>
      <c r="B4943" t="inlineStr">
        <is>
          <t>Wilkinson Sword My Intuition Comfort Cherry Blossom Disposable Razor For Women 1 Piece</t>
        </is>
      </c>
      <c r="C4943" t="inlineStr">
        <is>
          <t>Razors &amp; Hair Removal Tools</t>
        </is>
      </c>
      <c r="D4943" t="inlineStr">
        <is>
          <t>Wilkinson Sword</t>
        </is>
      </c>
      <c r="E4943" t="n">
        <v>4.97</v>
      </c>
      <c r="F4943" t="n">
        <v>1</v>
      </c>
      <c r="G4943" t="n">
        <v>5</v>
      </c>
      <c r="H4943" s="5">
        <f>HYPERLINK("https://api.qogita.com/variants/link/4027800318308/", "View Product")</f>
        <v/>
      </c>
    </row>
    <row r="4944">
      <c r="A4944" t="inlineStr">
        <is>
          <t>4027800319626</t>
        </is>
      </c>
      <c r="B4944" t="inlineStr">
        <is>
          <t>Wilkinson Sword My Intuition Comfort Coconut Delight Disposable Razor For Women 3 1 Pcs</t>
        </is>
      </c>
      <c r="C4944" t="inlineStr">
        <is>
          <t>Razors &amp; Hair Removal Tools</t>
        </is>
      </c>
      <c r="D4944" t="inlineStr">
        <is>
          <t>Wilkinson Sword</t>
        </is>
      </c>
      <c r="E4944" t="n">
        <v>4.97</v>
      </c>
      <c r="F4944" t="n">
        <v>1</v>
      </c>
      <c r="G4944" t="n">
        <v>6</v>
      </c>
      <c r="H4944" s="5">
        <f>HYPERLINK("https://api.qogita.com/variants/link/4027800319626/", "View Product")</f>
        <v/>
      </c>
    </row>
    <row r="4945">
      <c r="A4945" t="inlineStr">
        <is>
          <t>4027800324705</t>
        </is>
      </c>
      <c r="B4945" t="inlineStr">
        <is>
          <t>Wilkinson Sword Sensitive Shaving Foam - 200 Ml</t>
        </is>
      </c>
      <c r="C4945" t="inlineStr">
        <is>
          <t>Shaving Creams &amp; Foams</t>
        </is>
      </c>
      <c r="D4945" t="inlineStr">
        <is>
          <t>Wilkinson Sword</t>
        </is>
      </c>
      <c r="E4945" t="n">
        <v>5.71</v>
      </c>
      <c r="F4945" t="n">
        <v>1</v>
      </c>
      <c r="G4945" t="n">
        <v>4</v>
      </c>
      <c r="H4945" s="5">
        <f>HYPERLINK("https://api.qogita.com/variants/link/4027800324705/", "View Product")</f>
        <v/>
      </c>
    </row>
    <row r="4946">
      <c r="A4946" t="inlineStr">
        <is>
          <t>4027800383900</t>
        </is>
      </c>
      <c r="B4946" t="inlineStr">
        <is>
          <t>Wilkinson Sword Xtreme 3 Black Edition Comfort Disposable Razor For Men 31 And 4 Pcs</t>
        </is>
      </c>
      <c r="C4946" t="inlineStr">
        <is>
          <t>Razors &amp; Hair Removal Tools</t>
        </is>
      </c>
      <c r="D4946" t="inlineStr">
        <is>
          <t>Wilkinson Sword</t>
        </is>
      </c>
      <c r="E4946" t="n">
        <v>4.97</v>
      </c>
      <c r="F4946" t="n">
        <v>1</v>
      </c>
      <c r="G4946" t="n">
        <v>8</v>
      </c>
      <c r="H4946" s="5">
        <f>HYPERLINK("https://api.qogita.com/variants/link/4027800383900/", "View Product")</f>
        <v/>
      </c>
    </row>
    <row r="4947">
      <c r="A4947" t="inlineStr">
        <is>
          <t>4027800402533</t>
        </is>
      </c>
      <c r="B4947" t="inlineStr">
        <is>
          <t>Wilkinson Sword Hydro 5 Sensitive Spare Head 5 Pieces</t>
        </is>
      </c>
      <c r="C4947" t="inlineStr">
        <is>
          <t>Razors &amp; Hair Removal Tools</t>
        </is>
      </c>
      <c r="D4947" t="inlineStr">
        <is>
          <t>Wilkinson Sword</t>
        </is>
      </c>
      <c r="E4947" t="n">
        <v>9.02</v>
      </c>
      <c r="F4947" t="n">
        <v>1</v>
      </c>
      <c r="G4947" t="n">
        <v>10</v>
      </c>
      <c r="H4947" s="5">
        <f>HYPERLINK("https://api.qogita.com/variants/link/4027800402533/", "View Product")</f>
        <v/>
      </c>
    </row>
    <row r="4948">
      <c r="A4948" t="inlineStr">
        <is>
          <t>4027800407101</t>
        </is>
      </c>
      <c r="B4948" t="inlineStr">
        <is>
          <t>Wilkinson Intuition Sensitive Care Blades Perfect For A Gentle Shave</t>
        </is>
      </c>
      <c r="C4948" t="inlineStr">
        <is>
          <t>Razors &amp; Hair Removal Tools</t>
        </is>
      </c>
      <c r="D4948" t="inlineStr">
        <is>
          <t>Wilkinson</t>
        </is>
      </c>
      <c r="E4948" t="n">
        <v>5.99</v>
      </c>
      <c r="F4948" t="n">
        <v>1</v>
      </c>
      <c r="G4948" t="n">
        <v>30</v>
      </c>
      <c r="H4948" s="5">
        <f>HYPERLINK("https://api.qogita.com/variants/link/4027800407101/", "View Product")</f>
        <v/>
      </c>
    </row>
    <row r="4949">
      <c r="A4949" t="inlineStr">
        <is>
          <t>4027800509805</t>
        </is>
      </c>
      <c r="B4949" t="inlineStr">
        <is>
          <t>Wilkinson Sword Quattro Titanium Sensitive Replacement Blades For Razor - 4 Pieces</t>
        </is>
      </c>
      <c r="C4949" t="inlineStr">
        <is>
          <t>Shaving Accessories</t>
        </is>
      </c>
      <c r="D4949" t="inlineStr">
        <is>
          <t>Wilkinson Sword</t>
        </is>
      </c>
      <c r="E4949" t="n">
        <v>5.83</v>
      </c>
      <c r="F4949" t="n">
        <v>1</v>
      </c>
      <c r="G4949" t="n">
        <v>149</v>
      </c>
      <c r="H4949" s="5">
        <f>HYPERLINK("https://api.qogita.com/variants/link/4027800509805/", "View Product")</f>
        <v/>
      </c>
    </row>
    <row r="4950">
      <c r="A4950" t="inlineStr">
        <is>
          <t>4027800712731</t>
        </is>
      </c>
      <c r="B4950" t="inlineStr">
        <is>
          <t>Wilkinson Sword Xtreme3 ​​3-Blade Razor + 5 Razor Inserts</t>
        </is>
      </c>
      <c r="C4950" t="inlineStr">
        <is>
          <t>Razors &amp; Hair Removal Tools</t>
        </is>
      </c>
      <c r="D4950" t="inlineStr">
        <is>
          <t>Wilkinson Sword</t>
        </is>
      </c>
      <c r="E4950" t="n">
        <v>7.75</v>
      </c>
      <c r="F4950" t="n">
        <v>1</v>
      </c>
      <c r="G4950" t="n">
        <v>5</v>
      </c>
      <c r="H4950" s="5">
        <f>HYPERLINK("https://api.qogita.com/variants/link/4027800712731/", "View Product")</f>
        <v/>
      </c>
    </row>
    <row r="4951">
      <c r="A4951" t="inlineStr">
        <is>
          <t>4027800793501</t>
        </is>
      </c>
      <c r="B4951" t="inlineStr">
        <is>
          <t>Wilkinson Sword Intuition Perfect Finish 2 In 1 Hair Trimmer</t>
        </is>
      </c>
      <c r="C4951" t="inlineStr">
        <is>
          <t>Hair Clippers</t>
        </is>
      </c>
      <c r="D4951" t="inlineStr">
        <is>
          <t>Wilkinson Sword</t>
        </is>
      </c>
      <c r="E4951" t="n">
        <v>19.34</v>
      </c>
      <c r="F4951" t="n">
        <v>1</v>
      </c>
      <c r="G4951" t="n">
        <v>15</v>
      </c>
      <c r="H4951" s="5">
        <f>HYPERLINK("https://api.qogita.com/variants/link/4027800793501/", "View Product")</f>
        <v/>
      </c>
    </row>
    <row r="4952">
      <c r="A4952" t="inlineStr">
        <is>
          <t>4027800802326</t>
        </is>
      </c>
      <c r="B4952" t="inlineStr">
        <is>
          <t>Wilkinson Sword Hydro 5 Set Shaver With One Head 8 Spare Heads And Hydro 5 Skin Protection Razor With 9 Heads</t>
        </is>
      </c>
      <c r="C4952" t="inlineStr">
        <is>
          <t>Shaving Kits</t>
        </is>
      </c>
      <c r="D4952" t="inlineStr">
        <is>
          <t>Wilkinson Sword</t>
        </is>
      </c>
      <c r="E4952" t="n">
        <v>16.06</v>
      </c>
      <c r="F4952" t="n">
        <v>1</v>
      </c>
      <c r="G4952" t="n">
        <v>23</v>
      </c>
      <c r="H4952" s="5">
        <f>HYPERLINK("https://api.qogita.com/variants/link/4027800802326/", "View Product")</f>
        <v/>
      </c>
    </row>
    <row r="4953">
      <c r="A4953" t="inlineStr">
        <is>
          <t>4027800957002</t>
        </is>
      </c>
      <c r="B4953" t="inlineStr">
        <is>
          <t>Wilkinson Sword Replacement Razors Double Edge Blade With 5 Pieces</t>
        </is>
      </c>
      <c r="C4953" t="inlineStr">
        <is>
          <t>Razors &amp; Hair Removal Tools</t>
        </is>
      </c>
      <c r="D4953" t="inlineStr">
        <is>
          <t>Wilkinson Sword</t>
        </is>
      </c>
      <c r="E4953" t="n">
        <v>3.65</v>
      </c>
      <c r="F4953" t="n">
        <v>1</v>
      </c>
      <c r="G4953" t="n">
        <v>7</v>
      </c>
      <c r="H4953" s="5">
        <f>HYPERLINK("https://api.qogita.com/variants/link/4027800957002/", "View Product")</f>
        <v/>
      </c>
    </row>
    <row r="4954">
      <c r="A4954" t="inlineStr">
        <is>
          <t>4027800965038</t>
        </is>
      </c>
      <c r="B4954" t="inlineStr">
        <is>
          <t>Wilkinson Intuition 4-In-1 Perfect Finish Women's Face And Body Razor With Four Replaceable Heads</t>
        </is>
      </c>
      <c r="C4954" t="inlineStr">
        <is>
          <t>Razors &amp; Hair Removal Tools</t>
        </is>
      </c>
      <c r="D4954" t="inlineStr">
        <is>
          <t>Wilkinson</t>
        </is>
      </c>
      <c r="E4954" t="n">
        <v>17.67</v>
      </c>
      <c r="F4954" t="n">
        <v>1</v>
      </c>
      <c r="G4954" t="n">
        <v>4</v>
      </c>
      <c r="H4954" s="5">
        <f>HYPERLINK("https://api.qogita.com/variants/link/4027800965038/", "View Product")</f>
        <v/>
      </c>
    </row>
    <row r="4955">
      <c r="A4955" t="inlineStr">
        <is>
          <t>4034348011240</t>
        </is>
      </c>
      <c r="B4955" t="inlineStr">
        <is>
          <t>Glynt Pure Shampoo 50g</t>
        </is>
      </c>
      <c r="C4955" t="inlineStr">
        <is>
          <t>Shampoo</t>
        </is>
      </c>
      <c r="D4955" t="inlineStr">
        <is>
          <t>Glynt</t>
        </is>
      </c>
      <c r="E4955" t="n">
        <v>7.84</v>
      </c>
      <c r="F4955" t="n">
        <v>1</v>
      </c>
      <c r="G4955" t="n">
        <v>22</v>
      </c>
      <c r="H4955" s="5">
        <f>HYPERLINK("https://api.qogita.com/variants/link/4034348011240/", "View Product")</f>
        <v/>
      </c>
    </row>
    <row r="4956">
      <c r="A4956" t="inlineStr">
        <is>
          <t>4034348018010</t>
        </is>
      </c>
      <c r="B4956" t="inlineStr">
        <is>
          <t>Glynt Sensitive Jojoba Fluid pH 100ml</t>
        </is>
      </c>
      <c r="C4956" t="inlineStr">
        <is>
          <t>Hair Oil &amp; Hair Serum</t>
        </is>
      </c>
      <c r="D4956" t="inlineStr">
        <is>
          <t>Glynt</t>
        </is>
      </c>
      <c r="E4956" t="n">
        <v>6.66</v>
      </c>
      <c r="F4956" t="n">
        <v>1</v>
      </c>
      <c r="G4956" t="n">
        <v>4</v>
      </c>
      <c r="H4956" s="5">
        <f>HYPERLINK("https://api.qogita.com/variants/link/4034348018010/", "View Product")</f>
        <v/>
      </c>
    </row>
    <row r="4957">
      <c r="A4957" t="inlineStr">
        <is>
          <t>4038432014506</t>
        </is>
      </c>
      <c r="B4957" t="inlineStr">
        <is>
          <t>ZMILE Cosmetics Beauty Case Velvety Vegan Makeup Case in Dark Berry</t>
        </is>
      </c>
      <c r="C4957" t="inlineStr">
        <is>
          <t>Makeup Bags</t>
        </is>
      </c>
      <c r="D4957" t="inlineStr">
        <is>
          <t>Smile Cosmetics</t>
        </is>
      </c>
      <c r="E4957" t="n">
        <v>21.32</v>
      </c>
      <c r="F4957" t="n">
        <v>1</v>
      </c>
      <c r="G4957" t="n">
        <v>15</v>
      </c>
      <c r="H4957" s="5">
        <f>HYPERLINK("https://api.qogita.com/variants/link/4038432014506/", "View Product")</f>
        <v/>
      </c>
    </row>
    <row r="4958">
      <c r="A4958" t="inlineStr">
        <is>
          <t>4038432060084</t>
        </is>
      </c>
      <c r="B4958" t="inlineStr">
        <is>
          <t>ZMILE Cosmetics Gift Box 'YOUR UTENSILO' Brushes Brush Set 6 Pieces Synthetic Hair Vegan Cosmetic Brushes</t>
        </is>
      </c>
      <c r="C4958" t="inlineStr">
        <is>
          <t>Brush Sets</t>
        </is>
      </c>
      <c r="D4958" t="inlineStr">
        <is>
          <t>Smile Cosmetics</t>
        </is>
      </c>
      <c r="E4958" t="n">
        <v>8.029999999999999</v>
      </c>
      <c r="F4958" t="n">
        <v>1</v>
      </c>
      <c r="G4958" t="n">
        <v>48</v>
      </c>
      <c r="H4958" s="5">
        <f>HYPERLINK("https://api.qogita.com/variants/link/4038432060084/", "View Product")</f>
        <v/>
      </c>
    </row>
    <row r="4959">
      <c r="A4959" t="inlineStr">
        <is>
          <t>4044897062440</t>
        </is>
      </c>
      <c r="B4959" t="inlineStr">
        <is>
          <t>Goldwell Silver 60 Second Treatment 200ml Mask For Blonde And Gray Hair</t>
        </is>
      </c>
      <c r="C4959" t="inlineStr">
        <is>
          <t>Hair Masks</t>
        </is>
      </c>
      <c r="D4959" t="inlineStr">
        <is>
          <t>Goldwell</t>
        </is>
      </c>
      <c r="E4959" t="n">
        <v>8.789999999999999</v>
      </c>
      <c r="F4959" t="n">
        <v>1</v>
      </c>
      <c r="G4959" t="n">
        <v>7</v>
      </c>
      <c r="H4959" s="5">
        <f>HYPERLINK("https://api.qogita.com/variants/link/4044897062440/", "View Product")</f>
        <v/>
      </c>
    </row>
    <row r="4960">
      <c r="A4960" t="inlineStr">
        <is>
          <t>4045787132250</t>
        </is>
      </c>
      <c r="B4960" t="inlineStr">
        <is>
          <t>Schwarzkopf Natural Styling Pre-Treatment Repair &amp; Protect 200ml</t>
        </is>
      </c>
      <c r="C4960" t="inlineStr">
        <is>
          <t>Hair Care Sets</t>
        </is>
      </c>
      <c r="D4960" t="inlineStr">
        <is>
          <t>Schwarzkopf</t>
        </is>
      </c>
      <c r="E4960" t="n">
        <v>5.29</v>
      </c>
      <c r="F4960" t="n">
        <v>1</v>
      </c>
      <c r="G4960" t="n">
        <v>2</v>
      </c>
      <c r="H4960" s="5">
        <f>HYPERLINK("https://api.qogita.com/variants/link/4045787132250/", "View Product")</f>
        <v/>
      </c>
    </row>
    <row r="4961">
      <c r="A4961" t="inlineStr">
        <is>
          <t>4045787132458</t>
        </is>
      </c>
      <c r="B4961" t="inlineStr">
        <is>
          <t>Schwarzkopf Natural Styling Classic Lotion Capillary 1000ml</t>
        </is>
      </c>
      <c r="C4961" t="inlineStr">
        <is>
          <t>Hair Care Sets</t>
        </is>
      </c>
      <c r="D4961" t="inlineStr">
        <is>
          <t>Schwarzkopf</t>
        </is>
      </c>
      <c r="E4961" t="n">
        <v>16.7</v>
      </c>
      <c r="F4961" t="n">
        <v>1</v>
      </c>
      <c r="G4961" t="n">
        <v>8</v>
      </c>
      <c r="H4961" s="5">
        <f>HYPERLINK("https://api.qogita.com/variants/link/4045787132458/", "View Product")</f>
        <v/>
      </c>
    </row>
    <row r="4962">
      <c r="A4962" t="inlineStr">
        <is>
          <t>4045787300161</t>
        </is>
      </c>
      <c r="B4962" t="inlineStr">
        <is>
          <t>Schwarzkopf Professional Silhouette Very Strong Hair Spray Black 750ml</t>
        </is>
      </c>
      <c r="C4962" t="inlineStr">
        <is>
          <t>Hairspray</t>
        </is>
      </c>
      <c r="D4962" t="inlineStr">
        <is>
          <t>Schwarzkopf</t>
        </is>
      </c>
      <c r="E4962" t="n">
        <v>8.970000000000001</v>
      </c>
      <c r="F4962" t="n">
        <v>1</v>
      </c>
      <c r="G4962" t="n">
        <v>459</v>
      </c>
      <c r="H4962" s="5">
        <f>HYPERLINK("https://api.qogita.com/variants/link/4045787300161/", "View Product")</f>
        <v/>
      </c>
    </row>
    <row r="4963">
      <c r="A4963" t="inlineStr">
        <is>
          <t>4045787564303</t>
        </is>
      </c>
      <c r="B4963" t="inlineStr">
        <is>
          <t>Schwarzkopf Blond Me Toner Deep Chestnut Hair coloring cream 60ml</t>
        </is>
      </c>
      <c r="C4963" t="inlineStr">
        <is>
          <t>Hair Dye</t>
        </is>
      </c>
      <c r="D4963" t="inlineStr">
        <is>
          <t>Schwarzkopf</t>
        </is>
      </c>
      <c r="E4963" t="n">
        <v>7.5</v>
      </c>
      <c r="F4963" t="n">
        <v>1</v>
      </c>
      <c r="G4963" t="n">
        <v>3</v>
      </c>
      <c r="H4963" s="5">
        <f>HYPERLINK("https://api.qogita.com/variants/link/4045787564303/", "View Product")</f>
        <v/>
      </c>
    </row>
    <row r="4964">
      <c r="A4964" t="inlineStr">
        <is>
          <t>4045787564662</t>
        </is>
      </c>
      <c r="B4964" t="inlineStr">
        <is>
          <t>Schwarzkopf Professional Blondme Painton Lightener Toning Granite</t>
        </is>
      </c>
      <c r="C4964" t="inlineStr">
        <is>
          <t>Bleaching</t>
        </is>
      </c>
      <c r="D4964" t="inlineStr">
        <is>
          <t>Schwarzkopf</t>
        </is>
      </c>
      <c r="E4964" t="n">
        <v>7.5</v>
      </c>
      <c r="F4964" t="n">
        <v>1</v>
      </c>
      <c r="G4964" t="n">
        <v>3</v>
      </c>
      <c r="H4964" s="5">
        <f>HYPERLINK("https://api.qogita.com/variants/link/4045787564662/", "View Product")</f>
        <v/>
      </c>
    </row>
    <row r="4965">
      <c r="A4965" t="inlineStr">
        <is>
          <t>4045787564907</t>
        </is>
      </c>
      <c r="B4965" t="inlineStr">
        <is>
          <t>Schwarzkopf Professional Blondme Painton Lightener Toning Nougat Toning And Lightening Hair Cream</t>
        </is>
      </c>
      <c r="C4965" t="inlineStr">
        <is>
          <t>Bleaching</t>
        </is>
      </c>
      <c r="D4965" t="inlineStr">
        <is>
          <t>Schwarzkopf</t>
        </is>
      </c>
      <c r="E4965" t="n">
        <v>7.5</v>
      </c>
      <c r="F4965" t="n">
        <v>1</v>
      </c>
      <c r="G4965" t="n">
        <v>3</v>
      </c>
      <c r="H4965" s="5">
        <f>HYPERLINK("https://api.qogita.com/variants/link/4045787564907/", "View Product")</f>
        <v/>
      </c>
    </row>
    <row r="4966">
      <c r="A4966" t="inlineStr">
        <is>
          <t>4045787635799</t>
        </is>
      </c>
      <c r="B4966" t="inlineStr">
        <is>
          <t>Schwarzkopf Professional Blond Me All Blondes Rich Conditioner</t>
        </is>
      </c>
      <c r="C4966" t="inlineStr">
        <is>
          <t>Conditioner</t>
        </is>
      </c>
      <c r="D4966" t="inlineStr">
        <is>
          <t>Schwarzkopf</t>
        </is>
      </c>
      <c r="E4966" t="n">
        <v>10.63</v>
      </c>
      <c r="F4966" t="n">
        <v>1</v>
      </c>
      <c r="G4966" t="n">
        <v>2</v>
      </c>
      <c r="H4966" s="5">
        <f>HYPERLINK("https://api.qogita.com/variants/link/4045787635799/", "View Product")</f>
        <v/>
      </c>
    </row>
    <row r="4967">
      <c r="A4967" t="inlineStr">
        <is>
          <t>4045787688924</t>
        </is>
      </c>
      <c r="B4967" t="inlineStr">
        <is>
          <t>Schwarzkopf FIBREPLEX N°2 Bond Sealer 500ml</t>
        </is>
      </c>
      <c r="C4967" t="inlineStr">
        <is>
          <t>Conditioner</t>
        </is>
      </c>
      <c r="D4967" t="inlineStr">
        <is>
          <t>Schwarzkopf</t>
        </is>
      </c>
      <c r="E4967" t="n">
        <v>18.09</v>
      </c>
      <c r="F4967" t="n">
        <v>1</v>
      </c>
      <c r="G4967" t="n">
        <v>32</v>
      </c>
      <c r="H4967" s="5">
        <f>HYPERLINK("https://api.qogita.com/variants/link/4045787688924/", "View Product")</f>
        <v/>
      </c>
    </row>
    <row r="4968">
      <c r="A4968" t="inlineStr">
        <is>
          <t>4045787723137</t>
        </is>
      </c>
      <c r="B4968" t="inlineStr">
        <is>
          <t>Schwarzkopf Professional Bc Moisture Kick Hydrating Shampoo For Normal And Dry, Brittle Or Curly Hair 1000ml</t>
        </is>
      </c>
      <c r="C4968" t="inlineStr">
        <is>
          <t>Shampoo</t>
        </is>
      </c>
      <c r="D4968" t="inlineStr">
        <is>
          <t>Schwarzkopf</t>
        </is>
      </c>
      <c r="E4968" t="n">
        <v>18.64</v>
      </c>
      <c r="F4968" t="n">
        <v>1</v>
      </c>
      <c r="G4968" t="n">
        <v>4</v>
      </c>
      <c r="H4968" s="5">
        <f>HYPERLINK("https://api.qogita.com/variants/link/4045787723137/", "View Product")</f>
        <v/>
      </c>
    </row>
    <row r="4969">
      <c r="A4969" t="inlineStr">
        <is>
          <t>4045787723472</t>
        </is>
      </c>
      <c r="B4969" t="inlineStr">
        <is>
          <t>Bc Bonacure Color Freeze Silver Shampoo With Pigment For Cool Hair Shades 250ml</t>
        </is>
      </c>
      <c r="C4969" t="inlineStr">
        <is>
          <t>Shampoo</t>
        </is>
      </c>
      <c r="D4969" t="inlineStr">
        <is>
          <t>Bc Bonacure</t>
        </is>
      </c>
      <c r="E4969" t="n">
        <v>7.13</v>
      </c>
      <c r="F4969" t="n">
        <v>1</v>
      </c>
      <c r="G4969" t="n">
        <v>3</v>
      </c>
      <c r="H4969" s="5">
        <f>HYPERLINK("https://api.qogita.com/variants/link/4045787723472/", "View Product")</f>
        <v/>
      </c>
    </row>
    <row r="4970">
      <c r="A4970" t="inlineStr">
        <is>
          <t>4045787724073</t>
        </is>
      </c>
      <c r="B4970" t="inlineStr">
        <is>
          <t>Schwarzkopf Professional Bc Repair Rescue Shampoo For Damaged Hair 1000ml</t>
        </is>
      </c>
      <c r="C4970" t="inlineStr">
        <is>
          <t>Shampoo</t>
        </is>
      </c>
      <c r="D4970" t="inlineStr">
        <is>
          <t>Schwarzkopf</t>
        </is>
      </c>
      <c r="E4970" t="n">
        <v>14.09</v>
      </c>
      <c r="F4970" t="n">
        <v>1</v>
      </c>
      <c r="G4970" t="n">
        <v>2</v>
      </c>
      <c r="H4970" s="5">
        <f>HYPERLINK("https://api.qogita.com/variants/link/4045787724073/", "View Product")</f>
        <v/>
      </c>
    </row>
    <row r="4971">
      <c r="A4971" t="inlineStr">
        <is>
          <t>4045787724196</t>
        </is>
      </c>
      <c r="B4971" t="inlineStr">
        <is>
          <t>Schwarzkopf BC Color Freeze Treatment 200ml</t>
        </is>
      </c>
      <c r="C4971" t="inlineStr">
        <is>
          <t>Hair Masks</t>
        </is>
      </c>
      <c r="D4971" t="inlineStr">
        <is>
          <t>Schwarzkopf</t>
        </is>
      </c>
      <c r="E4971" t="n">
        <v>10.56</v>
      </c>
      <c r="F4971" t="n">
        <v>1</v>
      </c>
      <c r="G4971" t="n">
        <v>3</v>
      </c>
      <c r="H4971" s="5">
        <f>HYPERLINK("https://api.qogita.com/variants/link/4045787724196/", "View Product")</f>
        <v/>
      </c>
    </row>
    <row r="4972">
      <c r="A4972" t="inlineStr">
        <is>
          <t>4045787725391</t>
        </is>
      </c>
      <c r="B4972" t="inlineStr">
        <is>
          <t>Schwarzkopf Professional Bc Bonacure Frizz Away Shampoo For Unruly And Frizzy Hair</t>
        </is>
      </c>
      <c r="C4972" t="inlineStr">
        <is>
          <t>Shampoo</t>
        </is>
      </c>
      <c r="D4972" t="inlineStr">
        <is>
          <t>Schwarzkopf</t>
        </is>
      </c>
      <c r="E4972" t="n">
        <v>8.44</v>
      </c>
      <c r="F4972" t="n">
        <v>1</v>
      </c>
      <c r="G4972" t="n">
        <v>17</v>
      </c>
      <c r="H4972" s="5">
        <f>HYPERLINK("https://api.qogita.com/variants/link/4045787725391/", "View Product")</f>
        <v/>
      </c>
    </row>
    <row r="4973">
      <c r="A4973" t="inlineStr">
        <is>
          <t>4045787726510</t>
        </is>
      </c>
      <c r="B4973" t="inlineStr">
        <is>
          <t>Bc Bonacure Time Restore Clay Treatment Strengthening Clay Mask For Mature And Brittle Hair 200ml</t>
        </is>
      </c>
      <c r="C4973" t="inlineStr">
        <is>
          <t>Hair Masks</t>
        </is>
      </c>
      <c r="D4973" t="inlineStr">
        <is>
          <t>Bc Bonacure</t>
        </is>
      </c>
      <c r="E4973" t="n">
        <v>10.27</v>
      </c>
      <c r="F4973" t="n">
        <v>1</v>
      </c>
      <c r="G4973" t="n">
        <v>4</v>
      </c>
      <c r="H4973" s="5">
        <f>HYPERLINK("https://api.qogita.com/variants/link/4045787726510/", "View Product")</f>
        <v/>
      </c>
    </row>
    <row r="4974">
      <c r="A4974" t="inlineStr">
        <is>
          <t>4045787726633</t>
        </is>
      </c>
      <c r="B4974" t="inlineStr">
        <is>
          <t>Bc Bonacure Time Restore Shampoo Gentle Cleansing Shampoo For Mature Hair 250ml</t>
        </is>
      </c>
      <c r="C4974" t="inlineStr">
        <is>
          <t>Shampoo</t>
        </is>
      </c>
      <c r="D4974" t="inlineStr">
        <is>
          <t>Bc Bonacure</t>
        </is>
      </c>
      <c r="E4974" t="n">
        <v>6.83</v>
      </c>
      <c r="F4974" t="n">
        <v>1</v>
      </c>
      <c r="G4974" t="n">
        <v>40</v>
      </c>
      <c r="H4974" s="5">
        <f>HYPERLINK("https://api.qogita.com/variants/link/4045787726633/", "View Product")</f>
        <v/>
      </c>
    </row>
    <row r="4975">
      <c r="A4975" t="inlineStr">
        <is>
          <t>4045787726916</t>
        </is>
      </c>
      <c r="B4975" t="inlineStr">
        <is>
          <t>Schwarzkopf Professional Bc Bonacure Moisture Kick Curl Bounce Cream For Curls 150ml</t>
        </is>
      </c>
      <c r="C4975" t="inlineStr">
        <is>
          <t>Conditioner</t>
        </is>
      </c>
      <c r="D4975" t="inlineStr">
        <is>
          <t>Schwarzkopf</t>
        </is>
      </c>
      <c r="E4975" t="n">
        <v>10.98</v>
      </c>
      <c r="F4975" t="n">
        <v>1</v>
      </c>
      <c r="G4975" t="n">
        <v>9</v>
      </c>
      <c r="H4975" s="5">
        <f>HYPERLINK("https://api.qogita.com/variants/link/4045787726916/", "View Product")</f>
        <v/>
      </c>
    </row>
    <row r="4976">
      <c r="A4976" t="inlineStr">
        <is>
          <t>4045787736410</t>
        </is>
      </c>
      <c r="B4976" t="inlineStr">
        <is>
          <t>Schwarzkopf Goodbye Yellow Neutralizing Shampoo 300ml Shampoo Neutralizing Yellow Tones For Colored And Highlighted Hair</t>
        </is>
      </c>
      <c r="C4976" t="inlineStr">
        <is>
          <t>Shampoo</t>
        </is>
      </c>
      <c r="D4976" t="inlineStr">
        <is>
          <t>Schwarzkopf</t>
        </is>
      </c>
      <c r="E4976" t="n">
        <v>9.199999999999999</v>
      </c>
      <c r="F4976" t="n">
        <v>1</v>
      </c>
      <c r="G4976" t="n">
        <v>44</v>
      </c>
      <c r="H4976" s="5">
        <f>HYPERLINK("https://api.qogita.com/variants/link/4045787736410/", "View Product")</f>
        <v/>
      </c>
    </row>
    <row r="4977">
      <c r="A4977" t="inlineStr">
        <is>
          <t>4045787814132</t>
        </is>
      </c>
      <c r="B4977" t="inlineStr">
        <is>
          <t>Schwarzkopf Professional Silhouette Flexible Hairspray 750 Ml</t>
        </is>
      </c>
      <c r="C4977" t="inlineStr">
        <is>
          <t>Hairspray</t>
        </is>
      </c>
      <c r="D4977" t="inlineStr">
        <is>
          <t>Schwarzkopf</t>
        </is>
      </c>
      <c r="E4977" t="n">
        <v>11.16</v>
      </c>
      <c r="F4977" t="n">
        <v>1</v>
      </c>
      <c r="G4977" t="n">
        <v>34</v>
      </c>
      <c r="H4977" s="5">
        <f>HYPERLINK("https://api.qogita.com/variants/link/4045787814132/", "View Product")</f>
        <v/>
      </c>
    </row>
    <row r="4978">
      <c r="A4978" t="inlineStr">
        <is>
          <t>4045787922684</t>
        </is>
      </c>
      <c r="B4978" t="inlineStr">
        <is>
          <t>Schwarzkopf Professional Blondme Premium Care Developer 2 1000ml 7 Vol</t>
        </is>
      </c>
      <c r="C4978" t="inlineStr">
        <is>
          <t>Bleaching</t>
        </is>
      </c>
      <c r="D4978" t="inlineStr">
        <is>
          <t>Schwarzkopf</t>
        </is>
      </c>
      <c r="E4978" t="n">
        <v>7.75</v>
      </c>
      <c r="F4978" t="n">
        <v>1</v>
      </c>
      <c r="G4978" t="n">
        <v>50</v>
      </c>
      <c r="H4978" s="5">
        <f>HYPERLINK("https://api.qogita.com/variants/link/4045787922684/", "View Product")</f>
        <v/>
      </c>
    </row>
    <row r="4979">
      <c r="A4979" t="inlineStr">
        <is>
          <t>4045787928549</t>
        </is>
      </c>
      <c r="B4979" t="inlineStr">
        <is>
          <t>Schwarzkopf Professional Blondme Precision Lightener 7 350g</t>
        </is>
      </c>
      <c r="C4979" t="inlineStr">
        <is>
          <t>Bleaching</t>
        </is>
      </c>
      <c r="D4979" t="inlineStr">
        <is>
          <t>Schwarzkopf</t>
        </is>
      </c>
      <c r="E4979" t="n">
        <v>21.38</v>
      </c>
      <c r="F4979" t="n">
        <v>1</v>
      </c>
      <c r="G4979" t="n">
        <v>21</v>
      </c>
      <c r="H4979" s="5">
        <f>HYPERLINK("https://api.qogita.com/variants/link/4045787928549/", "View Product")</f>
        <v/>
      </c>
    </row>
    <row r="4980">
      <c r="A4980" t="inlineStr">
        <is>
          <t>4045787935998</t>
        </is>
      </c>
      <c r="B4980" t="inlineStr">
        <is>
          <t>Osis+ Thrill Elastic Fiber Gum 100ml - Hair Styling Product</t>
        </is>
      </c>
      <c r="C4980" t="inlineStr">
        <is>
          <t>Wax</t>
        </is>
      </c>
      <c r="D4980" t="inlineStr">
        <is>
          <t>Osis</t>
        </is>
      </c>
      <c r="E4980" t="n">
        <v>6.86</v>
      </c>
      <c r="F4980" t="n">
        <v>1</v>
      </c>
      <c r="G4980" t="n">
        <v>216</v>
      </c>
      <c r="H4980" s="5">
        <f>HYPERLINK("https://api.qogita.com/variants/link/4045787935998/", "View Product")</f>
        <v/>
      </c>
    </row>
    <row r="4981">
      <c r="A4981" t="inlineStr">
        <is>
          <t>4045787955538</t>
        </is>
      </c>
      <c r="B4981" t="inlineStr">
        <is>
          <t>Schwarzkopf Igora Royal Silver Whites Color 60ml - Grey Purple Grey, Purple</t>
        </is>
      </c>
      <c r="C4981" t="inlineStr">
        <is>
          <t>Hair Dye</t>
        </is>
      </c>
      <c r="D4981" t="inlineStr">
        <is>
          <t>Schwarzkopf</t>
        </is>
      </c>
      <c r="E4981" t="n">
        <v>6.47</v>
      </c>
      <c r="F4981" t="n">
        <v>1</v>
      </c>
      <c r="G4981" t="n">
        <v>16</v>
      </c>
      <c r="H4981" s="5">
        <f>HYPERLINK("https://api.qogita.com/variants/link/4045787955538/", "View Product")</f>
        <v/>
      </c>
    </row>
    <row r="4982">
      <c r="A4982" t="inlineStr">
        <is>
          <t>4045787955934</t>
        </is>
      </c>
      <c r="B4982" t="inlineStr">
        <is>
          <t>Schwarzkopf Professional Igora Vario Blond Super Plus Dustfree Powder For Lightening Hair</t>
        </is>
      </c>
      <c r="C4982" t="inlineStr">
        <is>
          <t>Bleaching</t>
        </is>
      </c>
      <c r="D4982" t="inlineStr">
        <is>
          <t>Schwarzkopf</t>
        </is>
      </c>
      <c r="E4982" t="n">
        <v>16.05</v>
      </c>
      <c r="F4982" t="n">
        <v>1</v>
      </c>
      <c r="G4982" t="n">
        <v>24</v>
      </c>
      <c r="H4982" s="5">
        <f>HYPERLINK("https://api.qogita.com/variants/link/4045787955934/", "View Product")</f>
        <v/>
      </c>
    </row>
    <row r="4983">
      <c r="A4983" t="inlineStr">
        <is>
          <t>4045787979817</t>
        </is>
      </c>
      <c r="B4983" t="inlineStr">
        <is>
          <t>Schwarzkopf Professional Igora Royal Oil Developer 3 10 Vol 1000ml</t>
        </is>
      </c>
      <c r="C4983" t="inlineStr">
        <is>
          <t>Hair Dye</t>
        </is>
      </c>
      <c r="D4983" t="inlineStr">
        <is>
          <t>Schwarzkopf</t>
        </is>
      </c>
      <c r="E4983" t="n">
        <v>8.300000000000001</v>
      </c>
      <c r="F4983" t="n">
        <v>1</v>
      </c>
      <c r="G4983" t="n">
        <v>5</v>
      </c>
      <c r="H4983" s="5">
        <f>HYPERLINK("https://api.qogita.com/variants/link/4045787979817/", "View Product")</f>
        <v/>
      </c>
    </row>
    <row r="4984">
      <c r="A4984" t="inlineStr">
        <is>
          <t>4045787979893</t>
        </is>
      </c>
      <c r="B4984" t="inlineStr">
        <is>
          <t>Schwarzkopf Professional Igora Royal Color And Care Developer 9 30 Vol 1000ml White</t>
        </is>
      </c>
      <c r="C4984" t="inlineStr">
        <is>
          <t>Hair Dye</t>
        </is>
      </c>
      <c r="D4984" t="inlineStr">
        <is>
          <t>Schwarzkopf</t>
        </is>
      </c>
      <c r="E4984" t="n">
        <v>6.52</v>
      </c>
      <c r="F4984" t="n">
        <v>1</v>
      </c>
      <c r="G4984" t="n">
        <v>7</v>
      </c>
      <c r="H4984" s="5">
        <f>HYPERLINK("https://api.qogita.com/variants/link/4045787979893/", "View Product")</f>
        <v/>
      </c>
    </row>
    <row r="4985">
      <c r="A4985" t="inlineStr">
        <is>
          <t>4045787980493</t>
        </is>
      </c>
      <c r="B4985" t="inlineStr">
        <is>
          <t>Schwarzkopf Professional Igora Vario Blond Plus Blue Dustfree Lightening Powder</t>
        </is>
      </c>
      <c r="C4985" t="inlineStr">
        <is>
          <t>Bleaching</t>
        </is>
      </c>
      <c r="D4985" t="inlineStr">
        <is>
          <t>Schwarzkopf</t>
        </is>
      </c>
      <c r="E4985" t="n">
        <v>15.86</v>
      </c>
      <c r="F4985" t="n">
        <v>1</v>
      </c>
      <c r="G4985" t="n">
        <v>16</v>
      </c>
      <c r="H4985" s="5">
        <f>HYPERLINK("https://api.qogita.com/variants/link/4045787980493/", "View Product")</f>
        <v/>
      </c>
    </row>
    <row r="4986">
      <c r="A4986" t="inlineStr">
        <is>
          <t>4045787998214</t>
        </is>
      </c>
      <c r="B4986" t="inlineStr">
        <is>
          <t>Schwarzkopf Professional Bc Bonacure Antidandruff Shampoo 250ml</t>
        </is>
      </c>
      <c r="C4986" t="inlineStr">
        <is>
          <t>Shampoo</t>
        </is>
      </c>
      <c r="D4986" t="inlineStr">
        <is>
          <t>Schwarzkopf</t>
        </is>
      </c>
      <c r="E4986" t="n">
        <v>8.5</v>
      </c>
      <c r="F4986" t="n">
        <v>1</v>
      </c>
      <c r="G4986" t="n">
        <v>31</v>
      </c>
      <c r="H4986" s="5">
        <f>HYPERLINK("https://api.qogita.com/variants/link/4045787998214/", "View Product")</f>
        <v/>
      </c>
    </row>
    <row r="4987">
      <c r="A4987" t="inlineStr">
        <is>
          <t>4045787999082</t>
        </is>
      </c>
      <c r="B4987" t="inlineStr">
        <is>
          <t>Schwarzkopf Professional Osis+ Freeze Pump Hair Spray Strong Hold 200ml</t>
        </is>
      </c>
      <c r="C4987" t="inlineStr">
        <is>
          <t>Hairspray</t>
        </is>
      </c>
      <c r="D4987" t="inlineStr">
        <is>
          <t>Schwarzkopf</t>
        </is>
      </c>
      <c r="E4987" t="n">
        <v>6.71</v>
      </c>
      <c r="F4987" t="n">
        <v>1</v>
      </c>
      <c r="G4987" t="n">
        <v>13</v>
      </c>
      <c r="H4987" s="5">
        <f>HYPERLINK("https://api.qogita.com/variants/link/4045787999082/", "View Product")</f>
        <v/>
      </c>
    </row>
    <row r="4988">
      <c r="A4988" t="inlineStr">
        <is>
          <t>4045787999105</t>
        </is>
      </c>
      <c r="B4988" t="inlineStr">
        <is>
          <t>Osis+ Elastic Flexible Hair Spray 500ml By Osis</t>
        </is>
      </c>
      <c r="C4988" t="inlineStr">
        <is>
          <t>Hairspray</t>
        </is>
      </c>
      <c r="D4988" t="inlineStr">
        <is>
          <t>Osis</t>
        </is>
      </c>
      <c r="E4988" t="n">
        <v>8.67</v>
      </c>
      <c r="F4988" t="n">
        <v>1</v>
      </c>
      <c r="G4988" t="n">
        <v>218</v>
      </c>
      <c r="H4988" s="5">
        <f>HYPERLINK("https://api.qogita.com/variants/link/4045787999105/", "View Product")</f>
        <v/>
      </c>
    </row>
    <row r="4989">
      <c r="A4989" t="inlineStr">
        <is>
          <t>4045787999341</t>
        </is>
      </c>
      <c r="B4989" t="inlineStr">
        <is>
          <t>Schwarzkopf Professional Osis+ Refresh Dust Dry Shampoo For Hair 300ml</t>
        </is>
      </c>
      <c r="C4989" t="inlineStr">
        <is>
          <t>Dry Shampoo</t>
        </is>
      </c>
      <c r="D4989" t="inlineStr">
        <is>
          <t>Schwarzkopf</t>
        </is>
      </c>
      <c r="E4989" t="n">
        <v>7.02</v>
      </c>
      <c r="F4989" t="n">
        <v>1</v>
      </c>
      <c r="G4989" t="n">
        <v>31</v>
      </c>
      <c r="H4989" s="5">
        <f>HYPERLINK("https://api.qogita.com/variants/link/4045787999341/", "View Product")</f>
        <v/>
      </c>
    </row>
    <row r="4990">
      <c r="A4990" t="inlineStr">
        <is>
          <t>4045787999617</t>
        </is>
      </c>
      <c r="B4990" t="inlineStr">
        <is>
          <t>Osis+ Texture Craft Texturizing Hair Spray 300ml</t>
        </is>
      </c>
      <c r="C4990" t="inlineStr">
        <is>
          <t>Hairspray</t>
        </is>
      </c>
      <c r="D4990" t="inlineStr">
        <is>
          <t>Osis</t>
        </is>
      </c>
      <c r="E4990" t="n">
        <v>8.99</v>
      </c>
      <c r="F4990" t="n">
        <v>1</v>
      </c>
      <c r="G4990" t="n">
        <v>45</v>
      </c>
      <c r="H4990" s="5">
        <f>HYPERLINK("https://api.qogita.com/variants/link/4045787999617/", "View Product")</f>
        <v/>
      </c>
    </row>
    <row r="4991">
      <c r="A4991" t="inlineStr">
        <is>
          <t>7350016331579</t>
        </is>
      </c>
      <c r="B4991" t="inlineStr">
        <is>
          <t>SACHAJUAN Intensive Repair Shampoo 250ml</t>
        </is>
      </c>
      <c r="C4991" t="inlineStr">
        <is>
          <t>Shampoo</t>
        </is>
      </c>
      <c r="D4991" t="inlineStr">
        <is>
          <t>Sachajuan</t>
        </is>
      </c>
      <c r="E4991" t="n">
        <v>17.81</v>
      </c>
      <c r="F4991" t="n">
        <v>1</v>
      </c>
      <c r="G4991" t="n">
        <v>5</v>
      </c>
      <c r="H4991" s="5">
        <f>HYPERLINK("https://api.qogita.com/variants/link/7350016331579/", "View Product")</f>
        <v/>
      </c>
    </row>
    <row r="4992">
      <c r="A4992" t="inlineStr">
        <is>
          <t>7350016331685</t>
        </is>
      </c>
      <c r="B4992" t="inlineStr">
        <is>
          <t>SACHAJUAN Styling Cream 125ml</t>
        </is>
      </c>
      <c r="C4992" t="inlineStr">
        <is>
          <t>Styling Creams</t>
        </is>
      </c>
      <c r="D4992" t="inlineStr">
        <is>
          <t>Sachajuan</t>
        </is>
      </c>
      <c r="E4992" t="n">
        <v>20.14</v>
      </c>
      <c r="F4992" t="n">
        <v>1</v>
      </c>
      <c r="G4992" t="n">
        <v>13</v>
      </c>
      <c r="H4992" s="5">
        <f>HYPERLINK("https://api.qogita.com/variants/link/7350016331685/", "View Product")</f>
        <v/>
      </c>
    </row>
    <row r="4993">
      <c r="A4993" t="inlineStr">
        <is>
          <t>7350016331739</t>
        </is>
      </c>
      <c r="B4993" t="inlineStr">
        <is>
          <t>SACHAJUAN Protective Hair Perfume Clear 50ml</t>
        </is>
      </c>
      <c r="C4993" t="inlineStr">
        <is>
          <t>Eau De Toilette</t>
        </is>
      </c>
      <c r="D4993" t="inlineStr">
        <is>
          <t>Sachajuan</t>
        </is>
      </c>
      <c r="E4993" t="n">
        <v>41.17</v>
      </c>
      <c r="F4993" t="n">
        <v>1</v>
      </c>
      <c r="G4993" t="n">
        <v>2</v>
      </c>
      <c r="H4993" s="5">
        <f>HYPERLINK("https://api.qogita.com/variants/link/7350016331739/", "View Product")</f>
        <v/>
      </c>
    </row>
    <row r="4994">
      <c r="A4994" t="inlineStr">
        <is>
          <t>7350016332118</t>
        </is>
      </c>
      <c r="B4994" t="inlineStr">
        <is>
          <t>Sachajuan Cleanse Care Moisturizing Shampoo For Dry Hair</t>
        </is>
      </c>
      <c r="C4994" t="inlineStr">
        <is>
          <t>Shampoo</t>
        </is>
      </c>
      <c r="D4994" t="inlineStr">
        <is>
          <t>Sachajuan</t>
        </is>
      </c>
      <c r="E4994" t="n">
        <v>17.82</v>
      </c>
      <c r="F4994" t="n">
        <v>1</v>
      </c>
      <c r="G4994" t="n">
        <v>8</v>
      </c>
      <c r="H4994" s="5">
        <f>HYPERLINK("https://api.qogita.com/variants/link/7350016332118/", "View Product")</f>
        <v/>
      </c>
    </row>
    <row r="4995">
      <c r="A4995" t="inlineStr">
        <is>
          <t>7350016332125</t>
        </is>
      </c>
      <c r="B4995" t="inlineStr">
        <is>
          <t>Sachajuan Moisturizing Conditioner For Damaged Hair</t>
        </is>
      </c>
      <c r="C4995" t="inlineStr">
        <is>
          <t>Conditioner</t>
        </is>
      </c>
      <c r="D4995" t="inlineStr">
        <is>
          <t>Sachajuan</t>
        </is>
      </c>
      <c r="E4995" t="n">
        <v>18.39</v>
      </c>
      <c r="F4995" t="n">
        <v>1</v>
      </c>
      <c r="G4995" t="n">
        <v>5</v>
      </c>
      <c r="H4995" s="5">
        <f>HYPERLINK("https://api.qogita.com/variants/link/7350016332125/", "View Product")</f>
        <v/>
      </c>
    </row>
    <row r="4996">
      <c r="A4996" t="inlineStr">
        <is>
          <t>7350016332156</t>
        </is>
      </c>
      <c r="B4996" t="inlineStr">
        <is>
          <t>Sachajuan Fibre Paste - 80 Ml Hair Styling Paste</t>
        </is>
      </c>
      <c r="C4996" t="inlineStr">
        <is>
          <t>Wax</t>
        </is>
      </c>
      <c r="D4996" t="inlineStr">
        <is>
          <t>Sachajuan</t>
        </is>
      </c>
      <c r="E4996" t="n">
        <v>22.3</v>
      </c>
      <c r="F4996" t="n">
        <v>1</v>
      </c>
      <c r="G4996" t="n">
        <v>4</v>
      </c>
      <c r="H4996" s="5">
        <f>HYPERLINK("https://api.qogita.com/variants/link/7350016332156/", "View Product")</f>
        <v/>
      </c>
    </row>
    <row r="4997">
      <c r="A4997" t="inlineStr">
        <is>
          <t>7350016332200</t>
        </is>
      </c>
      <c r="B4997" t="inlineStr">
        <is>
          <t>SACHAJUAN Thickening Shampoo Clear 100ml</t>
        </is>
      </c>
      <c r="C4997" t="inlineStr">
        <is>
          <t>Shampoo</t>
        </is>
      </c>
      <c r="D4997" t="inlineStr">
        <is>
          <t>Sachajuan</t>
        </is>
      </c>
      <c r="E4997" t="n">
        <v>10.09</v>
      </c>
      <c r="F4997" t="n">
        <v>1</v>
      </c>
      <c r="G4997" t="n">
        <v>7</v>
      </c>
      <c r="H4997" s="5">
        <f>HYPERLINK("https://api.qogita.com/variants/link/7350016332200/", "View Product")</f>
        <v/>
      </c>
    </row>
    <row r="4998">
      <c r="A4998" t="inlineStr">
        <is>
          <t>7350016332255</t>
        </is>
      </c>
      <c r="B4998" t="inlineStr">
        <is>
          <t>Sachajuan Shiny Citrus Moisturizing Shower Gel</t>
        </is>
      </c>
      <c r="C4998" t="inlineStr">
        <is>
          <t>Shower Gel</t>
        </is>
      </c>
      <c r="D4998" t="inlineStr">
        <is>
          <t>Sachajuan</t>
        </is>
      </c>
      <c r="E4998" t="n">
        <v>31.49</v>
      </c>
      <c r="F4998" t="n">
        <v>1</v>
      </c>
      <c r="G4998" t="n">
        <v>5</v>
      </c>
      <c r="H4998" s="5">
        <f>HYPERLINK("https://api.qogita.com/variants/link/7350016332255/", "View Product")</f>
        <v/>
      </c>
    </row>
    <row r="4999">
      <c r="A4999" t="inlineStr">
        <is>
          <t>7350016332439</t>
        </is>
      </c>
      <c r="B4999" t="inlineStr">
        <is>
          <t>SACHAJUAN Curl Shampoo 100ml 1000ml Clear</t>
        </is>
      </c>
      <c r="C4999" t="inlineStr">
        <is>
          <t>Shampoo</t>
        </is>
      </c>
      <c r="D4999" t="inlineStr">
        <is>
          <t>Sachajuan</t>
        </is>
      </c>
      <c r="E4999" t="n">
        <v>17.91</v>
      </c>
      <c r="F4999" t="n">
        <v>1</v>
      </c>
      <c r="G4999" t="n">
        <v>6</v>
      </c>
      <c r="H4999" s="5">
        <f>HYPERLINK("https://api.qogita.com/variants/link/7350016332439/", "View Product")</f>
        <v/>
      </c>
    </row>
    <row r="5000">
      <c r="A5000" t="inlineStr">
        <is>
          <t>7350016332514</t>
        </is>
      </c>
      <c r="B5000" t="inlineStr">
        <is>
          <t>Sachajuan Curl Treatment Cream Serum For Curly Hair</t>
        </is>
      </c>
      <c r="C5000" t="inlineStr">
        <is>
          <t>Hair Oil &amp; Hair Serum</t>
        </is>
      </c>
      <c r="D5000" t="inlineStr">
        <is>
          <t>Sachajuan</t>
        </is>
      </c>
      <c r="E5000" t="n">
        <v>45.69</v>
      </c>
      <c r="F5000" t="n">
        <v>1</v>
      </c>
      <c r="G5000" t="n">
        <v>5</v>
      </c>
      <c r="H5000" s="5">
        <f>HYPERLINK("https://api.qogita.com/variants/link/7350016332514/", "View Product")</f>
        <v/>
      </c>
    </row>
    <row r="5001">
      <c r="A5001" t="inlineStr">
        <is>
          <t>7350016332828</t>
        </is>
      </c>
      <c r="B5001" t="inlineStr">
        <is>
          <t>SACHAJUAN Intensive Hair Oil 50ml</t>
        </is>
      </c>
      <c r="C5001" t="inlineStr">
        <is>
          <t>Hair Oil &amp; Hair Serum</t>
        </is>
      </c>
      <c r="D5001" t="inlineStr">
        <is>
          <t>Sachajuan</t>
        </is>
      </c>
      <c r="E5001" t="n">
        <v>33.85</v>
      </c>
      <c r="F5001" t="n">
        <v>1</v>
      </c>
      <c r="G5001" t="n">
        <v>6</v>
      </c>
      <c r="H5001" s="5">
        <f>HYPERLINK("https://api.qogita.com/variants/link/7350016332828/", "View Product")</f>
        <v/>
      </c>
    </row>
    <row r="5002">
      <c r="A5002" t="inlineStr">
        <is>
          <t>7350016332897</t>
        </is>
      </c>
      <c r="B5002" t="inlineStr">
        <is>
          <t>SACHAJUAN Normal Hair Shampoo 990ml</t>
        </is>
      </c>
      <c r="C5002" t="inlineStr">
        <is>
          <t>Shampoo</t>
        </is>
      </c>
      <c r="D5002" t="inlineStr">
        <is>
          <t>Sachajuan</t>
        </is>
      </c>
      <c r="E5002" t="n">
        <v>55.02</v>
      </c>
      <c r="F5002" t="n">
        <v>1</v>
      </c>
      <c r="G5002" t="n">
        <v>5</v>
      </c>
      <c r="H5002" s="5">
        <f>HYPERLINK("https://api.qogita.com/variants/link/7350016332897/", "View Product")</f>
        <v/>
      </c>
    </row>
    <row r="5003">
      <c r="A5003" t="inlineStr">
        <is>
          <t>7350016333016</t>
        </is>
      </c>
      <c r="B5003" t="inlineStr">
        <is>
          <t>Sachajuan Hairspray Light and Flexible 75 ml - Natural Hold</t>
        </is>
      </c>
      <c r="C5003" t="inlineStr">
        <is>
          <t>Hairspray</t>
        </is>
      </c>
      <c r="D5003" t="inlineStr">
        <is>
          <t>Sachajuan</t>
        </is>
      </c>
      <c r="E5003" t="n">
        <v>11.96</v>
      </c>
      <c r="F5003" t="n">
        <v>1</v>
      </c>
      <c r="G5003" t="n">
        <v>5</v>
      </c>
      <c r="H5003" s="5">
        <f>HYPERLINK("https://api.qogita.com/variants/link/7350016333016/", "View Product")</f>
        <v/>
      </c>
    </row>
    <row r="5004">
      <c r="A5004" t="inlineStr">
        <is>
          <t>7350016333023</t>
        </is>
      </c>
      <c r="B5004" t="inlineStr">
        <is>
          <t>SACHAJUAN Hair Spray Strong Control 200ml</t>
        </is>
      </c>
      <c r="C5004" t="inlineStr">
        <is>
          <t>Hairspray</t>
        </is>
      </c>
      <c r="D5004" t="inlineStr">
        <is>
          <t>Sachajuan</t>
        </is>
      </c>
      <c r="E5004" t="n">
        <v>20.3</v>
      </c>
      <c r="F5004" t="n">
        <v>1</v>
      </c>
      <c r="G5004" t="n">
        <v>5</v>
      </c>
      <c r="H5004" s="5">
        <f>HYPERLINK("https://api.qogita.com/variants/link/7350016333023/", "View Product")</f>
        <v/>
      </c>
    </row>
    <row r="5005">
      <c r="A5005" t="inlineStr">
        <is>
          <t>7350016333047</t>
        </is>
      </c>
      <c r="B5005" t="inlineStr">
        <is>
          <t>Sachajuan Hair In The Sun Hair Protection Cream 100ml</t>
        </is>
      </c>
      <c r="C5005" t="inlineStr">
        <is>
          <t>Uv Protection</t>
        </is>
      </c>
      <c r="D5005" t="inlineStr">
        <is>
          <t>Sachajuan</t>
        </is>
      </c>
      <c r="E5005" t="n">
        <v>17.9</v>
      </c>
      <c r="F5005" t="n">
        <v>1</v>
      </c>
      <c r="G5005" t="n">
        <v>3</v>
      </c>
      <c r="H5005" s="5">
        <f>HYPERLINK("https://api.qogita.com/variants/link/7350016333047/", "View Product")</f>
        <v/>
      </c>
    </row>
    <row r="5006">
      <c r="A5006" t="inlineStr">
        <is>
          <t>7350049568553</t>
        </is>
      </c>
      <c r="B5006" t="inlineStr">
        <is>
          <t>Jabushe Original Cream - Skin Cream For The Reduction Of Fine Wrinkles, 50 Ml</t>
        </is>
      </c>
      <c r="C5006" t="inlineStr">
        <is>
          <t>Anti-Aging Facial Care</t>
        </is>
      </c>
      <c r="D5006" t="inlineStr">
        <is>
          <t>Jabushe</t>
        </is>
      </c>
      <c r="E5006" t="n">
        <v>42.32</v>
      </c>
      <c r="F5006" t="n">
        <v>1</v>
      </c>
      <c r="G5006" t="n">
        <v>3</v>
      </c>
      <c r="H5006" s="5">
        <f>HYPERLINK("https://api.qogita.com/variants/link/7350049568553/", "View Product")</f>
        <v/>
      </c>
    </row>
    <row r="5007">
      <c r="A5007" t="inlineStr">
        <is>
          <t>7350049568980</t>
        </is>
      </c>
      <c r="B5007" t="inlineStr">
        <is>
          <t>Jabushe Moisture Cream - Day And Night Moisturizing Skin Cream, 50 Ml</t>
        </is>
      </c>
      <c r="C5007" t="inlineStr">
        <is>
          <t>Face Cream</t>
        </is>
      </c>
      <c r="D5007" t="inlineStr">
        <is>
          <t>Jabushe</t>
        </is>
      </c>
      <c r="E5007" t="n">
        <v>24.57</v>
      </c>
      <c r="F5007" t="n">
        <v>1</v>
      </c>
      <c r="G5007" t="n">
        <v>7</v>
      </c>
      <c r="H5007" s="5">
        <f>HYPERLINK("https://api.qogita.com/variants/link/7350049568980/", "View Product")</f>
        <v/>
      </c>
    </row>
    <row r="5008">
      <c r="A5008" t="inlineStr">
        <is>
          <t>7350052830388</t>
        </is>
      </c>
      <c r="B5008" t="inlineStr">
        <is>
          <t>Manasi 7 Natural Brightening Eye Shadow Eye Glow Colour 5 G</t>
        </is>
      </c>
      <c r="C5008" t="inlineStr">
        <is>
          <t>Eyeshadow</t>
        </is>
      </c>
      <c r="D5008" t="inlineStr">
        <is>
          <t>Manasi 7</t>
        </is>
      </c>
      <c r="E5008" t="n">
        <v>32.81</v>
      </c>
      <c r="F5008" t="n">
        <v>1</v>
      </c>
      <c r="G5008" t="n">
        <v>2</v>
      </c>
      <c r="H5008" s="5">
        <f>HYPERLINK("https://api.qogita.com/variants/link/7350052830388/", "View Product")</f>
        <v/>
      </c>
    </row>
    <row r="5009">
      <c r="A5009" t="inlineStr">
        <is>
          <t>7350052830425</t>
        </is>
      </c>
      <c r="B5009" t="inlineStr">
        <is>
          <t>Manasi 7 Strobelighter Delirio</t>
        </is>
      </c>
      <c r="C5009" t="inlineStr">
        <is>
          <t>Highlighter</t>
        </is>
      </c>
      <c r="D5009" t="inlineStr">
        <is>
          <t>Manasi 7</t>
        </is>
      </c>
      <c r="E5009" t="n">
        <v>39.44</v>
      </c>
      <c r="F5009" t="n">
        <v>1</v>
      </c>
      <c r="G5009" t="n">
        <v>2</v>
      </c>
      <c r="H5009" s="5">
        <f>HYPERLINK("https://api.qogita.com/variants/link/7350052830425/", "View Product")</f>
        <v/>
      </c>
    </row>
    <row r="5010">
      <c r="A5010" t="inlineStr">
        <is>
          <t>7350052830517</t>
        </is>
      </c>
      <c r="B5010" t="inlineStr">
        <is>
          <t>Manasi 7 Natural Brightening Eye Shadow Eye Glow Colour - 5 G</t>
        </is>
      </c>
      <c r="C5010" t="inlineStr">
        <is>
          <t>Eyeshadow</t>
        </is>
      </c>
      <c r="D5010" t="inlineStr">
        <is>
          <t>Manasi 7</t>
        </is>
      </c>
      <c r="E5010" t="n">
        <v>32.81</v>
      </c>
      <c r="F5010" t="n">
        <v>1</v>
      </c>
      <c r="G5010" t="n">
        <v>2</v>
      </c>
      <c r="H5010" s="5">
        <f>HYPERLINK("https://api.qogita.com/variants/link/7350052830517/", "View Product")</f>
        <v/>
      </c>
    </row>
    <row r="5011">
      <c r="A5011" t="inlineStr">
        <is>
          <t>7350052830777</t>
        </is>
      </c>
      <c r="B5011" t="inlineStr">
        <is>
          <t>Manasi 7 Caring Multifunctional Oil For Lips, Cheeks And Eyes Tinted Beauty Potion 6 Ml</t>
        </is>
      </c>
      <c r="C5011" t="inlineStr">
        <is>
          <t>Lip Balm</t>
        </is>
      </c>
      <c r="D5011" t="inlineStr">
        <is>
          <t>Manasi 7</t>
        </is>
      </c>
      <c r="E5011" t="n">
        <v>28.83</v>
      </c>
      <c r="F5011" t="n">
        <v>1</v>
      </c>
      <c r="G5011" t="n">
        <v>2</v>
      </c>
      <c r="H5011" s="5">
        <f>HYPERLINK("https://api.qogita.com/variants/link/7350052830777/", "View Product")</f>
        <v/>
      </c>
    </row>
    <row r="5012">
      <c r="A5012" t="inlineStr">
        <is>
          <t>7350052830784</t>
        </is>
      </c>
      <c r="B5012" t="inlineStr">
        <is>
          <t>Manasi 7 Caring Multifunctional Oil For Lips, Cheeks And Eyes Tinted Beauty Potion - 6 Ml</t>
        </is>
      </c>
      <c r="C5012" t="inlineStr">
        <is>
          <t>Lip Balm</t>
        </is>
      </c>
      <c r="D5012" t="inlineStr">
        <is>
          <t>Manasi 7</t>
        </is>
      </c>
      <c r="E5012" t="n">
        <v>28.83</v>
      </c>
      <c r="F5012" t="n">
        <v>1</v>
      </c>
      <c r="G5012" t="n">
        <v>2</v>
      </c>
      <c r="H5012" s="5">
        <f>HYPERLINK("https://api.qogita.com/variants/link/7350052830784/", "View Product")</f>
        <v/>
      </c>
    </row>
    <row r="5013">
      <c r="A5013" t="inlineStr">
        <is>
          <t>7391681022393</t>
        </is>
      </c>
      <c r="B5013" t="inlineStr">
        <is>
          <t>Maria Nila Professional Haircare IQ Clay 100ml</t>
        </is>
      </c>
      <c r="C5013" t="inlineStr">
        <is>
          <t>Wax</t>
        </is>
      </c>
      <c r="D5013" t="inlineStr">
        <is>
          <t>Maria Nila</t>
        </is>
      </c>
      <c r="E5013" t="n">
        <v>17.47</v>
      </c>
      <c r="F5013" t="n">
        <v>1</v>
      </c>
      <c r="G5013" t="n">
        <v>2</v>
      </c>
      <c r="H5013" s="5">
        <f>HYPERLINK("https://api.qogita.com/variants/link/7391681022393/", "View Product")</f>
        <v/>
      </c>
    </row>
    <row r="5014">
      <c r="A5014" t="inlineStr">
        <is>
          <t>7391681036017</t>
        </is>
      </c>
      <c r="B5014" t="inlineStr">
        <is>
          <t>Maria Nila Structure Repair Conditioner 300ml</t>
        </is>
      </c>
      <c r="C5014" t="inlineStr">
        <is>
          <t>Conditioner</t>
        </is>
      </c>
      <c r="D5014" t="inlineStr">
        <is>
          <t>Maria Nila</t>
        </is>
      </c>
      <c r="E5014" t="n">
        <v>18.47</v>
      </c>
      <c r="F5014" t="n">
        <v>1</v>
      </c>
      <c r="G5014" t="n">
        <v>4</v>
      </c>
      <c r="H5014" s="5">
        <f>HYPERLINK("https://api.qogita.com/variants/link/7391681036017/", "View Product")</f>
        <v/>
      </c>
    </row>
    <row r="5015">
      <c r="A5015" t="inlineStr">
        <is>
          <t>7391681036048</t>
        </is>
      </c>
      <c r="B5015" t="inlineStr">
        <is>
          <t>Maria Nila Strengthening Conditioner For Dry And Damaged Hair Structure Repair</t>
        </is>
      </c>
      <c r="C5015" t="inlineStr">
        <is>
          <t>Conditioner</t>
        </is>
      </c>
      <c r="D5015" t="inlineStr">
        <is>
          <t>Maria Nila</t>
        </is>
      </c>
      <c r="E5015" t="n">
        <v>44.03</v>
      </c>
      <c r="F5015" t="n">
        <v>1</v>
      </c>
      <c r="G5015" t="n">
        <v>3</v>
      </c>
      <c r="H5015" s="5">
        <f>HYPERLINK("https://api.qogita.com/variants/link/7391681036048/", "View Product")</f>
        <v/>
      </c>
    </row>
    <row r="5016">
      <c r="A5016" t="inlineStr">
        <is>
          <t>7391681036109</t>
        </is>
      </c>
      <c r="B5016" t="inlineStr">
        <is>
          <t>Maria Nila Pure Volume Shampoo Available In 300ml And 350ml Sizes</t>
        </is>
      </c>
      <c r="C5016" t="inlineStr">
        <is>
          <t>Shampoo</t>
        </is>
      </c>
      <c r="D5016" t="inlineStr">
        <is>
          <t>Maria Nila</t>
        </is>
      </c>
      <c r="E5016" t="n">
        <v>23.29</v>
      </c>
      <c r="F5016" t="n">
        <v>1</v>
      </c>
      <c r="G5016" t="n">
        <v>17</v>
      </c>
      <c r="H5016" s="5">
        <f>HYPERLINK("https://api.qogita.com/variants/link/7391681036109/", "View Product")</f>
        <v/>
      </c>
    </row>
    <row r="5017">
      <c r="A5017" t="inlineStr">
        <is>
          <t>7391681036147</t>
        </is>
      </c>
      <c r="B5017" t="inlineStr">
        <is>
          <t>Maria Nila Pure Volume Conditioner Hydrating Conditioner For Fine Hair Volume 1000ml</t>
        </is>
      </c>
      <c r="C5017" t="inlineStr">
        <is>
          <t>Conditioner</t>
        </is>
      </c>
      <c r="D5017" t="inlineStr">
        <is>
          <t>Maria Nila</t>
        </is>
      </c>
      <c r="E5017" t="n">
        <v>53.04</v>
      </c>
      <c r="F5017" t="n">
        <v>1</v>
      </c>
      <c r="G5017" t="n">
        <v>3</v>
      </c>
      <c r="H5017" s="5">
        <f>HYPERLINK("https://api.qogita.com/variants/link/7391681036147/", "View Product")</f>
        <v/>
      </c>
    </row>
    <row r="5018">
      <c r="A5018" t="inlineStr">
        <is>
          <t>7391681036345</t>
        </is>
      </c>
      <c r="B5018" t="inlineStr">
        <is>
          <t>Maria Nila True Soft Conditioner</t>
        </is>
      </c>
      <c r="C5018" t="inlineStr">
        <is>
          <t>Conditioner</t>
        </is>
      </c>
      <c r="D5018" t="inlineStr">
        <is>
          <t>Maria Nila</t>
        </is>
      </c>
      <c r="E5018" t="n">
        <v>57.34</v>
      </c>
      <c r="F5018" t="n">
        <v>1</v>
      </c>
      <c r="G5018" t="n">
        <v>2</v>
      </c>
      <c r="H5018" s="5">
        <f>HYPERLINK("https://api.qogita.com/variants/link/7391681036345/", "View Product")</f>
        <v/>
      </c>
    </row>
    <row r="5019">
      <c r="A5019" t="inlineStr">
        <is>
          <t>7391681037090</t>
        </is>
      </c>
      <c r="B5019" t="inlineStr">
        <is>
          <t>Maria Nila Colour Refresh Bright Red 0.66 Hair Coloring Mask - 300ml</t>
        </is>
      </c>
      <c r="C5019" t="inlineStr">
        <is>
          <t>Hair Dye</t>
        </is>
      </c>
      <c r="D5019" t="inlineStr">
        <is>
          <t>Maria Nila</t>
        </is>
      </c>
      <c r="E5019" t="n">
        <v>24.95</v>
      </c>
      <c r="F5019" t="n">
        <v>1</v>
      </c>
      <c r="G5019" t="n">
        <v>5</v>
      </c>
      <c r="H5019" s="5">
        <f>HYPERLINK("https://api.qogita.com/variants/link/7391681037090/", "View Product")</f>
        <v/>
      </c>
    </row>
    <row r="5020">
      <c r="A5020" t="inlineStr">
        <is>
          <t>7391681037182</t>
        </is>
      </c>
      <c r="B5020" t="inlineStr">
        <is>
          <t>Maria Nila Colour Refresh Peach Hair Mask 300ml</t>
        </is>
      </c>
      <c r="C5020" t="inlineStr">
        <is>
          <t>Hair Masks</t>
        </is>
      </c>
      <c r="D5020" t="inlineStr">
        <is>
          <t>Maria Nila</t>
        </is>
      </c>
      <c r="E5020" t="n">
        <v>21.2</v>
      </c>
      <c r="F5020" t="n">
        <v>1</v>
      </c>
      <c r="G5020" t="n">
        <v>4</v>
      </c>
      <c r="H5020" s="5">
        <f>HYPERLINK("https://api.qogita.com/variants/link/7391681037182/", "View Product")</f>
        <v/>
      </c>
    </row>
    <row r="5021">
      <c r="A5021" t="inlineStr">
        <is>
          <t>7391681038318</t>
        </is>
      </c>
      <c r="B5021" t="inlineStr">
        <is>
          <t>Maria Nila Invisidry Shampoo 100ml</t>
        </is>
      </c>
      <c r="C5021" t="inlineStr">
        <is>
          <t>Shampoo</t>
        </is>
      </c>
      <c r="D5021" t="inlineStr">
        <is>
          <t>Maria Nila</t>
        </is>
      </c>
      <c r="E5021" t="n">
        <v>13.28</v>
      </c>
      <c r="F5021" t="n">
        <v>1</v>
      </c>
      <c r="G5021" t="n">
        <v>5</v>
      </c>
      <c r="H5021" s="5">
        <f>HYPERLINK("https://api.qogita.com/variants/link/7391681038318/", "View Product")</f>
        <v/>
      </c>
    </row>
    <row r="5022">
      <c r="A5022" t="inlineStr">
        <is>
          <t>7391681038554</t>
        </is>
      </c>
      <c r="B5022" t="inlineStr">
        <is>
          <t>Maria Nila Volume &amp; Texture Ocean Spray 150ml Beach Spray Hairless Styling Spray</t>
        </is>
      </c>
      <c r="C5022" t="inlineStr">
        <is>
          <t>Styling Sprays</t>
        </is>
      </c>
      <c r="D5022" t="inlineStr">
        <is>
          <t>Maria Nila</t>
        </is>
      </c>
      <c r="E5022" t="n">
        <v>22.83</v>
      </c>
      <c r="F5022" t="n">
        <v>1</v>
      </c>
      <c r="G5022" t="n">
        <v>17</v>
      </c>
      <c r="H5022" s="5">
        <f>HYPERLINK("https://api.qogita.com/variants/link/7391681038554/", "View Product")</f>
        <v/>
      </c>
    </row>
    <row r="5023">
      <c r="A5023" t="inlineStr">
        <is>
          <t>7391681038769</t>
        </is>
      </c>
      <c r="B5023" t="inlineStr">
        <is>
          <t>Maria Nila Cleansing Powder 60g</t>
        </is>
      </c>
      <c r="C5023" t="inlineStr">
        <is>
          <t>Facial Scrub &amp; Peeling</t>
        </is>
      </c>
      <c r="D5023" t="inlineStr">
        <is>
          <t>Maria Nila</t>
        </is>
      </c>
      <c r="E5023" t="n">
        <v>13.28</v>
      </c>
      <c r="F5023" t="n">
        <v>1</v>
      </c>
      <c r="G5023" t="n">
        <v>9</v>
      </c>
      <c r="H5023" s="5">
        <f>HYPERLINK("https://api.qogita.com/variants/link/7391681038769/", "View Product")</f>
        <v/>
      </c>
    </row>
    <row r="5024">
      <c r="A5024" t="inlineStr">
        <is>
          <t>7391681040113</t>
        </is>
      </c>
      <c r="B5024" t="inlineStr">
        <is>
          <t>Maria Nila Meadow Hand Lotion 300ml</t>
        </is>
      </c>
      <c r="C5024" t="inlineStr">
        <is>
          <t>Hand Cream</t>
        </is>
      </c>
      <c r="D5024" t="inlineStr">
        <is>
          <t>Maria Nila</t>
        </is>
      </c>
      <c r="E5024" t="n">
        <v>17.65</v>
      </c>
      <c r="F5024" t="n">
        <v>1</v>
      </c>
      <c r="G5024" t="n">
        <v>2</v>
      </c>
      <c r="H5024" s="5">
        <f>HYPERLINK("https://api.qogita.com/variants/link/7391681040113/", "View Product")</f>
        <v/>
      </c>
    </row>
    <row r="5025">
      <c r="A5025" t="inlineStr">
        <is>
          <t>7391681057043</t>
        </is>
      </c>
      <c r="B5025" t="inlineStr">
        <is>
          <t>Maria Nila Bright Copper Colour Refresh Mask Gentle Nourishing Mask Without Permanent Color Pigments</t>
        </is>
      </c>
      <c r="C5025" t="inlineStr">
        <is>
          <t>Hair Masks</t>
        </is>
      </c>
      <c r="D5025" t="inlineStr">
        <is>
          <t>Maria Nila</t>
        </is>
      </c>
      <c r="E5025" t="n">
        <v>57.53</v>
      </c>
      <c r="F5025" t="n">
        <v>1</v>
      </c>
      <c r="G5025" t="n">
        <v>3</v>
      </c>
      <c r="H5025" s="5">
        <f>HYPERLINK("https://api.qogita.com/variants/link/7391681057043/", "View Product")</f>
        <v/>
      </c>
    </row>
    <row r="5026">
      <c r="A5026" t="inlineStr">
        <is>
          <t>7391681402638</t>
        </is>
      </c>
      <c r="B5026" t="inlineStr">
        <is>
          <t>Maria Nila Sheer Silver Hair Care Gift Set</t>
        </is>
      </c>
      <c r="C5026" t="inlineStr">
        <is>
          <t>Hair Care Sets</t>
        </is>
      </c>
      <c r="D5026" t="inlineStr">
        <is>
          <t>Maria Nila</t>
        </is>
      </c>
      <c r="E5026" t="n">
        <v>45.6</v>
      </c>
      <c r="F5026" t="n">
        <v>1</v>
      </c>
      <c r="G5026" t="n">
        <v>6</v>
      </c>
      <c r="H5026" s="5">
        <f>HYPERLINK("https://api.qogita.com/variants/link/7391681402638/", "View Product")</f>
        <v/>
      </c>
    </row>
    <row r="5027">
      <c r="A5027" t="inlineStr">
        <is>
          <t>7391681403680</t>
        </is>
      </c>
      <c r="B5027" t="inlineStr">
        <is>
          <t>Maria Nila Coils &amp; Curls Finishing Treatment Masque 250 Ml</t>
        </is>
      </c>
      <c r="C5027" t="inlineStr">
        <is>
          <t>Hair Masks</t>
        </is>
      </c>
      <c r="D5027" t="inlineStr">
        <is>
          <t>Maria Nila</t>
        </is>
      </c>
      <c r="E5027" t="n">
        <v>26.87</v>
      </c>
      <c r="F5027" t="n">
        <v>1</v>
      </c>
      <c r="G5027" t="n">
        <v>2</v>
      </c>
      <c r="H5027" s="5">
        <f>HYPERLINK("https://api.qogita.com/variants/link/7391681403680/", "View Product")</f>
        <v/>
      </c>
    </row>
    <row r="5028">
      <c r="A5028" t="inlineStr">
        <is>
          <t>7391681403703</t>
        </is>
      </c>
      <c r="B5028" t="inlineStr">
        <is>
          <t>Maria Nila Coils &amp; Curls Cowash Cleansing Conditioner For Curly And Wavy Hair</t>
        </is>
      </c>
      <c r="C5028" t="inlineStr">
        <is>
          <t>Conditioner</t>
        </is>
      </c>
      <c r="D5028" t="inlineStr">
        <is>
          <t>Maria Nila</t>
        </is>
      </c>
      <c r="E5028" t="n">
        <v>62.28</v>
      </c>
      <c r="F5028" t="n">
        <v>1</v>
      </c>
      <c r="G5028" t="n">
        <v>2</v>
      </c>
      <c r="H5028" s="5">
        <f>HYPERLINK("https://api.qogita.com/variants/link/7391681403703/", "View Product")</f>
        <v/>
      </c>
    </row>
    <row r="5029">
      <c r="A5029" t="inlineStr">
        <is>
          <t>7391681403741</t>
        </is>
      </c>
      <c r="B5029" t="inlineStr">
        <is>
          <t>Maria Nila Coils &amp; Curls Oilincream Leavein Cream For Curly And Wavy Hair 100 Ml</t>
        </is>
      </c>
      <c r="C5029" t="inlineStr">
        <is>
          <t>Leave-In Conditioner</t>
        </is>
      </c>
      <c r="D5029" t="inlineStr">
        <is>
          <t>Maria Nila</t>
        </is>
      </c>
      <c r="E5029" t="n">
        <v>24.44</v>
      </c>
      <c r="F5029" t="n">
        <v>1</v>
      </c>
      <c r="G5029" t="n">
        <v>4</v>
      </c>
      <c r="H5029" s="5">
        <f>HYPERLINK("https://api.qogita.com/variants/link/7391681403741/", "View Product")</f>
        <v/>
      </c>
    </row>
    <row r="5030">
      <c r="A5030" t="inlineStr">
        <is>
          <t>7391681406513</t>
        </is>
      </c>
      <c r="B5030" t="inlineStr">
        <is>
          <t>Maria Nila Luminous Color Beauty Box</t>
        </is>
      </c>
      <c r="C5030" t="inlineStr">
        <is>
          <t>Hair Care Sets</t>
        </is>
      </c>
      <c r="D5030" t="inlineStr">
        <is>
          <t>Maria Nila</t>
        </is>
      </c>
      <c r="E5030" t="n">
        <v>48.18</v>
      </c>
      <c r="F5030" t="n">
        <v>1</v>
      </c>
      <c r="G5030" t="n">
        <v>2</v>
      </c>
      <c r="H5030" s="5">
        <f>HYPERLINK("https://api.qogita.com/variants/link/7391681406513/", "View Product")</f>
        <v/>
      </c>
    </row>
    <row r="5031">
      <c r="A5031" t="inlineStr">
        <is>
          <t>7391681406537</t>
        </is>
      </c>
      <c r="B5031" t="inlineStr">
        <is>
          <t>Maria Nila Sheer Silver Beauty Box - Hair Care Treatment</t>
        </is>
      </c>
      <c r="C5031" t="inlineStr">
        <is>
          <t>Hair Care Sets</t>
        </is>
      </c>
      <c r="D5031" t="inlineStr">
        <is>
          <t>Maria Nila</t>
        </is>
      </c>
      <c r="E5031" t="n">
        <v>48.18</v>
      </c>
      <c r="F5031" t="n">
        <v>1</v>
      </c>
      <c r="G5031" t="n">
        <v>2</v>
      </c>
      <c r="H5031" s="5">
        <f>HYPERLINK("https://api.qogita.com/variants/link/7391681406537/", "View Product")</f>
        <v/>
      </c>
    </row>
    <row r="5032">
      <c r="A5032" t="inlineStr">
        <is>
          <t>7500435224963</t>
        </is>
      </c>
      <c r="B5032" t="inlineStr">
        <is>
          <t>Braun Silkpil 3 3031 Leg And Body Epilator And Shaver</t>
        </is>
      </c>
      <c r="C5032" t="inlineStr">
        <is>
          <t>Razors &amp; Hair Removal Tools</t>
        </is>
      </c>
      <c r="D5032" t="inlineStr">
        <is>
          <t>Braun</t>
        </is>
      </c>
      <c r="E5032" t="n">
        <v>47.46</v>
      </c>
      <c r="F5032" t="n">
        <v>1</v>
      </c>
      <c r="G5032" t="n">
        <v>4</v>
      </c>
      <c r="H5032" s="5">
        <f>HYPERLINK("https://api.qogita.com/variants/link/7500435224963/", "View Product")</f>
        <v/>
      </c>
    </row>
    <row r="5033">
      <c r="A5033" t="inlineStr">
        <is>
          <t>7501015914137</t>
        </is>
      </c>
      <c r="B5033" t="inlineStr">
        <is>
          <t>Revlon Professional Pro You The Winner Anti Hair Loss Treatment 6 X 12 Ml</t>
        </is>
      </c>
      <c r="C5033" t="inlineStr">
        <is>
          <t>Scalp Care</t>
        </is>
      </c>
      <c r="D5033" t="inlineStr">
        <is>
          <t>Revlon Professional</t>
        </is>
      </c>
      <c r="E5033" t="n">
        <v>14.46</v>
      </c>
      <c r="F5033" t="n">
        <v>1</v>
      </c>
      <c r="G5033" t="n">
        <v>5</v>
      </c>
      <c r="H5033" s="5">
        <f>HYPERLINK("https://api.qogita.com/variants/link/7501015914137/", "View Product")</f>
        <v/>
      </c>
    </row>
    <row r="5034">
      <c r="A5034" t="inlineStr">
        <is>
          <t>7610108043149</t>
        </is>
      </c>
      <c r="B5034" t="inlineStr">
        <is>
          <t>Meridol Soft Toothbrush</t>
        </is>
      </c>
      <c r="C5034" t="inlineStr">
        <is>
          <t>Toothbrushes &amp; Tongue Cleaners</t>
        </is>
      </c>
      <c r="D5034" t="inlineStr">
        <is>
          <t>Meridol</t>
        </is>
      </c>
      <c r="E5034" t="n">
        <v>5.61</v>
      </c>
      <c r="F5034" t="n">
        <v>1</v>
      </c>
      <c r="G5034" t="n">
        <v>7</v>
      </c>
      <c r="H5034" s="5">
        <f>HYPERLINK("https://api.qogita.com/variants/link/7610108043149/", "View Product")</f>
        <v/>
      </c>
    </row>
    <row r="5035">
      <c r="A5035" t="inlineStr">
        <is>
          <t>7610558001775</t>
        </is>
      </c>
      <c r="B5035" t="inlineStr">
        <is>
          <t>Valera Professional Wide Tourmaline Ceramic Crimper Silhouette 64702</t>
        </is>
      </c>
      <c r="C5035" t="inlineStr">
        <is>
          <t>Styling Tool Sets</t>
        </is>
      </c>
      <c r="D5035" t="inlineStr">
        <is>
          <t>Valera</t>
        </is>
      </c>
      <c r="E5035" t="n">
        <v>55.65</v>
      </c>
      <c r="F5035" t="n">
        <v>1</v>
      </c>
      <c r="G5035" t="n">
        <v>3</v>
      </c>
      <c r="H5035" s="5">
        <f>HYPERLINK("https://api.qogita.com/variants/link/7610558001775/", "View Product")</f>
        <v/>
      </c>
    </row>
    <row r="5036">
      <c r="A5036" t="inlineStr">
        <is>
          <t>7610558007159</t>
        </is>
      </c>
      <c r="B5036" t="inlineStr">
        <is>
          <t>Valera ePower 2020 eQ Professional Ionic Hair Dryer 1600 Watt White</t>
        </is>
      </c>
      <c r="C5036" t="inlineStr">
        <is>
          <t>Hair Dryers</t>
        </is>
      </c>
      <c r="D5036" t="inlineStr">
        <is>
          <t>Valera</t>
        </is>
      </c>
      <c r="E5036" t="n">
        <v>137.37</v>
      </c>
      <c r="F5036" t="n">
        <v>1</v>
      </c>
      <c r="G5036" t="n">
        <v>3</v>
      </c>
      <c r="H5036" s="5">
        <f>HYPERLINK("https://api.qogita.com/variants/link/7610558007159/", "View Product")</f>
        <v/>
      </c>
    </row>
    <row r="5037">
      <c r="A5037" t="inlineStr">
        <is>
          <t>7610558012825</t>
        </is>
      </c>
      <c r="B5037" t="inlineStr">
        <is>
          <t>Valera Swiss'X Thermofit 101.03 Professional Hair Straightener 230°C - Black</t>
        </is>
      </c>
      <c r="C5037" t="inlineStr">
        <is>
          <t>Hair Straighteners</t>
        </is>
      </c>
      <c r="D5037" t="inlineStr">
        <is>
          <t>Valera</t>
        </is>
      </c>
      <c r="E5037" t="n">
        <v>74.01000000000001</v>
      </c>
      <c r="F5037" t="n">
        <v>1</v>
      </c>
      <c r="G5037" t="n">
        <v>2</v>
      </c>
      <c r="H5037" s="5">
        <f>HYPERLINK("https://api.qogita.com/variants/link/7610558012825/", "View Product")</f>
        <v/>
      </c>
    </row>
    <row r="5038">
      <c r="A5038" t="inlineStr">
        <is>
          <t>7610558014942</t>
        </is>
      </c>
      <c r="B5038" t="inlineStr">
        <is>
          <t>Valera Swiss Steel Master Light Professional Metal Hair Dryer with Ion Generator 2100 Watt Black Chrome</t>
        </is>
      </c>
      <c r="C5038" t="inlineStr">
        <is>
          <t>Hair Dryers</t>
        </is>
      </c>
      <c r="D5038" t="inlineStr">
        <is>
          <t>Valera</t>
        </is>
      </c>
      <c r="E5038" t="n">
        <v>123.75</v>
      </c>
      <c r="F5038" t="n">
        <v>1</v>
      </c>
      <c r="G5038" t="n">
        <v>7</v>
      </c>
      <c r="H5038" s="5">
        <f>HYPERLINK("https://api.qogita.com/variants/link/7610558014942/", "View Product")</f>
        <v/>
      </c>
    </row>
    <row r="5039">
      <c r="A5039" t="inlineStr">
        <is>
          <t>7610558014973</t>
        </is>
      </c>
      <c r="B5039" t="inlineStr">
        <is>
          <t>Valera Swiss Steel Master Digital Professional Metal Hair Dryer with Ion Generator 2200 Watt Chrome</t>
        </is>
      </c>
      <c r="C5039" t="inlineStr">
        <is>
          <t>Hair Dryers</t>
        </is>
      </c>
      <c r="D5039" t="inlineStr">
        <is>
          <t>Valera</t>
        </is>
      </c>
      <c r="E5039" t="n">
        <v>137.82</v>
      </c>
      <c r="F5039" t="n">
        <v>1</v>
      </c>
      <c r="G5039" t="n">
        <v>2</v>
      </c>
      <c r="H5039" s="5">
        <f>HYPERLINK("https://api.qogita.com/variants/link/7610558014973/", "View Product")</f>
        <v/>
      </c>
    </row>
    <row r="5040">
      <c r="A5040" t="inlineStr">
        <is>
          <t>7610558015734</t>
        </is>
      </c>
      <c r="B5040" t="inlineStr">
        <is>
          <t>Professional Narrow Iron Swiss X Precisa</t>
        </is>
      </c>
      <c r="C5040" t="inlineStr">
        <is>
          <t>Care Needs</t>
        </is>
      </c>
      <c r="D5040" t="inlineStr">
        <is>
          <t>Valera</t>
        </is>
      </c>
      <c r="E5040" t="n">
        <v>58.7</v>
      </c>
      <c r="F5040" t="n">
        <v>1</v>
      </c>
      <c r="G5040" t="n">
        <v>3</v>
      </c>
      <c r="H5040" s="5">
        <f>HYPERLINK("https://api.qogita.com/variants/link/7610558015734/", "View Product")</f>
        <v/>
      </c>
    </row>
    <row r="5041">
      <c r="A5041" t="inlineStr">
        <is>
          <t>7611160127655</t>
        </is>
      </c>
      <c r="B5041" t="inlineStr">
        <is>
          <t>Swiss Army Morning Dew Eau De Toilette Spray 100ml</t>
        </is>
      </c>
      <c r="C5041" t="inlineStr">
        <is>
          <t>Eau De Toilette</t>
        </is>
      </c>
      <c r="D5041" t="inlineStr">
        <is>
          <t>Swiss Army</t>
        </is>
      </c>
      <c r="E5041" t="n">
        <v>10.89</v>
      </c>
      <c r="F5041" t="n">
        <v>1</v>
      </c>
      <c r="G5041" t="n">
        <v>32</v>
      </c>
      <c r="H5041" s="5">
        <f>HYPERLINK("https://api.qogita.com/variants/link/7611160127655/", "View Product")</f>
        <v/>
      </c>
    </row>
    <row r="5042">
      <c r="A5042" t="inlineStr">
        <is>
          <t>7611773052665</t>
        </is>
      </c>
      <c r="B5042" t="inlineStr">
        <is>
          <t>La Prairie Skin Caviar Concealer Foundation Spf 15 Peche Nc20 30 Ml</t>
        </is>
      </c>
      <c r="C5042" t="inlineStr">
        <is>
          <t>Foundation</t>
        </is>
      </c>
      <c r="D5042" t="inlineStr">
        <is>
          <t>La Prairie</t>
        </is>
      </c>
      <c r="E5042" t="n">
        <v>170.41</v>
      </c>
      <c r="F5042" t="n">
        <v>1</v>
      </c>
      <c r="G5042" t="n">
        <v>3</v>
      </c>
      <c r="H5042" s="5">
        <f>HYPERLINK("https://api.qogita.com/variants/link/7611773052665/", "View Product")</f>
        <v/>
      </c>
    </row>
    <row r="5043">
      <c r="A5043" t="inlineStr">
        <is>
          <t>7611773097710</t>
        </is>
      </c>
      <c r="B5043" t="inlineStr">
        <is>
          <t>La Prairie Supreme Balm Cleanser 100ml</t>
        </is>
      </c>
      <c r="C5043" t="inlineStr">
        <is>
          <t>Cleansing Cream</t>
        </is>
      </c>
      <c r="D5043" t="inlineStr">
        <is>
          <t>La Prairie</t>
        </is>
      </c>
      <c r="E5043" t="n">
        <v>115.01</v>
      </c>
      <c r="F5043" t="n">
        <v>1</v>
      </c>
      <c r="G5043" t="n">
        <v>8</v>
      </c>
      <c r="H5043" s="5">
        <f>HYPERLINK("https://api.qogita.com/variants/link/7611773097710/", "View Product")</f>
        <v/>
      </c>
    </row>
    <row r="5044">
      <c r="A5044" t="inlineStr">
        <is>
          <t>7611773132107</t>
        </is>
      </c>
      <c r="B5044" t="inlineStr">
        <is>
          <t>La Prairie White Caviar Eye Extraordinaire 0.68oz 20ml</t>
        </is>
      </c>
      <c r="C5044" t="inlineStr">
        <is>
          <t>Eye Cream</t>
        </is>
      </c>
      <c r="D5044" t="inlineStr">
        <is>
          <t>La Prairie</t>
        </is>
      </c>
      <c r="E5044" t="n">
        <v>369.05</v>
      </c>
      <c r="F5044" t="n">
        <v>1</v>
      </c>
      <c r="G5044" t="n">
        <v>3</v>
      </c>
      <c r="H5044" s="5">
        <f>HYPERLINK("https://api.qogita.com/variants/link/7611773132107/", "View Product")</f>
        <v/>
      </c>
    </row>
    <row r="5045">
      <c r="A5045" t="inlineStr">
        <is>
          <t>7611773235211</t>
        </is>
      </c>
      <c r="B5045" t="inlineStr">
        <is>
          <t>La Prairie Cellular Refining Lotion 250ml</t>
        </is>
      </c>
      <c r="C5045" t="inlineStr">
        <is>
          <t>Face Lotion</t>
        </is>
      </c>
      <c r="D5045" t="inlineStr">
        <is>
          <t>La Prairie</t>
        </is>
      </c>
      <c r="E5045" t="n">
        <v>78.03</v>
      </c>
      <c r="F5045" t="n">
        <v>1</v>
      </c>
      <c r="G5045" t="n">
        <v>16</v>
      </c>
      <c r="H5045" s="5">
        <f>HYPERLINK("https://api.qogita.com/variants/link/7611773235211/", "View Product")</f>
        <v/>
      </c>
    </row>
    <row r="5046">
      <c r="A5046" t="inlineStr">
        <is>
          <t>7611773248853</t>
        </is>
      </c>
      <c r="B5046" t="inlineStr">
        <is>
          <t>La Prairie Foam Cleanser 125ml</t>
        </is>
      </c>
      <c r="C5046" t="inlineStr">
        <is>
          <t>Cleansing Foam</t>
        </is>
      </c>
      <c r="D5046" t="inlineStr">
        <is>
          <t>La Prairie</t>
        </is>
      </c>
      <c r="E5046" t="n">
        <v>60.85</v>
      </c>
      <c r="F5046" t="n">
        <v>1</v>
      </c>
      <c r="G5046" t="n">
        <v>17</v>
      </c>
      <c r="H5046" s="5">
        <f>HYPERLINK("https://api.qogita.com/variants/link/7611773248853/", "View Product")</f>
        <v/>
      </c>
    </row>
    <row r="5047">
      <c r="A5047" t="inlineStr">
        <is>
          <t>7611773278690</t>
        </is>
      </c>
      <c r="B5047" t="inlineStr">
        <is>
          <t>Cellular Energizing Body Spray 100ml</t>
        </is>
      </c>
      <c r="C5047" t="inlineStr">
        <is>
          <t>Eau De Toilette</t>
        </is>
      </c>
      <c r="D5047" t="inlineStr">
        <is>
          <t>La Prairie</t>
        </is>
      </c>
      <c r="E5047" t="n">
        <v>109.65</v>
      </c>
      <c r="F5047" t="n">
        <v>1</v>
      </c>
      <c r="G5047" t="n">
        <v>5</v>
      </c>
      <c r="H5047" s="5">
        <f>HYPERLINK("https://api.qogita.com/variants/link/7611773278690/", "View Product")</f>
        <v/>
      </c>
    </row>
    <row r="5048">
      <c r="A5048" t="inlineStr">
        <is>
          <t>7611916124501</t>
        </is>
      </c>
      <c r="B5048" t="inlineStr">
        <is>
          <t>Weleda Citrus Refresh Shower Cream 200 Ml</t>
        </is>
      </c>
      <c r="C5048" t="inlineStr">
        <is>
          <t>Shower Gel</t>
        </is>
      </c>
      <c r="D5048" t="inlineStr">
        <is>
          <t>Weleda</t>
        </is>
      </c>
      <c r="E5048" t="n">
        <v>8.710000000000001</v>
      </c>
      <c r="F5048" t="n">
        <v>1</v>
      </c>
      <c r="G5048" t="n">
        <v>4</v>
      </c>
      <c r="H5048" s="5">
        <f>HYPERLINK("https://api.qogita.com/variants/link/7611916124501/", "View Product")</f>
        <v/>
      </c>
    </row>
    <row r="5049">
      <c r="A5049" t="inlineStr">
        <is>
          <t>7611916124877</t>
        </is>
      </c>
      <c r="B5049" t="inlineStr">
        <is>
          <t>Weleda Birch Body Scrub 150ml Exfoliating Body Scrub</t>
        </is>
      </c>
      <c r="C5049" t="inlineStr">
        <is>
          <t>Body Scrub &amp; Peeling</t>
        </is>
      </c>
      <c r="D5049" t="inlineStr">
        <is>
          <t>Weleda</t>
        </is>
      </c>
      <c r="E5049" t="n">
        <v>8.710000000000001</v>
      </c>
      <c r="F5049" t="n">
        <v>1</v>
      </c>
      <c r="G5049" t="n">
        <v>6</v>
      </c>
      <c r="H5049" s="5">
        <f>HYPERLINK("https://api.qogita.com/variants/link/7611916124877/", "View Product")</f>
        <v/>
      </c>
    </row>
    <row r="5050">
      <c r="A5050" t="inlineStr">
        <is>
          <t>7611916125720</t>
        </is>
      </c>
      <c r="B5050" t="inlineStr">
        <is>
          <t>Weleda Regeneration Shower Cream Pomegranate 200ml</t>
        </is>
      </c>
      <c r="C5050" t="inlineStr">
        <is>
          <t>Shower Gel</t>
        </is>
      </c>
      <c r="D5050" t="inlineStr">
        <is>
          <t>Weleda</t>
        </is>
      </c>
      <c r="E5050" t="n">
        <v>8.710000000000001</v>
      </c>
      <c r="F5050" t="n">
        <v>1</v>
      </c>
      <c r="G5050" t="n">
        <v>3</v>
      </c>
      <c r="H5050" s="5">
        <f>HYPERLINK("https://api.qogita.com/variants/link/7611916125720/", "View Product")</f>
        <v/>
      </c>
    </row>
    <row r="5051">
      <c r="A5051" t="inlineStr">
        <is>
          <t>7611916160738</t>
        </is>
      </c>
      <c r="B5051" t="inlineStr">
        <is>
          <t>Weleda Aroma Shower Energy Stimulating Shower Gel 200 Ml</t>
        </is>
      </c>
      <c r="C5051" t="inlineStr">
        <is>
          <t>Shower Gel</t>
        </is>
      </c>
      <c r="D5051" t="inlineStr">
        <is>
          <t>Weleda</t>
        </is>
      </c>
      <c r="E5051" t="n">
        <v>8.710000000000001</v>
      </c>
      <c r="F5051" t="n">
        <v>1</v>
      </c>
      <c r="G5051" t="n">
        <v>5</v>
      </c>
      <c r="H5051" s="5">
        <f>HYPERLINK("https://api.qogita.com/variants/link/7611916160738/", "View Product")</f>
        <v/>
      </c>
    </row>
    <row r="5052">
      <c r="A5052" t="inlineStr">
        <is>
          <t>7611916164552</t>
        </is>
      </c>
      <c r="B5052" t="inlineStr">
        <is>
          <t>Vitality Sea Buckthorn Shower Cream 400ml</t>
        </is>
      </c>
      <c r="C5052" t="inlineStr">
        <is>
          <t>Body Care Sets</t>
        </is>
      </c>
      <c r="D5052" t="inlineStr">
        <is>
          <t>Weleda</t>
        </is>
      </c>
      <c r="E5052" t="n">
        <v>11.35</v>
      </c>
      <c r="F5052" t="n">
        <v>1</v>
      </c>
      <c r="G5052" t="n">
        <v>2</v>
      </c>
      <c r="H5052" s="5">
        <f>HYPERLINK("https://api.qogita.com/variants/link/7611916164552/", "View Product")</f>
        <v/>
      </c>
    </row>
    <row r="5053">
      <c r="A5053" t="inlineStr">
        <is>
          <t>7611916164583</t>
        </is>
      </c>
      <c r="B5053" t="inlineStr">
        <is>
          <t>Relax Shower Cream Lavender 400ml</t>
        </is>
      </c>
      <c r="C5053" t="inlineStr">
        <is>
          <t>Shower Gel</t>
        </is>
      </c>
      <c r="D5053" t="inlineStr">
        <is>
          <t>Weleda</t>
        </is>
      </c>
      <c r="E5053" t="n">
        <v>11.35</v>
      </c>
      <c r="F5053" t="n">
        <v>1</v>
      </c>
      <c r="G5053" t="n">
        <v>3</v>
      </c>
      <c r="H5053" s="5">
        <f>HYPERLINK("https://api.qogita.com/variants/link/7611916164583/", "View Product")</f>
        <v/>
      </c>
    </row>
    <row r="5054">
      <c r="A5054" t="inlineStr">
        <is>
          <t>7611916164880</t>
        </is>
      </c>
      <c r="B5054" t="inlineStr">
        <is>
          <t>Weleda Skin Food Shower Cream - Nourishing Body Wash</t>
        </is>
      </c>
      <c r="C5054" t="inlineStr">
        <is>
          <t>Shower Gel</t>
        </is>
      </c>
      <c r="D5054" t="inlineStr">
        <is>
          <t>Weleda</t>
        </is>
      </c>
      <c r="E5054" t="n">
        <v>8.710000000000001</v>
      </c>
      <c r="F5054" t="n">
        <v>1</v>
      </c>
      <c r="G5054" t="n">
        <v>5</v>
      </c>
      <c r="H5054" s="5">
        <f>HYPERLINK("https://api.qogita.com/variants/link/7611916164880/", "View Product")</f>
        <v/>
      </c>
    </row>
    <row r="5055">
      <c r="A5055" t="inlineStr">
        <is>
          <t>7611916164965</t>
        </is>
      </c>
      <c r="B5055" t="inlineStr">
        <is>
          <t>Weleda Very Cherry Shower Cream By Weleda</t>
        </is>
      </c>
      <c r="C5055" t="inlineStr">
        <is>
          <t>Shower Gel</t>
        </is>
      </c>
      <c r="D5055" t="inlineStr">
        <is>
          <t>Weleda</t>
        </is>
      </c>
      <c r="E5055" t="n">
        <v>8.710000000000001</v>
      </c>
      <c r="F5055" t="n">
        <v>1</v>
      </c>
      <c r="G5055" t="n">
        <v>4</v>
      </c>
      <c r="H5055" s="5">
        <f>HYPERLINK("https://api.qogita.com/variants/link/7611916164965/", "View Product")</f>
        <v/>
      </c>
    </row>
    <row r="5056">
      <c r="A5056" t="inlineStr">
        <is>
          <t>7612017050164</t>
        </is>
      </c>
      <c r="B5056" t="inlineStr">
        <is>
          <t>Valmont Moisturizing with a Mask</t>
        </is>
      </c>
      <c r="C5056" t="inlineStr">
        <is>
          <t>Hydrating Mask</t>
        </is>
      </c>
      <c r="D5056" t="inlineStr">
        <is>
          <t>Valmont</t>
        </is>
      </c>
      <c r="E5056" t="n">
        <v>108.91</v>
      </c>
      <c r="F5056" t="n">
        <v>1</v>
      </c>
      <c r="G5056" t="n">
        <v>11</v>
      </c>
      <c r="H5056" s="5">
        <f>HYPERLINK("https://api.qogita.com/variants/link/7612017050164/", "View Product")</f>
        <v/>
      </c>
    </row>
    <row r="5057">
      <c r="A5057" t="inlineStr">
        <is>
          <t>7612017050393</t>
        </is>
      </c>
      <c r="B5057" t="inlineStr">
        <is>
          <t>Valmont Face Exfoliant</t>
        </is>
      </c>
      <c r="C5057" t="inlineStr">
        <is>
          <t>Facial Scrub &amp; Peeling</t>
        </is>
      </c>
      <c r="D5057" t="inlineStr">
        <is>
          <t>Valmont</t>
        </is>
      </c>
      <c r="E5057" t="n">
        <v>51.72</v>
      </c>
      <c r="F5057" t="n">
        <v>1</v>
      </c>
      <c r="G5057" t="n">
        <v>11</v>
      </c>
      <c r="H5057" s="5">
        <f>HYPERLINK("https://api.qogita.com/variants/link/7612017050393/", "View Product")</f>
        <v/>
      </c>
    </row>
    <row r="5058">
      <c r="A5058" t="inlineStr">
        <is>
          <t>7612017051093</t>
        </is>
      </c>
      <c r="B5058" t="inlineStr">
        <is>
          <t>Valmont Time Master Intensive Program</t>
        </is>
      </c>
      <c r="C5058" t="inlineStr">
        <is>
          <t>Anti-Aging Facial Care</t>
        </is>
      </c>
      <c r="D5058" t="inlineStr">
        <is>
          <t>Valmont</t>
        </is>
      </c>
      <c r="E5058" t="n">
        <v>788.2</v>
      </c>
      <c r="F5058" t="n">
        <v>1</v>
      </c>
      <c r="G5058" t="n">
        <v>2</v>
      </c>
      <c r="H5058" s="5">
        <f>HYPERLINK("https://api.qogita.com/variants/link/7612017051093/", "View Product")</f>
        <v/>
      </c>
    </row>
    <row r="5059">
      <c r="A5059" t="inlineStr">
        <is>
          <t>7612017055046</t>
        </is>
      </c>
      <c r="B5059" t="inlineStr">
        <is>
          <t>Valmont Purifying Pack Cleansing Clay Face Mask 50 Ml</t>
        </is>
      </c>
      <c r="C5059" t="inlineStr">
        <is>
          <t>Purifying Mask</t>
        </is>
      </c>
      <c r="D5059" t="inlineStr">
        <is>
          <t>Valmont</t>
        </is>
      </c>
      <c r="E5059" t="n">
        <v>121.97</v>
      </c>
      <c r="F5059" t="n">
        <v>1</v>
      </c>
      <c r="G5059" t="n">
        <v>3</v>
      </c>
      <c r="H5059" s="5">
        <f>HYPERLINK("https://api.qogita.com/variants/link/7612017055046/", "View Product")</f>
        <v/>
      </c>
    </row>
    <row r="5060">
      <c r="A5060" t="inlineStr">
        <is>
          <t>7612017058030</t>
        </is>
      </c>
      <c r="B5060" t="inlineStr">
        <is>
          <t>Valmont Energy Hand 24 Hour 75ml - Valued at 86€</t>
        </is>
      </c>
      <c r="C5060" t="inlineStr">
        <is>
          <t>Hand Cream</t>
        </is>
      </c>
      <c r="D5060" t="inlineStr">
        <is>
          <t>Valmont</t>
        </is>
      </c>
      <c r="E5060" t="n">
        <v>71.34999999999999</v>
      </c>
      <c r="F5060" t="n">
        <v>1</v>
      </c>
      <c r="G5060" t="n">
        <v>2</v>
      </c>
      <c r="H5060" s="5">
        <f>HYPERLINK("https://api.qogita.com/variants/link/7612017058030/", "View Product")</f>
        <v/>
      </c>
    </row>
    <row r="5061">
      <c r="A5061" t="inlineStr">
        <is>
          <t>7612017900315</t>
        </is>
      </c>
      <c r="B5061" t="inlineStr">
        <is>
          <t>Valmont Elixir Des Glaciers Serum Precieux</t>
        </is>
      </c>
      <c r="C5061" t="inlineStr">
        <is>
          <t>Anti-Aging Serum</t>
        </is>
      </c>
      <c r="D5061" t="inlineStr">
        <is>
          <t>Valmont</t>
        </is>
      </c>
      <c r="E5061" t="n">
        <v>374.13</v>
      </c>
      <c r="F5061" t="n">
        <v>1</v>
      </c>
      <c r="G5061" t="n">
        <v>3</v>
      </c>
      <c r="H5061" s="5">
        <f>HYPERLINK("https://api.qogita.com/variants/link/7612017900315/", "View Product")</f>
        <v/>
      </c>
    </row>
    <row r="5062">
      <c r="A5062" t="inlineStr">
        <is>
          <t>7640111492108</t>
        </is>
      </c>
      <c r="B5062" t="inlineStr">
        <is>
          <t>Gres Cabotine Rose Eau De Toilette Spray 100ml</t>
        </is>
      </c>
      <c r="C5062" t="inlineStr">
        <is>
          <t>Eau De Toilette</t>
        </is>
      </c>
      <c r="D5062" t="inlineStr">
        <is>
          <t>Gres</t>
        </is>
      </c>
      <c r="E5062" t="n">
        <v>8.949999999999999</v>
      </c>
      <c r="F5062" t="n">
        <v>1</v>
      </c>
      <c r="G5062" t="n">
        <v>33</v>
      </c>
      <c r="H5062" s="5">
        <f>HYPERLINK("https://api.qogita.com/variants/link/7640111492108/", "View Product")</f>
        <v/>
      </c>
    </row>
    <row r="5063">
      <c r="A5063" t="inlineStr">
        <is>
          <t>7640111494133</t>
        </is>
      </c>
      <c r="B5063" t="inlineStr">
        <is>
          <t>Gres Cabotine Eau De Parfum Spray 100ml</t>
        </is>
      </c>
      <c r="C5063" t="inlineStr">
        <is>
          <t>Eau De Parfum</t>
        </is>
      </c>
      <c r="D5063" t="inlineStr">
        <is>
          <t>Gres</t>
        </is>
      </c>
      <c r="E5063" t="n">
        <v>9.51</v>
      </c>
      <c r="F5063" t="n">
        <v>1</v>
      </c>
      <c r="G5063" t="n">
        <v>66</v>
      </c>
      <c r="H5063" s="5">
        <f>HYPERLINK("https://api.qogita.com/variants/link/7640111494133/", "View Product")</f>
        <v/>
      </c>
    </row>
    <row r="5064">
      <c r="A5064" t="inlineStr">
        <is>
          <t>7640111499060</t>
        </is>
      </c>
      <c r="B5064" t="inlineStr">
        <is>
          <t>Lalique L'Amour Eau De Parfum 100ml For Women</t>
        </is>
      </c>
      <c r="C5064" t="inlineStr">
        <is>
          <t>Eau De Parfum</t>
        </is>
      </c>
      <c r="D5064" t="inlineStr">
        <is>
          <t>Lalique</t>
        </is>
      </c>
      <c r="E5064" t="n">
        <v>23.26</v>
      </c>
      <c r="F5064" t="n">
        <v>1</v>
      </c>
      <c r="G5064" t="n">
        <v>17</v>
      </c>
      <c r="H5064" s="5">
        <f>HYPERLINK("https://api.qogita.com/variants/link/7640111499060/", "View Product")</f>
        <v/>
      </c>
    </row>
    <row r="5065">
      <c r="A5065" t="inlineStr">
        <is>
          <t>7640111500902</t>
        </is>
      </c>
      <c r="B5065" t="inlineStr">
        <is>
          <t>Lalique Encre Noire Sport Eau De Toilette 100ml For Men</t>
        </is>
      </c>
      <c r="C5065" t="inlineStr">
        <is>
          <t>Eau De Toilette</t>
        </is>
      </c>
      <c r="D5065" t="inlineStr">
        <is>
          <t>Lalique</t>
        </is>
      </c>
      <c r="E5065" t="n">
        <v>17.49</v>
      </c>
      <c r="F5065" t="n">
        <v>1</v>
      </c>
      <c r="G5065" t="n">
        <v>5</v>
      </c>
      <c r="H5065" s="5">
        <f>HYPERLINK("https://api.qogita.com/variants/link/7640111500902/", "View Product")</f>
        <v/>
      </c>
    </row>
    <row r="5066">
      <c r="A5066" t="inlineStr">
        <is>
          <t>7640111501473</t>
        </is>
      </c>
      <c r="B5066" t="inlineStr">
        <is>
          <t>Lalique Amethyst Eclat Eau de parfum 50ml</t>
        </is>
      </c>
      <c r="C5066" t="inlineStr">
        <is>
          <t>Eau De Parfum</t>
        </is>
      </c>
      <c r="D5066" t="inlineStr">
        <is>
          <t>Lalique</t>
        </is>
      </c>
      <c r="E5066" t="n">
        <v>33.28</v>
      </c>
      <c r="F5066" t="n">
        <v>1</v>
      </c>
      <c r="G5066" t="n">
        <v>5</v>
      </c>
      <c r="H5066" s="5">
        <f>HYPERLINK("https://api.qogita.com/variants/link/7640111501473/", "View Product")</f>
        <v/>
      </c>
    </row>
    <row r="5067">
      <c r="A5067" t="inlineStr">
        <is>
          <t>7640111501633</t>
        </is>
      </c>
      <c r="B5067" t="inlineStr">
        <is>
          <t>Lalique Rose Royale Eau de Parfum Spray for Women 100ml</t>
        </is>
      </c>
      <c r="C5067" t="inlineStr">
        <is>
          <t>Eau De Parfum</t>
        </is>
      </c>
      <c r="D5067" t="inlineStr">
        <is>
          <t>Lalique</t>
        </is>
      </c>
      <c r="E5067" t="n">
        <v>80.7</v>
      </c>
      <c r="F5067" t="n">
        <v>1</v>
      </c>
      <c r="G5067" t="n">
        <v>2</v>
      </c>
      <c r="H5067" s="5">
        <f>HYPERLINK("https://api.qogita.com/variants/link/7640111501633/", "View Product")</f>
        <v/>
      </c>
    </row>
    <row r="5068">
      <c r="A5068" t="inlineStr">
        <is>
          <t>7640111505631</t>
        </is>
      </c>
      <c r="B5068" t="inlineStr">
        <is>
          <t>Bentley For Men Azure Eau De Toilette Spray 100ml</t>
        </is>
      </c>
      <c r="C5068" t="inlineStr">
        <is>
          <t>Eau De Toilette</t>
        </is>
      </c>
      <c r="D5068" t="inlineStr">
        <is>
          <t>Bentley</t>
        </is>
      </c>
      <c r="E5068" t="n">
        <v>22.64</v>
      </c>
      <c r="F5068" t="n">
        <v>1</v>
      </c>
      <c r="G5068" t="n">
        <v>108</v>
      </c>
      <c r="H5068" s="5">
        <f>HYPERLINK("https://api.qogita.com/variants/link/7640111505631/", "View Product")</f>
        <v/>
      </c>
    </row>
    <row r="5069">
      <c r="A5069" t="inlineStr">
        <is>
          <t>7640111508243</t>
        </is>
      </c>
      <c r="B5069" t="inlineStr">
        <is>
          <t>Bentley For Men Absolute Eau De Parfum 100ml</t>
        </is>
      </c>
      <c r="C5069" t="inlineStr">
        <is>
          <t>Eau De Parfum</t>
        </is>
      </c>
      <c r="D5069" t="inlineStr">
        <is>
          <t>Bentley</t>
        </is>
      </c>
      <c r="E5069" t="n">
        <v>26.3</v>
      </c>
      <c r="F5069" t="n">
        <v>1</v>
      </c>
      <c r="G5069" t="n">
        <v>3</v>
      </c>
      <c r="H5069" s="5">
        <f>HYPERLINK("https://api.qogita.com/variants/link/7640111508243/", "View Product")</f>
        <v/>
      </c>
    </row>
    <row r="5070">
      <c r="A5070" t="inlineStr">
        <is>
          <t>7640119232959</t>
        </is>
      </c>
      <c r="B5070" t="inlineStr">
        <is>
          <t>Fytofontana Stem Cells Pure Wrinkle Cleansing Gel</t>
        </is>
      </c>
      <c r="C5070" t="inlineStr">
        <is>
          <t>Cleansing Gel</t>
        </is>
      </c>
      <c r="D5070" t="inlineStr">
        <is>
          <t>Fytofontana</t>
        </is>
      </c>
      <c r="E5070" t="n">
        <v>16.89</v>
      </c>
      <c r="F5070" t="n">
        <v>1</v>
      </c>
      <c r="G5070" t="n">
        <v>11</v>
      </c>
      <c r="H5070" s="5">
        <f>HYPERLINK("https://api.qogita.com/variants/link/7640119232959/", "View Product")</f>
        <v/>
      </c>
    </row>
    <row r="5071">
      <c r="A5071" t="inlineStr">
        <is>
          <t>7640119233031</t>
        </is>
      </c>
      <c r="B5071" t="inlineStr">
        <is>
          <t>Fytofontana Botu Stem Cell Emulsion 30ml</t>
        </is>
      </c>
      <c r="C5071" t="inlineStr">
        <is>
          <t>Anti-Aging Serum</t>
        </is>
      </c>
      <c r="D5071" t="inlineStr">
        <is>
          <t>Fytofontana</t>
        </is>
      </c>
      <c r="E5071" t="n">
        <v>42.1</v>
      </c>
      <c r="F5071" t="n">
        <v>1</v>
      </c>
      <c r="G5071" t="n">
        <v>24</v>
      </c>
      <c r="H5071" s="5">
        <f>HYPERLINK("https://api.qogita.com/variants/link/7640119233031/", "View Product")</f>
        <v/>
      </c>
    </row>
    <row r="5072">
      <c r="A5072" t="inlineStr">
        <is>
          <t>7640119233123</t>
        </is>
      </c>
      <c r="B5072" t="inlineStr">
        <is>
          <t>Fytofontana Stem Cells Depigmentation Emulsion With Stem Cells 125 Ml</t>
        </is>
      </c>
      <c r="C5072" t="inlineStr">
        <is>
          <t>Anti-Pigmentation Spot Cream</t>
        </is>
      </c>
      <c r="D5072" t="inlineStr">
        <is>
          <t>Fytofontana</t>
        </is>
      </c>
      <c r="E5072" t="n">
        <v>25.03</v>
      </c>
      <c r="F5072" t="n">
        <v>1</v>
      </c>
      <c r="G5072" t="n">
        <v>13</v>
      </c>
      <c r="H5072" s="5">
        <f>HYPERLINK("https://api.qogita.com/variants/link/7640119233123/", "View Product")</f>
        <v/>
      </c>
    </row>
    <row r="5073">
      <c r="A5073" t="inlineStr">
        <is>
          <t>7640126190020</t>
        </is>
      </c>
      <c r="B5073" t="inlineStr">
        <is>
          <t>Swissdent Nanowhitening Gentle Toothpaste Whitening Toothpaste</t>
        </is>
      </c>
      <c r="C5073" t="inlineStr">
        <is>
          <t>Toothpaste</t>
        </is>
      </c>
      <c r="D5073" t="inlineStr">
        <is>
          <t>Swissdent</t>
        </is>
      </c>
      <c r="E5073" t="n">
        <v>19.29</v>
      </c>
      <c r="F5073" t="n">
        <v>1</v>
      </c>
      <c r="G5073" t="n">
        <v>13</v>
      </c>
      <c r="H5073" s="5">
        <f>HYPERLINK("https://api.qogita.com/variants/link/7640126190020/", "View Product")</f>
        <v/>
      </c>
    </row>
    <row r="5074">
      <c r="A5074" t="inlineStr">
        <is>
          <t>7640126190303</t>
        </is>
      </c>
      <c r="B5074" t="inlineStr">
        <is>
          <t>Swissdent Whitening Toothpaste Extreme 50ml Whitening Toothpaste For Smokers</t>
        </is>
      </c>
      <c r="C5074" t="inlineStr">
        <is>
          <t>Teeth Whiteners</t>
        </is>
      </c>
      <c r="D5074" t="inlineStr">
        <is>
          <t>Swissdent</t>
        </is>
      </c>
      <c r="E5074" t="n">
        <v>7.94</v>
      </c>
      <c r="F5074" t="n">
        <v>1</v>
      </c>
      <c r="G5074" t="n">
        <v>44</v>
      </c>
      <c r="H5074" s="5">
        <f>HYPERLINK("https://api.qogita.com/variants/link/7640126190303/", "View Product")</f>
        <v/>
      </c>
    </row>
    <row r="5075">
      <c r="A5075" t="inlineStr">
        <is>
          <t>7640126195278</t>
        </is>
      </c>
      <c r="B5075" t="inlineStr">
        <is>
          <t>Swissdent Profi Whitening Trio 3ml</t>
        </is>
      </c>
      <c r="C5075" t="inlineStr">
        <is>
          <t>Teeth Whiteners</t>
        </is>
      </c>
      <c r="D5075" t="inlineStr">
        <is>
          <t>Profi</t>
        </is>
      </c>
      <c r="E5075" t="n">
        <v>7.18</v>
      </c>
      <c r="F5075" t="n">
        <v>1</v>
      </c>
      <c r="G5075" t="n">
        <v>21</v>
      </c>
      <c r="H5075" s="5">
        <f>HYPERLINK("https://api.qogita.com/variants/link/7640126195278/", "View Product")</f>
        <v/>
      </c>
    </row>
    <row r="5076">
      <c r="A5076" t="inlineStr">
        <is>
          <t>7640126195575</t>
        </is>
      </c>
      <c r="B5076" t="inlineStr">
        <is>
          <t>Swissdent Profi Extra Soft Gentle Toothbrush Trio - Pack of 3</t>
        </is>
      </c>
      <c r="C5076" t="inlineStr">
        <is>
          <t>Toothbrushes &amp; Tongue Cleaners</t>
        </is>
      </c>
      <c r="D5076" t="inlineStr">
        <is>
          <t>Swissdent</t>
        </is>
      </c>
      <c r="E5076" t="n">
        <v>8.529999999999999</v>
      </c>
      <c r="F5076" t="n">
        <v>1</v>
      </c>
      <c r="G5076" t="n">
        <v>11</v>
      </c>
      <c r="H5076" s="5">
        <f>HYPERLINK("https://api.qogita.com/variants/link/7640126195575/", "View Product")</f>
        <v/>
      </c>
    </row>
    <row r="5077">
      <c r="A5077" t="inlineStr">
        <is>
          <t>7640126196121</t>
        </is>
      </c>
      <c r="B5077" t="inlineStr">
        <is>
          <t>Swissdent Toothbrush Colours Softmedium 2 1 Free Black Red Blue</t>
        </is>
      </c>
      <c r="C5077" t="inlineStr">
        <is>
          <t>Toothbrushes &amp; Tongue Cleaners</t>
        </is>
      </c>
      <c r="D5077" t="inlineStr">
        <is>
          <t>Swissdent</t>
        </is>
      </c>
      <c r="E5077" t="n">
        <v>7.18</v>
      </c>
      <c r="F5077" t="n">
        <v>1</v>
      </c>
      <c r="G5077" t="n">
        <v>7</v>
      </c>
      <c r="H5077" s="5">
        <f>HYPERLINK("https://api.qogita.com/variants/link/7640126196121/", "View Product")</f>
        <v/>
      </c>
    </row>
    <row r="5078">
      <c r="A5078" t="inlineStr">
        <is>
          <t>7640147050808</t>
        </is>
      </c>
      <c r="B5078" t="inlineStr">
        <is>
          <t>Tauer Perfumes Sun Downer Eau De Parfum Spray 50ml</t>
        </is>
      </c>
      <c r="C5078" t="inlineStr">
        <is>
          <t>Eau De Parfum</t>
        </is>
      </c>
      <c r="D5078" t="inlineStr">
        <is>
          <t>Tauer Perfumes</t>
        </is>
      </c>
      <c r="E5078" t="n">
        <v>127.39</v>
      </c>
      <c r="F5078" t="n">
        <v>1</v>
      </c>
      <c r="G5078" t="n">
        <v>8</v>
      </c>
      <c r="H5078" s="5">
        <f>HYPERLINK("https://api.qogita.com/variants/link/7640147050808/", "View Product")</f>
        <v/>
      </c>
    </row>
    <row r="5079">
      <c r="A5079" t="inlineStr">
        <is>
          <t>7640163970029</t>
        </is>
      </c>
      <c r="B5079" t="inlineStr">
        <is>
          <t>Bentley Bentley For Men Infinite Intense Eau De Parfum Spray 100ml</t>
        </is>
      </c>
      <c r="C5079" t="inlineStr">
        <is>
          <t>Eau De Parfum</t>
        </is>
      </c>
      <c r="D5079" t="inlineStr">
        <is>
          <t>Bentley</t>
        </is>
      </c>
      <c r="E5079" t="n">
        <v>18.03</v>
      </c>
      <c r="F5079" t="n">
        <v>1</v>
      </c>
      <c r="G5079" t="n">
        <v>2</v>
      </c>
      <c r="H5079" s="5">
        <f>HYPERLINK("https://api.qogita.com/variants/link/7640163970029/", "View Product")</f>
        <v/>
      </c>
    </row>
    <row r="5080">
      <c r="A5080" t="inlineStr">
        <is>
          <t>7640163971200</t>
        </is>
      </c>
      <c r="B5080" t="inlineStr">
        <is>
          <t>Parfums Gres Piece Unique Eau De Parfum 100ml For Women</t>
        </is>
      </c>
      <c r="C5080" t="inlineStr">
        <is>
          <t>Eau De Parfum</t>
        </is>
      </c>
      <c r="D5080" t="inlineStr">
        <is>
          <t>Parfums Grès</t>
        </is>
      </c>
      <c r="E5080" t="n">
        <v>14.69</v>
      </c>
      <c r="F5080" t="n">
        <v>1</v>
      </c>
      <c r="G5080" t="n">
        <v>2</v>
      </c>
      <c r="H5080" s="5">
        <f>HYPERLINK("https://api.qogita.com/variants/link/7640163971200/", "View Product")</f>
        <v/>
      </c>
    </row>
    <row r="5081">
      <c r="A5081" t="inlineStr">
        <is>
          <t>7640164030012</t>
        </is>
      </c>
      <c r="B5081" t="inlineStr">
        <is>
          <t>Uomo 50ml</t>
        </is>
      </c>
      <c r="C5081" t="inlineStr">
        <is>
          <t>Eau De Toilette</t>
        </is>
      </c>
      <c r="D5081" t="inlineStr">
        <is>
          <t>Gisada</t>
        </is>
      </c>
      <c r="E5081" t="n">
        <v>47.17</v>
      </c>
      <c r="F5081" t="n">
        <v>1</v>
      </c>
      <c r="G5081" t="n">
        <v>12</v>
      </c>
      <c r="H5081" s="5">
        <f>HYPERLINK("https://api.qogita.com/variants/link/7640164030012/", "View Product")</f>
        <v/>
      </c>
    </row>
    <row r="5082">
      <c r="A5082" t="inlineStr">
        <is>
          <t>7640164030432</t>
        </is>
      </c>
      <c r="B5082" t="inlineStr">
        <is>
          <t>Gisada Ambassador For Women Eau De Parfum Spray 100ml</t>
        </is>
      </c>
      <c r="C5082" t="inlineStr">
        <is>
          <t>Eau De Parfum</t>
        </is>
      </c>
      <c r="D5082" t="inlineStr">
        <is>
          <t>Gisada</t>
        </is>
      </c>
      <c r="E5082" t="n">
        <v>68.67</v>
      </c>
      <c r="F5082" t="n">
        <v>1</v>
      </c>
      <c r="G5082" t="n">
        <v>32</v>
      </c>
      <c r="H5082" s="5">
        <f>HYPERLINK("https://api.qogita.com/variants/link/7640164030432/", "View Product")</f>
        <v/>
      </c>
    </row>
    <row r="5083">
      <c r="A5083" t="inlineStr">
        <is>
          <t>7640171190044</t>
        </is>
      </c>
      <c r="B5083" t="inlineStr">
        <is>
          <t>Bentley Infinite Rush White Edition Eau De Toilette</t>
        </is>
      </c>
      <c r="C5083" t="inlineStr">
        <is>
          <t>Eau De Toilette</t>
        </is>
      </c>
      <c r="D5083" t="inlineStr">
        <is>
          <t>Bentley</t>
        </is>
      </c>
      <c r="E5083" t="n">
        <v>24.94</v>
      </c>
      <c r="F5083" t="n">
        <v>1</v>
      </c>
      <c r="G5083" t="n">
        <v>3</v>
      </c>
      <c r="H5083" s="5">
        <f>HYPERLINK("https://api.qogita.com/variants/link/7640171190044/", "View Product")</f>
        <v/>
      </c>
    </row>
    <row r="5084">
      <c r="A5084" t="inlineStr">
        <is>
          <t>7640171190327</t>
        </is>
      </c>
      <c r="B5084" t="inlineStr">
        <is>
          <t>Bentley Momentum Eau De Toilette 100ml - A Sophisticated Fragrance For Men</t>
        </is>
      </c>
      <c r="C5084" t="inlineStr">
        <is>
          <t>Eau De Toilette</t>
        </is>
      </c>
      <c r="D5084" t="inlineStr">
        <is>
          <t>Bentley</t>
        </is>
      </c>
      <c r="E5084" t="n">
        <v>19.62</v>
      </c>
      <c r="F5084" t="n">
        <v>1</v>
      </c>
      <c r="G5084" t="n">
        <v>10</v>
      </c>
      <c r="H5084" s="5">
        <f>HYPERLINK("https://api.qogita.com/variants/link/7640171190327/", "View Product")</f>
        <v/>
      </c>
    </row>
    <row r="5085">
      <c r="A5085" t="inlineStr">
        <is>
          <t>7640171191454</t>
        </is>
      </c>
      <c r="B5085" t="inlineStr">
        <is>
          <t>Les Compositions Parfumees Pink Paradise Perfumed Water Spray 100ml</t>
        </is>
      </c>
      <c r="C5085" t="inlineStr">
        <is>
          <t>Eau De Parfum</t>
        </is>
      </c>
      <c r="D5085" t="inlineStr">
        <is>
          <t>Les Compositions Parfumees</t>
        </is>
      </c>
      <c r="E5085" t="n">
        <v>41.2</v>
      </c>
      <c r="F5085" t="n">
        <v>1</v>
      </c>
      <c r="G5085" t="n">
        <v>9</v>
      </c>
      <c r="H5085" s="5">
        <f>HYPERLINK("https://api.qogita.com/variants/link/7640171191454/", "View Product")</f>
        <v/>
      </c>
    </row>
    <row r="5086">
      <c r="A5086" t="inlineStr">
        <is>
          <t>7640171191461</t>
        </is>
      </c>
      <c r="B5086" t="inlineStr">
        <is>
          <t>Lalique Les Compositions Parfumees Electric Purple Eau De Parfum 100ml For Women</t>
        </is>
      </c>
      <c r="C5086" t="inlineStr">
        <is>
          <t>Eau De Parfum</t>
        </is>
      </c>
      <c r="D5086" t="inlineStr">
        <is>
          <t>Lalique</t>
        </is>
      </c>
      <c r="E5086" t="n">
        <v>46.9</v>
      </c>
      <c r="F5086" t="n">
        <v>1</v>
      </c>
      <c r="G5086" t="n">
        <v>8</v>
      </c>
      <c r="H5086" s="5">
        <f>HYPERLINK("https://api.qogita.com/variants/link/7640171191461/", "View Product")</f>
        <v/>
      </c>
    </row>
    <row r="5087">
      <c r="A5087" t="inlineStr">
        <is>
          <t>7640171192826</t>
        </is>
      </c>
      <c r="B5087" t="inlineStr">
        <is>
          <t>Beyond The Collection Wild Vetiver Perfumed Water Spray 100ml</t>
        </is>
      </c>
      <c r="C5087" t="inlineStr">
        <is>
          <t>Eau De Parfum</t>
        </is>
      </c>
      <c r="D5087" t="inlineStr">
        <is>
          <t>Beyond The Collection</t>
        </is>
      </c>
      <c r="E5087" t="n">
        <v>61.19</v>
      </c>
      <c r="F5087" t="n">
        <v>1</v>
      </c>
      <c r="G5087" t="n">
        <v>3</v>
      </c>
      <c r="H5087" s="5">
        <f>HYPERLINK("https://api.qogita.com/variants/link/7640171192826/", "View Product")</f>
        <v/>
      </c>
    </row>
    <row r="5088">
      <c r="A5088" t="inlineStr">
        <is>
          <t>7640171193069</t>
        </is>
      </c>
      <c r="B5088" t="inlineStr">
        <is>
          <t>Jaguar For Men Ultimate Power Eau De Toilette Spray 100ml</t>
        </is>
      </c>
      <c r="C5088" t="inlineStr">
        <is>
          <t>Eau De Toilette</t>
        </is>
      </c>
      <c r="D5088" t="inlineStr">
        <is>
          <t>Jaguar</t>
        </is>
      </c>
      <c r="E5088" t="n">
        <v>10.7</v>
      </c>
      <c r="F5088" t="n">
        <v>1</v>
      </c>
      <c r="G5088" t="n">
        <v>5</v>
      </c>
      <c r="H5088" s="5">
        <f>HYPERLINK("https://api.qogita.com/variants/link/7640171193069/", "View Product")</f>
        <v/>
      </c>
    </row>
    <row r="5089">
      <c r="A5089" t="inlineStr">
        <is>
          <t>7640171193137</t>
        </is>
      </c>
      <c r="B5089" t="inlineStr">
        <is>
          <t>Bentley Beyond The Collection Vibrant Hibiscus Eau De Parfum Spray 100ml</t>
        </is>
      </c>
      <c r="C5089" t="inlineStr">
        <is>
          <t>Eau De Parfum</t>
        </is>
      </c>
      <c r="D5089" t="inlineStr">
        <is>
          <t>Bentley</t>
        </is>
      </c>
      <c r="E5089" t="n">
        <v>64.38</v>
      </c>
      <c r="F5089" t="n">
        <v>1</v>
      </c>
      <c r="G5089" t="n">
        <v>9</v>
      </c>
      <c r="H5089" s="5">
        <f>HYPERLINK("https://api.qogita.com/variants/link/7640171193137/", "View Product")</f>
        <v/>
      </c>
    </row>
    <row r="5090">
      <c r="A5090" t="inlineStr">
        <is>
          <t>7640171193144</t>
        </is>
      </c>
      <c r="B5090" t="inlineStr">
        <is>
          <t>Bentley Beyond The Collection Mellow Heliotrope Eau De Parfum Spray 100ml</t>
        </is>
      </c>
      <c r="C5090" t="inlineStr">
        <is>
          <t>Eau De Parfum</t>
        </is>
      </c>
      <c r="D5090" t="inlineStr">
        <is>
          <t>Bentley</t>
        </is>
      </c>
      <c r="E5090" t="n">
        <v>57.71</v>
      </c>
      <c r="F5090" t="n">
        <v>1</v>
      </c>
      <c r="G5090" t="n">
        <v>5</v>
      </c>
      <c r="H5090" s="5">
        <f>HYPERLINK("https://api.qogita.com/variants/link/7640171193144/", "View Product")</f>
        <v/>
      </c>
    </row>
    <row r="5091">
      <c r="A5091" t="inlineStr">
        <is>
          <t>7640171193205</t>
        </is>
      </c>
      <c r="B5091" t="inlineStr">
        <is>
          <t>Jaguar For Men Oud Eau De Parfum Spray 100ml</t>
        </is>
      </c>
      <c r="C5091" t="inlineStr">
        <is>
          <t>Eau De Parfum</t>
        </is>
      </c>
      <c r="D5091" t="inlineStr">
        <is>
          <t>Jaguar</t>
        </is>
      </c>
      <c r="E5091" t="n">
        <v>12.75</v>
      </c>
      <c r="F5091" t="n">
        <v>1</v>
      </c>
      <c r="G5091" t="n">
        <v>8</v>
      </c>
      <c r="H5091" s="5">
        <f>HYPERLINK("https://api.qogita.com/variants/link/7640171193205/", "View Product")</f>
        <v/>
      </c>
    </row>
    <row r="5092">
      <c r="A5092" t="inlineStr">
        <is>
          <t>7640171193403</t>
        </is>
      </c>
      <c r="B5092" t="inlineStr">
        <is>
          <t>Bentley For Men Silverlake Eau De Parfum 100ml Spray</t>
        </is>
      </c>
      <c r="C5092" t="inlineStr">
        <is>
          <t>Eau De Parfum</t>
        </is>
      </c>
      <c r="D5092" t="inlineStr">
        <is>
          <t>Bentley</t>
        </is>
      </c>
      <c r="E5092" t="n">
        <v>23.96</v>
      </c>
      <c r="F5092" t="n">
        <v>1</v>
      </c>
      <c r="G5092" t="n">
        <v>5</v>
      </c>
      <c r="H5092" s="5">
        <f>HYPERLINK("https://api.qogita.com/variants/link/7640171193403/", "View Product")</f>
        <v/>
      </c>
    </row>
    <row r="5093">
      <c r="A5093" t="inlineStr">
        <is>
          <t>7640171196466</t>
        </is>
      </c>
      <c r="B5093" t="inlineStr">
        <is>
          <t>Les Compositions Parfumees Glorious Indigo Perfumed Water Spray 100ml</t>
        </is>
      </c>
      <c r="C5093" t="inlineStr">
        <is>
          <t>Eau De Parfum</t>
        </is>
      </c>
      <c r="D5093" t="inlineStr">
        <is>
          <t>Les Compositions Parfumees</t>
        </is>
      </c>
      <c r="E5093" t="n">
        <v>43.83</v>
      </c>
      <c r="F5093" t="n">
        <v>1</v>
      </c>
      <c r="G5093" t="n">
        <v>14</v>
      </c>
      <c r="H5093" s="5">
        <f>HYPERLINK("https://api.qogita.com/variants/link/7640171196466/", "View Product")</f>
        <v/>
      </c>
    </row>
    <row r="5094">
      <c r="A5094" t="inlineStr">
        <is>
          <t>7640171199153</t>
        </is>
      </c>
      <c r="B5094" t="inlineStr">
        <is>
          <t>Lalique Ombre Noire Eau De Parfum 100ml</t>
        </is>
      </c>
      <c r="C5094" t="inlineStr">
        <is>
          <t>Eau De Parfum</t>
        </is>
      </c>
      <c r="D5094" t="inlineStr">
        <is>
          <t>Lalique</t>
        </is>
      </c>
      <c r="E5094" t="n">
        <v>34.05</v>
      </c>
      <c r="F5094" t="n">
        <v>1</v>
      </c>
      <c r="G5094" t="n">
        <v>83</v>
      </c>
      <c r="H5094" s="5">
        <f>HYPERLINK("https://api.qogita.com/variants/link/7640171199153/", "View Product")</f>
        <v/>
      </c>
    </row>
    <row r="5095">
      <c r="A5095" t="inlineStr">
        <is>
          <t>7640171199788</t>
        </is>
      </c>
      <c r="B5095" t="inlineStr">
        <is>
          <t>L'Insoumis Ma Force Eau De Toilette Spray 100ml</t>
        </is>
      </c>
      <c r="C5095" t="inlineStr">
        <is>
          <t>Eau De Toilette</t>
        </is>
      </c>
      <c r="D5095" t="inlineStr">
        <is>
          <t>L'Insoumis</t>
        </is>
      </c>
      <c r="E5095" t="n">
        <v>26.39</v>
      </c>
      <c r="F5095" t="n">
        <v>1</v>
      </c>
      <c r="G5095" t="n">
        <v>2</v>
      </c>
      <c r="H5095" s="5">
        <f>HYPERLINK("https://api.qogita.com/variants/link/7640171199788/", "View Product")</f>
        <v/>
      </c>
    </row>
    <row r="5096">
      <c r="A5096" t="inlineStr">
        <is>
          <t>7640177360595</t>
        </is>
      </c>
      <c r="B5096" t="inlineStr">
        <is>
          <t>Chopard Sparkling Love Eau De Parfum 100ml</t>
        </is>
      </c>
      <c r="C5096" t="inlineStr">
        <is>
          <t>Eau De Parfum</t>
        </is>
      </c>
      <c r="D5096" t="inlineStr">
        <is>
          <t>Chopard</t>
        </is>
      </c>
      <c r="E5096" t="n">
        <v>57.38</v>
      </c>
      <c r="F5096" t="n">
        <v>1</v>
      </c>
      <c r="G5096" t="n">
        <v>5</v>
      </c>
      <c r="H5096" s="5">
        <f>HYPERLINK("https://api.qogita.com/variants/link/7640177360595/", "View Product")</f>
        <v/>
      </c>
    </row>
    <row r="5097">
      <c r="A5097" t="inlineStr">
        <is>
          <t>7640177366184</t>
        </is>
      </c>
      <c r="B5097" t="inlineStr">
        <is>
          <t>Chopard Wish Eau De Parfum Spray 30ml</t>
        </is>
      </c>
      <c r="C5097" t="inlineStr">
        <is>
          <t>Eau De Parfum</t>
        </is>
      </c>
      <c r="D5097" t="inlineStr">
        <is>
          <t>Chopard</t>
        </is>
      </c>
      <c r="E5097" t="n">
        <v>14.86</v>
      </c>
      <c r="F5097" t="n">
        <v>1</v>
      </c>
      <c r="G5097" t="n">
        <v>11</v>
      </c>
      <c r="H5097" s="5">
        <f>HYPERLINK("https://api.qogita.com/variants/link/7640177366184/", "View Product")</f>
        <v/>
      </c>
    </row>
    <row r="5098">
      <c r="A5098" t="inlineStr">
        <is>
          <t>7640177366191</t>
        </is>
      </c>
      <c r="B5098" t="inlineStr">
        <is>
          <t>Chopard Wish Eau De Parfum Spray 75ml For Women</t>
        </is>
      </c>
      <c r="C5098" t="inlineStr">
        <is>
          <t>Eau De Parfum</t>
        </is>
      </c>
      <c r="D5098" t="inlineStr">
        <is>
          <t>Chopard</t>
        </is>
      </c>
      <c r="E5098" t="n">
        <v>19.02</v>
      </c>
      <c r="F5098" t="n">
        <v>1</v>
      </c>
      <c r="G5098" t="n">
        <v>28</v>
      </c>
      <c r="H5098" s="5">
        <f>HYPERLINK("https://api.qogita.com/variants/link/7640177366191/", "View Product")</f>
        <v/>
      </c>
    </row>
    <row r="5099">
      <c r="A5099" t="inlineStr">
        <is>
          <t>7640177366306</t>
        </is>
      </c>
      <c r="B5099" t="inlineStr">
        <is>
          <t>Chopard Pink Wish Eau De Toilette Spray A Delightful Fragrance For Women</t>
        </is>
      </c>
      <c r="C5099" t="inlineStr">
        <is>
          <t>Eau De Toilette</t>
        </is>
      </c>
      <c r="D5099" t="inlineStr">
        <is>
          <t>Chopard</t>
        </is>
      </c>
      <c r="E5099" t="n">
        <v>14.39</v>
      </c>
      <c r="F5099" t="n">
        <v>1</v>
      </c>
      <c r="G5099" t="n">
        <v>8</v>
      </c>
      <c r="H5099" s="5">
        <f>HYPERLINK("https://api.qogita.com/variants/link/7640177366306/", "View Product")</f>
        <v/>
      </c>
    </row>
    <row r="5100">
      <c r="A5100" t="inlineStr">
        <is>
          <t>7640177367006</t>
        </is>
      </c>
      <c r="B5100" t="inlineStr">
        <is>
          <t>Chopard Shower Gels 0.11kg</t>
        </is>
      </c>
      <c r="C5100" t="inlineStr">
        <is>
          <t>Shower Gel</t>
        </is>
      </c>
      <c r="D5100" t="inlineStr">
        <is>
          <t>Chopard</t>
        </is>
      </c>
      <c r="E5100" t="n">
        <v>6.4</v>
      </c>
      <c r="F5100" t="n">
        <v>1</v>
      </c>
      <c r="G5100" t="n">
        <v>21</v>
      </c>
      <c r="H5100" s="5">
        <f>HYPERLINK("https://api.qogita.com/variants/link/7640177367006/", "View Product")</f>
        <v/>
      </c>
    </row>
    <row r="5101">
      <c r="A5101" t="inlineStr">
        <is>
          <t>7640177367730</t>
        </is>
      </c>
      <c r="B5101" t="inlineStr">
        <is>
          <t>Chopard Neroli Cardamom Women 1.6oz EDP Spray</t>
        </is>
      </c>
      <c r="C5101" t="inlineStr">
        <is>
          <t>Eau De Parfum</t>
        </is>
      </c>
      <c r="D5101" t="inlineStr">
        <is>
          <t>Chopard</t>
        </is>
      </c>
      <c r="E5101" t="n">
        <v>71.95999999999999</v>
      </c>
      <c r="F5101" t="n">
        <v>1</v>
      </c>
      <c r="G5101" t="n">
        <v>9</v>
      </c>
      <c r="H5101" s="5">
        <f>HYPERLINK("https://api.qogita.com/variants/link/7640177367730/", "View Product")</f>
        <v/>
      </c>
    </row>
    <row r="5102">
      <c r="A5102" t="inlineStr">
        <is>
          <t>7640177367754</t>
        </is>
      </c>
      <c r="B5102" t="inlineStr">
        <is>
          <t>Chopard Jasmin Moghol Eau De Parfum Spray 50ml</t>
        </is>
      </c>
      <c r="C5102" t="inlineStr">
        <is>
          <t>Eau De Parfum</t>
        </is>
      </c>
      <c r="D5102" t="inlineStr">
        <is>
          <t>Chopard</t>
        </is>
      </c>
      <c r="E5102" t="n">
        <v>91.42</v>
      </c>
      <c r="F5102" t="n">
        <v>1</v>
      </c>
      <c r="G5102" t="n">
        <v>2</v>
      </c>
      <c r="H5102" s="5">
        <f>HYPERLINK("https://api.qogita.com/variants/link/7640177367754/", "View Product")</f>
        <v/>
      </c>
    </row>
    <row r="5103">
      <c r="A5103" t="inlineStr">
        <is>
          <t>7640233340042</t>
        </is>
      </c>
      <c r="B5103" t="inlineStr">
        <is>
          <t>Elie Saab Le Parfum Essentiel for Women - 1 Oz EDP Spray 29.57ml</t>
        </is>
      </c>
      <c r="C5103" t="inlineStr">
        <is>
          <t>Eau De Parfum</t>
        </is>
      </c>
      <c r="D5103" t="inlineStr">
        <is>
          <t>Elie Saab</t>
        </is>
      </c>
      <c r="E5103" t="n">
        <v>23.3</v>
      </c>
      <c r="F5103" t="n">
        <v>1</v>
      </c>
      <c r="G5103" t="n">
        <v>13</v>
      </c>
      <c r="H5103" s="5">
        <f>HYPERLINK("https://api.qogita.com/variants/link/7640233340042/", "View Product")</f>
        <v/>
      </c>
    </row>
    <row r="5104">
      <c r="A5104" t="inlineStr">
        <is>
          <t>7640233340059</t>
        </is>
      </c>
      <c r="B5104" t="inlineStr">
        <is>
          <t>Elie Saab Le Parfum Essentiel Eau De Parfum Spray 50ml</t>
        </is>
      </c>
      <c r="C5104" t="inlineStr">
        <is>
          <t>Eau De Parfum</t>
        </is>
      </c>
      <c r="D5104" t="inlineStr">
        <is>
          <t>Elie Saab</t>
        </is>
      </c>
      <c r="E5104" t="n">
        <v>33.85</v>
      </c>
      <c r="F5104" t="n">
        <v>1</v>
      </c>
      <c r="G5104" t="n">
        <v>5</v>
      </c>
      <c r="H5104" s="5">
        <f>HYPERLINK("https://api.qogita.com/variants/link/7640233340059/", "View Product")</f>
        <v/>
      </c>
    </row>
    <row r="5105">
      <c r="A5105" t="inlineStr">
        <is>
          <t>7640233340066</t>
        </is>
      </c>
      <c r="B5105" t="inlineStr">
        <is>
          <t>Elie Saab Le Parfum Essentiel Eau De Parfum Spray 90ml</t>
        </is>
      </c>
      <c r="C5105" t="inlineStr">
        <is>
          <t>Eau De Parfum</t>
        </is>
      </c>
      <c r="D5105" t="inlineStr">
        <is>
          <t>Elie Saab</t>
        </is>
      </c>
      <c r="E5105" t="n">
        <v>38.83</v>
      </c>
      <c r="F5105" t="n">
        <v>1</v>
      </c>
      <c r="G5105" t="n">
        <v>100</v>
      </c>
      <c r="H5105" s="5">
        <f>HYPERLINK("https://api.qogita.com/variants/link/7640233340066/", "View Product")</f>
        <v/>
      </c>
    </row>
    <row r="5106">
      <c r="A5106" t="inlineStr">
        <is>
          <t>7640233340097</t>
        </is>
      </c>
      <c r="B5106" t="inlineStr">
        <is>
          <t>Elie Saab Eau de Parfum 90ml</t>
        </is>
      </c>
      <c r="C5106" t="inlineStr">
        <is>
          <t>Eau De Parfum</t>
        </is>
      </c>
      <c r="D5106" t="inlineStr">
        <is>
          <t>78</t>
        </is>
      </c>
      <c r="E5106" t="n">
        <v>48.58</v>
      </c>
      <c r="F5106" t="n">
        <v>1</v>
      </c>
      <c r="G5106" t="n">
        <v>5</v>
      </c>
      <c r="H5106" s="5">
        <f>HYPERLINK("https://api.qogita.com/variants/link/7640233340097/", "View Product")</f>
        <v/>
      </c>
    </row>
    <row r="5107">
      <c r="A5107" t="inlineStr">
        <is>
          <t>7640233340110</t>
        </is>
      </c>
      <c r="B5107" t="inlineStr">
        <is>
          <t>Elie Saab Le Parfum In White Eau De Parfum Spray 50ml</t>
        </is>
      </c>
      <c r="C5107" t="inlineStr">
        <is>
          <t>Eau De Parfum</t>
        </is>
      </c>
      <c r="D5107" t="inlineStr">
        <is>
          <t>Elie Saab</t>
        </is>
      </c>
      <c r="E5107" t="n">
        <v>36.15</v>
      </c>
      <c r="F5107" t="n">
        <v>1</v>
      </c>
      <c r="G5107" t="n">
        <v>80</v>
      </c>
      <c r="H5107" s="5">
        <f>HYPERLINK("https://api.qogita.com/variants/link/7640233340110/", "View Product")</f>
        <v/>
      </c>
    </row>
    <row r="5108">
      <c r="A5108" t="inlineStr">
        <is>
          <t>7640233340172</t>
        </is>
      </c>
      <c r="B5108" t="inlineStr">
        <is>
          <t>Girl Of Now By Elie Saab Eau De Parfum For Women 30ml</t>
        </is>
      </c>
      <c r="C5108" t="inlineStr">
        <is>
          <t>Eau De Parfum</t>
        </is>
      </c>
      <c r="D5108" t="inlineStr">
        <is>
          <t>Elie Saab</t>
        </is>
      </c>
      <c r="E5108" t="n">
        <v>28.61</v>
      </c>
      <c r="F5108" t="n">
        <v>1</v>
      </c>
      <c r="G5108" t="n">
        <v>7</v>
      </c>
      <c r="H5108" s="5">
        <f>HYPERLINK("https://api.qogita.com/variants/link/7640233340172/", "View Product")</f>
        <v/>
      </c>
    </row>
    <row r="5109">
      <c r="A5109" t="inlineStr">
        <is>
          <t>7640233340196</t>
        </is>
      </c>
      <c r="B5109" t="inlineStr">
        <is>
          <t>Elie Saab Girl Of Now Eau De Parfum Spray 90ml</t>
        </is>
      </c>
      <c r="C5109" t="inlineStr">
        <is>
          <t>Eau De Parfum</t>
        </is>
      </c>
      <c r="D5109" t="inlineStr">
        <is>
          <t>Elie Saab</t>
        </is>
      </c>
      <c r="E5109" t="n">
        <v>41.91</v>
      </c>
      <c r="F5109" t="n">
        <v>1</v>
      </c>
      <c r="G5109" t="n">
        <v>192</v>
      </c>
      <c r="H5109" s="5">
        <f>HYPERLINK("https://api.qogita.com/variants/link/7640233340196/", "View Product")</f>
        <v/>
      </c>
    </row>
    <row r="5110">
      <c r="A5110" t="inlineStr">
        <is>
          <t>7640233340714</t>
        </is>
      </c>
      <c r="B5110" t="inlineStr">
        <is>
          <t>Elie Saab Le Parfum Lumiere EDP Spray 50ml</t>
        </is>
      </c>
      <c r="C5110" t="inlineStr">
        <is>
          <t>Eau De Parfum</t>
        </is>
      </c>
      <c r="D5110" t="inlineStr">
        <is>
          <t>Elie Saab</t>
        </is>
      </c>
      <c r="E5110" t="n">
        <v>33.26</v>
      </c>
      <c r="F5110" t="n">
        <v>1</v>
      </c>
      <c r="G5110" t="n">
        <v>8</v>
      </c>
      <c r="H5110" s="5">
        <f>HYPERLINK("https://api.qogita.com/variants/link/7640233340714/", "View Product")</f>
        <v/>
      </c>
    </row>
    <row r="5111">
      <c r="A5111" t="inlineStr">
        <is>
          <t>7640233340721</t>
        </is>
      </c>
      <c r="B5111" t="inlineStr">
        <is>
          <t>Elie Saab Le Parfum Lumiere for Women 3 Oz EDP Spray</t>
        </is>
      </c>
      <c r="C5111" t="inlineStr">
        <is>
          <t>Eau De Parfum</t>
        </is>
      </c>
      <c r="D5111" t="inlineStr">
        <is>
          <t>Elie Saab</t>
        </is>
      </c>
      <c r="E5111" t="n">
        <v>42.16</v>
      </c>
      <c r="F5111" t="n">
        <v>1</v>
      </c>
      <c r="G5111" t="n">
        <v>180</v>
      </c>
      <c r="H5111" s="5">
        <f>HYPERLINK("https://api.qogita.com/variants/link/7640233340721/", "View Product")</f>
        <v/>
      </c>
    </row>
    <row r="5112">
      <c r="A5112" t="inlineStr">
        <is>
          <t>7640233340974</t>
        </is>
      </c>
      <c r="B5112" t="inlineStr">
        <is>
          <t>Elie Saab Le Parfum Lumière Kit Eau de Parfum 50ml Body Lotion 75ml</t>
        </is>
      </c>
      <c r="C5112" t="inlineStr">
        <is>
          <t>Fragrance Sets</t>
        </is>
      </c>
      <c r="D5112" t="inlineStr">
        <is>
          <t>Elie Saab</t>
        </is>
      </c>
      <c r="E5112" t="n">
        <v>36.63</v>
      </c>
      <c r="F5112" t="n">
        <v>1</v>
      </c>
      <c r="G5112" t="n">
        <v>41</v>
      </c>
      <c r="H5112" s="5">
        <f>HYPERLINK("https://api.qogita.com/variants/link/7640233340974/", "View Product")</f>
        <v/>
      </c>
    </row>
    <row r="5113">
      <c r="A5113" t="inlineStr">
        <is>
          <t>7640233341001</t>
        </is>
      </c>
      <c r="B5113" t="inlineStr">
        <is>
          <t>Elie Saab Nuit Noor Eau de Parfum 90ml</t>
        </is>
      </c>
      <c r="C5113" t="inlineStr">
        <is>
          <t>Eau De Parfum</t>
        </is>
      </c>
      <c r="D5113" t="inlineStr">
        <is>
          <t>Elie Saab</t>
        </is>
      </c>
      <c r="E5113" t="n">
        <v>31.92</v>
      </c>
      <c r="F5113" t="n">
        <v>1</v>
      </c>
      <c r="G5113" t="n">
        <v>18</v>
      </c>
      <c r="H5113" s="5">
        <f>HYPERLINK("https://api.qogita.com/variants/link/7640233341001/", "View Product")</f>
        <v/>
      </c>
    </row>
    <row r="5114">
      <c r="A5114" t="inlineStr">
        <is>
          <t>7640233341339</t>
        </is>
      </c>
      <c r="B5114" t="inlineStr">
        <is>
          <t>Elie Saab Girl Of Now Gift Set - Eau De Parfum 50 Ml And Body Lotion 75 Ml</t>
        </is>
      </c>
      <c r="C5114" t="inlineStr">
        <is>
          <t>Fragrance Sets</t>
        </is>
      </c>
      <c r="D5114" t="inlineStr">
        <is>
          <t>Elie Saab</t>
        </is>
      </c>
      <c r="E5114" t="n">
        <v>38.93</v>
      </c>
      <c r="F5114" t="n">
        <v>1</v>
      </c>
      <c r="G5114" t="n">
        <v>83</v>
      </c>
      <c r="H5114" s="5">
        <f>HYPERLINK("https://api.qogita.com/variants/link/7640233341339/", "View Product")</f>
        <v/>
      </c>
    </row>
    <row r="5115">
      <c r="A5115" t="inlineStr">
        <is>
          <t>7640233341414</t>
        </is>
      </c>
      <c r="B5115" t="inlineStr">
        <is>
          <t>Elie Saab Elixir Eau De Parfum Spray 100ml</t>
        </is>
      </c>
      <c r="C5115" t="inlineStr">
        <is>
          <t>Eau De Parfum</t>
        </is>
      </c>
      <c r="D5115" t="inlineStr">
        <is>
          <t>Elie Saab</t>
        </is>
      </c>
      <c r="E5115" t="n">
        <v>39.18</v>
      </c>
      <c r="F5115" t="n">
        <v>1</v>
      </c>
      <c r="G5115" t="n">
        <v>68</v>
      </c>
      <c r="H5115" s="5">
        <f>HYPERLINK("https://api.qogita.com/variants/link/7640233341414/", "View Product")</f>
        <v/>
      </c>
    </row>
    <row r="5116">
      <c r="A5116" t="inlineStr">
        <is>
          <t>7640233341698</t>
        </is>
      </c>
      <c r="B5116" t="inlineStr">
        <is>
          <t>New 2023 Elie Saab Le Parfum Bridal Eau de Parfum 1.7oz - Ship from France</t>
        </is>
      </c>
      <c r="C5116" t="inlineStr">
        <is>
          <t>Eau De Parfum</t>
        </is>
      </c>
      <c r="D5116" t="inlineStr">
        <is>
          <t>Elie Saab</t>
        </is>
      </c>
      <c r="E5116" t="n">
        <v>22.66</v>
      </c>
      <c r="F5116" t="n">
        <v>1</v>
      </c>
      <c r="G5116" t="n">
        <v>16</v>
      </c>
      <c r="H5116" s="5">
        <f>HYPERLINK("https://api.qogita.com/variants/link/7640233341698/", "View Product")</f>
        <v/>
      </c>
    </row>
    <row r="5117">
      <c r="A5117" t="inlineStr">
        <is>
          <t>7640233342053</t>
        </is>
      </c>
      <c r="B5117" t="inlineStr">
        <is>
          <t>Elie Saab Elixir Love Eau De Parfum - 90ml</t>
        </is>
      </c>
      <c r="C5117" t="inlineStr">
        <is>
          <t>Eau De Parfum</t>
        </is>
      </c>
      <c r="D5117" t="inlineStr">
        <is>
          <t>Elie Saab</t>
        </is>
      </c>
      <c r="E5117" t="n">
        <v>52.58</v>
      </c>
      <c r="F5117" t="n">
        <v>1</v>
      </c>
      <c r="G5117" t="n">
        <v>6</v>
      </c>
      <c r="H5117" s="5">
        <f>HYPERLINK("https://api.qogita.com/variants/link/7640233342053/", "View Product")</f>
        <v/>
      </c>
    </row>
    <row r="5118">
      <c r="A5118" t="inlineStr">
        <is>
          <t>7640233342466</t>
        </is>
      </c>
      <c r="B5118" t="inlineStr">
        <is>
          <t>Elie Saab Girl of Now Rose Petal Eau de Parfum 90ml</t>
        </is>
      </c>
      <c r="C5118" t="inlineStr">
        <is>
          <t>Eau De Parfum</t>
        </is>
      </c>
      <c r="D5118" t="inlineStr">
        <is>
          <t>Elie Saab</t>
        </is>
      </c>
      <c r="E5118" t="n">
        <v>43.67</v>
      </c>
      <c r="F5118" t="n">
        <v>1</v>
      </c>
      <c r="G5118" t="n">
        <v>71</v>
      </c>
      <c r="H5118" s="5">
        <f>HYPERLINK("https://api.qogita.com/variants/link/7640233342466/", "View Product")</f>
        <v/>
      </c>
    </row>
    <row r="5119">
      <c r="A5119" t="inlineStr">
        <is>
          <t>7640365140022</t>
        </is>
      </c>
      <c r="B5119" t="inlineStr">
        <is>
          <t>No Limits By Philipp Plein For Men 1.7 Oz EDP Spray</t>
        </is>
      </c>
      <c r="C5119" t="inlineStr">
        <is>
          <t>Eau De Parfum</t>
        </is>
      </c>
      <c r="D5119" t="inlineStr">
        <is>
          <t>Philipp Plein</t>
        </is>
      </c>
      <c r="E5119" t="n">
        <v>24.77</v>
      </c>
      <c r="F5119" t="n">
        <v>1</v>
      </c>
      <c r="G5119" t="n">
        <v>4</v>
      </c>
      <c r="H5119" s="5">
        <f>HYPERLINK("https://api.qogita.com/variants/link/7640365140022/", "View Product")</f>
        <v/>
      </c>
    </row>
    <row r="5120">
      <c r="A5120" t="inlineStr">
        <is>
          <t>7640365140848</t>
        </is>
      </c>
      <c r="B5120" t="inlineStr">
        <is>
          <t>Philipp Plein No Limit Gold Eau De Parfum 50ml</t>
        </is>
      </c>
      <c r="C5120" t="inlineStr">
        <is>
          <t>Eau De Parfum</t>
        </is>
      </c>
      <c r="D5120" t="inlineStr">
        <is>
          <t>Philipp Plein</t>
        </is>
      </c>
      <c r="E5120" t="n">
        <v>28.39</v>
      </c>
      <c r="F5120" t="n">
        <v>1</v>
      </c>
      <c r="G5120" t="n">
        <v>12</v>
      </c>
      <c r="H5120" s="5">
        <f>HYPERLINK("https://api.qogita.com/variants/link/7640365140848/", "View Product")</f>
        <v/>
      </c>
    </row>
    <row r="5121">
      <c r="A5121" t="inlineStr">
        <is>
          <t>7640496670122</t>
        </is>
      </c>
      <c r="B5121" t="inlineStr">
        <is>
          <t>Tommy Hilfiger Tommy Girl Eau De Toilette Spray 50ml</t>
        </is>
      </c>
      <c r="C5121" t="inlineStr">
        <is>
          <t>Eau De Toilette</t>
        </is>
      </c>
      <c r="D5121" t="inlineStr">
        <is>
          <t>Tommy Hilfiger</t>
        </is>
      </c>
      <c r="E5121" t="n">
        <v>15.72</v>
      </c>
      <c r="F5121" t="n">
        <v>1</v>
      </c>
      <c r="G5121" t="n">
        <v>111</v>
      </c>
      <c r="H5121" s="5">
        <f>HYPERLINK("https://api.qogita.com/variants/link/7640496670122/", "View Product")</f>
        <v/>
      </c>
    </row>
    <row r="5122">
      <c r="A5122" t="inlineStr">
        <is>
          <t>7640496670139</t>
        </is>
      </c>
      <c r="B5122" t="inlineStr">
        <is>
          <t>Tommy Hilfiger Tommy Girl Eau De Toilette Spray 100ml</t>
        </is>
      </c>
      <c r="C5122" t="inlineStr">
        <is>
          <t>Eau De Toilette</t>
        </is>
      </c>
      <c r="D5122" t="inlineStr">
        <is>
          <t>Tommy Hilfiger</t>
        </is>
      </c>
      <c r="E5122" t="n">
        <v>24.38</v>
      </c>
      <c r="F5122" t="n">
        <v>1</v>
      </c>
      <c r="G5122" t="n">
        <v>122</v>
      </c>
      <c r="H5122" s="5">
        <f>HYPERLINK("https://api.qogita.com/variants/link/7640496670139/", "View Product")</f>
        <v/>
      </c>
    </row>
    <row r="5123">
      <c r="A5123" t="inlineStr">
        <is>
          <t>7640496670245</t>
        </is>
      </c>
      <c r="B5123" t="inlineStr">
        <is>
          <t>Tommy Hilfiger Tommy Girl Eau De Toilette Spray 200ml</t>
        </is>
      </c>
      <c r="C5123" t="inlineStr">
        <is>
          <t>Eau De Toilette</t>
        </is>
      </c>
      <c r="D5123" t="inlineStr">
        <is>
          <t>Tommy Hilfiger</t>
        </is>
      </c>
      <c r="E5123" t="n">
        <v>35.2</v>
      </c>
      <c r="F5123" t="n">
        <v>1</v>
      </c>
      <c r="G5123" t="n">
        <v>303</v>
      </c>
      <c r="H5123" s="5">
        <f>HYPERLINK("https://api.qogita.com/variants/link/7640496670245/", "View Product")</f>
        <v/>
      </c>
    </row>
    <row r="5124">
      <c r="A5124" t="inlineStr">
        <is>
          <t>7640496670283</t>
        </is>
      </c>
      <c r="B5124" t="inlineStr">
        <is>
          <t>Tommy Hilfiger Tommy Girl Now Eau De Toilette Spray 30ml</t>
        </is>
      </c>
      <c r="C5124" t="inlineStr">
        <is>
          <t>Eau De Toilette</t>
        </is>
      </c>
      <c r="D5124" t="inlineStr">
        <is>
          <t>Tommy Hilfiger</t>
        </is>
      </c>
      <c r="E5124" t="n">
        <v>13.53</v>
      </c>
      <c r="F5124" t="n">
        <v>1</v>
      </c>
      <c r="G5124" t="n">
        <v>4</v>
      </c>
      <c r="H5124" s="5">
        <f>HYPERLINK("https://api.qogita.com/variants/link/7640496670283/", "View Product")</f>
        <v/>
      </c>
    </row>
    <row r="5125">
      <c r="A5125" t="inlineStr">
        <is>
          <t>7702018015252</t>
        </is>
      </c>
      <c r="B5125" t="inlineStr">
        <is>
          <t>Gillette Women's Satin Care Shaving Gel For Sensitive Skin</t>
        </is>
      </c>
      <c r="C5125" t="inlineStr">
        <is>
          <t>Shaving Creams &amp; Foams</t>
        </is>
      </c>
      <c r="D5125" t="inlineStr">
        <is>
          <t>Gillette</t>
        </is>
      </c>
      <c r="E5125" t="n">
        <v>4.26</v>
      </c>
      <c r="F5125" t="n">
        <v>1</v>
      </c>
      <c r="G5125" t="n">
        <v>3</v>
      </c>
      <c r="H5125" s="5">
        <f>HYPERLINK("https://api.qogita.com/variants/link/7702018015252/", "View Product")</f>
        <v/>
      </c>
    </row>
    <row r="5126">
      <c r="A5126" t="inlineStr">
        <is>
          <t>7702018018116</t>
        </is>
      </c>
      <c r="B5126" t="inlineStr">
        <is>
          <t>Gillette Simply Venus 3 Razor Pack Of 3</t>
        </is>
      </c>
      <c r="C5126" t="inlineStr">
        <is>
          <t>Razors &amp; Hair Removal Tools</t>
        </is>
      </c>
      <c r="D5126" t="inlineStr">
        <is>
          <t>Gillette</t>
        </is>
      </c>
      <c r="E5126" t="n">
        <v>4.82</v>
      </c>
      <c r="F5126" t="n">
        <v>1</v>
      </c>
      <c r="G5126" t="n">
        <v>57</v>
      </c>
      <c r="H5126" s="5">
        <f>HYPERLINK("https://api.qogita.com/variants/link/7702018018116/", "View Product")</f>
        <v/>
      </c>
    </row>
    <row r="5127">
      <c r="A5127" t="inlineStr">
        <is>
          <t>7702018065349</t>
        </is>
      </c>
      <c r="B5127" t="inlineStr">
        <is>
          <t>Gillette Satin Care Pure Delicate Shave Gel</t>
        </is>
      </c>
      <c r="C5127" t="inlineStr">
        <is>
          <t>Shaving Creams &amp; Foams</t>
        </is>
      </c>
      <c r="D5127" t="inlineStr">
        <is>
          <t>Gillette</t>
        </is>
      </c>
      <c r="E5127" t="n">
        <v>2.48</v>
      </c>
      <c r="F5127" t="n">
        <v>1</v>
      </c>
      <c r="G5127" t="n">
        <v>23</v>
      </c>
      <c r="H5127" s="5">
        <f>HYPERLINK("https://api.qogita.com/variants/link/7702018065349/", "View Product")</f>
        <v/>
      </c>
    </row>
    <row r="5128">
      <c r="A5128" t="inlineStr">
        <is>
          <t>7702018069316</t>
        </is>
      </c>
      <c r="B5128" t="inlineStr">
        <is>
          <t>Gillette Simply Venus 2 Razor 6 Pieces</t>
        </is>
      </c>
      <c r="C5128" t="inlineStr">
        <is>
          <t>Razors &amp; Hair Removal Tools</t>
        </is>
      </c>
      <c r="D5128" t="inlineStr">
        <is>
          <t>Gillette</t>
        </is>
      </c>
      <c r="E5128" t="n">
        <v>5.42</v>
      </c>
      <c r="F5128" t="n">
        <v>1</v>
      </c>
      <c r="G5128" t="n">
        <v>11</v>
      </c>
      <c r="H5128" s="5">
        <f>HYPERLINK("https://api.qogita.com/variants/link/7702018069316/", "View Product")</f>
        <v/>
      </c>
    </row>
    <row r="5129">
      <c r="A5129" t="inlineStr">
        <is>
          <t>7702018263844</t>
        </is>
      </c>
      <c r="B5129" t="inlineStr">
        <is>
          <t>Gillette Fusion Proglide Blades 4 Pack Highquality Replacement Blades For A Smooth Shave</t>
        </is>
      </c>
      <c r="C5129" t="inlineStr">
        <is>
          <t>Shaving</t>
        </is>
      </c>
      <c r="D5129" t="inlineStr">
        <is>
          <t>Gillette</t>
        </is>
      </c>
      <c r="E5129" t="n">
        <v>16.05</v>
      </c>
      <c r="F5129" t="n">
        <v>1</v>
      </c>
      <c r="G5129" t="n">
        <v>43</v>
      </c>
      <c r="H5129" s="5">
        <f>HYPERLINK("https://api.qogita.com/variants/link/7702018263844/", "View Product")</f>
        <v/>
      </c>
    </row>
    <row r="5130">
      <c r="A5130" t="inlineStr">
        <is>
          <t>7702018263905</t>
        </is>
      </c>
      <c r="B5130" t="inlineStr">
        <is>
          <t>Gillette Fusion Proglide Power 4 Pack Blades Replacement Heads</t>
        </is>
      </c>
      <c r="C5130" t="inlineStr">
        <is>
          <t>Shaving</t>
        </is>
      </c>
      <c r="D5130" t="inlineStr">
        <is>
          <t>Gillette</t>
        </is>
      </c>
      <c r="E5130" t="n">
        <v>16.46</v>
      </c>
      <c r="F5130" t="n">
        <v>1</v>
      </c>
      <c r="G5130" t="n">
        <v>3</v>
      </c>
      <c r="H5130" s="5">
        <f>HYPERLINK("https://api.qogita.com/variants/link/7702018263905/", "View Product")</f>
        <v/>
      </c>
    </row>
    <row r="5131">
      <c r="A5131" t="inlineStr">
        <is>
          <t>7702018290994</t>
        </is>
      </c>
      <c r="B5131" t="inlineStr">
        <is>
          <t>Gillette Mach3 Extra Comfort Soothing Gel 200 Ml</t>
        </is>
      </c>
      <c r="C5131" t="inlineStr">
        <is>
          <t>Aftershave</t>
        </is>
      </c>
      <c r="D5131" t="inlineStr">
        <is>
          <t>Gillette</t>
        </is>
      </c>
      <c r="E5131" t="n">
        <v>5.18</v>
      </c>
      <c r="F5131" t="n">
        <v>1</v>
      </c>
      <c r="G5131" t="n">
        <v>1</v>
      </c>
      <c r="H5131" s="5">
        <f>HYPERLINK("https://api.qogita.com/variants/link/7702018290994/", "View Product")</f>
        <v/>
      </c>
    </row>
    <row r="5132">
      <c r="A5132" t="inlineStr">
        <is>
          <t>7702018323012</t>
        </is>
      </c>
      <c r="B5132" t="inlineStr">
        <is>
          <t>Gillette Venus Extra Smooth Women's Shaver With 1 Head</t>
        </is>
      </c>
      <c r="C5132" t="inlineStr">
        <is>
          <t>Razors &amp; Hair Removal Tools</t>
        </is>
      </c>
      <c r="D5132" t="inlineStr">
        <is>
          <t>Gillette</t>
        </is>
      </c>
      <c r="E5132" t="n">
        <v>8.390000000000001</v>
      </c>
      <c r="F5132" t="n">
        <v>1</v>
      </c>
      <c r="G5132" t="n">
        <v>8</v>
      </c>
      <c r="H5132" s="5">
        <f>HYPERLINK("https://api.qogita.com/variants/link/7702018323012/", "View Product")</f>
        <v/>
      </c>
    </row>
    <row r="5133">
      <c r="A5133" t="inlineStr">
        <is>
          <t>7702018465767</t>
        </is>
      </c>
      <c r="B5133" t="inlineStr">
        <is>
          <t>Gillette Simply Venus 3 Razor</t>
        </is>
      </c>
      <c r="C5133" t="inlineStr">
        <is>
          <t>Razors &amp; Hair Removal Tools</t>
        </is>
      </c>
      <c r="D5133" t="inlineStr">
        <is>
          <t>Gillette</t>
        </is>
      </c>
      <c r="E5133" t="n">
        <v>7.45</v>
      </c>
      <c r="F5133" t="n">
        <v>1</v>
      </c>
      <c r="G5133" t="n">
        <v>41</v>
      </c>
      <c r="H5133" s="5">
        <f>HYPERLINK("https://api.qogita.com/variants/link/7702018465767/", "View Product")</f>
        <v/>
      </c>
    </row>
    <row r="5134">
      <c r="A5134" t="inlineStr">
        <is>
          <t>7702018466979</t>
        </is>
      </c>
      <c r="B5134" t="inlineStr">
        <is>
          <t>Gillette Blue 2 Plus Disposable Razors 10 4 Pieces</t>
        </is>
      </c>
      <c r="C5134" t="inlineStr">
        <is>
          <t>Razors &amp; Hair Removal Tools</t>
        </is>
      </c>
      <c r="D5134" t="inlineStr">
        <is>
          <t>Gillette</t>
        </is>
      </c>
      <c r="E5134" t="n">
        <v>9.34</v>
      </c>
      <c r="F5134" t="n">
        <v>1</v>
      </c>
      <c r="G5134" t="n">
        <v>9</v>
      </c>
      <c r="H5134" s="5">
        <f>HYPERLINK("https://api.qogita.com/variants/link/7702018466979/", "View Product")</f>
        <v/>
      </c>
    </row>
    <row r="5135">
      <c r="A5135" t="inlineStr">
        <is>
          <t>7702018536320</t>
        </is>
      </c>
      <c r="B5135" t="inlineStr">
        <is>
          <t>Gillette Disposable Razors Blue 3 Plus 62 Pcs Blue3 8 Pcs Disposable Men's Razors</t>
        </is>
      </c>
      <c r="C5135" t="inlineStr">
        <is>
          <t>Razors &amp; Hair Removal Tools</t>
        </is>
      </c>
      <c r="D5135" t="inlineStr">
        <is>
          <t>Gillette</t>
        </is>
      </c>
      <c r="E5135" t="n">
        <v>8.77</v>
      </c>
      <c r="F5135" t="n">
        <v>1</v>
      </c>
      <c r="G5135" t="n">
        <v>4</v>
      </c>
      <c r="H5135" s="5">
        <f>HYPERLINK("https://api.qogita.com/variants/link/7702018536320/", "View Product")</f>
        <v/>
      </c>
    </row>
    <row r="5136">
      <c r="A5136" t="inlineStr">
        <is>
          <t>7702018582907</t>
        </is>
      </c>
      <c r="B5136" t="inlineStr">
        <is>
          <t>Gillette Mach3 Razor Blades Blueblack 16 Pieces</t>
        </is>
      </c>
      <c r="C5136" t="inlineStr">
        <is>
          <t>Razors &amp; Hair Removal Tools</t>
        </is>
      </c>
      <c r="D5136" t="inlineStr">
        <is>
          <t>Gillette</t>
        </is>
      </c>
      <c r="E5136" t="n">
        <v>43.98</v>
      </c>
      <c r="F5136" t="n">
        <v>1</v>
      </c>
      <c r="G5136" t="n">
        <v>6</v>
      </c>
      <c r="H5136" s="5">
        <f>HYPERLINK("https://api.qogita.com/variants/link/7702018582907/", "View Product")</f>
        <v/>
      </c>
    </row>
    <row r="5137">
      <c r="A5137" t="inlineStr">
        <is>
          <t>7702018590179</t>
        </is>
      </c>
      <c r="B5137" t="inlineStr">
        <is>
          <t>Gillette King Double Edge Razor Blades 10 Pieces</t>
        </is>
      </c>
      <c r="C5137" t="inlineStr">
        <is>
          <t>Razors &amp; Hair Removal Tools</t>
        </is>
      </c>
      <c r="D5137" t="inlineStr">
        <is>
          <t>Gillette</t>
        </is>
      </c>
      <c r="E5137" t="n">
        <v>6.58</v>
      </c>
      <c r="F5137" t="n">
        <v>1</v>
      </c>
      <c r="G5137" t="n">
        <v>71</v>
      </c>
      <c r="H5137" s="5">
        <f>HYPERLINK("https://api.qogita.com/variants/link/7702018590179/", "View Product")</f>
        <v/>
      </c>
    </row>
    <row r="5138">
      <c r="A5138" t="inlineStr">
        <is>
          <t>7702018604104</t>
        </is>
      </c>
      <c r="B5138" t="inlineStr">
        <is>
          <t>Gillette Ultra Sensitive Shave Gel For Sensitive Skin 200 Ml</t>
        </is>
      </c>
      <c r="C5138" t="inlineStr">
        <is>
          <t>Shaving</t>
        </is>
      </c>
      <c r="D5138" t="inlineStr">
        <is>
          <t>Gillette</t>
        </is>
      </c>
      <c r="E5138" t="n">
        <v>6.27</v>
      </c>
      <c r="F5138" t="n">
        <v>1</v>
      </c>
      <c r="G5138" t="n">
        <v>2</v>
      </c>
      <c r="H5138" s="5">
        <f>HYPERLINK("https://api.qogita.com/variants/link/7702018604104/", "View Product")</f>
        <v/>
      </c>
    </row>
    <row r="5139">
      <c r="A5139" t="inlineStr">
        <is>
          <t>7702018615001</t>
        </is>
      </c>
      <c r="B5139" t="inlineStr">
        <is>
          <t>Gillette Venus 3 Dragonfruit Disposable Razors 3 Pack</t>
        </is>
      </c>
      <c r="C5139" t="inlineStr">
        <is>
          <t>Razors &amp; Hair Removal Tools</t>
        </is>
      </c>
      <c r="D5139" t="inlineStr">
        <is>
          <t>Gillette</t>
        </is>
      </c>
      <c r="E5139" t="n">
        <v>5.08</v>
      </c>
      <c r="F5139" t="n">
        <v>1</v>
      </c>
      <c r="G5139" t="n">
        <v>6</v>
      </c>
      <c r="H5139" s="5">
        <f>HYPERLINK("https://api.qogita.com/variants/link/7702018615001/", "View Product")</f>
        <v/>
      </c>
    </row>
    <row r="5140">
      <c r="A5140" t="inlineStr">
        <is>
          <t>7702018615063</t>
        </is>
      </c>
      <c r="B5140" t="inlineStr">
        <is>
          <t>Gillette Venus 3 Dragonfruit Disposable Razors 6 Pieces</t>
        </is>
      </c>
      <c r="C5140" t="inlineStr">
        <is>
          <t>Razors &amp; Hair Removal Tools</t>
        </is>
      </c>
      <c r="D5140" t="inlineStr">
        <is>
          <t>Gillette</t>
        </is>
      </c>
      <c r="E5140" t="n">
        <v>7.75</v>
      </c>
      <c r="F5140" t="n">
        <v>1</v>
      </c>
      <c r="G5140" t="n">
        <v>7</v>
      </c>
      <c r="H5140" s="5">
        <f>HYPERLINK("https://api.qogita.com/variants/link/7702018615063/", "View Product")</f>
        <v/>
      </c>
    </row>
    <row r="5141">
      <c r="A5141" t="inlineStr">
        <is>
          <t>7702018866946</t>
        </is>
      </c>
      <c r="B5141" t="inlineStr">
        <is>
          <t>Gillette Fusion 5 Razor With 2 Cartridges</t>
        </is>
      </c>
      <c r="C5141" t="inlineStr">
        <is>
          <t>Shaving</t>
        </is>
      </c>
      <c r="D5141" t="inlineStr">
        <is>
          <t>Gillette</t>
        </is>
      </c>
      <c r="E5141" t="n">
        <v>7.13</v>
      </c>
      <c r="F5141" t="n">
        <v>1</v>
      </c>
      <c r="G5141" t="n">
        <v>24</v>
      </c>
      <c r="H5141" s="5">
        <f>HYPERLINK("https://api.qogita.com/variants/link/7702018866946/", "View Product")</f>
        <v/>
      </c>
    </row>
    <row r="5142">
      <c r="A5142" t="inlineStr">
        <is>
          <t>7750075063044</t>
        </is>
      </c>
      <c r="B5142" t="inlineStr">
        <is>
          <t>Kativa Total Plex Hair Reconstruction Kit 2 Pieces</t>
        </is>
      </c>
      <c r="C5142" t="inlineStr">
        <is>
          <t>Hair Care Sets</t>
        </is>
      </c>
      <c r="D5142" t="inlineStr">
        <is>
          <t>Kativa</t>
        </is>
      </c>
      <c r="E5142" t="n">
        <v>7.02</v>
      </c>
      <c r="F5142" t="n">
        <v>1</v>
      </c>
      <c r="G5142" t="n">
        <v>2</v>
      </c>
      <c r="H5142" s="5">
        <f>HYPERLINK("https://api.qogita.com/variants/link/7750075063044/", "View Product")</f>
        <v/>
      </c>
    </row>
    <row r="5143">
      <c r="A5143" t="inlineStr">
        <is>
          <t>7898712020088</t>
        </is>
      </c>
      <c r="B5143" t="inlineStr">
        <is>
          <t>Onix B. Tox Hair Smoothing Treatment</t>
        </is>
      </c>
      <c r="C5143" t="inlineStr">
        <is>
          <t>Hair Care Sets</t>
        </is>
      </c>
      <c r="D5143" t="inlineStr">
        <is>
          <t>Onyx</t>
        </is>
      </c>
      <c r="E5143" t="n">
        <v>16.96</v>
      </c>
      <c r="F5143" t="n">
        <v>1</v>
      </c>
      <c r="G5143" t="n">
        <v>24</v>
      </c>
      <c r="H5143" s="5">
        <f>HYPERLINK("https://api.qogita.com/variants/link/7898712020088/", "View Product")</f>
        <v/>
      </c>
    </row>
    <row r="5144">
      <c r="A5144" t="inlineStr">
        <is>
          <t>8001090870926</t>
        </is>
      </c>
      <c r="B5144" t="inlineStr">
        <is>
          <t>Gillette Sensitive Aloe Vera Soothing Shave Foam 200 Ml</t>
        </is>
      </c>
      <c r="C5144" t="inlineStr">
        <is>
          <t>Shaving</t>
        </is>
      </c>
      <c r="D5144" t="inlineStr">
        <is>
          <t>Gillette</t>
        </is>
      </c>
      <c r="E5144" t="n">
        <v>4.66</v>
      </c>
      <c r="F5144" t="n">
        <v>1</v>
      </c>
      <c r="G5144" t="n">
        <v>10</v>
      </c>
      <c r="H5144" s="5">
        <f>HYPERLINK("https://api.qogita.com/variants/link/8001090870926/", "View Product")</f>
        <v/>
      </c>
    </row>
    <row r="5145">
      <c r="A5145" t="inlineStr">
        <is>
          <t>8001090871404</t>
        </is>
      </c>
      <c r="B5145" t="inlineStr">
        <is>
          <t>Gillette Cocoa Butter Conditioning Shave Foam 200 Ml</t>
        </is>
      </c>
      <c r="C5145" t="inlineStr">
        <is>
          <t>Shaving Creams &amp; Foams</t>
        </is>
      </c>
      <c r="D5145" t="inlineStr">
        <is>
          <t>Gillette</t>
        </is>
      </c>
      <c r="E5145" t="n">
        <v>4.56</v>
      </c>
      <c r="F5145" t="n">
        <v>1</v>
      </c>
      <c r="G5145" t="n">
        <v>7</v>
      </c>
      <c r="H5145" s="5">
        <f>HYPERLINK("https://api.qogita.com/variants/link/8001090871404/", "View Product")</f>
        <v/>
      </c>
    </row>
    <row r="5146">
      <c r="A5146" t="inlineStr">
        <is>
          <t>8001090965431</t>
        </is>
      </c>
      <c r="B5146" t="inlineStr">
        <is>
          <t>Old Spice Captain Shower Gel And Shampoo 250 Ml</t>
        </is>
      </c>
      <c r="C5146" t="inlineStr">
        <is>
          <t>Shower Gel</t>
        </is>
      </c>
      <c r="D5146" t="inlineStr">
        <is>
          <t>Old Spice</t>
        </is>
      </c>
      <c r="E5146" t="n">
        <v>4.83</v>
      </c>
      <c r="F5146" t="n">
        <v>1</v>
      </c>
      <c r="G5146" t="n">
        <v>2</v>
      </c>
      <c r="H5146" s="5">
        <f>HYPERLINK("https://api.qogita.com/variants/link/8001090965431/", "View Product")</f>
        <v/>
      </c>
    </row>
    <row r="5147">
      <c r="A5147" t="inlineStr">
        <is>
          <t>8001090970497</t>
        </is>
      </c>
      <c r="B5147" t="inlineStr">
        <is>
          <t>Old Spice Captain Deodorant Stick Solid Deodorant For Men 50ml</t>
        </is>
      </c>
      <c r="C5147" t="inlineStr">
        <is>
          <t>Deodorant &amp; Anti-Perspirant</t>
        </is>
      </c>
      <c r="D5147" t="inlineStr">
        <is>
          <t>Old Spice</t>
        </is>
      </c>
      <c r="E5147" t="n">
        <v>2.77</v>
      </c>
      <c r="F5147" t="n">
        <v>1</v>
      </c>
      <c r="G5147" t="n">
        <v>12</v>
      </c>
      <c r="H5147" s="5">
        <f>HYPERLINK("https://api.qogita.com/variants/link/8001090970497/", "View Product")</f>
        <v/>
      </c>
    </row>
    <row r="5148">
      <c r="A5148" t="inlineStr">
        <is>
          <t>8001841406688</t>
        </is>
      </c>
      <c r="B5148" t="inlineStr">
        <is>
          <t>Head &amp; Shoulders Deep Hydration Antidandruff Shampoo</t>
        </is>
      </c>
      <c r="C5148" t="inlineStr">
        <is>
          <t>Shampoo</t>
        </is>
      </c>
      <c r="D5148" t="inlineStr">
        <is>
          <t>Head And Shoulders</t>
        </is>
      </c>
      <c r="E5148" t="n">
        <v>6.4</v>
      </c>
      <c r="F5148" t="n">
        <v>1</v>
      </c>
      <c r="G5148" t="n">
        <v>5</v>
      </c>
      <c r="H5148" s="5">
        <f>HYPERLINK("https://api.qogita.com/variants/link/8001841406688/", "View Product")</f>
        <v/>
      </c>
    </row>
    <row r="5149">
      <c r="A5149" t="inlineStr">
        <is>
          <t>8001841671611</t>
        </is>
      </c>
      <c r="B5149" t="inlineStr">
        <is>
          <t>WhiteWater Duo Shower Gel 2 x 400 ml</t>
        </is>
      </c>
      <c r="C5149" t="inlineStr">
        <is>
          <t>Shower Gel</t>
        </is>
      </c>
      <c r="D5149" t="inlineStr">
        <is>
          <t>Old Spice</t>
        </is>
      </c>
      <c r="E5149" t="n">
        <v>9.529999999999999</v>
      </c>
      <c r="F5149" t="n">
        <v>1</v>
      </c>
      <c r="G5149" t="n">
        <v>6</v>
      </c>
      <c r="H5149" s="5">
        <f>HYPERLINK("https://api.qogita.com/variants/link/8001841671611/", "View Product")</f>
        <v/>
      </c>
    </row>
    <row r="5150">
      <c r="A5150" t="inlineStr">
        <is>
          <t>8002135114890</t>
        </is>
      </c>
      <c r="B5150" t="inlineStr">
        <is>
          <t>Ducati Trace Me Men EDT 100ml</t>
        </is>
      </c>
      <c r="C5150" t="inlineStr">
        <is>
          <t>Eau De Toilette</t>
        </is>
      </c>
      <c r="D5150" t="inlineStr">
        <is>
          <t>Ducati</t>
        </is>
      </c>
      <c r="E5150" t="n">
        <v>13.71</v>
      </c>
      <c r="F5150" t="n">
        <v>1</v>
      </c>
      <c r="G5150" t="n">
        <v>13</v>
      </c>
      <c r="H5150" s="5">
        <f>HYPERLINK("https://api.qogita.com/variants/link/8002135114890/", "View Product")</f>
        <v/>
      </c>
    </row>
    <row r="5151">
      <c r="A5151" t="inlineStr">
        <is>
          <t>8002135144033</t>
        </is>
      </c>
      <c r="B5151" t="inlineStr">
        <is>
          <t>Sergio Tacchini Smash 100ml EDT Spray</t>
        </is>
      </c>
      <c r="C5151" t="inlineStr">
        <is>
          <t>Eau De Toilette</t>
        </is>
      </c>
      <c r="D5151" t="inlineStr">
        <is>
          <t>Sergio Tacchini</t>
        </is>
      </c>
      <c r="E5151" t="n">
        <v>9.85</v>
      </c>
      <c r="F5151" t="n">
        <v>1</v>
      </c>
      <c r="G5151" t="n">
        <v>2</v>
      </c>
      <c r="H5151" s="5">
        <f>HYPERLINK("https://api.qogita.com/variants/link/8002135144033/", "View Product")</f>
        <v/>
      </c>
    </row>
    <row r="5152">
      <c r="A5152" t="inlineStr">
        <is>
          <t>8002410031799</t>
        </is>
      </c>
      <c r="B5152" t="inlineStr">
        <is>
          <t>Chilly Delicate Intimate Gel 200 Ml Gentle And Soothing Intimate Care</t>
        </is>
      </c>
      <c r="C5152" t="inlineStr">
        <is>
          <t>Intimate Care</t>
        </is>
      </c>
      <c r="D5152" t="inlineStr">
        <is>
          <t>Chilly</t>
        </is>
      </c>
      <c r="E5152" t="n">
        <v>4.46</v>
      </c>
      <c r="F5152" t="n">
        <v>1</v>
      </c>
      <c r="G5152" t="n">
        <v>107</v>
      </c>
      <c r="H5152" s="5">
        <f>HYPERLINK("https://api.qogita.com/variants/link/8002410031799/", "View Product")</f>
        <v/>
      </c>
    </row>
    <row r="5153">
      <c r="A5153" t="inlineStr">
        <is>
          <t>8002410032079</t>
        </is>
      </c>
      <c r="B5153" t="inlineStr">
        <is>
          <t>Chilly Intimate Gel Antibacterial 200 Ml</t>
        </is>
      </c>
      <c r="C5153" t="inlineStr">
        <is>
          <t>Intimate Hygiene</t>
        </is>
      </c>
      <c r="D5153" t="inlineStr">
        <is>
          <t>Chilly</t>
        </is>
      </c>
      <c r="E5153" t="n">
        <v>4.46</v>
      </c>
      <c r="F5153" t="n">
        <v>1</v>
      </c>
      <c r="G5153" t="n">
        <v>101</v>
      </c>
      <c r="H5153" s="5">
        <f>HYPERLINK("https://api.qogita.com/variants/link/8002410032079/", "View Product")</f>
        <v/>
      </c>
    </row>
    <row r="5154">
      <c r="A5154" t="inlineStr">
        <is>
          <t>8002410035230</t>
        </is>
      </c>
      <c r="B5154" t="inlineStr">
        <is>
          <t>Chilly Soothing Gel</t>
        </is>
      </c>
      <c r="C5154" t="inlineStr">
        <is>
          <t>Facial Spray</t>
        </is>
      </c>
      <c r="D5154" t="inlineStr">
        <is>
          <t>Chilly</t>
        </is>
      </c>
      <c r="E5154" t="n">
        <v>4.46</v>
      </c>
      <c r="F5154" t="n">
        <v>1</v>
      </c>
      <c r="G5154" t="n">
        <v>35</v>
      </c>
      <c r="H5154" s="5">
        <f>HYPERLINK("https://api.qogita.com/variants/link/8002410035230/", "View Product")</f>
        <v/>
      </c>
    </row>
    <row r="5155">
      <c r="A5155" t="inlineStr">
        <is>
          <t>8002410040388</t>
        </is>
      </c>
      <c r="B5155" t="inlineStr">
        <is>
          <t>Borotalco Original Deodorant Spray 150 Ml</t>
        </is>
      </c>
      <c r="C5155" t="inlineStr">
        <is>
          <t>Deodorant &amp; Anti-Perspirant</t>
        </is>
      </c>
      <c r="D5155" t="inlineStr">
        <is>
          <t>Borotalco</t>
        </is>
      </c>
      <c r="E5155" t="n">
        <v>3.03</v>
      </c>
      <c r="F5155" t="n">
        <v>1</v>
      </c>
      <c r="G5155" t="n">
        <v>5</v>
      </c>
      <c r="H5155" s="5">
        <f>HYPERLINK("https://api.qogita.com/variants/link/8002410040388/", "View Product")</f>
        <v/>
      </c>
    </row>
    <row r="5156">
      <c r="A5156" t="inlineStr">
        <is>
          <t>8002410042818</t>
        </is>
      </c>
      <c r="B5156" t="inlineStr">
        <is>
          <t>Borotalco Pure Spray Deodorant 48h 150 Ml</t>
        </is>
      </c>
      <c r="C5156" t="inlineStr">
        <is>
          <t>Deodorant &amp; Anti-Perspirant</t>
        </is>
      </c>
      <c r="D5156" t="inlineStr">
        <is>
          <t>Borotalco</t>
        </is>
      </c>
      <c r="E5156" t="n">
        <v>3.03</v>
      </c>
      <c r="F5156" t="n">
        <v>1</v>
      </c>
      <c r="G5156" t="n">
        <v>32</v>
      </c>
      <c r="H5156" s="5">
        <f>HYPERLINK("https://api.qogita.com/variants/link/8002410042818/", "View Product")</f>
        <v/>
      </c>
    </row>
    <row r="5157">
      <c r="A5157" t="inlineStr">
        <is>
          <t>8002410045949</t>
        </is>
      </c>
      <c r="B5157" t="inlineStr">
        <is>
          <t>Borotalco MEN Pure deodorant spray - Aluminum-free for men 150 ml</t>
        </is>
      </c>
      <c r="C5157" t="inlineStr">
        <is>
          <t>Deodorant &amp; Anti-Perspirant</t>
        </is>
      </c>
      <c r="D5157" t="inlineStr">
        <is>
          <t>Borotalco</t>
        </is>
      </c>
      <c r="E5157" t="n">
        <v>4.5</v>
      </c>
      <c r="F5157" t="n">
        <v>1</v>
      </c>
      <c r="G5157" t="n">
        <v>44</v>
      </c>
      <c r="H5157" s="5">
        <f>HYPERLINK("https://api.qogita.com/variants/link/8002410045949/", "View Product")</f>
        <v/>
      </c>
    </row>
    <row r="5158">
      <c r="A5158" t="inlineStr">
        <is>
          <t>8004283158061</t>
        </is>
      </c>
      <c r="B5158" t="inlineStr">
        <is>
          <t>Perrigo Italia Lactacyd Lactacyd Protection &amp; Delicacy 300 Ml Femina Gel Gel For Intimate Hygiene</t>
        </is>
      </c>
      <c r="C5158" t="inlineStr">
        <is>
          <t>Intimate Hygiene</t>
        </is>
      </c>
      <c r="D5158" t="inlineStr">
        <is>
          <t>Lactacyd</t>
        </is>
      </c>
      <c r="E5158" t="n">
        <v>3.24</v>
      </c>
      <c r="F5158" t="n">
        <v>1</v>
      </c>
      <c r="G5158" t="n">
        <v>11</v>
      </c>
      <c r="H5158" s="5">
        <f>HYPERLINK("https://api.qogita.com/variants/link/8004283158061/", "View Product")</f>
        <v/>
      </c>
    </row>
    <row r="5159">
      <c r="A5159" t="inlineStr">
        <is>
          <t>8004283158078</t>
        </is>
      </c>
      <c r="B5159" t="inlineStr">
        <is>
          <t>Lactacyd Extra Fresh Protection Intimate Cleanser 300 Ml Gel For Intimate Hygiene</t>
        </is>
      </c>
      <c r="C5159" t="inlineStr">
        <is>
          <t>Intimate Hygiene</t>
        </is>
      </c>
      <c r="D5159" t="inlineStr">
        <is>
          <t>Lactacyd</t>
        </is>
      </c>
      <c r="E5159" t="n">
        <v>3.05</v>
      </c>
      <c r="F5159" t="n">
        <v>1</v>
      </c>
      <c r="G5159" t="n">
        <v>40</v>
      </c>
      <c r="H5159" s="5">
        <f>HYPERLINK("https://api.qogita.com/variants/link/8004283158078/", "View Product")</f>
        <v/>
      </c>
    </row>
    <row r="5160">
      <c r="A5160" t="inlineStr">
        <is>
          <t>8004395000036</t>
        </is>
      </c>
      <c r="B5160" t="inlineStr">
        <is>
          <t>Proraso Refreshing Pre-Shave Cream With Eucalyptus Oil 100ml</t>
        </is>
      </c>
      <c r="C5160" t="inlineStr">
        <is>
          <t>Shaving</t>
        </is>
      </c>
      <c r="D5160" t="inlineStr">
        <is>
          <t>Proraso</t>
        </is>
      </c>
      <c r="E5160" t="n">
        <v>4.34</v>
      </c>
      <c r="F5160" t="n">
        <v>1</v>
      </c>
      <c r="G5160" t="n">
        <v>22</v>
      </c>
      <c r="H5160" s="5">
        <f>HYPERLINK("https://api.qogita.com/variants/link/8004395000036/", "View Product")</f>
        <v/>
      </c>
    </row>
    <row r="5161">
      <c r="A5161" t="inlineStr">
        <is>
          <t>8004395001071</t>
        </is>
      </c>
      <c r="B5161" t="inlineStr">
        <is>
          <t>Proraso Sensitive Skin After Shave Balm White Tea 100 Ml</t>
        </is>
      </c>
      <c r="C5161" t="inlineStr">
        <is>
          <t>Aftershave</t>
        </is>
      </c>
      <c r="D5161" t="inlineStr">
        <is>
          <t>Proraso</t>
        </is>
      </c>
      <c r="E5161" t="n">
        <v>5.94</v>
      </c>
      <c r="F5161" t="n">
        <v>1</v>
      </c>
      <c r="G5161" t="n">
        <v>3</v>
      </c>
      <c r="H5161" s="5">
        <f>HYPERLINK("https://api.qogita.com/variants/link/8004395001071/", "View Product")</f>
        <v/>
      </c>
    </row>
    <row r="5162">
      <c r="A5162" t="inlineStr">
        <is>
          <t>8004395001095</t>
        </is>
      </c>
      <c r="B5162" t="inlineStr">
        <is>
          <t>Proraso Softening Shaving Soap With Sandalwood Oil And Shea Butter 150ml</t>
        </is>
      </c>
      <c r="C5162" t="inlineStr">
        <is>
          <t>Shaving</t>
        </is>
      </c>
      <c r="D5162" t="inlineStr">
        <is>
          <t>Proraso</t>
        </is>
      </c>
      <c r="E5162" t="n">
        <v>3.03</v>
      </c>
      <c r="F5162" t="n">
        <v>1</v>
      </c>
      <c r="G5162" t="n">
        <v>3</v>
      </c>
      <c r="H5162" s="5">
        <f>HYPERLINK("https://api.qogita.com/variants/link/8004395001095/", "View Product")</f>
        <v/>
      </c>
    </row>
    <row r="5163">
      <c r="A5163" t="inlineStr">
        <is>
          <t>8004395001224</t>
        </is>
      </c>
      <c r="B5163" t="inlineStr">
        <is>
          <t>Proraso Pre-Shave Cream Softening Cream With Sandalwood Oil And Shea Butter 100ml</t>
        </is>
      </c>
      <c r="C5163" t="inlineStr">
        <is>
          <t>Shaving</t>
        </is>
      </c>
      <c r="D5163" t="inlineStr">
        <is>
          <t>Proraso</t>
        </is>
      </c>
      <c r="E5163" t="n">
        <v>4.34</v>
      </c>
      <c r="F5163" t="n">
        <v>1</v>
      </c>
      <c r="G5163" t="n">
        <v>19</v>
      </c>
      <c r="H5163" s="5">
        <f>HYPERLINK("https://api.qogita.com/variants/link/8004395001224/", "View Product")</f>
        <v/>
      </c>
    </row>
    <row r="5164">
      <c r="A5164" t="inlineStr">
        <is>
          <t>8004395001460</t>
        </is>
      </c>
      <c r="B5164" t="inlineStr">
        <is>
          <t>Proraso Blue After Shave Balm Aloe Vera Protective Aftershave Balm 100ml</t>
        </is>
      </c>
      <c r="C5164" t="inlineStr">
        <is>
          <t>Aftershave</t>
        </is>
      </c>
      <c r="D5164" t="inlineStr">
        <is>
          <t>Proraso</t>
        </is>
      </c>
      <c r="E5164" t="n">
        <v>6.68</v>
      </c>
      <c r="F5164" t="n">
        <v>1</v>
      </c>
      <c r="G5164" t="n">
        <v>9</v>
      </c>
      <c r="H5164" s="5">
        <f>HYPERLINK("https://api.qogita.com/variants/link/8004395001460/", "View Product")</f>
        <v/>
      </c>
    </row>
    <row r="5165">
      <c r="A5165" t="inlineStr">
        <is>
          <t>8004395001477</t>
        </is>
      </c>
      <c r="B5165" t="inlineStr">
        <is>
          <t>Proraso Blue Shaving Soap In A Tube 150ml Protective Shaving Cream With Aloe Vera</t>
        </is>
      </c>
      <c r="C5165" t="inlineStr">
        <is>
          <t>Shaving</t>
        </is>
      </c>
      <c r="D5165" t="inlineStr">
        <is>
          <t>Proraso</t>
        </is>
      </c>
      <c r="E5165" t="n">
        <v>5.78</v>
      </c>
      <c r="F5165" t="n">
        <v>1</v>
      </c>
      <c r="G5165" t="n">
        <v>2</v>
      </c>
      <c r="H5165" s="5">
        <f>HYPERLINK("https://api.qogita.com/variants/link/8004395001477/", "View Product")</f>
        <v/>
      </c>
    </row>
    <row r="5166">
      <c r="A5166" t="inlineStr">
        <is>
          <t>8004395001798</t>
        </is>
      </c>
      <c r="B5166" t="inlineStr">
        <is>
          <t>Proraso Wood Spice Hot Oil Beard Treatment Restructuring Beard Oil Set Of 4 X 17 Ml</t>
        </is>
      </c>
      <c r="C5166" t="inlineStr">
        <is>
          <t>Beard Care Sets</t>
        </is>
      </c>
      <c r="D5166" t="inlineStr">
        <is>
          <t>Proraso</t>
        </is>
      </c>
      <c r="E5166" t="n">
        <v>6.86</v>
      </c>
      <c r="F5166" t="n">
        <v>1</v>
      </c>
      <c r="G5166" t="n">
        <v>12</v>
      </c>
      <c r="H5166" s="5">
        <f>HYPERLINK("https://api.qogita.com/variants/link/8004395001798/", "View Product")</f>
        <v/>
      </c>
    </row>
    <row r="5167">
      <c r="A5167" t="inlineStr">
        <is>
          <t>8004395001897</t>
        </is>
      </c>
      <c r="B5167" t="inlineStr">
        <is>
          <t>Proraso Softening Shaving Foam 300ml</t>
        </is>
      </c>
      <c r="C5167" t="inlineStr">
        <is>
          <t>Shaving</t>
        </is>
      </c>
      <c r="D5167" t="inlineStr">
        <is>
          <t>Proraso</t>
        </is>
      </c>
      <c r="E5167" t="n">
        <v>6.02</v>
      </c>
      <c r="F5167" t="n">
        <v>1</v>
      </c>
      <c r="G5167" t="n">
        <v>4</v>
      </c>
      <c r="H5167" s="5">
        <f>HYPERLINK("https://api.qogita.com/variants/link/8004395001897/", "View Product")</f>
        <v/>
      </c>
    </row>
    <row r="5168">
      <c r="A5168" t="inlineStr">
        <is>
          <t>8004395001941</t>
        </is>
      </c>
      <c r="B5168" t="inlineStr">
        <is>
          <t>Proraso Sensitive Skin Shaving Foam For Men With Green Tea And Oat 300ml</t>
        </is>
      </c>
      <c r="C5168" t="inlineStr">
        <is>
          <t>Shaving</t>
        </is>
      </c>
      <c r="D5168" t="inlineStr">
        <is>
          <t>Proraso</t>
        </is>
      </c>
      <c r="E5168" t="n">
        <v>6.02</v>
      </c>
      <c r="F5168" t="n">
        <v>1</v>
      </c>
      <c r="G5168" t="n">
        <v>7</v>
      </c>
      <c r="H5168" s="5">
        <f>HYPERLINK("https://api.qogita.com/variants/link/8004395001941/", "View Product")</f>
        <v/>
      </c>
    </row>
    <row r="5169">
      <c r="A5169" t="inlineStr">
        <is>
          <t>8004395002566</t>
        </is>
      </c>
      <c r="B5169" t="inlineStr">
        <is>
          <t>Proraso Large Wooden Beard Brush</t>
        </is>
      </c>
      <c r="C5169" t="inlineStr">
        <is>
          <t>Beard Care Accessories</t>
        </is>
      </c>
      <c r="D5169" t="inlineStr">
        <is>
          <t>Proraso</t>
        </is>
      </c>
      <c r="E5169" t="n">
        <v>10.48</v>
      </c>
      <c r="F5169" t="n">
        <v>1</v>
      </c>
      <c r="G5169" t="n">
        <v>2</v>
      </c>
      <c r="H5169" s="5">
        <f>HYPERLINK("https://api.qogita.com/variants/link/8004395002566/", "View Product")</f>
        <v/>
      </c>
    </row>
    <row r="5170">
      <c r="A5170" t="inlineStr">
        <is>
          <t>8004395002573</t>
        </is>
      </c>
      <c r="B5170" t="inlineStr">
        <is>
          <t>Proraso Neck Brush</t>
        </is>
      </c>
      <c r="C5170" t="inlineStr">
        <is>
          <t>Facial Cleansing Brushes</t>
        </is>
      </c>
      <c r="D5170" t="inlineStr">
        <is>
          <t>Proraso</t>
        </is>
      </c>
      <c r="E5170" t="n">
        <v>7.3</v>
      </c>
      <c r="F5170" t="n">
        <v>1</v>
      </c>
      <c r="G5170" t="n">
        <v>5</v>
      </c>
      <c r="H5170" s="5">
        <f>HYPERLINK("https://api.qogita.com/variants/link/8004395002573/", "View Product")</f>
        <v/>
      </c>
    </row>
    <row r="5171">
      <c r="A5171" t="inlineStr">
        <is>
          <t>8004395002702</t>
        </is>
      </c>
      <c r="B5171" t="inlineStr">
        <is>
          <t>Proraso Walnut Wood Cut Throat Razor</t>
        </is>
      </c>
      <c r="C5171" t="inlineStr">
        <is>
          <t>Beard Care Accessories</t>
        </is>
      </c>
      <c r="D5171" t="inlineStr">
        <is>
          <t>Proraso</t>
        </is>
      </c>
      <c r="E5171" t="n">
        <v>46.4</v>
      </c>
      <c r="F5171" t="n">
        <v>1</v>
      </c>
      <c r="G5171" t="n">
        <v>3</v>
      </c>
      <c r="H5171" s="5">
        <f>HYPERLINK("https://api.qogita.com/variants/link/8004395002702/", "View Product")</f>
        <v/>
      </c>
    </row>
    <row r="5172">
      <c r="A5172" t="inlineStr">
        <is>
          <t>8004395002726</t>
        </is>
      </c>
      <c r="B5172" t="inlineStr">
        <is>
          <t>Proraso Small Wooden Mustache Brush</t>
        </is>
      </c>
      <c r="C5172" t="inlineStr">
        <is>
          <t>Wooden Brushes</t>
        </is>
      </c>
      <c r="D5172" t="inlineStr">
        <is>
          <t>Proraso</t>
        </is>
      </c>
      <c r="E5172" t="n">
        <v>9.970000000000001</v>
      </c>
      <c r="F5172" t="n">
        <v>1</v>
      </c>
      <c r="G5172" t="n">
        <v>2</v>
      </c>
      <c r="H5172" s="5">
        <f>HYPERLINK("https://api.qogita.com/variants/link/8004395002726/", "View Product")</f>
        <v/>
      </c>
    </row>
    <row r="5173">
      <c r="A5173" t="inlineStr">
        <is>
          <t>8004395003532</t>
        </is>
      </c>
      <c r="B5173" t="inlineStr">
        <is>
          <t>Proraso Luxe Classic Shaving Set Italian Shaving Set with Eucalyptus</t>
        </is>
      </c>
      <c r="C5173" t="inlineStr">
        <is>
          <t>Beard Care Sets</t>
        </is>
      </c>
      <c r="D5173" t="inlineStr">
        <is>
          <t>Proraso</t>
        </is>
      </c>
      <c r="E5173" t="n">
        <v>36.58</v>
      </c>
      <c r="F5173" t="n">
        <v>1</v>
      </c>
      <c r="G5173" t="n">
        <v>11</v>
      </c>
      <c r="H5173" s="5">
        <f>HYPERLINK("https://api.qogita.com/variants/link/8004395003532/", "View Product")</f>
        <v/>
      </c>
    </row>
    <row r="5174">
      <c r="A5174" t="inlineStr">
        <is>
          <t>8004395006151</t>
        </is>
      </c>
      <c r="B5174" t="inlineStr">
        <is>
          <t>Proraso Shaving Soap With Eucalyptus Oil 500ml Professional Shaving Cream</t>
        </is>
      </c>
      <c r="C5174" t="inlineStr">
        <is>
          <t>Shaving</t>
        </is>
      </c>
      <c r="D5174" t="inlineStr">
        <is>
          <t>Proraso</t>
        </is>
      </c>
      <c r="E5174" t="n">
        <v>8.390000000000001</v>
      </c>
      <c r="F5174" t="n">
        <v>1</v>
      </c>
      <c r="G5174" t="n">
        <v>2</v>
      </c>
      <c r="H5174" s="5">
        <f>HYPERLINK("https://api.qogita.com/variants/link/8004395006151/", "View Product")</f>
        <v/>
      </c>
    </row>
    <row r="5175">
      <c r="A5175" t="inlineStr">
        <is>
          <t>8004395006267</t>
        </is>
      </c>
      <c r="B5175" t="inlineStr">
        <is>
          <t>Proraso Wood &amp; Spice Beard Balm 300 Ml</t>
        </is>
      </c>
      <c r="C5175" t="inlineStr">
        <is>
          <t>Beard Care Accessories</t>
        </is>
      </c>
      <c r="D5175" t="inlineStr">
        <is>
          <t>Proraso</t>
        </is>
      </c>
      <c r="E5175" t="n">
        <v>14.85</v>
      </c>
      <c r="F5175" t="n">
        <v>1</v>
      </c>
      <c r="G5175" t="n">
        <v>5</v>
      </c>
      <c r="H5175" s="5">
        <f>HYPERLINK("https://api.qogita.com/variants/link/8004395006267/", "View Product")</f>
        <v/>
      </c>
    </row>
    <row r="5176">
      <c r="A5176" t="inlineStr">
        <is>
          <t>8004395006755</t>
        </is>
      </c>
      <c r="B5176" t="inlineStr">
        <is>
          <t>Proraso Refreshing After Shave Lotion - 400ml</t>
        </is>
      </c>
      <c r="C5176" t="inlineStr">
        <is>
          <t>Aftershave</t>
        </is>
      </c>
      <c r="D5176" t="inlineStr">
        <is>
          <t>Proraso</t>
        </is>
      </c>
      <c r="E5176" t="n">
        <v>14.1</v>
      </c>
      <c r="F5176" t="n">
        <v>1</v>
      </c>
      <c r="G5176" t="n">
        <v>77</v>
      </c>
      <c r="H5176" s="5">
        <f>HYPERLINK("https://api.qogita.com/variants/link/8004395006755/", "View Product")</f>
        <v/>
      </c>
    </row>
    <row r="5177">
      <c r="A5177" t="inlineStr">
        <is>
          <t>8004395006908</t>
        </is>
      </c>
      <c r="B5177" t="inlineStr">
        <is>
          <t>Proraso Wood Spice Beard Wash Set A Luxurious Beard Wash Gift Set With The Scent Of Wood And Spices</t>
        </is>
      </c>
      <c r="C5177" t="inlineStr">
        <is>
          <t>Beard Care Sets</t>
        </is>
      </c>
      <c r="D5177" t="inlineStr">
        <is>
          <t>Proraso</t>
        </is>
      </c>
      <c r="E5177" t="n">
        <v>33.76</v>
      </c>
      <c r="F5177" t="n">
        <v>1</v>
      </c>
      <c r="G5177" t="n">
        <v>3</v>
      </c>
      <c r="H5177" s="5">
        <f>HYPERLINK("https://api.qogita.com/variants/link/8004395006908/", "View Product")</f>
        <v/>
      </c>
    </row>
    <row r="5178">
      <c r="A5178" t="inlineStr">
        <is>
          <t>8004395006915</t>
        </is>
      </c>
      <c r="B5178" t="inlineStr">
        <is>
          <t>Proraso Beard Shampoo, Oil &amp; Balm Set - Azure Lime</t>
        </is>
      </c>
      <c r="C5178" t="inlineStr">
        <is>
          <t>Beard Care Sets</t>
        </is>
      </c>
      <c r="D5178" t="inlineStr">
        <is>
          <t>Proraso</t>
        </is>
      </c>
      <c r="E5178" t="n">
        <v>34.05</v>
      </c>
      <c r="F5178" t="n">
        <v>1</v>
      </c>
      <c r="G5178" t="n">
        <v>5</v>
      </c>
      <c r="H5178" s="5">
        <f>HYPERLINK("https://api.qogita.com/variants/link/8004395006915/", "View Product")</f>
        <v/>
      </c>
    </row>
    <row r="5179">
      <c r="A5179" t="inlineStr">
        <is>
          <t>8004395007332</t>
        </is>
      </c>
      <c r="B5179" t="inlineStr">
        <is>
          <t>Proraso Firenze Beard Balm Eucalyptus Refresh 100ml</t>
        </is>
      </c>
      <c r="C5179" t="inlineStr">
        <is>
          <t>Beard Care Accessories</t>
        </is>
      </c>
      <c r="D5179" t="inlineStr">
        <is>
          <t>Proraso</t>
        </is>
      </c>
      <c r="E5179" t="n">
        <v>6.49</v>
      </c>
      <c r="F5179" t="n">
        <v>1</v>
      </c>
      <c r="G5179" t="n">
        <v>12</v>
      </c>
      <c r="H5179" s="5">
        <f>HYPERLINK("https://api.qogita.com/variants/link/8004395007332/", "View Product")</f>
        <v/>
      </c>
    </row>
    <row r="5180">
      <c r="A5180" t="inlineStr">
        <is>
          <t>8004395007417</t>
        </is>
      </c>
      <c r="B5180" t="inlineStr">
        <is>
          <t>Proraso Blue Beard Oil With Mediterranean Citrus Azur Lime 30 Ml</t>
        </is>
      </c>
      <c r="C5180" t="inlineStr">
        <is>
          <t>Beard Care Accessories</t>
        </is>
      </c>
      <c r="D5180" t="inlineStr">
        <is>
          <t>Proraso</t>
        </is>
      </c>
      <c r="E5180" t="n">
        <v>6.75</v>
      </c>
      <c r="F5180" t="n">
        <v>1</v>
      </c>
      <c r="G5180" t="n">
        <v>5</v>
      </c>
      <c r="H5180" s="5">
        <f>HYPERLINK("https://api.qogita.com/variants/link/8004395007417/", "View Product")</f>
        <v/>
      </c>
    </row>
    <row r="5181">
      <c r="A5181" t="inlineStr">
        <is>
          <t>8004395007424</t>
        </is>
      </c>
      <c r="B5181" t="inlineStr">
        <is>
          <t>Proraso Cypress And Vetiver Beard Oil 30ml</t>
        </is>
      </c>
      <c r="C5181" t="inlineStr">
        <is>
          <t>Beard Care Accessories</t>
        </is>
      </c>
      <c r="D5181" t="inlineStr">
        <is>
          <t>Proraso</t>
        </is>
      </c>
      <c r="E5181" t="n">
        <v>6.83</v>
      </c>
      <c r="F5181" t="n">
        <v>1</v>
      </c>
      <c r="G5181" t="n">
        <v>7</v>
      </c>
      <c r="H5181" s="5">
        <f>HYPERLINK("https://api.qogita.com/variants/link/8004395007424/", "View Product")</f>
        <v/>
      </c>
    </row>
    <row r="5182">
      <c r="A5182" t="inlineStr">
        <is>
          <t>8004395007431</t>
        </is>
      </c>
      <c r="B5182" t="inlineStr">
        <is>
          <t>Proraso Green Beard Oil Eucalyptus Refresh 30ml By Proraso</t>
        </is>
      </c>
      <c r="C5182" t="inlineStr">
        <is>
          <t>Beard Care Accessories</t>
        </is>
      </c>
      <c r="D5182" t="inlineStr">
        <is>
          <t>Proraso</t>
        </is>
      </c>
      <c r="E5182" t="n">
        <v>6.75</v>
      </c>
      <c r="F5182" t="n">
        <v>1</v>
      </c>
      <c r="G5182" t="n">
        <v>8</v>
      </c>
      <c r="H5182" s="5">
        <f>HYPERLINK("https://api.qogita.com/variants/link/8004395007431/", "View Product")</f>
        <v/>
      </c>
    </row>
    <row r="5183">
      <c r="A5183" t="inlineStr">
        <is>
          <t>8004395007479</t>
        </is>
      </c>
      <c r="B5183" t="inlineStr">
        <is>
          <t>Proraso Beard Care Duo Kit for New or Short Beards Cypress and Vetyver with Beard Balm and Beard Wash</t>
        </is>
      </c>
      <c r="C5183" t="inlineStr">
        <is>
          <t>Beard Care Sets</t>
        </is>
      </c>
      <c r="D5183" t="inlineStr">
        <is>
          <t>Proraso</t>
        </is>
      </c>
      <c r="E5183" t="n">
        <v>26.21</v>
      </c>
      <c r="F5183" t="n">
        <v>1</v>
      </c>
      <c r="G5183" t="n">
        <v>5</v>
      </c>
      <c r="H5183" s="5">
        <f>HYPERLINK("https://api.qogita.com/variants/link/8004395007479/", "View Product")</f>
        <v/>
      </c>
    </row>
    <row r="5184">
      <c r="A5184" t="inlineStr">
        <is>
          <t>8004395007530</t>
        </is>
      </c>
      <c r="B5184" t="inlineStr">
        <is>
          <t>Proraso Eucalyptus Refresh Beard Soap 200 Ml</t>
        </is>
      </c>
      <c r="C5184" t="inlineStr">
        <is>
          <t>Shaving</t>
        </is>
      </c>
      <c r="D5184" t="inlineStr">
        <is>
          <t>Proraso</t>
        </is>
      </c>
      <c r="E5184" t="n">
        <v>6.83</v>
      </c>
      <c r="F5184" t="n">
        <v>1</v>
      </c>
      <c r="G5184" t="n">
        <v>14</v>
      </c>
      <c r="H5184" s="5">
        <f>HYPERLINK("https://api.qogita.com/variants/link/8004395007530/", "View Product")</f>
        <v/>
      </c>
    </row>
    <row r="5185">
      <c r="A5185" t="inlineStr">
        <is>
          <t>8004395007707</t>
        </is>
      </c>
      <c r="B5185" t="inlineStr">
        <is>
          <t>Proraso Wood and Spice Cologne 100ml Men's Fragrance with Earthy and Warm Notes</t>
        </is>
      </c>
      <c r="C5185" t="inlineStr">
        <is>
          <t>Eau De Cologne</t>
        </is>
      </c>
      <c r="D5185" t="inlineStr">
        <is>
          <t>Proraso</t>
        </is>
      </c>
      <c r="E5185" t="n">
        <v>20.48</v>
      </c>
      <c r="F5185" t="n">
        <v>1</v>
      </c>
      <c r="G5185" t="n">
        <v>5</v>
      </c>
      <c r="H5185" s="5">
        <f>HYPERLINK("https://api.qogita.com/variants/link/8004395007707/", "View Product")</f>
        <v/>
      </c>
    </row>
    <row r="5186">
      <c r="A5186" t="inlineStr">
        <is>
          <t>8004395007813</t>
        </is>
      </c>
      <c r="B5186" t="inlineStr">
        <is>
          <t>Proraso Single Blade Azur Lime Aftershave Balm 100ml</t>
        </is>
      </c>
      <c r="C5186" t="inlineStr">
        <is>
          <t>Aftershave</t>
        </is>
      </c>
      <c r="D5186" t="inlineStr">
        <is>
          <t>Proraso</t>
        </is>
      </c>
      <c r="E5186" t="n">
        <v>8.34</v>
      </c>
      <c r="F5186" t="n">
        <v>1</v>
      </c>
      <c r="G5186" t="n">
        <v>5</v>
      </c>
      <c r="H5186" s="5">
        <f>HYPERLINK("https://api.qogita.com/variants/link/8004395007813/", "View Product")</f>
        <v/>
      </c>
    </row>
    <row r="5187">
      <c r="A5187" t="inlineStr">
        <is>
          <t>8004395009473</t>
        </is>
      </c>
      <c r="B5187" t="inlineStr">
        <is>
          <t>Proraso Red Shaving Foam With Shea Butter 400ml</t>
        </is>
      </c>
      <c r="C5187" t="inlineStr">
        <is>
          <t>Shaving</t>
        </is>
      </c>
      <c r="D5187" t="inlineStr">
        <is>
          <t>Proraso</t>
        </is>
      </c>
      <c r="E5187" t="n">
        <v>3.12</v>
      </c>
      <c r="F5187" t="n">
        <v>1</v>
      </c>
      <c r="G5187" t="n">
        <v>5</v>
      </c>
      <c r="H5187" s="5">
        <f>HYPERLINK("https://api.qogita.com/variants/link/8004395009473/", "View Product")</f>
        <v/>
      </c>
    </row>
    <row r="5188">
      <c r="A5188" t="inlineStr">
        <is>
          <t>8004395155781</t>
        </is>
      </c>
      <c r="B5188" t="inlineStr">
        <is>
          <t>Marvis Classic Strong Mint Mouthwash 120 Ml</t>
        </is>
      </c>
      <c r="C5188" t="inlineStr">
        <is>
          <t>Mouthwash</t>
        </is>
      </c>
      <c r="D5188" t="inlineStr">
        <is>
          <t>Marvis</t>
        </is>
      </c>
      <c r="E5188" t="n">
        <v>8.99</v>
      </c>
      <c r="F5188" t="n">
        <v>1</v>
      </c>
      <c r="G5188" t="n">
        <v>14</v>
      </c>
      <c r="H5188" s="5">
        <f>HYPERLINK("https://api.qogita.com/variants/link/8004395155781/", "View Product")</f>
        <v/>
      </c>
    </row>
    <row r="5189">
      <c r="A5189" t="inlineStr">
        <is>
          <t>8004608237464</t>
        </is>
      </c>
      <c r="B5189" t="inlineStr">
        <is>
          <t>Davines More Inside This is a Medium Hold Modeling Gel 250ml</t>
        </is>
      </c>
      <c r="C5189" t="inlineStr">
        <is>
          <t>Gel</t>
        </is>
      </c>
      <c r="D5189" t="inlineStr">
        <is>
          <t>Davines</t>
        </is>
      </c>
      <c r="E5189" t="n">
        <v>22.11</v>
      </c>
      <c r="F5189" t="n">
        <v>1</v>
      </c>
      <c r="G5189" t="n">
        <v>2</v>
      </c>
      <c r="H5189" s="5">
        <f>HYPERLINK("https://api.qogita.com/variants/link/8004608237464/", "View Product")</f>
        <v/>
      </c>
    </row>
    <row r="5190">
      <c r="A5190" t="inlineStr">
        <is>
          <t>8004608240419</t>
        </is>
      </c>
      <c r="B5190" t="inlineStr">
        <is>
          <t>Davines Naturaltech Replumping Conditioner</t>
        </is>
      </c>
      <c r="C5190" t="inlineStr">
        <is>
          <t>Conditioner</t>
        </is>
      </c>
      <c r="D5190" t="inlineStr">
        <is>
          <t>Davines</t>
        </is>
      </c>
      <c r="E5190" t="n">
        <v>20.25</v>
      </c>
      <c r="F5190" t="n">
        <v>1</v>
      </c>
      <c r="G5190" t="n">
        <v>4</v>
      </c>
      <c r="H5190" s="5">
        <f>HYPERLINK("https://api.qogita.com/variants/link/8004608240419/", "View Product")</f>
        <v/>
      </c>
    </row>
    <row r="5191">
      <c r="A5191" t="inlineStr">
        <is>
          <t>8004608241997</t>
        </is>
      </c>
      <c r="B5191" t="inlineStr">
        <is>
          <t>Davines Essential Haircare Nounou Shampoo 250ml</t>
        </is>
      </c>
      <c r="C5191" t="inlineStr">
        <is>
          <t>Shampoo</t>
        </is>
      </c>
      <c r="D5191" t="inlineStr">
        <is>
          <t>Davines</t>
        </is>
      </c>
      <c r="E5191" t="n">
        <v>20.46</v>
      </c>
      <c r="F5191" t="n">
        <v>1</v>
      </c>
      <c r="G5191" t="n">
        <v>5</v>
      </c>
      <c r="H5191" s="5">
        <f>HYPERLINK("https://api.qogita.com/variants/link/8004608241997/", "View Product")</f>
        <v/>
      </c>
    </row>
    <row r="5192">
      <c r="A5192" t="inlineStr">
        <is>
          <t>8004608242215</t>
        </is>
      </c>
      <c r="B5192" t="inlineStr">
        <is>
          <t>Davines Dede Delicate Leave-In Hair Mist 250ml</t>
        </is>
      </c>
      <c r="C5192" t="inlineStr">
        <is>
          <t>Leave-In Conditioner</t>
        </is>
      </c>
      <c r="D5192" t="inlineStr">
        <is>
          <t>Davines</t>
        </is>
      </c>
      <c r="E5192" t="n">
        <v>29.16</v>
      </c>
      <c r="F5192" t="n">
        <v>1</v>
      </c>
      <c r="G5192" t="n">
        <v>13</v>
      </c>
      <c r="H5192" s="5">
        <f>HYPERLINK("https://api.qogita.com/variants/link/8004608242215/", "View Product")</f>
        <v/>
      </c>
    </row>
    <row r="5193">
      <c r="A5193" t="inlineStr">
        <is>
          <t>8004608242222</t>
        </is>
      </c>
      <c r="B5193" t="inlineStr">
        <is>
          <t>Davines Essential Haircare Dede Conditioner 250ml Unisex</t>
        </is>
      </c>
      <c r="C5193" t="inlineStr">
        <is>
          <t>Conditioner</t>
        </is>
      </c>
      <c r="D5193" t="inlineStr">
        <is>
          <t>Davines</t>
        </is>
      </c>
      <c r="E5193" t="n">
        <v>20.56</v>
      </c>
      <c r="F5193" t="n">
        <v>1</v>
      </c>
      <c r="G5193" t="n">
        <v>4</v>
      </c>
      <c r="H5193" s="5">
        <f>HYPERLINK("https://api.qogita.com/variants/link/8004608242222/", "View Product")</f>
        <v/>
      </c>
    </row>
    <row r="5194">
      <c r="A5194" t="inlineStr">
        <is>
          <t>8004608242529</t>
        </is>
      </c>
      <c r="B5194" t="inlineStr">
        <is>
          <t>Davines Essential Haircare Volu Shampoo For Fine Hair 1000ml Unisex</t>
        </is>
      </c>
      <c r="C5194" t="inlineStr">
        <is>
          <t>Shampoo</t>
        </is>
      </c>
      <c r="D5194" t="inlineStr">
        <is>
          <t>Davines</t>
        </is>
      </c>
      <c r="E5194" t="n">
        <v>46.64</v>
      </c>
      <c r="F5194" t="n">
        <v>1</v>
      </c>
      <c r="G5194" t="n">
        <v>5</v>
      </c>
      <c r="H5194" s="5">
        <f>HYPERLINK("https://api.qogita.com/variants/link/8004608242529/", "View Product")</f>
        <v/>
      </c>
    </row>
    <row r="5195">
      <c r="A5195" t="inlineStr">
        <is>
          <t>8004608244509</t>
        </is>
      </c>
      <c r="B5195" t="inlineStr">
        <is>
          <t>Davines Naturaltech CALMING Superactive Soothing Serum for Sensitive Scalps 3.38 Fl. Oz.</t>
        </is>
      </c>
      <c r="C5195" t="inlineStr">
        <is>
          <t>Scalp Care</t>
        </is>
      </c>
      <c r="D5195" t="inlineStr">
        <is>
          <t>Davines</t>
        </is>
      </c>
      <c r="E5195" t="n">
        <v>47.26</v>
      </c>
      <c r="F5195" t="n">
        <v>1</v>
      </c>
      <c r="G5195" t="n">
        <v>3</v>
      </c>
      <c r="H5195" s="5">
        <f>HYPERLINK("https://api.qogita.com/variants/link/8004608244509/", "View Product")</f>
        <v/>
      </c>
    </row>
    <row r="5196">
      <c r="A5196" t="inlineStr">
        <is>
          <t>8004608252146</t>
        </is>
      </c>
      <c r="B5196" t="inlineStr">
        <is>
          <t>Davines Gas Free Hair Spray Aromatic 250ml</t>
        </is>
      </c>
      <c r="C5196" t="inlineStr">
        <is>
          <t>Hairspray</t>
        </is>
      </c>
      <c r="D5196" t="inlineStr">
        <is>
          <t>Davines</t>
        </is>
      </c>
      <c r="E5196" t="n">
        <v>25.31</v>
      </c>
      <c r="F5196" t="n">
        <v>1</v>
      </c>
      <c r="G5196" t="n">
        <v>5</v>
      </c>
      <c r="H5196" s="5">
        <f>HYPERLINK("https://api.qogita.com/variants/link/8004608252146/", "View Product")</f>
        <v/>
      </c>
    </row>
    <row r="5197">
      <c r="A5197" t="inlineStr">
        <is>
          <t>8004608255123</t>
        </is>
      </c>
      <c r="B5197" t="inlineStr">
        <is>
          <t>Davines Natural Tech Renewing Conditioning Treatment 1000ml</t>
        </is>
      </c>
      <c r="C5197" t="inlineStr">
        <is>
          <t>Conditioner</t>
        </is>
      </c>
      <c r="D5197" t="inlineStr">
        <is>
          <t>Davines</t>
        </is>
      </c>
      <c r="E5197" t="n">
        <v>72.45999999999999</v>
      </c>
      <c r="F5197" t="n">
        <v>1</v>
      </c>
      <c r="G5197" t="n">
        <v>3</v>
      </c>
      <c r="H5197" s="5">
        <f>HYPERLINK("https://api.qogita.com/variants/link/8004608255123/", "View Product")</f>
        <v/>
      </c>
    </row>
    <row r="5198">
      <c r="A5198" t="inlineStr">
        <is>
          <t>8004608256502</t>
        </is>
      </c>
      <c r="B5198" t="inlineStr">
        <is>
          <t>Davines Naturaltech Wellbeing Shampoo 250ml Hydrating Shampoo For All Hair Types</t>
        </is>
      </c>
      <c r="C5198" t="inlineStr">
        <is>
          <t>Shampoo</t>
        </is>
      </c>
      <c r="D5198" t="inlineStr">
        <is>
          <t>Davines</t>
        </is>
      </c>
      <c r="E5198" t="n">
        <v>22.74</v>
      </c>
      <c r="F5198" t="n">
        <v>1</v>
      </c>
      <c r="G5198" t="n">
        <v>5</v>
      </c>
      <c r="H5198" s="5">
        <f>HYPERLINK("https://api.qogita.com/variants/link/8004608256502/", "View Product")</f>
        <v/>
      </c>
    </row>
    <row r="5199">
      <c r="A5199" t="inlineStr">
        <is>
          <t>8004608256649</t>
        </is>
      </c>
      <c r="B5199" t="inlineStr">
        <is>
          <t>Davines Naturaltech Calming Shampoo 1000ml</t>
        </is>
      </c>
      <c r="C5199" t="inlineStr">
        <is>
          <t>Shampoo</t>
        </is>
      </c>
      <c r="D5199" t="inlineStr">
        <is>
          <t>Davines</t>
        </is>
      </c>
      <c r="E5199" t="n">
        <v>52.19</v>
      </c>
      <c r="F5199" t="n">
        <v>1</v>
      </c>
      <c r="G5199" t="n">
        <v>3</v>
      </c>
      <c r="H5199" s="5">
        <f>HYPERLINK("https://api.qogita.com/variants/link/8004608256649/", "View Product")</f>
        <v/>
      </c>
    </row>
    <row r="5200">
      <c r="A5200" t="inlineStr">
        <is>
          <t>8004608256663</t>
        </is>
      </c>
      <c r="B5200" t="inlineStr">
        <is>
          <t>Natural Tech by Davines Detoxifying Scrub Shampoo 1000ml</t>
        </is>
      </c>
      <c r="C5200" t="inlineStr">
        <is>
          <t>Shampoo</t>
        </is>
      </c>
      <c r="D5200" t="inlineStr">
        <is>
          <t>Davines</t>
        </is>
      </c>
      <c r="E5200" t="n">
        <v>52.19</v>
      </c>
      <c r="F5200" t="n">
        <v>1</v>
      </c>
      <c r="G5200" t="n">
        <v>3</v>
      </c>
      <c r="H5200" s="5">
        <f>HYPERLINK("https://api.qogita.com/variants/link/8004608256663/", "View Product")</f>
        <v/>
      </c>
    </row>
    <row r="5201">
      <c r="A5201" t="inlineStr">
        <is>
          <t>8004608256793</t>
        </is>
      </c>
      <c r="B5201" t="inlineStr">
        <is>
          <t>Davines Care Naturaltech Calming Shampoo 100ml</t>
        </is>
      </c>
      <c r="C5201" t="inlineStr">
        <is>
          <t>Shampoo</t>
        </is>
      </c>
      <c r="D5201" t="inlineStr">
        <is>
          <t>Davines</t>
        </is>
      </c>
      <c r="E5201" t="n">
        <v>11.57</v>
      </c>
      <c r="F5201" t="n">
        <v>1</v>
      </c>
      <c r="G5201" t="n">
        <v>8</v>
      </c>
      <c r="H5201" s="5">
        <f>HYPERLINK("https://api.qogita.com/variants/link/8004608256793/", "View Product")</f>
        <v/>
      </c>
    </row>
    <row r="5202">
      <c r="A5202" t="inlineStr">
        <is>
          <t>8004608264590</t>
        </is>
      </c>
      <c r="B5202" t="inlineStr">
        <is>
          <t>Davines Oi Hair Butter 8.8 Fl Oz 250ml</t>
        </is>
      </c>
      <c r="C5202" t="inlineStr">
        <is>
          <t>Hair Masks</t>
        </is>
      </c>
      <c r="D5202" t="inlineStr">
        <is>
          <t>Davines</t>
        </is>
      </c>
      <c r="E5202" t="n">
        <v>32.66</v>
      </c>
      <c r="F5202" t="n">
        <v>1</v>
      </c>
      <c r="G5202" t="n">
        <v>2</v>
      </c>
      <c r="H5202" s="5">
        <f>HYPERLINK("https://api.qogita.com/variants/link/8004608264590/", "View Product")</f>
        <v/>
      </c>
    </row>
    <row r="5203">
      <c r="A5203" t="inlineStr">
        <is>
          <t>8004608264606</t>
        </is>
      </c>
      <c r="B5203" t="inlineStr">
        <is>
          <t>Davines Oi Hair Butter 75ml</t>
        </is>
      </c>
      <c r="C5203" t="inlineStr">
        <is>
          <t>Hair Masks</t>
        </is>
      </c>
      <c r="D5203" t="inlineStr">
        <is>
          <t>Davines</t>
        </is>
      </c>
      <c r="E5203" t="n">
        <v>12.3</v>
      </c>
      <c r="F5203" t="n">
        <v>1</v>
      </c>
      <c r="G5203" t="n">
        <v>6</v>
      </c>
      <c r="H5203" s="5">
        <f>HYPERLINK("https://api.qogita.com/variants/link/8004608264606/", "View Product")</f>
        <v/>
      </c>
    </row>
    <row r="5204">
      <c r="A5204" t="inlineStr">
        <is>
          <t>8004608269243</t>
        </is>
      </c>
      <c r="B5204" t="inlineStr">
        <is>
          <t>Davines Nourishing Vegetarian Miracle Acondicionador 1000 Ml</t>
        </is>
      </c>
      <c r="C5204" t="inlineStr">
        <is>
          <t>Conditioner</t>
        </is>
      </c>
      <c r="D5204" t="inlineStr">
        <is>
          <t>Davines</t>
        </is>
      </c>
      <c r="E5204" t="n">
        <v>75.78</v>
      </c>
      <c r="F5204" t="n">
        <v>1</v>
      </c>
      <c r="G5204" t="n">
        <v>5</v>
      </c>
      <c r="H5204" s="5">
        <f>HYPERLINK("https://api.qogita.com/variants/link/8004608269243/", "View Product")</f>
        <v/>
      </c>
    </row>
    <row r="5205">
      <c r="A5205" t="inlineStr">
        <is>
          <t>8004608271727</t>
        </is>
      </c>
      <c r="B5205" t="inlineStr">
        <is>
          <t>Davines Heart of Glass Intense Treatment 150ml</t>
        </is>
      </c>
      <c r="C5205" t="inlineStr">
        <is>
          <t>Hair Masks</t>
        </is>
      </c>
      <c r="D5205" t="inlineStr">
        <is>
          <t>Davines</t>
        </is>
      </c>
      <c r="E5205" t="n">
        <v>26.69</v>
      </c>
      <c r="F5205" t="n">
        <v>1</v>
      </c>
      <c r="G5205" t="n">
        <v>3</v>
      </c>
      <c r="H5205" s="5">
        <f>HYPERLINK("https://api.qogita.com/variants/link/8004608271727/", "View Product")</f>
        <v/>
      </c>
    </row>
    <row r="5206">
      <c r="A5206" t="inlineStr">
        <is>
          <t>8004608275350</t>
        </is>
      </c>
      <c r="B5206" t="inlineStr">
        <is>
          <t>Davines Naturaltech Rebalancing Cleansing Treatment 8.45 fl oz</t>
        </is>
      </c>
      <c r="C5206" t="inlineStr">
        <is>
          <t>Shampoo</t>
        </is>
      </c>
      <c r="D5206" t="inlineStr">
        <is>
          <t>Davines</t>
        </is>
      </c>
      <c r="E5206" t="n">
        <v>24.9</v>
      </c>
      <c r="F5206" t="n">
        <v>1</v>
      </c>
      <c r="G5206" t="n">
        <v>5</v>
      </c>
      <c r="H5206" s="5">
        <f>HYPERLINK("https://api.qogita.com/variants/link/8004608275350/", "View Product")</f>
        <v/>
      </c>
    </row>
    <row r="5207">
      <c r="A5207" t="inlineStr">
        <is>
          <t>8004608276722</t>
        </is>
      </c>
      <c r="B5207" t="inlineStr">
        <is>
          <t>Davines Essential Haircare Melu Conditioner For Long And Damaged Hair 250 Ml</t>
        </is>
      </c>
      <c r="C5207" t="inlineStr">
        <is>
          <t>Conditioner</t>
        </is>
      </c>
      <c r="D5207" t="inlineStr">
        <is>
          <t>Davines</t>
        </is>
      </c>
      <c r="E5207" t="n">
        <v>21.18</v>
      </c>
      <c r="F5207" t="n">
        <v>1</v>
      </c>
      <c r="G5207" t="n">
        <v>11</v>
      </c>
      <c r="H5207" s="5">
        <f>HYPERLINK("https://api.qogita.com/variants/link/8004608276722/", "View Product")</f>
        <v/>
      </c>
    </row>
    <row r="5208">
      <c r="A5208" t="inlineStr">
        <is>
          <t>8004608277408</t>
        </is>
      </c>
      <c r="B5208" t="inlineStr">
        <is>
          <t>Davines This Is An Invisible Dry Shampoo Residue-Free Cleansing and Volumizing Formula 8.45 fl oz</t>
        </is>
      </c>
      <c r="C5208" t="inlineStr">
        <is>
          <t>Dry Shampoo</t>
        </is>
      </c>
      <c r="D5208" t="inlineStr">
        <is>
          <t>Davines</t>
        </is>
      </c>
      <c r="E5208" t="n">
        <v>29.24</v>
      </c>
      <c r="F5208" t="n">
        <v>1</v>
      </c>
      <c r="G5208" t="n">
        <v>2</v>
      </c>
      <c r="H5208" s="5">
        <f>HYPERLINK("https://api.qogita.com/variants/link/8004608277408/", "View Product")</f>
        <v/>
      </c>
    </row>
    <row r="5209">
      <c r="A5209" t="inlineStr">
        <is>
          <t>8004608282822</t>
        </is>
      </c>
      <c r="B5209" t="inlineStr">
        <is>
          <t>Davines Heart of Glass Instant Bonding Glow Reinforcing Shine Serum 10.14 Fl. Oz.</t>
        </is>
      </c>
      <c r="C5209" t="inlineStr">
        <is>
          <t>Hair Oil &amp; Hair Serum</t>
        </is>
      </c>
      <c r="D5209" t="inlineStr">
        <is>
          <t>Davines</t>
        </is>
      </c>
      <c r="E5209" t="n">
        <v>25.91</v>
      </c>
      <c r="F5209" t="n">
        <v>1</v>
      </c>
      <c r="G5209" t="n">
        <v>5</v>
      </c>
      <c r="H5209" s="5">
        <f>HYPERLINK("https://api.qogita.com/variants/link/8004608282822/", "View Product")</f>
        <v/>
      </c>
    </row>
    <row r="5210">
      <c r="A5210" t="inlineStr">
        <is>
          <t>8004608284451</t>
        </is>
      </c>
      <c r="B5210" t="inlineStr">
        <is>
          <t>Davines Pasta &amp; Love Men's Medium Hold Styling Paste 4.23 fl. Oz</t>
        </is>
      </c>
      <c r="C5210" t="inlineStr">
        <is>
          <t>Styling Creams</t>
        </is>
      </c>
      <c r="D5210" t="inlineStr">
        <is>
          <t>Davines</t>
        </is>
      </c>
      <c r="E5210" t="n">
        <v>24.7</v>
      </c>
      <c r="F5210" t="n">
        <v>1</v>
      </c>
      <c r="G5210" t="n">
        <v>3</v>
      </c>
      <c r="H5210" s="5">
        <f>HYPERLINK("https://api.qogita.com/variants/link/8004608284451/", "View Product")</f>
        <v/>
      </c>
    </row>
    <row r="5211">
      <c r="A5211" t="inlineStr">
        <is>
          <t>8004608286967</t>
        </is>
      </c>
      <c r="B5211" t="inlineStr">
        <is>
          <t>Davines This is a Primer Hair Gloss Body Effect Anti-Moisturizing 100ml</t>
        </is>
      </c>
      <c r="C5211" t="inlineStr">
        <is>
          <t>Hair Oil &amp; Hair Serum</t>
        </is>
      </c>
      <c r="D5211" t="inlineStr">
        <is>
          <t>Davines</t>
        </is>
      </c>
      <c r="E5211" t="n">
        <v>13.1</v>
      </c>
      <c r="F5211" t="n">
        <v>1</v>
      </c>
      <c r="G5211" t="n">
        <v>1</v>
      </c>
      <c r="H5211" s="5">
        <f>HYPERLINK("https://api.qogita.com/variants/link/8004608286967/", "View Product")</f>
        <v/>
      </c>
    </row>
    <row r="5212">
      <c r="A5212" t="inlineStr">
        <is>
          <t>8005610295015</t>
        </is>
      </c>
      <c r="B5212" t="inlineStr">
        <is>
          <t>Gucci Bamboo Eau De Toilette 30ml Women's Spray</t>
        </is>
      </c>
      <c r="C5212" t="inlineStr">
        <is>
          <t>Eau De Toilette</t>
        </is>
      </c>
      <c r="D5212" t="inlineStr">
        <is>
          <t>Gucci</t>
        </is>
      </c>
      <c r="E5212" t="n">
        <v>37.82</v>
      </c>
      <c r="F5212" t="n">
        <v>1</v>
      </c>
      <c r="G5212" t="n">
        <v>5</v>
      </c>
      <c r="H5212" s="5">
        <f>HYPERLINK("https://api.qogita.com/variants/link/8005610295015/", "View Product")</f>
        <v/>
      </c>
    </row>
    <row r="5213">
      <c r="A5213" t="inlineStr">
        <is>
          <t>8005610344188</t>
        </is>
      </c>
      <c r="B5213" t="inlineStr">
        <is>
          <t>Gucci Guilty Absolute Eau De Parfum For Him 50ml</t>
        </is>
      </c>
      <c r="C5213" t="inlineStr">
        <is>
          <t>Eau De Parfum</t>
        </is>
      </c>
      <c r="D5213" t="inlineStr">
        <is>
          <t>Gucci</t>
        </is>
      </c>
      <c r="E5213" t="n">
        <v>45.3</v>
      </c>
      <c r="F5213" t="n">
        <v>1</v>
      </c>
      <c r="G5213" t="n">
        <v>4</v>
      </c>
      <c r="H5213" s="5">
        <f>HYPERLINK("https://api.qogita.com/variants/link/8005610344188/", "View Product")</f>
        <v/>
      </c>
    </row>
    <row r="5214">
      <c r="A5214" t="inlineStr">
        <is>
          <t>8005610426679</t>
        </is>
      </c>
      <c r="B5214" t="inlineStr">
        <is>
          <t>Sebastian Professional Twisted Curl Conditioner 1000ml Conditioner For Wavy And Curly Hair</t>
        </is>
      </c>
      <c r="C5214" t="inlineStr">
        <is>
          <t>Conditioner</t>
        </is>
      </c>
      <c r="D5214" t="inlineStr">
        <is>
          <t>Sebastian Professional</t>
        </is>
      </c>
      <c r="E5214" t="n">
        <v>33.48</v>
      </c>
      <c r="F5214" t="n">
        <v>1</v>
      </c>
      <c r="G5214" t="n">
        <v>11</v>
      </c>
      <c r="H5214" s="5">
        <f>HYPERLINK("https://api.qogita.com/variants/link/8005610426679/", "View Product")</f>
        <v/>
      </c>
    </row>
    <row r="5215">
      <c r="A5215" t="inlineStr">
        <is>
          <t>8005610426792</t>
        </is>
      </c>
      <c r="B5215" t="inlineStr">
        <is>
          <t>Sebastian Professional Twisted Curl Mask 500ml Elastic Treatment For Wavy And Curly Hair</t>
        </is>
      </c>
      <c r="C5215" t="inlineStr">
        <is>
          <t>Hair Masks</t>
        </is>
      </c>
      <c r="D5215" t="inlineStr">
        <is>
          <t>Sebastian Professional</t>
        </is>
      </c>
      <c r="E5215" t="n">
        <v>33.45</v>
      </c>
      <c r="F5215" t="n">
        <v>1</v>
      </c>
      <c r="G5215" t="n">
        <v>11</v>
      </c>
      <c r="H5215" s="5">
        <f>HYPERLINK("https://api.qogita.com/variants/link/8005610426792/", "View Product")</f>
        <v/>
      </c>
    </row>
    <row r="5216">
      <c r="A5216" t="inlineStr">
        <is>
          <t>8005610481081</t>
        </is>
      </c>
      <c r="B5216" t="inlineStr">
        <is>
          <t>Gucci Bloom Eau De Parfum Spray 30ml By Gucci</t>
        </is>
      </c>
      <c r="C5216" t="inlineStr">
        <is>
          <t>Eau De Parfum</t>
        </is>
      </c>
      <c r="D5216" t="inlineStr">
        <is>
          <t>Gucci</t>
        </is>
      </c>
      <c r="E5216" t="n">
        <v>35.71</v>
      </c>
      <c r="F5216" t="n">
        <v>1</v>
      </c>
      <c r="G5216" t="n">
        <v>20</v>
      </c>
      <c r="H5216" s="5">
        <f>HYPERLINK("https://api.qogita.com/variants/link/8005610481081/", "View Product")</f>
        <v/>
      </c>
    </row>
    <row r="5217">
      <c r="A5217" t="inlineStr">
        <is>
          <t>8005610499314</t>
        </is>
      </c>
      <c r="B5217" t="inlineStr">
        <is>
          <t>Nioxin Hair and Scalp Care - 1 Count</t>
        </is>
      </c>
      <c r="C5217" t="inlineStr">
        <is>
          <t>Scalp Care</t>
        </is>
      </c>
      <c r="D5217" t="inlineStr">
        <is>
          <t>Nioxin</t>
        </is>
      </c>
      <c r="E5217" t="n">
        <v>17.84</v>
      </c>
      <c r="F5217" t="n">
        <v>1</v>
      </c>
      <c r="G5217" t="n">
        <v>5</v>
      </c>
      <c r="H5217" s="5">
        <f>HYPERLINK("https://api.qogita.com/variants/link/8005610499314/", "View Product")</f>
        <v/>
      </c>
    </row>
    <row r="5218">
      <c r="A5218" t="inlineStr">
        <is>
          <t>8005610524115</t>
        </is>
      </c>
      <c r="B5218" t="inlineStr">
        <is>
          <t>Gucci Guilty Absolute Pour Femme Eau De Perfume Spray 30ml By Gucci</t>
        </is>
      </c>
      <c r="C5218" t="inlineStr">
        <is>
          <t>Eau De Parfum</t>
        </is>
      </c>
      <c r="D5218" t="inlineStr">
        <is>
          <t>Gucci</t>
        </is>
      </c>
      <c r="E5218" t="n">
        <v>42.01</v>
      </c>
      <c r="F5218" t="n">
        <v>1</v>
      </c>
      <c r="G5218" t="n">
        <v>15</v>
      </c>
      <c r="H5218" s="5">
        <f>HYPERLINK("https://api.qogita.com/variants/link/8005610524115/", "View Product")</f>
        <v/>
      </c>
    </row>
    <row r="5219">
      <c r="A5219" t="inlineStr">
        <is>
          <t>8005610533704</t>
        </is>
      </c>
      <c r="B5219" t="inlineStr">
        <is>
          <t>Wella Professionals Eimi Super Set 500ml</t>
        </is>
      </c>
      <c r="C5219" t="inlineStr">
        <is>
          <t>Hairspray</t>
        </is>
      </c>
      <c r="D5219" t="inlineStr">
        <is>
          <t>Wella</t>
        </is>
      </c>
      <c r="E5219" t="n">
        <v>9.24</v>
      </c>
      <c r="F5219" t="n">
        <v>1</v>
      </c>
      <c r="G5219" t="n">
        <v>36</v>
      </c>
      <c r="H5219" s="5">
        <f>HYPERLINK("https://api.qogita.com/variants/link/8005610533704/", "View Product")</f>
        <v/>
      </c>
    </row>
    <row r="5220">
      <c r="A5220" t="inlineStr">
        <is>
          <t>8005610538716</t>
        </is>
      </c>
      <c r="B5220" t="inlineStr">
        <is>
          <t>Wella Professional Illumina 5/7 Light Brown60ml</t>
        </is>
      </c>
      <c r="C5220" t="inlineStr">
        <is>
          <t>Hair Dye</t>
        </is>
      </c>
      <c r="D5220" t="inlineStr">
        <is>
          <t>Wella</t>
        </is>
      </c>
      <c r="E5220" t="n">
        <v>7.34</v>
      </c>
      <c r="F5220" t="n">
        <v>1</v>
      </c>
      <c r="G5220" t="n">
        <v>3</v>
      </c>
      <c r="H5220" s="5">
        <f>HYPERLINK("https://api.qogita.com/variants/link/8005610538716/", "View Product")</f>
        <v/>
      </c>
    </row>
    <row r="5221">
      <c r="A5221" t="inlineStr">
        <is>
          <t>8005610538839</t>
        </is>
      </c>
      <c r="B5221" t="inlineStr">
        <is>
          <t>Wella Professional Illumina Color 60 Ml 743 Permanent Hair Color</t>
        </is>
      </c>
      <c r="C5221" t="inlineStr">
        <is>
          <t>Hair Dye</t>
        </is>
      </c>
      <c r="D5221" t="inlineStr">
        <is>
          <t>Wella Professionals</t>
        </is>
      </c>
      <c r="E5221" t="n">
        <v>7.34</v>
      </c>
      <c r="F5221" t="n">
        <v>1</v>
      </c>
      <c r="G5221" t="n">
        <v>3</v>
      </c>
      <c r="H5221" s="5">
        <f>HYPERLINK("https://api.qogita.com/variants/link/8005610538839/", "View Product")</f>
        <v/>
      </c>
    </row>
    <row r="5222">
      <c r="A5222" t="inlineStr">
        <is>
          <t>8005610539256</t>
        </is>
      </c>
      <c r="B5222" t="inlineStr">
        <is>
          <t>Wella Illumina Color Permanent Hair Color 8/05 Light Blonde Natural Mahogany 2 Ounce 60 Milliliters</t>
        </is>
      </c>
      <c r="C5222" t="inlineStr">
        <is>
          <t>Hair Dye</t>
        </is>
      </c>
      <c r="D5222" t="inlineStr">
        <is>
          <t>Wella</t>
        </is>
      </c>
      <c r="E5222" t="n">
        <v>7.74</v>
      </c>
      <c r="F5222" t="n">
        <v>1</v>
      </c>
      <c r="G5222" t="n">
        <v>3</v>
      </c>
      <c r="H5222" s="5">
        <f>HYPERLINK("https://api.qogita.com/variants/link/8005610539256/", "View Product")</f>
        <v/>
      </c>
    </row>
    <row r="5223">
      <c r="A5223" t="inlineStr">
        <is>
          <t>8005610541587</t>
        </is>
      </c>
      <c r="B5223" t="inlineStr">
        <is>
          <t>Wella Professional Illumina Color 60 Ml 619 Permanent Hair Color</t>
        </is>
      </c>
      <c r="C5223" t="inlineStr">
        <is>
          <t>Hair Dye</t>
        </is>
      </c>
      <c r="D5223" t="inlineStr">
        <is>
          <t>Wella Professionals</t>
        </is>
      </c>
      <c r="E5223" t="n">
        <v>7.36</v>
      </c>
      <c r="F5223" t="n">
        <v>1</v>
      </c>
      <c r="G5223" t="n">
        <v>7</v>
      </c>
      <c r="H5223" s="5">
        <f>HYPERLINK("https://api.qogita.com/variants/link/8005610541587/", "View Product")</f>
        <v/>
      </c>
    </row>
    <row r="5224">
      <c r="A5224" t="inlineStr">
        <is>
          <t>8005610563091</t>
        </is>
      </c>
      <c r="B5224" t="inlineStr">
        <is>
          <t>Wella Eimi Sculp Force Strong Flubber Gel 125ml</t>
        </is>
      </c>
      <c r="C5224" t="inlineStr">
        <is>
          <t>Gel</t>
        </is>
      </c>
      <c r="D5224" t="inlineStr">
        <is>
          <t>Wella</t>
        </is>
      </c>
      <c r="E5224" t="n">
        <v>7.13</v>
      </c>
      <c r="F5224" t="n">
        <v>1</v>
      </c>
      <c r="G5224" t="n">
        <v>5</v>
      </c>
      <c r="H5224" s="5">
        <f>HYPERLINK("https://api.qogita.com/variants/link/8005610563091/", "View Product")</f>
        <v/>
      </c>
    </row>
    <row r="5225">
      <c r="A5225" t="inlineStr">
        <is>
          <t>8005610563541</t>
        </is>
      </c>
      <c r="B5225" t="inlineStr">
        <is>
          <t>Londa Professional Velvet Oil Deep Renewing Hair Mask</t>
        </is>
      </c>
      <c r="C5225" t="inlineStr">
        <is>
          <t>Hair Masks</t>
        </is>
      </c>
      <c r="D5225" t="inlineStr">
        <is>
          <t>Londa Professional</t>
        </is>
      </c>
      <c r="E5225" t="n">
        <v>13.34</v>
      </c>
      <c r="F5225" t="n">
        <v>1</v>
      </c>
      <c r="G5225" t="n">
        <v>2</v>
      </c>
      <c r="H5225" s="5">
        <f>HYPERLINK("https://api.qogita.com/variants/link/8005610563541/", "View Product")</f>
        <v/>
      </c>
    </row>
    <row r="5226">
      <c r="A5226" t="inlineStr">
        <is>
          <t>8005610566849</t>
        </is>
      </c>
      <c r="B5226" t="inlineStr">
        <is>
          <t>Sp Luxe Oil Keratin Protect Shampoo Regenerating Shampoo For Hair 1000ml</t>
        </is>
      </c>
      <c r="C5226" t="inlineStr">
        <is>
          <t>Shampoo</t>
        </is>
      </c>
      <c r="D5226" t="inlineStr">
        <is>
          <t>Sp</t>
        </is>
      </c>
      <c r="E5226" t="n">
        <v>14.25</v>
      </c>
      <c r="F5226" t="n">
        <v>1</v>
      </c>
      <c r="G5226" t="n">
        <v>59</v>
      </c>
      <c r="H5226" s="5">
        <f>HYPERLINK("https://api.qogita.com/variants/link/8005610566849/", "View Product")</f>
        <v/>
      </c>
    </row>
    <row r="5227">
      <c r="A5227" t="inlineStr">
        <is>
          <t>8005610568973</t>
        </is>
      </c>
      <c r="B5227" t="inlineStr">
        <is>
          <t>Sebastian Shaper Fierce Finishing Hairspray 400ml</t>
        </is>
      </c>
      <c r="C5227" t="inlineStr">
        <is>
          <t>Hairspray</t>
        </is>
      </c>
      <c r="D5227" t="inlineStr">
        <is>
          <t>Sebastian</t>
        </is>
      </c>
      <c r="E5227" t="n">
        <v>14.78</v>
      </c>
      <c r="F5227" t="n">
        <v>1</v>
      </c>
      <c r="G5227" t="n">
        <v>5</v>
      </c>
      <c r="H5227" s="5">
        <f>HYPERLINK("https://api.qogita.com/variants/link/8005610568973/", "View Product")</f>
        <v/>
      </c>
    </row>
    <row r="5228">
      <c r="A5228" t="inlineStr">
        <is>
          <t>8005610569277</t>
        </is>
      </c>
      <c r="B5228" t="inlineStr">
        <is>
          <t>Sebastian Professional Cellophanes Semipermanent Hair Gloss 300 Ml Rose Blond</t>
        </is>
      </c>
      <c r="C5228" t="inlineStr">
        <is>
          <t>Hair Care Sets</t>
        </is>
      </c>
      <c r="D5228" t="inlineStr">
        <is>
          <t>Sebastian Professional</t>
        </is>
      </c>
      <c r="E5228" t="n">
        <v>29.6</v>
      </c>
      <c r="F5228" t="n">
        <v>1</v>
      </c>
      <c r="G5228" t="n">
        <v>3</v>
      </c>
      <c r="H5228" s="5">
        <f>HYPERLINK("https://api.qogita.com/variants/link/8005610569277/", "View Product")</f>
        <v/>
      </c>
    </row>
    <row r="5229">
      <c r="A5229" t="inlineStr">
        <is>
          <t>8005610572017</t>
        </is>
      </c>
      <c r="B5229" t="inlineStr">
        <is>
          <t>Londa Londalock C 75ml</t>
        </is>
      </c>
      <c r="C5229" t="inlineStr">
        <is>
          <t>Hair Care Sets</t>
        </is>
      </c>
      <c r="D5229" t="inlineStr">
        <is>
          <t>Londa</t>
        </is>
      </c>
      <c r="E5229" t="n">
        <v>5.52</v>
      </c>
      <c r="F5229" t="n">
        <v>1</v>
      </c>
      <c r="G5229" t="n">
        <v>6</v>
      </c>
      <c r="H5229" s="5">
        <f>HYPERLINK("https://api.qogita.com/variants/link/8005610572017/", "View Product")</f>
        <v/>
      </c>
    </row>
    <row r="5230">
      <c r="A5230" t="inlineStr">
        <is>
          <t>8005610574905</t>
        </is>
      </c>
      <c r="B5230" t="inlineStr">
        <is>
          <t>EIMI SHAPE SHIFT 150ML by Wella</t>
        </is>
      </c>
      <c r="C5230" t="inlineStr">
        <is>
          <t>Styling Sprays</t>
        </is>
      </c>
      <c r="D5230" t="inlineStr">
        <is>
          <t>Wella</t>
        </is>
      </c>
      <c r="E5230" t="n">
        <v>7.38</v>
      </c>
      <c r="F5230" t="n">
        <v>1</v>
      </c>
      <c r="G5230" t="n">
        <v>43</v>
      </c>
      <c r="H5230" s="5">
        <f>HYPERLINK("https://api.qogita.com/variants/link/8005610574905/", "View Product")</f>
        <v/>
      </c>
    </row>
    <row r="5231">
      <c r="A5231" t="inlineStr">
        <is>
          <t>8005610580746</t>
        </is>
      </c>
      <c r="B5231" t="inlineStr">
        <is>
          <t>Wella Professional Sp Luxe Oil Luxury Hair Oil</t>
        </is>
      </c>
      <c r="C5231" t="inlineStr">
        <is>
          <t>Hair Oil &amp; Hair Serum</t>
        </is>
      </c>
      <c r="D5231" t="inlineStr">
        <is>
          <t>Wella Professionals</t>
        </is>
      </c>
      <c r="E5231" t="n">
        <v>3.71</v>
      </c>
      <c r="F5231" t="n">
        <v>1</v>
      </c>
      <c r="G5231" t="n">
        <v>20</v>
      </c>
      <c r="H5231" s="5">
        <f>HYPERLINK("https://api.qogita.com/variants/link/8005610580746/", "View Product")</f>
        <v/>
      </c>
    </row>
    <row r="5232">
      <c r="A5232" t="inlineStr">
        <is>
          <t>8005610582146</t>
        </is>
      </c>
      <c r="B5232" t="inlineStr">
        <is>
          <t>System Professional Intensive Moisturizing Hair Care Hydrate Infusion 20 X 5 Ml</t>
        </is>
      </c>
      <c r="C5232" t="inlineStr">
        <is>
          <t>Hair Masks</t>
        </is>
      </c>
      <c r="D5232" t="inlineStr">
        <is>
          <t>System Professional</t>
        </is>
      </c>
      <c r="E5232" t="n">
        <v>82.56</v>
      </c>
      <c r="F5232" t="n">
        <v>1</v>
      </c>
      <c r="G5232" t="n">
        <v>2</v>
      </c>
      <c r="H5232" s="5">
        <f>HYPERLINK("https://api.qogita.com/variants/link/8005610582146/", "View Product")</f>
        <v/>
      </c>
    </row>
    <row r="5233">
      <c r="A5233" t="inlineStr">
        <is>
          <t>8005610586861</t>
        </is>
      </c>
      <c r="B5233" t="inlineStr">
        <is>
          <t>Wella Professionals Blondor Freelights Developer 12 1000 Ml</t>
        </is>
      </c>
      <c r="C5233" t="inlineStr">
        <is>
          <t>Bleaching</t>
        </is>
      </c>
      <c r="D5233" t="inlineStr">
        <is>
          <t>Wella Professionals</t>
        </is>
      </c>
      <c r="E5233" t="n">
        <v>6.36</v>
      </c>
      <c r="F5233" t="n">
        <v>1</v>
      </c>
      <c r="G5233" t="n">
        <v>8</v>
      </c>
      <c r="H5233" s="5">
        <f>HYPERLINK("https://api.qogita.com/variants/link/8005610586861/", "View Product")</f>
        <v/>
      </c>
    </row>
    <row r="5234">
      <c r="A5234" t="inlineStr">
        <is>
          <t>8005610586922</t>
        </is>
      </c>
      <c r="B5234" t="inlineStr">
        <is>
          <t>Wella Professionals Blondor Freelights Developer 9 1000 Ml</t>
        </is>
      </c>
      <c r="C5234" t="inlineStr">
        <is>
          <t>Bleaching</t>
        </is>
      </c>
      <c r="D5234" t="inlineStr">
        <is>
          <t>Wella Professionals</t>
        </is>
      </c>
      <c r="E5234" t="n">
        <v>7.72</v>
      </c>
      <c r="F5234" t="n">
        <v>1</v>
      </c>
      <c r="G5234" t="n">
        <v>8</v>
      </c>
      <c r="H5234" s="5">
        <f>HYPERLINK("https://api.qogita.com/variants/link/8005610586922/", "View Product")</f>
        <v/>
      </c>
    </row>
    <row r="5235">
      <c r="A5235" t="inlineStr">
        <is>
          <t>8005610588520</t>
        </is>
      </c>
      <c r="B5235" t="inlineStr">
        <is>
          <t>Wella EIMI PERFECT ME 100ML</t>
        </is>
      </c>
      <c r="C5235" t="inlineStr">
        <is>
          <t>Styling Creams</t>
        </is>
      </c>
      <c r="D5235" t="inlineStr">
        <is>
          <t>Wella</t>
        </is>
      </c>
      <c r="E5235" t="n">
        <v>7.26</v>
      </c>
      <c r="F5235" t="n">
        <v>1</v>
      </c>
      <c r="G5235" t="n">
        <v>16</v>
      </c>
      <c r="H5235" s="5">
        <f>HYPERLINK("https://api.qogita.com/variants/link/8005610588520/", "View Product")</f>
        <v/>
      </c>
    </row>
    <row r="5236">
      <c r="A5236" t="inlineStr">
        <is>
          <t>8005610590059</t>
        </is>
      </c>
      <c r="B5236" t="inlineStr">
        <is>
          <t>Wella Professionals Eimi Root Shoot Volume Mousse 200ml</t>
        </is>
      </c>
      <c r="C5236" t="inlineStr">
        <is>
          <t>Mousse</t>
        </is>
      </c>
      <c r="D5236" t="inlineStr">
        <is>
          <t>Wella Professionals</t>
        </is>
      </c>
      <c r="E5236" t="n">
        <v>6.64</v>
      </c>
      <c r="F5236" t="n">
        <v>1</v>
      </c>
      <c r="G5236" t="n">
        <v>15</v>
      </c>
      <c r="H5236" s="5">
        <f>HYPERLINK("https://api.qogita.com/variants/link/8005610590059/", "View Product")</f>
        <v/>
      </c>
    </row>
    <row r="5237">
      <c r="A5237" t="inlineStr">
        <is>
          <t>8005610590097</t>
        </is>
      </c>
      <c r="B5237" t="inlineStr">
        <is>
          <t>Sebastian Strong Gel 200ml</t>
        </is>
      </c>
      <c r="C5237" t="inlineStr">
        <is>
          <t>Gel</t>
        </is>
      </c>
      <c r="D5237" t="inlineStr">
        <is>
          <t>Sebastian</t>
        </is>
      </c>
      <c r="E5237" t="n">
        <v>15.28</v>
      </c>
      <c r="F5237" t="n">
        <v>1</v>
      </c>
      <c r="G5237" t="n">
        <v>32</v>
      </c>
      <c r="H5237" s="5">
        <f>HYPERLINK("https://api.qogita.com/variants/link/8005610590097/", "View Product")</f>
        <v/>
      </c>
    </row>
    <row r="5238">
      <c r="A5238" t="inlineStr">
        <is>
          <t>8005610590271</t>
        </is>
      </c>
      <c r="B5238" t="inlineStr">
        <is>
          <t>Sebastian Foundation Trilliance Shampoo 250ml - Illuminating Shampoo for Dull Hair</t>
        </is>
      </c>
      <c r="C5238" t="inlineStr">
        <is>
          <t>Shampoo</t>
        </is>
      </c>
      <c r="D5238" t="inlineStr">
        <is>
          <t>Sebastian</t>
        </is>
      </c>
      <c r="E5238" t="n">
        <v>12.7</v>
      </c>
      <c r="F5238" t="n">
        <v>1</v>
      </c>
      <c r="G5238" t="n">
        <v>8</v>
      </c>
      <c r="H5238" s="5">
        <f>HYPERLINK("https://api.qogita.com/variants/link/8005610590271/", "View Product")</f>
        <v/>
      </c>
    </row>
    <row r="5239">
      <c r="A5239" t="inlineStr">
        <is>
          <t>8005610594019</t>
        </is>
      </c>
      <c r="B5239" t="inlineStr">
        <is>
          <t>Sebastian Professional Penetraitt Shampoo 250ml Regenerating Shampoo</t>
        </is>
      </c>
      <c r="C5239" t="inlineStr">
        <is>
          <t>Shampoo</t>
        </is>
      </c>
      <c r="D5239" t="inlineStr">
        <is>
          <t>Sebastian Professional</t>
        </is>
      </c>
      <c r="E5239" t="n">
        <v>11.16</v>
      </c>
      <c r="F5239" t="n">
        <v>1</v>
      </c>
      <c r="G5239" t="n">
        <v>29</v>
      </c>
      <c r="H5239" s="5">
        <f>HYPERLINK("https://api.qogita.com/variants/link/8005610594019/", "View Product")</f>
        <v/>
      </c>
    </row>
    <row r="5240">
      <c r="A5240" t="inlineStr">
        <is>
          <t>8005610605296</t>
        </is>
      </c>
      <c r="B5240" t="inlineStr">
        <is>
          <t>Londa Professional Deep Moisture Conditioner with Honey &amp; Mango Extracts 250ml</t>
        </is>
      </c>
      <c r="C5240" t="inlineStr">
        <is>
          <t>Conditioner</t>
        </is>
      </c>
      <c r="D5240" t="inlineStr">
        <is>
          <t>Londa</t>
        </is>
      </c>
      <c r="E5240" t="n">
        <v>6.99</v>
      </c>
      <c r="F5240" t="n">
        <v>1</v>
      </c>
      <c r="G5240" t="n">
        <v>12</v>
      </c>
      <c r="H5240" s="5">
        <f>HYPERLINK("https://api.qogita.com/variants/link/8005610605296/", "View Product")</f>
        <v/>
      </c>
    </row>
    <row r="5241">
      <c r="A5241" t="inlineStr">
        <is>
          <t>8005610605333</t>
        </is>
      </c>
      <c r="B5241" t="inlineStr">
        <is>
          <t>Londa Professional Impressive Volume Shampoo 1000ml</t>
        </is>
      </c>
      <c r="C5241" t="inlineStr">
        <is>
          <t>Shampoo</t>
        </is>
      </c>
      <c r="D5241" t="inlineStr">
        <is>
          <t>Londa Professional</t>
        </is>
      </c>
      <c r="E5241" t="n">
        <v>8.82</v>
      </c>
      <c r="F5241" t="n">
        <v>1</v>
      </c>
      <c r="G5241" t="n">
        <v>18</v>
      </c>
      <c r="H5241" s="5">
        <f>HYPERLINK("https://api.qogita.com/variants/link/8005610605333/", "View Product")</f>
        <v/>
      </c>
    </row>
    <row r="5242">
      <c r="A5242" t="inlineStr">
        <is>
          <t>8005610605357</t>
        </is>
      </c>
      <c r="B5242" t="inlineStr">
        <is>
          <t>Londa Professional Specialist Intensive Cleanser Shampoo Deep Cleansing Shampoo</t>
        </is>
      </c>
      <c r="C5242" t="inlineStr">
        <is>
          <t>Shampoo</t>
        </is>
      </c>
      <c r="D5242" t="inlineStr">
        <is>
          <t>Londa Professional</t>
        </is>
      </c>
      <c r="E5242" t="n">
        <v>8.699999999999999</v>
      </c>
      <c r="F5242" t="n">
        <v>1</v>
      </c>
      <c r="G5242" t="n">
        <v>12</v>
      </c>
      <c r="H5242" s="5">
        <f>HYPERLINK("https://api.qogita.com/variants/link/8005610605357/", "View Product")</f>
        <v/>
      </c>
    </row>
    <row r="5243">
      <c r="A5243" t="inlineStr">
        <is>
          <t>8005610606620</t>
        </is>
      </c>
      <c r="B5243" t="inlineStr">
        <is>
          <t>Londacolor Creme Emulsion 1.9% 60ml</t>
        </is>
      </c>
      <c r="C5243" t="inlineStr">
        <is>
          <t>Hair Dye</t>
        </is>
      </c>
      <c r="D5243" t="inlineStr">
        <is>
          <t>Londa</t>
        </is>
      </c>
      <c r="E5243" t="n">
        <v>1.24</v>
      </c>
      <c r="F5243" t="n">
        <v>1</v>
      </c>
      <c r="G5243" t="n">
        <v>10</v>
      </c>
      <c r="H5243" s="5">
        <f>HYPERLINK("https://api.qogita.com/variants/link/8005610606620/", "View Product")</f>
        <v/>
      </c>
    </row>
    <row r="5244">
      <c r="A5244" t="inlineStr">
        <is>
          <t>8005610606644</t>
        </is>
      </c>
      <c r="B5244" t="inlineStr">
        <is>
          <t>Londa 6.0% Oxidant Permanent Cream Hair Colour 60ml</t>
        </is>
      </c>
      <c r="C5244" t="inlineStr">
        <is>
          <t>Hair Dye</t>
        </is>
      </c>
      <c r="D5244" t="inlineStr">
        <is>
          <t>Londa</t>
        </is>
      </c>
      <c r="E5244" t="n">
        <v>1.29</v>
      </c>
      <c r="F5244" t="n">
        <v>1</v>
      </c>
      <c r="G5244" t="n">
        <v>32</v>
      </c>
      <c r="H5244" s="5">
        <f>HYPERLINK("https://api.qogita.com/variants/link/8005610606644/", "View Product")</f>
        <v/>
      </c>
    </row>
    <row r="5245">
      <c r="A5245" t="inlineStr">
        <is>
          <t>8005610606682</t>
        </is>
      </c>
      <c r="B5245" t="inlineStr">
        <is>
          <t>Londa Professional Protect It Flexible Spray - 150ml</t>
        </is>
      </c>
      <c r="C5245" t="inlineStr">
        <is>
          <t>Hairspray</t>
        </is>
      </c>
      <c r="D5245" t="inlineStr">
        <is>
          <t>Londa Professional</t>
        </is>
      </c>
      <c r="E5245" t="n">
        <v>5.92</v>
      </c>
      <c r="F5245" t="n">
        <v>1</v>
      </c>
      <c r="G5245" t="n">
        <v>5</v>
      </c>
      <c r="H5245" s="5">
        <f>HYPERLINK("https://api.qogita.com/variants/link/8005610606682/", "View Product")</f>
        <v/>
      </c>
    </row>
    <row r="5246">
      <c r="A5246" t="inlineStr">
        <is>
          <t>8005610606729</t>
        </is>
      </c>
      <c r="B5246" t="inlineStr">
        <is>
          <t>Londa Professional Demi-Permanent 4% Oxidizing Emulsion 1000ml</t>
        </is>
      </c>
      <c r="C5246" t="inlineStr">
        <is>
          <t>Hair Dye</t>
        </is>
      </c>
      <c r="D5246" t="inlineStr">
        <is>
          <t>Londa Professional</t>
        </is>
      </c>
      <c r="E5246" t="n">
        <v>6.79</v>
      </c>
      <c r="F5246" t="n">
        <v>1</v>
      </c>
      <c r="G5246" t="n">
        <v>4</v>
      </c>
      <c r="H5246" s="5">
        <f>HYPERLINK("https://api.qogita.com/variants/link/8005610606729/", "View Product")</f>
        <v/>
      </c>
    </row>
    <row r="5247">
      <c r="A5247" t="inlineStr">
        <is>
          <t>8005610606880</t>
        </is>
      </c>
      <c r="B5247" t="inlineStr">
        <is>
          <t>Londa Professional Deep Moisture Leavein Conditioning Spray 250 Ml Rinsefree Conditioner For Dry Hair</t>
        </is>
      </c>
      <c r="C5247" t="inlineStr">
        <is>
          <t>Leave-In Conditioner</t>
        </is>
      </c>
      <c r="D5247" t="inlineStr">
        <is>
          <t>Londa Professional</t>
        </is>
      </c>
      <c r="E5247" t="n">
        <v>5.95</v>
      </c>
      <c r="F5247" t="n">
        <v>1</v>
      </c>
      <c r="G5247" t="n">
        <v>6</v>
      </c>
      <c r="H5247" s="5">
        <f>HYPERLINK("https://api.qogita.com/variants/link/8005610606880/", "View Product")</f>
        <v/>
      </c>
    </row>
    <row r="5248">
      <c r="A5248" t="inlineStr">
        <is>
          <t>8005610607009</t>
        </is>
      </c>
      <c r="B5248" t="inlineStr">
        <is>
          <t>Londa Professional Swap It X-Strong Gel Extra Strong 100ml</t>
        </is>
      </c>
      <c r="C5248" t="inlineStr">
        <is>
          <t>Gel</t>
        </is>
      </c>
      <c r="D5248" t="inlineStr">
        <is>
          <t>Londa Professional</t>
        </is>
      </c>
      <c r="E5248" t="n">
        <v>5.43</v>
      </c>
      <c r="F5248" t="n">
        <v>1</v>
      </c>
      <c r="G5248" t="n">
        <v>5</v>
      </c>
      <c r="H5248" s="5">
        <f>HYPERLINK("https://api.qogita.com/variants/link/8005610607009/", "View Product")</f>
        <v/>
      </c>
    </row>
    <row r="5249">
      <c r="A5249" t="inlineStr">
        <is>
          <t>8005610607221</t>
        </is>
      </c>
      <c r="B5249" t="inlineStr">
        <is>
          <t>Londa Professional Velvet Oil Nourishing Hair Oil 100ml</t>
        </is>
      </c>
      <c r="C5249" t="inlineStr">
        <is>
          <t>Hair Oil &amp; Hair Serum</t>
        </is>
      </c>
      <c r="D5249" t="inlineStr">
        <is>
          <t>Londa Professional</t>
        </is>
      </c>
      <c r="E5249" t="n">
        <v>6.36</v>
      </c>
      <c r="F5249" t="n">
        <v>1</v>
      </c>
      <c r="G5249" t="n">
        <v>343</v>
      </c>
      <c r="H5249" s="5">
        <f>HYPERLINK("https://api.qogita.com/variants/link/8005610607221/", "View Product")</f>
        <v/>
      </c>
    </row>
    <row r="5250">
      <c r="A5250" t="inlineStr">
        <is>
          <t>8005610650692</t>
        </is>
      </c>
      <c r="B5250" t="inlineStr">
        <is>
          <t>Wella Koleston Perfect Pure Naturals 903 60ml Hair Color</t>
        </is>
      </c>
      <c r="C5250" t="inlineStr">
        <is>
          <t>Hair Dye</t>
        </is>
      </c>
      <c r="D5250" t="inlineStr">
        <is>
          <t>Wella</t>
        </is>
      </c>
      <c r="E5250" t="n">
        <v>6.16</v>
      </c>
      <c r="F5250" t="n">
        <v>1</v>
      </c>
      <c r="G5250" t="n">
        <v>3</v>
      </c>
      <c r="H5250" s="5">
        <f>HYPERLINK("https://api.qogita.com/variants/link/8005610650692/", "View Product")</f>
        <v/>
      </c>
    </row>
    <row r="5251">
      <c r="A5251" t="inlineStr">
        <is>
          <t>8005610655208</t>
        </is>
      </c>
      <c r="B5251" t="inlineStr">
        <is>
          <t>Wella Koleston Perfect Pure Naturals 440 Hair Color 60ml</t>
        </is>
      </c>
      <c r="C5251" t="inlineStr">
        <is>
          <t>Hair Dye</t>
        </is>
      </c>
      <c r="D5251" t="inlineStr">
        <is>
          <t>Wella</t>
        </is>
      </c>
      <c r="E5251" t="n">
        <v>6.91</v>
      </c>
      <c r="F5251" t="n">
        <v>1</v>
      </c>
      <c r="G5251" t="n">
        <v>3</v>
      </c>
      <c r="H5251" s="5">
        <f>HYPERLINK("https://api.qogita.com/variants/link/8005610655208/", "View Product")</f>
        <v/>
      </c>
    </row>
    <row r="5252">
      <c r="A5252" t="inlineStr">
        <is>
          <t>8005610658827</t>
        </is>
      </c>
      <c r="B5252" t="inlineStr">
        <is>
          <t>Wella Koleston Perfect Me 61 Rich Naturals Hair Color 60ml</t>
        </is>
      </c>
      <c r="C5252" t="inlineStr">
        <is>
          <t>Hair Dye</t>
        </is>
      </c>
      <c r="D5252" t="inlineStr">
        <is>
          <t>Wella</t>
        </is>
      </c>
      <c r="E5252" t="n">
        <v>6.86</v>
      </c>
      <c r="F5252" t="n">
        <v>1</v>
      </c>
      <c r="G5252" t="n">
        <v>4</v>
      </c>
      <c r="H5252" s="5">
        <f>HYPERLINK("https://api.qogita.com/variants/link/8005610658827/", "View Product")</f>
        <v/>
      </c>
    </row>
    <row r="5253">
      <c r="A5253" t="inlineStr">
        <is>
          <t>8005610659008</t>
        </is>
      </c>
      <c r="B5253" t="inlineStr">
        <is>
          <t>Wella Koleston Perfect Me 65 Vibrant Reds 60ml Hair Color</t>
        </is>
      </c>
      <c r="C5253" t="inlineStr">
        <is>
          <t>Hair Dye</t>
        </is>
      </c>
      <c r="D5253" t="inlineStr">
        <is>
          <t>Wella</t>
        </is>
      </c>
      <c r="E5253" t="n">
        <v>6.15</v>
      </c>
      <c r="F5253" t="n">
        <v>1</v>
      </c>
      <c r="G5253" t="n">
        <v>5</v>
      </c>
      <c r="H5253" s="5">
        <f>HYPERLINK("https://api.qogita.com/variants/link/8005610659008/", "View Product")</f>
        <v/>
      </c>
    </row>
    <row r="5254">
      <c r="A5254" t="inlineStr">
        <is>
          <t>8005610659060</t>
        </is>
      </c>
      <c r="B5254" t="inlineStr">
        <is>
          <t>Wella Koleston Perfect Deep Browns 67 Hair Color 60ml</t>
        </is>
      </c>
      <c r="C5254" t="inlineStr">
        <is>
          <t>Hair Dye</t>
        </is>
      </c>
      <c r="D5254" t="inlineStr">
        <is>
          <t>Wella</t>
        </is>
      </c>
      <c r="E5254" t="n">
        <v>6.75</v>
      </c>
      <c r="F5254" t="n">
        <v>1</v>
      </c>
      <c r="G5254" t="n">
        <v>5</v>
      </c>
      <c r="H5254" s="5">
        <f>HYPERLINK("https://api.qogita.com/variants/link/8005610659060/", "View Product")</f>
        <v/>
      </c>
    </row>
    <row r="5255">
      <c r="A5255" t="inlineStr">
        <is>
          <t>8005610661032</t>
        </is>
      </c>
      <c r="B5255" t="inlineStr">
        <is>
          <t>Wella Professional Koleston Perfect Me Rich Naturals Permanent Hair Color 62</t>
        </is>
      </c>
      <c r="C5255" t="inlineStr">
        <is>
          <t>Hair Dye</t>
        </is>
      </c>
      <c r="D5255" t="inlineStr">
        <is>
          <t>Wella Professionals</t>
        </is>
      </c>
      <c r="E5255" t="n">
        <v>7.54</v>
      </c>
      <c r="F5255" t="n">
        <v>1</v>
      </c>
      <c r="G5255" t="n">
        <v>3</v>
      </c>
      <c r="H5255" s="5">
        <f>HYPERLINK("https://api.qogita.com/variants/link/8005610661032/", "View Product")</f>
        <v/>
      </c>
    </row>
    <row r="5256">
      <c r="A5256" t="inlineStr">
        <is>
          <t>8005610661230</t>
        </is>
      </c>
      <c r="B5256" t="inlineStr">
        <is>
          <t>Wella Koleston Perfect ME+ Dark Brown 60ml</t>
        </is>
      </c>
      <c r="C5256" t="inlineStr">
        <is>
          <t>Hair Dye</t>
        </is>
      </c>
      <c r="D5256" t="inlineStr">
        <is>
          <t>Wella</t>
        </is>
      </c>
      <c r="E5256" t="n">
        <v>7.54</v>
      </c>
      <c r="F5256" t="n">
        <v>1</v>
      </c>
      <c r="G5256" t="n">
        <v>4</v>
      </c>
      <c r="H5256" s="5">
        <f>HYPERLINK("https://api.qogita.com/variants/link/8005610661230/", "View Product")</f>
        <v/>
      </c>
    </row>
    <row r="5257">
      <c r="A5257" t="inlineStr">
        <is>
          <t>8005610661339</t>
        </is>
      </c>
      <c r="B5257" t="inlineStr">
        <is>
          <t>Wella Professional Koleston Perfect Me Vibrant Reds Permanent Hair Color 641</t>
        </is>
      </c>
      <c r="C5257" t="inlineStr">
        <is>
          <t>Hair Dye</t>
        </is>
      </c>
      <c r="D5257" t="inlineStr">
        <is>
          <t>Wella Professionals</t>
        </is>
      </c>
      <c r="E5257" t="n">
        <v>7.54</v>
      </c>
      <c r="F5257" t="n">
        <v>1</v>
      </c>
      <c r="G5257" t="n">
        <v>3</v>
      </c>
      <c r="H5257" s="5">
        <f>HYPERLINK("https://api.qogita.com/variants/link/8005610661339/", "View Product")</f>
        <v/>
      </c>
    </row>
    <row r="5258">
      <c r="A5258" t="inlineStr">
        <is>
          <t>8005610664798</t>
        </is>
      </c>
      <c r="B5258" t="inlineStr">
        <is>
          <t>Wella Koleston Perfect ME+ 9/38 60ml 72g</t>
        </is>
      </c>
      <c r="C5258" t="inlineStr">
        <is>
          <t>Hair Dye</t>
        </is>
      </c>
      <c r="D5258" t="inlineStr">
        <is>
          <t>Wella</t>
        </is>
      </c>
      <c r="E5258" t="n">
        <v>6.66</v>
      </c>
      <c r="F5258" t="n">
        <v>1</v>
      </c>
      <c r="G5258" t="n">
        <v>4</v>
      </c>
      <c r="H5258" s="5">
        <f>HYPERLINK("https://api.qogita.com/variants/link/8005610664798/", "View Product")</f>
        <v/>
      </c>
    </row>
    <row r="5259">
      <c r="A5259" t="inlineStr">
        <is>
          <t>8005610665146</t>
        </is>
      </c>
      <c r="B5259" t="inlineStr">
        <is>
          <t>Wella Koleston Perfect ME+ 9/97 Hair Color 60ml</t>
        </is>
      </c>
      <c r="C5259" t="inlineStr">
        <is>
          <t>Hair Dye</t>
        </is>
      </c>
      <c r="D5259" t="inlineStr">
        <is>
          <t>Wella Professionals</t>
        </is>
      </c>
      <c r="E5259" t="n">
        <v>6.86</v>
      </c>
      <c r="F5259" t="n">
        <v>1</v>
      </c>
      <c r="G5259" t="n">
        <v>7</v>
      </c>
      <c r="H5259" s="5">
        <f>HYPERLINK("https://api.qogita.com/variants/link/8005610665146/", "View Product")</f>
        <v/>
      </c>
    </row>
    <row r="5260">
      <c r="A5260" t="inlineStr">
        <is>
          <t>8005610666280</t>
        </is>
      </c>
      <c r="B5260" t="inlineStr">
        <is>
          <t>Wella Koleston Perfect Me Special Blonde 120 60ml</t>
        </is>
      </c>
      <c r="C5260" t="inlineStr">
        <is>
          <t>Hair Dye</t>
        </is>
      </c>
      <c r="D5260" t="inlineStr">
        <is>
          <t>Wella</t>
        </is>
      </c>
      <c r="E5260" t="n">
        <v>6.86</v>
      </c>
      <c r="F5260" t="n">
        <v>1</v>
      </c>
      <c r="G5260" t="n">
        <v>7</v>
      </c>
      <c r="H5260" s="5">
        <f>HYPERLINK("https://api.qogita.com/variants/link/8005610666280/", "View Product")</f>
        <v/>
      </c>
    </row>
    <row r="5261">
      <c r="A5261" t="inlineStr">
        <is>
          <t>8005610666716</t>
        </is>
      </c>
      <c r="B5261" t="inlineStr">
        <is>
          <t>Wella Koleston Perfect ME+ KP Special Blonds 12/81  Pearl Ash 60ml</t>
        </is>
      </c>
      <c r="C5261" t="inlineStr">
        <is>
          <t>Hair Dye</t>
        </is>
      </c>
      <c r="D5261" t="inlineStr">
        <is>
          <t>Wella</t>
        </is>
      </c>
      <c r="E5261" t="n">
        <v>6.91</v>
      </c>
      <c r="F5261" t="n">
        <v>1</v>
      </c>
      <c r="G5261" t="n">
        <v>14</v>
      </c>
      <c r="H5261" s="5">
        <f>HYPERLINK("https://api.qogita.com/variants/link/8005610666716/", "View Product")</f>
        <v/>
      </c>
    </row>
    <row r="5262">
      <c r="A5262" t="inlineStr">
        <is>
          <t>8005610666969</t>
        </is>
      </c>
      <c r="B5262" t="inlineStr">
        <is>
          <t>Wella Koleston Perfect ME+ Hair Colouring 60ml</t>
        </is>
      </c>
      <c r="C5262" t="inlineStr">
        <is>
          <t>Hair Dye</t>
        </is>
      </c>
      <c r="D5262" t="inlineStr">
        <is>
          <t>Wella Professionals</t>
        </is>
      </c>
      <c r="E5262" t="n">
        <v>6.94</v>
      </c>
      <c r="F5262" t="n">
        <v>1</v>
      </c>
      <c r="G5262" t="n">
        <v>3</v>
      </c>
      <c r="H5262" s="5">
        <f>HYPERLINK("https://api.qogita.com/variants/link/8005610666969/", "View Product")</f>
        <v/>
      </c>
    </row>
    <row r="5263">
      <c r="A5263" t="inlineStr">
        <is>
          <t>8005610667263</t>
        </is>
      </c>
      <c r="B5263" t="inlineStr">
        <is>
          <t>Wella Koleston Perfect Me+ 55/0 Hair Color 60ml</t>
        </is>
      </c>
      <c r="C5263" t="inlineStr">
        <is>
          <t>Hair Dye</t>
        </is>
      </c>
      <c r="D5263" t="inlineStr">
        <is>
          <t>Wella</t>
        </is>
      </c>
      <c r="E5263" t="n">
        <v>6.95</v>
      </c>
      <c r="F5263" t="n">
        <v>1</v>
      </c>
      <c r="G5263" t="n">
        <v>5</v>
      </c>
      <c r="H5263" s="5">
        <f>HYPERLINK("https://api.qogita.com/variants/link/8005610667263/", "View Product")</f>
        <v/>
      </c>
    </row>
    <row r="5264">
      <c r="A5264" t="inlineStr">
        <is>
          <t>8005610667614</t>
        </is>
      </c>
      <c r="B5264" t="inlineStr">
        <is>
          <t>Wella Koleston Perfect Me+ 60ml - 66/44</t>
        </is>
      </c>
      <c r="C5264" t="inlineStr">
        <is>
          <t>Hair Dye</t>
        </is>
      </c>
      <c r="D5264" t="inlineStr">
        <is>
          <t>Wella</t>
        </is>
      </c>
      <c r="E5264" t="n">
        <v>7.58</v>
      </c>
      <c r="F5264" t="n">
        <v>1</v>
      </c>
      <c r="G5264" t="n">
        <v>2</v>
      </c>
      <c r="H5264" s="5">
        <f>HYPERLINK("https://api.qogita.com/variants/link/8005610667614/", "View Product")</f>
        <v/>
      </c>
    </row>
    <row r="5265">
      <c r="A5265" t="inlineStr">
        <is>
          <t>8005610668987</t>
        </is>
      </c>
      <c r="B5265" t="inlineStr">
        <is>
          <t>Lacoste L.12.12 Blanc Deodorant Spray 150ml 2.857kg</t>
        </is>
      </c>
      <c r="C5265" t="inlineStr">
        <is>
          <t>Deodorant &amp; Anti-Perspirant</t>
        </is>
      </c>
      <c r="D5265" t="inlineStr">
        <is>
          <t>Lacoste</t>
        </is>
      </c>
      <c r="E5265" t="n">
        <v>10.44</v>
      </c>
      <c r="F5265" t="n">
        <v>1</v>
      </c>
      <c r="G5265" t="n">
        <v>17</v>
      </c>
      <c r="H5265" s="5">
        <f>HYPERLINK("https://api.qogita.com/variants/link/8005610668987/", "View Product")</f>
        <v/>
      </c>
    </row>
    <row r="5266">
      <c r="A5266" t="inlineStr">
        <is>
          <t>8005610712574</t>
        </is>
      </c>
      <c r="B5266" t="inlineStr">
        <is>
          <t>Bruno Banani Daring Woman Eau De Parfum Spray 20ml</t>
        </is>
      </c>
      <c r="C5266" t="inlineStr">
        <is>
          <t>Eau De Parfum</t>
        </is>
      </c>
      <c r="D5266" t="inlineStr">
        <is>
          <t>Bruno Banani</t>
        </is>
      </c>
      <c r="E5266" t="n">
        <v>4.64</v>
      </c>
      <c r="F5266" t="n">
        <v>1</v>
      </c>
      <c r="G5266" t="n">
        <v>41</v>
      </c>
      <c r="H5266" s="5">
        <f>HYPERLINK("https://api.qogita.com/variants/link/8005610712574/", "View Product")</f>
        <v/>
      </c>
    </row>
    <row r="5267">
      <c r="A5267" t="inlineStr">
        <is>
          <t>8006540150375</t>
        </is>
      </c>
      <c r="B5267" t="inlineStr">
        <is>
          <t>Beard Shampoo and Face Wash 350 ml</t>
        </is>
      </c>
      <c r="C5267" t="inlineStr">
        <is>
          <t>Facial Cleansing Sets</t>
        </is>
      </c>
      <c r="D5267" t="inlineStr">
        <is>
          <t>Gillette</t>
        </is>
      </c>
      <c r="E5267" t="n">
        <v>8.550000000000001</v>
      </c>
      <c r="F5267" t="n">
        <v>1</v>
      </c>
      <c r="G5267" t="n">
        <v>17</v>
      </c>
      <c r="H5267" s="5">
        <f>HYPERLINK("https://api.qogita.com/variants/link/8006540150375/", "View Product")</f>
        <v/>
      </c>
    </row>
    <row r="5268">
      <c r="A5268" t="inlineStr">
        <is>
          <t>8006540377321</t>
        </is>
      </c>
      <c r="B5268" t="inlineStr">
        <is>
          <t>Old Spice Nightpanther Deodorant Body Spray 150 Ml</t>
        </is>
      </c>
      <c r="C5268" t="inlineStr">
        <is>
          <t>Deodorant &amp; Anti-Perspirant</t>
        </is>
      </c>
      <c r="D5268" t="inlineStr">
        <is>
          <t>Old Spice</t>
        </is>
      </c>
      <c r="E5268" t="n">
        <v>5.85</v>
      </c>
      <c r="F5268" t="n">
        <v>1</v>
      </c>
      <c r="G5268" t="n">
        <v>4</v>
      </c>
      <c r="H5268" s="5">
        <f>HYPERLINK("https://api.qogita.com/variants/link/8006540377321/", "View Product")</f>
        <v/>
      </c>
    </row>
    <row r="5269">
      <c r="A5269" t="inlineStr">
        <is>
          <t>8006540592939</t>
        </is>
      </c>
      <c r="B5269" t="inlineStr">
        <is>
          <t>Altes Gewürz Astronaut Deodorant Solid Stick for Men 0% Aluminum 50ml</t>
        </is>
      </c>
      <c r="C5269" t="inlineStr">
        <is>
          <t>Deodorant &amp; Anti-Perspirant</t>
        </is>
      </c>
      <c r="D5269" t="inlineStr">
        <is>
          <t>Old Spice</t>
        </is>
      </c>
      <c r="E5269" t="n">
        <v>5.85</v>
      </c>
      <c r="F5269" t="n">
        <v>1</v>
      </c>
      <c r="G5269" t="n">
        <v>5</v>
      </c>
      <c r="H5269" s="5">
        <f>HYPERLINK("https://api.qogita.com/variants/link/8006540592939/", "View Product")</f>
        <v/>
      </c>
    </row>
    <row r="5270">
      <c r="A5270" t="inlineStr">
        <is>
          <t>8006540774922</t>
        </is>
      </c>
      <c r="B5270" t="inlineStr">
        <is>
          <t>Oral-B Pro Junior 6 Frozen Electric Toothbrush</t>
        </is>
      </c>
      <c r="C5270" t="inlineStr">
        <is>
          <t>Dental Care For Children</t>
        </is>
      </c>
      <c r="D5270" t="inlineStr">
        <is>
          <t>Oral-B</t>
        </is>
      </c>
      <c r="E5270" t="n">
        <v>69.22</v>
      </c>
      <c r="F5270" t="n">
        <v>1</v>
      </c>
      <c r="G5270" t="n">
        <v>12</v>
      </c>
      <c r="H5270" s="5">
        <f>HYPERLINK("https://api.qogita.com/variants/link/8006540774922/", "View Product")</f>
        <v/>
      </c>
    </row>
    <row r="5271">
      <c r="A5271" t="inlineStr">
        <is>
          <t>8006540847770</t>
        </is>
      </c>
      <c r="B5271" t="inlineStr">
        <is>
          <t>Oral B Cross Action Eb50 Replacement Brush Heads 4 Pieces</t>
        </is>
      </c>
      <c r="C5271" t="inlineStr">
        <is>
          <t>Electric Toothbrushes</t>
        </is>
      </c>
      <c r="D5271" t="inlineStr">
        <is>
          <t>Oral-B</t>
        </is>
      </c>
      <c r="E5271" t="n">
        <v>19</v>
      </c>
      <c r="F5271" t="n">
        <v>1</v>
      </c>
      <c r="G5271" t="n">
        <v>2</v>
      </c>
      <c r="H5271" s="5">
        <f>HYPERLINK("https://api.qogita.com/variants/link/8006540847770/", "View Product")</f>
        <v/>
      </c>
    </row>
    <row r="5272">
      <c r="A5272" t="inlineStr">
        <is>
          <t>8006540894293</t>
        </is>
      </c>
      <c r="B5272" t="inlineStr">
        <is>
          <t>Oralb Electric Toothbrush Refill Precision Clean</t>
        </is>
      </c>
      <c r="C5272" t="inlineStr">
        <is>
          <t>Electric Toothbrushes</t>
        </is>
      </c>
      <c r="D5272" t="inlineStr">
        <is>
          <t>Oral-B</t>
        </is>
      </c>
      <c r="E5272" t="n">
        <v>12.07</v>
      </c>
      <c r="F5272" t="n">
        <v>1</v>
      </c>
      <c r="G5272" t="n">
        <v>3</v>
      </c>
      <c r="H5272" s="5">
        <f>HYPERLINK("https://api.qogita.com/variants/link/8006540894293/", "View Product")</f>
        <v/>
      </c>
    </row>
    <row r="5273">
      <c r="A5273" t="inlineStr">
        <is>
          <t>8006540894521</t>
        </is>
      </c>
      <c r="B5273" t="inlineStr">
        <is>
          <t>Oral B Pro Precision Clean Toothbrush Heads White 10 Counts</t>
        </is>
      </c>
      <c r="C5273" t="inlineStr">
        <is>
          <t>Toothbrushes &amp; Tongue Cleaners</t>
        </is>
      </c>
      <c r="D5273" t="inlineStr">
        <is>
          <t>Oral-B</t>
        </is>
      </c>
      <c r="E5273" t="n">
        <v>26.81</v>
      </c>
      <c r="F5273" t="n">
        <v>1</v>
      </c>
      <c r="G5273" t="n">
        <v>13</v>
      </c>
      <c r="H5273" s="5">
        <f>HYPERLINK("https://api.qogita.com/variants/link/8006540894521/", "View Product")</f>
        <v/>
      </c>
    </row>
    <row r="5274">
      <c r="A5274" t="inlineStr">
        <is>
          <t>8006540895764</t>
        </is>
      </c>
      <c r="B5274" t="inlineStr">
        <is>
          <t>Oral-B Cross Action Replacement Head</t>
        </is>
      </c>
      <c r="C5274" t="inlineStr">
        <is>
          <t>Electric Toothbrushes</t>
        </is>
      </c>
      <c r="D5274" t="inlineStr">
        <is>
          <t>Oral-B</t>
        </is>
      </c>
      <c r="E5274" t="n">
        <v>6.66</v>
      </c>
      <c r="F5274" t="n">
        <v>1</v>
      </c>
      <c r="G5274" t="n">
        <v>29</v>
      </c>
      <c r="H5274" s="5">
        <f>HYPERLINK("https://api.qogita.com/variants/link/8006540895764/", "View Product")</f>
        <v/>
      </c>
    </row>
    <row r="5275">
      <c r="A5275" t="inlineStr">
        <is>
          <t>8007033786712</t>
        </is>
      </c>
      <c r="B5275" t="inlineStr">
        <is>
          <t>Elementi Di Luna by Byblos for Women 4oz EDT Spray 120ml</t>
        </is>
      </c>
      <c r="C5275" t="inlineStr">
        <is>
          <t>Eau De Toilette</t>
        </is>
      </c>
      <c r="D5275" t="inlineStr">
        <is>
          <t>Byblos</t>
        </is>
      </c>
      <c r="E5275" t="n">
        <v>11.24</v>
      </c>
      <c r="F5275" t="n">
        <v>1</v>
      </c>
      <c r="G5275" t="n">
        <v>4</v>
      </c>
      <c r="H5275" s="5">
        <f>HYPERLINK("https://api.qogita.com/variants/link/8007033786712/", "View Product")</f>
        <v/>
      </c>
    </row>
    <row r="5276">
      <c r="A5276" t="inlineStr">
        <is>
          <t>8007376047327</t>
        </is>
      </c>
      <c r="B5276" t="inlineStr">
        <is>
          <t>Revlon Nutri Color No.524 Coppery Pearl Brown 240ml</t>
        </is>
      </c>
      <c r="C5276" t="inlineStr">
        <is>
          <t>Hair Dye</t>
        </is>
      </c>
      <c r="D5276" t="inlineStr">
        <is>
          <t>Revlon</t>
        </is>
      </c>
      <c r="E5276" t="n">
        <v>10.68</v>
      </c>
      <c r="F5276" t="n">
        <v>1</v>
      </c>
      <c r="G5276" t="n">
        <v>3</v>
      </c>
      <c r="H5276" s="5">
        <f>HYPERLINK("https://api.qogita.com/variants/link/8007376047327/", "View Product")</f>
        <v/>
      </c>
    </row>
    <row r="5277">
      <c r="A5277" t="inlineStr">
        <is>
          <t>8007403117382</t>
        </is>
      </c>
      <c r="B5277" t="inlineStr">
        <is>
          <t>Bellissima My Pro Beach Waves Multi Gt20 300 Curling Iron For Fast Creation Of Natural Fluffy Waves</t>
        </is>
      </c>
      <c r="C5277" t="inlineStr">
        <is>
          <t>Curling Irons</t>
        </is>
      </c>
      <c r="D5277" t="inlineStr">
        <is>
          <t>Bellissima</t>
        </is>
      </c>
      <c r="E5277" t="n">
        <v>51.61</v>
      </c>
      <c r="F5277" t="n">
        <v>1</v>
      </c>
      <c r="G5277" t="n">
        <v>4</v>
      </c>
      <c r="H5277" s="5">
        <f>HYPERLINK("https://api.qogita.com/variants/link/8007403117382/", "View Product")</f>
        <v/>
      </c>
    </row>
    <row r="5278">
      <c r="A5278" t="inlineStr">
        <is>
          <t>8007403117498</t>
        </is>
      </c>
      <c r="B5278" t="inlineStr">
        <is>
          <t>Bellissima My Pro Twist &amp; Style Hair Curler Gt22 200</t>
        </is>
      </c>
      <c r="C5278" t="inlineStr">
        <is>
          <t>Curling Irons</t>
        </is>
      </c>
      <c r="D5278" t="inlineStr">
        <is>
          <t>Bellissima</t>
        </is>
      </c>
      <c r="E5278" t="n">
        <v>35.55</v>
      </c>
      <c r="F5278" t="n">
        <v>1</v>
      </c>
      <c r="G5278" t="n">
        <v>3</v>
      </c>
      <c r="H5278" s="5">
        <f>HYPERLINK("https://api.qogita.com/variants/link/8007403117498/", "View Product")</f>
        <v/>
      </c>
    </row>
    <row r="5279">
      <c r="A5279" t="inlineStr">
        <is>
          <t>8007403117689</t>
        </is>
      </c>
      <c r="B5279" t="inlineStr">
        <is>
          <t>Bellissima Soft Curl Attachment Hair Curler</t>
        </is>
      </c>
      <c r="C5279" t="inlineStr">
        <is>
          <t>Curling Irons</t>
        </is>
      </c>
      <c r="D5279" t="inlineStr">
        <is>
          <t>Bellissima</t>
        </is>
      </c>
      <c r="E5279" t="n">
        <v>30.41</v>
      </c>
      <c r="F5279" t="n">
        <v>1</v>
      </c>
      <c r="G5279" t="n">
        <v>3</v>
      </c>
      <c r="H5279" s="5">
        <f>HYPERLINK("https://api.qogita.com/variants/link/8007403117689/", "View Product")</f>
        <v/>
      </c>
    </row>
    <row r="5280">
      <c r="A5280" t="inlineStr">
        <is>
          <t>8007403118242</t>
        </is>
      </c>
      <c r="B5280" t="inlineStr">
        <is>
          <t>Bellissima Diffon Supreme Ceramic Technology &amp; ArganOil Hot Air Diffuser for Curly Hair with 12 Fingers 2 Speeds 3 Temperatures Ionizer</t>
        </is>
      </c>
      <c r="C5280" t="inlineStr">
        <is>
          <t>Hot Air Brushes</t>
        </is>
      </c>
      <c r="D5280" t="inlineStr">
        <is>
          <t>Bellissima</t>
        </is>
      </c>
      <c r="E5280" t="n">
        <v>130.54</v>
      </c>
      <c r="F5280" t="n">
        <v>1</v>
      </c>
      <c r="G5280" t="n">
        <v>6</v>
      </c>
      <c r="H5280" s="5">
        <f>HYPERLINK("https://api.qogita.com/variants/link/8007403118242/", "View Product")</f>
        <v/>
      </c>
    </row>
    <row r="5281">
      <c r="A5281" t="inlineStr">
        <is>
          <t>8007403118372</t>
        </is>
      </c>
      <c r="B5281" t="inlineStr">
        <is>
          <t>Mermaid Waves 11837 attachment for My Pro Twist &amp; Style hair curler</t>
        </is>
      </c>
      <c r="C5281" t="inlineStr">
        <is>
          <t>Curling Irons</t>
        </is>
      </c>
      <c r="D5281" t="inlineStr">
        <is>
          <t>Bellissima</t>
        </is>
      </c>
      <c r="E5281" t="n">
        <v>30.41</v>
      </c>
      <c r="F5281" t="n">
        <v>1</v>
      </c>
      <c r="G5281" t="n">
        <v>4</v>
      </c>
      <c r="H5281" s="5">
        <f>HYPERLINK("https://api.qogita.com/variants/link/8007403118372/", "View Product")</f>
        <v/>
      </c>
    </row>
    <row r="5282">
      <c r="A5282" t="inlineStr">
        <is>
          <t>8007403118471</t>
        </is>
      </c>
      <c r="B5282" t="inlineStr">
        <is>
          <t>Bellissima Air Wonder Hot Air Brush with Ion Technology and Ceramic-Keratin Coated Brushes - 8 Accessories, 1000W (Traditional Technology)</t>
        </is>
      </c>
      <c r="C5282" t="inlineStr">
        <is>
          <t>Hot Air Brushes</t>
        </is>
      </c>
      <c r="D5282" t="inlineStr">
        <is>
          <t>Bellissima</t>
        </is>
      </c>
      <c r="E5282" t="n">
        <v>87.02</v>
      </c>
      <c r="F5282" t="n">
        <v>1</v>
      </c>
      <c r="G5282" t="n">
        <v>5</v>
      </c>
      <c r="H5282" s="5">
        <f>HYPERLINK("https://api.qogita.com/variants/link/8007403118471/", "View Product")</f>
        <v/>
      </c>
    </row>
    <row r="5283">
      <c r="A5283" t="inlineStr">
        <is>
          <t>8007403118792</t>
        </is>
      </c>
      <c r="B5283" t="inlineStr">
        <is>
          <t>Bellissima Magic Shine Smoothing Brush</t>
        </is>
      </c>
      <c r="C5283" t="inlineStr">
        <is>
          <t>Hot Air Brushes</t>
        </is>
      </c>
      <c r="D5283" t="inlineStr">
        <is>
          <t>Bellissima</t>
        </is>
      </c>
      <c r="E5283" t="n">
        <v>79.13</v>
      </c>
      <c r="F5283" t="n">
        <v>1</v>
      </c>
      <c r="G5283" t="n">
        <v>5</v>
      </c>
      <c r="H5283" s="5">
        <f>HYPERLINK("https://api.qogita.com/variants/link/8007403118792/", "View Product")</f>
        <v/>
      </c>
    </row>
    <row r="5284">
      <c r="A5284" t="inlineStr">
        <is>
          <t>8007403118884</t>
        </is>
      </c>
      <c r="B5284" t="inlineStr">
        <is>
          <t>Bellissima My Pro Twist&amp;Style Curling Iron with 3 Attachments Ceramic Surface</t>
        </is>
      </c>
      <c r="C5284" t="inlineStr">
        <is>
          <t>Curling Irons</t>
        </is>
      </c>
      <c r="D5284" t="inlineStr">
        <is>
          <t>Bellissima</t>
        </is>
      </c>
      <c r="E5284" t="n">
        <v>113.55</v>
      </c>
      <c r="F5284" t="n">
        <v>1</v>
      </c>
      <c r="G5284" t="n">
        <v>4</v>
      </c>
      <c r="H5284" s="5">
        <f>HYPERLINK("https://api.qogita.com/variants/link/8007403118884/", "View Product")</f>
        <v/>
      </c>
    </row>
    <row r="5285">
      <c r="A5285" t="inlineStr">
        <is>
          <t>8008277211855</t>
        </is>
      </c>
      <c r="B5285" t="inlineStr">
        <is>
          <t>Inebrya Color Care Lotion Cream Treatment For Colored Hair Regenerating Hair Care With Quinoa Seeds 12 X 16 Ml</t>
        </is>
      </c>
      <c r="C5285" t="inlineStr">
        <is>
          <t>Hair Care Sets</t>
        </is>
      </c>
      <c r="D5285" t="inlineStr">
        <is>
          <t>Inebrya</t>
        </is>
      </c>
      <c r="E5285" t="n">
        <v>19.97</v>
      </c>
      <c r="F5285" t="n">
        <v>1</v>
      </c>
      <c r="G5285" t="n">
        <v>2</v>
      </c>
      <c r="H5285" s="5">
        <f>HYPERLINK("https://api.qogita.com/variants/link/8008277211855/", "View Product")</f>
        <v/>
      </c>
    </row>
    <row r="5286">
      <c r="A5286" t="inlineStr">
        <is>
          <t>8008277261775</t>
        </is>
      </c>
      <c r="B5286" t="inlineStr">
        <is>
          <t>Inebrya Miracle Drops Hair Gloss Serum 50ml</t>
        </is>
      </c>
      <c r="C5286" t="inlineStr">
        <is>
          <t>Hair Oil &amp; Hair Serum</t>
        </is>
      </c>
      <c r="D5286" t="inlineStr">
        <is>
          <t>Inebrya</t>
        </is>
      </c>
      <c r="E5286" t="n">
        <v>20.37</v>
      </c>
      <c r="F5286" t="n">
        <v>1</v>
      </c>
      <c r="G5286" t="n">
        <v>8</v>
      </c>
      <c r="H5286" s="5">
        <f>HYPERLINK("https://api.qogita.com/variants/link/8008277261775/", "View Product")</f>
        <v/>
      </c>
    </row>
    <row r="5287">
      <c r="A5287" t="inlineStr">
        <is>
          <t>8008277262390</t>
        </is>
      </c>
      <c r="B5287" t="inlineStr">
        <is>
          <t>Inebrya Blondesse Noorange Shampoo For Light Chestnut Colored Or Lightened Hair</t>
        </is>
      </c>
      <c r="C5287" t="inlineStr">
        <is>
          <t>Shampoo</t>
        </is>
      </c>
      <c r="D5287" t="inlineStr">
        <is>
          <t>Inebrya</t>
        </is>
      </c>
      <c r="E5287" t="n">
        <v>9.58</v>
      </c>
      <c r="F5287" t="n">
        <v>1</v>
      </c>
      <c r="G5287" t="n">
        <v>10</v>
      </c>
      <c r="H5287" s="5">
        <f>HYPERLINK("https://api.qogita.com/variants/link/8008277262390/", "View Product")</f>
        <v/>
      </c>
    </row>
    <row r="5288">
      <c r="A5288" t="inlineStr">
        <is>
          <t>8008277262406</t>
        </is>
      </c>
      <c r="B5288" t="inlineStr">
        <is>
          <t>Inebrya Blondesse Noorange Shampoo 1000ml For Light Chestnut Colored Or Lightened Hair</t>
        </is>
      </c>
      <c r="C5288" t="inlineStr">
        <is>
          <t>Shampoo</t>
        </is>
      </c>
      <c r="D5288" t="inlineStr">
        <is>
          <t>Inebrya</t>
        </is>
      </c>
      <c r="E5288" t="n">
        <v>18.64</v>
      </c>
      <c r="F5288" t="n">
        <v>1</v>
      </c>
      <c r="G5288" t="n">
        <v>3</v>
      </c>
      <c r="H5288" s="5">
        <f>HYPERLINK("https://api.qogita.com/variants/link/8008277262406/", "View Product")</f>
        <v/>
      </c>
    </row>
    <row r="5289">
      <c r="A5289" t="inlineStr">
        <is>
          <t>8008277262413</t>
        </is>
      </c>
      <c r="B5289" t="inlineStr">
        <is>
          <t>Inebrya Blondesse Noorange Antiorange Mask 1000 Ml For Light Chestnut Dyed Or Lightened Hair</t>
        </is>
      </c>
      <c r="C5289" t="inlineStr">
        <is>
          <t>Hair Masks</t>
        </is>
      </c>
      <c r="D5289" t="inlineStr">
        <is>
          <t>Inebrya</t>
        </is>
      </c>
      <c r="E5289" t="n">
        <v>22.88</v>
      </c>
      <c r="F5289" t="n">
        <v>1</v>
      </c>
      <c r="G5289" t="n">
        <v>6</v>
      </c>
      <c r="H5289" s="5">
        <f>HYPERLINK("https://api.qogita.com/variants/link/8008277262413/", "View Product")</f>
        <v/>
      </c>
    </row>
    <row r="5290">
      <c r="A5290" t="inlineStr">
        <is>
          <t>8008277262666</t>
        </is>
      </c>
      <c r="B5290" t="inlineStr">
        <is>
          <t>Inebrya Style IN Treatment Multi-Action 10 in 1 150ml</t>
        </is>
      </c>
      <c r="C5290" t="inlineStr">
        <is>
          <t>Hair Care Sets</t>
        </is>
      </c>
      <c r="D5290" t="inlineStr">
        <is>
          <t>Inebrya</t>
        </is>
      </c>
      <c r="E5290" t="n">
        <v>11.51</v>
      </c>
      <c r="F5290" t="n">
        <v>1</v>
      </c>
      <c r="G5290" t="n">
        <v>6</v>
      </c>
      <c r="H5290" s="5">
        <f>HYPERLINK("https://api.qogita.com/variants/link/8008277262666/", "View Product")</f>
        <v/>
      </c>
    </row>
    <row r="5291">
      <c r="A5291" t="inlineStr">
        <is>
          <t>8008277262871</t>
        </is>
      </c>
      <c r="B5291" t="inlineStr">
        <is>
          <t>Inebrya Color Perfect Shampoo For Hair 300ml</t>
        </is>
      </c>
      <c r="C5291" t="inlineStr">
        <is>
          <t>Shampoo</t>
        </is>
      </c>
      <c r="D5291" t="inlineStr">
        <is>
          <t>Inebrya</t>
        </is>
      </c>
      <c r="E5291" t="n">
        <v>9.199999999999999</v>
      </c>
      <c r="F5291" t="n">
        <v>1</v>
      </c>
      <c r="G5291" t="n">
        <v>6</v>
      </c>
      <c r="H5291" s="5">
        <f>HYPERLINK("https://api.qogita.com/variants/link/8008277262871/", "View Product")</f>
        <v/>
      </c>
    </row>
    <row r="5292">
      <c r="A5292" t="inlineStr">
        <is>
          <t>8008277262895</t>
        </is>
      </c>
      <c r="B5292" t="inlineStr">
        <is>
          <t>Inebrya Color Perfect Hair Mask 250ml</t>
        </is>
      </c>
      <c r="C5292" t="inlineStr">
        <is>
          <t>Hair Masks</t>
        </is>
      </c>
      <c r="D5292" t="inlineStr">
        <is>
          <t>Inebrya</t>
        </is>
      </c>
      <c r="E5292" t="n">
        <v>9.970000000000001</v>
      </c>
      <c r="F5292" t="n">
        <v>1</v>
      </c>
      <c r="G5292" t="n">
        <v>18</v>
      </c>
      <c r="H5292" s="5">
        <f>HYPERLINK("https://api.qogita.com/variants/link/8008277262895/", "View Product")</f>
        <v/>
      </c>
    </row>
    <row r="5293">
      <c r="A5293" t="inlineStr">
        <is>
          <t>8008277262925</t>
        </is>
      </c>
      <c r="B5293" t="inlineStr">
        <is>
          <t>Inebrya Color Perfect Shine Oil Brightening Oil For Colored Hair 150 Ml</t>
        </is>
      </c>
      <c r="C5293" t="inlineStr">
        <is>
          <t>Hair Oil &amp; Hair Serum</t>
        </is>
      </c>
      <c r="D5293" t="inlineStr">
        <is>
          <t>Inebrya</t>
        </is>
      </c>
      <c r="E5293" t="n">
        <v>24.6</v>
      </c>
      <c r="F5293" t="n">
        <v>1</v>
      </c>
      <c r="G5293" t="n">
        <v>8</v>
      </c>
      <c r="H5293" s="5">
        <f>HYPERLINK("https://api.qogita.com/variants/link/8008277262925/", "View Product")</f>
        <v/>
      </c>
    </row>
    <row r="5294">
      <c r="A5294" t="inlineStr">
        <is>
          <t>8008277263106</t>
        </is>
      </c>
      <c r="B5294" t="inlineStr">
        <is>
          <t>Inebrya Keratin Shampoo 1000ml</t>
        </is>
      </c>
      <c r="C5294" t="inlineStr">
        <is>
          <t>Shampoo</t>
        </is>
      </c>
      <c r="D5294" t="inlineStr">
        <is>
          <t>Inebrya</t>
        </is>
      </c>
      <c r="E5294" t="n">
        <v>16.71</v>
      </c>
      <c r="F5294" t="n">
        <v>1</v>
      </c>
      <c r="G5294" t="n">
        <v>17</v>
      </c>
      <c r="H5294" s="5">
        <f>HYPERLINK("https://api.qogita.com/variants/link/8008277263106/", "View Product")</f>
        <v/>
      </c>
    </row>
    <row r="5295">
      <c r="A5295" t="inlineStr">
        <is>
          <t>8008277263113</t>
        </is>
      </c>
      <c r="B5295" t="inlineStr">
        <is>
          <t>Inebrya Ice Cream Keratin Restructuring Hair Mask 500ml</t>
        </is>
      </c>
      <c r="C5295" t="inlineStr">
        <is>
          <t>Hair Masks</t>
        </is>
      </c>
      <c r="D5295" t="inlineStr">
        <is>
          <t>Inebrya</t>
        </is>
      </c>
      <c r="E5295" t="n">
        <v>5.39</v>
      </c>
      <c r="F5295" t="n">
        <v>1</v>
      </c>
      <c r="G5295" t="n">
        <v>2</v>
      </c>
      <c r="H5295" s="5">
        <f>HYPERLINK("https://api.qogita.com/variants/link/8008277263113/", "View Product")</f>
        <v/>
      </c>
    </row>
    <row r="5296">
      <c r="A5296" t="inlineStr">
        <is>
          <t>8008277263236</t>
        </is>
      </c>
      <c r="B5296" t="inlineStr">
        <is>
          <t>Inebrya Dry Conditioner For Hair 300ml</t>
        </is>
      </c>
      <c r="C5296" t="inlineStr">
        <is>
          <t>Conditioner</t>
        </is>
      </c>
      <c r="D5296" t="inlineStr">
        <is>
          <t>Inebrya</t>
        </is>
      </c>
      <c r="E5296" t="n">
        <v>9.380000000000001</v>
      </c>
      <c r="F5296" t="n">
        <v>1</v>
      </c>
      <c r="G5296" t="n">
        <v>16</v>
      </c>
      <c r="H5296" s="5">
        <f>HYPERLINK("https://api.qogita.com/variants/link/8008277263236/", "View Product")</f>
        <v/>
      </c>
    </row>
    <row r="5297">
      <c r="A5297" t="inlineStr">
        <is>
          <t>8008277263274</t>
        </is>
      </c>
      <c r="B5297" t="inlineStr">
        <is>
          <t>Inebrya Dry T Hair Mask 1000ml</t>
        </is>
      </c>
      <c r="C5297" t="inlineStr">
        <is>
          <t>Hair Masks</t>
        </is>
      </c>
      <c r="D5297" t="inlineStr">
        <is>
          <t>Inebrya</t>
        </is>
      </c>
      <c r="E5297" t="n">
        <v>14.58</v>
      </c>
      <c r="F5297" t="n">
        <v>1</v>
      </c>
      <c r="G5297" t="n">
        <v>8</v>
      </c>
      <c r="H5297" s="5">
        <f>HYPERLINK("https://api.qogita.com/variants/link/8008277263274/", "View Product")</f>
        <v/>
      </c>
    </row>
    <row r="5298">
      <c r="A5298" t="inlineStr">
        <is>
          <t>8008277263571</t>
        </is>
      </c>
      <c r="B5298" t="inlineStr">
        <is>
          <t>Inebrya Ice Cream Liss Perfect Smoothing Hair Mask 500ml</t>
        </is>
      </c>
      <c r="C5298" t="inlineStr">
        <is>
          <t>Hair Masks</t>
        </is>
      </c>
      <c r="D5298" t="inlineStr">
        <is>
          <t>Inebrya</t>
        </is>
      </c>
      <c r="E5298" t="n">
        <v>11.9</v>
      </c>
      <c r="F5298" t="n">
        <v>1</v>
      </c>
      <c r="G5298" t="n">
        <v>5</v>
      </c>
      <c r="H5298" s="5">
        <f>HYPERLINK("https://api.qogita.com/variants/link/8008277263571/", "View Product")</f>
        <v/>
      </c>
    </row>
    <row r="5299">
      <c r="A5299" t="inlineStr">
        <is>
          <t>8008277263601</t>
        </is>
      </c>
      <c r="B5299" t="inlineStr">
        <is>
          <t>Inebrya Hair Care Ice Cream Liss Pro Thermal Protective Cream 150ml</t>
        </is>
      </c>
      <c r="C5299" t="inlineStr">
        <is>
          <t>Uv Protection</t>
        </is>
      </c>
      <c r="D5299" t="inlineStr">
        <is>
          <t>Inebrya</t>
        </is>
      </c>
      <c r="E5299" t="n">
        <v>17.86</v>
      </c>
      <c r="F5299" t="n">
        <v>1</v>
      </c>
      <c r="G5299" t="n">
        <v>16</v>
      </c>
      <c r="H5299" s="5">
        <f>HYPERLINK("https://api.qogita.com/variants/link/8008277263601/", "View Product")</f>
        <v/>
      </c>
    </row>
    <row r="5300">
      <c r="A5300" t="inlineStr">
        <is>
          <t>8008277263724</t>
        </is>
      </c>
      <c r="B5300" t="inlineStr">
        <is>
          <t>Inebrya Ice Cream Curly Plus Curl Defining Foam For Curly Hair 150ml</t>
        </is>
      </c>
      <c r="C5300" t="inlineStr">
        <is>
          <t>Mousse</t>
        </is>
      </c>
      <c r="D5300" t="inlineStr">
        <is>
          <t>Inebrya</t>
        </is>
      </c>
      <c r="E5300" t="n">
        <v>8.59</v>
      </c>
      <c r="F5300" t="n">
        <v>1</v>
      </c>
      <c r="G5300" t="n">
        <v>3</v>
      </c>
      <c r="H5300" s="5">
        <f>HYPERLINK("https://api.qogita.com/variants/link/8008277263724/", "View Product")</f>
        <v/>
      </c>
    </row>
    <row r="5301">
      <c r="A5301" t="inlineStr">
        <is>
          <t>8008277263755</t>
        </is>
      </c>
      <c r="B5301" t="inlineStr">
        <is>
          <t>Inebrya Ice Cream Frequent Refreshing Mint Shampoo 1000ml</t>
        </is>
      </c>
      <c r="C5301" t="inlineStr">
        <is>
          <t>Shampoo</t>
        </is>
      </c>
      <c r="D5301" t="inlineStr">
        <is>
          <t>Inebrya</t>
        </is>
      </c>
      <c r="E5301" t="n">
        <v>13.82</v>
      </c>
      <c r="F5301" t="n">
        <v>1</v>
      </c>
      <c r="G5301" t="n">
        <v>8</v>
      </c>
      <c r="H5301" s="5">
        <f>HYPERLINK("https://api.qogita.com/variants/link/8008277263755/", "View Product")</f>
        <v/>
      </c>
    </row>
    <row r="5302">
      <c r="A5302" t="inlineStr">
        <is>
          <t>8008277263885</t>
        </is>
      </c>
      <c r="B5302" t="inlineStr">
        <is>
          <t>Inebrya Ice Cream Cleany Purificante 1000ml</t>
        </is>
      </c>
      <c r="C5302" t="inlineStr">
        <is>
          <t>Cleansing Cream</t>
        </is>
      </c>
      <c r="D5302" t="inlineStr">
        <is>
          <t>Inebrya</t>
        </is>
      </c>
      <c r="E5302" t="n">
        <v>13.82</v>
      </c>
      <c r="F5302" t="n">
        <v>1</v>
      </c>
      <c r="G5302" t="n">
        <v>2</v>
      </c>
      <c r="H5302" s="5">
        <f>HYPERLINK("https://api.qogita.com/variants/link/8008277263885/", "View Product")</f>
        <v/>
      </c>
    </row>
    <row r="5303">
      <c r="A5303" t="inlineStr">
        <is>
          <t>8008277264479</t>
        </is>
      </c>
      <c r="B5303" t="inlineStr">
        <is>
          <t>Innebrya Kromask Nutrient Silver Mask 250ml</t>
        </is>
      </c>
      <c r="C5303" t="inlineStr">
        <is>
          <t>Hydrating Mask</t>
        </is>
      </c>
      <c r="D5303" t="inlineStr">
        <is>
          <t>Inebrya</t>
        </is>
      </c>
      <c r="E5303" t="n">
        <v>16.12</v>
      </c>
      <c r="F5303" t="n">
        <v>1</v>
      </c>
      <c r="G5303" t="n">
        <v>2</v>
      </c>
      <c r="H5303" s="5">
        <f>HYPERLINK("https://api.qogita.com/variants/link/8008277264479/", "View Product")</f>
        <v/>
      </c>
    </row>
    <row r="5304">
      <c r="A5304" t="inlineStr">
        <is>
          <t>8008277264486</t>
        </is>
      </c>
      <c r="B5304" t="inlineStr">
        <is>
          <t>Innebrya Kromask Nourishing Color Mask Chocolate 250ml</t>
        </is>
      </c>
      <c r="C5304" t="inlineStr">
        <is>
          <t>Hair Masks</t>
        </is>
      </c>
      <c r="D5304" t="inlineStr">
        <is>
          <t>Inebrya</t>
        </is>
      </c>
      <c r="E5304" t="n">
        <v>16.12</v>
      </c>
      <c r="F5304" t="n">
        <v>1</v>
      </c>
      <c r="G5304" t="n">
        <v>3</v>
      </c>
      <c r="H5304" s="5">
        <f>HYPERLINK("https://api.qogita.com/variants/link/8008277264486/", "View Product")</f>
        <v/>
      </c>
    </row>
    <row r="5305">
      <c r="A5305" t="inlineStr">
        <is>
          <t>8008277264523</t>
        </is>
      </c>
      <c r="B5305" t="inlineStr">
        <is>
          <t>Innebrya Kromask Nourishing Color Mask 250ml</t>
        </is>
      </c>
      <c r="C5305" t="inlineStr">
        <is>
          <t>Hair Masks</t>
        </is>
      </c>
      <c r="D5305" t="inlineStr">
        <is>
          <t>Inebrya</t>
        </is>
      </c>
      <c r="E5305" t="n">
        <v>16.12</v>
      </c>
      <c r="F5305" t="n">
        <v>1</v>
      </c>
      <c r="G5305" t="n">
        <v>3</v>
      </c>
      <c r="H5305" s="5">
        <f>HYPERLINK("https://api.qogita.com/variants/link/8008277264523/", "View Product")</f>
        <v/>
      </c>
    </row>
    <row r="5306">
      <c r="A5306" t="inlineStr">
        <is>
          <t>8008277264806</t>
        </is>
      </c>
      <c r="B5306" t="inlineStr">
        <is>
          <t>Maske Reflexion INEBRYA Greylosophy Grey By Day Butter</t>
        </is>
      </c>
      <c r="C5306" t="inlineStr">
        <is>
          <t>Hair Masks</t>
        </is>
      </c>
      <c r="D5306" t="inlineStr">
        <is>
          <t>Inebrya</t>
        </is>
      </c>
      <c r="E5306" t="n">
        <v>24.22</v>
      </c>
      <c r="F5306" t="n">
        <v>1</v>
      </c>
      <c r="G5306" t="n">
        <v>3</v>
      </c>
      <c r="H5306" s="5">
        <f>HYPERLINK("https://api.qogita.com/variants/link/8008277264806/", "View Product")</f>
        <v/>
      </c>
    </row>
    <row r="5307">
      <c r="A5307" t="inlineStr">
        <is>
          <t>8008277265100</t>
        </is>
      </c>
      <c r="B5307" t="inlineStr">
        <is>
          <t>Inebrya Up To You Curl Boost Moisturizing Shampoo For Wavy And Curly Hair 300ml</t>
        </is>
      </c>
      <c r="C5307" t="inlineStr">
        <is>
          <t>Shampoo</t>
        </is>
      </c>
      <c r="D5307" t="inlineStr">
        <is>
          <t>Inebrya</t>
        </is>
      </c>
      <c r="E5307" t="n">
        <v>9.58</v>
      </c>
      <c r="F5307" t="n">
        <v>1</v>
      </c>
      <c r="G5307" t="n">
        <v>7</v>
      </c>
      <c r="H5307" s="5">
        <f>HYPERLINK("https://api.qogita.com/variants/link/8008277265100/", "View Product")</f>
        <v/>
      </c>
    </row>
    <row r="5308">
      <c r="A5308" t="inlineStr">
        <is>
          <t>8008277265124</t>
        </is>
      </c>
      <c r="B5308" t="inlineStr">
        <is>
          <t>Inebrya Up To You Curl Boost Moisturizing Mask For Wavy And Curly Hair 250ml</t>
        </is>
      </c>
      <c r="C5308" t="inlineStr">
        <is>
          <t>Hair Masks</t>
        </is>
      </c>
      <c r="D5308" t="inlineStr">
        <is>
          <t>Inebrya</t>
        </is>
      </c>
      <c r="E5308" t="n">
        <v>9.970000000000001</v>
      </c>
      <c r="F5308" t="n">
        <v>1</v>
      </c>
      <c r="G5308" t="n">
        <v>2</v>
      </c>
      <c r="H5308" s="5">
        <f>HYPERLINK("https://api.qogita.com/variants/link/8008277265124/", "View Product")</f>
        <v/>
      </c>
    </row>
    <row r="5309">
      <c r="A5309" t="inlineStr">
        <is>
          <t>8008277265131</t>
        </is>
      </c>
      <c r="B5309" t="inlineStr">
        <is>
          <t>Inebrya Up To You Curl Boost Moisturizing Mask For Wavy And Curly Hair 1000ml</t>
        </is>
      </c>
      <c r="C5309" t="inlineStr">
        <is>
          <t>Hair Masks</t>
        </is>
      </c>
      <c r="D5309" t="inlineStr">
        <is>
          <t>Inebrya</t>
        </is>
      </c>
      <c r="E5309" t="n">
        <v>21.14</v>
      </c>
      <c r="F5309" t="n">
        <v>1</v>
      </c>
      <c r="G5309" t="n">
        <v>2</v>
      </c>
      <c r="H5309" s="5">
        <f>HYPERLINK("https://api.qogita.com/variants/link/8008277265131/", "View Product")</f>
        <v/>
      </c>
    </row>
    <row r="5310">
      <c r="A5310" t="inlineStr">
        <is>
          <t>8008277760001</t>
        </is>
      </c>
      <c r="B5310" t="inlineStr">
        <is>
          <t>Fanola The Prep Cleanser Deeply Cleanses Hair Removing Mineral Impurities</t>
        </is>
      </c>
      <c r="C5310" t="inlineStr">
        <is>
          <t>Shampoo</t>
        </is>
      </c>
      <c r="D5310" t="inlineStr">
        <is>
          <t>Fanola</t>
        </is>
      </c>
      <c r="E5310" t="n">
        <v>5.15</v>
      </c>
      <c r="F5310" t="n">
        <v>1</v>
      </c>
      <c r="G5310" t="n">
        <v>5</v>
      </c>
      <c r="H5310" s="5">
        <f>HYPERLINK("https://api.qogita.com/variants/link/8008277760001/", "View Product")</f>
        <v/>
      </c>
    </row>
    <row r="5311">
      <c r="A5311" t="inlineStr">
        <is>
          <t>8008277760025</t>
        </is>
      </c>
      <c r="B5311" t="inlineStr">
        <is>
          <t>Fanola The Styling Mask Maintain Styling for Longer Time and Reduce Drying Time for Healthier and Vital Hair 2 Minutes Exposure Time 200ml</t>
        </is>
      </c>
      <c r="C5311" t="inlineStr">
        <is>
          <t>Hair Masks</t>
        </is>
      </c>
      <c r="D5311" t="inlineStr">
        <is>
          <t>Fanola</t>
        </is>
      </c>
      <c r="E5311" t="n">
        <v>7.61</v>
      </c>
      <c r="F5311" t="n">
        <v>1</v>
      </c>
      <c r="G5311" t="n">
        <v>6</v>
      </c>
      <c r="H5311" s="5">
        <f>HYPERLINK("https://api.qogita.com/variants/link/8008277760025/", "View Product")</f>
        <v/>
      </c>
    </row>
    <row r="5312">
      <c r="A5312" t="inlineStr">
        <is>
          <t>8008277760537</t>
        </is>
      </c>
      <c r="B5312" t="inlineStr">
        <is>
          <t>Fanola Nourishing Restructuring Shampoo For Dry And Brittle Hair 1000ml</t>
        </is>
      </c>
      <c r="C5312" t="inlineStr">
        <is>
          <t>Shampoo</t>
        </is>
      </c>
      <c r="D5312" t="inlineStr">
        <is>
          <t>Fanola</t>
        </is>
      </c>
      <c r="E5312" t="n">
        <v>7.69</v>
      </c>
      <c r="F5312" t="n">
        <v>1</v>
      </c>
      <c r="G5312" t="n">
        <v>48</v>
      </c>
      <c r="H5312" s="5">
        <f>HYPERLINK("https://api.qogita.com/variants/link/8008277760537/", "View Product")</f>
        <v/>
      </c>
    </row>
    <row r="5313">
      <c r="A5313" t="inlineStr">
        <is>
          <t>8008277760575</t>
        </is>
      </c>
      <c r="B5313" t="inlineStr">
        <is>
          <t>Fanola Nourishing Restructuring Conditioner Leave-In Conditioner For Dry, Frizzy Hair And After Treatments 300ml</t>
        </is>
      </c>
      <c r="C5313" t="inlineStr">
        <is>
          <t>Leave-In Conditioner</t>
        </is>
      </c>
      <c r="D5313" t="inlineStr">
        <is>
          <t>Fanola</t>
        </is>
      </c>
      <c r="E5313" t="n">
        <v>4.04</v>
      </c>
      <c r="F5313" t="n">
        <v>1</v>
      </c>
      <c r="G5313" t="n">
        <v>86</v>
      </c>
      <c r="H5313" s="5">
        <f>HYPERLINK("https://api.qogita.com/variants/link/8008277760575/", "View Product")</f>
        <v/>
      </c>
    </row>
    <row r="5314">
      <c r="A5314" t="inlineStr">
        <is>
          <t>8008277760926</t>
        </is>
      </c>
      <c r="B5314" t="inlineStr">
        <is>
          <t>Fanola Color Mask Semi Permanent Hair Color Pink Sugar 200ml</t>
        </is>
      </c>
      <c r="C5314" t="inlineStr">
        <is>
          <t>Hair Dye</t>
        </is>
      </c>
      <c r="D5314" t="inlineStr">
        <is>
          <t>Fanola</t>
        </is>
      </c>
      <c r="E5314" t="n">
        <v>6.28</v>
      </c>
      <c r="F5314" t="n">
        <v>1</v>
      </c>
      <c r="G5314" t="n">
        <v>10</v>
      </c>
      <c r="H5314" s="5">
        <f>HYPERLINK("https://api.qogita.com/variants/link/8008277760926/", "View Product")</f>
        <v/>
      </c>
    </row>
    <row r="5315">
      <c r="A5315" t="inlineStr">
        <is>
          <t>8008277761039</t>
        </is>
      </c>
      <c r="B5315" t="inlineStr">
        <is>
          <t>Fanola No Yellow Color Compact Violet 450g</t>
        </is>
      </c>
      <c r="C5315" t="inlineStr">
        <is>
          <t>Hair Dye</t>
        </is>
      </c>
      <c r="D5315" t="inlineStr">
        <is>
          <t>Fanola</t>
        </is>
      </c>
      <c r="E5315" t="n">
        <v>11.17</v>
      </c>
      <c r="F5315" t="n">
        <v>1</v>
      </c>
      <c r="G5315" t="n">
        <v>2</v>
      </c>
      <c r="H5315" s="5">
        <f>HYPERLINK("https://api.qogita.com/variants/link/8008277761039/", "View Product")</f>
        <v/>
      </c>
    </row>
    <row r="5316">
      <c r="A5316" t="inlineStr">
        <is>
          <t>8008277761138</t>
        </is>
      </c>
      <c r="B5316" t="inlineStr">
        <is>
          <t>Fanola Nourishing Colour Mask - Nourishing and Conditioning Pigmented Hair Mask</t>
        </is>
      </c>
      <c r="C5316" t="inlineStr">
        <is>
          <t>Hair Masks</t>
        </is>
      </c>
      <c r="D5316" t="inlineStr">
        <is>
          <t>Fanola</t>
        </is>
      </c>
      <c r="E5316" t="n">
        <v>1.79</v>
      </c>
      <c r="F5316" t="n">
        <v>1</v>
      </c>
      <c r="G5316" t="n">
        <v>9</v>
      </c>
      <c r="H5316" s="5">
        <f>HYPERLINK("https://api.qogita.com/variants/link/8008277761138/", "View Product")</f>
        <v/>
      </c>
    </row>
    <row r="5317">
      <c r="A5317" t="inlineStr">
        <is>
          <t>8008277761978</t>
        </is>
      </c>
      <c r="B5317" t="inlineStr">
        <is>
          <t>Professional Hair Color Cream 10.17 Platinum Blonde Ash Brown 100ml - FANOLA</t>
        </is>
      </c>
      <c r="C5317" t="inlineStr">
        <is>
          <t>Hair Dye</t>
        </is>
      </c>
      <c r="D5317" t="inlineStr">
        <is>
          <t>Fanola</t>
        </is>
      </c>
      <c r="E5317" t="n">
        <v>3.48</v>
      </c>
      <c r="F5317" t="n">
        <v>1</v>
      </c>
      <c r="G5317" t="n">
        <v>3</v>
      </c>
      <c r="H5317" s="5">
        <f>HYPERLINK("https://api.qogita.com/variants/link/8008277761978/", "View Product")</f>
        <v/>
      </c>
    </row>
    <row r="5318">
      <c r="A5318" t="inlineStr">
        <is>
          <t>8008277762067</t>
        </is>
      </c>
      <c r="B5318" t="inlineStr">
        <is>
          <t>Fanola Wonder No Yellow Extra Care Shampoo 1000ml</t>
        </is>
      </c>
      <c r="C5318" t="inlineStr">
        <is>
          <t>Shampoo</t>
        </is>
      </c>
      <c r="D5318" t="inlineStr">
        <is>
          <t>Fanola</t>
        </is>
      </c>
      <c r="E5318" t="n">
        <v>15.01</v>
      </c>
      <c r="F5318" t="n">
        <v>1</v>
      </c>
      <c r="G5318" t="n">
        <v>5</v>
      </c>
      <c r="H5318" s="5">
        <f>HYPERLINK("https://api.qogita.com/variants/link/8008277762067/", "View Product")</f>
        <v/>
      </c>
    </row>
    <row r="5319">
      <c r="A5319" t="inlineStr">
        <is>
          <t>8008277762463</t>
        </is>
      </c>
      <c r="B5319" t="inlineStr">
        <is>
          <t>Fanola Wonder Color Locker Sealing Cream 200ml</t>
        </is>
      </c>
      <c r="C5319" t="inlineStr">
        <is>
          <t>Conditioner</t>
        </is>
      </c>
      <c r="D5319" t="inlineStr">
        <is>
          <t>Fanola</t>
        </is>
      </c>
      <c r="E5319" t="n">
        <v>5.63</v>
      </c>
      <c r="F5319" t="n">
        <v>1</v>
      </c>
      <c r="G5319" t="n">
        <v>7</v>
      </c>
      <c r="H5319" s="5">
        <f>HYPERLINK("https://api.qogita.com/variants/link/8008277762463/", "View Product")</f>
        <v/>
      </c>
    </row>
    <row r="5320">
      <c r="A5320" t="inlineStr">
        <is>
          <t>8008277762777</t>
        </is>
      </c>
      <c r="B5320" t="inlineStr">
        <is>
          <t>Fanola Orotherapy Lightening Shampoo for All Hair Types 350ml</t>
        </is>
      </c>
      <c r="C5320" t="inlineStr">
        <is>
          <t>Shampoo</t>
        </is>
      </c>
      <c r="D5320" t="inlineStr">
        <is>
          <t>Fanola</t>
        </is>
      </c>
      <c r="E5320" t="n">
        <v>3.5</v>
      </c>
      <c r="F5320" t="n">
        <v>1</v>
      </c>
      <c r="G5320" t="n">
        <v>27</v>
      </c>
      <c r="H5320" s="5">
        <f>HYPERLINK("https://api.qogita.com/variants/link/8008277762777/", "View Product")</f>
        <v/>
      </c>
    </row>
    <row r="5321">
      <c r="A5321" t="inlineStr">
        <is>
          <t>8008277764559</t>
        </is>
      </c>
      <c r="B5321" t="inlineStr">
        <is>
          <t>Fanola Fantouch Hair Spray Adding Volume 500ml</t>
        </is>
      </c>
      <c r="C5321" t="inlineStr">
        <is>
          <t>Hairspray</t>
        </is>
      </c>
      <c r="D5321" t="inlineStr">
        <is>
          <t>Fanola</t>
        </is>
      </c>
      <c r="E5321" t="n">
        <v>5.06</v>
      </c>
      <c r="F5321" t="n">
        <v>1</v>
      </c>
      <c r="G5321" t="n">
        <v>4</v>
      </c>
      <c r="H5321" s="5">
        <f>HYPERLINK("https://api.qogita.com/variants/link/8008277764559/", "View Product")</f>
        <v/>
      </c>
    </row>
    <row r="5322">
      <c r="A5322" t="inlineStr">
        <is>
          <t>8008277765501</t>
        </is>
      </c>
      <c r="B5322" t="inlineStr">
        <is>
          <t>Fanola Wonder No Red Extra Care Mask Neutralizing Mask For Dark Hair</t>
        </is>
      </c>
      <c r="C5322" t="inlineStr">
        <is>
          <t>Hair Masks</t>
        </is>
      </c>
      <c r="D5322" t="inlineStr">
        <is>
          <t>Fanola</t>
        </is>
      </c>
      <c r="E5322" t="n">
        <v>19.95</v>
      </c>
      <c r="F5322" t="n">
        <v>1</v>
      </c>
      <c r="G5322" t="n">
        <v>2</v>
      </c>
      <c r="H5322" s="5">
        <f>HYPERLINK("https://api.qogita.com/variants/link/8008277765501/", "View Product")</f>
        <v/>
      </c>
    </row>
    <row r="5323">
      <c r="A5323" t="inlineStr">
        <is>
          <t>8008970004266</t>
        </is>
      </c>
      <c r="B5323" t="inlineStr">
        <is>
          <t>Denim Shower Gel for Men Original 250ml</t>
        </is>
      </c>
      <c r="C5323" t="inlineStr">
        <is>
          <t>Shower Gel</t>
        </is>
      </c>
      <c r="D5323" t="inlineStr">
        <is>
          <t>Denim</t>
        </is>
      </c>
      <c r="E5323" t="n">
        <v>4.2</v>
      </c>
      <c r="F5323" t="n">
        <v>1</v>
      </c>
      <c r="G5323" t="n">
        <v>8</v>
      </c>
      <c r="H5323" s="5">
        <f>HYPERLINK("https://api.qogita.com/variants/link/8008970004266/", "View Product")</f>
        <v/>
      </c>
    </row>
    <row r="5324">
      <c r="A5324" t="inlineStr">
        <is>
          <t>8008970005621</t>
        </is>
      </c>
      <c r="B5324" t="inlineStr">
        <is>
          <t>Tesori d'Oriente Hammam Shower Cream Oil with Argan Oil and Orange Blossom 8.45 Fluid Ounce 250ml</t>
        </is>
      </c>
      <c r="C5324" t="inlineStr">
        <is>
          <t>Shower Oil</t>
        </is>
      </c>
      <c r="D5324" t="inlineStr">
        <is>
          <t>Tesori D'Oriente</t>
        </is>
      </c>
      <c r="E5324" t="n">
        <v>3.85</v>
      </c>
      <c r="F5324" t="n">
        <v>1</v>
      </c>
      <c r="G5324" t="n">
        <v>5</v>
      </c>
      <c r="H5324" s="5">
        <f>HYPERLINK("https://api.qogita.com/variants/link/8008970005621/", "View Product")</f>
        <v/>
      </c>
    </row>
    <row r="5325">
      <c r="A5325" t="inlineStr">
        <is>
          <t>8008970011158</t>
        </is>
      </c>
      <c r="B5325" t="inlineStr">
        <is>
          <t>Tesori d'Oriente Shower Cream Gel for Women 250ml 8.45 fl oz White Musk</t>
        </is>
      </c>
      <c r="C5325" t="inlineStr">
        <is>
          <t>Shower Gel</t>
        </is>
      </c>
      <c r="D5325" t="inlineStr">
        <is>
          <t>Tesori D'Oriente</t>
        </is>
      </c>
      <c r="E5325" t="n">
        <v>4.23</v>
      </c>
      <c r="F5325" t="n">
        <v>1</v>
      </c>
      <c r="G5325" t="n">
        <v>19</v>
      </c>
      <c r="H5325" s="5">
        <f>HYPERLINK("https://api.qogita.com/variants/link/8008970011158/", "View Product")</f>
        <v/>
      </c>
    </row>
    <row r="5326">
      <c r="A5326" t="inlineStr">
        <is>
          <t>8008970037455</t>
        </is>
      </c>
      <c r="B5326" t="inlineStr">
        <is>
          <t>Tesori d'Oriente Vanilla and Ginger Bath Cream 500ml</t>
        </is>
      </c>
      <c r="C5326" t="inlineStr">
        <is>
          <t>Bath Oil &amp; Bath Milk</t>
        </is>
      </c>
      <c r="D5326" t="inlineStr">
        <is>
          <t>Tesori D'Oriente</t>
        </is>
      </c>
      <c r="E5326" t="n">
        <v>5.38</v>
      </c>
      <c r="F5326" t="n">
        <v>1</v>
      </c>
      <c r="G5326" t="n">
        <v>8</v>
      </c>
      <c r="H5326" s="5">
        <f>HYPERLINK("https://api.qogita.com/variants/link/8008970037455/", "View Product")</f>
        <v/>
      </c>
    </row>
    <row r="5327">
      <c r="A5327" t="inlineStr">
        <is>
          <t>8008970037462</t>
        </is>
      </c>
      <c r="B5327" t="inlineStr">
        <is>
          <t>Tesori d'Oriente Vaniglia E Zenzero Madagascar Vanilla and Ginger Shower Cream 250ml</t>
        </is>
      </c>
      <c r="C5327" t="inlineStr">
        <is>
          <t>Shower Gel</t>
        </is>
      </c>
      <c r="D5327" t="inlineStr">
        <is>
          <t>Tesori D'Oriente</t>
        </is>
      </c>
      <c r="E5327" t="n">
        <v>4.26</v>
      </c>
      <c r="F5327" t="n">
        <v>1</v>
      </c>
      <c r="G5327" t="n">
        <v>14</v>
      </c>
      <c r="H5327" s="5">
        <f>HYPERLINK("https://api.qogita.com/variants/link/8008970037462/", "View Product")</f>
        <v/>
      </c>
    </row>
    <row r="5328">
      <c r="A5328" t="inlineStr">
        <is>
          <t>8008970037776</t>
        </is>
      </c>
      <c r="B5328" t="inlineStr">
        <is>
          <t>Denim Gold Deodorant Spray 150ml</t>
        </is>
      </c>
      <c r="C5328" t="inlineStr">
        <is>
          <t>Deodorant &amp; Anti-Perspirant</t>
        </is>
      </c>
      <c r="D5328" t="inlineStr">
        <is>
          <t>Denim</t>
        </is>
      </c>
      <c r="E5328" t="n">
        <v>4.24</v>
      </c>
      <c r="F5328" t="n">
        <v>1</v>
      </c>
      <c r="G5328" t="n">
        <v>11</v>
      </c>
      <c r="H5328" s="5">
        <f>HYPERLINK("https://api.qogita.com/variants/link/8008970037776/", "View Product")</f>
        <v/>
      </c>
    </row>
    <row r="5329">
      <c r="A5329" t="inlineStr">
        <is>
          <t>8008970038032</t>
        </is>
      </c>
      <c r="B5329" t="inlineStr">
        <is>
          <t>Denim Black Shower Gel 400ml</t>
        </is>
      </c>
      <c r="C5329" t="inlineStr">
        <is>
          <t>Shower Gel</t>
        </is>
      </c>
      <c r="D5329" t="inlineStr">
        <is>
          <t>Denim</t>
        </is>
      </c>
      <c r="E5329" t="n">
        <v>4.75</v>
      </c>
      <c r="F5329" t="n">
        <v>1</v>
      </c>
      <c r="G5329" t="n">
        <v>9</v>
      </c>
      <c r="H5329" s="5">
        <f>HYPERLINK("https://api.qogita.com/variants/link/8008970038032/", "View Product")</f>
        <v/>
      </c>
    </row>
    <row r="5330">
      <c r="A5330" t="inlineStr">
        <is>
          <t>8008970043630</t>
        </is>
      </c>
      <c r="B5330" t="inlineStr">
        <is>
          <t>Tesori d'Oriente Ayurveda Cream Bath 500ml</t>
        </is>
      </c>
      <c r="C5330" t="inlineStr">
        <is>
          <t>Bath Oil &amp; Bath Milk</t>
        </is>
      </c>
      <c r="D5330" t="inlineStr">
        <is>
          <t>Tesori D'Oriente</t>
        </is>
      </c>
      <c r="E5330" t="n">
        <v>5.38</v>
      </c>
      <c r="F5330" t="n">
        <v>1</v>
      </c>
      <c r="G5330" t="n">
        <v>48</v>
      </c>
      <c r="H5330" s="5">
        <f>HYPERLINK("https://api.qogita.com/variants/link/8008970043630/", "View Product")</f>
        <v/>
      </c>
    </row>
    <row r="5331">
      <c r="A5331" t="inlineStr">
        <is>
          <t>8008970043739</t>
        </is>
      </c>
      <c r="B5331" t="inlineStr">
        <is>
          <t>Tesori D'Oriente Japanese Rituals Scented Candle</t>
        </is>
      </c>
      <c r="C5331" t="inlineStr">
        <is>
          <t>Candles</t>
        </is>
      </c>
      <c r="D5331" t="inlineStr">
        <is>
          <t>Tesori D'Oriente</t>
        </is>
      </c>
      <c r="E5331" t="n">
        <v>8.890000000000001</v>
      </c>
      <c r="F5331" t="n">
        <v>1</v>
      </c>
      <c r="G5331" t="n">
        <v>2</v>
      </c>
      <c r="H5331" s="5">
        <f>HYPERLINK("https://api.qogita.com/variants/link/8008970043739/", "View Product")</f>
        <v/>
      </c>
    </row>
    <row r="5332">
      <c r="A5332" t="inlineStr">
        <is>
          <t>8008970050447</t>
        </is>
      </c>
      <c r="B5332" t="inlineStr">
        <is>
          <t>Tesori D'Oriente Aroma Diffuser With Chopsticks - Hammam</t>
        </is>
      </c>
      <c r="C5332" t="inlineStr">
        <is>
          <t>Diffusers</t>
        </is>
      </c>
      <c r="D5332" t="inlineStr">
        <is>
          <t>Tesori D'Oriente</t>
        </is>
      </c>
      <c r="E5332" t="n">
        <v>8.48</v>
      </c>
      <c r="F5332" t="n">
        <v>1</v>
      </c>
      <c r="G5332" t="n">
        <v>32</v>
      </c>
      <c r="H5332" s="5">
        <f>HYPERLINK("https://api.qogita.com/variants/link/8008970050447/", "View Product")</f>
        <v/>
      </c>
    </row>
    <row r="5333">
      <c r="A5333" t="inlineStr">
        <is>
          <t>8008970051970</t>
        </is>
      </c>
      <c r="B5333" t="inlineStr">
        <is>
          <t>Tesori D'oriente Ayurveda Laundry Perfume 250ml</t>
        </is>
      </c>
      <c r="C5333" t="inlineStr">
        <is>
          <t>Diffusers</t>
        </is>
      </c>
      <c r="D5333" t="inlineStr">
        <is>
          <t>Tesori D'Oriente</t>
        </is>
      </c>
      <c r="E5333" t="n">
        <v>7.68</v>
      </c>
      <c r="F5333" t="n">
        <v>1</v>
      </c>
      <c r="G5333" t="n">
        <v>14</v>
      </c>
      <c r="H5333" s="5">
        <f>HYPERLINK("https://api.qogita.com/variants/link/8008970051970/", "View Product")</f>
        <v/>
      </c>
    </row>
    <row r="5334">
      <c r="A5334" t="inlineStr">
        <is>
          <t>8011003061303</t>
        </is>
      </c>
      <c r="B5334" t="inlineStr">
        <is>
          <t>Moschino Cheap And Chic Eau De Toilette Spray 50ml Women's Fragrance</t>
        </is>
      </c>
      <c r="C5334" t="inlineStr">
        <is>
          <t>Eau De Toilette</t>
        </is>
      </c>
      <c r="D5334" t="inlineStr">
        <is>
          <t>Moschino</t>
        </is>
      </c>
      <c r="E5334" t="n">
        <v>19.25</v>
      </c>
      <c r="F5334" t="n">
        <v>1</v>
      </c>
      <c r="G5334" t="n">
        <v>14</v>
      </c>
      <c r="H5334" s="5">
        <f>HYPERLINK("https://api.qogita.com/variants/link/8011003061303/", "View Product")</f>
        <v/>
      </c>
    </row>
    <row r="5335">
      <c r="A5335" t="inlineStr">
        <is>
          <t>8011003804542</t>
        </is>
      </c>
      <c r="B5335" t="inlineStr">
        <is>
          <t>Versace Versace Yellow Diamond Eau De Toilette Spray 30ml</t>
        </is>
      </c>
      <c r="C5335" t="inlineStr">
        <is>
          <t>Eau De Toilette</t>
        </is>
      </c>
      <c r="D5335" t="inlineStr">
        <is>
          <t>Versace</t>
        </is>
      </c>
      <c r="E5335" t="n">
        <v>31.94</v>
      </c>
      <c r="F5335" t="n">
        <v>1</v>
      </c>
      <c r="G5335" t="n">
        <v>117</v>
      </c>
      <c r="H5335" s="5">
        <f>HYPERLINK("https://api.qogita.com/variants/link/8011003804542/", "View Product")</f>
        <v/>
      </c>
    </row>
    <row r="5336">
      <c r="A5336" t="inlineStr">
        <is>
          <t>8011003804559</t>
        </is>
      </c>
      <c r="B5336" t="inlineStr">
        <is>
          <t>Versace Yellow Diamonds Eau De Toilette Spray 50ml</t>
        </is>
      </c>
      <c r="C5336" t="inlineStr">
        <is>
          <t>Eau De Toilette</t>
        </is>
      </c>
      <c r="D5336" t="inlineStr">
        <is>
          <t>Versace</t>
        </is>
      </c>
      <c r="E5336" t="n">
        <v>37.09</v>
      </c>
      <c r="F5336" t="n">
        <v>1</v>
      </c>
      <c r="G5336" t="n">
        <v>14</v>
      </c>
      <c r="H5336" s="5">
        <f>HYPERLINK("https://api.qogita.com/variants/link/8011003804559/", "View Product")</f>
        <v/>
      </c>
    </row>
    <row r="5337">
      <c r="A5337" t="inlineStr">
        <is>
          <t>8011003807871</t>
        </is>
      </c>
      <c r="B5337" t="inlineStr">
        <is>
          <t>Moschino Pink Bouquet Eau De Toilette Spray 100ml</t>
        </is>
      </c>
      <c r="C5337" t="inlineStr">
        <is>
          <t>Eau De Toilette</t>
        </is>
      </c>
      <c r="D5337" t="inlineStr">
        <is>
          <t>Moschino</t>
        </is>
      </c>
      <c r="E5337" t="n">
        <v>20.51</v>
      </c>
      <c r="F5337" t="n">
        <v>1</v>
      </c>
      <c r="G5337" t="n">
        <v>28</v>
      </c>
      <c r="H5337" s="5">
        <f>HYPERLINK("https://api.qogita.com/variants/link/8011003807871/", "View Product")</f>
        <v/>
      </c>
    </row>
    <row r="5338">
      <c r="A5338" t="inlineStr">
        <is>
          <t>8011003809257</t>
        </is>
      </c>
      <c r="B5338" t="inlineStr">
        <is>
          <t>Versace Eros For Men 3.4 Oz EDT Spray</t>
        </is>
      </c>
      <c r="C5338" t="inlineStr">
        <is>
          <t>Eau De Toilette</t>
        </is>
      </c>
      <c r="D5338" t="inlineStr">
        <is>
          <t>Versace</t>
        </is>
      </c>
      <c r="E5338" t="n">
        <v>33.85</v>
      </c>
      <c r="F5338" t="n">
        <v>1</v>
      </c>
      <c r="G5338" t="n">
        <v>10</v>
      </c>
      <c r="H5338" s="5">
        <f>HYPERLINK("https://api.qogita.com/variants/link/8011003809257/", "View Product")</f>
        <v/>
      </c>
    </row>
    <row r="5339">
      <c r="A5339" t="inlineStr">
        <is>
          <t>8011003809264</t>
        </is>
      </c>
      <c r="B5339" t="inlineStr">
        <is>
          <t>Versace Eros Eau De Toilette 5ml</t>
        </is>
      </c>
      <c r="C5339" t="inlineStr">
        <is>
          <t>Eau De Toilette</t>
        </is>
      </c>
      <c r="D5339" t="inlineStr">
        <is>
          <t>Versace</t>
        </is>
      </c>
      <c r="E5339" t="n">
        <v>6.48</v>
      </c>
      <c r="F5339" t="n">
        <v>1</v>
      </c>
      <c r="G5339" t="n">
        <v>8</v>
      </c>
      <c r="H5339" s="5">
        <f>HYPERLINK("https://api.qogita.com/variants/link/8011003809264/", "View Product")</f>
        <v/>
      </c>
    </row>
    <row r="5340">
      <c r="A5340" t="inlineStr">
        <is>
          <t>8011003817719</t>
        </is>
      </c>
      <c r="B5340" t="inlineStr">
        <is>
          <t>Versace Bright Crystal Perfumed Deodorant Stick for Her 50ml</t>
        </is>
      </c>
      <c r="C5340" t="inlineStr">
        <is>
          <t>Deodorant &amp; Anti-Perspirant</t>
        </is>
      </c>
      <c r="D5340" t="inlineStr">
        <is>
          <t>Versace</t>
        </is>
      </c>
      <c r="E5340" t="n">
        <v>24.1</v>
      </c>
      <c r="F5340" t="n">
        <v>1</v>
      </c>
      <c r="G5340" t="n">
        <v>69</v>
      </c>
      <c r="H5340" s="5">
        <f>HYPERLINK("https://api.qogita.com/variants/link/8011003817719/", "View Product")</f>
        <v/>
      </c>
    </row>
    <row r="5341">
      <c r="A5341" t="inlineStr">
        <is>
          <t>8011003823086</t>
        </is>
      </c>
      <c r="B5341" t="inlineStr">
        <is>
          <t>Versace Yellow Diamond Intense Eau De Parfum Spray 50ml</t>
        </is>
      </c>
      <c r="C5341" t="inlineStr">
        <is>
          <t>Eau De Parfum</t>
        </is>
      </c>
      <c r="D5341" t="inlineStr">
        <is>
          <t>Versace</t>
        </is>
      </c>
      <c r="E5341" t="n">
        <v>45.22</v>
      </c>
      <c r="F5341" t="n">
        <v>1</v>
      </c>
      <c r="G5341" t="n">
        <v>9</v>
      </c>
      <c r="H5341" s="5">
        <f>HYPERLINK("https://api.qogita.com/variants/link/8011003823086/", "View Product")</f>
        <v/>
      </c>
    </row>
    <row r="5342">
      <c r="A5342" t="inlineStr">
        <is>
          <t>8011003823529</t>
        </is>
      </c>
      <c r="B5342" t="inlineStr">
        <is>
          <t>Versace Eros Pour Femme Eau De Parfum 50ml Women's Fragrance</t>
        </is>
      </c>
      <c r="C5342" t="inlineStr">
        <is>
          <t>Eau De Parfum</t>
        </is>
      </c>
      <c r="D5342" t="inlineStr">
        <is>
          <t>Versace</t>
        </is>
      </c>
      <c r="E5342" t="n">
        <v>43.51</v>
      </c>
      <c r="F5342" t="n">
        <v>1</v>
      </c>
      <c r="G5342" t="n">
        <v>39</v>
      </c>
      <c r="H5342" s="5">
        <f>HYPERLINK("https://api.qogita.com/variants/link/8011003823529/", "View Product")</f>
        <v/>
      </c>
    </row>
    <row r="5343">
      <c r="A5343" t="inlineStr">
        <is>
          <t>8011003825745</t>
        </is>
      </c>
      <c r="B5343" t="inlineStr">
        <is>
          <t>Versace Pour Homme Dylan Blue Eau De Toilette Spray 100ml</t>
        </is>
      </c>
      <c r="C5343" t="inlineStr">
        <is>
          <t>Eau De Toilette</t>
        </is>
      </c>
      <c r="D5343" t="inlineStr">
        <is>
          <t>Versace</t>
        </is>
      </c>
      <c r="E5343" t="n">
        <v>45.39</v>
      </c>
      <c r="F5343" t="n">
        <v>1</v>
      </c>
      <c r="G5343" t="n">
        <v>145</v>
      </c>
      <c r="H5343" s="5">
        <f>HYPERLINK("https://api.qogita.com/variants/link/8011003825745/", "View Product")</f>
        <v/>
      </c>
    </row>
    <row r="5344">
      <c r="A5344" t="inlineStr">
        <is>
          <t>8011003825752</t>
        </is>
      </c>
      <c r="B5344" t="inlineStr">
        <is>
          <t>Versace Pour Homme Dylan Blue Eau De Toilette 5ml</t>
        </is>
      </c>
      <c r="C5344" t="inlineStr">
        <is>
          <t>Eau De Toilette</t>
        </is>
      </c>
      <c r="D5344" t="inlineStr">
        <is>
          <t>Versace</t>
        </is>
      </c>
      <c r="E5344" t="n">
        <v>5.66</v>
      </c>
      <c r="F5344" t="n">
        <v>1</v>
      </c>
      <c r="G5344" t="n">
        <v>32</v>
      </c>
      <c r="H5344" s="5">
        <f>HYPERLINK("https://api.qogita.com/variants/link/8011003825752/", "View Product")</f>
        <v/>
      </c>
    </row>
    <row r="5345">
      <c r="A5345" t="inlineStr">
        <is>
          <t>8011003825769</t>
        </is>
      </c>
      <c r="B5345" t="inlineStr">
        <is>
          <t>Versace Pour Homme Dylan Blue Eau De Toilette Men's Spray EDT 3.4oz 100ml - NEW</t>
        </is>
      </c>
      <c r="C5345" t="inlineStr">
        <is>
          <t>Eau De Toilette</t>
        </is>
      </c>
      <c r="D5345" t="inlineStr">
        <is>
          <t>Versace</t>
        </is>
      </c>
      <c r="E5345" t="n">
        <v>38.63</v>
      </c>
      <c r="F5345" t="n">
        <v>1</v>
      </c>
      <c r="G5345" t="n">
        <v>9</v>
      </c>
      <c r="H5345" s="5">
        <f>HYPERLINK("https://api.qogita.com/variants/link/8011003825769/", "View Product")</f>
        <v/>
      </c>
    </row>
    <row r="5346">
      <c r="A5346" t="inlineStr">
        <is>
          <t>8011003826490</t>
        </is>
      </c>
      <c r="B5346" t="inlineStr">
        <is>
          <t>Versace Dylan Blue Pour Homme Eau De Toilette 200ml</t>
        </is>
      </c>
      <c r="C5346" t="inlineStr">
        <is>
          <t>Eau De Toilette</t>
        </is>
      </c>
      <c r="D5346" t="inlineStr">
        <is>
          <t>Versace</t>
        </is>
      </c>
      <c r="E5346" t="n">
        <v>60.83</v>
      </c>
      <c r="F5346" t="n">
        <v>1</v>
      </c>
      <c r="G5346" t="n">
        <v>245</v>
      </c>
      <c r="H5346" s="5">
        <f>HYPERLINK("https://api.qogita.com/variants/link/8011003826490/", "View Product")</f>
        <v/>
      </c>
    </row>
    <row r="5347">
      <c r="A5347" t="inlineStr">
        <is>
          <t>8011003826513</t>
        </is>
      </c>
      <c r="B5347" t="inlineStr">
        <is>
          <t>Versace Pour Homme Dylan Blue After Shave Balm 100ml</t>
        </is>
      </c>
      <c r="C5347" t="inlineStr">
        <is>
          <t>Aftershave</t>
        </is>
      </c>
      <c r="D5347" t="inlineStr">
        <is>
          <t>Versace</t>
        </is>
      </c>
      <c r="E5347" t="n">
        <v>20.19</v>
      </c>
      <c r="F5347" t="n">
        <v>1</v>
      </c>
      <c r="G5347" t="n">
        <v>86</v>
      </c>
      <c r="H5347" s="5">
        <f>HYPERLINK("https://api.qogita.com/variants/link/8011003826513/", "View Product")</f>
        <v/>
      </c>
    </row>
    <row r="5348">
      <c r="A5348" t="inlineStr">
        <is>
          <t>8011003826520</t>
        </is>
      </c>
      <c r="B5348" t="inlineStr">
        <is>
          <t>Versace Dylan Blue Perfumed Deodorant 100ml</t>
        </is>
      </c>
      <c r="C5348" t="inlineStr">
        <is>
          <t>Deodorant &amp; Anti-Perspirant</t>
        </is>
      </c>
      <c r="D5348" t="inlineStr">
        <is>
          <t>Versace</t>
        </is>
      </c>
      <c r="E5348" t="n">
        <v>23.21</v>
      </c>
      <c r="F5348" t="n">
        <v>1</v>
      </c>
      <c r="G5348" t="n">
        <v>32</v>
      </c>
      <c r="H5348" s="5">
        <f>HYPERLINK("https://api.qogita.com/variants/link/8011003826520/", "View Product")</f>
        <v/>
      </c>
    </row>
    <row r="5349">
      <c r="A5349" t="inlineStr">
        <is>
          <t>8011003837991</t>
        </is>
      </c>
      <c r="B5349" t="inlineStr">
        <is>
          <t>Moschino Gold Fresh Couture Eau De Parfum 30ml For Women</t>
        </is>
      </c>
      <c r="C5349" t="inlineStr">
        <is>
          <t>Eau De Parfum</t>
        </is>
      </c>
      <c r="D5349" t="inlineStr">
        <is>
          <t>Moschino</t>
        </is>
      </c>
      <c r="E5349" t="n">
        <v>16.51</v>
      </c>
      <c r="F5349" t="n">
        <v>1</v>
      </c>
      <c r="G5349" t="n">
        <v>857</v>
      </c>
      <c r="H5349" s="5">
        <f>HYPERLINK("https://api.qogita.com/variants/link/8011003837991/", "View Product")</f>
        <v/>
      </c>
    </row>
    <row r="5350">
      <c r="A5350" t="inlineStr">
        <is>
          <t>8011003838011</t>
        </is>
      </c>
      <c r="B5350" t="inlineStr">
        <is>
          <t>Moschino Fresh Gold Eau De Parfum Spray 100ml</t>
        </is>
      </c>
      <c r="C5350" t="inlineStr">
        <is>
          <t>Eau De Parfum</t>
        </is>
      </c>
      <c r="D5350" t="inlineStr">
        <is>
          <t>Moschino</t>
        </is>
      </c>
      <c r="E5350" t="n">
        <v>37.11</v>
      </c>
      <c r="F5350" t="n">
        <v>1</v>
      </c>
      <c r="G5350" t="n">
        <v>144</v>
      </c>
      <c r="H5350" s="5">
        <f>HYPERLINK("https://api.qogita.com/variants/link/8011003838011/", "View Product")</f>
        <v/>
      </c>
    </row>
    <row r="5351">
      <c r="A5351" t="inlineStr">
        <is>
          <t>8011003838059</t>
        </is>
      </c>
      <c r="B5351" t="inlineStr">
        <is>
          <t>Moschino Pink Fresh Couture Eau De Toilette 50ml Women Spray</t>
        </is>
      </c>
      <c r="C5351" t="inlineStr">
        <is>
          <t>Eau De Toilette</t>
        </is>
      </c>
      <c r="D5351" t="inlineStr">
        <is>
          <t>Moschino</t>
        </is>
      </c>
      <c r="E5351" t="n">
        <v>25.18</v>
      </c>
      <c r="F5351" t="n">
        <v>1</v>
      </c>
      <c r="G5351" t="n">
        <v>12</v>
      </c>
      <c r="H5351" s="5">
        <f>HYPERLINK("https://api.qogita.com/variants/link/8011003838059/", "View Product")</f>
        <v/>
      </c>
    </row>
    <row r="5352">
      <c r="A5352" t="inlineStr">
        <is>
          <t>8011003838110</t>
        </is>
      </c>
      <c r="B5352" t="inlineStr">
        <is>
          <t>Moss Key Rhino Moschino Fresh Pink Tester Eau De Toilette Spray 100ml</t>
        </is>
      </c>
      <c r="C5352" t="inlineStr">
        <is>
          <t>Eau De Toilette</t>
        </is>
      </c>
      <c r="D5352" t="inlineStr">
        <is>
          <t>Moschino</t>
        </is>
      </c>
      <c r="E5352" t="n">
        <v>24.42</v>
      </c>
      <c r="F5352" t="n">
        <v>1</v>
      </c>
      <c r="G5352" t="n">
        <v>9</v>
      </c>
      <c r="H5352" s="5">
        <f>HYPERLINK("https://api.qogita.com/variants/link/8011003838110/", "View Product")</f>
        <v/>
      </c>
    </row>
    <row r="5353">
      <c r="A5353" t="inlineStr">
        <is>
          <t>8011003838400</t>
        </is>
      </c>
      <c r="B5353" t="inlineStr">
        <is>
          <t>Moschino So Real Eau De Toilette 100ml Women Spray</t>
        </is>
      </c>
      <c r="C5353" t="inlineStr">
        <is>
          <t>Eau De Toilette</t>
        </is>
      </c>
      <c r="D5353" t="inlineStr">
        <is>
          <t>Moschino</t>
        </is>
      </c>
      <c r="E5353" t="n">
        <v>32.85</v>
      </c>
      <c r="F5353" t="n">
        <v>1</v>
      </c>
      <c r="G5353" t="n">
        <v>9</v>
      </c>
      <c r="H5353" s="5">
        <f>HYPERLINK("https://api.qogita.com/variants/link/8011003838400/", "View Product")</f>
        <v/>
      </c>
    </row>
    <row r="5354">
      <c r="A5354" t="inlineStr">
        <is>
          <t>8011003839285</t>
        </is>
      </c>
      <c r="B5354" t="inlineStr">
        <is>
          <t>Moschino Toy 2 Eau De Parfum 30ml For Women</t>
        </is>
      </c>
      <c r="C5354" t="inlineStr">
        <is>
          <t>Eau De Parfum</t>
        </is>
      </c>
      <c r="D5354" t="inlineStr">
        <is>
          <t>Moschino</t>
        </is>
      </c>
      <c r="E5354" t="n">
        <v>26.04</v>
      </c>
      <c r="F5354" t="n">
        <v>1</v>
      </c>
      <c r="G5354" t="n">
        <v>17</v>
      </c>
      <c r="H5354" s="5">
        <f>HYPERLINK("https://api.qogita.com/variants/link/8011003839285/", "View Product")</f>
        <v/>
      </c>
    </row>
    <row r="5355">
      <c r="A5355" t="inlineStr">
        <is>
          <t>8011003845354</t>
        </is>
      </c>
      <c r="B5355" t="inlineStr">
        <is>
          <t>Versace Eros Flame Eau de Parfum 100ml</t>
        </is>
      </c>
      <c r="C5355" t="inlineStr">
        <is>
          <t>Eau De Parfum</t>
        </is>
      </c>
      <c r="D5355" t="inlineStr">
        <is>
          <t>Versace</t>
        </is>
      </c>
      <c r="E5355" t="n">
        <v>52.88</v>
      </c>
      <c r="F5355" t="n">
        <v>1</v>
      </c>
      <c r="G5355" t="n">
        <v>7</v>
      </c>
      <c r="H5355" s="5">
        <f>HYPERLINK("https://api.qogita.com/variants/link/8011003845354/", "View Product")</f>
        <v/>
      </c>
    </row>
    <row r="5356">
      <c r="A5356" t="inlineStr">
        <is>
          <t>8011003845378</t>
        </is>
      </c>
      <c r="B5356" t="inlineStr">
        <is>
          <t>Versace Eros Flame Eau De Parfum 100ml</t>
        </is>
      </c>
      <c r="C5356" t="inlineStr">
        <is>
          <t>Eau De Parfum</t>
        </is>
      </c>
      <c r="D5356" t="inlineStr">
        <is>
          <t>Versace</t>
        </is>
      </c>
      <c r="E5356" t="n">
        <v>20.14</v>
      </c>
      <c r="F5356" t="n">
        <v>1</v>
      </c>
      <c r="G5356" t="n">
        <v>13</v>
      </c>
      <c r="H5356" s="5">
        <f>HYPERLINK("https://api.qogita.com/variants/link/8011003845378/", "View Product")</f>
        <v/>
      </c>
    </row>
    <row r="5357">
      <c r="A5357" t="inlineStr">
        <is>
          <t>8011003845705</t>
        </is>
      </c>
      <c r="B5357" t="inlineStr">
        <is>
          <t>Dsquared2 Wood For Him Eau De Toilette Spray 100ml</t>
        </is>
      </c>
      <c r="C5357" t="inlineStr">
        <is>
          <t>Eau De Toilette</t>
        </is>
      </c>
      <c r="D5357" t="inlineStr">
        <is>
          <t>Dsquared2</t>
        </is>
      </c>
      <c r="E5357" t="n">
        <v>32.75</v>
      </c>
      <c r="F5357" t="n">
        <v>1</v>
      </c>
      <c r="G5357" t="n">
        <v>154</v>
      </c>
      <c r="H5357" s="5">
        <f>HYPERLINK("https://api.qogita.com/variants/link/8011003845705/", "View Product")</f>
        <v/>
      </c>
    </row>
    <row r="5358">
      <c r="A5358" t="inlineStr">
        <is>
          <t>8011003848218</t>
        </is>
      </c>
      <c r="B5358" t="inlineStr">
        <is>
          <t>Versace Atelier Versace Eclat De Rose Eau De Parfum</t>
        </is>
      </c>
      <c r="C5358" t="inlineStr">
        <is>
          <t>Eau De Parfum</t>
        </is>
      </c>
      <c r="D5358" t="inlineStr">
        <is>
          <t>Versace</t>
        </is>
      </c>
      <c r="E5358" t="n">
        <v>138.34</v>
      </c>
      <c r="F5358" t="n">
        <v>1</v>
      </c>
      <c r="G5358" t="n">
        <v>8</v>
      </c>
      <c r="H5358" s="5">
        <f>HYPERLINK("https://api.qogita.com/variants/link/8011003848218/", "View Product")</f>
        <v/>
      </c>
    </row>
    <row r="5359">
      <c r="A5359" t="inlineStr">
        <is>
          <t>8011003852697</t>
        </is>
      </c>
      <c r="B5359" t="inlineStr">
        <is>
          <t>Red Wood by Dsquared2 for Women 3.4 Oz EDT Spray 100ml</t>
        </is>
      </c>
      <c r="C5359" t="inlineStr">
        <is>
          <t>Eau De Toilette</t>
        </is>
      </c>
      <c r="D5359" t="inlineStr">
        <is>
          <t>Dsquared2</t>
        </is>
      </c>
      <c r="E5359" t="n">
        <v>32.46</v>
      </c>
      <c r="F5359" t="n">
        <v>1</v>
      </c>
      <c r="G5359" t="n">
        <v>11</v>
      </c>
      <c r="H5359" s="5">
        <f>HYPERLINK("https://api.qogita.com/variants/link/8011003852697/", "View Product")</f>
        <v/>
      </c>
    </row>
    <row r="5360">
      <c r="A5360" t="inlineStr">
        <is>
          <t>8011003858538</t>
        </is>
      </c>
      <c r="B5360" t="inlineStr">
        <is>
          <t>Versace Dylan Turquoise Pour Femme Eau De Toilette 30ml Women's Fragrance</t>
        </is>
      </c>
      <c r="C5360" t="inlineStr">
        <is>
          <t>Eau De Toilette</t>
        </is>
      </c>
      <c r="D5360" t="inlineStr">
        <is>
          <t>Versace</t>
        </is>
      </c>
      <c r="E5360" t="n">
        <v>27.19</v>
      </c>
      <c r="F5360" t="n">
        <v>1</v>
      </c>
      <c r="G5360" t="n">
        <v>73</v>
      </c>
      <c r="H5360" s="5">
        <f>HYPERLINK("https://api.qogita.com/variants/link/8011003858538/", "View Product")</f>
        <v/>
      </c>
    </row>
    <row r="5361">
      <c r="A5361" t="inlineStr">
        <is>
          <t>8011003858569</t>
        </is>
      </c>
      <c r="B5361" t="inlineStr">
        <is>
          <t>Versace Pour Femme Dylan Turquoise 100ml Eau De Toilette Spray for Her</t>
        </is>
      </c>
      <c r="C5361" t="inlineStr">
        <is>
          <t>Eau De Toilette</t>
        </is>
      </c>
      <c r="D5361" t="inlineStr">
        <is>
          <t>Versace</t>
        </is>
      </c>
      <c r="E5361" t="n">
        <v>34.54</v>
      </c>
      <c r="F5361" t="n">
        <v>1</v>
      </c>
      <c r="G5361" t="n">
        <v>10</v>
      </c>
      <c r="H5361" s="5">
        <f>HYPERLINK("https://api.qogita.com/variants/link/8011003858569/", "View Product")</f>
        <v/>
      </c>
    </row>
    <row r="5362">
      <c r="A5362" t="inlineStr">
        <is>
          <t>8011003863778</t>
        </is>
      </c>
      <c r="B5362" t="inlineStr">
        <is>
          <t>Versace Atelier Encens Supreme EDP Spray 3.4 oz Fragrance</t>
        </is>
      </c>
      <c r="C5362" t="inlineStr">
        <is>
          <t>Eau De Parfum</t>
        </is>
      </c>
      <c r="D5362" t="inlineStr">
        <is>
          <t>Versace</t>
        </is>
      </c>
      <c r="E5362" t="n">
        <v>133.36</v>
      </c>
      <c r="F5362" t="n">
        <v>1</v>
      </c>
      <c r="G5362" t="n">
        <v>5</v>
      </c>
      <c r="H5362" s="5">
        <f>HYPERLINK("https://api.qogita.com/variants/link/8011003863778/", "View Product")</f>
        <v/>
      </c>
    </row>
    <row r="5363">
      <c r="A5363" t="inlineStr">
        <is>
          <t>8011003864065</t>
        </is>
      </c>
      <c r="B5363" t="inlineStr">
        <is>
          <t>Moschino Toy 2 Bubble Gum Eau De Toilette Spray 30ml</t>
        </is>
      </c>
      <c r="C5363" t="inlineStr">
        <is>
          <t>Eau De Toilette</t>
        </is>
      </c>
      <c r="D5363" t="inlineStr">
        <is>
          <t>Moschino</t>
        </is>
      </c>
      <c r="E5363" t="n">
        <v>25.46</v>
      </c>
      <c r="F5363" t="n">
        <v>1</v>
      </c>
      <c r="G5363" t="n">
        <v>29</v>
      </c>
      <c r="H5363" s="5">
        <f>HYPERLINK("https://api.qogita.com/variants/link/8011003864065/", "View Product")</f>
        <v/>
      </c>
    </row>
    <row r="5364">
      <c r="A5364" t="inlineStr">
        <is>
          <t>8011003865918</t>
        </is>
      </c>
      <c r="B5364" t="inlineStr">
        <is>
          <t>Atkinsons Eau De Parfum for Women 100ml Lavender On The Rocks</t>
        </is>
      </c>
      <c r="C5364" t="inlineStr">
        <is>
          <t>Eau De Parfum</t>
        </is>
      </c>
      <c r="D5364" t="inlineStr">
        <is>
          <t>Atkinson's</t>
        </is>
      </c>
      <c r="E5364" t="n">
        <v>76.62</v>
      </c>
      <c r="F5364" t="n">
        <v>1</v>
      </c>
      <c r="G5364" t="n">
        <v>15</v>
      </c>
      <c r="H5364" s="5">
        <f>HYPERLINK("https://api.qogita.com/variants/link/8011003865918/", "View Product")</f>
        <v/>
      </c>
    </row>
    <row r="5365">
      <c r="A5365" t="inlineStr">
        <is>
          <t>8011003866038</t>
        </is>
      </c>
      <c r="B5365" t="inlineStr">
        <is>
          <t>Atkinsons The Big Bad Cedar Eau De Parfum 100ml Unisex Spray</t>
        </is>
      </c>
      <c r="C5365" t="inlineStr">
        <is>
          <t>Eau De Parfum</t>
        </is>
      </c>
      <c r="D5365" t="inlineStr">
        <is>
          <t>Atkinsons</t>
        </is>
      </c>
      <c r="E5365" t="n">
        <v>88.54000000000001</v>
      </c>
      <c r="F5365" t="n">
        <v>1</v>
      </c>
      <c r="G5365" t="n">
        <v>6</v>
      </c>
      <c r="H5365" s="5">
        <f>HYPERLINK("https://api.qogita.com/variants/link/8011003866038/", "View Product")</f>
        <v/>
      </c>
    </row>
    <row r="5366">
      <c r="A5366" t="inlineStr">
        <is>
          <t>8011003866168</t>
        </is>
      </c>
      <c r="B5366" t="inlineStr">
        <is>
          <t>Atkinsons 1799 Mint &amp; Tonic Eau De Parfum 100ml</t>
        </is>
      </c>
      <c r="C5366" t="inlineStr">
        <is>
          <t>Eau De Parfum</t>
        </is>
      </c>
      <c r="D5366" t="inlineStr">
        <is>
          <t>Atkinson's</t>
        </is>
      </c>
      <c r="E5366" t="n">
        <v>83.53</v>
      </c>
      <c r="F5366" t="n">
        <v>1</v>
      </c>
      <c r="G5366" t="n">
        <v>36</v>
      </c>
      <c r="H5366" s="5">
        <f>HYPERLINK("https://api.qogita.com/variants/link/8011003866168/", "View Product")</f>
        <v/>
      </c>
    </row>
    <row r="5367">
      <c r="A5367" t="inlineStr">
        <is>
          <t>8011003867295</t>
        </is>
      </c>
      <c r="B5367" t="inlineStr">
        <is>
          <t>The Other Side of Oud by Atkinsons for Women 3.3 Oz EDP Spray</t>
        </is>
      </c>
      <c r="C5367" t="inlineStr">
        <is>
          <t>Eau De Parfum</t>
        </is>
      </c>
      <c r="D5367" t="inlineStr">
        <is>
          <t>Atkinson's</t>
        </is>
      </c>
      <c r="E5367" t="n">
        <v>79.31</v>
      </c>
      <c r="F5367" t="n">
        <v>1</v>
      </c>
      <c r="G5367" t="n">
        <v>12</v>
      </c>
      <c r="H5367" s="5">
        <f>HYPERLINK("https://api.qogita.com/variants/link/8011003867295/", "View Product")</f>
        <v/>
      </c>
    </row>
    <row r="5368">
      <c r="A5368" t="inlineStr">
        <is>
          <t>8011003873760</t>
        </is>
      </c>
      <c r="B5368" t="inlineStr">
        <is>
          <t>Moschino Toy 2 Bubble Gum Eau de Toilette Women's Gift Set Spray 100ml</t>
        </is>
      </c>
      <c r="C5368" t="inlineStr">
        <is>
          <t>Fragrance Sets</t>
        </is>
      </c>
      <c r="D5368" t="inlineStr">
        <is>
          <t>Moschino</t>
        </is>
      </c>
      <c r="E5368" t="n">
        <v>64.31999999999999</v>
      </c>
      <c r="F5368" t="n">
        <v>1</v>
      </c>
      <c r="G5368" t="n">
        <v>23</v>
      </c>
      <c r="H5368" s="5">
        <f>HYPERLINK("https://api.qogita.com/variants/link/8011003873760/", "View Product")</f>
        <v/>
      </c>
    </row>
    <row r="5369">
      <c r="A5369" t="inlineStr">
        <is>
          <t>8011003873821</t>
        </is>
      </c>
      <c r="B5369" t="inlineStr">
        <is>
          <t>Dsquared2 Green Wood Set 100ml Eau de Toilette &amp; 150ml Shower Gel</t>
        </is>
      </c>
      <c r="C5369" t="inlineStr">
        <is>
          <t>Fragrance Sets</t>
        </is>
      </c>
      <c r="D5369" t="inlineStr">
        <is>
          <t>Dsquared2</t>
        </is>
      </c>
      <c r="E5369" t="n">
        <v>52.26</v>
      </c>
      <c r="F5369" t="n">
        <v>1</v>
      </c>
      <c r="G5369" t="n">
        <v>1</v>
      </c>
      <c r="H5369" s="5">
        <f>HYPERLINK("https://api.qogita.com/variants/link/8011003873821/", "View Product")</f>
        <v/>
      </c>
    </row>
    <row r="5370">
      <c r="A5370" t="inlineStr">
        <is>
          <t>8011003876273</t>
        </is>
      </c>
      <c r="B5370" t="inlineStr">
        <is>
          <t>Versace Dylan Purple Eau De Parfum 50ml For Women</t>
        </is>
      </c>
      <c r="C5370" t="inlineStr">
        <is>
          <t>Eau De Parfum</t>
        </is>
      </c>
      <c r="D5370" t="inlineStr">
        <is>
          <t>Versace</t>
        </is>
      </c>
      <c r="E5370" t="n">
        <v>52.26</v>
      </c>
      <c r="F5370" t="n">
        <v>1</v>
      </c>
      <c r="G5370" t="n">
        <v>10</v>
      </c>
      <c r="H5370" s="5">
        <f>HYPERLINK("https://api.qogita.com/variants/link/8011003876273/", "View Product")</f>
        <v/>
      </c>
    </row>
    <row r="5371">
      <c r="A5371" t="inlineStr">
        <is>
          <t>8011003877973</t>
        </is>
      </c>
      <c r="B5371" t="inlineStr">
        <is>
          <t>Atkinsons 1799 James Eau De Parfum 100ml</t>
        </is>
      </c>
      <c r="C5371" t="inlineStr">
        <is>
          <t>Eau De Parfum</t>
        </is>
      </c>
      <c r="D5371" t="inlineStr">
        <is>
          <t>Atkinson's</t>
        </is>
      </c>
      <c r="E5371" t="n">
        <v>75.20999999999999</v>
      </c>
      <c r="F5371" t="n">
        <v>1</v>
      </c>
      <c r="G5371" t="n">
        <v>2</v>
      </c>
      <c r="H5371" s="5">
        <f>HYPERLINK("https://api.qogita.com/variants/link/8011003877973/", "View Product")</f>
        <v/>
      </c>
    </row>
    <row r="5372">
      <c r="A5372" t="inlineStr">
        <is>
          <t>8011003878604</t>
        </is>
      </c>
      <c r="B5372" t="inlineStr">
        <is>
          <t>Moschino Toy 2 Pearl Eau De Parfum Spray 50ml</t>
        </is>
      </c>
      <c r="C5372" t="inlineStr">
        <is>
          <t>Eau De Parfum</t>
        </is>
      </c>
      <c r="D5372" t="inlineStr">
        <is>
          <t>Moschino</t>
        </is>
      </c>
      <c r="E5372" t="n">
        <v>36.26</v>
      </c>
      <c r="F5372" t="n">
        <v>1</v>
      </c>
      <c r="G5372" t="n">
        <v>10</v>
      </c>
      <c r="H5372" s="5">
        <f>HYPERLINK("https://api.qogita.com/variants/link/8011003878604/", "View Product")</f>
        <v/>
      </c>
    </row>
    <row r="5373">
      <c r="A5373" t="inlineStr">
        <is>
          <t>8011003889105</t>
        </is>
      </c>
      <c r="B5373" t="inlineStr">
        <is>
          <t>Versace Eros Pour Femme Gift Set - Includes 100ml Edp Spray, 5ml Edp, 100ml Shower Gel, And 100ml Body Lotion</t>
        </is>
      </c>
      <c r="C5373" t="inlineStr">
        <is>
          <t>Fragrance Sets</t>
        </is>
      </c>
      <c r="D5373" t="inlineStr">
        <is>
          <t>Versace</t>
        </is>
      </c>
      <c r="E5373" t="n">
        <v>81.58</v>
      </c>
      <c r="F5373" t="n">
        <v>1</v>
      </c>
      <c r="G5373" t="n">
        <v>8</v>
      </c>
      <c r="H5373" s="5">
        <f>HYPERLINK("https://api.qogita.com/variants/link/8011003889105/", "View Product")</f>
        <v/>
      </c>
    </row>
    <row r="5374">
      <c r="A5374" t="inlineStr">
        <is>
          <t>8011003889433</t>
        </is>
      </c>
      <c r="B5374" t="inlineStr">
        <is>
          <t>Moschino Toy Boy Men's Perfume Gift Set 3 Pcs - 3.4 Oz EDP Spray + 3.4 Oz Shower</t>
        </is>
      </c>
      <c r="C5374" t="inlineStr">
        <is>
          <t>Fragrance Sets</t>
        </is>
      </c>
      <c r="D5374" t="inlineStr">
        <is>
          <t>Moschino</t>
        </is>
      </c>
      <c r="E5374" t="n">
        <v>51.03</v>
      </c>
      <c r="F5374" t="n">
        <v>1</v>
      </c>
      <c r="G5374" t="n">
        <v>9</v>
      </c>
      <c r="H5374" s="5">
        <f>HYPERLINK("https://api.qogita.com/variants/link/8011003889433/", "View Product")</f>
        <v/>
      </c>
    </row>
    <row r="5375">
      <c r="A5375" t="inlineStr">
        <is>
          <t>8011003889440</t>
        </is>
      </c>
      <c r="B5375" t="inlineStr">
        <is>
          <t>Moschino Toy 2 Bubble Gum Set - 50ml Edt Spray, 50ml Body Lotion, 50ml Shower Gel</t>
        </is>
      </c>
      <c r="C5375" t="inlineStr">
        <is>
          <t>Fragrance Sets</t>
        </is>
      </c>
      <c r="D5375" t="inlineStr">
        <is>
          <t>Moschino</t>
        </is>
      </c>
      <c r="E5375" t="n">
        <v>38.26</v>
      </c>
      <c r="F5375" t="n">
        <v>1</v>
      </c>
      <c r="G5375" t="n">
        <v>25</v>
      </c>
      <c r="H5375" s="5">
        <f>HYPERLINK("https://api.qogita.com/variants/link/8011003889440/", "View Product")</f>
        <v/>
      </c>
    </row>
    <row r="5376">
      <c r="A5376" t="inlineStr">
        <is>
          <t>8011003890798</t>
        </is>
      </c>
      <c r="B5376" t="inlineStr">
        <is>
          <t>Versace Eros Energy Eau De Parfum Spray 50ml</t>
        </is>
      </c>
      <c r="C5376" t="inlineStr">
        <is>
          <t>Eau De Parfum</t>
        </is>
      </c>
      <c r="D5376" t="inlineStr">
        <is>
          <t>Versace</t>
        </is>
      </c>
      <c r="E5376" t="n">
        <v>46.96</v>
      </c>
      <c r="F5376" t="n">
        <v>1</v>
      </c>
      <c r="G5376" t="n">
        <v>29</v>
      </c>
      <c r="H5376" s="5">
        <f>HYPERLINK("https://api.qogita.com/variants/link/8011003890798/", "View Product")</f>
        <v/>
      </c>
    </row>
    <row r="5377">
      <c r="A5377" t="inlineStr">
        <is>
          <t>8011003890811</t>
        </is>
      </c>
      <c r="B5377" t="inlineStr">
        <is>
          <t>Versace Eros Energy Eau De Parfum 200ml</t>
        </is>
      </c>
      <c r="C5377" t="inlineStr">
        <is>
          <t>Eau De Parfum</t>
        </is>
      </c>
      <c r="D5377" t="inlineStr">
        <is>
          <t>Versace</t>
        </is>
      </c>
      <c r="E5377" t="n">
        <v>87.92</v>
      </c>
      <c r="F5377" t="n">
        <v>1</v>
      </c>
      <c r="G5377" t="n">
        <v>54</v>
      </c>
      <c r="H5377" s="5">
        <f>HYPERLINK("https://api.qogita.com/variants/link/8011003890811/", "View Product")</f>
        <v/>
      </c>
    </row>
    <row r="5378">
      <c r="A5378" t="inlineStr">
        <is>
          <t>8011003891498</t>
        </is>
      </c>
      <c r="B5378" t="inlineStr">
        <is>
          <t>Versace Bright Crystal Noir Parfum 50ml Women's Perfume</t>
        </is>
      </c>
      <c r="C5378" t="inlineStr">
        <is>
          <t>Eau De Parfum</t>
        </is>
      </c>
      <c r="D5378" t="inlineStr">
        <is>
          <t>Versace</t>
        </is>
      </c>
      <c r="E5378" t="n">
        <v>52.97</v>
      </c>
      <c r="F5378" t="n">
        <v>1</v>
      </c>
      <c r="G5378" t="n">
        <v>23</v>
      </c>
      <c r="H5378" s="5">
        <f>HYPERLINK("https://api.qogita.com/variants/link/8011003891498/", "View Product")</f>
        <v/>
      </c>
    </row>
    <row r="5379">
      <c r="A5379" t="inlineStr">
        <is>
          <t>8011003893317</t>
        </is>
      </c>
      <c r="B5379" t="inlineStr">
        <is>
          <t>Versace Crystal Noir 90ml EDP Spray Gift Set</t>
        </is>
      </c>
      <c r="C5379" t="inlineStr">
        <is>
          <t>Fragrance Sets</t>
        </is>
      </c>
      <c r="D5379" t="inlineStr">
        <is>
          <t>Versace</t>
        </is>
      </c>
      <c r="E5379" t="n">
        <v>67.13</v>
      </c>
      <c r="F5379" t="n">
        <v>1</v>
      </c>
      <c r="G5379" t="n">
        <v>16</v>
      </c>
      <c r="H5379" s="5">
        <f>HYPERLINK("https://api.qogita.com/variants/link/8011003893317/", "View Product")</f>
        <v/>
      </c>
    </row>
    <row r="5380">
      <c r="A5380" t="inlineStr">
        <is>
          <t>8011003893348</t>
        </is>
      </c>
      <c r="B5380" t="inlineStr">
        <is>
          <t>Versace Dylan Blue Pour Femme Fragrance Set</t>
        </is>
      </c>
      <c r="C5380" t="inlineStr">
        <is>
          <t>Fragrance Sets</t>
        </is>
      </c>
      <c r="D5380" t="inlineStr">
        <is>
          <t>Versace</t>
        </is>
      </c>
      <c r="E5380" t="n">
        <v>54.14</v>
      </c>
      <c r="F5380" t="n">
        <v>1</v>
      </c>
      <c r="G5380" t="n">
        <v>51</v>
      </c>
      <c r="H5380" s="5">
        <f>HYPERLINK("https://api.qogita.com/variants/link/8011003893348/", "View Product")</f>
        <v/>
      </c>
    </row>
    <row r="5381">
      <c r="A5381" t="inlineStr">
        <is>
          <t>8011003893485</t>
        </is>
      </c>
      <c r="B5381" t="inlineStr">
        <is>
          <t>Versace Pour Homme Gift Set By Versace</t>
        </is>
      </c>
      <c r="C5381" t="inlineStr">
        <is>
          <t>Fragrance Sets</t>
        </is>
      </c>
      <c r="D5381" t="inlineStr">
        <is>
          <t>Versace</t>
        </is>
      </c>
      <c r="E5381" t="n">
        <v>48.24</v>
      </c>
      <c r="F5381" t="n">
        <v>1</v>
      </c>
      <c r="G5381" t="n">
        <v>22</v>
      </c>
      <c r="H5381" s="5">
        <f>HYPERLINK("https://api.qogita.com/variants/link/8011003893485/", "View Product")</f>
        <v/>
      </c>
    </row>
    <row r="5382">
      <c r="A5382" t="inlineStr">
        <is>
          <t>8011003893867</t>
        </is>
      </c>
      <c r="B5382" t="inlineStr">
        <is>
          <t>Moschino Toy 2 Pearl Eau De Parfum Spray 100ml Set 4 Pieces</t>
        </is>
      </c>
      <c r="C5382" t="inlineStr">
        <is>
          <t>Fragrance Sets</t>
        </is>
      </c>
      <c r="D5382" t="inlineStr">
        <is>
          <t>Moschino</t>
        </is>
      </c>
      <c r="E5382" t="n">
        <v>59.06</v>
      </c>
      <c r="F5382" t="n">
        <v>1</v>
      </c>
      <c r="G5382" t="n">
        <v>23</v>
      </c>
      <c r="H5382" s="5">
        <f>HYPERLINK("https://api.qogita.com/variants/link/8011003893867/", "View Product")</f>
        <v/>
      </c>
    </row>
    <row r="5383">
      <c r="A5383" t="inlineStr">
        <is>
          <t>8011003899784</t>
        </is>
      </c>
      <c r="B5383" t="inlineStr">
        <is>
          <t>Versace Bright Crystal Women Eau De Toilette Spray 50ml Set With Body Lotion And Shower Gel</t>
        </is>
      </c>
      <c r="C5383" t="inlineStr">
        <is>
          <t>Fragrance Sets</t>
        </is>
      </c>
      <c r="D5383" t="inlineStr">
        <is>
          <t>Versace</t>
        </is>
      </c>
      <c r="E5383" t="n">
        <v>48.24</v>
      </c>
      <c r="F5383" t="n">
        <v>1</v>
      </c>
      <c r="G5383" t="n">
        <v>29</v>
      </c>
      <c r="H5383" s="5">
        <f>HYPERLINK("https://api.qogita.com/variants/link/8011003899784/", "View Product")</f>
        <v/>
      </c>
    </row>
    <row r="5384">
      <c r="A5384" t="inlineStr">
        <is>
          <t>8011003899999</t>
        </is>
      </c>
      <c r="B5384" t="inlineStr">
        <is>
          <t>Versace Dylan Blue Eau De Toilette Spray 100ml Shower Gel 100ml Set</t>
        </is>
      </c>
      <c r="C5384" t="inlineStr">
        <is>
          <t>Fragrance Sets</t>
        </is>
      </c>
      <c r="D5384" t="inlineStr">
        <is>
          <t>Versace</t>
        </is>
      </c>
      <c r="E5384" t="n">
        <v>53.46</v>
      </c>
      <c r="F5384" t="n">
        <v>1</v>
      </c>
      <c r="G5384" t="n">
        <v>11</v>
      </c>
      <c r="H5384" s="5">
        <f>HYPERLINK("https://api.qogita.com/variants/link/8011003899999/", "View Product")</f>
        <v/>
      </c>
    </row>
    <row r="5385">
      <c r="A5385" t="inlineStr">
        <is>
          <t>8011003991617</t>
        </is>
      </c>
      <c r="B5385" t="inlineStr">
        <is>
          <t>Moschino Funny Eau De Toilette Spray 100ml</t>
        </is>
      </c>
      <c r="C5385" t="inlineStr">
        <is>
          <t>Eau De Toilette</t>
        </is>
      </c>
      <c r="D5385" t="inlineStr">
        <is>
          <t>Moschino</t>
        </is>
      </c>
      <c r="E5385" t="n">
        <v>21.49</v>
      </c>
      <c r="F5385" t="n">
        <v>1</v>
      </c>
      <c r="G5385" t="n">
        <v>449</v>
      </c>
      <c r="H5385" s="5">
        <f>HYPERLINK("https://api.qogita.com/variants/link/8011003991617/", "View Product")</f>
        <v/>
      </c>
    </row>
    <row r="5386">
      <c r="A5386" t="inlineStr">
        <is>
          <t>8011003993840</t>
        </is>
      </c>
      <c r="B5386" t="inlineStr">
        <is>
          <t>Versace Bright Crystal Perfumed Bath &amp; Shower Gel 200ml</t>
        </is>
      </c>
      <c r="C5386" t="inlineStr">
        <is>
          <t>Shower Gel</t>
        </is>
      </c>
      <c r="D5386" t="inlineStr">
        <is>
          <t>Versace</t>
        </is>
      </c>
      <c r="E5386" t="n">
        <v>15.09</v>
      </c>
      <c r="F5386" t="n">
        <v>1</v>
      </c>
      <c r="G5386" t="n">
        <v>43</v>
      </c>
      <c r="H5386" s="5">
        <f>HYPERLINK("https://api.qogita.com/variants/link/8011003993840/", "View Product")</f>
        <v/>
      </c>
    </row>
    <row r="5387">
      <c r="A5387" t="inlineStr">
        <is>
          <t>8011003995967</t>
        </is>
      </c>
      <c r="B5387" t="inlineStr">
        <is>
          <t>Versace Pour Homme Eau De Toilette 100ml Men's Fragrance</t>
        </is>
      </c>
      <c r="C5387" t="inlineStr">
        <is>
          <t>Eau De Toilette</t>
        </is>
      </c>
      <c r="D5387" t="inlineStr">
        <is>
          <t>Versace</t>
        </is>
      </c>
      <c r="E5387" t="n">
        <v>42.19</v>
      </c>
      <c r="F5387" t="n">
        <v>1</v>
      </c>
      <c r="G5387" t="n">
        <v>156</v>
      </c>
      <c r="H5387" s="5">
        <f>HYPERLINK("https://api.qogita.com/variants/link/8011003995967/", "View Product")</f>
        <v/>
      </c>
    </row>
    <row r="5388">
      <c r="A5388" t="inlineStr">
        <is>
          <t>8011003997022</t>
        </is>
      </c>
      <c r="B5388" t="inlineStr">
        <is>
          <t>Versace Versense Eau De Toilette 100ml For Women</t>
        </is>
      </c>
      <c r="C5388" t="inlineStr">
        <is>
          <t>Eau De Toilette</t>
        </is>
      </c>
      <c r="D5388" t="inlineStr">
        <is>
          <t>Versace</t>
        </is>
      </c>
      <c r="E5388" t="n">
        <v>41.92</v>
      </c>
      <c r="F5388" t="n">
        <v>1</v>
      </c>
      <c r="G5388" t="n">
        <v>2292</v>
      </c>
      <c r="H5388" s="5">
        <f>HYPERLINK("https://api.qogita.com/variants/link/8011003997022/", "View Product")</f>
        <v/>
      </c>
    </row>
    <row r="5389">
      <c r="A5389" t="inlineStr">
        <is>
          <t>8011530000127</t>
        </is>
      </c>
      <c r="B5389" t="inlineStr">
        <is>
          <t>Laura Biagiotti Roma Uomo Eau De Toilette 75ml Men Spray</t>
        </is>
      </c>
      <c r="C5389" t="inlineStr">
        <is>
          <t>Eau De Toilette</t>
        </is>
      </c>
      <c r="D5389" t="inlineStr">
        <is>
          <t>Laura Biagiotti</t>
        </is>
      </c>
      <c r="E5389" t="n">
        <v>21.82</v>
      </c>
      <c r="F5389" t="n">
        <v>1</v>
      </c>
      <c r="G5389" t="n">
        <v>57</v>
      </c>
      <c r="H5389" s="5">
        <f>HYPERLINK("https://api.qogita.com/variants/link/8011530000127/", "View Product")</f>
        <v/>
      </c>
    </row>
    <row r="5390">
      <c r="A5390" t="inlineStr">
        <is>
          <t>8011530015039</t>
        </is>
      </c>
      <c r="B5390" t="inlineStr">
        <is>
          <t>Trussardi Donna Eau De Toilette 30ml</t>
        </is>
      </c>
      <c r="C5390" t="inlineStr">
        <is>
          <t>Eau De Toilette</t>
        </is>
      </c>
      <c r="D5390" t="inlineStr">
        <is>
          <t>Trussardi</t>
        </is>
      </c>
      <c r="E5390" t="n">
        <v>19.19</v>
      </c>
      <c r="F5390" t="n">
        <v>1</v>
      </c>
      <c r="G5390" t="n">
        <v>41</v>
      </c>
      <c r="H5390" s="5">
        <f>HYPERLINK("https://api.qogita.com/variants/link/8011530015039/", "View Product")</f>
        <v/>
      </c>
    </row>
    <row r="5391">
      <c r="A5391" t="inlineStr">
        <is>
          <t>8011530015060</t>
        </is>
      </c>
      <c r="B5391" t="inlineStr">
        <is>
          <t>Trussardi Donna Eau De Toilette 100ml For Women</t>
        </is>
      </c>
      <c r="C5391" t="inlineStr">
        <is>
          <t>Eau De Toilette</t>
        </is>
      </c>
      <c r="D5391" t="inlineStr">
        <is>
          <t>Trussardi</t>
        </is>
      </c>
      <c r="E5391" t="n">
        <v>32.77</v>
      </c>
      <c r="F5391" t="n">
        <v>1</v>
      </c>
      <c r="G5391" t="n">
        <v>7</v>
      </c>
      <c r="H5391" s="5">
        <f>HYPERLINK("https://api.qogita.com/variants/link/8011530015060/", "View Product")</f>
        <v/>
      </c>
    </row>
    <row r="5392">
      <c r="A5392" t="inlineStr">
        <is>
          <t>8011530805913</t>
        </is>
      </c>
      <c r="B5392" t="inlineStr">
        <is>
          <t>Trussardi Sound of Don EDP 50ml</t>
        </is>
      </c>
      <c r="C5392" t="inlineStr">
        <is>
          <t>Eau De Parfum</t>
        </is>
      </c>
      <c r="D5392" t="inlineStr">
        <is>
          <t>Trussardi</t>
        </is>
      </c>
      <c r="E5392" t="n">
        <v>24.68</v>
      </c>
      <c r="F5392" t="n">
        <v>1</v>
      </c>
      <c r="G5392" t="n">
        <v>17</v>
      </c>
      <c r="H5392" s="5">
        <f>HYPERLINK("https://api.qogita.com/variants/link/8011530805913/", "View Product")</f>
        <v/>
      </c>
    </row>
    <row r="5393">
      <c r="A5393" t="inlineStr">
        <is>
          <t>8011530810030</t>
        </is>
      </c>
      <c r="B5393" t="inlineStr">
        <is>
          <t>Trussardi 1911 Uomo After Shave Lotion 100ml</t>
        </is>
      </c>
      <c r="C5393" t="inlineStr">
        <is>
          <t>Aftershave</t>
        </is>
      </c>
      <c r="D5393" t="inlineStr">
        <is>
          <t>Trussardi</t>
        </is>
      </c>
      <c r="E5393" t="n">
        <v>20.96</v>
      </c>
      <c r="F5393" t="n">
        <v>1</v>
      </c>
      <c r="G5393" t="n">
        <v>5</v>
      </c>
      <c r="H5393" s="5">
        <f>HYPERLINK("https://api.qogita.com/variants/link/8011530810030/", "View Product")</f>
        <v/>
      </c>
    </row>
    <row r="5394">
      <c r="A5394" t="inlineStr">
        <is>
          <t>8011530840020</t>
        </is>
      </c>
      <c r="B5394" t="inlineStr">
        <is>
          <t>Trussardi Delicate Rose Eau De Toilette Spray for Women 100ml</t>
        </is>
      </c>
      <c r="C5394" t="inlineStr">
        <is>
          <t>Eau De Toilette</t>
        </is>
      </c>
      <c r="D5394" t="inlineStr">
        <is>
          <t>Trussardi</t>
        </is>
      </c>
      <c r="E5394" t="n">
        <v>36.91</v>
      </c>
      <c r="F5394" t="n">
        <v>1</v>
      </c>
      <c r="G5394" t="n">
        <v>82</v>
      </c>
      <c r="H5394" s="5">
        <f>HYPERLINK("https://api.qogita.com/variants/link/8011530840020/", "View Product")</f>
        <v/>
      </c>
    </row>
    <row r="5395">
      <c r="A5395" t="inlineStr">
        <is>
          <t>8011530850029</t>
        </is>
      </c>
      <c r="B5395" t="inlineStr">
        <is>
          <t>Trussardi My Name Eau De Parfum 100ml For Women</t>
        </is>
      </c>
      <c r="C5395" t="inlineStr">
        <is>
          <t>Eau De Parfum</t>
        </is>
      </c>
      <c r="D5395" t="inlineStr">
        <is>
          <t>Trussardi</t>
        </is>
      </c>
      <c r="E5395" t="n">
        <v>40.36</v>
      </c>
      <c r="F5395" t="n">
        <v>1</v>
      </c>
      <c r="G5395" t="n">
        <v>19</v>
      </c>
      <c r="H5395" s="5">
        <f>HYPERLINK("https://api.qogita.com/variants/link/8011530850029/", "View Product")</f>
        <v/>
      </c>
    </row>
    <row r="5396">
      <c r="A5396" t="inlineStr">
        <is>
          <t>8011607178292</t>
        </is>
      </c>
      <c r="B5396" t="inlineStr">
        <is>
          <t>Pupa Miss Pupa Ultra Brilliant Lipstick - Shade 201, 2.4ml</t>
        </is>
      </c>
      <c r="C5396" t="inlineStr">
        <is>
          <t>Lipstick</t>
        </is>
      </c>
      <c r="D5396" t="inlineStr">
        <is>
          <t>Pupa</t>
        </is>
      </c>
      <c r="E5396" t="n">
        <v>11.13</v>
      </c>
      <c r="F5396" t="n">
        <v>1</v>
      </c>
      <c r="G5396" t="n">
        <v>4</v>
      </c>
      <c r="H5396" s="5">
        <f>HYPERLINK("https://api.qogita.com/variants/link/8011607178292/", "View Product")</f>
        <v/>
      </c>
    </row>
    <row r="5397">
      <c r="A5397" t="inlineStr">
        <is>
          <t>8011607178506</t>
        </is>
      </c>
      <c r="B5397" t="inlineStr">
        <is>
          <t>Pupa Miss Pupa Ultra Brilliant Lipstick 602 - 2.4ml</t>
        </is>
      </c>
      <c r="C5397" t="inlineStr">
        <is>
          <t>Lipstick</t>
        </is>
      </c>
      <c r="D5397" t="inlineStr">
        <is>
          <t>Pupa</t>
        </is>
      </c>
      <c r="E5397" t="n">
        <v>11.13</v>
      </c>
      <c r="F5397" t="n">
        <v>1</v>
      </c>
      <c r="G5397" t="n">
        <v>2</v>
      </c>
      <c r="H5397" s="5">
        <f>HYPERLINK("https://api.qogita.com/variants/link/8011607178506/", "View Product")</f>
        <v/>
      </c>
    </row>
    <row r="5398">
      <c r="A5398" t="inlineStr">
        <is>
          <t>8011607179138</t>
        </is>
      </c>
      <c r="B5398" t="inlineStr">
        <is>
          <t>Pupa Vamp Mascara - 100 Black, 9ml</t>
        </is>
      </c>
      <c r="C5398" t="inlineStr">
        <is>
          <t>Mascara</t>
        </is>
      </c>
      <c r="D5398" t="inlineStr">
        <is>
          <t>Pupa</t>
        </is>
      </c>
      <c r="E5398" t="n">
        <v>8.9</v>
      </c>
      <c r="F5398" t="n">
        <v>1</v>
      </c>
      <c r="G5398" t="n">
        <v>14</v>
      </c>
      <c r="H5398" s="5">
        <f>HYPERLINK("https://api.qogita.com/variants/link/8011607179138/", "View Product")</f>
        <v/>
      </c>
    </row>
    <row r="5399">
      <c r="A5399" t="inlineStr">
        <is>
          <t>8011607179145</t>
        </is>
      </c>
      <c r="B5399" t="inlineStr">
        <is>
          <t>Pupa Vamp Mascara 200 Chocolate Brown 9ml</t>
        </is>
      </c>
      <c r="C5399" t="inlineStr">
        <is>
          <t>Mascara</t>
        </is>
      </c>
      <c r="D5399" t="inlineStr">
        <is>
          <t>Pupa</t>
        </is>
      </c>
      <c r="E5399" t="n">
        <v>10.55</v>
      </c>
      <c r="F5399" t="n">
        <v>1</v>
      </c>
      <c r="G5399" t="n">
        <v>39</v>
      </c>
      <c r="H5399" s="5">
        <f>HYPERLINK("https://api.qogita.com/variants/link/8011607179145/", "View Product")</f>
        <v/>
      </c>
    </row>
    <row r="5400">
      <c r="A5400" t="inlineStr">
        <is>
          <t>8011607189021</t>
        </is>
      </c>
      <c r="B5400" t="inlineStr">
        <is>
          <t>Pupa Eye Blending Brush</t>
        </is>
      </c>
      <c r="C5400" t="inlineStr">
        <is>
          <t>Eyeshadow Brushes</t>
        </is>
      </c>
      <c r="D5400" t="inlineStr">
        <is>
          <t>Pupa</t>
        </is>
      </c>
      <c r="E5400" t="n">
        <v>10.65</v>
      </c>
      <c r="F5400" t="n">
        <v>1</v>
      </c>
      <c r="G5400" t="n">
        <v>5</v>
      </c>
      <c r="H5400" s="5">
        <f>HYPERLINK("https://api.qogita.com/variants/link/8011607189021/", "View Product")</f>
        <v/>
      </c>
    </row>
    <row r="5401">
      <c r="A5401" t="inlineStr">
        <is>
          <t>8011607189076</t>
        </is>
      </c>
      <c r="B5401" t="inlineStr">
        <is>
          <t>Pupa Active Light Perfect Skin Foundation Spf10 Oil-Free Face Foundation 010 30ml</t>
        </is>
      </c>
      <c r="C5401" t="inlineStr">
        <is>
          <t>Foundation</t>
        </is>
      </c>
      <c r="D5401" t="inlineStr">
        <is>
          <t>Pupa</t>
        </is>
      </c>
      <c r="E5401" t="n">
        <v>16.27</v>
      </c>
      <c r="F5401" t="n">
        <v>1</v>
      </c>
      <c r="G5401" t="n">
        <v>2</v>
      </c>
      <c r="H5401" s="5">
        <f>HYPERLINK("https://api.qogita.com/variants/link/8011607189076/", "View Product")</f>
        <v/>
      </c>
    </row>
    <row r="5402">
      <c r="A5402" t="inlineStr">
        <is>
          <t>8011607196173</t>
        </is>
      </c>
      <c r="B5402" t="inlineStr">
        <is>
          <t>Pupa Active Light Perfect Skin Foundation Spf10 Oil-Free Foundation For Face 002 30ml</t>
        </is>
      </c>
      <c r="C5402" t="inlineStr">
        <is>
          <t>Foundation</t>
        </is>
      </c>
      <c r="D5402" t="inlineStr">
        <is>
          <t>Pupa</t>
        </is>
      </c>
      <c r="E5402" t="n">
        <v>16.89</v>
      </c>
      <c r="F5402" t="n">
        <v>1</v>
      </c>
      <c r="G5402" t="n">
        <v>5</v>
      </c>
      <c r="H5402" s="5">
        <f>HYPERLINK("https://api.qogita.com/variants/link/8011607196173/", "View Product")</f>
        <v/>
      </c>
    </row>
    <row r="5403">
      <c r="A5403" t="inlineStr">
        <is>
          <t>8011607205905</t>
        </is>
      </c>
      <c r="B5403" t="inlineStr">
        <is>
          <t>Pupa Vamp! Definition Liner Eyeliner With Brush 200 Brown 2.5ml</t>
        </is>
      </c>
      <c r="C5403" t="inlineStr">
        <is>
          <t>Eyeliner</t>
        </is>
      </c>
      <c r="D5403" t="inlineStr">
        <is>
          <t>Pupa</t>
        </is>
      </c>
      <c r="E5403" t="n">
        <v>10.48</v>
      </c>
      <c r="F5403" t="n">
        <v>1</v>
      </c>
      <c r="G5403" t="n">
        <v>3</v>
      </c>
      <c r="H5403" s="5">
        <f>HYPERLINK("https://api.qogita.com/variants/link/8011607205905/", "View Product")</f>
        <v/>
      </c>
    </row>
    <row r="5404">
      <c r="A5404" t="inlineStr">
        <is>
          <t>8011607222186</t>
        </is>
      </c>
      <c r="B5404" t="inlineStr">
        <is>
          <t>Pupa Made To Last Total Comfort Foundation Spf10 Long-Lasting Mattifying Foundation 050 30ml</t>
        </is>
      </c>
      <c r="C5404" t="inlineStr">
        <is>
          <t>Foundation</t>
        </is>
      </c>
      <c r="D5404" t="inlineStr">
        <is>
          <t>Pupa</t>
        </is>
      </c>
      <c r="E5404" t="n">
        <v>14.34</v>
      </c>
      <c r="F5404" t="n">
        <v>1</v>
      </c>
      <c r="G5404" t="n">
        <v>3</v>
      </c>
      <c r="H5404" s="5">
        <f>HYPERLINK("https://api.qogita.com/variants/link/8011607222186/", "View Product")</f>
        <v/>
      </c>
    </row>
    <row r="5405">
      <c r="A5405" t="inlineStr">
        <is>
          <t>8011607222421</t>
        </is>
      </c>
      <c r="B5405" t="inlineStr">
        <is>
          <t>Pupa Like A Doll Perfecting Make-Up Fluid Spf15 Light Foundation Enhancer 040 30ml</t>
        </is>
      </c>
      <c r="C5405" t="inlineStr">
        <is>
          <t>Foundation</t>
        </is>
      </c>
      <c r="D5405" t="inlineStr">
        <is>
          <t>Pupa</t>
        </is>
      </c>
      <c r="E5405" t="n">
        <v>14.06</v>
      </c>
      <c r="F5405" t="n">
        <v>1</v>
      </c>
      <c r="G5405" t="n">
        <v>5</v>
      </c>
      <c r="H5405" s="5">
        <f>HYPERLINK("https://api.qogita.com/variants/link/8011607222421/", "View Product")</f>
        <v/>
      </c>
    </row>
    <row r="5406">
      <c r="A5406" t="inlineStr">
        <is>
          <t>8011607254248</t>
        </is>
      </c>
      <c r="B5406" t="inlineStr">
        <is>
          <t>Pupa Miss Pupa Gloss Ultra Shine Gloss Instant Volume Effect Lip Gloss 300 5ml</t>
        </is>
      </c>
      <c r="C5406" t="inlineStr">
        <is>
          <t>Lip Gloss</t>
        </is>
      </c>
      <c r="D5406" t="inlineStr">
        <is>
          <t>Pupa</t>
        </is>
      </c>
      <c r="E5406" t="n">
        <v>11.44</v>
      </c>
      <c r="F5406" t="n">
        <v>1</v>
      </c>
      <c r="G5406" t="n">
        <v>4</v>
      </c>
      <c r="H5406" s="5">
        <f>HYPERLINK("https://api.qogita.com/variants/link/8011607254248/", "View Product")</f>
        <v/>
      </c>
    </row>
    <row r="5407">
      <c r="A5407" t="inlineStr">
        <is>
          <t>8011607255641</t>
        </is>
      </c>
      <c r="B5407" t="inlineStr">
        <is>
          <t>Pupa Milano Made To Last Lip Duo Liquid Lip Colour 2 X 4 Ml Color 004 Geranium Fuchsia</t>
        </is>
      </c>
      <c r="C5407" t="inlineStr">
        <is>
          <t>Lip Sets</t>
        </is>
      </c>
      <c r="D5407" t="inlineStr">
        <is>
          <t>Pupa</t>
        </is>
      </c>
      <c r="E5407" t="n">
        <v>11.18</v>
      </c>
      <c r="F5407" t="n">
        <v>1</v>
      </c>
      <c r="G5407" t="n">
        <v>5</v>
      </c>
      <c r="H5407" s="5">
        <f>HYPERLINK("https://api.qogita.com/variants/link/8011607255641/", "View Product")</f>
        <v/>
      </c>
    </row>
    <row r="5408">
      <c r="A5408" t="inlineStr">
        <is>
          <t>8011607255702</t>
        </is>
      </c>
      <c r="B5408" t="inlineStr">
        <is>
          <t>Pupa Milano Made To Last Lip Duo 010 Vintage Pink for Women 0.13 Oz</t>
        </is>
      </c>
      <c r="C5408" t="inlineStr">
        <is>
          <t>Lipstick</t>
        </is>
      </c>
      <c r="D5408" t="inlineStr">
        <is>
          <t>Pupa</t>
        </is>
      </c>
      <c r="E5408" t="n">
        <v>11.44</v>
      </c>
      <c r="F5408" t="n">
        <v>1</v>
      </c>
      <c r="G5408" t="n">
        <v>2</v>
      </c>
      <c r="H5408" s="5">
        <f>HYPERLINK("https://api.qogita.com/variants/link/8011607255702/", "View Product")</f>
        <v/>
      </c>
    </row>
    <row r="5409">
      <c r="A5409" t="inlineStr">
        <is>
          <t>8011607287970</t>
        </is>
      </c>
      <c r="B5409" t="inlineStr">
        <is>
          <t>Pupa Milano I'M Matt Lipstick 35 G Fancy Mauve</t>
        </is>
      </c>
      <c r="C5409" t="inlineStr">
        <is>
          <t>Lipstick</t>
        </is>
      </c>
      <c r="D5409" t="inlineStr">
        <is>
          <t>Pupa</t>
        </is>
      </c>
      <c r="E5409" t="n">
        <v>9.720000000000001</v>
      </c>
      <c r="F5409" t="n">
        <v>1</v>
      </c>
      <c r="G5409" t="n">
        <v>5</v>
      </c>
      <c r="H5409" s="5">
        <f>HYPERLINK("https://api.qogita.com/variants/link/8011607287970/", "View Product")</f>
        <v/>
      </c>
    </row>
    <row r="5410">
      <c r="A5410" t="inlineStr">
        <is>
          <t>8011607299942</t>
        </is>
      </c>
      <c r="B5410" t="inlineStr">
        <is>
          <t>Pupa Vamp! Mascara In Military Green, 9ml</t>
        </is>
      </c>
      <c r="C5410" t="inlineStr">
        <is>
          <t>Mascara</t>
        </is>
      </c>
      <c r="D5410" t="inlineStr">
        <is>
          <t>Pupa</t>
        </is>
      </c>
      <c r="E5410" t="n">
        <v>11.05</v>
      </c>
      <c r="F5410" t="n">
        <v>1</v>
      </c>
      <c r="G5410" t="n">
        <v>8</v>
      </c>
      <c r="H5410" s="5">
        <f>HYPERLINK("https://api.qogita.com/variants/link/8011607299942/", "View Product")</f>
        <v/>
      </c>
    </row>
    <row r="5411">
      <c r="A5411" t="inlineStr">
        <is>
          <t>8011607310807</t>
        </is>
      </c>
      <c r="B5411" t="inlineStr">
        <is>
          <t>Pupa Milano Made To Last Definition Eyes Longlasting Eyeliner 035 G In Deep Burgundy</t>
        </is>
      </c>
      <c r="C5411" t="inlineStr">
        <is>
          <t>Eyeliner</t>
        </is>
      </c>
      <c r="D5411" t="inlineStr">
        <is>
          <t>Pupa</t>
        </is>
      </c>
      <c r="E5411" t="n">
        <v>9.289999999999999</v>
      </c>
      <c r="F5411" t="n">
        <v>1</v>
      </c>
      <c r="G5411" t="n">
        <v>2</v>
      </c>
      <c r="H5411" s="5">
        <f>HYPERLINK("https://api.qogita.com/variants/link/8011607310807/", "View Product")</f>
        <v/>
      </c>
    </row>
    <row r="5412">
      <c r="A5412" t="inlineStr">
        <is>
          <t>8011607311835</t>
        </is>
      </c>
      <c r="B5412" t="inlineStr">
        <is>
          <t>Pupa Vamp! All In One Mascara 101 Black 9ml</t>
        </is>
      </c>
      <c r="C5412" t="inlineStr">
        <is>
          <t>Mascara</t>
        </is>
      </c>
      <c r="D5412" t="inlineStr">
        <is>
          <t>Pupa</t>
        </is>
      </c>
      <c r="E5412" t="n">
        <v>13.1</v>
      </c>
      <c r="F5412" t="n">
        <v>1</v>
      </c>
      <c r="G5412" t="n">
        <v>13</v>
      </c>
      <c r="H5412" s="5">
        <f>HYPERLINK("https://api.qogita.com/variants/link/8011607311835/", "View Product")</f>
        <v/>
      </c>
    </row>
    <row r="5413">
      <c r="A5413" t="inlineStr">
        <is>
          <t>8011607336753</t>
        </is>
      </c>
      <c r="B5413" t="inlineStr">
        <is>
          <t>Pupa Milano Wonder Cover Concealer 42 Ml In Shade 005 Sand</t>
        </is>
      </c>
      <c r="C5413" t="inlineStr">
        <is>
          <t>Concealer</t>
        </is>
      </c>
      <c r="D5413" t="inlineStr">
        <is>
          <t>Pupa</t>
        </is>
      </c>
      <c r="E5413" t="n">
        <v>13.1</v>
      </c>
      <c r="F5413" t="n">
        <v>1</v>
      </c>
      <c r="G5413" t="n">
        <v>3</v>
      </c>
      <c r="H5413" s="5">
        <f>HYPERLINK("https://api.qogita.com/variants/link/8011607336753/", "View Product")</f>
        <v/>
      </c>
    </row>
    <row r="5414">
      <c r="A5414" t="inlineStr">
        <is>
          <t>8011607354818</t>
        </is>
      </c>
      <c r="B5414" t="inlineStr">
        <is>
          <t>Pupa Milano Waterproof Eyeliner Vamp Eye Pencil 035 G Rockstar Grey</t>
        </is>
      </c>
      <c r="C5414" t="inlineStr">
        <is>
          <t>Eye Pencil</t>
        </is>
      </c>
      <c r="D5414" t="inlineStr">
        <is>
          <t>Pupa</t>
        </is>
      </c>
      <c r="E5414" t="n">
        <v>9.720000000000001</v>
      </c>
      <c r="F5414" t="n">
        <v>1</v>
      </c>
      <c r="G5414" t="n">
        <v>4</v>
      </c>
      <c r="H5414" s="5">
        <f>HYPERLINK("https://api.qogita.com/variants/link/8011607354818/", "View Product")</f>
        <v/>
      </c>
    </row>
    <row r="5415">
      <c r="A5415" t="inlineStr">
        <is>
          <t>8011607354900</t>
        </is>
      </c>
      <c r="B5415" t="inlineStr">
        <is>
          <t>Pupa Vamp! Eye Pencil Wp 204 Sunny Taupe 0.35g</t>
        </is>
      </c>
      <c r="C5415" t="inlineStr">
        <is>
          <t>Eye Pencil</t>
        </is>
      </c>
      <c r="D5415" t="inlineStr">
        <is>
          <t>Pupa</t>
        </is>
      </c>
      <c r="E5415" t="n">
        <v>9.720000000000001</v>
      </c>
      <c r="F5415" t="n">
        <v>1</v>
      </c>
      <c r="G5415" t="n">
        <v>2</v>
      </c>
      <c r="H5415" s="5">
        <f>HYPERLINK("https://api.qogita.com/variants/link/8011607354900/", "View Product")</f>
        <v/>
      </c>
    </row>
    <row r="5416">
      <c r="A5416" t="inlineStr">
        <is>
          <t>8011607354955</t>
        </is>
      </c>
      <c r="B5416" t="inlineStr">
        <is>
          <t>Pupa Milano Vamp Eye Pencil Waterproof Eyeliner 035 G In Mint Milk</t>
        </is>
      </c>
      <c r="C5416" t="inlineStr">
        <is>
          <t>Eye Pencil</t>
        </is>
      </c>
      <c r="D5416" t="inlineStr">
        <is>
          <t>Pupa</t>
        </is>
      </c>
      <c r="E5416" t="n">
        <v>9.720000000000001</v>
      </c>
      <c r="F5416" t="n">
        <v>1</v>
      </c>
      <c r="G5416" t="n">
        <v>2</v>
      </c>
      <c r="H5416" s="5">
        <f>HYPERLINK("https://api.qogita.com/variants/link/8011607354955/", "View Product")</f>
        <v/>
      </c>
    </row>
    <row r="5417">
      <c r="A5417" t="inlineStr">
        <is>
          <t>8011607358823</t>
        </is>
      </c>
      <c r="B5417" t="inlineStr">
        <is>
          <t>Pupa Milano Full Eyebrow Pencil 001 Blonde 02 G</t>
        </is>
      </c>
      <c r="C5417" t="inlineStr">
        <is>
          <t>Eyebrow Pencil</t>
        </is>
      </c>
      <c r="D5417" t="inlineStr">
        <is>
          <t>Pupa</t>
        </is>
      </c>
      <c r="E5417" t="n">
        <v>11.38</v>
      </c>
      <c r="F5417" t="n">
        <v>1</v>
      </c>
      <c r="G5417" t="n">
        <v>4</v>
      </c>
      <c r="H5417" s="5">
        <f>HYPERLINK("https://api.qogita.com/variants/link/8011607358823/", "View Product")</f>
        <v/>
      </c>
    </row>
    <row r="5418">
      <c r="A5418" t="inlineStr">
        <is>
          <t>8011607368464</t>
        </is>
      </c>
      <c r="B5418" t="inlineStr">
        <is>
          <t>Pupa Vamp Compact Eyeshadow 204 Fancy Copper Gems 15 G</t>
        </is>
      </c>
      <c r="C5418" t="inlineStr">
        <is>
          <t>Eyeshadow</t>
        </is>
      </c>
      <c r="D5418" t="inlineStr">
        <is>
          <t>Pupa</t>
        </is>
      </c>
      <c r="E5418" t="n">
        <v>8.710000000000001</v>
      </c>
      <c r="F5418" t="n">
        <v>1</v>
      </c>
      <c r="G5418" t="n">
        <v>12</v>
      </c>
      <c r="H5418" s="5">
        <f>HYPERLINK("https://api.qogita.com/variants/link/8011607368464/", "View Product")</f>
        <v/>
      </c>
    </row>
    <row r="5419">
      <c r="A5419" t="inlineStr">
        <is>
          <t>8011607368624</t>
        </is>
      </c>
      <c r="B5419" t="inlineStr">
        <is>
          <t>Pupa Milano Vamp Compact Eyeshadow 305 Ocean Blue Highly Pigmented 15 G</t>
        </is>
      </c>
      <c r="C5419" t="inlineStr">
        <is>
          <t>Eyeshadow</t>
        </is>
      </c>
      <c r="D5419" t="inlineStr">
        <is>
          <t>Pupa</t>
        </is>
      </c>
      <c r="E5419" t="n">
        <v>10.38</v>
      </c>
      <c r="F5419" t="n">
        <v>1</v>
      </c>
      <c r="G5419" t="n">
        <v>2</v>
      </c>
      <c r="H5419" s="5">
        <f>HYPERLINK("https://api.qogita.com/variants/link/8011607368624/", "View Product")</f>
        <v/>
      </c>
    </row>
    <row r="5420">
      <c r="A5420" t="inlineStr">
        <is>
          <t>8011607368891</t>
        </is>
      </c>
      <c r="B5420" t="inlineStr">
        <is>
          <t>Pupa Vamp Compact Eyeshadow 202 Precious Gold Wet &amp; Dry 15 G</t>
        </is>
      </c>
      <c r="C5420" t="inlineStr">
        <is>
          <t>Eyeshadow</t>
        </is>
      </c>
      <c r="D5420" t="inlineStr">
        <is>
          <t>Pupa</t>
        </is>
      </c>
      <c r="E5420" t="n">
        <v>9.69</v>
      </c>
      <c r="F5420" t="n">
        <v>1</v>
      </c>
      <c r="G5420" t="n">
        <v>5</v>
      </c>
      <c r="H5420" s="5">
        <f>HYPERLINK("https://api.qogita.com/variants/link/8011607368891/", "View Product")</f>
        <v/>
      </c>
    </row>
    <row r="5421">
      <c r="A5421" t="inlineStr">
        <is>
          <t>8011607368952</t>
        </is>
      </c>
      <c r="B5421" t="inlineStr">
        <is>
          <t>Pupa Vamp Compact Eyeshadow 402 Rose Gold Wet &amp; Dry 15 G</t>
        </is>
      </c>
      <c r="C5421" t="inlineStr">
        <is>
          <t>Eyeshadow</t>
        </is>
      </c>
      <c r="D5421" t="inlineStr">
        <is>
          <t>Pupa</t>
        </is>
      </c>
      <c r="E5421" t="n">
        <v>8.99</v>
      </c>
      <c r="F5421" t="n">
        <v>1</v>
      </c>
      <c r="G5421" t="n">
        <v>4</v>
      </c>
      <c r="H5421" s="5">
        <f>HYPERLINK("https://api.qogita.com/variants/link/8011607368952/", "View Product")</f>
        <v/>
      </c>
    </row>
    <row r="5422">
      <c r="A5422" t="inlineStr">
        <is>
          <t>8011607369249</t>
        </is>
      </c>
      <c r="B5422" t="inlineStr">
        <is>
          <t>Pupa Vamp Compact Eyeshadow 405 Dark Chocolate Matt 15 G</t>
        </is>
      </c>
      <c r="C5422" t="inlineStr">
        <is>
          <t>Eyeshadow</t>
        </is>
      </c>
      <c r="D5422" t="inlineStr">
        <is>
          <t>Pupa</t>
        </is>
      </c>
      <c r="E5422" t="n">
        <v>11.24</v>
      </c>
      <c r="F5422" t="n">
        <v>1</v>
      </c>
      <c r="G5422" t="n">
        <v>4</v>
      </c>
      <c r="H5422" s="5">
        <f>HYPERLINK("https://api.qogita.com/variants/link/8011607369249/", "View Product")</f>
        <v/>
      </c>
    </row>
    <row r="5423">
      <c r="A5423" t="inlineStr">
        <is>
          <t>8011607372928</t>
        </is>
      </c>
      <c r="B5423" t="inlineStr">
        <is>
          <t>Pupa Skynny Liner 002 Brown</t>
        </is>
      </c>
      <c r="C5423" t="inlineStr">
        <is>
          <t>Eyeliner</t>
        </is>
      </c>
      <c r="D5423" t="inlineStr">
        <is>
          <t>Pupa</t>
        </is>
      </c>
      <c r="E5423" t="n">
        <v>12.83</v>
      </c>
      <c r="F5423" t="n">
        <v>1</v>
      </c>
      <c r="G5423" t="n">
        <v>6</v>
      </c>
      <c r="H5423" s="5">
        <f>HYPERLINK("https://api.qogita.com/variants/link/8011607372928/", "View Product")</f>
        <v/>
      </c>
    </row>
    <row r="5424">
      <c r="A5424" t="inlineStr">
        <is>
          <t>8011607372935</t>
        </is>
      </c>
      <c r="B5424" t="inlineStr">
        <is>
          <t>Pupa Milano Skinny Liner 003 Blue 1 Ml Eyeliner</t>
        </is>
      </c>
      <c r="C5424" t="inlineStr">
        <is>
          <t>Eyeliner</t>
        </is>
      </c>
      <c r="D5424" t="inlineStr">
        <is>
          <t>Pupa</t>
        </is>
      </c>
      <c r="E5424" t="n">
        <v>11.34</v>
      </c>
      <c r="F5424" t="n">
        <v>1</v>
      </c>
      <c r="G5424" t="n">
        <v>5</v>
      </c>
      <c r="H5424" s="5">
        <f>HYPERLINK("https://api.qogita.com/variants/link/8011607372935/", "View Product")</f>
        <v/>
      </c>
    </row>
    <row r="5425">
      <c r="A5425" t="inlineStr">
        <is>
          <t>8011607374632</t>
        </is>
      </c>
      <c r="B5425" t="inlineStr">
        <is>
          <t>Pupa Eye Pencil Mascara Kit Vamp - A Must-Have For Eye Makeup Enthusiasts</t>
        </is>
      </c>
      <c r="C5425" t="inlineStr">
        <is>
          <t>Eye Sets &amp; Pallets</t>
        </is>
      </c>
      <c r="D5425" t="inlineStr">
        <is>
          <t>Pupa</t>
        </is>
      </c>
      <c r="E5425" t="n">
        <v>17.12</v>
      </c>
      <c r="F5425" t="n">
        <v>1</v>
      </c>
      <c r="G5425" t="n">
        <v>5</v>
      </c>
      <c r="H5425" s="5">
        <f>HYPERLINK("https://api.qogita.com/variants/link/8011607374632/", "View Product")</f>
        <v/>
      </c>
    </row>
    <row r="5426">
      <c r="A5426" t="inlineStr">
        <is>
          <t>8011607376575</t>
        </is>
      </c>
      <c r="B5426" t="inlineStr">
        <is>
          <t>Pupa Smog No More Detox Conditioner for Oily Scalp and Hair 200ml</t>
        </is>
      </c>
      <c r="C5426" t="inlineStr">
        <is>
          <t>Conditioner</t>
        </is>
      </c>
      <c r="D5426" t="inlineStr">
        <is>
          <t>Pupa</t>
        </is>
      </c>
      <c r="E5426" t="n">
        <v>10.58</v>
      </c>
      <c r="F5426" t="n">
        <v>1</v>
      </c>
      <c r="G5426" t="n">
        <v>2</v>
      </c>
      <c r="H5426" s="5">
        <f>HYPERLINK("https://api.qogita.com/variants/link/8011607376575/", "View Product")</f>
        <v/>
      </c>
    </row>
    <row r="5427">
      <c r="A5427" t="inlineStr">
        <is>
          <t>8011607376650</t>
        </is>
      </c>
      <c r="B5427" t="inlineStr">
        <is>
          <t>Pupa Hair Color Safe Revitalizing Mask for Colored Hair 200ml</t>
        </is>
      </c>
      <c r="C5427" t="inlineStr">
        <is>
          <t>Hair Masks</t>
        </is>
      </c>
      <c r="D5427" t="inlineStr">
        <is>
          <t>Pupa</t>
        </is>
      </c>
      <c r="E5427" t="n">
        <v>10.58</v>
      </c>
      <c r="F5427" t="n">
        <v>1</v>
      </c>
      <c r="G5427" t="n">
        <v>2</v>
      </c>
      <c r="H5427" s="5">
        <f>HYPERLINK("https://api.qogita.com/variants/link/8011607376650/", "View Product")</f>
        <v/>
      </c>
    </row>
    <row r="5428">
      <c r="A5428" t="inlineStr">
        <is>
          <t>8011607377299</t>
        </is>
      </c>
      <c r="B5428" t="inlineStr">
        <is>
          <t>Pupa Wonder Me Blush 4g 003 That's Hot - Radiant</t>
        </is>
      </c>
      <c r="C5428" t="inlineStr">
        <is>
          <t>Blush</t>
        </is>
      </c>
      <c r="D5428" t="inlineStr">
        <is>
          <t>Pupa</t>
        </is>
      </c>
      <c r="E5428" t="n">
        <v>11.29</v>
      </c>
      <c r="F5428" t="n">
        <v>1</v>
      </c>
      <c r="G5428" t="n">
        <v>3</v>
      </c>
      <c r="H5428" s="5">
        <f>HYPERLINK("https://api.qogita.com/variants/link/8011607377299/", "View Product")</f>
        <v/>
      </c>
    </row>
    <row r="5429">
      <c r="A5429" t="inlineStr">
        <is>
          <t>8011607379712</t>
        </is>
      </c>
      <c r="B5429" t="inlineStr">
        <is>
          <t>Pupa Nordic Spa Kit - Darkova Sada Telove Pece</t>
        </is>
      </c>
      <c r="C5429" t="inlineStr">
        <is>
          <t>Body Care Sets</t>
        </is>
      </c>
      <c r="D5429" t="inlineStr">
        <is>
          <t>Pupa</t>
        </is>
      </c>
      <c r="E5429" t="n">
        <v>19.16</v>
      </c>
      <c r="F5429" t="n">
        <v>1</v>
      </c>
      <c r="G5429" t="n">
        <v>9</v>
      </c>
      <c r="H5429" s="5">
        <f>HYPERLINK("https://api.qogita.com/variants/link/8011607379712/", "View Product")</f>
        <v/>
      </c>
    </row>
    <row r="5430">
      <c r="A5430" t="inlineStr">
        <is>
          <t>8011607379972</t>
        </is>
      </c>
      <c r="B5430" t="inlineStr">
        <is>
          <t>Pupa Nordic Spa Toning Concentrated Body Cream - Tonizacni Telovy Krem</t>
        </is>
      </c>
      <c r="C5430" t="inlineStr">
        <is>
          <t>Body Lotion</t>
        </is>
      </c>
      <c r="D5430" t="inlineStr">
        <is>
          <t>Pupa Milano</t>
        </is>
      </c>
      <c r="E5430" t="n">
        <v>8.73</v>
      </c>
      <c r="F5430" t="n">
        <v>1</v>
      </c>
      <c r="G5430" t="n">
        <v>3</v>
      </c>
      <c r="H5430" s="5">
        <f>HYPERLINK("https://api.qogita.com/variants/link/8011607379972/", "View Product")</f>
        <v/>
      </c>
    </row>
    <row r="5431">
      <c r="A5431" t="inlineStr">
        <is>
          <t>8011607391530</t>
        </is>
      </c>
      <c r="B5431" t="inlineStr">
        <is>
          <t>Pupa Milano Kit Vamp! Clutch Bag Forever Mascara + Eye Pencil</t>
        </is>
      </c>
      <c r="C5431" t="inlineStr">
        <is>
          <t>Eye Pencil</t>
        </is>
      </c>
      <c r="D5431" t="inlineStr">
        <is>
          <t>Pupa</t>
        </is>
      </c>
      <c r="E5431" t="n">
        <v>21.8</v>
      </c>
      <c r="F5431" t="n">
        <v>1</v>
      </c>
      <c r="G5431" t="n">
        <v>5</v>
      </c>
      <c r="H5431" s="5">
        <f>HYPERLINK("https://api.qogita.com/variants/link/8011607391530/", "View Product")</f>
        <v/>
      </c>
    </row>
    <row r="5432">
      <c r="A5432" t="inlineStr">
        <is>
          <t>8011607391578</t>
        </is>
      </c>
      <c r="B5432" t="inlineStr">
        <is>
          <t>Pupa Milano Vamp Eyeliner Gift Set! Forever Mascara</t>
        </is>
      </c>
      <c r="C5432" t="inlineStr">
        <is>
          <t>Eyeliner</t>
        </is>
      </c>
      <c r="D5432" t="inlineStr">
        <is>
          <t>Pupa</t>
        </is>
      </c>
      <c r="E5432" t="n">
        <v>21.46</v>
      </c>
      <c r="F5432" t="n">
        <v>1</v>
      </c>
      <c r="G5432" t="n">
        <v>2</v>
      </c>
      <c r="H5432" s="5">
        <f>HYPERLINK("https://api.qogita.com/variants/link/8011607391578/", "View Product")</f>
        <v/>
      </c>
    </row>
    <row r="5433">
      <c r="A5433" t="inlineStr">
        <is>
          <t>8011607391691</t>
        </is>
      </c>
      <c r="B5433" t="inlineStr">
        <is>
          <t>Pupa Kit Vamp! All In One Mascara + Mousse Detergente Viso Me Softly 100ml</t>
        </is>
      </c>
      <c r="C5433" t="inlineStr">
        <is>
          <t>Mascara</t>
        </is>
      </c>
      <c r="D5433" t="inlineStr">
        <is>
          <t>Pupa</t>
        </is>
      </c>
      <c r="E5433" t="n">
        <v>17.04</v>
      </c>
      <c r="F5433" t="n">
        <v>1</v>
      </c>
      <c r="G5433" t="n">
        <v>6</v>
      </c>
      <c r="H5433" s="5">
        <f>HYPERLINK("https://api.qogita.com/variants/link/8011607391691/", "View Product")</f>
        <v/>
      </c>
    </row>
    <row r="5434">
      <c r="A5434" t="inlineStr">
        <is>
          <t>8011607393428</t>
        </is>
      </c>
      <c r="B5434" t="inlineStr">
        <is>
          <t>Pupa Milano Flower Power Happy Box Shower Gel 200 Ml</t>
        </is>
      </c>
      <c r="C5434" t="inlineStr">
        <is>
          <t>Shower Gel</t>
        </is>
      </c>
      <c r="D5434" t="inlineStr">
        <is>
          <t>Pupa</t>
        </is>
      </c>
      <c r="E5434" t="n">
        <v>10.37</v>
      </c>
      <c r="F5434" t="n">
        <v>1</v>
      </c>
      <c r="G5434" t="n">
        <v>3</v>
      </c>
      <c r="H5434" s="5">
        <f>HYPERLINK("https://api.qogita.com/variants/link/8011607393428/", "View Product")</f>
        <v/>
      </c>
    </row>
    <row r="5435">
      <c r="A5435" t="inlineStr">
        <is>
          <t>8011607393459</t>
        </is>
      </c>
      <c r="B5435" t="inlineStr">
        <is>
          <t>Pupa Milano Berry Boost Happy Box Body Lotion 200 Ml</t>
        </is>
      </c>
      <c r="C5435" t="inlineStr">
        <is>
          <t>Body Lotion</t>
        </is>
      </c>
      <c r="D5435" t="inlineStr">
        <is>
          <t>Pupa</t>
        </is>
      </c>
      <c r="E5435" t="n">
        <v>10.13</v>
      </c>
      <c r="F5435" t="n">
        <v>1</v>
      </c>
      <c r="G5435" t="n">
        <v>17</v>
      </c>
      <c r="H5435" s="5">
        <f>HYPERLINK("https://api.qogita.com/variants/link/8011607393459/", "View Product")</f>
        <v/>
      </c>
    </row>
    <row r="5436">
      <c r="A5436" t="inlineStr">
        <is>
          <t>8011607393480</t>
        </is>
      </c>
      <c r="B5436" t="inlineStr">
        <is>
          <t>Pupa Milano Flower Power Happy Box Body Lotion 200 Ml</t>
        </is>
      </c>
      <c r="C5436" t="inlineStr">
        <is>
          <t>Body Lotion</t>
        </is>
      </c>
      <c r="D5436" t="inlineStr">
        <is>
          <t>Pupa</t>
        </is>
      </c>
      <c r="E5436" t="n">
        <v>11.1</v>
      </c>
      <c r="F5436" t="n">
        <v>1</v>
      </c>
      <c r="G5436" t="n">
        <v>5</v>
      </c>
      <c r="H5436" s="5">
        <f>HYPERLINK("https://api.qogita.com/variants/link/8011607393480/", "View Product")</f>
        <v/>
      </c>
    </row>
    <row r="5437">
      <c r="A5437" t="inlineStr">
        <is>
          <t>8011607393596</t>
        </is>
      </c>
      <c r="B5437" t="inlineStr">
        <is>
          <t>Pupa 2024 Happybox Kit 2 - Peach Paradise</t>
        </is>
      </c>
      <c r="C5437" t="inlineStr">
        <is>
          <t>Complexion Sets &amp; Pallets</t>
        </is>
      </c>
      <c r="D5437" t="inlineStr">
        <is>
          <t>Pupa</t>
        </is>
      </c>
      <c r="E5437" t="n">
        <v>14.41</v>
      </c>
      <c r="F5437" t="n">
        <v>1</v>
      </c>
      <c r="G5437" t="n">
        <v>5</v>
      </c>
      <c r="H5437" s="5">
        <f>HYPERLINK("https://api.qogita.com/variants/link/8011607393596/", "View Product")</f>
        <v/>
      </c>
    </row>
    <row r="5438">
      <c r="A5438" t="inlineStr">
        <is>
          <t>8011607393718</t>
        </is>
      </c>
      <c r="B5438" t="inlineStr">
        <is>
          <t>Pupa Milano Peach Paradise Happy Box Kit Gift Set 4</t>
        </is>
      </c>
      <c r="C5438" t="inlineStr">
        <is>
          <t>Complexion Sets &amp; Pallets</t>
        </is>
      </c>
      <c r="D5438" t="inlineStr">
        <is>
          <t>Pupa</t>
        </is>
      </c>
      <c r="E5438" t="n">
        <v>23.16</v>
      </c>
      <c r="F5438" t="n">
        <v>1</v>
      </c>
      <c r="G5438" t="n">
        <v>5</v>
      </c>
      <c r="H5438" s="5">
        <f>HYPERLINK("https://api.qogita.com/variants/link/8011607393718/", "View Product")</f>
        <v/>
      </c>
    </row>
    <row r="5439">
      <c r="A5439" t="inlineStr">
        <is>
          <t>8011607393725</t>
        </is>
      </c>
      <c r="B5439" t="inlineStr">
        <is>
          <t>Pupa Happy Box Kit Flower Dream - Includes Shower Gel 200ml, Body Milk 200ml, And Perfumed Water 100ml</t>
        </is>
      </c>
      <c r="C5439" t="inlineStr">
        <is>
          <t>Body Care Sets</t>
        </is>
      </c>
      <c r="D5439" t="inlineStr">
        <is>
          <t>Pupa</t>
        </is>
      </c>
      <c r="E5439" t="n">
        <v>23.16</v>
      </c>
      <c r="F5439" t="n">
        <v>1</v>
      </c>
      <c r="G5439" t="n">
        <v>4</v>
      </c>
      <c r="H5439" s="5">
        <f>HYPERLINK("https://api.qogita.com/variants/link/8011607393725/", "View Product")</f>
        <v/>
      </c>
    </row>
    <row r="5440">
      <c r="A5440" t="inlineStr">
        <is>
          <t>8011607394135</t>
        </is>
      </c>
      <c r="B5440" t="inlineStr">
        <is>
          <t>Pupa Oceanian Spa Kit 1 With Cleansing Scrub 250ml And Shower Milk 300ml</t>
        </is>
      </c>
      <c r="C5440" t="inlineStr">
        <is>
          <t>Shower &amp; Bath Sets</t>
        </is>
      </c>
      <c r="D5440" t="inlineStr">
        <is>
          <t>Pupa</t>
        </is>
      </c>
      <c r="E5440" t="n">
        <v>21.46</v>
      </c>
      <c r="F5440" t="n">
        <v>1</v>
      </c>
      <c r="G5440" t="n">
        <v>2</v>
      </c>
      <c r="H5440" s="5">
        <f>HYPERLINK("https://api.qogita.com/variants/link/8011607394135/", "View Product")</f>
        <v/>
      </c>
    </row>
    <row r="5441">
      <c r="A5441" t="inlineStr">
        <is>
          <t>8011607394289</t>
        </is>
      </c>
      <c r="B5441" t="inlineStr">
        <is>
          <t>Pupa Milano Soothing Concentrated Body Cream 150 Ml</t>
        </is>
      </c>
      <c r="C5441" t="inlineStr">
        <is>
          <t>Body Lotion</t>
        </is>
      </c>
      <c r="D5441" t="inlineStr">
        <is>
          <t>Pupa</t>
        </is>
      </c>
      <c r="E5441" t="n">
        <v>12.4</v>
      </c>
      <c r="F5441" t="n">
        <v>1</v>
      </c>
      <c r="G5441" t="n">
        <v>13</v>
      </c>
      <c r="H5441" s="5">
        <f>HYPERLINK("https://api.qogita.com/variants/link/8011607394289/", "View Product")</f>
        <v/>
      </c>
    </row>
    <row r="5442">
      <c r="A5442" t="inlineStr">
        <is>
          <t>8011607396153</t>
        </is>
      </c>
      <c r="B5442" t="inlineStr">
        <is>
          <t>Pupa Pupart S Green - A Vibrant Makeup Palette For Creative Looks</t>
        </is>
      </c>
      <c r="C5442" t="inlineStr">
        <is>
          <t>Eye Sets &amp; Pallets</t>
        </is>
      </c>
      <c r="D5442" t="inlineStr">
        <is>
          <t>Pupa</t>
        </is>
      </c>
      <c r="E5442" t="n">
        <v>14.42</v>
      </c>
      <c r="F5442" t="n">
        <v>1</v>
      </c>
      <c r="G5442" t="n">
        <v>9</v>
      </c>
      <c r="H5442" s="5">
        <f>HYPERLINK("https://api.qogita.com/variants/link/8011607396153/", "View Product")</f>
        <v/>
      </c>
    </row>
    <row r="5443">
      <c r="A5443" t="inlineStr">
        <is>
          <t>8011607396191</t>
        </is>
      </c>
      <c r="B5443" t="inlineStr">
        <is>
          <t>Pupa Pupart M Green - Makeup Palette</t>
        </is>
      </c>
      <c r="C5443" t="inlineStr">
        <is>
          <t>Eye Sets &amp; Pallets</t>
        </is>
      </c>
      <c r="D5443" t="inlineStr">
        <is>
          <t>Pupa</t>
        </is>
      </c>
      <c r="E5443" t="n">
        <v>17.16</v>
      </c>
      <c r="F5443" t="n">
        <v>1</v>
      </c>
      <c r="G5443" t="n">
        <v>4</v>
      </c>
      <c r="H5443" s="5">
        <f>HYPERLINK("https://api.qogita.com/variants/link/8011607396191/", "View Product")</f>
        <v/>
      </c>
    </row>
    <row r="5444">
      <c r="A5444" t="inlineStr">
        <is>
          <t>8011889082003</t>
        </is>
      </c>
      <c r="B5444" t="inlineStr">
        <is>
          <t>Rocco Barocco Uno Donna EDP 100ml</t>
        </is>
      </c>
      <c r="C5444" t="inlineStr">
        <is>
          <t>Eau De Parfum</t>
        </is>
      </c>
      <c r="D5444" t="inlineStr">
        <is>
          <t>Rocco Barocco</t>
        </is>
      </c>
      <c r="E5444" t="n">
        <v>14.63</v>
      </c>
      <c r="F5444" t="n">
        <v>1</v>
      </c>
      <c r="G5444" t="n">
        <v>13</v>
      </c>
      <c r="H5444" s="5">
        <f>HYPERLINK("https://api.qogita.com/variants/link/8011889082003/", "View Product")</f>
        <v/>
      </c>
    </row>
    <row r="5445">
      <c r="A5445" t="inlineStr">
        <is>
          <t>8011889624012</t>
        </is>
      </c>
      <c r="B5445" t="inlineStr">
        <is>
          <t>John Richmond Unknown Pleasures Acid Bomb Eau de Parfum Unisex Passionate Mysterious Intense Strong Premium Scent 100ml Bottle</t>
        </is>
      </c>
      <c r="C5445" t="inlineStr">
        <is>
          <t>Eau De Parfum</t>
        </is>
      </c>
      <c r="D5445" t="inlineStr">
        <is>
          <t>John Richmond</t>
        </is>
      </c>
      <c r="E5445" t="n">
        <v>25.18</v>
      </c>
      <c r="F5445" t="n">
        <v>1</v>
      </c>
      <c r="G5445" t="n">
        <v>10</v>
      </c>
      <c r="H5445" s="5">
        <f>HYPERLINK("https://api.qogita.com/variants/link/8011889624012/", "View Product")</f>
        <v/>
      </c>
    </row>
    <row r="5446">
      <c r="A5446" t="inlineStr">
        <is>
          <t>8011889624043</t>
        </is>
      </c>
      <c r="B5446" t="inlineStr">
        <is>
          <t>John Richmond Unknown Pleasures Lost Rose Eau De Parfume Intensive Unisex Perfume with Mysterious Character Scent Notes: Amber Woody Musk 100ml</t>
        </is>
      </c>
      <c r="C5446" t="inlineStr">
        <is>
          <t>Eau De Parfum</t>
        </is>
      </c>
      <c r="D5446" t="inlineStr">
        <is>
          <t>John Richmond</t>
        </is>
      </c>
      <c r="E5446" t="n">
        <v>25.24</v>
      </c>
      <c r="F5446" t="n">
        <v>1</v>
      </c>
      <c r="G5446" t="n">
        <v>2</v>
      </c>
      <c r="H5446" s="5">
        <f>HYPERLINK("https://api.qogita.com/variants/link/8011889624043/", "View Product")</f>
        <v/>
      </c>
    </row>
    <row r="5447">
      <c r="A5447" t="inlineStr">
        <is>
          <t>8011889625026</t>
        </is>
      </c>
      <c r="B5447" t="inlineStr">
        <is>
          <t>John Richmond Black Metal Man Eau De Toilette</t>
        </is>
      </c>
      <c r="C5447" t="inlineStr">
        <is>
          <t>Eau De Toilette</t>
        </is>
      </c>
      <c r="D5447" t="inlineStr">
        <is>
          <t>John Richmond</t>
        </is>
      </c>
      <c r="E5447" t="n">
        <v>28.04</v>
      </c>
      <c r="F5447" t="n">
        <v>1</v>
      </c>
      <c r="G5447" t="n">
        <v>5</v>
      </c>
      <c r="H5447" s="5">
        <f>HYPERLINK("https://api.qogita.com/variants/link/8011889625026/", "View Product")</f>
        <v/>
      </c>
    </row>
    <row r="5448">
      <c r="A5448" t="inlineStr">
        <is>
          <t>8015150001083</t>
        </is>
      </c>
      <c r="B5448" t="inlineStr">
        <is>
          <t>Collistar Uomo Toning Shower Gel - 250ml</t>
        </is>
      </c>
      <c r="C5448" t="inlineStr">
        <is>
          <t>Shower Gel</t>
        </is>
      </c>
      <c r="D5448" t="inlineStr">
        <is>
          <t>Collistar</t>
        </is>
      </c>
      <c r="E5448" t="n">
        <v>12.1</v>
      </c>
      <c r="F5448" t="n">
        <v>1</v>
      </c>
      <c r="G5448" t="n">
        <v>11</v>
      </c>
      <c r="H5448" s="5">
        <f>HYPERLINK("https://api.qogita.com/variants/link/8015150001083/", "View Product")</f>
        <v/>
      </c>
    </row>
    <row r="5449">
      <c r="A5449" t="inlineStr">
        <is>
          <t>8015150001342</t>
        </is>
      </c>
      <c r="B5449" t="inlineStr">
        <is>
          <t>Collistar Line Homme Deo Freshness 48 Hours No-Gas Antiperspirant Spray</t>
        </is>
      </c>
      <c r="C5449" t="inlineStr">
        <is>
          <t>Deodorant &amp; Anti-Perspirant</t>
        </is>
      </c>
      <c r="D5449" t="inlineStr">
        <is>
          <t>Collistar</t>
        </is>
      </c>
      <c r="E5449" t="n">
        <v>11.08</v>
      </c>
      <c r="F5449" t="n">
        <v>1</v>
      </c>
      <c r="G5449" t="n">
        <v>27</v>
      </c>
      <c r="H5449" s="5">
        <f>HYPERLINK("https://api.qogita.com/variants/link/8015150001342/", "View Product")</f>
        <v/>
      </c>
    </row>
    <row r="5450">
      <c r="A5450" t="inlineStr">
        <is>
          <t>8015150001984</t>
        </is>
      </c>
      <c r="B5450" t="inlineStr">
        <is>
          <t>Collistar Ultra Protection Tanning Cream Gift Set</t>
        </is>
      </c>
      <c r="C5450" t="inlineStr">
        <is>
          <t>Sun Protection Sets</t>
        </is>
      </c>
      <c r="D5450" t="inlineStr">
        <is>
          <t>Collistar</t>
        </is>
      </c>
      <c r="E5450" t="n">
        <v>23.92</v>
      </c>
      <c r="F5450" t="n">
        <v>1</v>
      </c>
      <c r="G5450" t="n">
        <v>2</v>
      </c>
      <c r="H5450" s="5">
        <f>HYPERLINK("https://api.qogita.com/variants/link/8015150001984/", "View Product")</f>
        <v/>
      </c>
    </row>
    <row r="5451">
      <c r="A5451" t="inlineStr">
        <is>
          <t>8015150002400</t>
        </is>
      </c>
      <c r="B5451" t="inlineStr">
        <is>
          <t>Collistar Benessere Neroli E Helichrysum Soft Body Cream 200ml</t>
        </is>
      </c>
      <c r="C5451" t="inlineStr">
        <is>
          <t>Body Lotion</t>
        </is>
      </c>
      <c r="D5451" t="inlineStr">
        <is>
          <t>Collistar</t>
        </is>
      </c>
      <c r="E5451" t="n">
        <v>15.3</v>
      </c>
      <c r="F5451" t="n">
        <v>1</v>
      </c>
      <c r="G5451" t="n">
        <v>5</v>
      </c>
      <c r="H5451" s="5">
        <f>HYPERLINK("https://api.qogita.com/variants/link/8015150002400/", "View Product")</f>
        <v/>
      </c>
    </row>
    <row r="5452">
      <c r="A5452" t="inlineStr">
        <is>
          <t>8015150002448</t>
        </is>
      </c>
      <c r="B5452" t="inlineStr">
        <is>
          <t>Collistar Benessere Fig And Wisteria - Body Fondant Butter 200 Ml</t>
        </is>
      </c>
      <c r="C5452" t="inlineStr">
        <is>
          <t>Body Butter</t>
        </is>
      </c>
      <c r="D5452" t="inlineStr">
        <is>
          <t>Collistar</t>
        </is>
      </c>
      <c r="E5452" t="n">
        <v>15.3</v>
      </c>
      <c r="F5452" t="n">
        <v>1</v>
      </c>
      <c r="G5452" t="n">
        <v>5</v>
      </c>
      <c r="H5452" s="5">
        <f>HYPERLINK("https://api.qogita.com/variants/link/8015150002448/", "View Product")</f>
        <v/>
      </c>
    </row>
    <row r="5453">
      <c r="A5453" t="inlineStr">
        <is>
          <t>8015150003797</t>
        </is>
      </c>
      <c r="B5453" t="inlineStr">
        <is>
          <t>Collistar Collistar Not Blush Vibes Fluid Blush 02-Frozen Raspberry 15ml</t>
        </is>
      </c>
      <c r="C5453" t="inlineStr">
        <is>
          <t>Blush</t>
        </is>
      </c>
      <c r="D5453" t="inlineStr">
        <is>
          <t>Collistar</t>
        </is>
      </c>
      <c r="E5453" t="n">
        <v>29.49</v>
      </c>
      <c r="F5453" t="n">
        <v>1</v>
      </c>
      <c r="G5453" t="n">
        <v>2</v>
      </c>
      <c r="H5453" s="5">
        <f>HYPERLINK("https://api.qogita.com/variants/link/8015150003797/", "View Product")</f>
        <v/>
      </c>
    </row>
    <row r="5454">
      <c r="A5454" t="inlineStr">
        <is>
          <t>8015150004671</t>
        </is>
      </c>
      <c r="B5454" t="inlineStr">
        <is>
          <t>Collistar Collistar Volume Unico Mascara Set Of 3 Pieces</t>
        </is>
      </c>
      <c r="C5454" t="inlineStr">
        <is>
          <t>Eye Sets &amp; Pallets</t>
        </is>
      </c>
      <c r="D5454" t="inlineStr">
        <is>
          <t>Collistar</t>
        </is>
      </c>
      <c r="E5454" t="n">
        <v>23.59</v>
      </c>
      <c r="F5454" t="n">
        <v>1</v>
      </c>
      <c r="G5454" t="n">
        <v>3</v>
      </c>
      <c r="H5454" s="5">
        <f>HYPERLINK("https://api.qogita.com/variants/link/8015150004671/", "View Product")</f>
        <v/>
      </c>
    </row>
    <row r="5455">
      <c r="A5455" t="inlineStr">
        <is>
          <t>8015150004718</t>
        </is>
      </c>
      <c r="B5455" t="inlineStr">
        <is>
          <t>Collistar Hydroactive Deep Hydration Cream 50 Ml</t>
        </is>
      </c>
      <c r="C5455" t="inlineStr">
        <is>
          <t>Face Cream</t>
        </is>
      </c>
      <c r="D5455" t="inlineStr">
        <is>
          <t>Collistar</t>
        </is>
      </c>
      <c r="E5455" t="n">
        <v>24.24</v>
      </c>
      <c r="F5455" t="n">
        <v>1</v>
      </c>
      <c r="G5455" t="n">
        <v>2</v>
      </c>
      <c r="H5455" s="5">
        <f>HYPERLINK("https://api.qogita.com/variants/link/8015150004718/", "View Product")</f>
        <v/>
      </c>
    </row>
    <row r="5456">
      <c r="A5456" t="inlineStr">
        <is>
          <t>8015150005005</t>
        </is>
      </c>
      <c r="B5456" t="inlineStr">
        <is>
          <t>Collistar Daily Protective Moisturizing Set 80 Milliliters</t>
        </is>
      </c>
      <c r="C5456" t="inlineStr">
        <is>
          <t>Facial Care Sets</t>
        </is>
      </c>
      <c r="D5456" t="inlineStr">
        <is>
          <t>Collistar</t>
        </is>
      </c>
      <c r="E5456" t="n">
        <v>24.13</v>
      </c>
      <c r="F5456" t="n">
        <v>1</v>
      </c>
      <c r="G5456" t="n">
        <v>9</v>
      </c>
      <c r="H5456" s="5">
        <f>HYPERLINK("https://api.qogita.com/variants/link/8015150005005/", "View Product")</f>
        <v/>
      </c>
    </row>
    <row r="5457">
      <c r="A5457" t="inlineStr">
        <is>
          <t>8015150005029</t>
        </is>
      </c>
      <c r="B5457" t="inlineStr">
        <is>
          <t>Collistar Wellbeing Set Fig And Wisteria Eau De Toilette 100 Ml</t>
        </is>
      </c>
      <c r="C5457" t="inlineStr">
        <is>
          <t>Eau De Toilette</t>
        </is>
      </c>
      <c r="D5457" t="inlineStr">
        <is>
          <t>Collistar</t>
        </is>
      </c>
      <c r="E5457" t="n">
        <v>49.17</v>
      </c>
      <c r="F5457" t="n">
        <v>1</v>
      </c>
      <c r="G5457" t="n">
        <v>7</v>
      </c>
      <c r="H5457" s="5">
        <f>HYPERLINK("https://api.qogita.com/variants/link/8015150005029/", "View Product")</f>
        <v/>
      </c>
    </row>
    <row r="5458">
      <c r="A5458" t="inlineStr">
        <is>
          <t>8015150005593</t>
        </is>
      </c>
      <c r="B5458" t="inlineStr">
        <is>
          <t>Collistar Revitalizing And Restoring Night Cream Futura Notte - 50 Ml</t>
        </is>
      </c>
      <c r="C5458" t="inlineStr">
        <is>
          <t>Night Cream</t>
        </is>
      </c>
      <c r="D5458" t="inlineStr">
        <is>
          <t>Collistar</t>
        </is>
      </c>
      <c r="E5458" t="n">
        <v>62.95</v>
      </c>
      <c r="F5458" t="n">
        <v>1</v>
      </c>
      <c r="G5458" t="n">
        <v>9</v>
      </c>
      <c r="H5458" s="5">
        <f>HYPERLINK("https://api.qogita.com/variants/link/8015150005593/", "View Product")</f>
        <v/>
      </c>
    </row>
    <row r="5459">
      <c r="A5459" t="inlineStr">
        <is>
          <t>8015150005678</t>
        </is>
      </c>
      <c r="B5459" t="inlineStr">
        <is>
          <t>Collistar Cryoactive Talasso-Scrub 700 G</t>
        </is>
      </c>
      <c r="C5459" t="inlineStr">
        <is>
          <t>Body Care Sets</t>
        </is>
      </c>
      <c r="D5459" t="inlineStr">
        <is>
          <t>Collistar</t>
        </is>
      </c>
      <c r="E5459" t="n">
        <v>35.73</v>
      </c>
      <c r="F5459" t="n">
        <v>1</v>
      </c>
      <c r="G5459" t="n">
        <v>9</v>
      </c>
      <c r="H5459" s="5">
        <f>HYPERLINK("https://api.qogita.com/variants/link/8015150005678/", "View Product")</f>
        <v/>
      </c>
    </row>
    <row r="5460">
      <c r="A5460" t="inlineStr">
        <is>
          <t>8015150006729</t>
        </is>
      </c>
      <c r="B5460" t="inlineStr">
        <is>
          <t>Collistar Intense Firming Body Care Gift Set</t>
        </is>
      </c>
      <c r="C5460" t="inlineStr">
        <is>
          <t>Body Care Sets</t>
        </is>
      </c>
      <c r="D5460" t="inlineStr">
        <is>
          <t>Collistar</t>
        </is>
      </c>
      <c r="E5460" t="n">
        <v>26.21</v>
      </c>
      <c r="F5460" t="n">
        <v>1</v>
      </c>
      <c r="G5460" t="n">
        <v>8</v>
      </c>
      <c r="H5460" s="5">
        <f>HYPERLINK("https://api.qogita.com/variants/link/8015150006729/", "View Product")</f>
        <v/>
      </c>
    </row>
    <row r="5461">
      <c r="A5461" t="inlineStr">
        <is>
          <t>8015150110006</t>
        </is>
      </c>
      <c r="B5461" t="inlineStr">
        <is>
          <t>Collistar Lip Gloss Volume 110 Golden Sunset 7ml</t>
        </is>
      </c>
      <c r="C5461" t="inlineStr">
        <is>
          <t>Lip Gloss</t>
        </is>
      </c>
      <c r="D5461" t="inlineStr">
        <is>
          <t>Collistar</t>
        </is>
      </c>
      <c r="E5461" t="n">
        <v>12.43</v>
      </c>
      <c r="F5461" t="n">
        <v>1</v>
      </c>
      <c r="G5461" t="n">
        <v>4</v>
      </c>
      <c r="H5461" s="5">
        <f>HYPERLINK("https://api.qogita.com/variants/link/8015150110006/", "View Product")</f>
        <v/>
      </c>
    </row>
    <row r="5462">
      <c r="A5462" t="inlineStr">
        <is>
          <t>8015150132015</t>
        </is>
      </c>
      <c r="B5462" t="inlineStr">
        <is>
          <t>Collistar Impeccabile Foundation with Long-Lasting, No Transfer, Instant</t>
        </is>
      </c>
      <c r="C5462" t="inlineStr">
        <is>
          <t>Foundation</t>
        </is>
      </c>
      <c r="D5462" t="inlineStr">
        <is>
          <t>Collistar</t>
        </is>
      </c>
      <c r="E5462" t="n">
        <v>23.05</v>
      </c>
      <c r="F5462" t="n">
        <v>1</v>
      </c>
      <c r="G5462" t="n">
        <v>4</v>
      </c>
      <c r="H5462" s="5">
        <f>HYPERLINK("https://api.qogita.com/variants/link/8015150132015/", "View Product")</f>
        <v/>
      </c>
    </row>
    <row r="5463">
      <c r="A5463" t="inlineStr">
        <is>
          <t>8015150132039</t>
        </is>
      </c>
      <c r="B5463" t="inlineStr">
        <is>
          <t>Collistar Impeccabile Long Wear Foundation With Spf 15, Shade 2r, 30ml</t>
        </is>
      </c>
      <c r="C5463" t="inlineStr">
        <is>
          <t>Foundation</t>
        </is>
      </c>
      <c r="D5463" t="inlineStr">
        <is>
          <t>Collistar</t>
        </is>
      </c>
      <c r="E5463" t="n">
        <v>21.99</v>
      </c>
      <c r="F5463" t="n">
        <v>1</v>
      </c>
      <c r="G5463" t="n">
        <v>3</v>
      </c>
      <c r="H5463" s="5">
        <f>HYPERLINK("https://api.qogita.com/variants/link/8015150132039/", "View Product")</f>
        <v/>
      </c>
    </row>
    <row r="5464">
      <c r="A5464" t="inlineStr">
        <is>
          <t>8015150132091</t>
        </is>
      </c>
      <c r="B5464" t="inlineStr">
        <is>
          <t>Collistar Impeccabile Long Wear Foundation Spf 15 4r Pink Sand 30ml</t>
        </is>
      </c>
      <c r="C5464" t="inlineStr">
        <is>
          <t>Foundation</t>
        </is>
      </c>
      <c r="D5464" t="inlineStr">
        <is>
          <t>Collistar</t>
        </is>
      </c>
      <c r="E5464" t="n">
        <v>19.74</v>
      </c>
      <c r="F5464" t="n">
        <v>1</v>
      </c>
      <c r="G5464" t="n">
        <v>2</v>
      </c>
      <c r="H5464" s="5">
        <f>HYPERLINK("https://api.qogita.com/variants/link/8015150132091/", "View Product")</f>
        <v/>
      </c>
    </row>
    <row r="5465">
      <c r="A5465" t="inlineStr">
        <is>
          <t>8015150134071</t>
        </is>
      </c>
      <c r="B5465" t="inlineStr">
        <is>
          <t>Impeccable Maxi Fard Ortensia 9g</t>
        </is>
      </c>
      <c r="C5465" t="inlineStr">
        <is>
          <t>Powder</t>
        </is>
      </c>
      <c r="D5465" t="inlineStr">
        <is>
          <t>Collistar</t>
        </is>
      </c>
      <c r="E5465" t="n">
        <v>20.3</v>
      </c>
      <c r="F5465" t="n">
        <v>1</v>
      </c>
      <c r="G5465" t="n">
        <v>4</v>
      </c>
      <c r="H5465" s="5">
        <f>HYPERLINK("https://api.qogita.com/variants/link/8015150134071/", "View Product")</f>
        <v/>
      </c>
    </row>
    <row r="5466">
      <c r="A5466" t="inlineStr">
        <is>
          <t>8015150135832</t>
        </is>
      </c>
      <c r="B5466" t="inlineStr">
        <is>
          <t>Unico Foundation Face Primer Spf15 3r Rose Beige 30ml</t>
        </is>
      </c>
      <c r="C5466" t="inlineStr">
        <is>
          <t>Primer</t>
        </is>
      </c>
      <c r="D5466" t="inlineStr">
        <is>
          <t>Unico</t>
        </is>
      </c>
      <c r="E5466" t="n">
        <v>24.28</v>
      </c>
      <c r="F5466" t="n">
        <v>1</v>
      </c>
      <c r="G5466" t="n">
        <v>5</v>
      </c>
      <c r="H5466" s="5">
        <f>HYPERLINK("https://api.qogita.com/variants/link/8015150135832/", "View Product")</f>
        <v/>
      </c>
    </row>
    <row r="5467">
      <c r="A5467" t="inlineStr">
        <is>
          <t>8015150140027</t>
        </is>
      </c>
      <c r="B5467" t="inlineStr">
        <is>
          <t>Collistar Lift Hd+ Smoothing Lifting Concealer - 2 Naturale Dorato, 4ml</t>
        </is>
      </c>
      <c r="C5467" t="inlineStr">
        <is>
          <t>Concealer</t>
        </is>
      </c>
      <c r="D5467" t="inlineStr">
        <is>
          <t>Collistar</t>
        </is>
      </c>
      <c r="E5467" t="n">
        <v>16.37</v>
      </c>
      <c r="F5467" t="n">
        <v>1</v>
      </c>
      <c r="G5467" t="n">
        <v>2</v>
      </c>
      <c r="H5467" s="5">
        <f>HYPERLINK("https://api.qogita.com/variants/link/8015150140027/", "View Product")</f>
        <v/>
      </c>
    </row>
    <row r="5468">
      <c r="A5468" t="inlineStr">
        <is>
          <t>8015150189026</t>
        </is>
      </c>
      <c r="B5468" t="inlineStr">
        <is>
          <t>Collistar Not Ordinary Smooth Base Illuminate Makeup Base 30ml</t>
        </is>
      </c>
      <c r="C5468" t="inlineStr">
        <is>
          <t>Primer</t>
        </is>
      </c>
      <c r="D5468" t="inlineStr">
        <is>
          <t>Collistar</t>
        </is>
      </c>
      <c r="E5468" t="n">
        <v>13.2</v>
      </c>
      <c r="F5468" t="n">
        <v>1</v>
      </c>
      <c r="G5468" t="n">
        <v>5</v>
      </c>
      <c r="H5468" s="5">
        <f>HYPERLINK("https://api.qogita.com/variants/link/8015150189026/", "View Product")</f>
        <v/>
      </c>
    </row>
    <row r="5469">
      <c r="A5469" t="inlineStr">
        <is>
          <t>8015150189040</t>
        </is>
      </c>
      <c r="B5469" t="inlineStr">
        <is>
          <t>Collistar Not Ordinary Granita Scrub Peeling For Hands 12ml</t>
        </is>
      </c>
      <c r="C5469" t="inlineStr">
        <is>
          <t>Hand Peeling</t>
        </is>
      </c>
      <c r="D5469" t="inlineStr">
        <is>
          <t>Collistar</t>
        </is>
      </c>
      <c r="E5469" t="n">
        <v>11.52</v>
      </c>
      <c r="F5469" t="n">
        <v>1</v>
      </c>
      <c r="G5469" t="n">
        <v>5</v>
      </c>
      <c r="H5469" s="5">
        <f>HYPERLINK("https://api.qogita.com/variants/link/8015150189040/", "View Product")</f>
        <v/>
      </c>
    </row>
    <row r="5470">
      <c r="A5470" t="inlineStr">
        <is>
          <t>8015150218863</t>
        </is>
      </c>
      <c r="B5470" t="inlineStr">
        <is>
          <t>Collistar Attivi Puri Salicylic Acid Niacinamide Lotion 100 Ml</t>
        </is>
      </c>
      <c r="C5470" t="inlineStr">
        <is>
          <t>Hydrating Serum</t>
        </is>
      </c>
      <c r="D5470" t="inlineStr">
        <is>
          <t>Collistar</t>
        </is>
      </c>
      <c r="E5470" t="n">
        <v>10.59</v>
      </c>
      <c r="F5470" t="n">
        <v>1</v>
      </c>
      <c r="G5470" t="n">
        <v>7</v>
      </c>
      <c r="H5470" s="5">
        <f>HYPERLINK("https://api.qogita.com/variants/link/8015150218863/", "View Product")</f>
        <v/>
      </c>
    </row>
    <row r="5471">
      <c r="A5471" t="inlineStr">
        <is>
          <t>8015150219242</t>
        </is>
      </c>
      <c r="B5471" t="inlineStr">
        <is>
          <t>Collistar Make-Up Removing Micellar Water 250ml</t>
        </is>
      </c>
      <c r="C5471" t="inlineStr">
        <is>
          <t>Micellar Water</t>
        </is>
      </c>
      <c r="D5471" t="inlineStr">
        <is>
          <t>Collistar</t>
        </is>
      </c>
      <c r="E5471" t="n">
        <v>12.2</v>
      </c>
      <c r="F5471" t="n">
        <v>1</v>
      </c>
      <c r="G5471" t="n">
        <v>5</v>
      </c>
      <c r="H5471" s="5">
        <f>HYPERLINK("https://api.qogita.com/variants/link/8015150219242/", "View Product")</f>
        <v/>
      </c>
    </row>
    <row r="5472">
      <c r="A5472" t="inlineStr">
        <is>
          <t>8015150219280</t>
        </is>
      </c>
      <c r="B5472" t="inlineStr">
        <is>
          <t>Collistar Cleansing Powder Face - Waterless Skin Cleanser</t>
        </is>
      </c>
      <c r="C5472" t="inlineStr">
        <is>
          <t>Makeup Remover</t>
        </is>
      </c>
      <c r="D5472" t="inlineStr">
        <is>
          <t>Collistar</t>
        </is>
      </c>
      <c r="E5472" t="n">
        <v>13.61</v>
      </c>
      <c r="F5472" t="n">
        <v>1</v>
      </c>
      <c r="G5472" t="n">
        <v>15</v>
      </c>
      <c r="H5472" s="5">
        <f>HYPERLINK("https://api.qogita.com/variants/link/8015150219280/", "View Product")</f>
        <v/>
      </c>
    </row>
    <row r="5473">
      <c r="A5473" t="inlineStr">
        <is>
          <t>8015150219297</t>
        </is>
      </c>
      <c r="B5473" t="inlineStr">
        <is>
          <t>Collistar Face Care Make-Up Removing Micellar Milk - 250ml</t>
        </is>
      </c>
      <c r="C5473" t="inlineStr">
        <is>
          <t>Cleansing Milk</t>
        </is>
      </c>
      <c r="D5473" t="inlineStr">
        <is>
          <t>Collistar</t>
        </is>
      </c>
      <c r="E5473" t="n">
        <v>11.77</v>
      </c>
      <c r="F5473" t="n">
        <v>1</v>
      </c>
      <c r="G5473" t="n">
        <v>6</v>
      </c>
      <c r="H5473" s="5">
        <f>HYPERLINK("https://api.qogita.com/variants/link/8015150219297/", "View Product")</f>
        <v/>
      </c>
    </row>
    <row r="5474">
      <c r="A5474" t="inlineStr">
        <is>
          <t>8015150219358</t>
        </is>
      </c>
      <c r="B5474" t="inlineStr">
        <is>
          <t>Collistar Pure Actives Retinol Panthenol Drops 30 Ml Renewing Antiredness Serum</t>
        </is>
      </c>
      <c r="C5474" t="inlineStr">
        <is>
          <t>Anti-Aging Serum</t>
        </is>
      </c>
      <c r="D5474" t="inlineStr">
        <is>
          <t>Collistar</t>
        </is>
      </c>
      <c r="E5474" t="n">
        <v>21</v>
      </c>
      <c r="F5474" t="n">
        <v>1</v>
      </c>
      <c r="G5474" t="n">
        <v>5</v>
      </c>
      <c r="H5474" s="5">
        <f>HYPERLINK("https://api.qogita.com/variants/link/8015150219358/", "View Product")</f>
        <v/>
      </c>
    </row>
    <row r="5475">
      <c r="A5475" t="inlineStr">
        <is>
          <t>8015150247344</t>
        </is>
      </c>
      <c r="B5475" t="inlineStr">
        <is>
          <t>Collistar Idroattiva+ Anti-Pollution Cream Bb Cream For Face 03 50ml</t>
        </is>
      </c>
      <c r="C5475" t="inlineStr">
        <is>
          <t>Tinted Day Cream</t>
        </is>
      </c>
      <c r="D5475" t="inlineStr">
        <is>
          <t>Collistar</t>
        </is>
      </c>
      <c r="E5475" t="n">
        <v>22.93</v>
      </c>
      <c r="F5475" t="n">
        <v>1</v>
      </c>
      <c r="G5475" t="n">
        <v>2</v>
      </c>
      <c r="H5475" s="5">
        <f>HYPERLINK("https://api.qogita.com/variants/link/8015150247344/", "View Product")</f>
        <v/>
      </c>
    </row>
    <row r="5476">
      <c r="A5476" t="inlineStr">
        <is>
          <t>8015150247351</t>
        </is>
      </c>
      <c r="B5476" t="inlineStr">
        <is>
          <t>Collistar Rigenera Smoothing Anti-Wrinkle Glow Treatment Face Cream 50ml</t>
        </is>
      </c>
      <c r="C5476" t="inlineStr">
        <is>
          <t>Anti-Aging Facial Care</t>
        </is>
      </c>
      <c r="D5476" t="inlineStr">
        <is>
          <t>Collistar</t>
        </is>
      </c>
      <c r="E5476" t="n">
        <v>29.99</v>
      </c>
      <c r="F5476" t="n">
        <v>1</v>
      </c>
      <c r="G5476" t="n">
        <v>5</v>
      </c>
      <c r="H5476" s="5">
        <f>HYPERLINK("https://api.qogita.com/variants/link/8015150247351/", "View Product")</f>
        <v/>
      </c>
    </row>
    <row r="5477">
      <c r="A5477" t="inlineStr">
        <is>
          <t>8015150248013</t>
        </is>
      </c>
      <c r="B5477" t="inlineStr">
        <is>
          <t>Collistar Rigenera Smoothing Antiwrinkle Eye Contour 15ml</t>
        </is>
      </c>
      <c r="C5477" t="inlineStr">
        <is>
          <t>Eye Cream</t>
        </is>
      </c>
      <c r="D5477" t="inlineStr">
        <is>
          <t>Collistar</t>
        </is>
      </c>
      <c r="E5477" t="n">
        <v>21.15</v>
      </c>
      <c r="F5477" t="n">
        <v>1</v>
      </c>
      <c r="G5477" t="n">
        <v>3</v>
      </c>
      <c r="H5477" s="5">
        <f>HYPERLINK("https://api.qogita.com/variants/link/8015150248013/", "View Product")</f>
        <v/>
      </c>
    </row>
    <row r="5478">
      <c r="A5478" t="inlineStr">
        <is>
          <t>8015150248044</t>
        </is>
      </c>
      <c r="B5478" t="inlineStr">
        <is>
          <t>Collistar Face Rigenera Anti-Wrinkle Repairing Night Cream - 50ml</t>
        </is>
      </c>
      <c r="C5478" t="inlineStr">
        <is>
          <t>Night Cream</t>
        </is>
      </c>
      <c r="D5478" t="inlineStr">
        <is>
          <t>Collistar</t>
        </is>
      </c>
      <c r="E5478" t="n">
        <v>29.99</v>
      </c>
      <c r="F5478" t="n">
        <v>1</v>
      </c>
      <c r="G5478" t="n">
        <v>5</v>
      </c>
      <c r="H5478" s="5">
        <f>HYPERLINK("https://api.qogita.com/variants/link/8015150248044/", "View Product")</f>
        <v/>
      </c>
    </row>
    <row r="5479">
      <c r="A5479" t="inlineStr">
        <is>
          <t>8015150251136</t>
        </is>
      </c>
      <c r="B5479" t="inlineStr">
        <is>
          <t>Collistar Multi-Active Deodorant Cream 75ml</t>
        </is>
      </c>
      <c r="C5479" t="inlineStr">
        <is>
          <t>Deodorant &amp; Anti-Perspirant</t>
        </is>
      </c>
      <c r="D5479" t="inlineStr">
        <is>
          <t>Collistar</t>
        </is>
      </c>
      <c r="E5479" t="n">
        <v>10.46</v>
      </c>
      <c r="F5479" t="n">
        <v>1</v>
      </c>
      <c r="G5479" t="n">
        <v>24</v>
      </c>
      <c r="H5479" s="5">
        <f>HYPERLINK("https://api.qogita.com/variants/link/8015150251136/", "View Product")</f>
        <v/>
      </c>
    </row>
    <row r="5480">
      <c r="A5480" t="inlineStr">
        <is>
          <t>8015150251693</t>
        </is>
      </c>
      <c r="B5480" t="inlineStr">
        <is>
          <t>Collistar Anti-Water Talasso-Scrub Body Peeling 300g</t>
        </is>
      </c>
      <c r="C5480" t="inlineStr">
        <is>
          <t>Body Scrub &amp; Peeling</t>
        </is>
      </c>
      <c r="D5480" t="inlineStr">
        <is>
          <t>Collistar</t>
        </is>
      </c>
      <c r="E5480" t="n">
        <v>14.94</v>
      </c>
      <c r="F5480" t="n">
        <v>1</v>
      </c>
      <c r="G5480" t="n">
        <v>2</v>
      </c>
      <c r="H5480" s="5">
        <f>HYPERLINK("https://api.qogita.com/variants/link/8015150251693/", "View Product")</f>
        <v/>
      </c>
    </row>
    <row r="5481">
      <c r="A5481" t="inlineStr">
        <is>
          <t>8015150251952</t>
        </is>
      </c>
      <c r="B5481" t="inlineStr">
        <is>
          <t>Collistar Sublime Melting Cream Nourishing Body Cream 400ml</t>
        </is>
      </c>
      <c r="C5481" t="inlineStr">
        <is>
          <t>Body Lotion</t>
        </is>
      </c>
      <c r="D5481" t="inlineStr">
        <is>
          <t>Collistar</t>
        </is>
      </c>
      <c r="E5481" t="n">
        <v>27.32</v>
      </c>
      <c r="F5481" t="n">
        <v>1</v>
      </c>
      <c r="G5481" t="n">
        <v>5</v>
      </c>
      <c r="H5481" s="5">
        <f>HYPERLINK("https://api.qogita.com/variants/link/8015150251952/", "View Product")</f>
        <v/>
      </c>
    </row>
    <row r="5482">
      <c r="A5482" t="inlineStr">
        <is>
          <t>8015150252676</t>
        </is>
      </c>
      <c r="B5482" t="inlineStr">
        <is>
          <t>Collistar High-Definition Slimming Cream 400ml</t>
        </is>
      </c>
      <c r="C5482" t="inlineStr">
        <is>
          <t>Anti-Cellulite</t>
        </is>
      </c>
      <c r="D5482" t="inlineStr">
        <is>
          <t>Collistar</t>
        </is>
      </c>
      <c r="E5482" t="n">
        <v>26.22</v>
      </c>
      <c r="F5482" t="n">
        <v>1</v>
      </c>
      <c r="G5482" t="n">
        <v>7</v>
      </c>
      <c r="H5482" s="5">
        <f>HYPERLINK("https://api.qogita.com/variants/link/8015150252676/", "View Product")</f>
        <v/>
      </c>
    </row>
    <row r="5483">
      <c r="A5483" t="inlineStr">
        <is>
          <t>8015150260268</t>
        </is>
      </c>
      <c r="B5483" t="inlineStr">
        <is>
          <t>Perfect Tanning Protective Cream SPF15 150ml</t>
        </is>
      </c>
      <c r="C5483" t="inlineStr">
        <is>
          <t>Body Sun Protection</t>
        </is>
      </c>
      <c r="D5483" t="inlineStr">
        <is>
          <t>Collistar</t>
        </is>
      </c>
      <c r="E5483" t="n">
        <v>17.3</v>
      </c>
      <c r="F5483" t="n">
        <v>1</v>
      </c>
      <c r="G5483" t="n">
        <v>7</v>
      </c>
      <c r="H5483" s="5">
        <f>HYPERLINK("https://api.qogita.com/variants/link/8015150260268/", "View Product")</f>
        <v/>
      </c>
    </row>
    <row r="5484">
      <c r="A5484" t="inlineStr">
        <is>
          <t>8015150260978</t>
        </is>
      </c>
      <c r="B5484" t="inlineStr">
        <is>
          <t>Collistar Special Perfect Tanning Active Protection Sun Cream Spf50+ Anti-Aging 100ml</t>
        </is>
      </c>
      <c r="C5484" t="inlineStr">
        <is>
          <t>Body Sun Protection</t>
        </is>
      </c>
      <c r="D5484" t="inlineStr">
        <is>
          <t>Collistar</t>
        </is>
      </c>
      <c r="E5484" t="n">
        <v>19.12</v>
      </c>
      <c r="F5484" t="n">
        <v>1</v>
      </c>
      <c r="G5484" t="n">
        <v>28</v>
      </c>
      <c r="H5484" s="5">
        <f>HYPERLINK("https://api.qogita.com/variants/link/8015150260978/", "View Product")</f>
        <v/>
      </c>
    </row>
    <row r="5485">
      <c r="A5485" t="inlineStr">
        <is>
          <t>8015150262088</t>
        </is>
      </c>
      <c r="B5485" t="inlineStr">
        <is>
          <t>Collistar Supertanning Water Moisturizing Anti Salt 400ml With Aloe Milk</t>
        </is>
      </c>
      <c r="C5485" t="inlineStr">
        <is>
          <t>Body Sun Protection</t>
        </is>
      </c>
      <c r="D5485" t="inlineStr">
        <is>
          <t>Collistar</t>
        </is>
      </c>
      <c r="E5485" t="n">
        <v>15.32</v>
      </c>
      <c r="F5485" t="n">
        <v>1</v>
      </c>
      <c r="G5485" t="n">
        <v>3</v>
      </c>
      <c r="H5485" s="5">
        <f>HYPERLINK("https://api.qogita.com/variants/link/8015150262088/", "View Product")</f>
        <v/>
      </c>
    </row>
    <row r="5486">
      <c r="A5486" t="inlineStr">
        <is>
          <t>8015150262491</t>
        </is>
      </c>
      <c r="B5486" t="inlineStr">
        <is>
          <t>Collistar Supertanning Concentrate Unguent Spf 10 150ml</t>
        </is>
      </c>
      <c r="C5486" t="inlineStr">
        <is>
          <t>Body Sun Protection</t>
        </is>
      </c>
      <c r="D5486" t="inlineStr">
        <is>
          <t>Collistar</t>
        </is>
      </c>
      <c r="E5486" t="n">
        <v>18.42</v>
      </c>
      <c r="F5486" t="n">
        <v>1</v>
      </c>
      <c r="G5486" t="n">
        <v>5</v>
      </c>
      <c r="H5486" s="5">
        <f>HYPERLINK("https://api.qogita.com/variants/link/8015150262491/", "View Product")</f>
        <v/>
      </c>
    </row>
    <row r="5487">
      <c r="A5487" t="inlineStr">
        <is>
          <t>8015150284080</t>
        </is>
      </c>
      <c r="B5487" t="inlineStr">
        <is>
          <t>Collistar Multiactive Deodorant 24 Hours For Men 125ml</t>
        </is>
      </c>
      <c r="C5487" t="inlineStr">
        <is>
          <t>Deodorant &amp; Anti-Perspirant</t>
        </is>
      </c>
      <c r="D5487" t="inlineStr">
        <is>
          <t>Collistar</t>
        </is>
      </c>
      <c r="E5487" t="n">
        <v>10.87</v>
      </c>
      <c r="F5487" t="n">
        <v>1</v>
      </c>
      <c r="G5487" t="n">
        <v>3</v>
      </c>
      <c r="H5487" s="5">
        <f>HYPERLINK("https://api.qogita.com/variants/link/8015150284080/", "View Product")</f>
        <v/>
      </c>
    </row>
    <row r="5488">
      <c r="A5488" t="inlineStr">
        <is>
          <t>8015150285254</t>
        </is>
      </c>
      <c r="B5488" t="inlineStr">
        <is>
          <t>Collistar Hydra Uomo Total Freshness Moisturizing Cream Gel for Face and Eyes 80ml</t>
        </is>
      </c>
      <c r="C5488" t="inlineStr">
        <is>
          <t>Face Cream</t>
        </is>
      </c>
      <c r="D5488" t="inlineStr">
        <is>
          <t>Collistar</t>
        </is>
      </c>
      <c r="E5488" t="n">
        <v>18.67</v>
      </c>
      <c r="F5488" t="n">
        <v>1</v>
      </c>
      <c r="G5488" t="n">
        <v>14</v>
      </c>
      <c r="H5488" s="5">
        <f>HYPERLINK("https://api.qogita.com/variants/link/8015150285254/", "View Product")</f>
        <v/>
      </c>
    </row>
    <row r="5489">
      <c r="A5489" t="inlineStr">
        <is>
          <t>8015150285452</t>
        </is>
      </c>
      <c r="B5489" t="inlineStr">
        <is>
          <t>Collistar Acqua Attiva Energetic Eau de Toilette with Citrus Notes 100ml</t>
        </is>
      </c>
      <c r="C5489" t="inlineStr">
        <is>
          <t>Eau De Toilette</t>
        </is>
      </c>
      <c r="D5489" t="inlineStr">
        <is>
          <t>Collistar</t>
        </is>
      </c>
      <c r="E5489" t="n">
        <v>24.87</v>
      </c>
      <c r="F5489" t="n">
        <v>1</v>
      </c>
      <c r="G5489" t="n">
        <v>18</v>
      </c>
      <c r="H5489" s="5">
        <f>HYPERLINK("https://api.qogita.com/variants/link/8015150285452/", "View Product")</f>
        <v/>
      </c>
    </row>
    <row r="5490">
      <c r="A5490" t="inlineStr">
        <is>
          <t>8015150285476</t>
        </is>
      </c>
      <c r="B5490" t="inlineStr">
        <is>
          <t>Collistar Acqua Vetiver Eau De Toilette Spray 100ml</t>
        </is>
      </c>
      <c r="C5490" t="inlineStr">
        <is>
          <t>Eau De Toilette</t>
        </is>
      </c>
      <c r="D5490" t="inlineStr">
        <is>
          <t>Collistar</t>
        </is>
      </c>
      <c r="E5490" t="n">
        <v>28.2</v>
      </c>
      <c r="F5490" t="n">
        <v>1</v>
      </c>
      <c r="G5490" t="n">
        <v>14</v>
      </c>
      <c r="H5490" s="5">
        <f>HYPERLINK("https://api.qogita.com/variants/link/8015150285476/", "View Product")</f>
        <v/>
      </c>
    </row>
    <row r="5491">
      <c r="A5491" t="inlineStr">
        <is>
          <t>8015150285483</t>
        </is>
      </c>
      <c r="B5491" t="inlineStr">
        <is>
          <t>Collistar Acqua Vetiver Shower Gel Shampoo for Men 250ml</t>
        </is>
      </c>
      <c r="C5491" t="inlineStr">
        <is>
          <t>Shower Gel</t>
        </is>
      </c>
      <c r="D5491" t="inlineStr">
        <is>
          <t>Collistar</t>
        </is>
      </c>
      <c r="E5491" t="n">
        <v>14.95</v>
      </c>
      <c r="F5491" t="n">
        <v>1</v>
      </c>
      <c r="G5491" t="n">
        <v>15</v>
      </c>
      <c r="H5491" s="5">
        <f>HYPERLINK("https://api.qogita.com/variants/link/8015150285483/", "View Product")</f>
        <v/>
      </c>
    </row>
    <row r="5492">
      <c r="A5492" t="inlineStr">
        <is>
          <t>8015150285490</t>
        </is>
      </c>
      <c r="B5492" t="inlineStr">
        <is>
          <t>Collistar Acqua Wood Invigorating Eau De Toilette with Woody Notes</t>
        </is>
      </c>
      <c r="C5492" t="inlineStr">
        <is>
          <t>Eau De Toilette</t>
        </is>
      </c>
      <c r="D5492" t="inlineStr">
        <is>
          <t>Collistar</t>
        </is>
      </c>
      <c r="E5492" t="n">
        <v>28.2</v>
      </c>
      <c r="F5492" t="n">
        <v>1</v>
      </c>
      <c r="G5492" t="n">
        <v>5</v>
      </c>
      <c r="H5492" s="5">
        <f>HYPERLINK("https://api.qogita.com/variants/link/8015150285490/", "View Product")</f>
        <v/>
      </c>
    </row>
    <row r="5493">
      <c r="A5493" t="inlineStr">
        <is>
          <t>8015150285513</t>
        </is>
      </c>
      <c r="B5493" t="inlineStr">
        <is>
          <t>Collistar Hyaluronic Acid Caffeine Eye Cream 15 Ml</t>
        </is>
      </c>
      <c r="C5493" t="inlineStr">
        <is>
          <t>Eye Cream</t>
        </is>
      </c>
      <c r="D5493" t="inlineStr">
        <is>
          <t>Collistar</t>
        </is>
      </c>
      <c r="E5493" t="n">
        <v>21.55</v>
      </c>
      <c r="F5493" t="n">
        <v>1</v>
      </c>
      <c r="G5493" t="n">
        <v>15</v>
      </c>
      <c r="H5493" s="5">
        <f>HYPERLINK("https://api.qogita.com/variants/link/8015150285513/", "View Product")</f>
        <v/>
      </c>
    </row>
    <row r="5494">
      <c r="A5494" t="inlineStr">
        <is>
          <t>8015150285568</t>
        </is>
      </c>
      <c r="B5494" t="inlineStr">
        <is>
          <t>Collistar Uomo After Shave Repair Balm 100ml For Dry And Sensitive Skin</t>
        </is>
      </c>
      <c r="C5494" t="inlineStr">
        <is>
          <t>Aftershave</t>
        </is>
      </c>
      <c r="D5494" t="inlineStr">
        <is>
          <t>Collistar</t>
        </is>
      </c>
      <c r="E5494" t="n">
        <v>21.63</v>
      </c>
      <c r="F5494" t="n">
        <v>1</v>
      </c>
      <c r="G5494" t="n">
        <v>5</v>
      </c>
      <c r="H5494" s="5">
        <f>HYPERLINK("https://api.qogita.com/variants/link/8015150285568/", "View Product")</f>
        <v/>
      </c>
    </row>
    <row r="5495">
      <c r="A5495" t="inlineStr">
        <is>
          <t>8015150285582</t>
        </is>
      </c>
      <c r="B5495" t="inlineStr">
        <is>
          <t>Collistar Uomo Shaving Cream - 200ml</t>
        </is>
      </c>
      <c r="C5495" t="inlineStr">
        <is>
          <t>Shaving</t>
        </is>
      </c>
      <c r="D5495" t="inlineStr">
        <is>
          <t>Collistar</t>
        </is>
      </c>
      <c r="E5495" t="n">
        <v>15.48</v>
      </c>
      <c r="F5495" t="n">
        <v>1</v>
      </c>
      <c r="G5495" t="n">
        <v>3</v>
      </c>
      <c r="H5495" s="5">
        <f>HYPERLINK("https://api.qogita.com/variants/link/8015150285582/", "View Product")</f>
        <v/>
      </c>
    </row>
    <row r="5496">
      <c r="A5496" t="inlineStr">
        <is>
          <t>8015150285599</t>
        </is>
      </c>
      <c r="B5496" t="inlineStr">
        <is>
          <t>Collistar Uomo Cleansing Scrub Peeling - 100ml</t>
        </is>
      </c>
      <c r="C5496" t="inlineStr">
        <is>
          <t>Facial Scrub &amp; Peeling</t>
        </is>
      </c>
      <c r="D5496" t="inlineStr">
        <is>
          <t>Collistar</t>
        </is>
      </c>
      <c r="E5496" t="n">
        <v>12.52</v>
      </c>
      <c r="F5496" t="n">
        <v>1</v>
      </c>
      <c r="G5496" t="n">
        <v>5</v>
      </c>
      <c r="H5496" s="5">
        <f>HYPERLINK("https://api.qogita.com/variants/link/8015150285599/", "View Product")</f>
        <v/>
      </c>
    </row>
    <row r="5497">
      <c r="A5497" t="inlineStr">
        <is>
          <t>8015150297288</t>
        </is>
      </c>
      <c r="B5497" t="inlineStr">
        <is>
          <t>Collistar Attivi Puri Collagen Hair Conditioner 200ml</t>
        </is>
      </c>
      <c r="C5497" t="inlineStr">
        <is>
          <t>Conditioner</t>
        </is>
      </c>
      <c r="D5497" t="inlineStr">
        <is>
          <t>Collistar</t>
        </is>
      </c>
      <c r="E5497" t="n">
        <v>15.04</v>
      </c>
      <c r="F5497" t="n">
        <v>1</v>
      </c>
      <c r="G5497" t="n">
        <v>26</v>
      </c>
      <c r="H5497" s="5">
        <f>HYPERLINK("https://api.qogita.com/variants/link/8015150297288/", "View Product")</f>
        <v/>
      </c>
    </row>
    <row r="5498">
      <c r="A5498" t="inlineStr">
        <is>
          <t>8015150297301</t>
        </is>
      </c>
      <c r="B5498" t="inlineStr">
        <is>
          <t>Collistar Attivi Puri Shampoo With Hyaluronic Acid Hair Shampoo 250ml</t>
        </is>
      </c>
      <c r="C5498" t="inlineStr">
        <is>
          <t>Shampoo</t>
        </is>
      </c>
      <c r="D5498" t="inlineStr">
        <is>
          <t>Collistar</t>
        </is>
      </c>
      <c r="E5498" t="n">
        <v>10.38</v>
      </c>
      <c r="F5498" t="n">
        <v>1</v>
      </c>
      <c r="G5498" t="n">
        <v>12</v>
      </c>
      <c r="H5498" s="5">
        <f>HYPERLINK("https://api.qogita.com/variants/link/8015150297301/", "View Product")</f>
        <v/>
      </c>
    </row>
    <row r="5499">
      <c r="A5499" t="inlineStr">
        <is>
          <t>8016741162534</t>
        </is>
      </c>
      <c r="B5499" t="inlineStr">
        <is>
          <t>Tiziana Terenzi Eclix Extrait De Parfum Spray 100ml</t>
        </is>
      </c>
      <c r="C5499" t="inlineStr">
        <is>
          <t>Extrait De Parfum</t>
        </is>
      </c>
      <c r="D5499" t="inlineStr">
        <is>
          <t>Tiziana Terenzi</t>
        </is>
      </c>
      <c r="E5499" t="n">
        <v>79.94</v>
      </c>
      <c r="F5499" t="n">
        <v>1</v>
      </c>
      <c r="G5499" t="n">
        <v>15</v>
      </c>
      <c r="H5499" s="5">
        <f>HYPERLINK("https://api.qogita.com/variants/link/8016741162534/", "View Product")</f>
        <v/>
      </c>
    </row>
    <row r="5500">
      <c r="A5500" t="inlineStr">
        <is>
          <t>8016741182433</t>
        </is>
      </c>
      <c r="B5500" t="inlineStr">
        <is>
          <t>V Canto Amans Extrait De Parfum Spray 100ml</t>
        </is>
      </c>
      <c r="C5500" t="inlineStr">
        <is>
          <t>Extrait De Parfum</t>
        </is>
      </c>
      <c r="D5500" t="inlineStr">
        <is>
          <t>V Canto</t>
        </is>
      </c>
      <c r="E5500" t="n">
        <v>62.62</v>
      </c>
      <c r="F5500" t="n">
        <v>1</v>
      </c>
      <c r="G5500" t="n">
        <v>14</v>
      </c>
      <c r="H5500" s="5">
        <f>HYPERLINK("https://api.qogita.com/variants/link/8016741182433/", "View Product")</f>
        <v/>
      </c>
    </row>
    <row r="5501">
      <c r="A5501" t="inlineStr">
        <is>
          <t>8016741192432</t>
        </is>
      </c>
      <c r="B5501" t="inlineStr">
        <is>
          <t>V Canto Cor Gentile Extrait De Parfum 100ml</t>
        </is>
      </c>
      <c r="C5501" t="inlineStr">
        <is>
          <t>Extrait De Parfum</t>
        </is>
      </c>
      <c r="D5501" t="inlineStr">
        <is>
          <t>V Canto</t>
        </is>
      </c>
      <c r="E5501" t="n">
        <v>60.06</v>
      </c>
      <c r="F5501" t="n">
        <v>1</v>
      </c>
      <c r="G5501" t="n">
        <v>5</v>
      </c>
      <c r="H5501" s="5">
        <f>HYPERLINK("https://api.qogita.com/variants/link/8016741192432/", "View Product")</f>
        <v/>
      </c>
    </row>
    <row r="5502">
      <c r="A5502" t="inlineStr">
        <is>
          <t>8016741332517</t>
        </is>
      </c>
      <c r="B5502" t="inlineStr">
        <is>
          <t>Tiziana Terenzi Saiph Extrait De Parfum Spray 100ml</t>
        </is>
      </c>
      <c r="C5502" t="inlineStr">
        <is>
          <t>Extrait De Parfum</t>
        </is>
      </c>
      <c r="D5502" t="inlineStr">
        <is>
          <t>Tiziana Terenzi</t>
        </is>
      </c>
      <c r="E5502" t="n">
        <v>119.44</v>
      </c>
      <c r="F5502" t="n">
        <v>1</v>
      </c>
      <c r="G5502" t="n">
        <v>17</v>
      </c>
      <c r="H5502" s="5">
        <f>HYPERLINK("https://api.qogita.com/variants/link/8016741332517/", "View Product")</f>
        <v/>
      </c>
    </row>
    <row r="5503">
      <c r="A5503" t="inlineStr">
        <is>
          <t>8016741372629</t>
        </is>
      </c>
      <c r="B5503" t="inlineStr">
        <is>
          <t>Tiziana Terenzi Rosso Pompei Extrait de Parfum 100ml for Women</t>
        </is>
      </c>
      <c r="C5503" t="inlineStr">
        <is>
          <t>Extrait De Parfum</t>
        </is>
      </c>
      <c r="D5503" t="inlineStr">
        <is>
          <t>Tiziana Terenzi</t>
        </is>
      </c>
      <c r="E5503" t="n">
        <v>122.69</v>
      </c>
      <c r="F5503" t="n">
        <v>1</v>
      </c>
      <c r="G5503" t="n">
        <v>80</v>
      </c>
      <c r="H5503" s="5">
        <f>HYPERLINK("https://api.qogita.com/variants/link/8016741372629/", "View Product")</f>
        <v/>
      </c>
    </row>
    <row r="5504">
      <c r="A5504" t="inlineStr">
        <is>
          <t>8016741372636</t>
        </is>
      </c>
      <c r="B5504" t="inlineStr">
        <is>
          <t>Tiziana Terenzi Delox Perfumed Hairspray 50ml Unisex</t>
        </is>
      </c>
      <c r="C5504" t="inlineStr">
        <is>
          <t>Hairspray</t>
        </is>
      </c>
      <c r="D5504" t="inlineStr">
        <is>
          <t>Tiziana Terenzi</t>
        </is>
      </c>
      <c r="E5504" t="n">
        <v>44.85</v>
      </c>
      <c r="F5504" t="n">
        <v>1</v>
      </c>
      <c r="G5504" t="n">
        <v>7</v>
      </c>
      <c r="H5504" s="5">
        <f>HYPERLINK("https://api.qogita.com/variants/link/8016741372636/", "View Product")</f>
        <v/>
      </c>
    </row>
    <row r="5505">
      <c r="A5505" t="inlineStr">
        <is>
          <t>8016741482571</t>
        </is>
      </c>
      <c r="B5505" t="inlineStr">
        <is>
          <t>Tiziana Terenzi Nero Oudh Extrait De Parfum Spray 100ml</t>
        </is>
      </c>
      <c r="C5505" t="inlineStr">
        <is>
          <t>Extrait De Parfum</t>
        </is>
      </c>
      <c r="D5505" t="inlineStr">
        <is>
          <t>Tiziana Terenzi</t>
        </is>
      </c>
      <c r="E5505" t="n">
        <v>101.2</v>
      </c>
      <c r="F5505" t="n">
        <v>1</v>
      </c>
      <c r="G5505" t="n">
        <v>3</v>
      </c>
      <c r="H5505" s="5">
        <f>HYPERLINK("https://api.qogita.com/variants/link/8016741482571/", "View Product")</f>
        <v/>
      </c>
    </row>
    <row r="5506">
      <c r="A5506" t="inlineStr">
        <is>
          <t>8016741582578</t>
        </is>
      </c>
      <c r="B5506" t="inlineStr">
        <is>
          <t>Tiziana Terenzi Caput Mundi Extrait De Parfum Spray 100ml</t>
        </is>
      </c>
      <c r="C5506" t="inlineStr">
        <is>
          <t>Extrait De Parfum</t>
        </is>
      </c>
      <c r="D5506" t="inlineStr">
        <is>
          <t>Tiziana Terenzi</t>
        </is>
      </c>
      <c r="E5506" t="n">
        <v>82.19</v>
      </c>
      <c r="F5506" t="n">
        <v>1</v>
      </c>
      <c r="G5506" t="n">
        <v>2</v>
      </c>
      <c r="H5506" s="5">
        <f>HYPERLINK("https://api.qogita.com/variants/link/8016741582578/", "View Product")</f>
        <v/>
      </c>
    </row>
    <row r="5507">
      <c r="A5507" t="inlineStr">
        <is>
          <t>8016741702600</t>
        </is>
      </c>
      <c r="B5507" t="inlineStr">
        <is>
          <t>Canto Psiche V Extrait De Parfum Spray 100ml</t>
        </is>
      </c>
      <c r="C5507" t="inlineStr">
        <is>
          <t>Extrait De Parfum</t>
        </is>
      </c>
      <c r="D5507" t="inlineStr">
        <is>
          <t>Canto</t>
        </is>
      </c>
      <c r="E5507" t="n">
        <v>114.31</v>
      </c>
      <c r="F5507" t="n">
        <v>1</v>
      </c>
      <c r="G5507" t="n">
        <v>6</v>
      </c>
      <c r="H5507" s="5">
        <f>HYPERLINK("https://api.qogita.com/variants/link/8016741702600/", "View Product")</f>
        <v/>
      </c>
    </row>
    <row r="5508">
      <c r="A5508" t="inlineStr">
        <is>
          <t>8016741712609</t>
        </is>
      </c>
      <c r="B5508" t="inlineStr">
        <is>
          <t>V Canto Temptatio Extrait De Parfum Spray 100ml</t>
        </is>
      </c>
      <c r="C5508" t="inlineStr">
        <is>
          <t>Extrait De Parfum</t>
        </is>
      </c>
      <c r="D5508" t="inlineStr">
        <is>
          <t>V Canto</t>
        </is>
      </c>
      <c r="E5508" t="n">
        <v>126.41</v>
      </c>
      <c r="F5508" t="n">
        <v>1</v>
      </c>
      <c r="G5508" t="n">
        <v>14</v>
      </c>
      <c r="H5508" s="5">
        <f>HYPERLINK("https://api.qogita.com/variants/link/8016741712609/", "View Product")</f>
        <v/>
      </c>
    </row>
    <row r="5509">
      <c r="A5509" t="inlineStr">
        <is>
          <t>8016741732638</t>
        </is>
      </c>
      <c r="B5509" t="inlineStr">
        <is>
          <t>Tiziana Terenzi Bordel Unisex Perfume 100ml</t>
        </is>
      </c>
      <c r="C5509" t="inlineStr">
        <is>
          <t>Eau De Parfum</t>
        </is>
      </c>
      <c r="D5509" t="inlineStr">
        <is>
          <t>Tiziana Terenzi</t>
        </is>
      </c>
      <c r="E5509" t="n">
        <v>119.03</v>
      </c>
      <c r="F5509" t="n">
        <v>1</v>
      </c>
      <c r="G5509" t="n">
        <v>11</v>
      </c>
      <c r="H5509" s="5">
        <f>HYPERLINK("https://api.qogita.com/variants/link/8016741732638/", "View Product")</f>
        <v/>
      </c>
    </row>
    <row r="5510">
      <c r="A5510" t="inlineStr">
        <is>
          <t>8016741852510</t>
        </is>
      </c>
      <c r="B5510" t="inlineStr">
        <is>
          <t>Tiziana Terenzi Kaff Extrait De Parfum Spray 100ml</t>
        </is>
      </c>
      <c r="C5510" t="inlineStr">
        <is>
          <t>Extrait De Parfum</t>
        </is>
      </c>
      <c r="D5510" t="inlineStr">
        <is>
          <t>Tiziana Terenzi</t>
        </is>
      </c>
      <c r="E5510" t="n">
        <v>132.09</v>
      </c>
      <c r="F5510" t="n">
        <v>1</v>
      </c>
      <c r="G5510" t="n">
        <v>4</v>
      </c>
      <c r="H5510" s="5">
        <f>HYPERLINK("https://api.qogita.com/variants/link/8016741852510/", "View Product")</f>
        <v/>
      </c>
    </row>
    <row r="5511">
      <c r="A5511" t="inlineStr">
        <is>
          <t>8016741872600</t>
        </is>
      </c>
      <c r="B5511" t="inlineStr">
        <is>
          <t>Giardino Benessere Themis Extrait De Parfum Spray 100ml</t>
        </is>
      </c>
      <c r="C5511" t="inlineStr">
        <is>
          <t>Extrait De Parfum</t>
        </is>
      </c>
      <c r="D5511" t="inlineStr">
        <is>
          <t>Giardino Benessere</t>
        </is>
      </c>
      <c r="E5511" t="n">
        <v>83.62</v>
      </c>
      <c r="F5511" t="n">
        <v>1</v>
      </c>
      <c r="G5511" t="n">
        <v>10</v>
      </c>
      <c r="H5511" s="5">
        <f>HYPERLINK("https://api.qogita.com/variants/link/8016741872600/", "View Product")</f>
        <v/>
      </c>
    </row>
    <row r="5512">
      <c r="A5512" t="inlineStr">
        <is>
          <t>8016741882586</t>
        </is>
      </c>
      <c r="B5512" t="inlineStr">
        <is>
          <t>Tiziana Terenzi Draconis Extrait De Parfum Spray 100ml</t>
        </is>
      </c>
      <c r="C5512" t="inlineStr">
        <is>
          <t>Extrait De Parfum</t>
        </is>
      </c>
      <c r="D5512" t="inlineStr">
        <is>
          <t>Tiziana Terenzi</t>
        </is>
      </c>
      <c r="E5512" t="n">
        <v>117.15</v>
      </c>
      <c r="F5512" t="n">
        <v>1</v>
      </c>
      <c r="G5512" t="n">
        <v>10</v>
      </c>
      <c r="H5512" s="5">
        <f>HYPERLINK("https://api.qogita.com/variants/link/8016741882586/", "View Product")</f>
        <v/>
      </c>
    </row>
    <row r="5513">
      <c r="A5513" t="inlineStr">
        <is>
          <t>8016741892653</t>
        </is>
      </c>
      <c r="B5513" t="inlineStr">
        <is>
          <t>Tiziana Terenzi Luna Collection Tyrenum Extrait De Parfum Unisex 100ml</t>
        </is>
      </c>
      <c r="C5513" t="inlineStr">
        <is>
          <t>Extrait De Parfum</t>
        </is>
      </c>
      <c r="D5513" t="inlineStr">
        <is>
          <t>Tiziana Terenzi</t>
        </is>
      </c>
      <c r="E5513" t="n">
        <v>83.04000000000001</v>
      </c>
      <c r="F5513" t="n">
        <v>1</v>
      </c>
      <c r="G5513" t="n">
        <v>6</v>
      </c>
      <c r="H5513" s="5">
        <f>HYPERLINK("https://api.qogita.com/variants/link/8016741892653/", "View Product")</f>
        <v/>
      </c>
    </row>
    <row r="5514">
      <c r="A5514" t="inlineStr">
        <is>
          <t>8016741912511</t>
        </is>
      </c>
      <c r="B5514" t="inlineStr">
        <is>
          <t>Trussardi Uomo Levriero Collection Eau De Parfum 100ml for Men</t>
        </is>
      </c>
      <c r="C5514" t="inlineStr">
        <is>
          <t>Eau De Parfum</t>
        </is>
      </c>
      <c r="D5514" t="inlineStr">
        <is>
          <t>V Canto</t>
        </is>
      </c>
      <c r="E5514" t="n">
        <v>114.73</v>
      </c>
      <c r="F5514" t="n">
        <v>1</v>
      </c>
      <c r="G5514" t="n">
        <v>4</v>
      </c>
      <c r="H5514" s="5">
        <f>HYPERLINK("https://api.qogita.com/variants/link/8016741912511/", "View Product")</f>
        <v/>
      </c>
    </row>
    <row r="5515">
      <c r="A5515" t="inlineStr">
        <is>
          <t>8016741912634</t>
        </is>
      </c>
      <c r="B5515" t="inlineStr">
        <is>
          <t>Giardino Benessere Back To Musk Eau De Parfum Spray 100ml</t>
        </is>
      </c>
      <c r="C5515" t="inlineStr">
        <is>
          <t>Eau De Parfum</t>
        </is>
      </c>
      <c r="D5515" t="inlineStr">
        <is>
          <t>Giardino Benessere</t>
        </is>
      </c>
      <c r="E5515" t="n">
        <v>41.93</v>
      </c>
      <c r="F5515" t="n">
        <v>1</v>
      </c>
      <c r="G5515" t="n">
        <v>4</v>
      </c>
      <c r="H5515" s="5">
        <f>HYPERLINK("https://api.qogita.com/variants/link/8016741912634/", "View Product")</f>
        <v/>
      </c>
    </row>
    <row r="5516">
      <c r="A5516" t="inlineStr">
        <is>
          <t>8016741952500</t>
        </is>
      </c>
      <c r="B5516" t="inlineStr">
        <is>
          <t>Garden Wellbeing Pink Dorotea Eau de Parfum 100ml</t>
        </is>
      </c>
      <c r="C5516" t="inlineStr">
        <is>
          <t>Eau De Parfum</t>
        </is>
      </c>
      <c r="D5516" t="inlineStr">
        <is>
          <t>Giardino Benessere</t>
        </is>
      </c>
      <c r="E5516" t="n">
        <v>43.02</v>
      </c>
      <c r="F5516" t="n">
        <v>1</v>
      </c>
      <c r="G5516" t="n">
        <v>7</v>
      </c>
      <c r="H5516" s="5">
        <f>HYPERLINK("https://api.qogita.com/variants/link/8016741952500/", "View Product")</f>
        <v/>
      </c>
    </row>
    <row r="5517">
      <c r="A5517" t="inlineStr">
        <is>
          <t>8016741972201</t>
        </is>
      </c>
      <c r="B5517" t="inlineStr">
        <is>
          <t>Tiziana Terenzi Xix March Extrait De Parfum Spray 100ml</t>
        </is>
      </c>
      <c r="C5517" t="inlineStr">
        <is>
          <t>Extrait De Parfum</t>
        </is>
      </c>
      <c r="D5517" t="inlineStr">
        <is>
          <t>Tiziana Terenzi</t>
        </is>
      </c>
      <c r="E5517" t="n">
        <v>72.34999999999999</v>
      </c>
      <c r="F5517" t="n">
        <v>1</v>
      </c>
      <c r="G5517" t="n">
        <v>5</v>
      </c>
      <c r="H5517" s="5">
        <f>HYPERLINK("https://api.qogita.com/variants/link/8016741972201/", "View Product")</f>
        <v/>
      </c>
    </row>
    <row r="5518">
      <c r="A5518" t="inlineStr">
        <is>
          <t>8016741992384</t>
        </is>
      </c>
      <c r="B5518" t="inlineStr">
        <is>
          <t>Tiziana Terenzi Arethusa Extrait De Parfum Spray 100ml</t>
        </is>
      </c>
      <c r="C5518" t="inlineStr">
        <is>
          <t>Extrait De Parfum</t>
        </is>
      </c>
      <c r="D5518" t="inlineStr">
        <is>
          <t>Tiziana Terenzi</t>
        </is>
      </c>
      <c r="E5518" t="n">
        <v>68.45</v>
      </c>
      <c r="F5518" t="n">
        <v>1</v>
      </c>
      <c r="G5518" t="n">
        <v>3</v>
      </c>
      <c r="H5518" s="5">
        <f>HYPERLINK("https://api.qogita.com/variants/link/8016741992384/", "View Product")</f>
        <v/>
      </c>
    </row>
    <row r="5519">
      <c r="A5519" t="inlineStr">
        <is>
          <t>8017331097182</t>
        </is>
      </c>
      <c r="B5519" t="inlineStr">
        <is>
          <t>Biorepair Toothpaste 75ml</t>
        </is>
      </c>
      <c r="C5519" t="inlineStr">
        <is>
          <t>Toothpaste</t>
        </is>
      </c>
      <c r="D5519" t="inlineStr">
        <is>
          <t>Biorepair</t>
        </is>
      </c>
      <c r="E5519" t="n">
        <v>4.17</v>
      </c>
      <c r="F5519" t="n">
        <v>1</v>
      </c>
      <c r="G5519" t="n">
        <v>5</v>
      </c>
      <c r="H5519" s="5">
        <f>HYPERLINK("https://api.qogita.com/variants/link/8017331097182/", "View Product")</f>
        <v/>
      </c>
    </row>
    <row r="5520">
      <c r="A5520" t="inlineStr">
        <is>
          <t>8017692332748</t>
        </is>
      </c>
      <c r="B5520" t="inlineStr">
        <is>
          <t>Di Angelo Cosmetics Intense Retinal Cream 30ml</t>
        </is>
      </c>
      <c r="C5520" t="inlineStr">
        <is>
          <t>Anti-Aging Facial Care</t>
        </is>
      </c>
      <c r="D5520" t="inlineStr">
        <is>
          <t>Di Angelo Cosmetics</t>
        </is>
      </c>
      <c r="E5520" t="n">
        <v>34.63</v>
      </c>
      <c r="F5520" t="n">
        <v>1</v>
      </c>
      <c r="G5520" t="n">
        <v>24</v>
      </c>
      <c r="H5520" s="5">
        <f>HYPERLINK("https://api.qogita.com/variants/link/8017692332748/", "View Product")</f>
        <v/>
      </c>
    </row>
    <row r="5521">
      <c r="A5521" t="inlineStr">
        <is>
          <t>8017692552757</t>
        </is>
      </c>
      <c r="B5521" t="inlineStr">
        <is>
          <t>Di Angelo Cosmetics No.1 Lift Eye Cream 15ml</t>
        </is>
      </c>
      <c r="C5521" t="inlineStr">
        <is>
          <t>Eye Cream</t>
        </is>
      </c>
      <c r="D5521" t="inlineStr">
        <is>
          <t>Di Angelo</t>
        </is>
      </c>
      <c r="E5521" t="n">
        <v>29.9</v>
      </c>
      <c r="F5521" t="n">
        <v>1</v>
      </c>
      <c r="G5521" t="n">
        <v>8</v>
      </c>
      <c r="H5521" s="5">
        <f>HYPERLINK("https://api.qogita.com/variants/link/8017692552757/", "View Product")</f>
        <v/>
      </c>
    </row>
    <row r="5522">
      <c r="A5522" t="inlineStr">
        <is>
          <t>8018365500068</t>
        </is>
      </c>
      <c r="B5522" t="inlineStr">
        <is>
          <t>Versace Man Eau Fraiche Deodorant Spray 100ml</t>
        </is>
      </c>
      <c r="C5522" t="inlineStr">
        <is>
          <t>Deodorant &amp; Anti-Perspirant</t>
        </is>
      </c>
      <c r="D5522" t="inlineStr">
        <is>
          <t>Versace</t>
        </is>
      </c>
      <c r="E5522" t="n">
        <v>28.12</v>
      </c>
      <c r="F5522" t="n">
        <v>1</v>
      </c>
      <c r="G5522" t="n">
        <v>23</v>
      </c>
      <c r="H5522" s="5">
        <f>HYPERLINK("https://api.qogita.com/variants/link/8018365500068/", "View Product")</f>
        <v/>
      </c>
    </row>
    <row r="5523">
      <c r="A5523" t="inlineStr">
        <is>
          <t>8020762004711</t>
        </is>
      </c>
      <c r="B5523" t="inlineStr">
        <is>
          <t>Gestil Wonder Regenerative Balm 300ml</t>
        </is>
      </c>
      <c r="C5523" t="inlineStr">
        <is>
          <t>Body Butter</t>
        </is>
      </c>
      <c r="D5523" t="inlineStr">
        <is>
          <t>Other Animal</t>
        </is>
      </c>
      <c r="E5523" t="n">
        <v>7.26</v>
      </c>
      <c r="F5523" t="n">
        <v>1</v>
      </c>
      <c r="G5523" t="n">
        <v>196</v>
      </c>
      <c r="H5523" s="5">
        <f>HYPERLINK("https://api.qogita.com/variants/link/8020762004711/", "View Product")</f>
        <v/>
      </c>
    </row>
    <row r="5524">
      <c r="A5524" t="inlineStr">
        <is>
          <t>8020936073437</t>
        </is>
      </c>
      <c r="B5524" t="inlineStr">
        <is>
          <t>Kemon Liding Energy Velian Shampoo 250ml</t>
        </is>
      </c>
      <c r="C5524" t="inlineStr">
        <is>
          <t>Shampoo</t>
        </is>
      </c>
      <c r="D5524" t="inlineStr">
        <is>
          <t>Kemon</t>
        </is>
      </c>
      <c r="E5524" t="n">
        <v>6.61</v>
      </c>
      <c r="F5524" t="n">
        <v>1</v>
      </c>
      <c r="G5524" t="n">
        <v>2</v>
      </c>
      <c r="H5524" s="5">
        <f>HYPERLINK("https://api.qogita.com/variants/link/8020936073437/", "View Product")</f>
        <v/>
      </c>
    </row>
    <row r="5525">
      <c r="A5525" t="inlineStr">
        <is>
          <t>8020936083993</t>
        </is>
      </c>
      <c r="B5525" t="inlineStr">
        <is>
          <t>Kemon Yo Cond Hair Dye Conditioner 250ml</t>
        </is>
      </c>
      <c r="C5525" t="inlineStr">
        <is>
          <t>Conditioner</t>
        </is>
      </c>
      <c r="D5525" t="inlineStr">
        <is>
          <t>Kemon</t>
        </is>
      </c>
      <c r="E5525" t="n">
        <v>8.68</v>
      </c>
      <c r="F5525" t="n">
        <v>1</v>
      </c>
      <c r="G5525" t="n">
        <v>4</v>
      </c>
      <c r="H5525" s="5">
        <f>HYPERLINK("https://api.qogita.com/variants/link/8020936083993/", "View Product")</f>
        <v/>
      </c>
    </row>
    <row r="5526">
      <c r="A5526" t="inlineStr">
        <is>
          <t>8020936084013</t>
        </is>
      </c>
      <c r="B5526" t="inlineStr">
        <is>
          <t>Kemon Yo Cond Hair Dye Conditioner 250ml</t>
        </is>
      </c>
      <c r="C5526" t="inlineStr">
        <is>
          <t>Conditioner</t>
        </is>
      </c>
      <c r="D5526" t="inlineStr">
        <is>
          <t>Kemon</t>
        </is>
      </c>
      <c r="E5526" t="n">
        <v>10.06</v>
      </c>
      <c r="F5526" t="n">
        <v>1</v>
      </c>
      <c r="G5526" t="n">
        <v>12</v>
      </c>
      <c r="H5526" s="5">
        <f>HYPERLINK("https://api.qogita.com/variants/link/8020936084013/", "View Product")</f>
        <v/>
      </c>
    </row>
    <row r="5527">
      <c r="A5527" t="inlineStr">
        <is>
          <t>8020936084082</t>
        </is>
      </c>
      <c r="B5527" t="inlineStr">
        <is>
          <t>Kemon Yo Beige Conditioning Cream with Reflective Climate Agent from Natural Origins 250ml</t>
        </is>
      </c>
      <c r="C5527" t="inlineStr">
        <is>
          <t>Conditioner</t>
        </is>
      </c>
      <c r="D5527" t="inlineStr">
        <is>
          <t>Kemon</t>
        </is>
      </c>
      <c r="E5527" t="n">
        <v>9.98</v>
      </c>
      <c r="F5527" t="n">
        <v>1</v>
      </c>
      <c r="G5527" t="n">
        <v>38</v>
      </c>
      <c r="H5527" s="5">
        <f>HYPERLINK("https://api.qogita.com/variants/link/8020936084082/", "View Product")</f>
        <v/>
      </c>
    </row>
    <row r="5528">
      <c r="A5528" t="inlineStr">
        <is>
          <t>8020936084112</t>
        </is>
      </c>
      <c r="B5528" t="inlineStr">
        <is>
          <t>Kemon Yo Cond Color System Shine-Enhancing Conditioner Clear</t>
        </is>
      </c>
      <c r="C5528" t="inlineStr">
        <is>
          <t>Conditioner</t>
        </is>
      </c>
      <c r="D5528" t="inlineStr">
        <is>
          <t>Kemon</t>
        </is>
      </c>
      <c r="E5528" t="n">
        <v>8.699999999999999</v>
      </c>
      <c r="F5528" t="n">
        <v>1</v>
      </c>
      <c r="G5528" t="n">
        <v>18</v>
      </c>
      <c r="H5528" s="5">
        <f>HYPERLINK("https://api.qogita.com/variants/link/8020936084112/", "View Product")</f>
        <v/>
      </c>
    </row>
    <row r="5529">
      <c r="A5529" t="inlineStr">
        <is>
          <t>8020936084174</t>
        </is>
      </c>
      <c r="B5529" t="inlineStr">
        <is>
          <t>Kemon Yo Purple Conditioner with Reflective Climate Agent from Natural Origins 250ml</t>
        </is>
      </c>
      <c r="C5529" t="inlineStr">
        <is>
          <t>Conditioner</t>
        </is>
      </c>
      <c r="D5529" t="inlineStr">
        <is>
          <t>Kemon</t>
        </is>
      </c>
      <c r="E5529" t="n">
        <v>8.640000000000001</v>
      </c>
      <c r="F5529" t="n">
        <v>1</v>
      </c>
      <c r="G5529" t="n">
        <v>11</v>
      </c>
      <c r="H5529" s="5">
        <f>HYPERLINK("https://api.qogita.com/variants/link/8020936084174/", "View Product")</f>
        <v/>
      </c>
    </row>
    <row r="5530">
      <c r="A5530" t="inlineStr">
        <is>
          <t>8020936085300</t>
        </is>
      </c>
      <c r="B5530" t="inlineStr">
        <is>
          <t>Kemon Actyva Anti-Yellow</t>
        </is>
      </c>
      <c r="C5530" t="inlineStr">
        <is>
          <t>Shampoo</t>
        </is>
      </c>
      <c r="D5530" t="inlineStr">
        <is>
          <t>Kemon</t>
        </is>
      </c>
      <c r="E5530" t="n">
        <v>7.68</v>
      </c>
      <c r="F5530" t="n">
        <v>1</v>
      </c>
      <c r="G5530" t="n">
        <v>18</v>
      </c>
      <c r="H5530" s="5">
        <f>HYPERLINK("https://api.qogita.com/variants/link/8020936085300/", "View Product")</f>
        <v/>
      </c>
    </row>
    <row r="5531">
      <c r="A5531" t="inlineStr">
        <is>
          <t>8020936089278</t>
        </is>
      </c>
      <c r="B5531" t="inlineStr">
        <is>
          <t>Kemon Actyva Discipline Shampoo Moisturizing and Detangling for Frizzy Hair with Hyaluronic Acid and Almond Oil Silk Effect 250ml</t>
        </is>
      </c>
      <c r="C5531" t="inlineStr">
        <is>
          <t>Shampoo</t>
        </is>
      </c>
      <c r="D5531" t="inlineStr">
        <is>
          <t>Kemon</t>
        </is>
      </c>
      <c r="E5531" t="n">
        <v>6.47</v>
      </c>
      <c r="F5531" t="n">
        <v>1</v>
      </c>
      <c r="G5531" t="n">
        <v>145</v>
      </c>
      <c r="H5531" s="5">
        <f>HYPERLINK("https://api.qogita.com/variants/link/8020936089278/", "View Product")</f>
        <v/>
      </c>
    </row>
    <row r="5532">
      <c r="A5532" t="inlineStr">
        <is>
          <t>8020936091325</t>
        </is>
      </c>
      <c r="B5532" t="inlineStr">
        <is>
          <t>Kemon Actyva Volume and Body Conditioner 150ml</t>
        </is>
      </c>
      <c r="C5532" t="inlineStr">
        <is>
          <t>Conditioner</t>
        </is>
      </c>
      <c r="D5532" t="inlineStr">
        <is>
          <t>Kemon</t>
        </is>
      </c>
      <c r="E5532" t="n">
        <v>8.1</v>
      </c>
      <c r="F5532" t="n">
        <v>1</v>
      </c>
      <c r="G5532" t="n">
        <v>12</v>
      </c>
      <c r="H5532" s="5">
        <f>HYPERLINK("https://api.qogita.com/variants/link/8020936091325/", "View Product")</f>
        <v/>
      </c>
    </row>
    <row r="5533">
      <c r="A5533" t="inlineStr">
        <is>
          <t>8020936091431</t>
        </is>
      </c>
      <c r="B5533" t="inlineStr">
        <is>
          <t>Kemon Actyva Bellessere Night Treatment Hair Care with Velvety Effect Argan and Linseed Oils Rinse-Free 125ml</t>
        </is>
      </c>
      <c r="C5533" t="inlineStr">
        <is>
          <t>Leave-In Conditioner</t>
        </is>
      </c>
      <c r="D5533" t="inlineStr">
        <is>
          <t>Kemon</t>
        </is>
      </c>
      <c r="E5533" t="n">
        <v>9.41</v>
      </c>
      <c r="F5533" t="n">
        <v>1</v>
      </c>
      <c r="G5533" t="n">
        <v>15</v>
      </c>
      <c r="H5533" s="5">
        <f>HYPERLINK("https://api.qogita.com/variants/link/8020936091431/", "View Product")</f>
        <v/>
      </c>
    </row>
    <row r="5534">
      <c r="A5534" t="inlineStr">
        <is>
          <t>8020936093749</t>
        </is>
      </c>
      <c r="B5534" t="inlineStr">
        <is>
          <t>Kemon Actyva Rich Nutrition Shampoo For Dry Hair</t>
        </is>
      </c>
      <c r="C5534" t="inlineStr">
        <is>
          <t>Shampoo</t>
        </is>
      </c>
      <c r="D5534" t="inlineStr">
        <is>
          <t>Kemon</t>
        </is>
      </c>
      <c r="E5534" t="n">
        <v>22.35</v>
      </c>
      <c r="F5534" t="n">
        <v>1</v>
      </c>
      <c r="G5534" t="n">
        <v>2</v>
      </c>
      <c r="H5534" s="5">
        <f>HYPERLINK("https://api.qogita.com/variants/link/8020936093749/", "View Product")</f>
        <v/>
      </c>
    </row>
    <row r="5535">
      <c r="A5535" t="inlineStr">
        <is>
          <t>8020936095729</t>
        </is>
      </c>
      <c r="B5535" t="inlineStr">
        <is>
          <t>Kemon Hi Density Control Body Building Cream 200 ml</t>
        </is>
      </c>
      <c r="C5535" t="inlineStr">
        <is>
          <t>Styling Creams</t>
        </is>
      </c>
      <c r="D5535" t="inlineStr">
        <is>
          <t>Kemon</t>
        </is>
      </c>
      <c r="E5535" t="n">
        <v>7.44</v>
      </c>
      <c r="F5535" t="n">
        <v>1</v>
      </c>
      <c r="G5535" t="n">
        <v>55</v>
      </c>
      <c r="H5535" s="5">
        <f>HYPERLINK("https://api.qogita.com/variants/link/8020936095729/", "View Product")</f>
        <v/>
      </c>
    </row>
    <row r="5536">
      <c r="A5536" t="inlineStr">
        <is>
          <t>8020936096191</t>
        </is>
      </c>
      <c r="B5536" t="inlineStr">
        <is>
          <t>Kemon Nourish Mask Nourishing Mask for Brittle Dry and Frizzy Hair</t>
        </is>
      </c>
      <c r="C5536" t="inlineStr">
        <is>
          <t>Hair Masks</t>
        </is>
      </c>
      <c r="D5536" t="inlineStr">
        <is>
          <t>Kemon</t>
        </is>
      </c>
      <c r="E5536" t="n">
        <v>5.85</v>
      </c>
      <c r="F5536" t="n">
        <v>1</v>
      </c>
      <c r="G5536" t="n">
        <v>16</v>
      </c>
      <c r="H5536" s="5">
        <f>HYPERLINK("https://api.qogita.com/variants/link/8020936096191/", "View Product")</f>
        <v/>
      </c>
    </row>
    <row r="5537">
      <c r="A5537" t="inlineStr">
        <is>
          <t>8020936096351</t>
        </is>
      </c>
      <c r="B5537" t="inlineStr">
        <is>
          <t>Kemon Kids Spray Gentle Detangling No-Rinse Formula</t>
        </is>
      </c>
      <c r="C5537" t="inlineStr">
        <is>
          <t>Leave-In Conditioner</t>
        </is>
      </c>
      <c r="D5537" t="inlineStr">
        <is>
          <t>Kemon</t>
        </is>
      </c>
      <c r="E5537" t="n">
        <v>6.07</v>
      </c>
      <c r="F5537" t="n">
        <v>1</v>
      </c>
      <c r="G5537" t="n">
        <v>9</v>
      </c>
      <c r="H5537" s="5">
        <f>HYPERLINK("https://api.qogita.com/variants/link/8020936096351/", "View Product")</f>
        <v/>
      </c>
    </row>
    <row r="5538">
      <c r="A5538" t="inlineStr">
        <is>
          <t>8020936096436</t>
        </is>
      </c>
      <c r="B5538" t="inlineStr">
        <is>
          <t>Kemon Energy Treatment Conditioner 1000ml</t>
        </is>
      </c>
      <c r="C5538" t="inlineStr">
        <is>
          <t>Conditioner</t>
        </is>
      </c>
      <c r="D5538" t="inlineStr">
        <is>
          <t>Kemon</t>
        </is>
      </c>
      <c r="E5538" t="n">
        <v>23.25</v>
      </c>
      <c r="F5538" t="n">
        <v>1</v>
      </c>
      <c r="G5538" t="n">
        <v>5</v>
      </c>
      <c r="H5538" s="5">
        <f>HYPERLINK("https://api.qogita.com/variants/link/8020936096436/", "View Product")</f>
        <v/>
      </c>
    </row>
    <row r="5539">
      <c r="A5539" t="inlineStr">
        <is>
          <t>8022297064284</t>
        </is>
      </c>
      <c r="B5539" t="inlineStr">
        <is>
          <t>ALFAPARF Hair Mascaras 500ml</t>
        </is>
      </c>
      <c r="C5539" t="inlineStr">
        <is>
          <t>Hair Masks</t>
        </is>
      </c>
      <c r="D5539" t="inlineStr">
        <is>
          <t>Alfaparf Milano</t>
        </is>
      </c>
      <c r="E5539" t="n">
        <v>18.92</v>
      </c>
      <c r="F5539" t="n">
        <v>1</v>
      </c>
      <c r="G5539" t="n">
        <v>15</v>
      </c>
      <c r="H5539" s="5">
        <f>HYPERLINK("https://api.qogita.com/variants/link/8022297064284/", "View Product")</f>
        <v/>
      </c>
    </row>
    <row r="5540">
      <c r="A5540" t="inlineStr">
        <is>
          <t>8022297064970</t>
        </is>
      </c>
      <c r="B5540" t="inlineStr">
        <is>
          <t>Alfaparf Milano Semi Di Lino Diamond Illuminating Mask 200ml</t>
        </is>
      </c>
      <c r="C5540" t="inlineStr">
        <is>
          <t>Hair Masks</t>
        </is>
      </c>
      <c r="D5540" t="inlineStr">
        <is>
          <t>Alfaparf Milano</t>
        </is>
      </c>
      <c r="E5540" t="n">
        <v>10.78</v>
      </c>
      <c r="F5540" t="n">
        <v>1</v>
      </c>
      <c r="G5540" t="n">
        <v>2</v>
      </c>
      <c r="H5540" s="5">
        <f>HYPERLINK("https://api.qogita.com/variants/link/8022297064970/", "View Product")</f>
        <v/>
      </c>
    </row>
    <row r="5541">
      <c r="A5541" t="inlineStr">
        <is>
          <t>8022297065052</t>
        </is>
      </c>
      <c r="B5541" t="inlineStr">
        <is>
          <t>Alfaparf Milano Semi Di Lino Sublime Cristalli Spray 125ml</t>
        </is>
      </c>
      <c r="C5541" t="inlineStr">
        <is>
          <t>Hair Oil &amp; Hair Serum</t>
        </is>
      </c>
      <c r="D5541" t="inlineStr">
        <is>
          <t>Alfaparf Milano</t>
        </is>
      </c>
      <c r="E5541" t="n">
        <v>11.79</v>
      </c>
      <c r="F5541" t="n">
        <v>1</v>
      </c>
      <c r="G5541" t="n">
        <v>13</v>
      </c>
      <c r="H5541" s="5">
        <f>HYPERLINK("https://api.qogita.com/variants/link/8022297065052/", "View Product")</f>
        <v/>
      </c>
    </row>
    <row r="5542">
      <c r="A5542" t="inlineStr">
        <is>
          <t>8022297079462</t>
        </is>
      </c>
      <c r="B5542" t="inlineStr">
        <is>
          <t>Alfaparf Blends Of Many Energizing Low Shampoo 250ml</t>
        </is>
      </c>
      <c r="C5542" t="inlineStr">
        <is>
          <t>Shampoo</t>
        </is>
      </c>
      <c r="D5542" t="inlineStr">
        <is>
          <t>Alfaparf Milano</t>
        </is>
      </c>
      <c r="E5542" t="n">
        <v>8.380000000000001</v>
      </c>
      <c r="F5542" t="n">
        <v>1</v>
      </c>
      <c r="G5542" t="n">
        <v>6</v>
      </c>
      <c r="H5542" s="5">
        <f>HYPERLINK("https://api.qogita.com/variants/link/8022297079462/", "View Product")</f>
        <v/>
      </c>
    </row>
    <row r="5543">
      <c r="A5543" t="inlineStr">
        <is>
          <t>8022297104362</t>
        </is>
      </c>
      <c r="B5543" t="inlineStr">
        <is>
          <t>Alfaparf Milano Semi Di Lino Volume Volumizing Low Shampoo For Fine And Frizzy Hair 250ml</t>
        </is>
      </c>
      <c r="C5543" t="inlineStr">
        <is>
          <t>Shampoo</t>
        </is>
      </c>
      <c r="D5543" t="inlineStr">
        <is>
          <t>Alfaparf Milano</t>
        </is>
      </c>
      <c r="E5543" t="n">
        <v>7.79</v>
      </c>
      <c r="F5543" t="n">
        <v>1</v>
      </c>
      <c r="G5543" t="n">
        <v>27</v>
      </c>
      <c r="H5543" s="5">
        <f>HYPERLINK("https://api.qogita.com/variants/link/8022297104362/", "View Product")</f>
        <v/>
      </c>
    </row>
    <row r="5544">
      <c r="A5544" t="inlineStr">
        <is>
          <t>8022297104386</t>
        </is>
      </c>
      <c r="B5544" t="inlineStr">
        <is>
          <t>Alfaparf Milano Semi Di Lino Volumizing Mousse Conditioner 200ml</t>
        </is>
      </c>
      <c r="C5544" t="inlineStr">
        <is>
          <t>Conditioner</t>
        </is>
      </c>
      <c r="D5544" t="inlineStr">
        <is>
          <t>Alfaparf Milano</t>
        </is>
      </c>
      <c r="E5544" t="n">
        <v>9.32</v>
      </c>
      <c r="F5544" t="n">
        <v>1</v>
      </c>
      <c r="G5544" t="n">
        <v>18</v>
      </c>
      <c r="H5544" s="5">
        <f>HYPERLINK("https://api.qogita.com/variants/link/8022297104386/", "View Product")</f>
        <v/>
      </c>
    </row>
    <row r="5545">
      <c r="A5545" t="inlineStr">
        <is>
          <t>8022297111193</t>
        </is>
      </c>
      <c r="B5545" t="inlineStr">
        <is>
          <t>Alfaparf Milano Semi Di Lino Smooth Low Shampoo 250ml</t>
        </is>
      </c>
      <c r="C5545" t="inlineStr">
        <is>
          <t>Shampoo</t>
        </is>
      </c>
      <c r="D5545" t="inlineStr">
        <is>
          <t>Alfaparf Milano</t>
        </is>
      </c>
      <c r="E5545" t="n">
        <v>9.119999999999999</v>
      </c>
      <c r="F5545" t="n">
        <v>1</v>
      </c>
      <c r="G5545" t="n">
        <v>6</v>
      </c>
      <c r="H5545" s="5">
        <f>HYPERLINK("https://api.qogita.com/variants/link/8022297111193/", "View Product")</f>
        <v/>
      </c>
    </row>
    <row r="5546">
      <c r="A5546" t="inlineStr">
        <is>
          <t>8022297111223</t>
        </is>
      </c>
      <c r="B5546" t="inlineStr">
        <is>
          <t>Alfaparf Milano Semi Di Lino Smooth Conditioner 1000ml</t>
        </is>
      </c>
      <c r="C5546" t="inlineStr">
        <is>
          <t>Conditioner</t>
        </is>
      </c>
      <c r="D5546" t="inlineStr">
        <is>
          <t>Alfaparf Milano</t>
        </is>
      </c>
      <c r="E5546" t="n">
        <v>21.59</v>
      </c>
      <c r="F5546" t="n">
        <v>1</v>
      </c>
      <c r="G5546" t="n">
        <v>2</v>
      </c>
      <c r="H5546" s="5">
        <f>HYPERLINK("https://api.qogita.com/variants/link/8022297111223/", "View Product")</f>
        <v/>
      </c>
    </row>
    <row r="5547">
      <c r="A5547" t="inlineStr">
        <is>
          <t>8022297111360</t>
        </is>
      </c>
      <c r="B5547" t="inlineStr">
        <is>
          <t>Alfaparf Milano Semi Di Lino Curls Defining Cream 125ml</t>
        </is>
      </c>
      <c r="C5547" t="inlineStr">
        <is>
          <t>Styling Creams</t>
        </is>
      </c>
      <c r="D5547" t="inlineStr">
        <is>
          <t>Alfaparf Milano</t>
        </is>
      </c>
      <c r="E5547" t="n">
        <v>12.05</v>
      </c>
      <c r="F5547" t="n">
        <v>1</v>
      </c>
      <c r="G5547" t="n">
        <v>8</v>
      </c>
      <c r="H5547" s="5">
        <f>HYPERLINK("https://api.qogita.com/variants/link/8022297111360/", "View Product")</f>
        <v/>
      </c>
    </row>
    <row r="5548">
      <c r="A5548" t="inlineStr">
        <is>
          <t>8022297131276</t>
        </is>
      </c>
      <c r="B5548" t="inlineStr">
        <is>
          <t>Alfaparf Milano Permanent Hair Color Plex Rebuilder Permanent Color Cream</t>
        </is>
      </c>
      <c r="C5548" t="inlineStr">
        <is>
          <t>Hair Dye</t>
        </is>
      </c>
      <c r="D5548" t="inlineStr">
        <is>
          <t>Alfaparf Milano</t>
        </is>
      </c>
      <c r="E5548" t="n">
        <v>6.06</v>
      </c>
      <c r="F5548" t="n">
        <v>1</v>
      </c>
      <c r="G5548" t="n">
        <v>2</v>
      </c>
      <c r="H5548" s="5">
        <f>HYPERLINK("https://api.qogita.com/variants/link/8022297131276/", "View Product")</f>
        <v/>
      </c>
    </row>
    <row r="5549">
      <c r="A5549" t="inlineStr">
        <is>
          <t>8022297133362</t>
        </is>
      </c>
      <c r="B5549" t="inlineStr">
        <is>
          <t>Alfaparf Milano Semi Di Lino Antiyellow Low Shampoo 250ml</t>
        </is>
      </c>
      <c r="C5549" t="inlineStr">
        <is>
          <t>Shampoo</t>
        </is>
      </c>
      <c r="D5549" t="inlineStr">
        <is>
          <t>Alfaparf Milano</t>
        </is>
      </c>
      <c r="E5549" t="n">
        <v>8.84</v>
      </c>
      <c r="F5549" t="n">
        <v>1</v>
      </c>
      <c r="G5549" t="n">
        <v>4</v>
      </c>
      <c r="H5549" s="5">
        <f>HYPERLINK("https://api.qogita.com/variants/link/8022297133362/", "View Product")</f>
        <v/>
      </c>
    </row>
    <row r="5550">
      <c r="A5550" t="inlineStr">
        <is>
          <t>8022297141633</t>
        </is>
      </c>
      <c r="B5550" t="inlineStr">
        <is>
          <t>Alfaparf Milano Alfaparf Sdl Style And Care Detangling Prime</t>
        </is>
      </c>
      <c r="C5550" t="inlineStr">
        <is>
          <t>Leave-In Conditioner</t>
        </is>
      </c>
      <c r="D5550" t="inlineStr">
        <is>
          <t>Alfaparf Milano</t>
        </is>
      </c>
      <c r="E5550" t="n">
        <v>9.48</v>
      </c>
      <c r="F5550" t="n">
        <v>1</v>
      </c>
      <c r="G5550" t="n">
        <v>6</v>
      </c>
      <c r="H5550" s="5">
        <f>HYPERLINK("https://api.qogita.com/variants/link/8022297141633/", "View Product")</f>
        <v/>
      </c>
    </row>
    <row r="5551">
      <c r="A5551" t="inlineStr">
        <is>
          <t>8022297152240</t>
        </is>
      </c>
      <c r="B5551" t="inlineStr">
        <is>
          <t>Yellow Alfaparf Multi-Benefit 10 In 1 Smoothing Serum Anti Frizz 150 Ml Vegan</t>
        </is>
      </c>
      <c r="C5551" t="inlineStr">
        <is>
          <t>Hair Oil &amp; Hair Serum</t>
        </is>
      </c>
      <c r="D5551" t="inlineStr">
        <is>
          <t>Yellow</t>
        </is>
      </c>
      <c r="E5551" t="n">
        <v>8.460000000000001</v>
      </c>
      <c r="F5551" t="n">
        <v>1</v>
      </c>
      <c r="G5551" t="n">
        <v>4</v>
      </c>
      <c r="H5551" s="5">
        <f>HYPERLINK("https://api.qogita.com/variants/link/8022297152240/", "View Product")</f>
        <v/>
      </c>
    </row>
    <row r="5552">
      <c r="A5552" t="inlineStr">
        <is>
          <t>8022297160580</t>
        </is>
      </c>
      <c r="B5552" t="inlineStr">
        <is>
          <t>Alfaparf Milano Semi Di Lino Density Thickening Shampoo For Fine Hair 1000ml</t>
        </is>
      </c>
      <c r="C5552" t="inlineStr">
        <is>
          <t>Shampoo</t>
        </is>
      </c>
      <c r="D5552" t="inlineStr">
        <is>
          <t>Alfaparf Milano</t>
        </is>
      </c>
      <c r="E5552" t="n">
        <v>21.45</v>
      </c>
      <c r="F5552" t="n">
        <v>1</v>
      </c>
      <c r="G5552" t="n">
        <v>14</v>
      </c>
      <c r="H5552" s="5">
        <f>HYPERLINK("https://api.qogita.com/variants/link/8022297160580/", "View Product")</f>
        <v/>
      </c>
    </row>
    <row r="5553">
      <c r="A5553" t="inlineStr">
        <is>
          <t>8022297160610</t>
        </is>
      </c>
      <c r="B5553" t="inlineStr">
        <is>
          <t>Alfaparf Milano Semi Di Lino Density Intensive Hair Treatment Thickening Lotion 6 13 Ml</t>
        </is>
      </c>
      <c r="C5553" t="inlineStr">
        <is>
          <t>Hair Masks</t>
        </is>
      </c>
      <c r="D5553" t="inlineStr">
        <is>
          <t>Alfaparf Milano</t>
        </is>
      </c>
      <c r="E5553" t="n">
        <v>17.35</v>
      </c>
      <c r="F5553" t="n">
        <v>1</v>
      </c>
      <c r="G5553" t="n">
        <v>5</v>
      </c>
      <c r="H5553" s="5">
        <f>HYPERLINK("https://api.qogita.com/variants/link/8022297160610/", "View Product")</f>
        <v/>
      </c>
    </row>
    <row r="5554">
      <c r="A5554" t="inlineStr">
        <is>
          <t>8022297160863</t>
        </is>
      </c>
      <c r="B5554" t="inlineStr">
        <is>
          <t>Alfaparf Milano Oxid'o 30 Volume 1000ml - Oxygen</t>
        </is>
      </c>
      <c r="C5554" t="inlineStr">
        <is>
          <t>Hair Dye</t>
        </is>
      </c>
      <c r="D5554" t="inlineStr">
        <is>
          <t>Alfaparf Milano</t>
        </is>
      </c>
      <c r="E5554" t="n">
        <v>5.91</v>
      </c>
      <c r="F5554" t="n">
        <v>1</v>
      </c>
      <c r="G5554" t="n">
        <v>5</v>
      </c>
      <c r="H5554" s="5">
        <f>HYPERLINK("https://api.qogita.com/variants/link/8022297160863/", "View Product")</f>
        <v/>
      </c>
    </row>
    <row r="5555">
      <c r="A5555" t="inlineStr">
        <is>
          <t>8022297175294</t>
        </is>
      </c>
      <c r="B5555" t="inlineStr">
        <is>
          <t>Alfaparf Milano Semi Di Lino Reconstruction Reparative Low Shampoo 250ml</t>
        </is>
      </c>
      <c r="C5555" t="inlineStr">
        <is>
          <t>Shampoo</t>
        </is>
      </c>
      <c r="D5555" t="inlineStr">
        <is>
          <t>Alfaparf Milano</t>
        </is>
      </c>
      <c r="E5555" t="n">
        <v>8.65</v>
      </c>
      <c r="F5555" t="n">
        <v>1</v>
      </c>
      <c r="G5555" t="n">
        <v>23</v>
      </c>
      <c r="H5555" s="5">
        <f>HYPERLINK("https://api.qogita.com/variants/link/8022297175294/", "View Product")</f>
        <v/>
      </c>
    </row>
    <row r="5556">
      <c r="A5556" t="inlineStr">
        <is>
          <t>8025337134442</t>
        </is>
      </c>
      <c r="B5556" t="inlineStr">
        <is>
          <t>Kallos KJMN 600 100ml</t>
        </is>
      </c>
      <c r="C5556" t="inlineStr">
        <is>
          <t>Hair Care Sets</t>
        </is>
      </c>
      <c r="D5556" t="inlineStr">
        <is>
          <t>Kallos</t>
        </is>
      </c>
      <c r="E5556" t="n">
        <v>2.51</v>
      </c>
      <c r="F5556" t="n">
        <v>1</v>
      </c>
      <c r="G5556" t="n">
        <v>7</v>
      </c>
      <c r="H5556" s="5">
        <f>HYPERLINK("https://api.qogita.com/variants/link/8025337134442/", "View Product")</f>
        <v/>
      </c>
    </row>
    <row r="5557">
      <c r="A5557" t="inlineStr">
        <is>
          <t>8028544101177</t>
        </is>
      </c>
      <c r="B5557" t="inlineStr">
        <is>
          <t>LORENZO VILLORESI Dilmun Eau de Toilette Spray 100ml</t>
        </is>
      </c>
      <c r="C5557" t="inlineStr">
        <is>
          <t>Eau De Toilette</t>
        </is>
      </c>
      <c r="D5557" t="inlineStr">
        <is>
          <t>Lorenzo Villoresi</t>
        </is>
      </c>
      <c r="E5557" t="n">
        <v>69.16</v>
      </c>
      <c r="F5557" t="n">
        <v>1</v>
      </c>
      <c r="G5557" t="n">
        <v>3</v>
      </c>
      <c r="H5557" s="5">
        <f>HYPERLINK("https://api.qogita.com/variants/link/8028544101177/", "View Product")</f>
        <v/>
      </c>
    </row>
    <row r="5558">
      <c r="A5558" t="inlineStr">
        <is>
          <t>8028544101269</t>
        </is>
      </c>
      <c r="B5558" t="inlineStr">
        <is>
          <t>Lorenzo Villoresi Firenze Yerbamate EDT 50ml Spray</t>
        </is>
      </c>
      <c r="C5558" t="inlineStr">
        <is>
          <t>Eau De Toilette</t>
        </is>
      </c>
      <c r="D5558" t="inlineStr">
        <is>
          <t>Lorenzo Villoresi Firenze</t>
        </is>
      </c>
      <c r="E5558" t="n">
        <v>49.06</v>
      </c>
      <c r="F5558" t="n">
        <v>1</v>
      </c>
      <c r="G5558" t="n">
        <v>3</v>
      </c>
      <c r="H5558" s="5">
        <f>HYPERLINK("https://api.qogita.com/variants/link/8028544101269/", "View Product")</f>
        <v/>
      </c>
    </row>
    <row r="5559">
      <c r="A5559" t="inlineStr">
        <is>
          <t>8028544101740</t>
        </is>
      </c>
      <c r="B5559" t="inlineStr">
        <is>
          <t>Lorenzo Villoresi Alamut Eau De Toilette Spray 100ml</t>
        </is>
      </c>
      <c r="C5559" t="inlineStr">
        <is>
          <t>Eau De Toilette</t>
        </is>
      </c>
      <c r="D5559" t="inlineStr">
        <is>
          <t>Lorenzo Villoresi</t>
        </is>
      </c>
      <c r="E5559" t="n">
        <v>62.36</v>
      </c>
      <c r="F5559" t="n">
        <v>1</v>
      </c>
      <c r="G5559" t="n">
        <v>2</v>
      </c>
      <c r="H5559" s="5">
        <f>HYPERLINK("https://api.qogita.com/variants/link/8028544101740/", "View Product")</f>
        <v/>
      </c>
    </row>
    <row r="5560">
      <c r="A5560" t="inlineStr">
        <is>
          <t>8029352368615</t>
        </is>
      </c>
      <c r="B5560" t="inlineStr">
        <is>
          <t>Oway Colorup Color Protection Hair Bath Nourishing Shampoo For Colored Hair 240ml</t>
        </is>
      </c>
      <c r="C5560" t="inlineStr">
        <is>
          <t>Shampoo</t>
        </is>
      </c>
      <c r="D5560" t="inlineStr">
        <is>
          <t>Oway</t>
        </is>
      </c>
      <c r="E5560" t="n">
        <v>17.94</v>
      </c>
      <c r="F5560" t="n">
        <v>1</v>
      </c>
      <c r="G5560" t="n">
        <v>8</v>
      </c>
      <c r="H5560" s="5">
        <f>HYPERLINK("https://api.qogita.com/variants/link/8029352368615/", "View Product")</f>
        <v/>
      </c>
    </row>
    <row r="5561">
      <c r="A5561" t="inlineStr">
        <is>
          <t>8032274011200</t>
        </is>
      </c>
      <c r="B5561" t="inlineStr">
        <is>
          <t>Milk Shake Silver Shine Shampoo For Gray Hair Reducing Yellow Reflections 1000ml</t>
        </is>
      </c>
      <c r="C5561" t="inlineStr">
        <is>
          <t>Shampoo</t>
        </is>
      </c>
      <c r="D5561" t="inlineStr">
        <is>
          <t>Milk_Shake</t>
        </is>
      </c>
      <c r="E5561" t="n">
        <v>22.66</v>
      </c>
      <c r="F5561" t="n">
        <v>1</v>
      </c>
      <c r="G5561" t="n">
        <v>5</v>
      </c>
      <c r="H5561" s="5">
        <f>HYPERLINK("https://api.qogita.com/variants/link/8032274011200/", "View Product")</f>
        <v/>
      </c>
    </row>
    <row r="5562">
      <c r="A5562" t="inlineStr">
        <is>
          <t>8032274011804</t>
        </is>
      </c>
      <c r="B5562" t="inlineStr">
        <is>
          <t>DEPOT 403 Pre-Shave and Softening Beard Oil Fresh</t>
        </is>
      </c>
      <c r="C5562" t="inlineStr">
        <is>
          <t>Shaving</t>
        </is>
      </c>
      <c r="D5562" t="inlineStr">
        <is>
          <t>Depot</t>
        </is>
      </c>
      <c r="E5562" t="n">
        <v>9.4</v>
      </c>
      <c r="F5562" t="n">
        <v>1</v>
      </c>
      <c r="G5562" t="n">
        <v>5</v>
      </c>
      <c r="H5562" s="5">
        <f>HYPERLINK("https://api.qogita.com/variants/link/8032274011804/", "View Product")</f>
        <v/>
      </c>
    </row>
    <row r="5563">
      <c r="A5563" t="inlineStr">
        <is>
          <t>8032274011835</t>
        </is>
      </c>
      <c r="B5563" t="inlineStr">
        <is>
          <t>Depot N 105 Invigorating Shampoo 250ml Men's Hair Care</t>
        </is>
      </c>
      <c r="C5563" t="inlineStr">
        <is>
          <t>Shampoo</t>
        </is>
      </c>
      <c r="D5563" t="inlineStr">
        <is>
          <t>Depot</t>
        </is>
      </c>
      <c r="E5563" t="n">
        <v>7.23</v>
      </c>
      <c r="F5563" t="n">
        <v>1</v>
      </c>
      <c r="G5563" t="n">
        <v>2</v>
      </c>
      <c r="H5563" s="5">
        <f>HYPERLINK("https://api.qogita.com/variants/link/8032274011835/", "View Product")</f>
        <v/>
      </c>
    </row>
    <row r="5564">
      <c r="A5564" t="inlineStr">
        <is>
          <t>8032274050476</t>
        </is>
      </c>
      <c r="B5564" t="inlineStr">
        <is>
          <t>Milk Shake Glistening Argan Oil 50 Ml For All Hair Types</t>
        </is>
      </c>
      <c r="C5564" t="inlineStr">
        <is>
          <t>Hair Oil &amp; Hair Serum</t>
        </is>
      </c>
      <c r="D5564" t="inlineStr">
        <is>
          <t>Milk_Shake</t>
        </is>
      </c>
      <c r="E5564" t="n">
        <v>19.65</v>
      </c>
      <c r="F5564" t="n">
        <v>1</v>
      </c>
      <c r="G5564" t="n">
        <v>7</v>
      </c>
      <c r="H5564" s="5">
        <f>HYPERLINK("https://api.qogita.com/variants/link/8032274050476/", "View Product")</f>
        <v/>
      </c>
    </row>
    <row r="5565">
      <c r="A5565" t="inlineStr">
        <is>
          <t>8032274053446</t>
        </is>
      </c>
      <c r="B5565" t="inlineStr">
        <is>
          <t>Milkshake Conditioning Direct Brown Colour 200ml</t>
        </is>
      </c>
      <c r="C5565" t="inlineStr">
        <is>
          <t>Conditioner</t>
        </is>
      </c>
      <c r="D5565" t="inlineStr">
        <is>
          <t>Milk_Shake</t>
        </is>
      </c>
      <c r="E5565" t="n">
        <v>13.96</v>
      </c>
      <c r="F5565" t="n">
        <v>1</v>
      </c>
      <c r="G5565" t="n">
        <v>3</v>
      </c>
      <c r="H5565" s="5">
        <f>HYPERLINK("https://api.qogita.com/variants/link/8032274053446/", "View Product")</f>
        <v/>
      </c>
    </row>
    <row r="5566">
      <c r="A5566" t="inlineStr">
        <is>
          <t>8032274057734</t>
        </is>
      </c>
      <c r="B5566" t="inlineStr">
        <is>
          <t>Milk_Shake Sensorial Mint Conditioner 1000ml</t>
        </is>
      </c>
      <c r="C5566" t="inlineStr">
        <is>
          <t>Conditioner</t>
        </is>
      </c>
      <c r="D5566" t="inlineStr">
        <is>
          <t>Milk_Shake</t>
        </is>
      </c>
      <c r="E5566" t="n">
        <v>21.27</v>
      </c>
      <c r="F5566" t="n">
        <v>1</v>
      </c>
      <c r="G5566" t="n">
        <v>23</v>
      </c>
      <c r="H5566" s="5">
        <f>HYPERLINK("https://api.qogita.com/variants/link/8032274057734/", "View Product")</f>
        <v/>
      </c>
    </row>
    <row r="5567">
      <c r="A5567" t="inlineStr">
        <is>
          <t>8032274059424</t>
        </is>
      </c>
      <c r="B5567" t="inlineStr">
        <is>
          <t>Milk Shake Colour Specifics Color Sealing Conditioner For Colored Hair</t>
        </is>
      </c>
      <c r="C5567" t="inlineStr">
        <is>
          <t>Conditioner</t>
        </is>
      </c>
      <c r="D5567" t="inlineStr">
        <is>
          <t>Milk_Shake</t>
        </is>
      </c>
      <c r="E5567" t="n">
        <v>19.78</v>
      </c>
      <c r="F5567" t="n">
        <v>1</v>
      </c>
      <c r="G5567" t="n">
        <v>7</v>
      </c>
      <c r="H5567" s="5">
        <f>HYPERLINK("https://api.qogita.com/variants/link/8032274059424/", "View Product")</f>
        <v/>
      </c>
    </row>
    <row r="5568">
      <c r="A5568" t="inlineStr">
        <is>
          <t>8032274059882</t>
        </is>
      </c>
      <c r="B5568" t="inlineStr">
        <is>
          <t>Milkshake Energizing Blend Conditioner 300ml Hydrating Hair Conditioner</t>
        </is>
      </c>
      <c r="C5568" t="inlineStr">
        <is>
          <t>Conditioner</t>
        </is>
      </c>
      <c r="D5568" t="inlineStr">
        <is>
          <t>Milk_Shake</t>
        </is>
      </c>
      <c r="E5568" t="n">
        <v>9.640000000000001</v>
      </c>
      <c r="F5568" t="n">
        <v>1</v>
      </c>
      <c r="G5568" t="n">
        <v>5</v>
      </c>
      <c r="H5568" s="5">
        <f>HYPERLINK("https://api.qogita.com/variants/link/8032274059882/", "View Product")</f>
        <v/>
      </c>
    </row>
    <row r="5569">
      <c r="A5569" t="inlineStr">
        <is>
          <t>8032274061267</t>
        </is>
      </c>
      <c r="B5569" t="inlineStr">
        <is>
          <t>DEPOT 407 Restoring Aftershave 100ml</t>
        </is>
      </c>
      <c r="C5569" t="inlineStr">
        <is>
          <t>Aftershave</t>
        </is>
      </c>
      <c r="D5569" t="inlineStr">
        <is>
          <t>Depot</t>
        </is>
      </c>
      <c r="E5569" t="n">
        <v>10.17</v>
      </c>
      <c r="F5569" t="n">
        <v>1</v>
      </c>
      <c r="G5569" t="n">
        <v>5</v>
      </c>
      <c r="H5569" s="5">
        <f>HYPERLINK("https://api.qogita.com/variants/link/8032274061267/", "View Product")</f>
        <v/>
      </c>
    </row>
    <row r="5570">
      <c r="A5570" t="inlineStr">
        <is>
          <t>8032274061304</t>
        </is>
      </c>
      <c r="B5570" t="inlineStr">
        <is>
          <t>DEPOT 410 Post-Shave Stick 5g</t>
        </is>
      </c>
      <c r="C5570" t="inlineStr">
        <is>
          <t>Aftershave</t>
        </is>
      </c>
      <c r="D5570" t="inlineStr">
        <is>
          <t>Depot</t>
        </is>
      </c>
      <c r="E5570" t="n">
        <v>7.46</v>
      </c>
      <c r="F5570" t="n">
        <v>1</v>
      </c>
      <c r="G5570" t="n">
        <v>5</v>
      </c>
      <c r="H5570" s="5">
        <f>HYPERLINK("https://api.qogita.com/variants/link/8032274061304/", "View Product")</f>
        <v/>
      </c>
    </row>
    <row r="5571">
      <c r="A5571" t="inlineStr">
        <is>
          <t>8032274061915</t>
        </is>
      </c>
      <c r="B5571" t="inlineStr">
        <is>
          <t>Milk Shake Silver Shine Shampoo 1000ml Violet</t>
        </is>
      </c>
      <c r="C5571" t="inlineStr">
        <is>
          <t>Shampoo</t>
        </is>
      </c>
      <c r="D5571" t="inlineStr">
        <is>
          <t>Milk_Shake</t>
        </is>
      </c>
      <c r="E5571" t="n">
        <v>23.43</v>
      </c>
      <c r="F5571" t="n">
        <v>1</v>
      </c>
      <c r="G5571" t="n">
        <v>27</v>
      </c>
      <c r="H5571" s="5">
        <f>HYPERLINK("https://api.qogita.com/variants/link/8032274061915/", "View Product")</f>
        <v/>
      </c>
    </row>
    <row r="5572">
      <c r="A5572" t="inlineStr">
        <is>
          <t>8032274061960</t>
        </is>
      </c>
      <c r="B5572" t="inlineStr">
        <is>
          <t>Milk_Shake Silver Shine Whipped Cream 200ml Anti-Yellow Leave-In</t>
        </is>
      </c>
      <c r="C5572" t="inlineStr">
        <is>
          <t>Leave-In Conditioner</t>
        </is>
      </c>
      <c r="D5572" t="inlineStr">
        <is>
          <t>Milk_Shake</t>
        </is>
      </c>
      <c r="E5572" t="n">
        <v>10.54</v>
      </c>
      <c r="F5572" t="n">
        <v>1</v>
      </c>
      <c r="G5572" t="n">
        <v>64</v>
      </c>
      <c r="H5572" s="5">
        <f>HYPERLINK("https://api.qogita.com/variants/link/8032274061960/", "View Product")</f>
        <v/>
      </c>
    </row>
    <row r="5573">
      <c r="A5573" t="inlineStr">
        <is>
          <t>8032274078036</t>
        </is>
      </c>
      <c r="B5573" t="inlineStr">
        <is>
          <t>Milk Shake Volume Solution Volumizing Shampoo 300ml For All Hair Types</t>
        </is>
      </c>
      <c r="C5573" t="inlineStr">
        <is>
          <t>Shampoo</t>
        </is>
      </c>
      <c r="D5573" t="inlineStr">
        <is>
          <t>Milk_Shake</t>
        </is>
      </c>
      <c r="E5573" t="n">
        <v>8.640000000000001</v>
      </c>
      <c r="F5573" t="n">
        <v>1</v>
      </c>
      <c r="G5573" t="n">
        <v>41</v>
      </c>
      <c r="H5573" s="5">
        <f>HYPERLINK("https://api.qogita.com/variants/link/8032274078036/", "View Product")</f>
        <v/>
      </c>
    </row>
    <row r="5574">
      <c r="A5574" t="inlineStr">
        <is>
          <t>8032274078067</t>
        </is>
      </c>
      <c r="B5574" t="inlineStr">
        <is>
          <t>Milk Shake Volume Solution Volumizing Conditioner 300ml</t>
        </is>
      </c>
      <c r="C5574" t="inlineStr">
        <is>
          <t>Conditioner</t>
        </is>
      </c>
      <c r="D5574" t="inlineStr">
        <is>
          <t>Milk_Shake</t>
        </is>
      </c>
      <c r="E5574" t="n">
        <v>9.779999999999999</v>
      </c>
      <c r="F5574" t="n">
        <v>1</v>
      </c>
      <c r="G5574" t="n">
        <v>14</v>
      </c>
      <c r="H5574" s="5">
        <f>HYPERLINK("https://api.qogita.com/variants/link/8032274078067/", "View Product")</f>
        <v/>
      </c>
    </row>
    <row r="5575">
      <c r="A5575" t="inlineStr">
        <is>
          <t>8032274078104</t>
        </is>
      </c>
      <c r="B5575" t="inlineStr">
        <is>
          <t>Lifestyling Strong Eco Hairspray For Colored Hair 250ml</t>
        </is>
      </c>
      <c r="C5575" t="inlineStr">
        <is>
          <t>Hairspray</t>
        </is>
      </c>
      <c r="D5575" t="inlineStr">
        <is>
          <t>Lifystyle</t>
        </is>
      </c>
      <c r="E5575" t="n">
        <v>14.02</v>
      </c>
      <c r="F5575" t="n">
        <v>1</v>
      </c>
      <c r="G5575" t="n">
        <v>23</v>
      </c>
      <c r="H5575" s="5">
        <f>HYPERLINK("https://api.qogita.com/variants/link/8032274078104/", "View Product")</f>
        <v/>
      </c>
    </row>
    <row r="5576">
      <c r="A5576" t="inlineStr">
        <is>
          <t>8032274101048</t>
        </is>
      </c>
      <c r="B5576" t="inlineStr">
        <is>
          <t>Milk shake Moisture Plus Hydrating Lotion 12ml</t>
        </is>
      </c>
      <c r="C5576" t="inlineStr">
        <is>
          <t>Body Lotion</t>
        </is>
      </c>
      <c r="D5576" t="inlineStr">
        <is>
          <t>Milk_Shake</t>
        </is>
      </c>
      <c r="E5576" t="n">
        <v>27.8</v>
      </c>
      <c r="F5576" t="n">
        <v>1</v>
      </c>
      <c r="G5576" t="n">
        <v>3</v>
      </c>
      <c r="H5576" s="5">
        <f>HYPERLINK("https://api.qogita.com/variants/link/8032274101048/", "View Product")</f>
        <v/>
      </c>
    </row>
    <row r="5577">
      <c r="A5577" t="inlineStr">
        <is>
          <t>8032274104476</t>
        </is>
      </c>
      <c r="B5577" t="inlineStr">
        <is>
          <t>Milk Shake Curl Passion Shampoo For Curly Hair 300ml</t>
        </is>
      </c>
      <c r="C5577" t="inlineStr">
        <is>
          <t>Shampoo</t>
        </is>
      </c>
      <c r="D5577" t="inlineStr">
        <is>
          <t>Milk_Shake</t>
        </is>
      </c>
      <c r="E5577" t="n">
        <v>8.42</v>
      </c>
      <c r="F5577" t="n">
        <v>1</v>
      </c>
      <c r="G5577" t="n">
        <v>11</v>
      </c>
      <c r="H5577" s="5">
        <f>HYPERLINK("https://api.qogita.com/variants/link/8032274104476/", "View Product")</f>
        <v/>
      </c>
    </row>
    <row r="5578">
      <c r="A5578" t="inlineStr">
        <is>
          <t>8032274106159</t>
        </is>
      </c>
      <c r="B5578" t="inlineStr">
        <is>
          <t>Milk Shake Integrity Nourishing Shampoo 300ml Unisex</t>
        </is>
      </c>
      <c r="C5578" t="inlineStr">
        <is>
          <t>Shampoo</t>
        </is>
      </c>
      <c r="D5578" t="inlineStr">
        <is>
          <t>Milk_Shake</t>
        </is>
      </c>
      <c r="E5578" t="n">
        <v>10.87</v>
      </c>
      <c r="F5578" t="n">
        <v>1</v>
      </c>
      <c r="G5578" t="n">
        <v>25</v>
      </c>
      <c r="H5578" s="5">
        <f>HYPERLINK("https://api.qogita.com/variants/link/8032274106159/", "View Product")</f>
        <v/>
      </c>
    </row>
    <row r="5579">
      <c r="A5579" t="inlineStr">
        <is>
          <t>8032274121107</t>
        </is>
      </c>
      <c r="B5579" t="inlineStr">
        <is>
          <t>milk_shake Hand Cleansing Spray 16.9 fl oz</t>
        </is>
      </c>
      <c r="C5579" t="inlineStr">
        <is>
          <t>Hand Cleaning</t>
        </is>
      </c>
      <c r="D5579" t="inlineStr">
        <is>
          <t>Milk_Shake</t>
        </is>
      </c>
      <c r="E5579" t="n">
        <v>4.57</v>
      </c>
      <c r="F5579" t="n">
        <v>1</v>
      </c>
      <c r="G5579" t="n">
        <v>7</v>
      </c>
      <c r="H5579" s="5">
        <f>HYPERLINK("https://api.qogita.com/variants/link/8032274121107/", "View Product")</f>
        <v/>
      </c>
    </row>
    <row r="5580">
      <c r="A5580" t="inlineStr">
        <is>
          <t>8032274121114</t>
        </is>
      </c>
      <c r="B5580" t="inlineStr">
        <is>
          <t>Milk Shake Hand Cleansing Spray 16.9 fl oz</t>
        </is>
      </c>
      <c r="C5580" t="inlineStr">
        <is>
          <t>Hand Cleaning</t>
        </is>
      </c>
      <c r="D5580" t="inlineStr">
        <is>
          <t>Milk_Shake</t>
        </is>
      </c>
      <c r="E5580" t="n">
        <v>10.8</v>
      </c>
      <c r="F5580" t="n">
        <v>1</v>
      </c>
      <c r="G5580" t="n">
        <v>11</v>
      </c>
      <c r="H5580" s="5">
        <f>HYPERLINK("https://api.qogita.com/variants/link/8032274121114/", "View Product")</f>
        <v/>
      </c>
    </row>
    <row r="5581">
      <c r="A5581" t="inlineStr">
        <is>
          <t>8032274121138</t>
        </is>
      </c>
      <c r="B5581" t="inlineStr">
        <is>
          <t>Milk Shake Cosmetic Cleansing Spray 500 Ml</t>
        </is>
      </c>
      <c r="C5581" t="inlineStr">
        <is>
          <t>Shower Gel</t>
        </is>
      </c>
      <c r="D5581" t="inlineStr">
        <is>
          <t>Milk_Shake</t>
        </is>
      </c>
      <c r="E5581" t="n">
        <v>10.13</v>
      </c>
      <c r="F5581" t="n">
        <v>1</v>
      </c>
      <c r="G5581" t="n">
        <v>10</v>
      </c>
      <c r="H5581" s="5">
        <f>HYPERLINK("https://api.qogita.com/variants/link/8032274121138/", "View Product")</f>
        <v/>
      </c>
    </row>
    <row r="5582">
      <c r="A5582" t="inlineStr">
        <is>
          <t>8032274147329</t>
        </is>
      </c>
      <c r="B5582" t="inlineStr">
        <is>
          <t>Milkshake Icy Blond Conditioner 1000ml For Blonde Hair</t>
        </is>
      </c>
      <c r="C5582" t="inlineStr">
        <is>
          <t>Conditioner</t>
        </is>
      </c>
      <c r="D5582" t="inlineStr">
        <is>
          <t>Milk_Shake</t>
        </is>
      </c>
      <c r="E5582" t="n">
        <v>31.96</v>
      </c>
      <c r="F5582" t="n">
        <v>1</v>
      </c>
      <c r="G5582" t="n">
        <v>7</v>
      </c>
      <c r="H5582" s="5">
        <f>HYPERLINK("https://api.qogita.com/variants/link/8032274147329/", "View Product")</f>
        <v/>
      </c>
    </row>
    <row r="5583">
      <c r="A5583" t="inlineStr">
        <is>
          <t>8032274147848</t>
        </is>
      </c>
      <c r="B5583" t="inlineStr">
        <is>
          <t>Milk Shake Colour Care Deep Conditioning Mask 500ml</t>
        </is>
      </c>
      <c r="C5583" t="inlineStr">
        <is>
          <t>Hair Masks</t>
        </is>
      </c>
      <c r="D5583" t="inlineStr">
        <is>
          <t>Milk_Shake</t>
        </is>
      </c>
      <c r="E5583" t="n">
        <v>22.71</v>
      </c>
      <c r="F5583" t="n">
        <v>1</v>
      </c>
      <c r="G5583" t="n">
        <v>10</v>
      </c>
      <c r="H5583" s="5">
        <f>HYPERLINK("https://api.qogita.com/variants/link/8032274147848/", "View Product")</f>
        <v/>
      </c>
    </row>
    <row r="5584">
      <c r="A5584" t="inlineStr">
        <is>
          <t>8032274159704</t>
        </is>
      </c>
      <c r="B5584" t="inlineStr">
        <is>
          <t>Milk Shake Instalight Strengthening Shampoo 1000ml</t>
        </is>
      </c>
      <c r="C5584" t="inlineStr">
        <is>
          <t>Shampoo</t>
        </is>
      </c>
      <c r="D5584" t="inlineStr">
        <is>
          <t>Milk_Shake</t>
        </is>
      </c>
      <c r="E5584" t="n">
        <v>29.49</v>
      </c>
      <c r="F5584" t="n">
        <v>1</v>
      </c>
      <c r="G5584" t="n">
        <v>2</v>
      </c>
      <c r="H5584" s="5">
        <f>HYPERLINK("https://api.qogita.com/variants/link/8032274159704/", "View Product")</f>
        <v/>
      </c>
    </row>
    <row r="5585">
      <c r="A5585" t="inlineStr">
        <is>
          <t>8032274175889</t>
        </is>
      </c>
      <c r="B5585" t="inlineStr">
        <is>
          <t>Milk Shake Pink Lemonade Conditioner 250ml</t>
        </is>
      </c>
      <c r="C5585" t="inlineStr">
        <is>
          <t>Conditioner</t>
        </is>
      </c>
      <c r="D5585" t="inlineStr">
        <is>
          <t>Milk_Shake</t>
        </is>
      </c>
      <c r="E5585" t="n">
        <v>10.78</v>
      </c>
      <c r="F5585" t="n">
        <v>1</v>
      </c>
      <c r="G5585" t="n">
        <v>5</v>
      </c>
      <c r="H5585" s="5">
        <f>HYPERLINK("https://api.qogita.com/variants/link/8032274175889/", "View Product")</f>
        <v/>
      </c>
    </row>
    <row r="5586">
      <c r="A5586" t="inlineStr">
        <is>
          <t>8032529114076</t>
        </is>
      </c>
      <c r="B5586" t="inlineStr">
        <is>
          <t>Salvatore Ferragamo Incanto Charms Eau De Toilette Spray 100ml</t>
        </is>
      </c>
      <c r="C5586" t="inlineStr">
        <is>
          <t>Eau De Toilette</t>
        </is>
      </c>
      <c r="D5586" t="inlineStr">
        <is>
          <t>Salvatore Ferragamo</t>
        </is>
      </c>
      <c r="E5586" t="n">
        <v>18.19</v>
      </c>
      <c r="F5586" t="n">
        <v>1</v>
      </c>
      <c r="G5586" t="n">
        <v>15</v>
      </c>
      <c r="H5586" s="5">
        <f>HYPERLINK("https://api.qogita.com/variants/link/8032529114076/", "View Product")</f>
        <v/>
      </c>
    </row>
    <row r="5587">
      <c r="A5587" t="inlineStr">
        <is>
          <t>8032529115653</t>
        </is>
      </c>
      <c r="B5587" t="inlineStr">
        <is>
          <t>Salvatore Ferragamo F Pour Homme Eau De Toilette Spray 100ml</t>
        </is>
      </c>
      <c r="C5587" t="inlineStr">
        <is>
          <t>Eau De Toilette</t>
        </is>
      </c>
      <c r="D5587" t="inlineStr">
        <is>
          <t>Salvatore Ferragamo</t>
        </is>
      </c>
      <c r="E5587" t="n">
        <v>22.63</v>
      </c>
      <c r="F5587" t="n">
        <v>1</v>
      </c>
      <c r="G5587" t="n">
        <v>63</v>
      </c>
      <c r="H5587" s="5">
        <f>HYPERLINK("https://api.qogita.com/variants/link/8032529115653/", "View Product")</f>
        <v/>
      </c>
    </row>
    <row r="5588">
      <c r="A5588" t="inlineStr">
        <is>
          <t>8032529118043</t>
        </is>
      </c>
      <c r="B5588" t="inlineStr">
        <is>
          <t>Salvatore Ferragamo F By Ferragamo Pour Homme Black Eau De Toilette</t>
        </is>
      </c>
      <c r="C5588" t="inlineStr">
        <is>
          <t>Eau De Toilette</t>
        </is>
      </c>
      <c r="D5588" t="inlineStr">
        <is>
          <t>Salvatore Ferragamo</t>
        </is>
      </c>
      <c r="E5588" t="n">
        <v>18</v>
      </c>
      <c r="F5588" t="n">
        <v>1</v>
      </c>
      <c r="G5588" t="n">
        <v>2</v>
      </c>
      <c r="H5588" s="5">
        <f>HYPERLINK("https://api.qogita.com/variants/link/8032529118043/", "View Product")</f>
        <v/>
      </c>
    </row>
    <row r="5589">
      <c r="A5589" t="inlineStr">
        <is>
          <t>8032758530548</t>
        </is>
      </c>
      <c r="B5589" t="inlineStr">
        <is>
          <t>Acqua Dell Elba Arcipelago Eau de Parfum Woman 100ml</t>
        </is>
      </c>
      <c r="C5589" t="inlineStr">
        <is>
          <t>Eau De Parfum</t>
        </is>
      </c>
      <c r="D5589" t="inlineStr">
        <is>
          <t>Acqua Dell'elba</t>
        </is>
      </c>
      <c r="E5589" t="n">
        <v>79.48999999999999</v>
      </c>
      <c r="F5589" t="n">
        <v>1</v>
      </c>
      <c r="G5589" t="n">
        <v>2</v>
      </c>
      <c r="H5589" s="5">
        <f>HYPERLINK("https://api.qogita.com/variants/link/8032758530548/", "View Product")</f>
        <v/>
      </c>
    </row>
    <row r="5590">
      <c r="A5590" t="inlineStr">
        <is>
          <t>8032758533082</t>
        </is>
      </c>
      <c r="B5590" t="inlineStr">
        <is>
          <t>Acqua Dell'Elba Essence of Another Island Eau de Parfum 100ml</t>
        </is>
      </c>
      <c r="C5590" t="inlineStr">
        <is>
          <t>Eau De Parfum</t>
        </is>
      </c>
      <c r="D5590" t="inlineStr">
        <is>
          <t>Acqua Dell'elba</t>
        </is>
      </c>
      <c r="E5590" t="n">
        <v>79.48999999999999</v>
      </c>
      <c r="F5590" t="n">
        <v>1</v>
      </c>
      <c r="G5590" t="n">
        <v>2</v>
      </c>
      <c r="H5590" s="5">
        <f>HYPERLINK("https://api.qogita.com/variants/link/8032758533082/", "View Product")</f>
        <v/>
      </c>
    </row>
    <row r="5591">
      <c r="A5591" t="inlineStr">
        <is>
          <t>8032790462814</t>
        </is>
      </c>
      <c r="B5591" t="inlineStr">
        <is>
          <t>Carthusia Aria Di Capri Eau de Parfum 50ml Spray</t>
        </is>
      </c>
      <c r="C5591" t="inlineStr">
        <is>
          <t>Eau De Parfum</t>
        </is>
      </c>
      <c r="D5591" t="inlineStr">
        <is>
          <t>Carthusia</t>
        </is>
      </c>
      <c r="E5591" t="n">
        <v>53.16</v>
      </c>
      <c r="F5591" t="n">
        <v>1</v>
      </c>
      <c r="G5591" t="n">
        <v>5</v>
      </c>
      <c r="H5591" s="5">
        <f>HYPERLINK("https://api.qogita.com/variants/link/8032790462814/", "View Product")</f>
        <v/>
      </c>
    </row>
    <row r="5592">
      <c r="A5592" t="inlineStr">
        <is>
          <t>8032947860111</t>
        </is>
      </c>
      <c r="B5592" t="inlineStr">
        <is>
          <t>Fanola Color Cream Permanent Hair Dye 6.03 100ml</t>
        </is>
      </c>
      <c r="C5592" t="inlineStr">
        <is>
          <t>Hair Dye</t>
        </is>
      </c>
      <c r="D5592" t="inlineStr">
        <is>
          <t>Fanola</t>
        </is>
      </c>
      <c r="E5592" t="n">
        <v>3.06</v>
      </c>
      <c r="F5592" t="n">
        <v>1</v>
      </c>
      <c r="G5592" t="n">
        <v>5</v>
      </c>
      <c r="H5592" s="5">
        <f>HYPERLINK("https://api.qogita.com/variants/link/8032947860111/", "View Product")</f>
        <v/>
      </c>
    </row>
    <row r="5593">
      <c r="A5593" t="inlineStr">
        <is>
          <t>8032947860180</t>
        </is>
      </c>
      <c r="B5593" t="inlineStr">
        <is>
          <t>Fanola Crema Colour Colouring Cream 100ml 1.10 Blue Black</t>
        </is>
      </c>
      <c r="C5593" t="inlineStr">
        <is>
          <t>Hair Dye</t>
        </is>
      </c>
      <c r="D5593" t="inlineStr">
        <is>
          <t>Fanola</t>
        </is>
      </c>
      <c r="E5593" t="n">
        <v>3.06</v>
      </c>
      <c r="F5593" t="n">
        <v>1</v>
      </c>
      <c r="G5593" t="n">
        <v>2</v>
      </c>
      <c r="H5593" s="5">
        <f>HYPERLINK("https://api.qogita.com/variants/link/8032947860180/", "View Product")</f>
        <v/>
      </c>
    </row>
    <row r="5594">
      <c r="A5594" t="inlineStr">
        <is>
          <t>8032947860258</t>
        </is>
      </c>
      <c r="B5594" t="inlineStr">
        <is>
          <t>Fanola Colouring Cream 8.13 Light Blonde Beige 100ml</t>
        </is>
      </c>
      <c r="C5594" t="inlineStr">
        <is>
          <t>Hair Dye</t>
        </is>
      </c>
      <c r="D5594" t="inlineStr">
        <is>
          <t>Fanola</t>
        </is>
      </c>
      <c r="E5594" t="n">
        <v>3.09</v>
      </c>
      <c r="F5594" t="n">
        <v>1</v>
      </c>
      <c r="G5594" t="n">
        <v>2</v>
      </c>
      <c r="H5594" s="5">
        <f>HYPERLINK("https://api.qogita.com/variants/link/8032947860258/", "View Product")</f>
        <v/>
      </c>
    </row>
    <row r="5595">
      <c r="A5595" t="inlineStr">
        <is>
          <t>8032947860555</t>
        </is>
      </c>
      <c r="B5595" t="inlineStr">
        <is>
          <t>Fanola Colouring Cream 4.5 Medium Brown Mahogany 100ml</t>
        </is>
      </c>
      <c r="C5595" t="inlineStr">
        <is>
          <t>Hair Dye</t>
        </is>
      </c>
      <c r="D5595" t="inlineStr">
        <is>
          <t>Fanola</t>
        </is>
      </c>
      <c r="E5595" t="n">
        <v>3.06</v>
      </c>
      <c r="F5595" t="n">
        <v>1</v>
      </c>
      <c r="G5595" t="n">
        <v>4</v>
      </c>
      <c r="H5595" s="5">
        <f>HYPERLINK("https://api.qogita.com/variants/link/8032947860555/", "View Product")</f>
        <v/>
      </c>
    </row>
    <row r="5596">
      <c r="A5596" t="inlineStr">
        <is>
          <t>8032947860609</t>
        </is>
      </c>
      <c r="B5596" t="inlineStr">
        <is>
          <t>Fanola Crema Colore Colouring Cream 6.6 Dark Blonde Red 100ml</t>
        </is>
      </c>
      <c r="C5596" t="inlineStr">
        <is>
          <t>Hair Dye</t>
        </is>
      </c>
      <c r="D5596" t="inlineStr">
        <is>
          <t>Fanola</t>
        </is>
      </c>
      <c r="E5596" t="n">
        <v>3.1</v>
      </c>
      <c r="F5596" t="n">
        <v>1</v>
      </c>
      <c r="G5596" t="n">
        <v>2</v>
      </c>
      <c r="H5596" s="5">
        <f>HYPERLINK("https://api.qogita.com/variants/link/8032947860609/", "View Product")</f>
        <v/>
      </c>
    </row>
    <row r="5597">
      <c r="A5597" t="inlineStr">
        <is>
          <t>8032947860722</t>
        </is>
      </c>
      <c r="B5597" t="inlineStr">
        <is>
          <t>Fanola 10.03 Warm Blonde Hair Platinum Coloring Cream 16 Ounce</t>
        </is>
      </c>
      <c r="C5597" t="inlineStr">
        <is>
          <t>Hair Dye</t>
        </is>
      </c>
      <c r="D5597" t="inlineStr">
        <is>
          <t>Fanola</t>
        </is>
      </c>
      <c r="E5597" t="n">
        <v>3.26</v>
      </c>
      <c r="F5597" t="n">
        <v>1</v>
      </c>
      <c r="G5597" t="n">
        <v>4</v>
      </c>
      <c r="H5597" s="5">
        <f>HYPERLINK("https://api.qogita.com/variants/link/8032947860722/", "View Product")</f>
        <v/>
      </c>
    </row>
    <row r="5598">
      <c r="A5598" t="inlineStr">
        <is>
          <t>8032947860814</t>
        </is>
      </c>
      <c r="B5598" t="inlineStr">
        <is>
          <t>Fanola Crema Colore Colouring Cream 11.2 Super Blonde Platinum Pearl 100ml</t>
        </is>
      </c>
      <c r="C5598" t="inlineStr">
        <is>
          <t>Hair Dye</t>
        </is>
      </c>
      <c r="D5598" t="inlineStr">
        <is>
          <t>Fanola</t>
        </is>
      </c>
      <c r="E5598" t="n">
        <v>3.06</v>
      </c>
      <c r="F5598" t="n">
        <v>1</v>
      </c>
      <c r="G5598" t="n">
        <v>6</v>
      </c>
      <c r="H5598" s="5">
        <f>HYPERLINK("https://api.qogita.com/variants/link/8032947860814/", "View Product")</f>
        <v/>
      </c>
    </row>
    <row r="5599">
      <c r="A5599" t="inlineStr">
        <is>
          <t>8032947860821</t>
        </is>
      </c>
      <c r="B5599" t="inlineStr">
        <is>
          <t>Fanola Crema Colore Colouring Cream 11.7 Super Blonde Platinum Iridescent 100ml</t>
        </is>
      </c>
      <c r="C5599" t="inlineStr">
        <is>
          <t>Hair Dye</t>
        </is>
      </c>
      <c r="D5599" t="inlineStr">
        <is>
          <t>Fanola</t>
        </is>
      </c>
      <c r="E5599" t="n">
        <v>3.06</v>
      </c>
      <c r="F5599" t="n">
        <v>1</v>
      </c>
      <c r="G5599" t="n">
        <v>3</v>
      </c>
      <c r="H5599" s="5">
        <f>HYPERLINK("https://api.qogita.com/variants/link/8032947860821/", "View Product")</f>
        <v/>
      </c>
    </row>
    <row r="5600">
      <c r="A5600" t="inlineStr">
        <is>
          <t>8032947861637</t>
        </is>
      </c>
      <c r="B5600" t="inlineStr">
        <is>
          <t>Fanola Perfumed Hydrogen Peroxide Hair Oxidant 30 vol 9% 1000ml</t>
        </is>
      </c>
      <c r="C5600" t="inlineStr">
        <is>
          <t>Bleaching</t>
        </is>
      </c>
      <c r="D5600" t="inlineStr">
        <is>
          <t>Fanola</t>
        </is>
      </c>
      <c r="E5600" t="n">
        <v>3.05</v>
      </c>
      <c r="F5600" t="n">
        <v>1</v>
      </c>
      <c r="G5600" t="n">
        <v>17</v>
      </c>
      <c r="H5600" s="5">
        <f>HYPERLINK("https://api.qogita.com/variants/link/8032947861637/", "View Product")</f>
        <v/>
      </c>
    </row>
    <row r="5601">
      <c r="A5601" t="inlineStr">
        <is>
          <t>8032947861644</t>
        </is>
      </c>
      <c r="B5601" t="inlineStr">
        <is>
          <t>Fanola Perfumed Hydrogen Peroxide Hair Oxidant 40 vol 12% 1000 ml</t>
        </is>
      </c>
      <c r="C5601" t="inlineStr">
        <is>
          <t>Bleaching</t>
        </is>
      </c>
      <c r="D5601" t="inlineStr">
        <is>
          <t>Fanola</t>
        </is>
      </c>
      <c r="E5601" t="n">
        <v>2.62</v>
      </c>
      <c r="F5601" t="n">
        <v>1</v>
      </c>
      <c r="G5601" t="n">
        <v>35</v>
      </c>
      <c r="H5601" s="5">
        <f>HYPERLINK("https://api.qogita.com/variants/link/8032947861644/", "View Product")</f>
        <v/>
      </c>
    </row>
    <row r="5602">
      <c r="A5602" t="inlineStr">
        <is>
          <t>8032947863440</t>
        </is>
      </c>
      <c r="B5602" t="inlineStr">
        <is>
          <t>Fanola Volumizing Hair Conditioner Detangling and Volumizing</t>
        </is>
      </c>
      <c r="C5602" t="inlineStr">
        <is>
          <t>Conditioner</t>
        </is>
      </c>
      <c r="D5602" t="inlineStr">
        <is>
          <t>Fanola</t>
        </is>
      </c>
      <c r="E5602" t="n">
        <v>4.12</v>
      </c>
      <c r="F5602" t="n">
        <v>1</v>
      </c>
      <c r="G5602" t="n">
        <v>4</v>
      </c>
      <c r="H5602" s="5">
        <f>HYPERLINK("https://api.qogita.com/variants/link/8032947863440/", "View Product")</f>
        <v/>
      </c>
    </row>
    <row r="5603">
      <c r="A5603" t="inlineStr">
        <is>
          <t>8032947863822</t>
        </is>
      </c>
      <c r="B5603" t="inlineStr">
        <is>
          <t>Fanola Keraterm Shampoo 300ml</t>
        </is>
      </c>
      <c r="C5603" t="inlineStr">
        <is>
          <t>Shampoo</t>
        </is>
      </c>
      <c r="D5603" t="inlineStr">
        <is>
          <t>Fanola</t>
        </is>
      </c>
      <c r="E5603" t="n">
        <v>5.69</v>
      </c>
      <c r="F5603" t="n">
        <v>1</v>
      </c>
      <c r="G5603" t="n">
        <v>8</v>
      </c>
      <c r="H5603" s="5">
        <f>HYPERLINK("https://api.qogita.com/variants/link/8032947863822/", "View Product")</f>
        <v/>
      </c>
    </row>
    <row r="5604">
      <c r="A5604" t="inlineStr">
        <is>
          <t>8032947863853</t>
        </is>
      </c>
      <c r="B5604" t="inlineStr">
        <is>
          <t>Fanola No Yellow Mask - Purple Mask For Lightened And Blonde Hair, 1000ml</t>
        </is>
      </c>
      <c r="C5604" t="inlineStr">
        <is>
          <t>Hair Masks</t>
        </is>
      </c>
      <c r="D5604" t="inlineStr">
        <is>
          <t>Fanola</t>
        </is>
      </c>
      <c r="E5604" t="n">
        <v>17.01</v>
      </c>
      <c r="F5604" t="n">
        <v>1</v>
      </c>
      <c r="G5604" t="n">
        <v>6</v>
      </c>
      <c r="H5604" s="5">
        <f>HYPERLINK("https://api.qogita.com/variants/link/8032947863853/", "View Product")</f>
        <v/>
      </c>
    </row>
    <row r="5605">
      <c r="A5605" t="inlineStr">
        <is>
          <t>8032947864317</t>
        </is>
      </c>
      <c r="B5605" t="inlineStr">
        <is>
          <t>Fanola Oro Puro 9.0 Very Light Blonde Hair Coloring Cream Gold</t>
        </is>
      </c>
      <c r="C5605" t="inlineStr">
        <is>
          <t>Hair Dye</t>
        </is>
      </c>
      <c r="D5605" t="inlineStr">
        <is>
          <t>Fanola</t>
        </is>
      </c>
      <c r="E5605" t="n">
        <v>3.81</v>
      </c>
      <c r="F5605" t="n">
        <v>1</v>
      </c>
      <c r="G5605" t="n">
        <v>3</v>
      </c>
      <c r="H5605" s="5">
        <f>HYPERLINK("https://api.qogita.com/variants/link/8032947864317/", "View Product")</f>
        <v/>
      </c>
    </row>
    <row r="5606">
      <c r="A5606" t="inlineStr">
        <is>
          <t>8032947864355</t>
        </is>
      </c>
      <c r="B5606" t="inlineStr">
        <is>
          <t>Fanola Oro Therapy Color Keratin 100ml 1.1 Blue Black</t>
        </is>
      </c>
      <c r="C5606" t="inlineStr">
        <is>
          <t>Hair Dye</t>
        </is>
      </c>
      <c r="D5606" t="inlineStr">
        <is>
          <t>Fanola</t>
        </is>
      </c>
      <c r="E5606" t="n">
        <v>3.78</v>
      </c>
      <c r="F5606" t="n">
        <v>1</v>
      </c>
      <c r="G5606" t="n">
        <v>4</v>
      </c>
      <c r="H5606" s="5">
        <f>HYPERLINK("https://api.qogita.com/variants/link/8032947864355/", "View Product")</f>
        <v/>
      </c>
    </row>
    <row r="5607">
      <c r="A5607" t="inlineStr">
        <is>
          <t>8032947864461</t>
        </is>
      </c>
      <c r="B5607" t="inlineStr">
        <is>
          <t>Fanola Oro Therapy Color Keratin 6.3 Dark Blonde Gold 100ml</t>
        </is>
      </c>
      <c r="C5607" t="inlineStr">
        <is>
          <t>Hair Dye</t>
        </is>
      </c>
      <c r="D5607" t="inlineStr">
        <is>
          <t>Fanola</t>
        </is>
      </c>
      <c r="E5607" t="n">
        <v>3.81</v>
      </c>
      <c r="F5607" t="n">
        <v>1</v>
      </c>
      <c r="G5607" t="n">
        <v>3</v>
      </c>
      <c r="H5607" s="5">
        <f>HYPERLINK("https://api.qogita.com/variants/link/8032947864461/", "View Product")</f>
        <v/>
      </c>
    </row>
    <row r="5608">
      <c r="A5608" t="inlineStr">
        <is>
          <t>8032947865802</t>
        </is>
      </c>
      <c r="B5608" t="inlineStr">
        <is>
          <t>Fanola Keraterm Hair Ritual Mask Keratin Mask For Hair 300ml</t>
        </is>
      </c>
      <c r="C5608" t="inlineStr">
        <is>
          <t>Hair Masks</t>
        </is>
      </c>
      <c r="D5608" t="inlineStr">
        <is>
          <t>Fanola</t>
        </is>
      </c>
      <c r="E5608" t="n">
        <v>5.83</v>
      </c>
      <c r="F5608" t="n">
        <v>1</v>
      </c>
      <c r="G5608" t="n">
        <v>3</v>
      </c>
      <c r="H5608" s="5">
        <f>HYPERLINK("https://api.qogita.com/variants/link/8032947865802/", "View Product")</f>
        <v/>
      </c>
    </row>
    <row r="5609">
      <c r="A5609" t="inlineStr">
        <is>
          <t>8032947865826</t>
        </is>
      </c>
      <c r="B5609" t="inlineStr">
        <is>
          <t>Fanola Keraterm Hair Ritual Progressive Smoothing Spray - 200ml</t>
        </is>
      </c>
      <c r="C5609" t="inlineStr">
        <is>
          <t>Hair Care Sets</t>
        </is>
      </c>
      <c r="D5609" t="inlineStr">
        <is>
          <t>Fanola</t>
        </is>
      </c>
      <c r="E5609" t="n">
        <v>7.28</v>
      </c>
      <c r="F5609" t="n">
        <v>1</v>
      </c>
      <c r="G5609" t="n">
        <v>6</v>
      </c>
      <c r="H5609" s="5">
        <f>HYPERLINK("https://api.qogita.com/variants/link/8032947865826/", "View Product")</f>
        <v/>
      </c>
    </row>
    <row r="5610">
      <c r="A5610" t="inlineStr">
        <is>
          <t>8032947866298</t>
        </is>
      </c>
      <c r="B5610" t="inlineStr">
        <is>
          <t>Fanola No Yellow Colour S 1322 Intense Anti-Yellow SuPerlightener 100ml</t>
        </is>
      </c>
      <c r="C5610" t="inlineStr">
        <is>
          <t>Bleaching</t>
        </is>
      </c>
      <c r="D5610" t="inlineStr">
        <is>
          <t>Fanola</t>
        </is>
      </c>
      <c r="E5610" t="n">
        <v>4.79</v>
      </c>
      <c r="F5610" t="n">
        <v>1</v>
      </c>
      <c r="G5610" t="n">
        <v>15</v>
      </c>
      <c r="H5610" s="5">
        <f>HYPERLINK("https://api.qogita.com/variants/link/8032947866298/", "View Product")</f>
        <v/>
      </c>
    </row>
    <row r="5611">
      <c r="A5611" t="inlineStr">
        <is>
          <t>8032947866434</t>
        </is>
      </c>
      <c r="B5611" t="inlineStr">
        <is>
          <t>Fanola Botugen Reconstruction Shampoo For Damaged And Brittle Hair 1000ml</t>
        </is>
      </c>
      <c r="C5611" t="inlineStr">
        <is>
          <t>Shampoo</t>
        </is>
      </c>
      <c r="D5611" t="inlineStr">
        <is>
          <t>Fanola</t>
        </is>
      </c>
      <c r="E5611" t="n">
        <v>14.53</v>
      </c>
      <c r="F5611" t="n">
        <v>1</v>
      </c>
      <c r="G5611" t="n">
        <v>28</v>
      </c>
      <c r="H5611" s="5">
        <f>HYPERLINK("https://api.qogita.com/variants/link/8032947866434/", "View Product")</f>
        <v/>
      </c>
    </row>
    <row r="5612">
      <c r="A5612" t="inlineStr">
        <is>
          <t>8032947866465</t>
        </is>
      </c>
      <c r="B5612" t="inlineStr">
        <is>
          <t>Botugen Botolife Reconstructive Filling Fluid For Damaged And Brittle Hair 150ml</t>
        </is>
      </c>
      <c r="C5612" t="inlineStr">
        <is>
          <t>Hair Masks</t>
        </is>
      </c>
      <c r="D5612" t="inlineStr">
        <is>
          <t>Botugen</t>
        </is>
      </c>
      <c r="E5612" t="n">
        <v>14.2</v>
      </c>
      <c r="F5612" t="n">
        <v>1</v>
      </c>
      <c r="G5612" t="n">
        <v>23</v>
      </c>
      <c r="H5612" s="5">
        <f>HYPERLINK("https://api.qogita.com/variants/link/8032947866465/", "View Product")</f>
        <v/>
      </c>
    </row>
    <row r="5613">
      <c r="A5613" t="inlineStr">
        <is>
          <t>8032947866472</t>
        </is>
      </c>
      <c r="B5613" t="inlineStr">
        <is>
          <t>Fanola Botugen Hair Ritual Botolife Filler Spray 150ml For Damaged And Brittle Hair</t>
        </is>
      </c>
      <c r="C5613" t="inlineStr">
        <is>
          <t>Hair Care Sets</t>
        </is>
      </c>
      <c r="D5613" t="inlineStr">
        <is>
          <t>Fanola</t>
        </is>
      </c>
      <c r="E5613" t="n">
        <v>5.81</v>
      </c>
      <c r="F5613" t="n">
        <v>1</v>
      </c>
      <c r="G5613" t="n">
        <v>2</v>
      </c>
      <c r="H5613" s="5">
        <f>HYPERLINK("https://api.qogita.com/variants/link/8032947866472/", "View Product")</f>
        <v/>
      </c>
    </row>
    <row r="5614">
      <c r="A5614" t="inlineStr">
        <is>
          <t>8032947867066</t>
        </is>
      </c>
      <c r="B5614" t="inlineStr">
        <is>
          <t>5.00 Fanola Colouring Cream 100ml - Intense Light Chestnut</t>
        </is>
      </c>
      <c r="C5614" t="inlineStr">
        <is>
          <t>Hair Dye</t>
        </is>
      </c>
      <c r="D5614" t="inlineStr">
        <is>
          <t>Fanola</t>
        </is>
      </c>
      <c r="E5614" t="n">
        <v>3.06</v>
      </c>
      <c r="F5614" t="n">
        <v>1</v>
      </c>
      <c r="G5614" t="n">
        <v>3</v>
      </c>
      <c r="H5614" s="5">
        <f>HYPERLINK("https://api.qogita.com/variants/link/8032947867066/", "View Product")</f>
        <v/>
      </c>
    </row>
    <row r="5615">
      <c r="A5615" t="inlineStr">
        <is>
          <t>8032947868247</t>
        </is>
      </c>
      <c r="B5615" t="inlineStr">
        <is>
          <t>Fanola No Yellow Ultra Lightener 500g</t>
        </is>
      </c>
      <c r="C5615" t="inlineStr">
        <is>
          <t>Bleaching</t>
        </is>
      </c>
      <c r="D5615" t="inlineStr">
        <is>
          <t>Fanola</t>
        </is>
      </c>
      <c r="E5615" t="n">
        <v>14.53</v>
      </c>
      <c r="F5615" t="n">
        <v>1</v>
      </c>
      <c r="G5615" t="n">
        <v>3</v>
      </c>
      <c r="H5615" s="5">
        <f>HYPERLINK("https://api.qogita.com/variants/link/8032947868247/", "View Product")</f>
        <v/>
      </c>
    </row>
    <row r="5616">
      <c r="A5616" t="inlineStr">
        <is>
          <t>8033219160403</t>
        </is>
      </c>
      <c r="B5616" t="inlineStr">
        <is>
          <t>Inebrya Stylein Fluiding Gel Extreme Gel Fluid 250 Ml</t>
        </is>
      </c>
      <c r="C5616" t="inlineStr">
        <is>
          <t>Gel</t>
        </is>
      </c>
      <c r="D5616" t="inlineStr">
        <is>
          <t>Inebrya</t>
        </is>
      </c>
      <c r="E5616" t="n">
        <v>7.13</v>
      </c>
      <c r="F5616" t="n">
        <v>1</v>
      </c>
      <c r="G5616" t="n">
        <v>2</v>
      </c>
      <c r="H5616" s="5">
        <f>HYPERLINK("https://api.qogita.com/variants/link/8033219160403/", "View Product")</f>
        <v/>
      </c>
    </row>
    <row r="5617">
      <c r="A5617" t="inlineStr">
        <is>
          <t>8033219160847</t>
        </is>
      </c>
      <c r="B5617" t="inlineStr">
        <is>
          <t>Inebrya Color 1 Pure Black</t>
        </is>
      </c>
      <c r="C5617" t="inlineStr">
        <is>
          <t>Hair Dye</t>
        </is>
      </c>
      <c r="D5617" t="inlineStr">
        <is>
          <t>Inebrya</t>
        </is>
      </c>
      <c r="E5617" t="n">
        <v>7.25</v>
      </c>
      <c r="F5617" t="n">
        <v>1</v>
      </c>
      <c r="G5617" t="n">
        <v>5</v>
      </c>
      <c r="H5617" s="5">
        <f>HYPERLINK("https://api.qogita.com/variants/link/8033219160847/", "View Product")</f>
        <v/>
      </c>
    </row>
    <row r="5618">
      <c r="A5618" t="inlineStr">
        <is>
          <t>8033219160878</t>
        </is>
      </c>
      <c r="B5618" t="inlineStr">
        <is>
          <t>Inebrya 5 Pure Light Chestnut 100ml</t>
        </is>
      </c>
      <c r="C5618" t="inlineStr">
        <is>
          <t>Hair Dye</t>
        </is>
      </c>
      <c r="D5618" t="inlineStr">
        <is>
          <t>Inebrya</t>
        </is>
      </c>
      <c r="E5618" t="n">
        <v>7.25</v>
      </c>
      <c r="F5618" t="n">
        <v>1</v>
      </c>
      <c r="G5618" t="n">
        <v>5</v>
      </c>
      <c r="H5618" s="5">
        <f>HYPERLINK("https://api.qogita.com/variants/link/8033219160878/", "View Product")</f>
        <v/>
      </c>
    </row>
    <row r="5619">
      <c r="A5619" t="inlineStr">
        <is>
          <t>8033219161431</t>
        </is>
      </c>
      <c r="B5619" t="inlineStr">
        <is>
          <t>Inebrya Bionic Color 4/7 100ml</t>
        </is>
      </c>
      <c r="C5619" t="inlineStr">
        <is>
          <t>Hair Dye</t>
        </is>
      </c>
      <c r="D5619" t="inlineStr">
        <is>
          <t>Inebrya</t>
        </is>
      </c>
      <c r="E5619" t="n">
        <v>10.39</v>
      </c>
      <c r="F5619" t="n">
        <v>1</v>
      </c>
      <c r="G5619" t="n">
        <v>5</v>
      </c>
      <c r="H5619" s="5">
        <f>HYPERLINK("https://api.qogita.com/variants/link/8033219161431/", "View Product")</f>
        <v/>
      </c>
    </row>
    <row r="5620">
      <c r="A5620" t="inlineStr">
        <is>
          <t>8033219162346</t>
        </is>
      </c>
      <c r="B5620" t="inlineStr">
        <is>
          <t>Inebrya Permanent Hair Color Cream with Flaxseed and Aloe Vera 100ml 9.3 Ch.mo Gold</t>
        </is>
      </c>
      <c r="C5620" t="inlineStr">
        <is>
          <t>Hair Dye</t>
        </is>
      </c>
      <c r="D5620" t="inlineStr">
        <is>
          <t>Inebrya</t>
        </is>
      </c>
      <c r="E5620" t="n">
        <v>7.25</v>
      </c>
      <c r="F5620" t="n">
        <v>1</v>
      </c>
      <c r="G5620" t="n">
        <v>4</v>
      </c>
      <c r="H5620" s="5">
        <f>HYPERLINK("https://api.qogita.com/variants/link/8033219162346/", "View Product")</f>
        <v/>
      </c>
    </row>
    <row r="5621">
      <c r="A5621" t="inlineStr">
        <is>
          <t>8033219162360</t>
        </is>
      </c>
      <c r="B5621" t="inlineStr">
        <is>
          <t>Inebrya Color Copper 5/4 Light Chestnut Copper 100 Ml</t>
        </is>
      </c>
      <c r="C5621" t="inlineStr">
        <is>
          <t>Hair Dye</t>
        </is>
      </c>
      <c r="D5621" t="inlineStr">
        <is>
          <t>Inebrya</t>
        </is>
      </c>
      <c r="E5621" t="n">
        <v>7.25</v>
      </c>
      <c r="F5621" t="n">
        <v>1</v>
      </c>
      <c r="G5621" t="n">
        <v>3</v>
      </c>
      <c r="H5621" s="5">
        <f>HYPERLINK("https://api.qogita.com/variants/link/8033219162360/", "View Product")</f>
        <v/>
      </c>
    </row>
    <row r="5622">
      <c r="A5622" t="inlineStr">
        <is>
          <t>8033219162407</t>
        </is>
      </c>
      <c r="B5622" t="inlineStr">
        <is>
          <t>7/44 Blonde Intense Copper Yellow 100ml</t>
        </is>
      </c>
      <c r="C5622" t="inlineStr">
        <is>
          <t>Hair Dye</t>
        </is>
      </c>
      <c r="D5622" t="inlineStr">
        <is>
          <t>Inebrya</t>
        </is>
      </c>
      <c r="E5622" t="n">
        <v>7.25</v>
      </c>
      <c r="F5622" t="n">
        <v>1</v>
      </c>
      <c r="G5622" t="n">
        <v>2</v>
      </c>
      <c r="H5622" s="5">
        <f>HYPERLINK("https://api.qogita.com/variants/link/8033219162407/", "View Product")</f>
        <v/>
      </c>
    </row>
    <row r="5623">
      <c r="A5623" t="inlineStr">
        <is>
          <t>8033219162476</t>
        </is>
      </c>
      <c r="B5623" t="inlineStr">
        <is>
          <t>INEBRYA COLOR Permanent Hair Color Cream 100ml</t>
        </is>
      </c>
      <c r="C5623" t="inlineStr">
        <is>
          <t>Hair Dye</t>
        </is>
      </c>
      <c r="D5623" t="inlineStr">
        <is>
          <t>Inebrya</t>
        </is>
      </c>
      <c r="E5623" t="n">
        <v>7.25</v>
      </c>
      <c r="F5623" t="n">
        <v>1</v>
      </c>
      <c r="G5623" t="n">
        <v>2</v>
      </c>
      <c r="H5623" s="5">
        <f>HYPERLINK("https://api.qogita.com/variants/link/8033219162476/", "View Product")</f>
        <v/>
      </c>
    </row>
    <row r="5624">
      <c r="A5624" t="inlineStr">
        <is>
          <t>8033219162629</t>
        </is>
      </c>
      <c r="B5624" t="inlineStr">
        <is>
          <t>Inebrya Tropical Color 4/7 Chestnut Brown Coffee 1.00g</t>
        </is>
      </c>
      <c r="C5624" t="inlineStr">
        <is>
          <t>Hair Dye</t>
        </is>
      </c>
      <c r="D5624" t="inlineStr">
        <is>
          <t>Inebrya</t>
        </is>
      </c>
      <c r="E5624" t="n">
        <v>7.25</v>
      </c>
      <c r="F5624" t="n">
        <v>1</v>
      </c>
      <c r="G5624" t="n">
        <v>5</v>
      </c>
      <c r="H5624" s="5">
        <f>HYPERLINK("https://api.qogita.com/variants/link/8033219162629/", "View Product")</f>
        <v/>
      </c>
    </row>
    <row r="5625">
      <c r="A5625" t="inlineStr">
        <is>
          <t>8033219162681</t>
        </is>
      </c>
      <c r="B5625" t="inlineStr">
        <is>
          <t>Inebrya Color Tobacco 6/73 Dark Blonde Brown Gol</t>
        </is>
      </c>
      <c r="C5625" t="inlineStr">
        <is>
          <t>Hair Dye</t>
        </is>
      </c>
      <c r="D5625" t="inlineStr">
        <is>
          <t>Inebrya</t>
        </is>
      </c>
      <c r="E5625" t="n">
        <v>7.25</v>
      </c>
      <c r="F5625" t="n">
        <v>1</v>
      </c>
      <c r="G5625" t="n">
        <v>4</v>
      </c>
      <c r="H5625" s="5">
        <f>HYPERLINK("https://api.qogita.com/variants/link/8033219162681/", "View Product")</f>
        <v/>
      </c>
    </row>
    <row r="5626">
      <c r="A5626" t="inlineStr">
        <is>
          <t>8033219162735</t>
        </is>
      </c>
      <c r="B5626" t="inlineStr">
        <is>
          <t>Color Correctors Yellow 100ml</t>
        </is>
      </c>
      <c r="C5626" t="inlineStr">
        <is>
          <t>Color Corrector</t>
        </is>
      </c>
      <c r="D5626" t="inlineStr">
        <is>
          <t>Inebrya</t>
        </is>
      </c>
      <c r="E5626" t="n">
        <v>7.25</v>
      </c>
      <c r="F5626" t="n">
        <v>1</v>
      </c>
      <c r="G5626" t="n">
        <v>2</v>
      </c>
      <c r="H5626" s="5">
        <f>HYPERLINK("https://api.qogita.com/variants/link/8033219162735/", "View Product")</f>
        <v/>
      </c>
    </row>
    <row r="5627">
      <c r="A5627" t="inlineStr">
        <is>
          <t>8033219162766</t>
        </is>
      </c>
      <c r="B5627" t="inlineStr">
        <is>
          <t>Permanent Hair Color Cream with Flaxseed and Aloe Vera 100ml Inebrya</t>
        </is>
      </c>
      <c r="C5627" t="inlineStr">
        <is>
          <t>Hair Dye</t>
        </is>
      </c>
      <c r="D5627" t="inlineStr">
        <is>
          <t>Inebrya</t>
        </is>
      </c>
      <c r="E5627" t="n">
        <v>7.25</v>
      </c>
      <c r="F5627" t="n">
        <v>1</v>
      </c>
      <c r="G5627" t="n">
        <v>2</v>
      </c>
      <c r="H5627" s="5">
        <f>HYPERLINK("https://api.qogita.com/variants/link/8033219162766/", "View Product")</f>
        <v/>
      </c>
    </row>
    <row r="5628">
      <c r="A5628" t="inlineStr">
        <is>
          <t>8033219163268</t>
        </is>
      </c>
      <c r="B5628" t="inlineStr">
        <is>
          <t>INEBRYA Color 10/3 Light Golden Blonde Platinum 100ml</t>
        </is>
      </c>
      <c r="C5628" t="inlineStr">
        <is>
          <t>Hair Dye</t>
        </is>
      </c>
      <c r="D5628" t="inlineStr">
        <is>
          <t>Inebrya</t>
        </is>
      </c>
      <c r="E5628" t="n">
        <v>7.25</v>
      </c>
      <c r="F5628" t="n">
        <v>1</v>
      </c>
      <c r="G5628" t="n">
        <v>5</v>
      </c>
      <c r="H5628" s="5">
        <f>HYPERLINK("https://api.qogita.com/variants/link/8033219163268/", "View Product")</f>
        <v/>
      </c>
    </row>
    <row r="5629">
      <c r="A5629" t="inlineStr">
        <is>
          <t>8033219163749</t>
        </is>
      </c>
      <c r="B5629" t="inlineStr">
        <is>
          <t>Professional Permanent Superlighteners Hair Colour Dye 12/1 Sprlght Pltnm Blonde Extra Ash</t>
        </is>
      </c>
      <c r="C5629" t="inlineStr">
        <is>
          <t>Hair Dye</t>
        </is>
      </c>
      <c r="D5629" t="inlineStr">
        <is>
          <t>Inebrya</t>
        </is>
      </c>
      <c r="E5629" t="n">
        <v>7.25</v>
      </c>
      <c r="F5629" t="n">
        <v>1</v>
      </c>
      <c r="G5629" t="n">
        <v>4</v>
      </c>
      <c r="H5629" s="5">
        <f>HYPERLINK("https://api.qogita.com/variants/link/8033219163749/", "View Product")</f>
        <v/>
      </c>
    </row>
    <row r="5630">
      <c r="A5630" t="inlineStr">
        <is>
          <t>8033219163886</t>
        </is>
      </c>
      <c r="B5630" t="inlineStr">
        <is>
          <t>Blonde Platinum Light Ash Hair Color 100ml</t>
        </is>
      </c>
      <c r="C5630" t="inlineStr">
        <is>
          <t>Hair Dye</t>
        </is>
      </c>
      <c r="D5630" t="inlineStr">
        <is>
          <t>Inebrya</t>
        </is>
      </c>
      <c r="E5630" t="n">
        <v>7.25</v>
      </c>
      <c r="F5630" t="n">
        <v>1</v>
      </c>
      <c r="G5630" t="n">
        <v>3</v>
      </c>
      <c r="H5630" s="5">
        <f>HYPERLINK("https://api.qogita.com/variants/link/8033219163886/", "View Product")</f>
        <v/>
      </c>
    </row>
    <row r="5631">
      <c r="A5631" t="inlineStr">
        <is>
          <t>8033219168201</t>
        </is>
      </c>
      <c r="B5631" t="inlineStr">
        <is>
          <t>Inebrya Color Red Fire 7/66F Blonde Red Fire 100ml</t>
        </is>
      </c>
      <c r="C5631" t="inlineStr">
        <is>
          <t>Hair Dye</t>
        </is>
      </c>
      <c r="D5631" t="inlineStr">
        <is>
          <t>Inebrya</t>
        </is>
      </c>
      <c r="E5631" t="n">
        <v>7.25</v>
      </c>
      <c r="F5631" t="n">
        <v>1</v>
      </c>
      <c r="G5631" t="n">
        <v>5</v>
      </c>
      <c r="H5631" s="5">
        <f>HYPERLINK("https://api.qogita.com/variants/link/8033219168201/", "View Product")</f>
        <v/>
      </c>
    </row>
    <row r="5632">
      <c r="A5632" t="inlineStr">
        <is>
          <t>8033219168775</t>
        </is>
      </c>
      <c r="B5632" t="inlineStr">
        <is>
          <t>Inebrya Color Ash Intense 7/11 Blonde Intense Ash 100ml 122.00g</t>
        </is>
      </c>
      <c r="C5632" t="inlineStr">
        <is>
          <t>Hair Dye</t>
        </is>
      </c>
      <c r="D5632" t="inlineStr">
        <is>
          <t>Inebrya</t>
        </is>
      </c>
      <c r="E5632" t="n">
        <v>7.25</v>
      </c>
      <c r="F5632" t="n">
        <v>1</v>
      </c>
      <c r="G5632" t="n">
        <v>5</v>
      </c>
      <c r="H5632" s="5">
        <f>HYPERLINK("https://api.qogita.com/variants/link/8033219168775/", "View Product")</f>
        <v/>
      </c>
    </row>
    <row r="5633">
      <c r="A5633" t="inlineStr">
        <is>
          <t>8033224810522</t>
        </is>
      </c>
      <c r="B5633" t="inlineStr">
        <is>
          <t>Rilastil Aqua Face Cleanser 200ml Hydrating Facial Cleanser</t>
        </is>
      </c>
      <c r="C5633" t="inlineStr">
        <is>
          <t>Cleansing Gel</t>
        </is>
      </c>
      <c r="D5633" t="inlineStr">
        <is>
          <t>Rilastil</t>
        </is>
      </c>
      <c r="E5633" t="n">
        <v>15.97</v>
      </c>
      <c r="F5633" t="n">
        <v>1</v>
      </c>
      <c r="G5633" t="n">
        <v>2</v>
      </c>
      <c r="H5633" s="5">
        <f>HYPERLINK("https://api.qogita.com/variants/link/8033224810522/", "View Product")</f>
        <v/>
      </c>
    </row>
    <row r="5634">
      <c r="A5634" t="inlineStr">
        <is>
          <t>8033406601511</t>
        </is>
      </c>
      <c r="B5634" t="inlineStr">
        <is>
          <t>NOBILE 1942 Pontevecchio Men Extrait Perfume 75ml</t>
        </is>
      </c>
      <c r="C5634" t="inlineStr">
        <is>
          <t>Extrait De Parfum</t>
        </is>
      </c>
      <c r="D5634" t="inlineStr">
        <is>
          <t>Nobile 1942</t>
        </is>
      </c>
      <c r="E5634" t="n">
        <v>119.95</v>
      </c>
      <c r="F5634" t="n">
        <v>1</v>
      </c>
      <c r="G5634" t="n">
        <v>5</v>
      </c>
      <c r="H5634" s="5">
        <f>HYPERLINK("https://api.qogita.com/variants/link/8033406601511/", "View Product")</f>
        <v/>
      </c>
    </row>
    <row r="5635">
      <c r="A5635" t="inlineStr">
        <is>
          <t>8033406604468</t>
        </is>
      </c>
      <c r="B5635" t="inlineStr">
        <is>
          <t>Nobile 1942 Extrait de Parfum Petali e Spade FPS101 75ml Scent Perfume</t>
        </is>
      </c>
      <c r="C5635" t="inlineStr">
        <is>
          <t>Extrait De Parfum</t>
        </is>
      </c>
      <c r="D5635" t="inlineStr">
        <is>
          <t>Nobile 1942</t>
        </is>
      </c>
      <c r="E5635" t="n">
        <v>115.37</v>
      </c>
      <c r="F5635" t="n">
        <v>1</v>
      </c>
      <c r="G5635" t="n">
        <v>3</v>
      </c>
      <c r="H5635" s="5">
        <f>HYPERLINK("https://api.qogita.com/variants/link/8033406604468/", "View Product")</f>
        <v/>
      </c>
    </row>
    <row r="5636">
      <c r="A5636" t="inlineStr">
        <is>
          <t>8033488150112</t>
        </is>
      </c>
      <c r="B5636" t="inlineStr">
        <is>
          <t>Xerjoff Casamorati 1888 Dolce Amalfi Eau De Parfum Spray 100ml</t>
        </is>
      </c>
      <c r="C5636" t="inlineStr">
        <is>
          <t>Eau De Parfum</t>
        </is>
      </c>
      <c r="D5636" t="inlineStr">
        <is>
          <t>Xerjoff</t>
        </is>
      </c>
      <c r="E5636" t="n">
        <v>145.57</v>
      </c>
      <c r="F5636" t="n">
        <v>1</v>
      </c>
      <c r="G5636" t="n">
        <v>5</v>
      </c>
      <c r="H5636" s="5">
        <f>HYPERLINK("https://api.qogita.com/variants/link/8033488150112/", "View Product")</f>
        <v/>
      </c>
    </row>
    <row r="5637">
      <c r="A5637" t="inlineStr">
        <is>
          <t>8033488151553</t>
        </is>
      </c>
      <c r="B5637" t="inlineStr">
        <is>
          <t>Xerjoff Shooting Stars Eau De Parfum Spray 50ml</t>
        </is>
      </c>
      <c r="C5637" t="inlineStr">
        <is>
          <t>Eau De Parfum</t>
        </is>
      </c>
      <c r="D5637" t="inlineStr">
        <is>
          <t>Xerjoff</t>
        </is>
      </c>
      <c r="E5637" t="n">
        <v>122.88</v>
      </c>
      <c r="F5637" t="n">
        <v>1</v>
      </c>
      <c r="G5637" t="n">
        <v>20</v>
      </c>
      <c r="H5637" s="5">
        <f>HYPERLINK("https://api.qogita.com/variants/link/8033488151553/", "View Product")</f>
        <v/>
      </c>
    </row>
    <row r="5638">
      <c r="A5638" t="inlineStr">
        <is>
          <t>8033488151652</t>
        </is>
      </c>
      <c r="B5638" t="inlineStr">
        <is>
          <t>Xerjoff Dama Bianca Eau De Parfum 100ml Women Spray</t>
        </is>
      </c>
      <c r="C5638" t="inlineStr">
        <is>
          <t>Eau De Parfum</t>
        </is>
      </c>
      <c r="D5638" t="inlineStr">
        <is>
          <t>Xerjoff</t>
        </is>
      </c>
      <c r="E5638" t="n">
        <v>125.6</v>
      </c>
      <c r="F5638" t="n">
        <v>1</v>
      </c>
      <c r="G5638" t="n">
        <v>24</v>
      </c>
      <c r="H5638" s="5">
        <f>HYPERLINK("https://api.qogita.com/variants/link/8033488151652/", "View Product")</f>
        <v/>
      </c>
    </row>
    <row r="5639">
      <c r="A5639" t="inlineStr">
        <is>
          <t>8033488153267</t>
        </is>
      </c>
      <c r="B5639" t="inlineStr">
        <is>
          <t>Xerjoff Casamorati 1888 Unisex Eau De Parfum Spray 100ml</t>
        </is>
      </c>
      <c r="C5639" t="inlineStr">
        <is>
          <t>Eau De Parfum</t>
        </is>
      </c>
      <c r="D5639" t="inlineStr">
        <is>
          <t>Xerjoff</t>
        </is>
      </c>
      <c r="E5639" t="n">
        <v>134.22</v>
      </c>
      <c r="F5639" t="n">
        <v>1</v>
      </c>
      <c r="G5639" t="n">
        <v>20</v>
      </c>
      <c r="H5639" s="5">
        <f>HYPERLINK("https://api.qogita.com/variants/link/8033488153267/", "View Product")</f>
        <v/>
      </c>
    </row>
    <row r="5640">
      <c r="A5640" t="inlineStr">
        <is>
          <t>8033488153434</t>
        </is>
      </c>
      <c r="B5640" t="inlineStr">
        <is>
          <t>Xerjoff Oud Stars Fars Eau De Parfum Spray 50ml</t>
        </is>
      </c>
      <c r="C5640" t="inlineStr">
        <is>
          <t>Eau De Parfum</t>
        </is>
      </c>
      <c r="D5640" t="inlineStr">
        <is>
          <t>Xerjoff</t>
        </is>
      </c>
      <c r="E5640" t="n">
        <v>146.28</v>
      </c>
      <c r="F5640" t="n">
        <v>1</v>
      </c>
      <c r="G5640" t="n">
        <v>4</v>
      </c>
      <c r="H5640" s="5">
        <f>HYPERLINK("https://api.qogita.com/variants/link/8033488153434/", "View Product")</f>
        <v/>
      </c>
    </row>
    <row r="5641">
      <c r="A5641" t="inlineStr">
        <is>
          <t>8033488153441</t>
        </is>
      </c>
      <c r="B5641" t="inlineStr">
        <is>
          <t>Xerjoff Gao Eau De Parfum Spray 50ml</t>
        </is>
      </c>
      <c r="C5641" t="inlineStr">
        <is>
          <t>Eau De Parfum</t>
        </is>
      </c>
      <c r="D5641" t="inlineStr">
        <is>
          <t>Xerjoff</t>
        </is>
      </c>
      <c r="E5641" t="n">
        <v>142.09</v>
      </c>
      <c r="F5641" t="n">
        <v>1</v>
      </c>
      <c r="G5641" t="n">
        <v>5</v>
      </c>
      <c r="H5641" s="5">
        <f>HYPERLINK("https://api.qogita.com/variants/link/8033488153441/", "View Product")</f>
        <v/>
      </c>
    </row>
    <row r="5642">
      <c r="A5642" t="inlineStr">
        <is>
          <t>8033488153557</t>
        </is>
      </c>
      <c r="B5642" t="inlineStr">
        <is>
          <t>Casamorati 1888 Mefisto Eau De Parfum Spray 100ml By Casamorati</t>
        </is>
      </c>
      <c r="C5642" t="inlineStr">
        <is>
          <t>Eau De Parfum</t>
        </is>
      </c>
      <c r="D5642" t="inlineStr">
        <is>
          <t>Casamorati</t>
        </is>
      </c>
      <c r="E5642" t="n">
        <v>157.95</v>
      </c>
      <c r="F5642" t="n">
        <v>1</v>
      </c>
      <c r="G5642" t="n">
        <v>2</v>
      </c>
      <c r="H5642" s="5">
        <f>HYPERLINK("https://api.qogita.com/variants/link/8033488153557/", "View Product")</f>
        <v/>
      </c>
    </row>
    <row r="5643">
      <c r="A5643" t="inlineStr">
        <is>
          <t>8033488153571</t>
        </is>
      </c>
      <c r="B5643" t="inlineStr">
        <is>
          <t>Xerjoff Casamorati 1888 Fiero Men Eau De Parfum Spray 100ml</t>
        </is>
      </c>
      <c r="C5643" t="inlineStr">
        <is>
          <t>Eau De Parfum</t>
        </is>
      </c>
      <c r="D5643" t="inlineStr">
        <is>
          <t>Xerjoff</t>
        </is>
      </c>
      <c r="E5643" t="n">
        <v>128.26</v>
      </c>
      <c r="F5643" t="n">
        <v>1</v>
      </c>
      <c r="G5643" t="n">
        <v>20</v>
      </c>
      <c r="H5643" s="5">
        <f>HYPERLINK("https://api.qogita.com/variants/link/8033488153571/", "View Product")</f>
        <v/>
      </c>
    </row>
    <row r="5644">
      <c r="A5644" t="inlineStr">
        <is>
          <t>8033488154523</t>
        </is>
      </c>
      <c r="B5644" t="inlineStr">
        <is>
          <t>Xerjoff Dama Bianca Eau De Parfum Spray 30ml</t>
        </is>
      </c>
      <c r="C5644" t="inlineStr">
        <is>
          <t>Eau De Parfum</t>
        </is>
      </c>
      <c r="D5644" t="inlineStr">
        <is>
          <t>Xerjoff</t>
        </is>
      </c>
      <c r="E5644" t="n">
        <v>60.58</v>
      </c>
      <c r="F5644" t="n">
        <v>1</v>
      </c>
      <c r="G5644" t="n">
        <v>12</v>
      </c>
      <c r="H5644" s="5">
        <f>HYPERLINK("https://api.qogita.com/variants/link/8033488154523/", "View Product")</f>
        <v/>
      </c>
    </row>
    <row r="5645">
      <c r="A5645" t="inlineStr">
        <is>
          <t>8033488154622</t>
        </is>
      </c>
      <c r="B5645" t="inlineStr">
        <is>
          <t>Xerjoff Oud Stars Malesia Parfum Spray 50ml</t>
        </is>
      </c>
      <c r="C5645" t="inlineStr">
        <is>
          <t>Eau De Parfum</t>
        </is>
      </c>
      <c r="D5645" t="inlineStr">
        <is>
          <t>Xerjoff</t>
        </is>
      </c>
      <c r="E5645" t="n">
        <v>143.02</v>
      </c>
      <c r="F5645" t="n">
        <v>1</v>
      </c>
      <c r="G5645" t="n">
        <v>5</v>
      </c>
      <c r="H5645" s="5">
        <f>HYPERLINK("https://api.qogita.com/variants/link/8033488154622/", "View Product")</f>
        <v/>
      </c>
    </row>
    <row r="5646">
      <c r="A5646" t="inlineStr">
        <is>
          <t>8033488154967</t>
        </is>
      </c>
      <c r="B5646" t="inlineStr">
        <is>
          <t>Xerjoff Alexandria Ii Eau De Parfum 100ml Unisex Spray</t>
        </is>
      </c>
      <c r="C5646" t="inlineStr">
        <is>
          <t>Eau De Parfum</t>
        </is>
      </c>
      <c r="D5646" t="inlineStr">
        <is>
          <t>Xerjoff</t>
        </is>
      </c>
      <c r="E5646" t="n">
        <v>260.39</v>
      </c>
      <c r="F5646" t="n">
        <v>1</v>
      </c>
      <c r="G5646" t="n">
        <v>229</v>
      </c>
      <c r="H5646" s="5">
        <f>HYPERLINK("https://api.qogita.com/variants/link/8033488154967/", "View Product")</f>
        <v/>
      </c>
    </row>
    <row r="5647">
      <c r="A5647" t="inlineStr">
        <is>
          <t>8033488155063</t>
        </is>
      </c>
      <c r="B5647" t="inlineStr">
        <is>
          <t>Xerjoff 1861 Renaissance Eau De Parfum 100ml</t>
        </is>
      </c>
      <c r="C5647" t="inlineStr">
        <is>
          <t>Eau De Parfum</t>
        </is>
      </c>
      <c r="D5647" t="inlineStr">
        <is>
          <t>Xerjoff</t>
        </is>
      </c>
      <c r="E5647" t="n">
        <v>128.15</v>
      </c>
      <c r="F5647" t="n">
        <v>1</v>
      </c>
      <c r="G5647" t="n">
        <v>331</v>
      </c>
      <c r="H5647" s="5">
        <f>HYPERLINK("https://api.qogita.com/variants/link/8033488155063/", "View Product")</f>
        <v/>
      </c>
    </row>
    <row r="5648">
      <c r="A5648" t="inlineStr">
        <is>
          <t>8033488155131</t>
        </is>
      </c>
      <c r="B5648" t="inlineStr">
        <is>
          <t>Xerjoff Join The Club More Than Words Eau De Parfum 100ml</t>
        </is>
      </c>
      <c r="C5648" t="inlineStr">
        <is>
          <t>Eau De Parfum</t>
        </is>
      </c>
      <c r="D5648" t="inlineStr">
        <is>
          <t>Xerjoff</t>
        </is>
      </c>
      <c r="E5648" t="n">
        <v>154.06</v>
      </c>
      <c r="F5648" t="n">
        <v>1</v>
      </c>
      <c r="G5648" t="n">
        <v>82</v>
      </c>
      <c r="H5648" s="5">
        <f>HYPERLINK("https://api.qogita.com/variants/link/8033488155131/", "View Product")</f>
        <v/>
      </c>
    </row>
    <row r="5649">
      <c r="A5649" t="inlineStr">
        <is>
          <t>8033488155186</t>
        </is>
      </c>
      <c r="B5649" t="inlineStr">
        <is>
          <t>Join The Club by Xerjoff Comandante Eau de Parfum Spray 50ml</t>
        </is>
      </c>
      <c r="C5649" t="inlineStr">
        <is>
          <t>Eau De Parfum</t>
        </is>
      </c>
      <c r="D5649" t="inlineStr">
        <is>
          <t>Xerjoff</t>
        </is>
      </c>
      <c r="E5649" t="n">
        <v>104.39</v>
      </c>
      <c r="F5649" t="n">
        <v>1</v>
      </c>
      <c r="G5649" t="n">
        <v>20</v>
      </c>
      <c r="H5649" s="5">
        <f>HYPERLINK("https://api.qogita.com/variants/link/8033488155186/", "View Product")</f>
        <v/>
      </c>
    </row>
    <row r="5650">
      <c r="A5650" t="inlineStr">
        <is>
          <t>8033488155193</t>
        </is>
      </c>
      <c r="B5650" t="inlineStr">
        <is>
          <t>Xerjoff Join The Club Comandante! Eau De Parfum Spray 100ml</t>
        </is>
      </c>
      <c r="C5650" t="inlineStr">
        <is>
          <t>Eau De Parfum</t>
        </is>
      </c>
      <c r="D5650" t="inlineStr">
        <is>
          <t>Xerjoff</t>
        </is>
      </c>
      <c r="E5650" t="n">
        <v>144.2</v>
      </c>
      <c r="F5650" t="n">
        <v>1</v>
      </c>
      <c r="G5650" t="n">
        <v>8</v>
      </c>
      <c r="H5650" s="5">
        <f>HYPERLINK("https://api.qogita.com/variants/link/8033488155193/", "View Product")</f>
        <v/>
      </c>
    </row>
    <row r="5651">
      <c r="A5651" t="inlineStr">
        <is>
          <t>8033488155223</t>
        </is>
      </c>
      <c r="B5651" t="inlineStr">
        <is>
          <t>Xerjoff Join The Club Fatal Charme Eau De Parfum 50ml Unisex Spray</t>
        </is>
      </c>
      <c r="C5651" t="inlineStr">
        <is>
          <t>Eau De Parfum</t>
        </is>
      </c>
      <c r="D5651" t="inlineStr">
        <is>
          <t>Xerjoff</t>
        </is>
      </c>
      <c r="E5651" t="n">
        <v>110.78</v>
      </c>
      <c r="F5651" t="n">
        <v>1</v>
      </c>
      <c r="G5651" t="n">
        <v>17</v>
      </c>
      <c r="H5651" s="5">
        <f>HYPERLINK("https://api.qogita.com/variants/link/8033488155223/", "View Product")</f>
        <v/>
      </c>
    </row>
    <row r="5652">
      <c r="A5652" t="inlineStr">
        <is>
          <t>8033488155469</t>
        </is>
      </c>
      <c r="B5652" t="inlineStr">
        <is>
          <t>Xerjoff 17/17 Stone Label Xxy Eau De Parfum Spray 100ml</t>
        </is>
      </c>
      <c r="C5652" t="inlineStr">
        <is>
          <t>Eau De Parfum</t>
        </is>
      </c>
      <c r="D5652" t="inlineStr">
        <is>
          <t>Xerjoff</t>
        </is>
      </c>
      <c r="E5652" t="n">
        <v>301.03</v>
      </c>
      <c r="F5652" t="n">
        <v>1</v>
      </c>
      <c r="G5652" t="n">
        <v>3</v>
      </c>
      <c r="H5652" s="5">
        <f>HYPERLINK("https://api.qogita.com/variants/link/8033488155469/", "View Product")</f>
        <v/>
      </c>
    </row>
    <row r="5653">
      <c r="A5653" t="inlineStr">
        <is>
          <t>8033488155476</t>
        </is>
      </c>
      <c r="B5653" t="inlineStr">
        <is>
          <t>Xerjoff 17/17 Stone Label Xxy Eau De Parfum Spray 50ml</t>
        </is>
      </c>
      <c r="C5653" t="inlineStr">
        <is>
          <t>Eau De Parfum</t>
        </is>
      </c>
      <c r="D5653" t="inlineStr">
        <is>
          <t>Xerjoff</t>
        </is>
      </c>
      <c r="E5653" t="n">
        <v>209.73</v>
      </c>
      <c r="F5653" t="n">
        <v>1</v>
      </c>
      <c r="G5653" t="n">
        <v>2</v>
      </c>
      <c r="H5653" s="5">
        <f>HYPERLINK("https://api.qogita.com/variants/link/8033488155476/", "View Product")</f>
        <v/>
      </c>
    </row>
    <row r="5654">
      <c r="A5654" t="inlineStr">
        <is>
          <t>8033488155490</t>
        </is>
      </c>
      <c r="B5654" t="inlineStr">
        <is>
          <t>Xerjoff Irisss Eau De Parfum Spray 50ml</t>
        </is>
      </c>
      <c r="C5654" t="inlineStr">
        <is>
          <t>Eau De Parfum</t>
        </is>
      </c>
      <c r="D5654" t="inlineStr">
        <is>
          <t>Xerjoff</t>
        </is>
      </c>
      <c r="E5654" t="n">
        <v>193.94</v>
      </c>
      <c r="F5654" t="n">
        <v>1</v>
      </c>
      <c r="G5654" t="n">
        <v>10</v>
      </c>
      <c r="H5654" s="5">
        <f>HYPERLINK("https://api.qogita.com/variants/link/8033488155490/", "View Product")</f>
        <v/>
      </c>
    </row>
    <row r="5655">
      <c r="A5655" t="inlineStr">
        <is>
          <t>8033488155551</t>
        </is>
      </c>
      <c r="B5655" t="inlineStr">
        <is>
          <t>Xerjoff Symphonium Eau De Parfum 100ml Unisex Spray</t>
        </is>
      </c>
      <c r="C5655" t="inlineStr">
        <is>
          <t>Eau De Parfum</t>
        </is>
      </c>
      <c r="D5655" t="inlineStr">
        <is>
          <t>Xerjoff</t>
        </is>
      </c>
      <c r="E5655" t="n">
        <v>281.99</v>
      </c>
      <c r="F5655" t="n">
        <v>1</v>
      </c>
      <c r="G5655" t="n">
        <v>3</v>
      </c>
      <c r="H5655" s="5">
        <f>HYPERLINK("https://api.qogita.com/variants/link/8033488155551/", "View Product")</f>
        <v/>
      </c>
    </row>
    <row r="5656">
      <c r="A5656" t="inlineStr">
        <is>
          <t>8033488156404</t>
        </is>
      </c>
      <c r="B5656" t="inlineStr">
        <is>
          <t>Xerjoff V Purple Accento Eau De Parfum Spray 100ml</t>
        </is>
      </c>
      <c r="C5656" t="inlineStr">
        <is>
          <t>Eau De Parfum</t>
        </is>
      </c>
      <c r="D5656" t="inlineStr">
        <is>
          <t>Xerjoff</t>
        </is>
      </c>
      <c r="E5656" t="n">
        <v>350.01</v>
      </c>
      <c r="F5656" t="n">
        <v>1</v>
      </c>
      <c r="G5656" t="n">
        <v>26</v>
      </c>
      <c r="H5656" s="5">
        <f>HYPERLINK("https://api.qogita.com/variants/link/8033488156404/", "View Product")</f>
        <v/>
      </c>
    </row>
    <row r="5657">
      <c r="A5657" t="inlineStr">
        <is>
          <t>8033488157555</t>
        </is>
      </c>
      <c r="B5657" t="inlineStr">
        <is>
          <t>Xerjoff Via Cavour 1 - Perfume</t>
        </is>
      </c>
      <c r="C5657" t="inlineStr">
        <is>
          <t>Eau De Parfum</t>
        </is>
      </c>
      <c r="D5657" t="inlineStr">
        <is>
          <t>Xerjoff</t>
        </is>
      </c>
      <c r="E5657" t="n">
        <v>133.68</v>
      </c>
      <c r="F5657" t="n">
        <v>1</v>
      </c>
      <c r="G5657" t="n">
        <v>6</v>
      </c>
      <c r="H5657" s="5">
        <f>HYPERLINK("https://api.qogita.com/variants/link/8033488157555/", "View Product")</f>
        <v/>
      </c>
    </row>
    <row r="5658">
      <c r="A5658" t="inlineStr">
        <is>
          <t>8033488157906</t>
        </is>
      </c>
      <c r="B5658" t="inlineStr">
        <is>
          <t>Xerjoff Golden Dallah Parfum Spray 50ml</t>
        </is>
      </c>
      <c r="C5658" t="inlineStr">
        <is>
          <t>Eau De Parfum</t>
        </is>
      </c>
      <c r="D5658" t="inlineStr">
        <is>
          <t>Xerjoff</t>
        </is>
      </c>
      <c r="E5658" t="n">
        <v>137.11</v>
      </c>
      <c r="F5658" t="n">
        <v>1</v>
      </c>
      <c r="G5658" t="n">
        <v>5</v>
      </c>
      <c r="H5658" s="5">
        <f>HYPERLINK("https://api.qogita.com/variants/link/8033488157906/", "View Product")</f>
        <v/>
      </c>
    </row>
    <row r="5659">
      <c r="A5659" t="inlineStr">
        <is>
          <t>8033488159306</t>
        </is>
      </c>
      <c r="B5659" t="inlineStr">
        <is>
          <t>Xerjoff Coffee Break Golden Green Eau De Parfum 50ml</t>
        </is>
      </c>
      <c r="C5659" t="inlineStr">
        <is>
          <t>Eau De Parfum</t>
        </is>
      </c>
      <c r="D5659" t="inlineStr">
        <is>
          <t>Xerjoff</t>
        </is>
      </c>
      <c r="E5659" t="n">
        <v>139.25</v>
      </c>
      <c r="F5659" t="n">
        <v>1</v>
      </c>
      <c r="G5659" t="n">
        <v>12</v>
      </c>
      <c r="H5659" s="5">
        <f>HYPERLINK("https://api.qogita.com/variants/link/8033488159306/", "View Product")</f>
        <v/>
      </c>
    </row>
    <row r="5660">
      <c r="A5660" t="inlineStr">
        <is>
          <t>8034041522377</t>
        </is>
      </c>
      <c r="B5660" t="inlineStr">
        <is>
          <t>Costume National Supergloss Eau De Parfum 100ml</t>
        </is>
      </c>
      <c r="C5660" t="inlineStr">
        <is>
          <t>Eau De Parfum</t>
        </is>
      </c>
      <c r="D5660" t="inlineStr">
        <is>
          <t>Costume National</t>
        </is>
      </c>
      <c r="E5660" t="n">
        <v>34.71</v>
      </c>
      <c r="F5660" t="n">
        <v>1</v>
      </c>
      <c r="G5660" t="n">
        <v>7</v>
      </c>
      <c r="H5660" s="5">
        <f>HYPERLINK("https://api.qogita.com/variants/link/8034041522377/", "View Product")</f>
        <v/>
      </c>
    </row>
    <row r="5661">
      <c r="A5661" t="inlineStr">
        <is>
          <t>8034097950025</t>
        </is>
      </c>
      <c r="B5661" t="inlineStr">
        <is>
          <t>Ferragamo F By Ferragamo Free Time Eau De Toilette Spray 100ml</t>
        </is>
      </c>
      <c r="C5661" t="inlineStr">
        <is>
          <t>Eau De Toilette</t>
        </is>
      </c>
      <c r="D5661" t="inlineStr">
        <is>
          <t>Salvatore Ferragamo</t>
        </is>
      </c>
      <c r="E5661" t="n">
        <v>21.6</v>
      </c>
      <c r="F5661" t="n">
        <v>1</v>
      </c>
      <c r="G5661" t="n">
        <v>3</v>
      </c>
      <c r="H5661" s="5">
        <f>HYPERLINK("https://api.qogita.com/variants/link/8034097950025/", "View Product")</f>
        <v/>
      </c>
    </row>
    <row r="5662">
      <c r="A5662" t="inlineStr">
        <is>
          <t>8034097953934</t>
        </is>
      </c>
      <c r="B5662" t="inlineStr">
        <is>
          <t>Emanuel Ungaro EDP Spray 100ml Nude</t>
        </is>
      </c>
      <c r="C5662" t="inlineStr">
        <is>
          <t>Eau De Parfum</t>
        </is>
      </c>
      <c r="D5662" t="inlineStr">
        <is>
          <t>Emanuel Ungaro</t>
        </is>
      </c>
      <c r="E5662" t="n">
        <v>17.55</v>
      </c>
      <c r="F5662" t="n">
        <v>1</v>
      </c>
      <c r="G5662" t="n">
        <v>15</v>
      </c>
      <c r="H5662" s="5">
        <f>HYPERLINK("https://api.qogita.com/variants/link/8034097953934/", "View Product")</f>
        <v/>
      </c>
    </row>
    <row r="5663">
      <c r="A5663" t="inlineStr">
        <is>
          <t>8034097954429</t>
        </is>
      </c>
      <c r="B5663" t="inlineStr">
        <is>
          <t>Salvatore Ferragamo Eau de Toilette Spray for Women 3.4 Fl Oz</t>
        </is>
      </c>
      <c r="C5663" t="inlineStr">
        <is>
          <t>Eau De Toilette</t>
        </is>
      </c>
      <c r="D5663" t="inlineStr">
        <is>
          <t>Salvatore Ferragamo</t>
        </is>
      </c>
      <c r="E5663" t="n">
        <v>27.12</v>
      </c>
      <c r="F5663" t="n">
        <v>1</v>
      </c>
      <c r="G5663" t="n">
        <v>22</v>
      </c>
      <c r="H5663" s="5">
        <f>HYPERLINK("https://api.qogita.com/variants/link/8034097954429/", "View Product")</f>
        <v/>
      </c>
    </row>
    <row r="5664">
      <c r="A5664" t="inlineStr">
        <is>
          <t>8034097956027</t>
        </is>
      </c>
      <c r="B5664" t="inlineStr">
        <is>
          <t>Salvatore Ferragamo Incanto Bloom Eau De Toilette 100ml For Women</t>
        </is>
      </c>
      <c r="C5664" t="inlineStr">
        <is>
          <t>Eau De Toilette</t>
        </is>
      </c>
      <c r="D5664" t="inlineStr">
        <is>
          <t>Salvatore Ferragamo</t>
        </is>
      </c>
      <c r="E5664" t="n">
        <v>18</v>
      </c>
      <c r="F5664" t="n">
        <v>1</v>
      </c>
      <c r="G5664" t="n">
        <v>18</v>
      </c>
      <c r="H5664" s="5">
        <f>HYPERLINK("https://api.qogita.com/variants/link/8034097956027/", "View Product")</f>
        <v/>
      </c>
    </row>
    <row r="5665">
      <c r="A5665" t="inlineStr">
        <is>
          <t>8034097956270</t>
        </is>
      </c>
      <c r="B5665" t="inlineStr">
        <is>
          <t>Salvatore Ferragamo Eau De Toilette 50ml</t>
        </is>
      </c>
      <c r="C5665" t="inlineStr">
        <is>
          <t>Eau De Toilette</t>
        </is>
      </c>
      <c r="D5665" t="inlineStr">
        <is>
          <t>Salvatore Ferragamo</t>
        </is>
      </c>
      <c r="E5665" t="n">
        <v>15.36</v>
      </c>
      <c r="F5665" t="n">
        <v>1</v>
      </c>
      <c r="G5665" t="n">
        <v>12</v>
      </c>
      <c r="H5665" s="5">
        <f>HYPERLINK("https://api.qogita.com/variants/link/8034097956270/", "View Product")</f>
        <v/>
      </c>
    </row>
    <row r="5666">
      <c r="A5666" t="inlineStr">
        <is>
          <t>8034097957192</t>
        </is>
      </c>
      <c r="B5666" t="inlineStr">
        <is>
          <t>Ungaro Masculin Eau De Toilette Spray 90ml</t>
        </is>
      </c>
      <c r="C5666" t="inlineStr">
        <is>
          <t>Eau De Toilette</t>
        </is>
      </c>
      <c r="D5666" t="inlineStr">
        <is>
          <t>Emanuel Ungaro</t>
        </is>
      </c>
      <c r="E5666" t="n">
        <v>16.71</v>
      </c>
      <c r="F5666" t="n">
        <v>1</v>
      </c>
      <c r="G5666" t="n">
        <v>4</v>
      </c>
      <c r="H5666" s="5">
        <f>HYPERLINK("https://api.qogita.com/variants/link/8034097957192/", "View Product")</f>
        <v/>
      </c>
    </row>
    <row r="5667">
      <c r="A5667" t="inlineStr">
        <is>
          <t>8034097959707</t>
        </is>
      </c>
      <c r="B5667" t="inlineStr">
        <is>
          <t>Salvatore Ferragamo Signorina Misteriosa Perfume 30ml</t>
        </is>
      </c>
      <c r="C5667" t="inlineStr">
        <is>
          <t>Eau De Parfum</t>
        </is>
      </c>
      <c r="D5667" t="inlineStr">
        <is>
          <t>Salvatore Ferragamo</t>
        </is>
      </c>
      <c r="E5667" t="n">
        <v>19.74</v>
      </c>
      <c r="F5667" t="n">
        <v>1</v>
      </c>
      <c r="G5667" t="n">
        <v>11</v>
      </c>
      <c r="H5667" s="5">
        <f>HYPERLINK("https://api.qogita.com/variants/link/8034097959707/", "View Product")</f>
        <v/>
      </c>
    </row>
    <row r="5668">
      <c r="A5668" t="inlineStr">
        <is>
          <t>8050444857922</t>
        </is>
      </c>
      <c r="B5668" t="inlineStr">
        <is>
          <t>Rilastil Dclar Concentrated Micropeeling 100 Ml Intensive Skin Exfoliating Treatment</t>
        </is>
      </c>
      <c r="C5668" t="inlineStr">
        <is>
          <t>Facial Scrub &amp; Peeling</t>
        </is>
      </c>
      <c r="D5668" t="inlineStr">
        <is>
          <t>Rilastil</t>
        </is>
      </c>
      <c r="E5668" t="n">
        <v>33.63</v>
      </c>
      <c r="F5668" t="n">
        <v>1</v>
      </c>
      <c r="G5668" t="n">
        <v>9</v>
      </c>
      <c r="H5668" s="5">
        <f>HYPERLINK("https://api.qogita.com/variants/link/8050444857922/", "View Product")</f>
        <v/>
      </c>
    </row>
    <row r="5669">
      <c r="A5669" t="inlineStr">
        <is>
          <t>8051277312442</t>
        </is>
      </c>
      <c r="B5669" t="inlineStr">
        <is>
          <t>Blend Oud Original Collection Teab EDP 75ml</t>
        </is>
      </c>
      <c r="C5669" t="inlineStr">
        <is>
          <t>Eau De Parfum</t>
        </is>
      </c>
      <c r="D5669" t="inlineStr">
        <is>
          <t>Blend Oud</t>
        </is>
      </c>
      <c r="E5669" t="n">
        <v>67.11</v>
      </c>
      <c r="F5669" t="n">
        <v>1</v>
      </c>
      <c r="G5669" t="n">
        <v>11</v>
      </c>
      <c r="H5669" s="5">
        <f>HYPERLINK("https://api.qogita.com/variants/link/8051277312442/", "View Product")</f>
        <v/>
      </c>
    </row>
    <row r="5670">
      <c r="A5670" t="inlineStr">
        <is>
          <t>8051277330309</t>
        </is>
      </c>
      <c r="B5670" t="inlineStr">
        <is>
          <t>Moresque Alma Pure Eau de Parfum 75ml</t>
        </is>
      </c>
      <c r="C5670" t="inlineStr">
        <is>
          <t>Eau De Parfum</t>
        </is>
      </c>
      <c r="D5670" t="inlineStr">
        <is>
          <t>Moresque</t>
        </is>
      </c>
      <c r="E5670" t="n">
        <v>102.29</v>
      </c>
      <c r="F5670" t="n">
        <v>1</v>
      </c>
      <c r="G5670" t="n">
        <v>2</v>
      </c>
      <c r="H5670" s="5">
        <f>HYPERLINK("https://api.qogita.com/variants/link/8051277330309/", "View Product")</f>
        <v/>
      </c>
    </row>
    <row r="5671">
      <c r="A5671" t="inlineStr">
        <is>
          <t>8051277331214</t>
        </is>
      </c>
      <c r="B5671" t="inlineStr">
        <is>
          <t>Mr &amp; Mrs Fragrance Cesare Car Air Freshener Energy 1 Piece</t>
        </is>
      </c>
      <c r="C5671" t="inlineStr">
        <is>
          <t>Diffusers</t>
        </is>
      </c>
      <c r="D5671" t="inlineStr">
        <is>
          <t>Mr &amp; Mrs Fragrance</t>
        </is>
      </c>
      <c r="E5671" t="n">
        <v>4.21</v>
      </c>
      <c r="F5671" t="n">
        <v>1</v>
      </c>
      <c r="G5671" t="n">
        <v>14</v>
      </c>
      <c r="H5671" s="5">
        <f>HYPERLINK("https://api.qogita.com/variants/link/8051277331214/", "View Product")</f>
        <v/>
      </c>
    </row>
    <row r="5672">
      <c r="A5672" t="inlineStr">
        <is>
          <t>8051417003612</t>
        </is>
      </c>
      <c r="B5672" t="inlineStr">
        <is>
          <t>Oxy-Treat Night Cream For Wrinkles - Night Cream</t>
        </is>
      </c>
      <c r="C5672" t="inlineStr">
        <is>
          <t>Night Cream</t>
        </is>
      </c>
      <c r="D5672" t="inlineStr">
        <is>
          <t>Oxy-Treat</t>
        </is>
      </c>
      <c r="E5672" t="n">
        <v>45.56</v>
      </c>
      <c r="F5672" t="n">
        <v>1</v>
      </c>
      <c r="G5672" t="n">
        <v>3</v>
      </c>
      <c r="H5672" s="5">
        <f>HYPERLINK("https://api.qogita.com/variants/link/8051417003612/", "View Product")</f>
        <v/>
      </c>
    </row>
    <row r="5673">
      <c r="A5673" t="inlineStr">
        <is>
          <t>8051417080613</t>
        </is>
      </c>
      <c r="B5673" t="inlineStr">
        <is>
          <t>Hair Loss Hssc Shampoo for Women 200 ml</t>
        </is>
      </c>
      <c r="C5673" t="inlineStr">
        <is>
          <t>Shampoo</t>
        </is>
      </c>
      <c r="D5673" t="inlineStr">
        <is>
          <t>Cadu-Crex</t>
        </is>
      </c>
      <c r="E5673" t="n">
        <v>19.4</v>
      </c>
      <c r="F5673" t="n">
        <v>1</v>
      </c>
      <c r="G5673" t="n">
        <v>20</v>
      </c>
      <c r="H5673" s="5">
        <f>HYPERLINK("https://api.qogita.com/variants/link/8051417080613/", "View Product")</f>
        <v/>
      </c>
    </row>
    <row r="5674">
      <c r="A5674" t="inlineStr">
        <is>
          <t>8051417824613</t>
        </is>
      </c>
      <c r="B5674" t="inlineStr">
        <is>
          <t>Filler Treatment Grade 5 12 HA (Filler Treatment) 2 x 30 ml</t>
        </is>
      </c>
      <c r="C5674" t="inlineStr">
        <is>
          <t>Hyaluronic Acid Serum</t>
        </is>
      </c>
      <c r="D5674" t="inlineStr">
        <is>
          <t>Fillerina</t>
        </is>
      </c>
      <c r="E5674" t="n">
        <v>151.96</v>
      </c>
      <c r="F5674" t="n">
        <v>1</v>
      </c>
      <c r="G5674" t="n">
        <v>2</v>
      </c>
      <c r="H5674" s="5">
        <f>HYPERLINK("https://api.qogita.com/variants/link/8051417824613/", "View Product")</f>
        <v/>
      </c>
    </row>
    <row r="5675">
      <c r="A5675" t="inlineStr">
        <is>
          <t>8051772717971</t>
        </is>
      </c>
      <c r="B5675" t="inlineStr">
        <is>
          <t>BEPER 40.501 Massage Cushion with Car Adapter 4 Massage Nodes Clockwise and Counterclockwise Rotation Promotes Blood Circulation and Muscle Relaxation</t>
        </is>
      </c>
      <c r="C5675" t="inlineStr">
        <is>
          <t>Massage</t>
        </is>
      </c>
      <c r="D5675" t="inlineStr">
        <is>
          <t>Beper</t>
        </is>
      </c>
      <c r="E5675" t="n">
        <v>38.13</v>
      </c>
      <c r="F5675" t="n">
        <v>1</v>
      </c>
      <c r="G5675" t="n">
        <v>3</v>
      </c>
      <c r="H5675" s="5">
        <f>HYPERLINK("https://api.qogita.com/variants/link/8051772717971/", "View Product")</f>
        <v/>
      </c>
    </row>
    <row r="5676">
      <c r="A5676" t="inlineStr">
        <is>
          <t>8051938690056</t>
        </is>
      </c>
      <c r="B5676" t="inlineStr">
        <is>
          <t>Millefiori Milano, Mineral Gold, 15 Ml</t>
        </is>
      </c>
      <c r="C5676" t="inlineStr">
        <is>
          <t>Diffusers</t>
        </is>
      </c>
      <c r="D5676" t="inlineStr">
        <is>
          <t>Millefiori</t>
        </is>
      </c>
      <c r="E5676" t="n">
        <v>7.86</v>
      </c>
      <c r="F5676" t="n">
        <v>1</v>
      </c>
      <c r="G5676" t="n">
        <v>2</v>
      </c>
      <c r="H5676" s="5">
        <f>HYPERLINK("https://api.qogita.com/variants/link/8051938690056/", "View Product")</f>
        <v/>
      </c>
    </row>
    <row r="5677">
      <c r="A5677" t="inlineStr">
        <is>
          <t>8051938697239</t>
        </is>
      </c>
      <c r="B5677" t="inlineStr">
        <is>
          <t>Millefiori Milano Natural Honey &amp; Sea Salt Aroma Diffuser 250 Ml</t>
        </is>
      </c>
      <c r="C5677" t="inlineStr">
        <is>
          <t>Diffusers</t>
        </is>
      </c>
      <c r="D5677" t="inlineStr">
        <is>
          <t>Millefiori Milano</t>
        </is>
      </c>
      <c r="E5677" t="n">
        <v>21.32</v>
      </c>
      <c r="F5677" t="n">
        <v>1</v>
      </c>
      <c r="G5677" t="n">
        <v>4</v>
      </c>
      <c r="H5677" s="5">
        <f>HYPERLINK("https://api.qogita.com/variants/link/8051938697239/", "View Product")</f>
        <v/>
      </c>
    </row>
    <row r="5678">
      <c r="A5678" t="inlineStr">
        <is>
          <t>8051938698076</t>
        </is>
      </c>
      <c r="B5678" t="inlineStr">
        <is>
          <t>Millefiori Icon Scent The Road Oxygen The Smell Of The Car Black</t>
        </is>
      </c>
      <c r="C5678" t="inlineStr">
        <is>
          <t>Diffusers</t>
        </is>
      </c>
      <c r="D5678" t="inlineStr">
        <is>
          <t>Millefiori</t>
        </is>
      </c>
      <c r="E5678" t="n">
        <v>8.130000000000001</v>
      </c>
      <c r="F5678" t="n">
        <v>1</v>
      </c>
      <c r="G5678" t="n">
        <v>24</v>
      </c>
      <c r="H5678" s="5">
        <f>HYPERLINK("https://api.qogita.com/variants/link/8051938698076/", "View Product")</f>
        <v/>
      </c>
    </row>
    <row r="5679">
      <c r="A5679" t="inlineStr">
        <is>
          <t>8051938698137</t>
        </is>
      </c>
      <c r="B5679" t="inlineStr">
        <is>
          <t>Millefiori Icon Scent The Road Sandalo Bergamotto Car Fragrance With Sandalwood And Bergamot</t>
        </is>
      </c>
      <c r="C5679" t="inlineStr">
        <is>
          <t>Diffusers</t>
        </is>
      </c>
      <c r="D5679" t="inlineStr">
        <is>
          <t>Millefiori</t>
        </is>
      </c>
      <c r="E5679" t="n">
        <v>8.130000000000001</v>
      </c>
      <c r="F5679" t="n">
        <v>1</v>
      </c>
      <c r="G5679" t="n">
        <v>8</v>
      </c>
      <c r="H5679" s="5">
        <f>HYPERLINK("https://api.qogita.com/variants/link/8051938698137/", "View Product")</f>
        <v/>
      </c>
    </row>
    <row r="5680">
      <c r="A5680" t="inlineStr">
        <is>
          <t>8051938698182</t>
        </is>
      </c>
      <c r="B5680" t="inlineStr">
        <is>
          <t>Millefiori Icon White Musk car air freshener refill - 1 refill</t>
        </is>
      </c>
      <c r="C5680" t="inlineStr">
        <is>
          <t>Diffusers</t>
        </is>
      </c>
      <c r="D5680" t="inlineStr">
        <is>
          <t>Millefiori</t>
        </is>
      </c>
      <c r="E5680" t="n">
        <v>4.33</v>
      </c>
      <c r="F5680" t="n">
        <v>1</v>
      </c>
      <c r="G5680" t="n">
        <v>5</v>
      </c>
      <c r="H5680" s="5">
        <f>HYPERLINK("https://api.qogita.com/variants/link/8051938698182/", "View Product")</f>
        <v/>
      </c>
    </row>
    <row r="5681">
      <c r="A5681" t="inlineStr">
        <is>
          <t>8052086372979</t>
        </is>
      </c>
      <c r="B5681" t="inlineStr">
        <is>
          <t>Salvatore Ferragamo Uomo Casual Life Eau De Toilette Spray 100ml</t>
        </is>
      </c>
      <c r="C5681" t="inlineStr">
        <is>
          <t>Eau De Toilette</t>
        </is>
      </c>
      <c r="D5681" t="inlineStr">
        <is>
          <t>Salvatore Ferragamo</t>
        </is>
      </c>
      <c r="E5681" t="n">
        <v>31.14</v>
      </c>
      <c r="F5681" t="n">
        <v>1</v>
      </c>
      <c r="G5681" t="n">
        <v>3</v>
      </c>
      <c r="H5681" s="5">
        <f>HYPERLINK("https://api.qogita.com/variants/link/8052086372979/", "View Product")</f>
        <v/>
      </c>
    </row>
    <row r="5682">
      <c r="A5682" t="inlineStr">
        <is>
          <t>8052086373969</t>
        </is>
      </c>
      <c r="B5682" t="inlineStr">
        <is>
          <t>Salvatore Ferragamo Amo Eau De Parfum Spray 30ml</t>
        </is>
      </c>
      <c r="C5682" t="inlineStr">
        <is>
          <t>Eau De Parfum</t>
        </is>
      </c>
      <c r="D5682" t="inlineStr">
        <is>
          <t>Salvatore Ferragamo</t>
        </is>
      </c>
      <c r="E5682" t="n">
        <v>26.88</v>
      </c>
      <c r="F5682" t="n">
        <v>1</v>
      </c>
      <c r="G5682" t="n">
        <v>2</v>
      </c>
      <c r="H5682" s="5">
        <f>HYPERLINK("https://api.qogita.com/variants/link/8052086373969/", "View Product")</f>
        <v/>
      </c>
    </row>
    <row r="5683">
      <c r="A5683" t="inlineStr">
        <is>
          <t>8052086375932</t>
        </is>
      </c>
      <c r="B5683" t="inlineStr">
        <is>
          <t>Emanuel Ungaro L'Homme Eau De Toilette 100ml</t>
        </is>
      </c>
      <c r="C5683" t="inlineStr">
        <is>
          <t>Eau De Toilette</t>
        </is>
      </c>
      <c r="D5683" t="inlineStr">
        <is>
          <t>Emanuel Ungaro</t>
        </is>
      </c>
      <c r="E5683" t="n">
        <v>18.05</v>
      </c>
      <c r="F5683" t="n">
        <v>1</v>
      </c>
      <c r="G5683" t="n">
        <v>7</v>
      </c>
      <c r="H5683" s="5">
        <f>HYPERLINK("https://api.qogita.com/variants/link/8052086375932/", "View Product")</f>
        <v/>
      </c>
    </row>
    <row r="5684">
      <c r="A5684" t="inlineStr">
        <is>
          <t>8052086376489</t>
        </is>
      </c>
      <c r="B5684" t="inlineStr">
        <is>
          <t>Salvatore Ferragamo Amo Flowerful Eau De Toilette Spray 50ml</t>
        </is>
      </c>
      <c r="C5684" t="inlineStr">
        <is>
          <t>Eau De Toilette</t>
        </is>
      </c>
      <c r="D5684" t="inlineStr">
        <is>
          <t>Salvatore Ferragamo</t>
        </is>
      </c>
      <c r="E5684" t="n">
        <v>18.53</v>
      </c>
      <c r="F5684" t="n">
        <v>1</v>
      </c>
      <c r="G5684" t="n">
        <v>26</v>
      </c>
      <c r="H5684" s="5">
        <f>HYPERLINK("https://api.qogita.com/variants/link/8052086376489/", "View Product")</f>
        <v/>
      </c>
    </row>
    <row r="5685">
      <c r="A5685" t="inlineStr">
        <is>
          <t>8052086376496</t>
        </is>
      </c>
      <c r="B5685" t="inlineStr">
        <is>
          <t>Salvatore Ferragamo Amo Ferragamo Flowerful Eau De Toilette Spray 100ml</t>
        </is>
      </c>
      <c r="C5685" t="inlineStr">
        <is>
          <t>Eau De Toilette</t>
        </is>
      </c>
      <c r="D5685" t="inlineStr">
        <is>
          <t>Salvatore Ferragamo</t>
        </is>
      </c>
      <c r="E5685" t="n">
        <v>29.66</v>
      </c>
      <c r="F5685" t="n">
        <v>1</v>
      </c>
      <c r="G5685" t="n">
        <v>2</v>
      </c>
      <c r="H5685" s="5">
        <f>HYPERLINK("https://api.qogita.com/variants/link/8052086376496/", "View Product")</f>
        <v/>
      </c>
    </row>
    <row r="5686">
      <c r="A5686" t="inlineStr">
        <is>
          <t>8052086379688</t>
        </is>
      </c>
      <c r="B5686" t="inlineStr">
        <is>
          <t>Emanuel Ungaro Fresh For Her Eau De Toilette</t>
        </is>
      </c>
      <c r="C5686" t="inlineStr">
        <is>
          <t>Eau De Toilette</t>
        </is>
      </c>
      <c r="D5686" t="inlineStr">
        <is>
          <t>Emanuel Ungaro</t>
        </is>
      </c>
      <c r="E5686" t="n">
        <v>16.03</v>
      </c>
      <c r="F5686" t="n">
        <v>1</v>
      </c>
      <c r="G5686" t="n">
        <v>5</v>
      </c>
      <c r="H5686" s="5">
        <f>HYPERLINK("https://api.qogita.com/variants/link/8052086379688/", "View Product")</f>
        <v/>
      </c>
    </row>
    <row r="5687">
      <c r="A5687" t="inlineStr">
        <is>
          <t>8052204136858</t>
        </is>
      </c>
      <c r="B5687" t="inlineStr">
        <is>
          <t>Gritti Mango Aoud Perfume Extract 1ml</t>
        </is>
      </c>
      <c r="C5687" t="inlineStr">
        <is>
          <t>Extrait De Parfum</t>
        </is>
      </c>
      <c r="D5687" t="inlineStr">
        <is>
          <t>Gritti</t>
        </is>
      </c>
      <c r="E5687" t="n">
        <v>144.24</v>
      </c>
      <c r="F5687" t="n">
        <v>1</v>
      </c>
      <c r="G5687" t="n">
        <v>5</v>
      </c>
      <c r="H5687" s="5">
        <f>HYPERLINK("https://api.qogita.com/variants/link/8052204136858/", "View Product")</f>
        <v/>
      </c>
    </row>
    <row r="5688">
      <c r="A5688" t="inlineStr">
        <is>
          <t>8052464890330</t>
        </is>
      </c>
      <c r="B5688" t="inlineStr">
        <is>
          <t>Salvatore Ferragamo Giungle Di Seta Eau De Parfum 100ml</t>
        </is>
      </c>
      <c r="C5688" t="inlineStr">
        <is>
          <t>Eau De Parfum</t>
        </is>
      </c>
      <c r="D5688" t="inlineStr">
        <is>
          <t>Salvatore Ferragamo</t>
        </is>
      </c>
      <c r="E5688" t="n">
        <v>31.34</v>
      </c>
      <c r="F5688" t="n">
        <v>1</v>
      </c>
      <c r="G5688" t="n">
        <v>13</v>
      </c>
      <c r="H5688" s="5">
        <f>HYPERLINK("https://api.qogita.com/variants/link/8052464890330/", "View Product")</f>
        <v/>
      </c>
    </row>
    <row r="5689">
      <c r="A5689" t="inlineStr">
        <is>
          <t>8052464890354</t>
        </is>
      </c>
      <c r="B5689" t="inlineStr">
        <is>
          <t>Salvatore Ferragamo Savane Di Seta Eau De Parfum Spray 100ml</t>
        </is>
      </c>
      <c r="C5689" t="inlineStr">
        <is>
          <t>Eau De Parfum</t>
        </is>
      </c>
      <c r="D5689" t="inlineStr">
        <is>
          <t>Salvatore Ferragamo</t>
        </is>
      </c>
      <c r="E5689" t="n">
        <v>24.65</v>
      </c>
      <c r="F5689" t="n">
        <v>1</v>
      </c>
      <c r="G5689" t="n">
        <v>83</v>
      </c>
      <c r="H5689" s="5">
        <f>HYPERLINK("https://api.qogita.com/variants/link/8052464890354/", "View Product")</f>
        <v/>
      </c>
    </row>
    <row r="5690">
      <c r="A5690" t="inlineStr">
        <is>
          <t>8052464891009</t>
        </is>
      </c>
      <c r="B5690" t="inlineStr">
        <is>
          <t>Salvatore Ferragamo E Pur Si Muove Eau De Parfum Spray 100ml</t>
        </is>
      </c>
      <c r="C5690" t="inlineStr">
        <is>
          <t>Eau De Parfum</t>
        </is>
      </c>
      <c r="D5690" t="inlineStr">
        <is>
          <t>Salvatore Ferragamo</t>
        </is>
      </c>
      <c r="E5690" t="n">
        <v>72.01000000000001</v>
      </c>
      <c r="F5690" t="n">
        <v>1</v>
      </c>
      <c r="G5690" t="n">
        <v>3</v>
      </c>
      <c r="H5690" s="5">
        <f>HYPERLINK("https://api.qogita.com/variants/link/8052464891009/", "View Product")</f>
        <v/>
      </c>
    </row>
    <row r="5691">
      <c r="A5691" t="inlineStr">
        <is>
          <t>8052464891450</t>
        </is>
      </c>
      <c r="B5691" t="inlineStr">
        <is>
          <t>Salvatore Ferragamo Acqua Essenziale Blu Eau de Toilette Spray for Men 1.7oz Cedar Lavender Lemon</t>
        </is>
      </c>
      <c r="C5691" t="inlineStr">
        <is>
          <t>Eau De Toilette</t>
        </is>
      </c>
      <c r="D5691" t="inlineStr">
        <is>
          <t>Salvatore Ferragamo</t>
        </is>
      </c>
      <c r="E5691" t="n">
        <v>24.05</v>
      </c>
      <c r="F5691" t="n">
        <v>1</v>
      </c>
      <c r="G5691" t="n">
        <v>14</v>
      </c>
      <c r="H5691" s="5">
        <f>HYPERLINK("https://api.qogita.com/variants/link/8052464891450/", "View Product")</f>
        <v/>
      </c>
    </row>
    <row r="5692">
      <c r="A5692" t="inlineStr">
        <is>
          <t>8052464891580</t>
        </is>
      </c>
      <c r="B5692" t="inlineStr">
        <is>
          <t>Incanto Shine by Salvatore Ferragamo 1 oz Women</t>
        </is>
      </c>
      <c r="C5692" t="inlineStr">
        <is>
          <t>Eau De Parfum</t>
        </is>
      </c>
      <c r="D5692" t="inlineStr">
        <is>
          <t>Salvatore Ferragamo</t>
        </is>
      </c>
      <c r="E5692" t="n">
        <v>14.82</v>
      </c>
      <c r="F5692" t="n">
        <v>1</v>
      </c>
      <c r="G5692" t="n">
        <v>5</v>
      </c>
      <c r="H5692" s="5">
        <f>HYPERLINK("https://api.qogita.com/variants/link/8052464891580/", "View Product")</f>
        <v/>
      </c>
    </row>
    <row r="5693">
      <c r="A5693" t="inlineStr">
        <is>
          <t>8052464891702</t>
        </is>
      </c>
      <c r="B5693" t="inlineStr">
        <is>
          <t>Salvatore Ferragamo Bright Leather Eau De Toilette 100ml</t>
        </is>
      </c>
      <c r="C5693" t="inlineStr">
        <is>
          <t>Eau De Toilette</t>
        </is>
      </c>
      <c r="D5693" t="inlineStr">
        <is>
          <t>Salvatore Ferragamo</t>
        </is>
      </c>
      <c r="E5693" t="n">
        <v>32.47</v>
      </c>
      <c r="F5693" t="n">
        <v>1</v>
      </c>
      <c r="G5693" t="n">
        <v>2</v>
      </c>
      <c r="H5693" s="5">
        <f>HYPERLINK("https://api.qogita.com/variants/link/8052464891702/", "View Product")</f>
        <v/>
      </c>
    </row>
    <row r="5694">
      <c r="A5694" t="inlineStr">
        <is>
          <t>8052464891818</t>
        </is>
      </c>
      <c r="B5694" t="inlineStr">
        <is>
          <t>Foreste Di Seta 50ml</t>
        </is>
      </c>
      <c r="C5694" t="inlineStr">
        <is>
          <t>Eau De Parfum</t>
        </is>
      </c>
      <c r="D5694" t="inlineStr">
        <is>
          <t>Salvatore Ferragamo</t>
        </is>
      </c>
      <c r="E5694" t="n">
        <v>22.33</v>
      </c>
      <c r="F5694" t="n">
        <v>1</v>
      </c>
      <c r="G5694" t="n">
        <v>64</v>
      </c>
      <c r="H5694" s="5">
        <f>HYPERLINK("https://api.qogita.com/variants/link/8052464891818/", "View Product")</f>
        <v/>
      </c>
    </row>
    <row r="5695">
      <c r="A5695" t="inlineStr">
        <is>
          <t>8052464893645</t>
        </is>
      </c>
      <c r="B5695" t="inlineStr">
        <is>
          <t>Diva by Ungaro Eau De Parfum Spray 1.7 oz for Women</t>
        </is>
      </c>
      <c r="C5695" t="inlineStr">
        <is>
          <t>Eau De Parfum</t>
        </is>
      </c>
      <c r="D5695" t="inlineStr">
        <is>
          <t>Emanuel Ungaro</t>
        </is>
      </c>
      <c r="E5695" t="n">
        <v>15.39</v>
      </c>
      <c r="F5695" t="n">
        <v>1</v>
      </c>
      <c r="G5695" t="n">
        <v>49</v>
      </c>
      <c r="H5695" s="5">
        <f>HYPERLINK("https://api.qogita.com/variants/link/8052464893645/", "View Product")</f>
        <v/>
      </c>
    </row>
    <row r="5696">
      <c r="A5696" t="inlineStr">
        <is>
          <t>8052464894550</t>
        </is>
      </c>
      <c r="B5696" t="inlineStr">
        <is>
          <t>Emanuel Ungaro Sunkissed Petals Fragrance Mist for Women 4.2 Fl. Oz</t>
        </is>
      </c>
      <c r="C5696" t="inlineStr">
        <is>
          <t>Eau De Parfum</t>
        </is>
      </c>
      <c r="D5696" t="inlineStr">
        <is>
          <t>Emanuel Ungaro</t>
        </is>
      </c>
      <c r="E5696" t="n">
        <v>7.23</v>
      </c>
      <c r="F5696" t="n">
        <v>1</v>
      </c>
      <c r="G5696" t="n">
        <v>4</v>
      </c>
      <c r="H5696" s="5">
        <f>HYPERLINK("https://api.qogita.com/variants/link/8052464894550/", "View Product")</f>
        <v/>
      </c>
    </row>
    <row r="5697">
      <c r="A5697" t="inlineStr">
        <is>
          <t>8052464896332</t>
        </is>
      </c>
      <c r="B5697" t="inlineStr">
        <is>
          <t>Salvatore Ferragamo Red Leather Men's Fragrance</t>
        </is>
      </c>
      <c r="C5697" t="inlineStr">
        <is>
          <t>Eau De Parfum</t>
        </is>
      </c>
      <c r="D5697" t="inlineStr">
        <is>
          <t>Salvatore Ferragamo</t>
        </is>
      </c>
      <c r="E5697" t="n">
        <v>34.32</v>
      </c>
      <c r="F5697" t="n">
        <v>1</v>
      </c>
      <c r="G5697" t="n">
        <v>3</v>
      </c>
      <c r="H5697" s="5">
        <f>HYPERLINK("https://api.qogita.com/variants/link/8052464896332/", "View Product")</f>
        <v/>
      </c>
    </row>
    <row r="5698">
      <c r="A5698" t="inlineStr">
        <is>
          <t>8052464896356</t>
        </is>
      </c>
      <c r="B5698" t="inlineStr">
        <is>
          <t>Emanuel Ungaro Cosmic Eau de Parfum 90 ml</t>
        </is>
      </c>
      <c r="C5698" t="inlineStr">
        <is>
          <t>Eau De Parfum</t>
        </is>
      </c>
      <c r="D5698" t="inlineStr">
        <is>
          <t>Emanuel Ungaro</t>
        </is>
      </c>
      <c r="E5698" t="n">
        <v>23.68</v>
      </c>
      <c r="F5698" t="n">
        <v>1</v>
      </c>
      <c r="G5698" t="n">
        <v>3</v>
      </c>
      <c r="H5698" s="5">
        <f>HYPERLINK("https://api.qogita.com/variants/link/8052464896356/", "View Product")</f>
        <v/>
      </c>
    </row>
    <row r="5699">
      <c r="A5699" t="inlineStr">
        <is>
          <t>8052464896905</t>
        </is>
      </c>
      <c r="B5699" t="inlineStr">
        <is>
          <t>Roberto Cavalli Florence 75ml Women's Fragrance</t>
        </is>
      </c>
      <c r="C5699" t="inlineStr">
        <is>
          <t>Eau De Parfum</t>
        </is>
      </c>
      <c r="D5699" t="inlineStr">
        <is>
          <t>Roberto Cavalli</t>
        </is>
      </c>
      <c r="E5699" t="n">
        <v>29.87</v>
      </c>
      <c r="F5699" t="n">
        <v>1</v>
      </c>
      <c r="G5699" t="n">
        <v>22</v>
      </c>
      <c r="H5699" s="5">
        <f>HYPERLINK("https://api.qogita.com/variants/link/8052464896905/", "View Product")</f>
        <v/>
      </c>
    </row>
    <row r="5700">
      <c r="A5700" t="inlineStr">
        <is>
          <t>8052464897070</t>
        </is>
      </c>
      <c r="B5700" t="inlineStr">
        <is>
          <t>Roberto Cavalli 10006239 Women's Perfume Eau de Parfum Spray 75ml Floral Fruity</t>
        </is>
      </c>
      <c r="C5700" t="inlineStr">
        <is>
          <t>Eau De Parfum</t>
        </is>
      </c>
      <c r="D5700" t="inlineStr">
        <is>
          <t>Roberto Cavalli</t>
        </is>
      </c>
      <c r="E5700" t="n">
        <v>29.55</v>
      </c>
      <c r="F5700" t="n">
        <v>1</v>
      </c>
      <c r="G5700" t="n">
        <v>17</v>
      </c>
      <c r="H5700" s="5">
        <f>HYPERLINK("https://api.qogita.com/variants/link/8052464897070/", "View Product")</f>
        <v/>
      </c>
    </row>
    <row r="5701">
      <c r="A5701" t="inlineStr">
        <is>
          <t>8053288291402</t>
        </is>
      </c>
      <c r="B5701" t="inlineStr">
        <is>
          <t>Mr &amp; Mrs Fragrance Cesare Orange &amp; Sandalwood Car Scent</t>
        </is>
      </c>
      <c r="C5701" t="inlineStr">
        <is>
          <t>Diffusers</t>
        </is>
      </c>
      <c r="D5701" t="inlineStr">
        <is>
          <t>Mr &amp; Mrs Fragrance</t>
        </is>
      </c>
      <c r="E5701" t="n">
        <v>3.87</v>
      </c>
      <c r="F5701" t="n">
        <v>1</v>
      </c>
      <c r="G5701" t="n">
        <v>5</v>
      </c>
      <c r="H5701" s="5">
        <f>HYPERLINK("https://api.qogita.com/variants/link/8053288291402/", "View Product")</f>
        <v/>
      </c>
    </row>
    <row r="5702">
      <c r="A5702" t="inlineStr">
        <is>
          <t>8053288291914</t>
        </is>
      </c>
      <c r="B5702" t="inlineStr">
        <is>
          <t>Mr &amp; Mrs Fragrance Niki Fresh Air A Car Smell</t>
        </is>
      </c>
      <c r="C5702" t="inlineStr">
        <is>
          <t>Diffusers</t>
        </is>
      </c>
      <c r="D5702" t="inlineStr">
        <is>
          <t>Mr &amp; Mrs Fragrance</t>
        </is>
      </c>
      <c r="E5702" t="n">
        <v>8.109999999999999</v>
      </c>
      <c r="F5702" t="n">
        <v>1</v>
      </c>
      <c r="G5702" t="n">
        <v>23</v>
      </c>
      <c r="H5702" s="5">
        <f>HYPERLINK("https://api.qogita.com/variants/link/8053288291914/", "View Product")</f>
        <v/>
      </c>
    </row>
    <row r="5703">
      <c r="A5703" t="inlineStr">
        <is>
          <t>8053288292324</t>
        </is>
      </c>
      <c r="B5703" t="inlineStr">
        <is>
          <t>Mr &amp; Mrs Fragrance Niki Pepper Mint Refill A Refillable Air Freshener For Cars</t>
        </is>
      </c>
      <c r="C5703" t="inlineStr">
        <is>
          <t>Diffusers</t>
        </is>
      </c>
      <c r="D5703" t="inlineStr">
        <is>
          <t>Mr &amp; Mrs Fragrance</t>
        </is>
      </c>
      <c r="E5703" t="n">
        <v>3.94</v>
      </c>
      <c r="F5703" t="n">
        <v>1</v>
      </c>
      <c r="G5703" t="n">
        <v>28</v>
      </c>
      <c r="H5703" s="5">
        <f>HYPERLINK("https://api.qogita.com/variants/link/8053288292324/", "View Product")</f>
        <v/>
      </c>
    </row>
    <row r="5704">
      <c r="A5704" t="inlineStr">
        <is>
          <t>8053288292331</t>
        </is>
      </c>
      <c r="B5704" t="inlineStr">
        <is>
          <t>Mr &amp; Mrs Fragrance Refill For Car Perfume Diffuser Niki Parfum Fresh</t>
        </is>
      </c>
      <c r="C5704" t="inlineStr">
        <is>
          <t>Diffusers</t>
        </is>
      </c>
      <c r="D5704" t="inlineStr">
        <is>
          <t>Mr &amp; Mrs Fragrance</t>
        </is>
      </c>
      <c r="E5704" t="n">
        <v>3.94</v>
      </c>
      <c r="F5704" t="n">
        <v>1</v>
      </c>
      <c r="G5704" t="n">
        <v>17</v>
      </c>
      <c r="H5704" s="5">
        <f>HYPERLINK("https://api.qogita.com/variants/link/8053288292331/", "View Product")</f>
        <v/>
      </c>
    </row>
    <row r="5705">
      <c r="A5705" t="inlineStr">
        <is>
          <t>8053288292355</t>
        </is>
      </c>
      <c r="B5705" t="inlineStr">
        <is>
          <t>Mr &amp; Mrs Fragrance Niki Pure Refill Cleanliness Replacement Refill For Car Fragrance</t>
        </is>
      </c>
      <c r="C5705" t="inlineStr">
        <is>
          <t>Diffusers</t>
        </is>
      </c>
      <c r="D5705" t="inlineStr">
        <is>
          <t>Mr &amp; Mrs Fragrance</t>
        </is>
      </c>
      <c r="E5705" t="n">
        <v>3.94</v>
      </c>
      <c r="F5705" t="n">
        <v>1</v>
      </c>
      <c r="G5705" t="n">
        <v>23</v>
      </c>
      <c r="H5705" s="5">
        <f>HYPERLINK("https://api.qogita.com/variants/link/8053288292355/", "View Product")</f>
        <v/>
      </c>
    </row>
    <row r="5706">
      <c r="A5706" t="inlineStr">
        <is>
          <t>8053369880587</t>
        </is>
      </c>
      <c r="B5706" t="inlineStr">
        <is>
          <t>Morph Iconic 100ml - Les Exclusifs: Timeless Classics Perfume</t>
        </is>
      </c>
      <c r="C5706" t="inlineStr">
        <is>
          <t>Eau De Parfum</t>
        </is>
      </c>
      <c r="D5706" t="inlineStr">
        <is>
          <t>Morph</t>
        </is>
      </c>
      <c r="E5706" t="n">
        <v>106.68</v>
      </c>
      <c r="F5706" t="n">
        <v>1</v>
      </c>
      <c r="G5706" t="n">
        <v>3</v>
      </c>
      <c r="H5706" s="5">
        <f>HYPERLINK("https://api.qogita.com/variants/link/8053369880587/", "View Product")</f>
        <v/>
      </c>
    </row>
    <row r="5707">
      <c r="A5707" t="inlineStr">
        <is>
          <t>8054247791087</t>
        </is>
      </c>
      <c r="B5707" t="inlineStr">
        <is>
          <t>Moliabal Milano Hair Band Elastic 108</t>
        </is>
      </c>
      <c r="C5707" t="inlineStr">
        <is>
          <t>Hair Elastics</t>
        </is>
      </c>
      <c r="D5707" t="inlineStr">
        <is>
          <t>Moliabal Milano</t>
        </is>
      </c>
      <c r="E5707" t="n">
        <v>30.13</v>
      </c>
      <c r="F5707" t="n">
        <v>1</v>
      </c>
      <c r="G5707" t="n">
        <v>1</v>
      </c>
      <c r="H5707" s="5">
        <f>HYPERLINK("https://api.qogita.com/variants/link/8054247791087/", "View Product")</f>
        <v/>
      </c>
    </row>
    <row r="5708">
      <c r="A5708" t="inlineStr">
        <is>
          <t>8054247792329</t>
        </is>
      </c>
      <c r="B5708" t="inlineStr">
        <is>
          <t>Moliabal Milano Hair Clip No 232 White</t>
        </is>
      </c>
      <c r="C5708" t="inlineStr">
        <is>
          <t>Hair Clips &amp; Hair Clamps</t>
        </is>
      </c>
      <c r="D5708" t="inlineStr">
        <is>
          <t>Moliabal Milano</t>
        </is>
      </c>
      <c r="E5708" t="n">
        <v>22.1</v>
      </c>
      <c r="F5708" t="n">
        <v>1</v>
      </c>
      <c r="G5708" t="n">
        <v>3</v>
      </c>
      <c r="H5708" s="5">
        <f>HYPERLINK("https://api.qogita.com/variants/link/8054247792329/", "View Product")</f>
        <v/>
      </c>
    </row>
    <row r="5709">
      <c r="A5709" t="inlineStr">
        <is>
          <t>8054320900252</t>
        </is>
      </c>
      <c r="B5709" t="inlineStr">
        <is>
          <t>Xerjoff Symphonium Parfum Spray 50ml</t>
        </is>
      </c>
      <c r="C5709" t="inlineStr">
        <is>
          <t>Eau De Parfum</t>
        </is>
      </c>
      <c r="D5709" t="inlineStr">
        <is>
          <t>Xerjoff</t>
        </is>
      </c>
      <c r="E5709" t="n">
        <v>210.26</v>
      </c>
      <c r="F5709" t="n">
        <v>1</v>
      </c>
      <c r="G5709" t="n">
        <v>5</v>
      </c>
      <c r="H5709" s="5">
        <f>HYPERLINK("https://api.qogita.com/variants/link/8054320900252/", "View Product")</f>
        <v/>
      </c>
    </row>
    <row r="5710">
      <c r="A5710" t="inlineStr">
        <is>
          <t>8054320900702</t>
        </is>
      </c>
      <c r="B5710" t="inlineStr">
        <is>
          <t>Tony Iommi Monkey Special Perfume Spray 50ml By Tony Iommi</t>
        </is>
      </c>
      <c r="C5710" t="inlineStr">
        <is>
          <t>Eau De Parfum</t>
        </is>
      </c>
      <c r="D5710" t="inlineStr">
        <is>
          <t>Tony Iommi</t>
        </is>
      </c>
      <c r="E5710" t="n">
        <v>149.28</v>
      </c>
      <c r="F5710" t="n">
        <v>1</v>
      </c>
      <c r="G5710" t="n">
        <v>15</v>
      </c>
      <c r="H5710" s="5">
        <f>HYPERLINK("https://api.qogita.com/variants/link/8054320900702/", "View Product")</f>
        <v/>
      </c>
    </row>
    <row r="5711">
      <c r="A5711" t="inlineStr">
        <is>
          <t>8054320900795</t>
        </is>
      </c>
      <c r="B5711" t="inlineStr">
        <is>
          <t>Xerjoff XJK AQUQ REGIA 1.70 Fl Oz</t>
        </is>
      </c>
      <c r="C5711" t="inlineStr">
        <is>
          <t>Eau De Parfum</t>
        </is>
      </c>
      <c r="D5711" t="inlineStr">
        <is>
          <t>Xerjoff</t>
        </is>
      </c>
      <c r="E5711" t="n">
        <v>128.38</v>
      </c>
      <c r="F5711" t="n">
        <v>1</v>
      </c>
      <c r="G5711" t="n">
        <v>32</v>
      </c>
      <c r="H5711" s="5">
        <f>HYPERLINK("https://api.qogita.com/variants/link/8054320900795/", "View Product")</f>
        <v/>
      </c>
    </row>
    <row r="5712">
      <c r="A5712" t="inlineStr">
        <is>
          <t>8054320902669</t>
        </is>
      </c>
      <c r="B5712" t="inlineStr">
        <is>
          <t>Xerjoff Ouverture Eau De Parfum 100ml</t>
        </is>
      </c>
      <c r="C5712" t="inlineStr">
        <is>
          <t>Eau De Parfum</t>
        </is>
      </c>
      <c r="D5712" t="inlineStr">
        <is>
          <t>Parfums De Niche</t>
        </is>
      </c>
      <c r="E5712" t="n">
        <v>138.34</v>
      </c>
      <c r="F5712" t="n">
        <v>1</v>
      </c>
      <c r="G5712" t="n">
        <v>5</v>
      </c>
      <c r="H5712" s="5">
        <f>HYPERLINK("https://api.qogita.com/variants/link/8054320902669/", "View Product")</f>
        <v/>
      </c>
    </row>
    <row r="5713">
      <c r="A5713" t="inlineStr">
        <is>
          <t>8054320902997</t>
        </is>
      </c>
      <c r="B5713" t="inlineStr">
        <is>
          <t>Casamorati 1888 Quattro Pizzi Eau De Parfum Spray 100ml</t>
        </is>
      </c>
      <c r="C5713" t="inlineStr">
        <is>
          <t>Eau De Parfum</t>
        </is>
      </c>
      <c r="D5713" t="inlineStr">
        <is>
          <t>Casamorati</t>
        </is>
      </c>
      <c r="E5713" t="n">
        <v>161.53</v>
      </c>
      <c r="F5713" t="n">
        <v>1</v>
      </c>
      <c r="G5713" t="n">
        <v>40</v>
      </c>
      <c r="H5713" s="5">
        <f>HYPERLINK("https://api.qogita.com/variants/link/8054320902997/", "View Product")</f>
        <v/>
      </c>
    </row>
    <row r="5714">
      <c r="A5714" t="inlineStr">
        <is>
          <t>8054320903291</t>
        </is>
      </c>
      <c r="B5714" t="inlineStr">
        <is>
          <t>Xerjoff 1717 Elle Anniversary Eau De Parfum Spray 50ml</t>
        </is>
      </c>
      <c r="C5714" t="inlineStr">
        <is>
          <t>Eau De Parfum</t>
        </is>
      </c>
      <c r="D5714" t="inlineStr">
        <is>
          <t>Xerjoff</t>
        </is>
      </c>
      <c r="E5714" t="n">
        <v>207.79</v>
      </c>
      <c r="F5714" t="n">
        <v>1</v>
      </c>
      <c r="G5714" t="n">
        <v>14</v>
      </c>
      <c r="H5714" s="5">
        <f>HYPERLINK("https://api.qogita.com/variants/link/8054320903291/", "View Product")</f>
        <v/>
      </c>
    </row>
    <row r="5715">
      <c r="A5715" t="inlineStr">
        <is>
          <t>8054320904427</t>
        </is>
      </c>
      <c r="B5715" t="inlineStr">
        <is>
          <t>Duran Duran Neorio Fluo Green Perfume Spray 50ml</t>
        </is>
      </c>
      <c r="C5715" t="inlineStr">
        <is>
          <t>Eau De Parfum</t>
        </is>
      </c>
      <c r="D5715" t="inlineStr">
        <is>
          <t>Duran Duran</t>
        </is>
      </c>
      <c r="E5715" t="n">
        <v>214.93</v>
      </c>
      <c r="F5715" t="n">
        <v>1</v>
      </c>
      <c r="G5715" t="n">
        <v>12</v>
      </c>
      <c r="H5715" s="5">
        <f>HYPERLINK("https://api.qogita.com/variants/link/8054320904427/", "View Product")</f>
        <v/>
      </c>
    </row>
    <row r="5716">
      <c r="A5716" t="inlineStr">
        <is>
          <t>8054320904441</t>
        </is>
      </c>
      <c r="B5716" t="inlineStr">
        <is>
          <t>Duran Duran Neorio Fluo Pink Perfume Spray 50ml</t>
        </is>
      </c>
      <c r="C5716" t="inlineStr">
        <is>
          <t>Eau De Parfum</t>
        </is>
      </c>
      <c r="D5716" t="inlineStr">
        <is>
          <t>Duran Duran</t>
        </is>
      </c>
      <c r="E5716" t="n">
        <v>214.93</v>
      </c>
      <c r="F5716" t="n">
        <v>1</v>
      </c>
      <c r="G5716" t="n">
        <v>8</v>
      </c>
      <c r="H5716" s="5">
        <f>HYPERLINK("https://api.qogita.com/variants/link/8054320904441/", "View Product")</f>
        <v/>
      </c>
    </row>
    <row r="5717">
      <c r="A5717" t="inlineStr">
        <is>
          <t>8054609780575</t>
        </is>
      </c>
      <c r="B5717" t="inlineStr">
        <is>
          <t>Aquolina Pink Sugar Red Velvet for Women 3.4 Oz EDT Spray Special Edition</t>
        </is>
      </c>
      <c r="C5717" t="inlineStr">
        <is>
          <t>Eau De Toilette</t>
        </is>
      </c>
      <c r="D5717" t="inlineStr">
        <is>
          <t>Pink Sugar</t>
        </is>
      </c>
      <c r="E5717" t="n">
        <v>13.93</v>
      </c>
      <c r="F5717" t="n">
        <v>1</v>
      </c>
      <c r="G5717" t="n">
        <v>6</v>
      </c>
      <c r="H5717" s="5">
        <f>HYPERLINK("https://api.qogita.com/variants/link/8054609780575/", "View Product")</f>
        <v/>
      </c>
    </row>
    <row r="5718">
      <c r="A5718" t="inlineStr">
        <is>
          <t>8054609782272</t>
        </is>
      </c>
      <c r="B5718" t="inlineStr">
        <is>
          <t>Aquolina Pink Sugar 100ml</t>
        </is>
      </c>
      <c r="C5718" t="inlineStr">
        <is>
          <t>Eau De Parfum</t>
        </is>
      </c>
      <c r="D5718" t="inlineStr">
        <is>
          <t>Pink Sugar</t>
        </is>
      </c>
      <c r="E5718" t="n">
        <v>5.73</v>
      </c>
      <c r="F5718" t="n">
        <v>1</v>
      </c>
      <c r="G5718" t="n">
        <v>11</v>
      </c>
      <c r="H5718" s="5">
        <f>HYPERLINK("https://api.qogita.com/variants/link/8054609782272/", "View Product")</f>
        <v/>
      </c>
    </row>
    <row r="5719">
      <c r="A5719" t="inlineStr">
        <is>
          <t>8054609783071</t>
        </is>
      </c>
      <c r="B5719" t="inlineStr">
        <is>
          <t>Aquolina Pink Sugar Lolli Pink Eau De Toilette Spray 50ml</t>
        </is>
      </c>
      <c r="C5719" t="inlineStr">
        <is>
          <t>Eau De Toilette</t>
        </is>
      </c>
      <c r="D5719" t="inlineStr">
        <is>
          <t>Aquolina</t>
        </is>
      </c>
      <c r="E5719" t="n">
        <v>9.779999999999999</v>
      </c>
      <c r="F5719" t="n">
        <v>1</v>
      </c>
      <c r="G5719" t="n">
        <v>23</v>
      </c>
      <c r="H5719" s="5">
        <f>HYPERLINK("https://api.qogita.com/variants/link/8054609783071/", "View Product")</f>
        <v/>
      </c>
    </row>
    <row r="5720">
      <c r="A5720" t="inlineStr">
        <is>
          <t>8054754400717</t>
        </is>
      </c>
      <c r="B5720" t="inlineStr">
        <is>
          <t>Dolce &amp; Gabbana Light Blue Homme Eau De Toilette 125ml And Gel 50ml</t>
        </is>
      </c>
      <c r="C5720" t="inlineStr">
        <is>
          <t>Eau De Toilette</t>
        </is>
      </c>
      <c r="D5720" t="inlineStr">
        <is>
          <t>Dolce &amp; Gabbana</t>
        </is>
      </c>
      <c r="E5720" t="n">
        <v>54</v>
      </c>
      <c r="F5720" t="n">
        <v>1</v>
      </c>
      <c r="G5720" t="n">
        <v>9</v>
      </c>
      <c r="H5720" s="5">
        <f>HYPERLINK("https://api.qogita.com/variants/link/8054754400717/", "View Product")</f>
        <v/>
      </c>
    </row>
    <row r="5721">
      <c r="A5721" t="inlineStr">
        <is>
          <t>8054754400748</t>
        </is>
      </c>
      <c r="B5721" t="inlineStr">
        <is>
          <t>Dolce &amp; Gabbana The One Eau De Parfum Gift Set - 75ml</t>
        </is>
      </c>
      <c r="C5721" t="inlineStr">
        <is>
          <t>Fragrance Sets</t>
        </is>
      </c>
      <c r="D5721" t="inlineStr">
        <is>
          <t>Dolce &amp; Gabbana</t>
        </is>
      </c>
      <c r="E5721" t="n">
        <v>58.05</v>
      </c>
      <c r="F5721" t="n">
        <v>1</v>
      </c>
      <c r="G5721" t="n">
        <v>603</v>
      </c>
      <c r="H5721" s="5">
        <f>HYPERLINK("https://api.qogita.com/variants/link/8054754400748/", "View Product")</f>
        <v/>
      </c>
    </row>
    <row r="5722">
      <c r="A5722" t="inlineStr">
        <is>
          <t>8054754401233</t>
        </is>
      </c>
      <c r="B5722" t="inlineStr">
        <is>
          <t>Dolce&amp;Gabbana Flawless Everkiss Liquid Lip in Devotion 405, Matte Finish, 5 ml</t>
        </is>
      </c>
      <c r="C5722" t="inlineStr">
        <is>
          <t>Lipstick</t>
        </is>
      </c>
      <c r="D5722" t="inlineStr">
        <is>
          <t>Dolce &amp; Gabbana</t>
        </is>
      </c>
      <c r="E5722" t="n">
        <v>31.01</v>
      </c>
      <c r="F5722" t="n">
        <v>1</v>
      </c>
      <c r="G5722" t="n">
        <v>3</v>
      </c>
      <c r="H5722" s="5">
        <f>HYPERLINK("https://api.qogita.com/variants/link/8054754401233/", "View Product")</f>
        <v/>
      </c>
    </row>
    <row r="5723">
      <c r="A5723" t="inlineStr">
        <is>
          <t>8054754401240</t>
        </is>
      </c>
      <c r="B5723" t="inlineStr">
        <is>
          <t>Devotion Liquid Mousse Lipstick 410 Audacia Intense Cool Red</t>
        </is>
      </c>
      <c r="C5723" t="inlineStr">
        <is>
          <t>Lipstick</t>
        </is>
      </c>
      <c r="D5723" t="inlineStr">
        <is>
          <t>Devotion</t>
        </is>
      </c>
      <c r="E5723" t="n">
        <v>32.16</v>
      </c>
      <c r="F5723" t="n">
        <v>1</v>
      </c>
      <c r="G5723" t="n">
        <v>2</v>
      </c>
      <c r="H5723" s="5">
        <f>HYPERLINK("https://api.qogita.com/variants/link/8054754401240/", "View Product")</f>
        <v/>
      </c>
    </row>
    <row r="5724">
      <c r="A5724" t="inlineStr">
        <is>
          <t>8054956590308</t>
        </is>
      </c>
      <c r="B5724" t="inlineStr">
        <is>
          <t>Capucci Eau De Toilette 100ml</t>
        </is>
      </c>
      <c r="C5724" t="inlineStr">
        <is>
          <t>Eau De Toilette</t>
        </is>
      </c>
      <c r="D5724" t="inlineStr">
        <is>
          <t>Roberto Capucci</t>
        </is>
      </c>
      <c r="E5724" t="n">
        <v>12.07</v>
      </c>
      <c r="F5724" t="n">
        <v>1</v>
      </c>
      <c r="G5724" t="n">
        <v>4</v>
      </c>
      <c r="H5724" s="5">
        <f>HYPERLINK("https://api.qogita.com/variants/link/8054956590308/", "View Product")</f>
        <v/>
      </c>
    </row>
    <row r="5725">
      <c r="A5725" t="inlineStr">
        <is>
          <t>8055060140304</t>
        </is>
      </c>
      <c r="B5725" t="inlineStr">
        <is>
          <t>Tigi Copyright Total Sun After Beach Body Lotion 200 Ml</t>
        </is>
      </c>
      <c r="C5725" t="inlineStr">
        <is>
          <t>Body Lotion</t>
        </is>
      </c>
      <c r="D5725" t="inlineStr">
        <is>
          <t>Tigi</t>
        </is>
      </c>
      <c r="E5725" t="n">
        <v>6.71</v>
      </c>
      <c r="F5725" t="n">
        <v>1</v>
      </c>
      <c r="G5725" t="n">
        <v>48</v>
      </c>
      <c r="H5725" s="5">
        <f>HYPERLINK("https://api.qogita.com/variants/link/8055060140304/", "View Product")</f>
        <v/>
      </c>
    </row>
    <row r="5726">
      <c r="A5726" t="inlineStr">
        <is>
          <t>8055060140342</t>
        </is>
      </c>
      <c r="B5726" t="inlineStr">
        <is>
          <t>Tigi Total Sun Beach Waves Hair Protection Cream 150 Ml</t>
        </is>
      </c>
      <c r="C5726" t="inlineStr">
        <is>
          <t>Uv Protection</t>
        </is>
      </c>
      <c r="D5726" t="inlineStr">
        <is>
          <t>Tigi</t>
        </is>
      </c>
      <c r="E5726" t="n">
        <v>4.58</v>
      </c>
      <c r="F5726" t="n">
        <v>1</v>
      </c>
      <c r="G5726" t="n">
        <v>57</v>
      </c>
      <c r="H5726" s="5">
        <f>HYPERLINK("https://api.qogita.com/variants/link/8055060140342/", "View Product")</f>
        <v/>
      </c>
    </row>
    <row r="5727">
      <c r="A5727" t="inlineStr">
        <is>
          <t>8055118033114</t>
        </is>
      </c>
      <c r="B5727" t="inlineStr">
        <is>
          <t>Masque Milano Unisex Eau De Parfum 3.4 Oz</t>
        </is>
      </c>
      <c r="C5727" t="inlineStr">
        <is>
          <t>Eau De Parfum</t>
        </is>
      </c>
      <c r="D5727" t="inlineStr">
        <is>
          <t>Masque Milano</t>
        </is>
      </c>
      <c r="E5727" t="n">
        <v>147.95</v>
      </c>
      <c r="F5727" t="n">
        <v>1</v>
      </c>
      <c r="G5727" t="n">
        <v>5</v>
      </c>
      <c r="H5727" s="5">
        <f>HYPERLINK("https://api.qogita.com/variants/link/8055118033114/", "View Product")</f>
        <v/>
      </c>
    </row>
    <row r="5728">
      <c r="A5728" t="inlineStr">
        <is>
          <t>8055277280633</t>
        </is>
      </c>
      <c r="B5728" t="inlineStr">
        <is>
          <t>Bois 1920 Sushi Imperiale EDT Vapo 100ml</t>
        </is>
      </c>
      <c r="C5728" t="inlineStr">
        <is>
          <t>Eau De Toilette</t>
        </is>
      </c>
      <c r="D5728" t="inlineStr">
        <is>
          <t>Bois 1920</t>
        </is>
      </c>
      <c r="E5728" t="n">
        <v>100.44</v>
      </c>
      <c r="F5728" t="n">
        <v>1</v>
      </c>
      <c r="G5728" t="n">
        <v>5</v>
      </c>
      <c r="H5728" s="5">
        <f>HYPERLINK("https://api.qogita.com/variants/link/8055277280633/", "View Product")</f>
        <v/>
      </c>
    </row>
    <row r="5729">
      <c r="A5729" t="inlineStr">
        <is>
          <t>8056420222807</t>
        </is>
      </c>
      <c r="B5729" t="inlineStr">
        <is>
          <t>Beper Electric Double Heating Blanket P203tfo110</t>
        </is>
      </c>
      <c r="C5729" t="inlineStr">
        <is>
          <t>Incense</t>
        </is>
      </c>
      <c r="D5729" t="inlineStr">
        <is>
          <t>Beper</t>
        </is>
      </c>
      <c r="E5729" t="n">
        <v>52.74</v>
      </c>
      <c r="F5729" t="n">
        <v>1</v>
      </c>
      <c r="G5729" t="n">
        <v>2</v>
      </c>
      <c r="H5729" s="5">
        <f>HYPERLINK("https://api.qogita.com/variants/link/8056420222807/", "View Product")</f>
        <v/>
      </c>
    </row>
    <row r="5730">
      <c r="A5730" t="inlineStr">
        <is>
          <t>8056420223170</t>
        </is>
      </c>
      <c r="B5730" t="inlineStr">
        <is>
          <t>Beper Neck Massager Ems P302mas100 A Soothing Neck Massage Device</t>
        </is>
      </c>
      <c r="C5730" t="inlineStr">
        <is>
          <t>Massage</t>
        </is>
      </c>
      <c r="D5730" t="inlineStr">
        <is>
          <t>Beper</t>
        </is>
      </c>
      <c r="E5730" t="n">
        <v>57.11</v>
      </c>
      <c r="F5730" t="n">
        <v>1</v>
      </c>
      <c r="G5730" t="n">
        <v>2</v>
      </c>
      <c r="H5730" s="5">
        <f>HYPERLINK("https://api.qogita.com/variants/link/8056420223170/", "View Product")</f>
        <v/>
      </c>
    </row>
    <row r="5731">
      <c r="A5731" t="inlineStr">
        <is>
          <t>8056420223255</t>
        </is>
      </c>
      <c r="B5731" t="inlineStr">
        <is>
          <t>BEPER P302VIS050 Illuminated Makeup Mirror with 1x/2x/5x Magnification - Perfect for Makeup Station</t>
        </is>
      </c>
      <c r="C5731" t="inlineStr">
        <is>
          <t>Makeup Mirrors</t>
        </is>
      </c>
      <c r="D5731" t="inlineStr">
        <is>
          <t>Beper</t>
        </is>
      </c>
      <c r="E5731" t="n">
        <v>26.47</v>
      </c>
      <c r="F5731" t="n">
        <v>1</v>
      </c>
      <c r="G5731" t="n">
        <v>3</v>
      </c>
      <c r="H5731" s="5">
        <f>HYPERLINK("https://api.qogita.com/variants/link/8056420223255/", "View Product")</f>
        <v/>
      </c>
    </row>
    <row r="5732">
      <c r="A5732" t="inlineStr">
        <is>
          <t>8056420223484</t>
        </is>
      </c>
      <c r="B5732" t="inlineStr">
        <is>
          <t>BEPER Micro Glass Crystal Peeling Stone Suitable for All Skin Types</t>
        </is>
      </c>
      <c r="C5732" t="inlineStr">
        <is>
          <t>Facial Scrub &amp; Peeling</t>
        </is>
      </c>
      <c r="D5732" t="inlineStr">
        <is>
          <t>Beper</t>
        </is>
      </c>
      <c r="E5732" t="n">
        <v>10.48</v>
      </c>
      <c r="F5732" t="n">
        <v>1</v>
      </c>
      <c r="G5732" t="n">
        <v>8</v>
      </c>
      <c r="H5732" s="5">
        <f>HYPERLINK("https://api.qogita.com/variants/link/8056420223484/", "View Product")</f>
        <v/>
      </c>
    </row>
    <row r="5733">
      <c r="A5733" t="inlineStr">
        <is>
          <t>8056420223989</t>
        </is>
      </c>
      <c r="B5733" t="inlineStr">
        <is>
          <t>BEPER Percussion Massager 30W Rechargeable Massage Gun with 4 Interchangeable Heads 6 Intensity Levels Black</t>
        </is>
      </c>
      <c r="C5733" t="inlineStr">
        <is>
          <t>Massage</t>
        </is>
      </c>
      <c r="D5733" t="inlineStr">
        <is>
          <t>Beper</t>
        </is>
      </c>
      <c r="E5733" t="n">
        <v>20.78</v>
      </c>
      <c r="F5733" t="n">
        <v>1</v>
      </c>
      <c r="G5733" t="n">
        <v>3</v>
      </c>
      <c r="H5733" s="5">
        <f>HYPERLINK("https://api.qogita.com/variants/link/8056420223989/", "View Product")</f>
        <v/>
      </c>
    </row>
    <row r="5734">
      <c r="A5734" t="inlineStr">
        <is>
          <t>8057714450074</t>
        </is>
      </c>
      <c r="B5734" t="inlineStr">
        <is>
          <t>Iceberg Eau De Iceberg Amber Pour Homme Toilet Water Spray 100ml</t>
        </is>
      </c>
      <c r="C5734" t="inlineStr">
        <is>
          <t>Eau De Toilette</t>
        </is>
      </c>
      <c r="D5734" t="inlineStr">
        <is>
          <t>Iceberg</t>
        </is>
      </c>
      <c r="E5734" t="n">
        <v>8.5</v>
      </c>
      <c r="F5734" t="n">
        <v>1</v>
      </c>
      <c r="G5734" t="n">
        <v>12</v>
      </c>
      <c r="H5734" s="5">
        <f>HYPERLINK("https://api.qogita.com/variants/link/8057714450074/", "View Product")</f>
        <v/>
      </c>
    </row>
    <row r="5735">
      <c r="A5735" t="inlineStr">
        <is>
          <t>8057714450234</t>
        </is>
      </c>
      <c r="B5735" t="inlineStr">
        <is>
          <t>Iceberg Twice Femme Eau De Toilette Spray 100ml</t>
        </is>
      </c>
      <c r="C5735" t="inlineStr">
        <is>
          <t>Eau De Toilette</t>
        </is>
      </c>
      <c r="D5735" t="inlineStr">
        <is>
          <t>Iceberg</t>
        </is>
      </c>
      <c r="E5735" t="n">
        <v>13.94</v>
      </c>
      <c r="F5735" t="n">
        <v>1</v>
      </c>
      <c r="G5735" t="n">
        <v>3</v>
      </c>
      <c r="H5735" s="5">
        <f>HYPERLINK("https://api.qogita.com/variants/link/8057714450234/", "View Product")</f>
        <v/>
      </c>
    </row>
    <row r="5736">
      <c r="A5736" t="inlineStr">
        <is>
          <t>8057714450562</t>
        </is>
      </c>
      <c r="B5736" t="inlineStr">
        <is>
          <t>Iceberg Change The Flow For Him Eau De Toilette Spray 100ml</t>
        </is>
      </c>
      <c r="C5736" t="inlineStr">
        <is>
          <t>Eau De Toilette</t>
        </is>
      </c>
      <c r="D5736" t="inlineStr">
        <is>
          <t>Iceberg</t>
        </is>
      </c>
      <c r="E5736" t="n">
        <v>29.73</v>
      </c>
      <c r="F5736" t="n">
        <v>1</v>
      </c>
      <c r="G5736" t="n">
        <v>10</v>
      </c>
      <c r="H5736" s="5">
        <f>HYPERLINK("https://api.qogita.com/variants/link/8057714450562/", "View Product")</f>
        <v/>
      </c>
    </row>
    <row r="5737">
      <c r="A5737" t="inlineStr">
        <is>
          <t>8057971180363</t>
        </is>
      </c>
      <c r="B5737" t="inlineStr">
        <is>
          <t>Dolce &amp; Gabbana Light Blue Pour Homme Eau De Toilette 75ml Men Spray</t>
        </is>
      </c>
      <c r="C5737" t="inlineStr">
        <is>
          <t>Eau De Toilette</t>
        </is>
      </c>
      <c r="D5737" t="inlineStr">
        <is>
          <t>Dolce &amp; Gabbana</t>
        </is>
      </c>
      <c r="E5737" t="n">
        <v>36.93</v>
      </c>
      <c r="F5737" t="n">
        <v>1</v>
      </c>
      <c r="G5737" t="n">
        <v>4</v>
      </c>
      <c r="H5737" s="5">
        <f>HYPERLINK("https://api.qogita.com/variants/link/8057971180363/", "View Product")</f>
        <v/>
      </c>
    </row>
    <row r="5738">
      <c r="A5738" t="inlineStr">
        <is>
          <t>8057971180400</t>
        </is>
      </c>
      <c r="B5738" t="inlineStr">
        <is>
          <t>D&amp;G Dg Pour Femme EDP 100ml</t>
        </is>
      </c>
      <c r="C5738" t="inlineStr">
        <is>
          <t>Eau De Parfum</t>
        </is>
      </c>
      <c r="D5738" t="inlineStr">
        <is>
          <t>Dolce &amp; Gabbana</t>
        </is>
      </c>
      <c r="E5738" t="n">
        <v>72.38</v>
      </c>
      <c r="F5738" t="n">
        <v>1</v>
      </c>
      <c r="G5738" t="n">
        <v>39</v>
      </c>
      <c r="H5738" s="5">
        <f>HYPERLINK("https://api.qogita.com/variants/link/8057971180400/", "View Product")</f>
        <v/>
      </c>
    </row>
    <row r="5739">
      <c r="A5739" t="inlineStr">
        <is>
          <t>8057971180424</t>
        </is>
      </c>
      <c r="B5739" t="inlineStr">
        <is>
          <t>Dolce &amp; Gabbana Pour Homme Eau De Toilette Spray 125ml By Dolce &amp; Gabbana</t>
        </is>
      </c>
      <c r="C5739" t="inlineStr">
        <is>
          <t>Eau De Toilette</t>
        </is>
      </c>
      <c r="D5739" t="inlineStr">
        <is>
          <t>Dolce &amp; Gabbana</t>
        </is>
      </c>
      <c r="E5739" t="n">
        <v>47.53</v>
      </c>
      <c r="F5739" t="n">
        <v>1</v>
      </c>
      <c r="G5739" t="n">
        <v>229</v>
      </c>
      <c r="H5739" s="5">
        <f>HYPERLINK("https://api.qogita.com/variants/link/8057971180424/", "View Product")</f>
        <v/>
      </c>
    </row>
    <row r="5740">
      <c r="A5740" t="inlineStr">
        <is>
          <t>8057971180431</t>
        </is>
      </c>
      <c r="B5740" t="inlineStr">
        <is>
          <t>Dolce&amp;Gabbana Pour Homme Eau De Toilette Spray 75ml</t>
        </is>
      </c>
      <c r="C5740" t="inlineStr">
        <is>
          <t>Eau De Toilette</t>
        </is>
      </c>
      <c r="D5740" t="inlineStr">
        <is>
          <t>Dolce &amp; Gabbana</t>
        </is>
      </c>
      <c r="E5740" t="n">
        <v>36.67</v>
      </c>
      <c r="F5740" t="n">
        <v>1</v>
      </c>
      <c r="G5740" t="n">
        <v>4</v>
      </c>
      <c r="H5740" s="5">
        <f>HYPERLINK("https://api.qogita.com/variants/link/8057971180431/", "View Product")</f>
        <v/>
      </c>
    </row>
    <row r="5741">
      <c r="A5741" t="inlineStr">
        <is>
          <t>8057971181568</t>
        </is>
      </c>
      <c r="B5741" t="inlineStr">
        <is>
          <t>Dolce&amp;Gabbana The One For Men Intense Eau De Parfum Spray 100ml</t>
        </is>
      </c>
      <c r="C5741" t="inlineStr">
        <is>
          <t>Eau De Parfum</t>
        </is>
      </c>
      <c r="D5741" t="inlineStr">
        <is>
          <t>Dolce &amp; Gabbana</t>
        </is>
      </c>
      <c r="E5741" t="n">
        <v>51.02</v>
      </c>
      <c r="F5741" t="n">
        <v>1</v>
      </c>
      <c r="G5741" t="n">
        <v>54</v>
      </c>
      <c r="H5741" s="5">
        <f>HYPERLINK("https://api.qogita.com/variants/link/8057971181568/", "View Product")</f>
        <v/>
      </c>
    </row>
    <row r="5742">
      <c r="A5742" t="inlineStr">
        <is>
          <t>8057971181605</t>
        </is>
      </c>
      <c r="B5742" t="inlineStr">
        <is>
          <t>Dolce &amp; Gabbana Mattifying Foundation Spf 20 Everlast Foundation - 27 Ml</t>
        </is>
      </c>
      <c r="C5742" t="inlineStr">
        <is>
          <t>Foundation</t>
        </is>
      </c>
      <c r="D5742" t="inlineStr">
        <is>
          <t>Dolce &amp; Gabbana</t>
        </is>
      </c>
      <c r="E5742" t="n">
        <v>44.1</v>
      </c>
      <c r="F5742" t="n">
        <v>1</v>
      </c>
      <c r="G5742" t="n">
        <v>3</v>
      </c>
      <c r="H5742" s="5">
        <f>HYPERLINK("https://api.qogita.com/variants/link/8057971181605/", "View Product")</f>
        <v/>
      </c>
    </row>
    <row r="5743">
      <c r="A5743" t="inlineStr">
        <is>
          <t>8057971183791</t>
        </is>
      </c>
      <c r="B5743" t="inlineStr">
        <is>
          <t>Dolce Violet by Dolce &amp; Gabbana for Women - 1.7 oz EDT Spray (50.27 ml)</t>
        </is>
      </c>
      <c r="C5743" t="inlineStr">
        <is>
          <t>Eau De Toilette</t>
        </is>
      </c>
      <c r="D5743" t="inlineStr">
        <is>
          <t>Dolce &amp; Gabbana</t>
        </is>
      </c>
      <c r="E5743" t="n">
        <v>35.32</v>
      </c>
      <c r="F5743" t="n">
        <v>1</v>
      </c>
      <c r="G5743" t="n">
        <v>14</v>
      </c>
      <c r="H5743" s="5">
        <f>HYPERLINK("https://api.qogita.com/variants/link/8057971183791/", "View Product")</f>
        <v/>
      </c>
    </row>
    <row r="5744">
      <c r="A5744" t="inlineStr">
        <is>
          <t>8057971184910</t>
        </is>
      </c>
      <c r="B5744" t="inlineStr">
        <is>
          <t>Dolce &amp; Gabbana The Only One Eau De Parfum Spray 100ml</t>
        </is>
      </c>
      <c r="C5744" t="inlineStr">
        <is>
          <t>Eau De Parfum</t>
        </is>
      </c>
      <c r="D5744" t="inlineStr">
        <is>
          <t>Dolce &amp; Gabbana</t>
        </is>
      </c>
      <c r="E5744" t="n">
        <v>56.8</v>
      </c>
      <c r="F5744" t="n">
        <v>1</v>
      </c>
      <c r="G5744" t="n">
        <v>13</v>
      </c>
      <c r="H5744" s="5">
        <f>HYPERLINK("https://api.qogita.com/variants/link/8057971184910/", "View Product")</f>
        <v/>
      </c>
    </row>
    <row r="5745">
      <c r="A5745" t="inlineStr">
        <is>
          <t>8057971187997</t>
        </is>
      </c>
      <c r="B5745" t="inlineStr">
        <is>
          <t>Dolce &amp; Gabbana Dolce Blue Jasmine Eau De Parfum 50ml</t>
        </is>
      </c>
      <c r="C5745" t="inlineStr">
        <is>
          <t>Eau De Parfum</t>
        </is>
      </c>
      <c r="D5745" t="inlineStr">
        <is>
          <t>Dolce &amp; Gabbana</t>
        </is>
      </c>
      <c r="E5745" t="n">
        <v>36.91</v>
      </c>
      <c r="F5745" t="n">
        <v>1</v>
      </c>
      <c r="G5745" t="n">
        <v>6</v>
      </c>
      <c r="H5745" s="5">
        <f>HYPERLINK("https://api.qogita.com/variants/link/8057971187997/", "View Product")</f>
        <v/>
      </c>
    </row>
    <row r="5746">
      <c r="A5746" t="inlineStr">
        <is>
          <t>8057971188192</t>
        </is>
      </c>
      <c r="B5746" t="inlineStr">
        <is>
          <t>Dolce &amp; Gabbana Light Blue Pour Femme Eau De Toilette Vaporizer 100 Ml</t>
        </is>
      </c>
      <c r="C5746" t="inlineStr">
        <is>
          <t>Eau De Toilette</t>
        </is>
      </c>
      <c r="D5746" t="inlineStr">
        <is>
          <t>Dolce &amp; Gabbana</t>
        </is>
      </c>
      <c r="E5746" t="n">
        <v>60.31</v>
      </c>
      <c r="F5746" t="n">
        <v>1</v>
      </c>
      <c r="G5746" t="n">
        <v>33</v>
      </c>
      <c r="H5746" s="5">
        <f>HYPERLINK("https://api.qogita.com/variants/link/8057971188192/", "View Product")</f>
        <v/>
      </c>
    </row>
    <row r="5747">
      <c r="A5747" t="inlineStr">
        <is>
          <t>8057971188284</t>
        </is>
      </c>
      <c r="B5747" t="inlineStr">
        <is>
          <t>Dolce &amp; Gabbana Dolce G Devotion Eau De Parfum Intense 50ml</t>
        </is>
      </c>
      <c r="C5747" t="inlineStr">
        <is>
          <t>Eau De Parfum</t>
        </is>
      </c>
      <c r="D5747" t="inlineStr">
        <is>
          <t>Dolce &amp; Gabbana</t>
        </is>
      </c>
      <c r="E5747" t="n">
        <v>85.18000000000001</v>
      </c>
      <c r="F5747" t="n">
        <v>1</v>
      </c>
      <c r="G5747" t="n">
        <v>4</v>
      </c>
      <c r="H5747" s="5">
        <f>HYPERLINK("https://api.qogita.com/variants/link/8057971188284/", "View Product")</f>
        <v/>
      </c>
    </row>
    <row r="5748">
      <c r="A5748" t="inlineStr">
        <is>
          <t>8057971189410</t>
        </is>
      </c>
      <c r="B5748" t="inlineStr">
        <is>
          <t>Dolce &amp; Gabbana Cheeks &amp; Eyes Match Blush - 8 G</t>
        </is>
      </c>
      <c r="C5748" t="inlineStr">
        <is>
          <t>Blush</t>
        </is>
      </c>
      <c r="D5748" t="inlineStr">
        <is>
          <t>Dolce &amp; Gabbana</t>
        </is>
      </c>
      <c r="E5748" t="n">
        <v>40.32</v>
      </c>
      <c r="F5748" t="n">
        <v>1</v>
      </c>
      <c r="G5748" t="n">
        <v>3</v>
      </c>
      <c r="H5748" s="5">
        <f>HYPERLINK("https://api.qogita.com/variants/link/8057971189410/", "View Product")</f>
        <v/>
      </c>
    </row>
    <row r="5749">
      <c r="A5749" t="inlineStr">
        <is>
          <t>8057971189519</t>
        </is>
      </c>
      <c r="B5749" t="inlineStr">
        <is>
          <t>Dolce &amp; Gabbana Bergamot Glow Primer - 33 Ml Brightening Makeup Base</t>
        </is>
      </c>
      <c r="C5749" t="inlineStr">
        <is>
          <t>Primer</t>
        </is>
      </c>
      <c r="D5749" t="inlineStr">
        <is>
          <t>Dolce &amp; Gabbana</t>
        </is>
      </c>
      <c r="E5749" t="n">
        <v>40.97</v>
      </c>
      <c r="F5749" t="n">
        <v>1</v>
      </c>
      <c r="G5749" t="n">
        <v>2</v>
      </c>
      <c r="H5749" s="5">
        <f>HYPERLINK("https://api.qogita.com/variants/link/8057971189519/", "View Product")</f>
        <v/>
      </c>
    </row>
    <row r="5750">
      <c r="A5750" t="inlineStr">
        <is>
          <t>8058045421825</t>
        </is>
      </c>
      <c r="B5750" t="inlineStr">
        <is>
          <t>Laura Biagiotti Forever EDP Spray 30ml</t>
        </is>
      </c>
      <c r="C5750" t="inlineStr">
        <is>
          <t>Eau De Parfum</t>
        </is>
      </c>
      <c r="D5750" t="inlineStr">
        <is>
          <t>Laura Biagiotti</t>
        </is>
      </c>
      <c r="E5750" t="n">
        <v>17.71</v>
      </c>
      <c r="F5750" t="n">
        <v>1</v>
      </c>
      <c r="G5750" t="n">
        <v>28</v>
      </c>
      <c r="H5750" s="5">
        <f>HYPERLINK("https://api.qogita.com/variants/link/8058045421825/", "View Product")</f>
        <v/>
      </c>
    </row>
    <row r="5751">
      <c r="A5751" t="inlineStr">
        <is>
          <t>8058045421832</t>
        </is>
      </c>
      <c r="B5751" t="inlineStr">
        <is>
          <t>Laura Biagiotti Forever EDP Spray 60ml</t>
        </is>
      </c>
      <c r="C5751" t="inlineStr">
        <is>
          <t>Eau De Parfum</t>
        </is>
      </c>
      <c r="D5751" t="inlineStr">
        <is>
          <t>Laura Biagiotti</t>
        </is>
      </c>
      <c r="E5751" t="n">
        <v>28.32</v>
      </c>
      <c r="F5751" t="n">
        <v>1</v>
      </c>
      <c r="G5751" t="n">
        <v>6</v>
      </c>
      <c r="H5751" s="5">
        <f>HYPERLINK("https://api.qogita.com/variants/link/8058045421832/", "View Product")</f>
        <v/>
      </c>
    </row>
    <row r="5752">
      <c r="A5752" t="inlineStr">
        <is>
          <t>8058045422990</t>
        </is>
      </c>
      <c r="B5752" t="inlineStr">
        <is>
          <t>Armand Basi L'Eau Pour Homme Intense Vetiver Eau De Toilette Spray 125ml</t>
        </is>
      </c>
      <c r="C5752" t="inlineStr">
        <is>
          <t>Eau De Toilette</t>
        </is>
      </c>
      <c r="D5752" t="inlineStr">
        <is>
          <t>Armand Basi</t>
        </is>
      </c>
      <c r="E5752" t="n">
        <v>19.83</v>
      </c>
      <c r="F5752" t="n">
        <v>1</v>
      </c>
      <c r="G5752" t="n">
        <v>3</v>
      </c>
      <c r="H5752" s="5">
        <f>HYPERLINK("https://api.qogita.com/variants/link/8058045422990/", "View Product")</f>
        <v/>
      </c>
    </row>
    <row r="5753">
      <c r="A5753" t="inlineStr">
        <is>
          <t>8058045423034</t>
        </is>
      </c>
      <c r="B5753" t="inlineStr">
        <is>
          <t>Armand Basi Scent Of Kiss My Heart Eau De Toilette Spray 50ml</t>
        </is>
      </c>
      <c r="C5753" t="inlineStr">
        <is>
          <t>Eau De Toilette</t>
        </is>
      </c>
      <c r="D5753" t="inlineStr">
        <is>
          <t>Armand Basi</t>
        </is>
      </c>
      <c r="E5753" t="n">
        <v>13.07</v>
      </c>
      <c r="F5753" t="n">
        <v>1</v>
      </c>
      <c r="G5753" t="n">
        <v>6</v>
      </c>
      <c r="H5753" s="5">
        <f>HYPERLINK("https://api.qogita.com/variants/link/8058045423034/", "View Product")</f>
        <v/>
      </c>
    </row>
    <row r="5754">
      <c r="A5754" t="inlineStr">
        <is>
          <t>8058045423195</t>
        </is>
      </c>
      <c r="B5754" t="inlineStr">
        <is>
          <t>Gianfranco Iron Men's Lining Italian EDT 100ml VAPO</t>
        </is>
      </c>
      <c r="C5754" t="inlineStr">
        <is>
          <t>Eau De Toilette</t>
        </is>
      </c>
      <c r="D5754" t="inlineStr">
        <is>
          <t>Gianfranco Ferre</t>
        </is>
      </c>
      <c r="E5754" t="n">
        <v>15.9</v>
      </c>
      <c r="F5754" t="n">
        <v>1</v>
      </c>
      <c r="G5754" t="n">
        <v>8</v>
      </c>
      <c r="H5754" s="5">
        <f>HYPERLINK("https://api.qogita.com/variants/link/8058045423195/", "View Product")</f>
        <v/>
      </c>
    </row>
    <row r="5755">
      <c r="A5755" t="inlineStr">
        <is>
          <t>8058045423478</t>
        </is>
      </c>
      <c r="B5755" t="inlineStr">
        <is>
          <t>Trussardi Musc Noir Perfume Enhancer 100 Ml Eau De Parfum</t>
        </is>
      </c>
      <c r="C5755" t="inlineStr">
        <is>
          <t>Eau De Parfum</t>
        </is>
      </c>
      <c r="D5755" t="inlineStr">
        <is>
          <t>Trussardi</t>
        </is>
      </c>
      <c r="E5755" t="n">
        <v>86.5</v>
      </c>
      <c r="F5755" t="n">
        <v>1</v>
      </c>
      <c r="G5755" t="n">
        <v>2</v>
      </c>
      <c r="H5755" s="5">
        <f>HYPERLINK("https://api.qogita.com/variants/link/8058045423478/", "View Product")</f>
        <v/>
      </c>
    </row>
    <row r="5756">
      <c r="A5756" t="inlineStr">
        <is>
          <t>8058045425649</t>
        </is>
      </c>
      <c r="B5756" t="inlineStr">
        <is>
          <t>Trussardi Eau De Parfum 90 Ml</t>
        </is>
      </c>
      <c r="C5756" t="inlineStr">
        <is>
          <t>Eau De Parfum</t>
        </is>
      </c>
      <c r="D5756" t="inlineStr">
        <is>
          <t>Trussardi</t>
        </is>
      </c>
      <c r="E5756" t="n">
        <v>37.95</v>
      </c>
      <c r="F5756" t="n">
        <v>1</v>
      </c>
      <c r="G5756" t="n">
        <v>2</v>
      </c>
      <c r="H5756" s="5">
        <f>HYPERLINK("https://api.qogita.com/variants/link/8058045425649/", "View Product")</f>
        <v/>
      </c>
    </row>
    <row r="5757">
      <c r="A5757" t="inlineStr">
        <is>
          <t>8058045426707</t>
        </is>
      </c>
      <c r="B5757" t="inlineStr">
        <is>
          <t>Intimate White Flowers EDT Vaporisateur 100ml</t>
        </is>
      </c>
      <c r="C5757" t="inlineStr">
        <is>
          <t>Eau De Toilette</t>
        </is>
      </c>
      <c r="D5757" t="inlineStr">
        <is>
          <t>Angel Schlesser</t>
        </is>
      </c>
      <c r="E5757" t="n">
        <v>27.46</v>
      </c>
      <c r="F5757" t="n">
        <v>1</v>
      </c>
      <c r="G5757" t="n">
        <v>4</v>
      </c>
      <c r="H5757" s="5">
        <f>HYPERLINK("https://api.qogita.com/variants/link/8058045426707/", "View Product")</f>
        <v/>
      </c>
    </row>
    <row r="5758">
      <c r="A5758" t="inlineStr">
        <is>
          <t>8058045429968</t>
        </is>
      </c>
      <c r="B5758" t="inlineStr">
        <is>
          <t>Laura Biagiotti Forever Gold For Her Eau De Parfum Spray 100ml</t>
        </is>
      </c>
      <c r="C5758" t="inlineStr">
        <is>
          <t>Eau De Parfum</t>
        </is>
      </c>
      <c r="D5758" t="inlineStr">
        <is>
          <t>Laura Biagiotti</t>
        </is>
      </c>
      <c r="E5758" t="n">
        <v>27.31</v>
      </c>
      <c r="F5758" t="n">
        <v>1</v>
      </c>
      <c r="G5758" t="n">
        <v>6</v>
      </c>
      <c r="H5758" s="5">
        <f>HYPERLINK("https://api.qogita.com/variants/link/8058045429968/", "View Product")</f>
        <v/>
      </c>
    </row>
    <row r="5759">
      <c r="A5759" t="inlineStr">
        <is>
          <t>8058045430285</t>
        </is>
      </c>
      <c r="B5759" t="inlineStr">
        <is>
          <t>Anne Moller Stimulage Rich Illuminating Firming Cream SPF15 50ml</t>
        </is>
      </c>
      <c r="C5759" t="inlineStr">
        <is>
          <t>Day Cream</t>
        </is>
      </c>
      <c r="D5759" t="inlineStr">
        <is>
          <t>Anne Moller</t>
        </is>
      </c>
      <c r="E5759" t="n">
        <v>29.59</v>
      </c>
      <c r="F5759" t="n">
        <v>1</v>
      </c>
      <c r="G5759" t="n">
        <v>2</v>
      </c>
      <c r="H5759" s="5">
        <f>HYPERLINK("https://api.qogita.com/variants/link/8058045430285/", "View Product")</f>
        <v/>
      </c>
    </row>
    <row r="5760">
      <c r="A5760" t="inlineStr">
        <is>
          <t>8058045430933</t>
        </is>
      </c>
      <c r="B5760" t="inlineStr">
        <is>
          <t>L'Eau Pour Homme Blue Tea Eau de Toilette Spray 75ml</t>
        </is>
      </c>
      <c r="C5760" t="inlineStr">
        <is>
          <t>Eau De Toilette</t>
        </is>
      </c>
      <c r="D5760" t="inlineStr">
        <is>
          <t>Armand Basi</t>
        </is>
      </c>
      <c r="E5760" t="n">
        <v>18.34</v>
      </c>
      <c r="F5760" t="n">
        <v>1</v>
      </c>
      <c r="G5760" t="n">
        <v>4</v>
      </c>
      <c r="H5760" s="5">
        <f>HYPERLINK("https://api.qogita.com/variants/link/8058045430933/", "View Product")</f>
        <v/>
      </c>
    </row>
    <row r="5761">
      <c r="A5761" t="inlineStr">
        <is>
          <t>8058045432609</t>
        </is>
      </c>
      <c r="B5761" t="inlineStr">
        <is>
          <t>Trussardi Le Vie Di Milano The Italian Artists Of Via Solferino Eau De Parfum Spray 100ml</t>
        </is>
      </c>
      <c r="C5761" t="inlineStr">
        <is>
          <t>Eau De Parfum</t>
        </is>
      </c>
      <c r="D5761" t="inlineStr">
        <is>
          <t>Trussardi</t>
        </is>
      </c>
      <c r="E5761" t="n">
        <v>67.81999999999999</v>
      </c>
      <c r="F5761" t="n">
        <v>1</v>
      </c>
      <c r="G5761" t="n">
        <v>11</v>
      </c>
      <c r="H5761" s="5">
        <f>HYPERLINK("https://api.qogita.com/variants/link/8058045432609/", "View Product")</f>
        <v/>
      </c>
    </row>
    <row r="5762">
      <c r="A5762" t="inlineStr">
        <is>
          <t>8058045432616</t>
        </is>
      </c>
      <c r="B5762" t="inlineStr">
        <is>
          <t>Trussardi Le Vie Di Milano Walking On Via Fiori Oscuri Eau De Parfum Spray 100ml</t>
        </is>
      </c>
      <c r="C5762" t="inlineStr">
        <is>
          <t>Eau De Parfum</t>
        </is>
      </c>
      <c r="D5762" t="inlineStr">
        <is>
          <t>Trussardi</t>
        </is>
      </c>
      <c r="E5762" t="n">
        <v>68.48999999999999</v>
      </c>
      <c r="F5762" t="n">
        <v>1</v>
      </c>
      <c r="G5762" t="n">
        <v>21</v>
      </c>
      <c r="H5762" s="5">
        <f>HYPERLINK("https://api.qogita.com/variants/link/8058045432616/", "View Product")</f>
        <v/>
      </c>
    </row>
    <row r="5763">
      <c r="A5763" t="inlineStr">
        <is>
          <t>8058045434375</t>
        </is>
      </c>
      <c r="B5763" t="inlineStr">
        <is>
          <t>AN Clean Up Micellar Water 400ml</t>
        </is>
      </c>
      <c r="C5763" t="inlineStr">
        <is>
          <t>Micellar Water</t>
        </is>
      </c>
      <c r="D5763" t="inlineStr">
        <is>
          <t>Anne Moller</t>
        </is>
      </c>
      <c r="E5763" t="n">
        <v>17.27</v>
      </c>
      <c r="F5763" t="n">
        <v>1</v>
      </c>
      <c r="G5763" t="n">
        <v>2</v>
      </c>
      <c r="H5763" s="5">
        <f>HYPERLINK("https://api.qogita.com/variants/link/8058045434375/", "View Product")</f>
        <v/>
      </c>
    </row>
    <row r="5764">
      <c r="A5764" t="inlineStr">
        <is>
          <t>8058045436973</t>
        </is>
      </c>
      <c r="B5764" t="inlineStr">
        <is>
          <t>Mandarina Duck Uomo Fragrance Gift Set - Eau De Toilette 100 Ml And Shower Gel 50 Ml</t>
        </is>
      </c>
      <c r="C5764" t="inlineStr">
        <is>
          <t>Fragrance Sets</t>
        </is>
      </c>
      <c r="D5764" t="inlineStr">
        <is>
          <t>Mandarina Duck</t>
        </is>
      </c>
      <c r="E5764" t="n">
        <v>11.01</v>
      </c>
      <c r="F5764" t="n">
        <v>1</v>
      </c>
      <c r="G5764" t="n">
        <v>19</v>
      </c>
      <c r="H5764" s="5">
        <f>HYPERLINK("https://api.qogita.com/variants/link/8058045436973/", "View Product")</f>
        <v/>
      </c>
    </row>
    <row r="5765">
      <c r="A5765" t="inlineStr">
        <is>
          <t>8058045437093</t>
        </is>
      </c>
      <c r="B5765" t="inlineStr">
        <is>
          <t>Laura Biagiotti Roma Fiori Bianchi EDT 50ml</t>
        </is>
      </c>
      <c r="C5765" t="inlineStr">
        <is>
          <t>Eau De Toilette</t>
        </is>
      </c>
      <c r="D5765" t="inlineStr">
        <is>
          <t>Laura Biagiotti</t>
        </is>
      </c>
      <c r="E5765" t="n">
        <v>27.89</v>
      </c>
      <c r="F5765" t="n">
        <v>1</v>
      </c>
      <c r="G5765" t="n">
        <v>14</v>
      </c>
      <c r="H5765" s="5">
        <f>HYPERLINK("https://api.qogita.com/variants/link/8058045437093/", "View Product")</f>
        <v/>
      </c>
    </row>
    <row r="5766">
      <c r="A5766" t="inlineStr">
        <is>
          <t>8058045437178</t>
        </is>
      </c>
      <c r="B5766" t="inlineStr">
        <is>
          <t>Armand Basi Perfume for Women 100ml</t>
        </is>
      </c>
      <c r="C5766" t="inlineStr">
        <is>
          <t>Eau De Parfum</t>
        </is>
      </c>
      <c r="D5766" t="inlineStr">
        <is>
          <t>Armand Basi</t>
        </is>
      </c>
      <c r="E5766" t="n">
        <v>15.32</v>
      </c>
      <c r="F5766" t="n">
        <v>1</v>
      </c>
      <c r="G5766" t="n">
        <v>5</v>
      </c>
      <c r="H5766" s="5">
        <f>HYPERLINK("https://api.qogita.com/variants/link/8058045437178/", "View Product")</f>
        <v/>
      </c>
    </row>
    <row r="5767">
      <c r="A5767" t="inlineStr">
        <is>
          <t>8059108002104</t>
        </is>
      </c>
      <c r="B5767" t="inlineStr">
        <is>
          <t>Anne Moller Anne Moller Ams Non Stop Aftersun Mist 150ml</t>
        </is>
      </c>
      <c r="C5767" t="inlineStr">
        <is>
          <t>Aftersun</t>
        </is>
      </c>
      <c r="D5767" t="inlineStr">
        <is>
          <t>Anne Moller</t>
        </is>
      </c>
      <c r="E5767" t="n">
        <v>13.29</v>
      </c>
      <c r="F5767" t="n">
        <v>1</v>
      </c>
      <c r="G5767" t="n">
        <v>3</v>
      </c>
      <c r="H5767" s="5">
        <f>HYPERLINK("https://api.qogita.com/variants/link/8059108002104/", "View Product")</f>
        <v/>
      </c>
    </row>
    <row r="5768">
      <c r="A5768" t="inlineStr">
        <is>
          <t>8059117002195</t>
        </is>
      </c>
      <c r="B5768" t="inlineStr">
        <is>
          <t>Trussardi Primo Eau De Parfum 50 Ml</t>
        </is>
      </c>
      <c r="C5768" t="inlineStr">
        <is>
          <t>Eau De Parfum</t>
        </is>
      </c>
      <c r="D5768" t="inlineStr">
        <is>
          <t>Trussardi</t>
        </is>
      </c>
      <c r="E5768" t="n">
        <v>30.8</v>
      </c>
      <c r="F5768" t="n">
        <v>1</v>
      </c>
      <c r="G5768" t="n">
        <v>7</v>
      </c>
      <c r="H5768" s="5">
        <f>HYPERLINK("https://api.qogita.com/variants/link/8059117002195/", "View Product")</f>
        <v/>
      </c>
    </row>
    <row r="5769">
      <c r="A5769" t="inlineStr">
        <is>
          <t>8059602242891</t>
        </is>
      </c>
      <c r="B5769" t="inlineStr">
        <is>
          <t>Orchid 150ml Diffuser</t>
        </is>
      </c>
      <c r="C5769" t="inlineStr">
        <is>
          <t>Diffusers</t>
        </is>
      </c>
      <c r="D5769" t="inlineStr">
        <is>
          <t>Sweet Home Regalo</t>
        </is>
      </c>
      <c r="E5769" t="n">
        <v>12.56</v>
      </c>
      <c r="F5769" t="n">
        <v>1</v>
      </c>
      <c r="G5769" t="n">
        <v>4</v>
      </c>
      <c r="H5769" s="5">
        <f>HYPERLINK("https://api.qogita.com/variants/link/8059602242891/", "View Product")</f>
        <v/>
      </c>
    </row>
    <row r="5770">
      <c r="A5770" t="inlineStr">
        <is>
          <t>8388765440715</t>
        </is>
      </c>
      <c r="B5770" t="inlineStr">
        <is>
          <t>My.Organics Thickening Conditioner For Thin Hair Mango And Rose</t>
        </is>
      </c>
      <c r="C5770" t="inlineStr">
        <is>
          <t>Conditioner</t>
        </is>
      </c>
      <c r="D5770" t="inlineStr">
        <is>
          <t>My.Organics</t>
        </is>
      </c>
      <c r="E5770" t="n">
        <v>33.77</v>
      </c>
      <c r="F5770" t="n">
        <v>1</v>
      </c>
      <c r="G5770" t="n">
        <v>2</v>
      </c>
      <c r="H5770" s="5">
        <f>HYPERLINK("https://api.qogita.com/variants/link/8388765440715/", "View Product")</f>
        <v/>
      </c>
    </row>
    <row r="5771">
      <c r="A5771" t="inlineStr">
        <is>
          <t>8410190615045</t>
        </is>
      </c>
      <c r="B5771" t="inlineStr">
        <is>
          <t>Adolfo Dominguez Agua Fresca De Azahar Eau De Toilette Spray 200ml</t>
        </is>
      </c>
      <c r="C5771" t="inlineStr">
        <is>
          <t>Eau De Toilette</t>
        </is>
      </c>
      <c r="D5771" t="inlineStr">
        <is>
          <t>Adolfo Dominguez</t>
        </is>
      </c>
      <c r="E5771" t="n">
        <v>36.85</v>
      </c>
      <c r="F5771" t="n">
        <v>1</v>
      </c>
      <c r="G5771" t="n">
        <v>10</v>
      </c>
      <c r="H5771" s="5">
        <f>HYPERLINK("https://api.qogita.com/variants/link/8410190615045/", "View Product")</f>
        <v/>
      </c>
    </row>
    <row r="5772">
      <c r="A5772" t="inlineStr">
        <is>
          <t>8410190618688</t>
        </is>
      </c>
      <c r="B5772" t="inlineStr">
        <is>
          <t>Adolfo Dominguez Bambu Woman Eau De Toilette Spray 50 Ml</t>
        </is>
      </c>
      <c r="C5772" t="inlineStr">
        <is>
          <t>Eau De Toilette</t>
        </is>
      </c>
      <c r="D5772" t="inlineStr">
        <is>
          <t>Adolfo Dominguez</t>
        </is>
      </c>
      <c r="E5772" t="n">
        <v>19.07</v>
      </c>
      <c r="F5772" t="n">
        <v>1</v>
      </c>
      <c r="G5772" t="n">
        <v>5</v>
      </c>
      <c r="H5772" s="5">
        <f>HYPERLINK("https://api.qogita.com/variants/link/8410190618688/", "View Product")</f>
        <v/>
      </c>
    </row>
    <row r="5773">
      <c r="A5773" t="inlineStr">
        <is>
          <t>8410190620308</t>
        </is>
      </c>
      <c r="B5773" t="inlineStr">
        <is>
          <t>Unica Coral Eau De Toilette Vaporizer 50ml</t>
        </is>
      </c>
      <c r="C5773" t="inlineStr">
        <is>
          <t>Eau De Toilette</t>
        </is>
      </c>
      <c r="D5773" t="inlineStr">
        <is>
          <t>Adolfo Dominguez</t>
        </is>
      </c>
      <c r="E5773" t="n">
        <v>27.17</v>
      </c>
      <c r="F5773" t="n">
        <v>1</v>
      </c>
      <c r="G5773" t="n">
        <v>7</v>
      </c>
      <c r="H5773" s="5">
        <f>HYPERLINK("https://api.qogita.com/variants/link/8410190620308/", "View Product")</f>
        <v/>
      </c>
    </row>
    <row r="5774">
      <c r="A5774" t="inlineStr">
        <is>
          <t>8410190631717</t>
        </is>
      </c>
      <c r="B5774" t="inlineStr">
        <is>
          <t>Adolfo Dominguez Agua Fresca De Rosas Deodorant Spray 150ml</t>
        </is>
      </c>
      <c r="C5774" t="inlineStr">
        <is>
          <t>Deodorant &amp; Anti-Perspirant</t>
        </is>
      </c>
      <c r="D5774" t="inlineStr">
        <is>
          <t>Adolfo Dominguez</t>
        </is>
      </c>
      <c r="E5774" t="n">
        <v>7.41</v>
      </c>
      <c r="F5774" t="n">
        <v>1</v>
      </c>
      <c r="G5774" t="n">
        <v>5</v>
      </c>
      <c r="H5774" s="5">
        <f>HYPERLINK("https://api.qogita.com/variants/link/8410190631717/", "View Product")</f>
        <v/>
      </c>
    </row>
    <row r="5775">
      <c r="A5775" t="inlineStr">
        <is>
          <t>8411047108178</t>
        </is>
      </c>
      <c r="B5775" t="inlineStr">
        <is>
          <t>Instituto Espaol Milk And Proteins Shower Gel 1250ml</t>
        </is>
      </c>
      <c r="C5775" t="inlineStr">
        <is>
          <t>Shower Gel</t>
        </is>
      </c>
      <c r="D5775" t="inlineStr">
        <is>
          <t>Instituto Español</t>
        </is>
      </c>
      <c r="E5775" t="n">
        <v>2.61</v>
      </c>
      <c r="F5775" t="n">
        <v>1</v>
      </c>
      <c r="G5775" t="n">
        <v>3</v>
      </c>
      <c r="H5775" s="5">
        <f>HYPERLINK("https://api.qogita.com/variants/link/8411047108178/", "View Product")</f>
        <v/>
      </c>
    </row>
    <row r="5776">
      <c r="A5776" t="inlineStr">
        <is>
          <t>8411047108253</t>
        </is>
      </c>
      <c r="B5776" t="inlineStr">
        <is>
          <t>Instituto Espanol Atopic Moisturizing Body Milk For Atopic Skin 300ml</t>
        </is>
      </c>
      <c r="C5776" t="inlineStr">
        <is>
          <t>Body Lotion</t>
        </is>
      </c>
      <c r="D5776" t="inlineStr">
        <is>
          <t>Instituto Español</t>
        </is>
      </c>
      <c r="E5776" t="n">
        <v>4.56</v>
      </c>
      <c r="F5776" t="n">
        <v>1</v>
      </c>
      <c r="G5776" t="n">
        <v>3</v>
      </c>
      <c r="H5776" s="5">
        <f>HYPERLINK("https://api.qogita.com/variants/link/8411047108253/", "View Product")</f>
        <v/>
      </c>
    </row>
    <row r="5777">
      <c r="A5777" t="inlineStr">
        <is>
          <t>8411047149102</t>
        </is>
      </c>
      <c r="B5777" t="inlineStr">
        <is>
          <t>Instituto Espaol Gotas Frescas Eau De Cologne Spray 250ml</t>
        </is>
      </c>
      <c r="C5777" t="inlineStr">
        <is>
          <t>Eau De Cologne</t>
        </is>
      </c>
      <c r="D5777" t="inlineStr">
        <is>
          <t>Instituto Español</t>
        </is>
      </c>
      <c r="E5777" t="n">
        <v>3.85</v>
      </c>
      <c r="F5777" t="n">
        <v>1</v>
      </c>
      <c r="G5777" t="n">
        <v>10</v>
      </c>
      <c r="H5777" s="5">
        <f>HYPERLINK("https://api.qogita.com/variants/link/8411047149102/", "View Product")</f>
        <v/>
      </c>
    </row>
    <row r="5778">
      <c r="A5778" t="inlineStr">
        <is>
          <t>8411061001905</t>
        </is>
      </c>
      <c r="B5778" t="inlineStr">
        <is>
          <t>Carolina Herrera Gold Myrrh Absolute Eau de Parfum for Women 100ml</t>
        </is>
      </c>
      <c r="C5778" t="inlineStr">
        <is>
          <t>Eau De Parfum</t>
        </is>
      </c>
      <c r="D5778" t="inlineStr">
        <is>
          <t>Carolina Herrera</t>
        </is>
      </c>
      <c r="E5778" t="n">
        <v>117.74</v>
      </c>
      <c r="F5778" t="n">
        <v>1</v>
      </c>
      <c r="G5778" t="n">
        <v>9</v>
      </c>
      <c r="H5778" s="5">
        <f>HYPERLINK("https://api.qogita.com/variants/link/8411061001905/", "View Product")</f>
        <v/>
      </c>
    </row>
    <row r="5779">
      <c r="A5779" t="inlineStr">
        <is>
          <t>8411061026243</t>
        </is>
      </c>
      <c r="B5779" t="inlineStr">
        <is>
          <t>Carolina Herrera Good Girl Legere Eau De Parfum Spray 80ml</t>
        </is>
      </c>
      <c r="C5779" t="inlineStr">
        <is>
          <t>Eau De Parfum</t>
        </is>
      </c>
      <c r="D5779" t="inlineStr">
        <is>
          <t>Carolina Herrera</t>
        </is>
      </c>
      <c r="E5779" t="n">
        <v>87.44</v>
      </c>
      <c r="F5779" t="n">
        <v>1</v>
      </c>
      <c r="G5779" t="n">
        <v>23</v>
      </c>
      <c r="H5779" s="5">
        <f>HYPERLINK("https://api.qogita.com/variants/link/8411061026243/", "View Product")</f>
        <v/>
      </c>
    </row>
    <row r="5780">
      <c r="A5780" t="inlineStr">
        <is>
          <t>8411061027813</t>
        </is>
      </c>
      <c r="B5780" t="inlineStr">
        <is>
          <t>Carolina Herrera Bad Boy Cobalt Eau De Parfum Electrique 50ml</t>
        </is>
      </c>
      <c r="C5780" t="inlineStr">
        <is>
          <t>Eau De Parfum</t>
        </is>
      </c>
      <c r="D5780" t="inlineStr">
        <is>
          <t>Carolina Herrera</t>
        </is>
      </c>
      <c r="E5780" t="n">
        <v>55.27</v>
      </c>
      <c r="F5780" t="n">
        <v>1</v>
      </c>
      <c r="G5780" t="n">
        <v>14</v>
      </c>
      <c r="H5780" s="5">
        <f>HYPERLINK("https://api.qogita.com/variants/link/8411061027813/", "View Product")</f>
        <v/>
      </c>
    </row>
    <row r="5781">
      <c r="A5781" t="inlineStr">
        <is>
          <t>8411061067895</t>
        </is>
      </c>
      <c r="B5781" t="inlineStr">
        <is>
          <t>Carolina Herrera Ch Eau De Toilette Spray 100ml</t>
        </is>
      </c>
      <c r="C5781" t="inlineStr">
        <is>
          <t>Eau De Toilette</t>
        </is>
      </c>
      <c r="D5781" t="inlineStr">
        <is>
          <t>Carolina Herrera</t>
        </is>
      </c>
      <c r="E5781" t="n">
        <v>64.28</v>
      </c>
      <c r="F5781" t="n">
        <v>1</v>
      </c>
      <c r="G5781" t="n">
        <v>21</v>
      </c>
      <c r="H5781" s="5">
        <f>HYPERLINK("https://api.qogita.com/variants/link/8411061067895/", "View Product")</f>
        <v/>
      </c>
    </row>
    <row r="5782">
      <c r="A5782" t="inlineStr">
        <is>
          <t>8411061080719</t>
        </is>
      </c>
      <c r="B5782" t="inlineStr">
        <is>
          <t>Antonio Banderas Her Secret Temptation Eau De Toilette Spray 80ml</t>
        </is>
      </c>
      <c r="C5782" t="inlineStr">
        <is>
          <t>Eau De Toilette</t>
        </is>
      </c>
      <c r="D5782" t="inlineStr">
        <is>
          <t>Antonio Banderas</t>
        </is>
      </c>
      <c r="E5782" t="n">
        <v>12.43</v>
      </c>
      <c r="F5782" t="n">
        <v>1</v>
      </c>
      <c r="G5782" t="n">
        <v>5</v>
      </c>
      <c r="H5782" s="5">
        <f>HYPERLINK("https://api.qogita.com/variants/link/8411061080719/", "View Product")</f>
        <v/>
      </c>
    </row>
    <row r="5783">
      <c r="A5783" t="inlineStr">
        <is>
          <t>8411061081006</t>
        </is>
      </c>
      <c r="B5783" t="inlineStr">
        <is>
          <t>Antonio Banderas Her Golden Secret Eau De Toilette Spray 80ml</t>
        </is>
      </c>
      <c r="C5783" t="inlineStr">
        <is>
          <t>Eau De Toilette</t>
        </is>
      </c>
      <c r="D5783" t="inlineStr">
        <is>
          <t>Antonio Banderas</t>
        </is>
      </c>
      <c r="E5783" t="n">
        <v>12.64</v>
      </c>
      <c r="F5783" t="n">
        <v>1</v>
      </c>
      <c r="G5783" t="n">
        <v>4</v>
      </c>
      <c r="H5783" s="5">
        <f>HYPERLINK("https://api.qogita.com/variants/link/8411061081006/", "View Product")</f>
        <v/>
      </c>
    </row>
    <row r="5784">
      <c r="A5784" t="inlineStr">
        <is>
          <t>8411061081358</t>
        </is>
      </c>
      <c r="B5784" t="inlineStr">
        <is>
          <t>Antonio Banderas King Of Seduction Absolute Eau De Toilette 200ml</t>
        </is>
      </c>
      <c r="C5784" t="inlineStr">
        <is>
          <t>Eau De Toilette</t>
        </is>
      </c>
      <c r="D5784" t="inlineStr">
        <is>
          <t>Antonio Banderas</t>
        </is>
      </c>
      <c r="E5784" t="n">
        <v>20.59</v>
      </c>
      <c r="F5784" t="n">
        <v>1</v>
      </c>
      <c r="G5784" t="n">
        <v>33</v>
      </c>
      <c r="H5784" s="5">
        <f>HYPERLINK("https://api.qogita.com/variants/link/8411061081358/", "View Product")</f>
        <v/>
      </c>
    </row>
    <row r="5785">
      <c r="A5785" t="inlineStr">
        <is>
          <t>8411061081563</t>
        </is>
      </c>
      <c r="B5785" t="inlineStr">
        <is>
          <t>Antonio Banderas Blue Seduction Men Eau De Toilette 200ml</t>
        </is>
      </c>
      <c r="C5785" t="inlineStr">
        <is>
          <t>Eau De Toilette</t>
        </is>
      </c>
      <c r="D5785" t="inlineStr">
        <is>
          <t>Antonio Banderas</t>
        </is>
      </c>
      <c r="E5785" t="n">
        <v>18.96</v>
      </c>
      <c r="F5785" t="n">
        <v>1</v>
      </c>
      <c r="G5785" t="n">
        <v>9</v>
      </c>
      <c r="H5785" s="5">
        <f>HYPERLINK("https://api.qogita.com/variants/link/8411061081563/", "View Product")</f>
        <v/>
      </c>
    </row>
    <row r="5786">
      <c r="A5786" t="inlineStr">
        <is>
          <t>8411061081600</t>
        </is>
      </c>
      <c r="B5786" t="inlineStr">
        <is>
          <t>Carolina Herrera Herrera For Men Eau De Toilette Spray 100ml</t>
        </is>
      </c>
      <c r="C5786" t="inlineStr">
        <is>
          <t>Eau De Toilette</t>
        </is>
      </c>
      <c r="D5786" t="inlineStr">
        <is>
          <t>Carolina Herrera</t>
        </is>
      </c>
      <c r="E5786" t="n">
        <v>47.24</v>
      </c>
      <c r="F5786" t="n">
        <v>1</v>
      </c>
      <c r="G5786" t="n">
        <v>23</v>
      </c>
      <c r="H5786" s="5">
        <f>HYPERLINK("https://api.qogita.com/variants/link/8411061081600/", "View Product")</f>
        <v/>
      </c>
    </row>
    <row r="5787">
      <c r="A5787" t="inlineStr">
        <is>
          <t>8411061081778</t>
        </is>
      </c>
      <c r="B5787" t="inlineStr">
        <is>
          <t>Antonio Banderas Black Seduction Eau De Toilette 50ml</t>
        </is>
      </c>
      <c r="C5787" t="inlineStr">
        <is>
          <t>Eau De Toilette</t>
        </is>
      </c>
      <c r="D5787" t="inlineStr">
        <is>
          <t>Antonio Banderas</t>
        </is>
      </c>
      <c r="E5787" t="n">
        <v>9.77</v>
      </c>
      <c r="F5787" t="n">
        <v>1</v>
      </c>
      <c r="G5787" t="n">
        <v>20</v>
      </c>
      <c r="H5787" s="5">
        <f>HYPERLINK("https://api.qogita.com/variants/link/8411061081778/", "View Product")</f>
        <v/>
      </c>
    </row>
    <row r="5788">
      <c r="A5788" t="inlineStr">
        <is>
          <t>8411061083666</t>
        </is>
      </c>
      <c r="B5788" t="inlineStr">
        <is>
          <t>Carolina Herrera Good Girl Blush Elixir Eau De Parfum Spray 50ml</t>
        </is>
      </c>
      <c r="C5788" t="inlineStr">
        <is>
          <t>Eau De Parfum</t>
        </is>
      </c>
      <c r="D5788" t="inlineStr">
        <is>
          <t>Carolina Herrera</t>
        </is>
      </c>
      <c r="E5788" t="n">
        <v>79.63</v>
      </c>
      <c r="F5788" t="n">
        <v>1</v>
      </c>
      <c r="G5788" t="n">
        <v>38</v>
      </c>
      <c r="H5788" s="5">
        <f>HYPERLINK("https://api.qogita.com/variants/link/8411061083666/", "View Product")</f>
        <v/>
      </c>
    </row>
    <row r="5789">
      <c r="A5789" t="inlineStr">
        <is>
          <t>8411061083765</t>
        </is>
      </c>
      <c r="B5789" t="inlineStr">
        <is>
          <t>Carolina Herrera Bad Boy Cobalt Elixir Eau De Parfum Spray 50ml</t>
        </is>
      </c>
      <c r="C5789" t="inlineStr">
        <is>
          <t>Eau De Parfum</t>
        </is>
      </c>
      <c r="D5789" t="inlineStr">
        <is>
          <t>Carolina Herrera</t>
        </is>
      </c>
      <c r="E5789" t="n">
        <v>64.70999999999999</v>
      </c>
      <c r="F5789" t="n">
        <v>1</v>
      </c>
      <c r="G5789" t="n">
        <v>8</v>
      </c>
      <c r="H5789" s="5">
        <f>HYPERLINK("https://api.qogita.com/variants/link/8411061083765/", "View Product")</f>
        <v/>
      </c>
    </row>
    <row r="5790">
      <c r="A5790" t="inlineStr">
        <is>
          <t>8411061099759</t>
        </is>
      </c>
      <c r="B5790" t="inlineStr">
        <is>
          <t>Bad Boy Cobalt Eau De Parfum Spray 100ml By Bad Boy</t>
        </is>
      </c>
      <c r="C5790" t="inlineStr">
        <is>
          <t>Eau De Parfum</t>
        </is>
      </c>
      <c r="D5790" t="inlineStr">
        <is>
          <t>Bad Boy Records</t>
        </is>
      </c>
      <c r="E5790" t="n">
        <v>74.26000000000001</v>
      </c>
      <c r="F5790" t="n">
        <v>1</v>
      </c>
      <c r="G5790" t="n">
        <v>39</v>
      </c>
      <c r="H5790" s="5">
        <f>HYPERLINK("https://api.qogita.com/variants/link/8411061099759/", "View Product")</f>
        <v/>
      </c>
    </row>
    <row r="5791">
      <c r="A5791" t="inlineStr">
        <is>
          <t>8411061347508</t>
        </is>
      </c>
      <c r="B5791" t="inlineStr">
        <is>
          <t>Carolina Herrera 212 Men Stick 75ml - Men's Deodorant</t>
        </is>
      </c>
      <c r="C5791" t="inlineStr">
        <is>
          <t>Deodorant &amp; Anti-Perspirant</t>
        </is>
      </c>
      <c r="D5791" t="inlineStr">
        <is>
          <t>Carolina Herrera</t>
        </is>
      </c>
      <c r="E5791" t="n">
        <v>18.01</v>
      </c>
      <c r="F5791" t="n">
        <v>1</v>
      </c>
      <c r="G5791" t="n">
        <v>8</v>
      </c>
      <c r="H5791" s="5">
        <f>HYPERLINK("https://api.qogita.com/variants/link/8411061347508/", "View Product")</f>
        <v/>
      </c>
    </row>
    <row r="5792">
      <c r="A5792" t="inlineStr">
        <is>
          <t>8411061401200</t>
        </is>
      </c>
      <c r="B5792" t="inlineStr">
        <is>
          <t>Antonio Puig Aqua Brava Eau De Cologne Spray 200ml</t>
        </is>
      </c>
      <c r="C5792" t="inlineStr">
        <is>
          <t>Eau De Cologne</t>
        </is>
      </c>
      <c r="D5792" t="inlineStr">
        <is>
          <t>Antonio Puig</t>
        </is>
      </c>
      <c r="E5792" t="n">
        <v>14.44</v>
      </c>
      <c r="F5792" t="n">
        <v>1</v>
      </c>
      <c r="G5792" t="n">
        <v>12</v>
      </c>
      <c r="H5792" s="5">
        <f>HYPERLINK("https://api.qogita.com/variants/link/8411061401200/", "View Product")</f>
        <v/>
      </c>
    </row>
    <row r="5793">
      <c r="A5793" t="inlineStr">
        <is>
          <t>8411061665039</t>
        </is>
      </c>
      <c r="B5793" t="inlineStr">
        <is>
          <t>Carolina Herrera Ch Men Eau de Toilette Spray 50ml</t>
        </is>
      </c>
      <c r="C5793" t="inlineStr">
        <is>
          <t>Eau De Toilette</t>
        </is>
      </c>
      <c r="D5793" t="inlineStr">
        <is>
          <t>Carolina Herrera</t>
        </is>
      </c>
      <c r="E5793" t="n">
        <v>37.52</v>
      </c>
      <c r="F5793" t="n">
        <v>1</v>
      </c>
      <c r="G5793" t="n">
        <v>9</v>
      </c>
      <c r="H5793" s="5">
        <f>HYPERLINK("https://api.qogita.com/variants/link/8411061665039/", "View Product")</f>
        <v/>
      </c>
    </row>
    <row r="5794">
      <c r="A5794" t="inlineStr">
        <is>
          <t>8411061786161</t>
        </is>
      </c>
      <c r="B5794" t="inlineStr">
        <is>
          <t>Carolina Herrera Ch Men Eau De Toilette 200ml A Sophisticated Fragrance For Men</t>
        </is>
      </c>
      <c r="C5794" t="inlineStr">
        <is>
          <t>Eau De Toilette</t>
        </is>
      </c>
      <c r="D5794" t="inlineStr">
        <is>
          <t>Carolina Herrera</t>
        </is>
      </c>
      <c r="E5794" t="n">
        <v>93.20999999999999</v>
      </c>
      <c r="F5794" t="n">
        <v>1</v>
      </c>
      <c r="G5794" t="n">
        <v>8</v>
      </c>
      <c r="H5794" s="5">
        <f>HYPERLINK("https://api.qogita.com/variants/link/8411061786161/", "View Product")</f>
        <v/>
      </c>
    </row>
    <row r="5795">
      <c r="A5795" t="inlineStr">
        <is>
          <t>8411061805893</t>
        </is>
      </c>
      <c r="B5795" t="inlineStr">
        <is>
          <t>Carolina Herrera 212 Woman Deodorant Spray 150ml</t>
        </is>
      </c>
      <c r="C5795" t="inlineStr">
        <is>
          <t>Deodorant &amp; Anti-Perspirant</t>
        </is>
      </c>
      <c r="D5795" t="inlineStr">
        <is>
          <t>Carolina Herrera</t>
        </is>
      </c>
      <c r="E5795" t="n">
        <v>20.04</v>
      </c>
      <c r="F5795" t="n">
        <v>1</v>
      </c>
      <c r="G5795" t="n">
        <v>2</v>
      </c>
      <c r="H5795" s="5">
        <f>HYPERLINK("https://api.qogita.com/variants/link/8411061805893/", "View Product")</f>
        <v/>
      </c>
    </row>
    <row r="5796">
      <c r="A5796" t="inlineStr">
        <is>
          <t>8411061805916</t>
        </is>
      </c>
      <c r="B5796" t="inlineStr">
        <is>
          <t>Carolina Herrera 212 Vip Deodorant Spray 150ml</t>
        </is>
      </c>
      <c r="C5796" t="inlineStr">
        <is>
          <t>Deodorant &amp; Anti-Perspirant</t>
        </is>
      </c>
      <c r="D5796" t="inlineStr">
        <is>
          <t>Carolina Herrera</t>
        </is>
      </c>
      <c r="E5796" t="n">
        <v>13.84</v>
      </c>
      <c r="F5796" t="n">
        <v>1</v>
      </c>
      <c r="G5796" t="n">
        <v>5</v>
      </c>
      <c r="H5796" s="5">
        <f>HYPERLINK("https://api.qogita.com/variants/link/8411061805916/", "View Product")</f>
        <v/>
      </c>
    </row>
    <row r="5797">
      <c r="A5797" t="inlineStr">
        <is>
          <t>8411061849330</t>
        </is>
      </c>
      <c r="B5797" t="inlineStr">
        <is>
          <t>Antonio Banderas Diavolo For Men Eau De Toilette Spray 100ml</t>
        </is>
      </c>
      <c r="C5797" t="inlineStr">
        <is>
          <t>Eau De Toilette</t>
        </is>
      </c>
      <c r="D5797" t="inlineStr">
        <is>
          <t>Antonio Banderas</t>
        </is>
      </c>
      <c r="E5797" t="n">
        <v>11.99</v>
      </c>
      <c r="F5797" t="n">
        <v>1</v>
      </c>
      <c r="G5797" t="n">
        <v>6</v>
      </c>
      <c r="H5797" s="5">
        <f>HYPERLINK("https://api.qogita.com/variants/link/8411061849330/", "View Product")</f>
        <v/>
      </c>
    </row>
    <row r="5798">
      <c r="A5798" t="inlineStr">
        <is>
          <t>8411061850961</t>
        </is>
      </c>
      <c r="B5798" t="inlineStr">
        <is>
          <t>Shakira S Kiss Eau De Toilette</t>
        </is>
      </c>
      <c r="C5798" t="inlineStr">
        <is>
          <t>Eau De Toilette</t>
        </is>
      </c>
      <c r="D5798" t="inlineStr">
        <is>
          <t>Shakira</t>
        </is>
      </c>
      <c r="E5798" t="n">
        <v>5.92</v>
      </c>
      <c r="F5798" t="n">
        <v>1</v>
      </c>
      <c r="G5798" t="n">
        <v>42</v>
      </c>
      <c r="H5798" s="5">
        <f>HYPERLINK("https://api.qogita.com/variants/link/8411061850961/", "View Product")</f>
        <v/>
      </c>
    </row>
    <row r="5799">
      <c r="A5799" t="inlineStr">
        <is>
          <t>8411061853115</t>
        </is>
      </c>
      <c r="B5799" t="inlineStr">
        <is>
          <t>Carolina Herrera 212 Men Eau De Toilette 30ml Men's Spray</t>
        </is>
      </c>
      <c r="C5799" t="inlineStr">
        <is>
          <t>Eau De Toilette</t>
        </is>
      </c>
      <c r="D5799" t="inlineStr">
        <is>
          <t>Carolina Herrera</t>
        </is>
      </c>
      <c r="E5799" t="n">
        <v>23.5</v>
      </c>
      <c r="F5799" t="n">
        <v>1</v>
      </c>
      <c r="G5799" t="n">
        <v>15</v>
      </c>
      <c r="H5799" s="5">
        <f>HYPERLINK("https://api.qogita.com/variants/link/8411061853115/", "View Product")</f>
        <v/>
      </c>
    </row>
    <row r="5800">
      <c r="A5800" t="inlineStr">
        <is>
          <t>8411061865408</t>
        </is>
      </c>
      <c r="B5800" t="inlineStr">
        <is>
          <t>Carolina Herrera 212 Woman Eau De Toilette Spray 100ml</t>
        </is>
      </c>
      <c r="C5800" t="inlineStr">
        <is>
          <t>Eau De Toilette</t>
        </is>
      </c>
      <c r="D5800" t="inlineStr">
        <is>
          <t>Carolina Herrera</t>
        </is>
      </c>
      <c r="E5800" t="n">
        <v>60.39</v>
      </c>
      <c r="F5800" t="n">
        <v>1</v>
      </c>
      <c r="G5800" t="n">
        <v>227</v>
      </c>
      <c r="H5800" s="5">
        <f>HYPERLINK("https://api.qogita.com/variants/link/8411061865408/", "View Product")</f>
        <v/>
      </c>
    </row>
    <row r="5801">
      <c r="A5801" t="inlineStr">
        <is>
          <t>8411061865439</t>
        </is>
      </c>
      <c r="B5801" t="inlineStr">
        <is>
          <t>Carolina Herrera 212 Sexy Woman Eau De Parfum Spray 100ml</t>
        </is>
      </c>
      <c r="C5801" t="inlineStr">
        <is>
          <t>Eau De Parfum</t>
        </is>
      </c>
      <c r="D5801" t="inlineStr">
        <is>
          <t>Carolina Herrera</t>
        </is>
      </c>
      <c r="E5801" t="n">
        <v>60.01</v>
      </c>
      <c r="F5801" t="n">
        <v>1</v>
      </c>
      <c r="G5801" t="n">
        <v>27</v>
      </c>
      <c r="H5801" s="5">
        <f>HYPERLINK("https://api.qogita.com/variants/link/8411061865439/", "View Product")</f>
        <v/>
      </c>
    </row>
    <row r="5802">
      <c r="A5802" t="inlineStr">
        <is>
          <t>8411061865736</t>
        </is>
      </c>
      <c r="B5802" t="inlineStr">
        <is>
          <t>Carolina Herrera 212 Men Sexy Deodorant Spray 150ml</t>
        </is>
      </c>
      <c r="C5802" t="inlineStr">
        <is>
          <t>Deodorant &amp; Anti-Perspirant</t>
        </is>
      </c>
      <c r="D5802" t="inlineStr">
        <is>
          <t>Carolina Herrera</t>
        </is>
      </c>
      <c r="E5802" t="n">
        <v>15.79</v>
      </c>
      <c r="F5802" t="n">
        <v>1</v>
      </c>
      <c r="G5802" t="n">
        <v>34</v>
      </c>
      <c r="H5802" s="5">
        <f>HYPERLINK("https://api.qogita.com/variants/link/8411061865736/", "View Product")</f>
        <v/>
      </c>
    </row>
    <row r="5803">
      <c r="A5803" t="inlineStr">
        <is>
          <t>8411061894026</t>
        </is>
      </c>
      <c r="B5803" t="inlineStr">
        <is>
          <t>Carolina Herrera 212 Women Eau De Toilette Spray 60ml</t>
        </is>
      </c>
      <c r="C5803" t="inlineStr">
        <is>
          <t>Eau De Toilette</t>
        </is>
      </c>
      <c r="D5803" t="inlineStr">
        <is>
          <t>Carolina Herrera</t>
        </is>
      </c>
      <c r="E5803" t="n">
        <v>46.37</v>
      </c>
      <c r="F5803" t="n">
        <v>1</v>
      </c>
      <c r="G5803" t="n">
        <v>41</v>
      </c>
      <c r="H5803" s="5">
        <f>HYPERLINK("https://api.qogita.com/variants/link/8411061894026/", "View Product")</f>
        <v/>
      </c>
    </row>
    <row r="5804">
      <c r="A5804" t="inlineStr">
        <is>
          <t>8411061894842</t>
        </is>
      </c>
      <c r="B5804" t="inlineStr">
        <is>
          <t>Carolina Herrera Ch L'Eau 2017 Eau De Toilette</t>
        </is>
      </c>
      <c r="C5804" t="inlineStr">
        <is>
          <t>Eau De Toilette</t>
        </is>
      </c>
      <c r="D5804" t="inlineStr">
        <is>
          <t>Carolina Herrera</t>
        </is>
      </c>
      <c r="E5804" t="n">
        <v>48.15</v>
      </c>
      <c r="F5804" t="n">
        <v>1</v>
      </c>
      <c r="G5804" t="n">
        <v>26</v>
      </c>
      <c r="H5804" s="5">
        <f>HYPERLINK("https://api.qogita.com/variants/link/8411061894842/", "View Product")</f>
        <v/>
      </c>
    </row>
    <row r="5805">
      <c r="A5805" t="inlineStr">
        <is>
          <t>8411061896259</t>
        </is>
      </c>
      <c r="B5805" t="inlineStr">
        <is>
          <t>Carolina Herrera 212 Men Eau De Toilette Spray 50ml</t>
        </is>
      </c>
      <c r="C5805" t="inlineStr">
        <is>
          <t>Eau De Toilette</t>
        </is>
      </c>
      <c r="D5805" t="inlineStr">
        <is>
          <t>Carolina Herrera</t>
        </is>
      </c>
      <c r="E5805" t="n">
        <v>44.4</v>
      </c>
      <c r="F5805" t="n">
        <v>1</v>
      </c>
      <c r="G5805" t="n">
        <v>17</v>
      </c>
      <c r="H5805" s="5">
        <f>HYPERLINK("https://api.qogita.com/variants/link/8411061896259/", "View Product")</f>
        <v/>
      </c>
    </row>
    <row r="5806">
      <c r="A5806" t="inlineStr">
        <is>
          <t>8411061906651</t>
        </is>
      </c>
      <c r="B5806" t="inlineStr">
        <is>
          <t>Carolina Herrera 212 Woman Eau De Toilette Spray 30ml</t>
        </is>
      </c>
      <c r="C5806" t="inlineStr">
        <is>
          <t>Eau De Toilette</t>
        </is>
      </c>
      <c r="D5806" t="inlineStr">
        <is>
          <t>Carolina Herrera</t>
        </is>
      </c>
      <c r="E5806" t="n">
        <v>25.24</v>
      </c>
      <c r="F5806" t="n">
        <v>1</v>
      </c>
      <c r="G5806" t="n">
        <v>106</v>
      </c>
      <c r="H5806" s="5">
        <f>HYPERLINK("https://api.qogita.com/variants/link/8411061906651/", "View Product")</f>
        <v/>
      </c>
    </row>
    <row r="5807">
      <c r="A5807" t="inlineStr">
        <is>
          <t>8411061923726</t>
        </is>
      </c>
      <c r="B5807" t="inlineStr">
        <is>
          <t>Ellen Tracy Inspire Moisturizing Body Wash 6.8 Oz</t>
        </is>
      </c>
      <c r="C5807" t="inlineStr">
        <is>
          <t>Shower Gel</t>
        </is>
      </c>
      <c r="D5807" t="inlineStr">
        <is>
          <t>Ellen Tracy</t>
        </is>
      </c>
      <c r="E5807" t="n">
        <v>168.44</v>
      </c>
      <c r="F5807" t="n">
        <v>1</v>
      </c>
      <c r="G5807" t="n">
        <v>5</v>
      </c>
      <c r="H5807" s="5">
        <f>HYPERLINK("https://api.qogita.com/variants/link/8411061923726/", "View Product")</f>
        <v/>
      </c>
    </row>
    <row r="5808">
      <c r="A5808" t="inlineStr">
        <is>
          <t>8411061954966</t>
        </is>
      </c>
      <c r="B5808" t="inlineStr">
        <is>
          <t>Carolina Herrera Chic Men Eau De Toilette Spray 100ml</t>
        </is>
      </c>
      <c r="C5808" t="inlineStr">
        <is>
          <t>Eau De Toilette</t>
        </is>
      </c>
      <c r="D5808" t="inlineStr">
        <is>
          <t>Carolina Herrera</t>
        </is>
      </c>
      <c r="E5808" t="n">
        <v>36.85</v>
      </c>
      <c r="F5808" t="n">
        <v>1</v>
      </c>
      <c r="G5808" t="n">
        <v>180</v>
      </c>
      <c r="H5808" s="5">
        <f>HYPERLINK("https://api.qogita.com/variants/link/8411061954966/", "View Product")</f>
        <v/>
      </c>
    </row>
    <row r="5809">
      <c r="A5809" t="inlineStr">
        <is>
          <t>8411061958544</t>
        </is>
      </c>
      <c r="B5809" t="inlineStr">
        <is>
          <t>Carolina Herrera Bad Boy Deodorant Spray 100ml For Men</t>
        </is>
      </c>
      <c r="C5809" t="inlineStr">
        <is>
          <t>Deodorant &amp; Anti-Perspirant</t>
        </is>
      </c>
      <c r="D5809" t="inlineStr">
        <is>
          <t>Carolina Herrera</t>
        </is>
      </c>
      <c r="E5809" t="n">
        <v>27.56</v>
      </c>
      <c r="F5809" t="n">
        <v>1</v>
      </c>
      <c r="G5809" t="n">
        <v>4</v>
      </c>
      <c r="H5809" s="5">
        <f>HYPERLINK("https://api.qogita.com/variants/link/8411061958544/", "View Product")</f>
        <v/>
      </c>
    </row>
    <row r="5810">
      <c r="A5810" t="inlineStr">
        <is>
          <t>8411061962954</t>
        </is>
      </c>
      <c r="B5810" t="inlineStr">
        <is>
          <t>CH Limited Edition by Carolina Herrera EDP 3.4oz for Men</t>
        </is>
      </c>
      <c r="C5810" t="inlineStr">
        <is>
          <t>Eau De Parfum</t>
        </is>
      </c>
      <c r="D5810" t="inlineStr">
        <is>
          <t>Carolina Herrera</t>
        </is>
      </c>
      <c r="E5810" t="n">
        <v>59.58</v>
      </c>
      <c r="F5810" t="n">
        <v>1</v>
      </c>
      <c r="G5810" t="n">
        <v>2</v>
      </c>
      <c r="H5810" s="5">
        <f>HYPERLINK("https://api.qogita.com/variants/link/8411061962954/", "View Product")</f>
        <v/>
      </c>
    </row>
    <row r="5811">
      <c r="A5811" t="inlineStr">
        <is>
          <t>8411061977033</t>
        </is>
      </c>
      <c r="B5811" t="inlineStr">
        <is>
          <t>Carolina Herrera Saffron Lazuli Eau de Parfum Spray 3.4 oz</t>
        </is>
      </c>
      <c r="C5811" t="inlineStr">
        <is>
          <t>Eau De Parfum</t>
        </is>
      </c>
      <c r="D5811" t="inlineStr">
        <is>
          <t>Carolina Herrera</t>
        </is>
      </c>
      <c r="E5811" t="n">
        <v>130.35</v>
      </c>
      <c r="F5811" t="n">
        <v>1</v>
      </c>
      <c r="G5811" t="n">
        <v>5</v>
      </c>
      <c r="H5811" s="5">
        <f>HYPERLINK("https://api.qogita.com/variants/link/8411061977033/", "View Product")</f>
        <v/>
      </c>
    </row>
    <row r="5812">
      <c r="A5812" t="inlineStr">
        <is>
          <t>8411061994696</t>
        </is>
      </c>
      <c r="B5812" t="inlineStr">
        <is>
          <t>Carolina Herrera 212 Heroes For Her Eau De Parfum 80ml Spray</t>
        </is>
      </c>
      <c r="C5812" t="inlineStr">
        <is>
          <t>Eau De Parfum</t>
        </is>
      </c>
      <c r="D5812" t="inlineStr">
        <is>
          <t>Carolina Herrera</t>
        </is>
      </c>
      <c r="E5812" t="n">
        <v>65.47</v>
      </c>
      <c r="F5812" t="n">
        <v>1</v>
      </c>
      <c r="G5812" t="n">
        <v>2</v>
      </c>
      <c r="H5812" s="5">
        <f>HYPERLINK("https://api.qogita.com/variants/link/8411061994696/", "View Product")</f>
        <v/>
      </c>
    </row>
    <row r="5813">
      <c r="A5813" t="inlineStr">
        <is>
          <t>8411061995754</t>
        </is>
      </c>
      <c r="B5813" t="inlineStr">
        <is>
          <t>Carolina Herrera Very Good Girl Eau De Parfum Spray 80ml</t>
        </is>
      </c>
      <c r="C5813" t="inlineStr">
        <is>
          <t>Eau De Parfum</t>
        </is>
      </c>
      <c r="D5813" t="inlineStr">
        <is>
          <t>Carolina Herrera</t>
        </is>
      </c>
      <c r="E5813" t="n">
        <v>89.88</v>
      </c>
      <c r="F5813" t="n">
        <v>1</v>
      </c>
      <c r="G5813" t="n">
        <v>7</v>
      </c>
      <c r="H5813" s="5">
        <f>HYPERLINK("https://api.qogita.com/variants/link/8411061995754/", "View Product")</f>
        <v/>
      </c>
    </row>
    <row r="5814">
      <c r="A5814" t="inlineStr">
        <is>
          <t>8411114081489</t>
        </is>
      </c>
      <c r="B5814" t="inlineStr">
        <is>
          <t>Spiderman Children's Fragrance</t>
        </is>
      </c>
      <c r="C5814" t="inlineStr">
        <is>
          <t>Eau De Toilette</t>
        </is>
      </c>
      <c r="D5814" t="inlineStr">
        <is>
          <t>Spiderman</t>
        </is>
      </c>
      <c r="E5814" t="n">
        <v>26.31</v>
      </c>
      <c r="F5814" t="n">
        <v>1</v>
      </c>
      <c r="G5814" t="n">
        <v>5</v>
      </c>
      <c r="H5814" s="5">
        <f>HYPERLINK("https://api.qogita.com/variants/link/8411114081489/", "View Product")</f>
        <v/>
      </c>
    </row>
    <row r="5815">
      <c r="A5815" t="inlineStr">
        <is>
          <t>8411114085791</t>
        </is>
      </c>
      <c r="B5815" t="inlineStr">
        <is>
          <t>Disney Frozen Children Eau De Toilette Natural Perfume Spray - Vegan</t>
        </is>
      </c>
      <c r="C5815" t="inlineStr">
        <is>
          <t>Eau De Toilette</t>
        </is>
      </c>
      <c r="D5815" t="inlineStr">
        <is>
          <t>Air Val</t>
        </is>
      </c>
      <c r="E5815" t="n">
        <v>6.6</v>
      </c>
      <c r="F5815" t="n">
        <v>1</v>
      </c>
      <c r="G5815" t="n">
        <v>22</v>
      </c>
      <c r="H5815" s="5">
        <f>HYPERLINK("https://api.qogita.com/variants/link/8411114085791/", "View Product")</f>
        <v/>
      </c>
    </row>
    <row r="5816">
      <c r="A5816" t="inlineStr">
        <is>
          <t>8411114087726</t>
        </is>
      </c>
      <c r="B5816" t="inlineStr">
        <is>
          <t>Ep Line Captain America Eau De Toilette Spray 100ml Set With Shower Gel And Backpack</t>
        </is>
      </c>
      <c r="C5816" t="inlineStr">
        <is>
          <t>Fragrance Sets</t>
        </is>
      </c>
      <c r="D5816" t="inlineStr">
        <is>
          <t>Marvel</t>
        </is>
      </c>
      <c r="E5816" t="n">
        <v>26.56</v>
      </c>
      <c r="F5816" t="n">
        <v>1</v>
      </c>
      <c r="G5816" t="n">
        <v>15</v>
      </c>
      <c r="H5816" s="5">
        <f>HYPERLINK("https://api.qogita.com/variants/link/8411114087726/", "View Product")</f>
        <v/>
      </c>
    </row>
    <row r="5817">
      <c r="A5817" t="inlineStr">
        <is>
          <t>8411114094755</t>
        </is>
      </c>
      <c r="B5817" t="inlineStr">
        <is>
          <t>Ep Line Disney Frozen Body Spray 200 Ml Shower Gel And Shampoo 2 In 1 400 Ml</t>
        </is>
      </c>
      <c r="C5817" t="inlineStr">
        <is>
          <t>Shower Gel</t>
        </is>
      </c>
      <c r="D5817" t="inlineStr">
        <is>
          <t>Ep Line</t>
        </is>
      </c>
      <c r="E5817" t="n">
        <v>10.5</v>
      </c>
      <c r="F5817" t="n">
        <v>1</v>
      </c>
      <c r="G5817" t="n">
        <v>16</v>
      </c>
      <c r="H5817" s="5">
        <f>HYPERLINK("https://api.qogita.com/variants/link/8411114094755/", "View Product")</f>
        <v/>
      </c>
    </row>
    <row r="5818">
      <c r="A5818" t="inlineStr">
        <is>
          <t>8411135005297</t>
        </is>
      </c>
      <c r="B5818" t="inlineStr">
        <is>
          <t>Lactovit Men Lactourea 3-in-1 Shower Gel for Face Body and Hair 16.9 Fl Oz</t>
        </is>
      </c>
      <c r="C5818" t="inlineStr">
        <is>
          <t>Shower Gel</t>
        </is>
      </c>
      <c r="D5818" t="inlineStr">
        <is>
          <t>Lactovit</t>
        </is>
      </c>
      <c r="E5818" t="n">
        <v>3.74</v>
      </c>
      <c r="F5818" t="n">
        <v>1</v>
      </c>
      <c r="G5818" t="n">
        <v>7</v>
      </c>
      <c r="H5818" s="5">
        <f>HYPERLINK("https://api.qogita.com/variants/link/8411135005297/", "View Product")</f>
        <v/>
      </c>
    </row>
    <row r="5819">
      <c r="A5819" t="inlineStr">
        <is>
          <t>8411135006881</t>
        </is>
      </c>
      <c r="B5819" t="inlineStr">
        <is>
          <t>Ecran Sunnique Broncea+ Mist Protect SPF50 250ml</t>
        </is>
      </c>
      <c r="C5819" t="inlineStr">
        <is>
          <t>Body Sun Protection</t>
        </is>
      </c>
      <c r="D5819" t="inlineStr">
        <is>
          <t>Ecran</t>
        </is>
      </c>
      <c r="E5819" t="n">
        <v>13.25</v>
      </c>
      <c r="F5819" t="n">
        <v>1</v>
      </c>
      <c r="G5819" t="n">
        <v>5</v>
      </c>
      <c r="H5819" s="5">
        <f>HYPERLINK("https://api.qogita.com/variants/link/8411135006881/", "View Product")</f>
        <v/>
      </c>
    </row>
    <row r="5820">
      <c r="A5820" t="inlineStr">
        <is>
          <t>8411135007079</t>
        </is>
      </c>
      <c r="B5820" t="inlineStr">
        <is>
          <t>Sunscreen Sport SPF 50 270ml</t>
        </is>
      </c>
      <c r="C5820" t="inlineStr">
        <is>
          <t>Body Sun Protection</t>
        </is>
      </c>
      <c r="D5820" t="inlineStr">
        <is>
          <t>Ecran</t>
        </is>
      </c>
      <c r="E5820" t="n">
        <v>11.06</v>
      </c>
      <c r="F5820" t="n">
        <v>1</v>
      </c>
      <c r="G5820" t="n">
        <v>5</v>
      </c>
      <c r="H5820" s="5">
        <f>HYPERLINK("https://api.qogita.com/variants/link/8411135007079/", "View Product")</f>
        <v/>
      </c>
    </row>
    <row r="5821">
      <c r="A5821" t="inlineStr">
        <is>
          <t>8413144541124</t>
        </is>
      </c>
      <c r="B5821" t="inlineStr">
        <is>
          <t>Women'secret Eau My Secret Perfume for Women Eau De Toilette 100ml</t>
        </is>
      </c>
      <c r="C5821" t="inlineStr">
        <is>
          <t>Eau De Toilette</t>
        </is>
      </c>
      <c r="D5821" t="inlineStr">
        <is>
          <t>Women'secret</t>
        </is>
      </c>
      <c r="E5821" t="n">
        <v>13.91</v>
      </c>
      <c r="F5821" t="n">
        <v>1</v>
      </c>
      <c r="G5821" t="n">
        <v>7</v>
      </c>
      <c r="H5821" s="5">
        <f>HYPERLINK("https://api.qogita.com/variants/link/8413144541124/", "View Product")</f>
        <v/>
      </c>
    </row>
    <row r="5822">
      <c r="A5822" t="inlineStr">
        <is>
          <t>8413161017022</t>
        </is>
      </c>
      <c r="B5822" t="inlineStr">
        <is>
          <t>Pret A Porter Eau De Toilette Spray 50 Ml</t>
        </is>
      </c>
      <c r="C5822" t="inlineStr">
        <is>
          <t>Eau De Toilette</t>
        </is>
      </c>
      <c r="D5822" t="inlineStr">
        <is>
          <t>Pret-A-Porter</t>
        </is>
      </c>
      <c r="E5822" t="n">
        <v>3.83</v>
      </c>
      <c r="F5822" t="n">
        <v>1</v>
      </c>
      <c r="G5822" t="n">
        <v>147</v>
      </c>
      <c r="H5822" s="5">
        <f>HYPERLINK("https://api.qogita.com/variants/link/8413161017022/", "View Product")</f>
        <v/>
      </c>
    </row>
    <row r="5823">
      <c r="A5823" t="inlineStr">
        <is>
          <t>8414135001290</t>
        </is>
      </c>
      <c r="B5823" t="inlineStr">
        <is>
          <t>Nike Ultra Pink Woman Gift Set Edt 100 Ml, Shower Gel 75 Ml, And Body Lotion 75 Ml</t>
        </is>
      </c>
      <c r="C5823" t="inlineStr">
        <is>
          <t>Fragrance Sets</t>
        </is>
      </c>
      <c r="D5823" t="inlineStr">
        <is>
          <t>Nike</t>
        </is>
      </c>
      <c r="E5823" t="n">
        <v>13.74</v>
      </c>
      <c r="F5823" t="n">
        <v>1</v>
      </c>
      <c r="G5823" t="n">
        <v>2</v>
      </c>
      <c r="H5823" s="5">
        <f>HYPERLINK("https://api.qogita.com/variants/link/8414135001290/", "View Product")</f>
        <v/>
      </c>
    </row>
    <row r="5824">
      <c r="A5824" t="inlineStr">
        <is>
          <t>8414135002310</t>
        </is>
      </c>
      <c r="B5824" t="inlineStr">
        <is>
          <t>Nike A Sparkling Day Woman Rollon Deodorant 50ml</t>
        </is>
      </c>
      <c r="C5824" t="inlineStr">
        <is>
          <t>Deodorant &amp; Anti-Perspirant</t>
        </is>
      </c>
      <c r="D5824" t="inlineStr">
        <is>
          <t>Nike</t>
        </is>
      </c>
      <c r="E5824" t="n">
        <v>6.4</v>
      </c>
      <c r="F5824" t="n">
        <v>1</v>
      </c>
      <c r="G5824" t="n">
        <v>992</v>
      </c>
      <c r="H5824" s="5">
        <f>HYPERLINK("https://api.qogita.com/variants/link/8414135002310/", "View Product")</f>
        <v/>
      </c>
    </row>
    <row r="5825">
      <c r="A5825" t="inlineStr">
        <is>
          <t>8414135623256</t>
        </is>
      </c>
      <c r="B5825" t="inlineStr">
        <is>
          <t>Nike On Fire Deodorant for Men 200ml - Anti-Stain</t>
        </is>
      </c>
      <c r="C5825" t="inlineStr">
        <is>
          <t>Deodorant &amp; Anti-Perspirant</t>
        </is>
      </c>
      <c r="D5825" t="inlineStr">
        <is>
          <t>Nike</t>
        </is>
      </c>
      <c r="E5825" t="n">
        <v>2.3</v>
      </c>
      <c r="F5825" t="n">
        <v>1</v>
      </c>
      <c r="G5825" t="n">
        <v>25</v>
      </c>
      <c r="H5825" s="5">
        <f>HYPERLINK("https://api.qogita.com/variants/link/8414135623256/", "View Product")</f>
        <v/>
      </c>
    </row>
    <row r="5826">
      <c r="A5826" t="inlineStr">
        <is>
          <t>8414135854162</t>
        </is>
      </c>
      <c r="B5826" t="inlineStr">
        <is>
          <t>Indigo Deodorant Spray For Men, 200ml</t>
        </is>
      </c>
      <c r="C5826" t="inlineStr">
        <is>
          <t>Deodorant &amp; Anti-Perspirant</t>
        </is>
      </c>
      <c r="D5826" t="inlineStr">
        <is>
          <t>Indigo</t>
        </is>
      </c>
      <c r="E5826" t="n">
        <v>2.72</v>
      </c>
      <c r="F5826" t="n">
        <v>1</v>
      </c>
      <c r="G5826" t="n">
        <v>20</v>
      </c>
      <c r="H5826" s="5">
        <f>HYPERLINK("https://api.qogita.com/variants/link/8414135854162/", "View Product")</f>
        <v/>
      </c>
    </row>
    <row r="5827">
      <c r="A5827" t="inlineStr">
        <is>
          <t>8414135854193</t>
        </is>
      </c>
      <c r="B5827" t="inlineStr">
        <is>
          <t>Nike Fragrances Pink Woman Deospray 200 Ml</t>
        </is>
      </c>
      <c r="C5827" t="inlineStr">
        <is>
          <t>Deodorant &amp; Anti-Perspirant</t>
        </is>
      </c>
      <c r="D5827" t="inlineStr">
        <is>
          <t>Nike</t>
        </is>
      </c>
      <c r="E5827" t="n">
        <v>2.89</v>
      </c>
      <c r="F5827" t="n">
        <v>1</v>
      </c>
      <c r="G5827" t="n">
        <v>6</v>
      </c>
      <c r="H5827" s="5">
        <f>HYPERLINK("https://api.qogita.com/variants/link/8414135854193/", "View Product")</f>
        <v/>
      </c>
    </row>
    <row r="5828">
      <c r="A5828" t="inlineStr">
        <is>
          <t>8414135877673</t>
        </is>
      </c>
      <c r="B5828" t="inlineStr">
        <is>
          <t>Antonio Puig Sportsman Eau De Toilette 250 Ml</t>
        </is>
      </c>
      <c r="C5828" t="inlineStr">
        <is>
          <t>Eau De Toilette</t>
        </is>
      </c>
      <c r="D5828" t="inlineStr">
        <is>
          <t>Antonio Puig</t>
        </is>
      </c>
      <c r="E5828" t="n">
        <v>11.32</v>
      </c>
      <c r="F5828" t="n">
        <v>1</v>
      </c>
      <c r="G5828" t="n">
        <v>23</v>
      </c>
      <c r="H5828" s="5">
        <f>HYPERLINK("https://api.qogita.com/variants/link/8414135877673/", "View Product")</f>
        <v/>
      </c>
    </row>
    <row r="5829">
      <c r="A5829" t="inlineStr">
        <is>
          <t>8423146001045</t>
        </is>
      </c>
      <c r="B5829" t="inlineStr">
        <is>
          <t>Philip B Round Hairbrush</t>
        </is>
      </c>
      <c r="C5829" t="inlineStr">
        <is>
          <t>Round Brushes</t>
        </is>
      </c>
      <c r="D5829" t="inlineStr">
        <is>
          <t>Philip B</t>
        </is>
      </c>
      <c r="E5829" t="n">
        <v>69.2</v>
      </c>
      <c r="F5829" t="n">
        <v>1</v>
      </c>
      <c r="G5829" t="n">
        <v>2</v>
      </c>
      <c r="H5829" s="5">
        <f>HYPERLINK("https://api.qogita.com/variants/link/8423146001045/", "View Product")</f>
        <v/>
      </c>
    </row>
    <row r="5830">
      <c r="A5830" t="inlineStr">
        <is>
          <t>8424405009543</t>
        </is>
      </c>
      <c r="B5830" t="inlineStr">
        <is>
          <t>Cereria Moll Raspberry And Black Vanilla Car Fragrance</t>
        </is>
      </c>
      <c r="C5830" t="inlineStr">
        <is>
          <t>Diffusers</t>
        </is>
      </c>
      <c r="D5830" t="inlineStr">
        <is>
          <t>Cereria Molla</t>
        </is>
      </c>
      <c r="E5830" t="n">
        <v>13.1</v>
      </c>
      <c r="F5830" t="n">
        <v>1</v>
      </c>
      <c r="G5830" t="n">
        <v>7</v>
      </c>
      <c r="H5830" s="5">
        <f>HYPERLINK("https://api.qogita.com/variants/link/8424405009543/", "View Product")</f>
        <v/>
      </c>
    </row>
    <row r="5831">
      <c r="A5831" t="inlineStr">
        <is>
          <t>8424405009567</t>
        </is>
      </c>
      <c r="B5831" t="inlineStr">
        <is>
          <t>Cereria Moll Mediterranean Blue Car Fragrance</t>
        </is>
      </c>
      <c r="C5831" t="inlineStr">
        <is>
          <t>Diffusers</t>
        </is>
      </c>
      <c r="D5831" t="inlineStr">
        <is>
          <t>Cereria Molla</t>
        </is>
      </c>
      <c r="E5831" t="n">
        <v>13.1</v>
      </c>
      <c r="F5831" t="n">
        <v>1</v>
      </c>
      <c r="G5831" t="n">
        <v>23</v>
      </c>
      <c r="H5831" s="5">
        <f>HYPERLINK("https://api.qogita.com/variants/link/8424405009567/", "View Product")</f>
        <v/>
      </c>
    </row>
    <row r="5832">
      <c r="A5832" t="inlineStr">
        <is>
          <t>8424405011232</t>
        </is>
      </c>
      <c r="B5832" t="inlineStr">
        <is>
          <t>Cereria Molla Scented Bar Soap</t>
        </is>
      </c>
      <c r="C5832" t="inlineStr">
        <is>
          <t>Soap</t>
        </is>
      </c>
      <c r="D5832" t="inlineStr">
        <is>
          <t>Cereria Molla</t>
        </is>
      </c>
      <c r="E5832" t="n">
        <v>8.19</v>
      </c>
      <c r="F5832" t="n">
        <v>1</v>
      </c>
      <c r="G5832" t="n">
        <v>17</v>
      </c>
      <c r="H5832" s="5">
        <f>HYPERLINK("https://api.qogita.com/variants/link/8424405011232/", "View Product")</f>
        <v/>
      </c>
    </row>
    <row r="5833">
      <c r="A5833" t="inlineStr">
        <is>
          <t>8425284221408</t>
        </is>
      </c>
      <c r="B5833" t="inlineStr">
        <is>
          <t>Tot Herba Almond Oil 100 Ml</t>
        </is>
      </c>
      <c r="C5833" t="inlineStr">
        <is>
          <t>Body Oil</t>
        </is>
      </c>
      <c r="D5833" t="inlineStr">
        <is>
          <t>Tot Herba</t>
        </is>
      </c>
      <c r="E5833" t="n">
        <v>5.27</v>
      </c>
      <c r="F5833" t="n">
        <v>1</v>
      </c>
      <c r="G5833" t="n">
        <v>2</v>
      </c>
      <c r="H5833" s="5">
        <f>HYPERLINK("https://api.qogita.com/variants/link/8425284221408/", "View Product")</f>
        <v/>
      </c>
    </row>
    <row r="5834">
      <c r="A5834" t="inlineStr">
        <is>
          <t>8427395650207</t>
        </is>
      </c>
      <c r="B5834" t="inlineStr">
        <is>
          <t>Angel Schlesser Femme Eau De Toilette Spray 100ml</t>
        </is>
      </c>
      <c r="C5834" t="inlineStr">
        <is>
          <t>Eau De Toilette</t>
        </is>
      </c>
      <c r="D5834" t="inlineStr">
        <is>
          <t>Angel Schlesser</t>
        </is>
      </c>
      <c r="E5834" t="n">
        <v>39.18</v>
      </c>
      <c r="F5834" t="n">
        <v>1</v>
      </c>
      <c r="G5834" t="n">
        <v>18</v>
      </c>
      <c r="H5834" s="5">
        <f>HYPERLINK("https://api.qogita.com/variants/link/8427395650207/", "View Product")</f>
        <v/>
      </c>
    </row>
    <row r="5835">
      <c r="A5835" t="inlineStr">
        <is>
          <t>8427395660107</t>
        </is>
      </c>
      <c r="B5835" t="inlineStr">
        <is>
          <t>Angel Schlesser Eau de Toilette for Men 75ml</t>
        </is>
      </c>
      <c r="C5835" t="inlineStr">
        <is>
          <t>Eau De Toilette</t>
        </is>
      </c>
      <c r="D5835" t="inlineStr">
        <is>
          <t>Angel Schlesser</t>
        </is>
      </c>
      <c r="E5835" t="n">
        <v>15.01</v>
      </c>
      <c r="F5835" t="n">
        <v>1</v>
      </c>
      <c r="G5835" t="n">
        <v>3</v>
      </c>
      <c r="H5835" s="5">
        <f>HYPERLINK("https://api.qogita.com/variants/link/8427395660107/", "View Product")</f>
        <v/>
      </c>
    </row>
    <row r="5836">
      <c r="A5836" t="inlineStr">
        <is>
          <t>8427395680204</t>
        </is>
      </c>
      <c r="B5836" t="inlineStr">
        <is>
          <t>Angel Schlesser Essential For Men Eau De Toilette Spray 100ml</t>
        </is>
      </c>
      <c r="C5836" t="inlineStr">
        <is>
          <t>Eau De Toilette</t>
        </is>
      </c>
      <c r="D5836" t="inlineStr">
        <is>
          <t>Angel Schlesser</t>
        </is>
      </c>
      <c r="E5836" t="n">
        <v>21.01</v>
      </c>
      <c r="F5836" t="n">
        <v>1</v>
      </c>
      <c r="G5836" t="n">
        <v>13</v>
      </c>
      <c r="H5836" s="5">
        <f>HYPERLINK("https://api.qogita.com/variants/link/8427395680204/", "View Product")</f>
        <v/>
      </c>
    </row>
    <row r="5837">
      <c r="A5837" t="inlineStr">
        <is>
          <t>8427395900203</t>
        </is>
      </c>
      <c r="B5837" t="inlineStr">
        <is>
          <t>Armand Basi Homme Edt Spray 4.2 Oz</t>
        </is>
      </c>
      <c r="C5837" t="inlineStr">
        <is>
          <t>Eau De Toilette</t>
        </is>
      </c>
      <c r="D5837" t="inlineStr">
        <is>
          <t>Armand Basi</t>
        </is>
      </c>
      <c r="E5837" t="n">
        <v>22.67</v>
      </c>
      <c r="F5837" t="n">
        <v>1</v>
      </c>
      <c r="G5837" t="n">
        <v>10</v>
      </c>
      <c r="H5837" s="5">
        <f>HYPERLINK("https://api.qogita.com/variants/link/8427395900203/", "View Product")</f>
        <v/>
      </c>
    </row>
    <row r="5838">
      <c r="A5838" t="inlineStr">
        <is>
          <t>8427395950208</t>
        </is>
      </c>
      <c r="B5838" t="inlineStr">
        <is>
          <t>Armand Basi In Blue Eau De Toilette For Men 100ml Spray</t>
        </is>
      </c>
      <c r="C5838" t="inlineStr">
        <is>
          <t>Eau De Toilette</t>
        </is>
      </c>
      <c r="D5838" t="inlineStr">
        <is>
          <t>Armand Basi</t>
        </is>
      </c>
      <c r="E5838" t="n">
        <v>22.71</v>
      </c>
      <c r="F5838" t="n">
        <v>1</v>
      </c>
      <c r="G5838" t="n">
        <v>7</v>
      </c>
      <c r="H5838" s="5">
        <f>HYPERLINK("https://api.qogita.com/variants/link/8427395950208/", "View Product")</f>
        <v/>
      </c>
    </row>
    <row r="5839">
      <c r="A5839" t="inlineStr">
        <is>
          <t>8427395980281</t>
        </is>
      </c>
      <c r="B5839" t="inlineStr">
        <is>
          <t>Mandarina Duck Pure Black Eau De Toilette Spray 100ml For Men</t>
        </is>
      </c>
      <c r="C5839" t="inlineStr">
        <is>
          <t>Eau De Toilette</t>
        </is>
      </c>
      <c r="D5839" t="inlineStr">
        <is>
          <t>Mandarina Duck</t>
        </is>
      </c>
      <c r="E5839" t="n">
        <v>18.53</v>
      </c>
      <c r="F5839" t="n">
        <v>1</v>
      </c>
      <c r="G5839" t="n">
        <v>40</v>
      </c>
      <c r="H5839" s="5">
        <f>HYPERLINK("https://api.qogita.com/variants/link/8427395980281/", "View Product")</f>
        <v/>
      </c>
    </row>
    <row r="5840">
      <c r="A5840" t="inlineStr">
        <is>
          <t>8429420306868</t>
        </is>
      </c>
      <c r="B5840" t="inlineStr">
        <is>
          <t>Isdin Fotoprotector Pediatrics Fusion Water Magic Sunscreen For Children Spf50 50ml</t>
        </is>
      </c>
      <c r="C5840" t="inlineStr">
        <is>
          <t>Sun Protection For Children</t>
        </is>
      </c>
      <c r="D5840" t="inlineStr">
        <is>
          <t>ISDIN</t>
        </is>
      </c>
      <c r="E5840" t="n">
        <v>24.59</v>
      </c>
      <c r="F5840" t="n">
        <v>1</v>
      </c>
      <c r="G5840" t="n">
        <v>5</v>
      </c>
      <c r="H5840" s="5">
        <f>HYPERLINK("https://api.qogita.com/variants/link/8429420306868/", "View Product")</f>
        <v/>
      </c>
    </row>
    <row r="5841">
      <c r="A5841" t="inlineStr">
        <is>
          <t>8429421430043</t>
        </is>
      </c>
      <c r="B5841" t="inlineStr">
        <is>
          <t>Lakme K Therapy Bio Argan Shampoo 300ml</t>
        </is>
      </c>
      <c r="C5841" t="inlineStr">
        <is>
          <t>Shampoo</t>
        </is>
      </c>
      <c r="D5841" t="inlineStr">
        <is>
          <t>Lakmé</t>
        </is>
      </c>
      <c r="E5841" t="n">
        <v>9.75</v>
      </c>
      <c r="F5841" t="n">
        <v>1</v>
      </c>
      <c r="G5841" t="n">
        <v>48</v>
      </c>
      <c r="H5841" s="5">
        <f>HYPERLINK("https://api.qogita.com/variants/link/8429421430043/", "View Product")</f>
        <v/>
      </c>
    </row>
    <row r="5842">
      <c r="A5842" t="inlineStr">
        <is>
          <t>8429421430128</t>
        </is>
      </c>
      <c r="B5842" t="inlineStr">
        <is>
          <t>Lakme K.Therapy Active Prevention Hair Loss Shampoo 300ml</t>
        </is>
      </c>
      <c r="C5842" t="inlineStr">
        <is>
          <t>Shampoo</t>
        </is>
      </c>
      <c r="D5842" t="inlineStr">
        <is>
          <t>Lakmé</t>
        </is>
      </c>
      <c r="E5842" t="n">
        <v>6.62</v>
      </c>
      <c r="F5842" t="n">
        <v>1</v>
      </c>
      <c r="G5842" t="n">
        <v>4</v>
      </c>
      <c r="H5842" s="5">
        <f>HYPERLINK("https://api.qogita.com/variants/link/8429421430128/", "View Product")</f>
        <v/>
      </c>
    </row>
    <row r="5843">
      <c r="A5843" t="inlineStr">
        <is>
          <t>8429421430630</t>
        </is>
      </c>
      <c r="B5843" t="inlineStr">
        <is>
          <t>Lakme k.therapy Active Fortifying Mask 1000ml</t>
        </is>
      </c>
      <c r="C5843" t="inlineStr">
        <is>
          <t>Hair Masks</t>
        </is>
      </c>
      <c r="D5843" t="inlineStr">
        <is>
          <t>Kérastase</t>
        </is>
      </c>
      <c r="E5843" t="n">
        <v>24.66</v>
      </c>
      <c r="F5843" t="n">
        <v>1</v>
      </c>
      <c r="G5843" t="n">
        <v>3</v>
      </c>
      <c r="H5843" s="5">
        <f>HYPERLINK("https://api.qogita.com/variants/link/8429421430630/", "View Product")</f>
        <v/>
      </c>
    </row>
    <row r="5844">
      <c r="A5844" t="inlineStr">
        <is>
          <t>8429421434126</t>
        </is>
      </c>
      <c r="B5844" t="inlineStr">
        <is>
          <t>Lakme Shampoos</t>
        </is>
      </c>
      <c r="C5844" t="inlineStr">
        <is>
          <t>Shampoo</t>
        </is>
      </c>
      <c r="D5844" t="inlineStr">
        <is>
          <t>Lakmé</t>
        </is>
      </c>
      <c r="E5844" t="n">
        <v>7.49</v>
      </c>
      <c r="F5844" t="n">
        <v>1</v>
      </c>
      <c r="G5844" t="n">
        <v>22</v>
      </c>
      <c r="H5844" s="5">
        <f>HYPERLINK("https://api.qogita.com/variants/link/8429421434126/", "View Product")</f>
        <v/>
      </c>
    </row>
    <row r="5845">
      <c r="A5845" t="inlineStr">
        <is>
          <t>8429421434225</t>
        </is>
      </c>
      <c r="B5845" t="inlineStr">
        <is>
          <t>Lakme k.therapy Repair Concentrate 8x8ml</t>
        </is>
      </c>
      <c r="C5845" t="inlineStr">
        <is>
          <t>Hair Oil &amp; Hair Serum</t>
        </is>
      </c>
      <c r="D5845" t="inlineStr">
        <is>
          <t>L'Apogée</t>
        </is>
      </c>
      <c r="E5845" t="n">
        <v>22.05</v>
      </c>
      <c r="F5845" t="n">
        <v>1</v>
      </c>
      <c r="G5845" t="n">
        <v>3</v>
      </c>
      <c r="H5845" s="5">
        <f>HYPERLINK("https://api.qogita.com/variants/link/8429421434225/", "View Product")</f>
        <v/>
      </c>
    </row>
    <row r="5846">
      <c r="A5846" t="inlineStr">
        <is>
          <t>8429421434324</t>
        </is>
      </c>
      <c r="B5846" t="inlineStr">
        <is>
          <t>Lakme K.Therapy Repair Repairing Gel 1 Ounce</t>
        </is>
      </c>
      <c r="C5846" t="inlineStr">
        <is>
          <t>Gel</t>
        </is>
      </c>
      <c r="D5846" t="inlineStr">
        <is>
          <t>Lakmé</t>
        </is>
      </c>
      <c r="E5846" t="n">
        <v>12.13</v>
      </c>
      <c r="F5846" t="n">
        <v>1</v>
      </c>
      <c r="G5846" t="n">
        <v>5</v>
      </c>
      <c r="H5846" s="5">
        <f>HYPERLINK("https://api.qogita.com/variants/link/8429421434324/", "View Product")</f>
        <v/>
      </c>
    </row>
    <row r="5847">
      <c r="A5847" t="inlineStr">
        <is>
          <t>8429421435123</t>
        </is>
      </c>
      <c r="B5847" t="inlineStr">
        <is>
          <t>Lakme K Therapy Repair Fluid Nourishing Hair Fluid 300ml</t>
        </is>
      </c>
      <c r="C5847" t="inlineStr">
        <is>
          <t>Hair Oil &amp; Hair Serum</t>
        </is>
      </c>
      <c r="D5847" t="inlineStr">
        <is>
          <t>Lakmé</t>
        </is>
      </c>
      <c r="E5847" t="n">
        <v>8.26</v>
      </c>
      <c r="F5847" t="n">
        <v>1</v>
      </c>
      <c r="G5847" t="n">
        <v>10</v>
      </c>
      <c r="H5847" s="5">
        <f>HYPERLINK("https://api.qogita.com/variants/link/8429421435123/", "View Product")</f>
        <v/>
      </c>
    </row>
    <row r="5848">
      <c r="A5848" t="inlineStr">
        <is>
          <t>8429421436120</t>
        </is>
      </c>
      <c r="B5848" t="inlineStr">
        <is>
          <t>Lakme K.Therapy Peeling Shampoo Dandruff Hair Fatty 300ml</t>
        </is>
      </c>
      <c r="C5848" t="inlineStr">
        <is>
          <t>Shampoo</t>
        </is>
      </c>
      <c r="D5848" t="inlineStr">
        <is>
          <t>Lakmé</t>
        </is>
      </c>
      <c r="E5848" t="n">
        <v>6.52</v>
      </c>
      <c r="F5848" t="n">
        <v>1</v>
      </c>
      <c r="G5848" t="n">
        <v>3</v>
      </c>
      <c r="H5848" s="5">
        <f>HYPERLINK("https://api.qogita.com/variants/link/8429421436120/", "View Product")</f>
        <v/>
      </c>
    </row>
    <row r="5849">
      <c r="A5849" t="inlineStr">
        <is>
          <t>8429421442817</t>
        </is>
      </c>
      <c r="B5849" t="inlineStr">
        <is>
          <t>LAKMÉ Teknia Violet Lavender Mask Refresh 1000ml</t>
        </is>
      </c>
      <c r="C5849" t="inlineStr">
        <is>
          <t>Hair Masks</t>
        </is>
      </c>
      <c r="D5849" t="inlineStr">
        <is>
          <t>Lakmé</t>
        </is>
      </c>
      <c r="E5849" t="n">
        <v>31.61</v>
      </c>
      <c r="F5849" t="n">
        <v>1</v>
      </c>
      <c r="G5849" t="n">
        <v>3</v>
      </c>
      <c r="H5849" s="5">
        <f>HYPERLINK("https://api.qogita.com/variants/link/8429421442817/", "View Product")</f>
        <v/>
      </c>
    </row>
    <row r="5850">
      <c r="A5850" t="inlineStr">
        <is>
          <t>8429421443531</t>
        </is>
      </c>
      <c r="B5850" t="inlineStr">
        <is>
          <t>Lakme Teknia Scalp Care Detox Gel 150ml Hair Care</t>
        </is>
      </c>
      <c r="C5850" t="inlineStr">
        <is>
          <t>Scalp Care</t>
        </is>
      </c>
      <c r="D5850" t="inlineStr">
        <is>
          <t>Lakmé</t>
        </is>
      </c>
      <c r="E5850" t="n">
        <v>9.99</v>
      </c>
      <c r="F5850" t="n">
        <v>1</v>
      </c>
      <c r="G5850" t="n">
        <v>40</v>
      </c>
      <c r="H5850" s="5">
        <f>HYPERLINK("https://api.qogita.com/variants/link/8429421443531/", "View Product")</f>
        <v/>
      </c>
    </row>
    <row r="5851">
      <c r="A5851" t="inlineStr">
        <is>
          <t>8429421443739</t>
        </is>
      </c>
      <c r="B5851" t="inlineStr">
        <is>
          <t>Lakme Vital Lotion Vegan Prevention Drop 150ml</t>
        </is>
      </c>
      <c r="C5851" t="inlineStr">
        <is>
          <t>Body Lotion</t>
        </is>
      </c>
      <c r="D5851" t="inlineStr">
        <is>
          <t>Lakmé</t>
        </is>
      </c>
      <c r="E5851" t="n">
        <v>10.16</v>
      </c>
      <c r="F5851" t="n">
        <v>1</v>
      </c>
      <c r="G5851" t="n">
        <v>6</v>
      </c>
      <c r="H5851" s="5">
        <f>HYPERLINK("https://api.qogita.com/variants/link/8429421443739/", "View Product")</f>
        <v/>
      </c>
    </row>
    <row r="5852">
      <c r="A5852" t="inlineStr">
        <is>
          <t>8429421444323</t>
        </is>
      </c>
      <c r="B5852" t="inlineStr">
        <is>
          <t>Lakme Teknia Anti-Frizz Protecteur 300ml</t>
        </is>
      </c>
      <c r="C5852" t="inlineStr">
        <is>
          <t>Uv Protection</t>
        </is>
      </c>
      <c r="D5852" t="inlineStr">
        <is>
          <t>Lakme Teknia</t>
        </is>
      </c>
      <c r="E5852" t="n">
        <v>11.8</v>
      </c>
      <c r="F5852" t="n">
        <v>1</v>
      </c>
      <c r="G5852" t="n">
        <v>3</v>
      </c>
      <c r="H5852" s="5">
        <f>HYPERLINK("https://api.qogita.com/variants/link/8429421444323/", "View Product")</f>
        <v/>
      </c>
    </row>
    <row r="5853">
      <c r="A5853" t="inlineStr">
        <is>
          <t>8429421445313</t>
        </is>
      </c>
      <c r="B5853" t="inlineStr">
        <is>
          <t>Lakme Teknia Color Stay Treatment 33.9oz</t>
        </is>
      </c>
      <c r="C5853" t="inlineStr">
        <is>
          <t>Conditioner</t>
        </is>
      </c>
      <c r="D5853" t="inlineStr">
        <is>
          <t>Lakmé</t>
        </is>
      </c>
      <c r="E5853" t="n">
        <v>32.04</v>
      </c>
      <c r="F5853" t="n">
        <v>1</v>
      </c>
      <c r="G5853" t="n">
        <v>5</v>
      </c>
      <c r="H5853" s="5">
        <f>HYPERLINK("https://api.qogita.com/variants/link/8429421445313/", "View Product")</f>
        <v/>
      </c>
    </row>
    <row r="5854">
      <c r="A5854" t="inlineStr">
        <is>
          <t>8429421447225</t>
        </is>
      </c>
      <c r="B5854" t="inlineStr">
        <is>
          <t>TKN Deep Care Conditioner 300ml</t>
        </is>
      </c>
      <c r="C5854" t="inlineStr">
        <is>
          <t>Conditioner</t>
        </is>
      </c>
      <c r="D5854" t="inlineStr">
        <is>
          <t>Tekená</t>
        </is>
      </c>
      <c r="E5854" t="n">
        <v>11.06</v>
      </c>
      <c r="F5854" t="n">
        <v>1</v>
      </c>
      <c r="G5854" t="n">
        <v>2</v>
      </c>
      <c r="H5854" s="5">
        <f>HYPERLINK("https://api.qogita.com/variants/link/8429421447225/", "View Product")</f>
        <v/>
      </c>
    </row>
    <row r="5855">
      <c r="A5855" t="inlineStr">
        <is>
          <t>8429421447324</t>
        </is>
      </c>
      <c r="B5855" t="inlineStr">
        <is>
          <t>LAKME Teknia Deep Care Mask Treatment Formula Vegan 250ml</t>
        </is>
      </c>
      <c r="C5855" t="inlineStr">
        <is>
          <t>Hair Masks</t>
        </is>
      </c>
      <c r="D5855" t="inlineStr">
        <is>
          <t>Lakmé</t>
        </is>
      </c>
      <c r="E5855" t="n">
        <v>15.27</v>
      </c>
      <c r="F5855" t="n">
        <v>1</v>
      </c>
      <c r="G5855" t="n">
        <v>2</v>
      </c>
      <c r="H5855" s="5">
        <f>HYPERLINK("https://api.qogita.com/variants/link/8429421447324/", "View Product")</f>
        <v/>
      </c>
    </row>
    <row r="5856">
      <c r="A5856" t="inlineStr">
        <is>
          <t>8429421448314</t>
        </is>
      </c>
      <c r="B5856" t="inlineStr">
        <is>
          <t>Lakme Teknia Argan Oil Treatment 33.9oz</t>
        </is>
      </c>
      <c r="C5856" t="inlineStr">
        <is>
          <t>Hair Oil &amp; Hair Serum</t>
        </is>
      </c>
      <c r="D5856" t="inlineStr">
        <is>
          <t>Lakmé</t>
        </is>
      </c>
      <c r="E5856" t="n">
        <v>37.94</v>
      </c>
      <c r="F5856" t="n">
        <v>1</v>
      </c>
      <c r="G5856" t="n">
        <v>8</v>
      </c>
      <c r="H5856" s="5">
        <f>HYPERLINK("https://api.qogita.com/variants/link/8429421448314/", "View Product")</f>
        <v/>
      </c>
    </row>
    <row r="5857">
      <c r="A5857" t="inlineStr">
        <is>
          <t>8429421460132</t>
        </is>
      </c>
      <c r="B5857" t="inlineStr">
        <is>
          <t>Lakme Kfinish Boost Flexible Mousse - Penove Tuzidlo Pro Objem Vlasu</t>
        </is>
      </c>
      <c r="C5857" t="inlineStr">
        <is>
          <t>Mousse</t>
        </is>
      </c>
      <c r="D5857" t="inlineStr">
        <is>
          <t>Lakmé</t>
        </is>
      </c>
      <c r="E5857" t="n">
        <v>8.619999999999999</v>
      </c>
      <c r="F5857" t="n">
        <v>1</v>
      </c>
      <c r="G5857" t="n">
        <v>14</v>
      </c>
      <c r="H5857" s="5">
        <f>HYPERLINK("https://api.qogita.com/variants/link/8429421460132/", "View Product")</f>
        <v/>
      </c>
    </row>
    <row r="5858">
      <c r="A5858" t="inlineStr">
        <is>
          <t>8429421460231</t>
        </is>
      </c>
      <c r="B5858" t="inlineStr">
        <is>
          <t>Lakme Kfinish Power Strong Hold Mousse - Penove Tuzidlo Pro Silnou Fixaci</t>
        </is>
      </c>
      <c r="C5858" t="inlineStr">
        <is>
          <t>Mousse</t>
        </is>
      </c>
      <c r="D5858" t="inlineStr">
        <is>
          <t>Lakmé</t>
        </is>
      </c>
      <c r="E5858" t="n">
        <v>8.73</v>
      </c>
      <c r="F5858" t="n">
        <v>1</v>
      </c>
      <c r="G5858" t="n">
        <v>6</v>
      </c>
      <c r="H5858" s="5">
        <f>HYPERLINK("https://api.qogita.com/variants/link/8429421460231/", "View Product")</f>
        <v/>
      </c>
    </row>
    <row r="5859">
      <c r="A5859" t="inlineStr">
        <is>
          <t>8429979458742</t>
        </is>
      </c>
      <c r="B5859" t="inlineStr">
        <is>
          <t>Sesderma Oceanskin Moisturizing Serum 30ml Hydrating Skin Serum</t>
        </is>
      </c>
      <c r="C5859" t="inlineStr">
        <is>
          <t>Hydrating Serum</t>
        </is>
      </c>
      <c r="D5859" t="inlineStr">
        <is>
          <t>Sesderma</t>
        </is>
      </c>
      <c r="E5859" t="n">
        <v>34.39</v>
      </c>
      <c r="F5859" t="n">
        <v>1</v>
      </c>
      <c r="G5859" t="n">
        <v>8</v>
      </c>
      <c r="H5859" s="5">
        <f>HYPERLINK("https://api.qogita.com/variants/link/8429979458742/", "View Product")</f>
        <v/>
      </c>
    </row>
    <row r="5860">
      <c r="A5860" t="inlineStr">
        <is>
          <t>8429979483423</t>
        </is>
      </c>
      <c r="B5860" t="inlineStr">
        <is>
          <t>Sesderma Ferulac Antioxidant Facial Cream 50 Ml</t>
        </is>
      </c>
      <c r="C5860" t="inlineStr">
        <is>
          <t>Face Cream</t>
        </is>
      </c>
      <c r="D5860" t="inlineStr">
        <is>
          <t>Sesderma</t>
        </is>
      </c>
      <c r="E5860" t="n">
        <v>49.69</v>
      </c>
      <c r="F5860" t="n">
        <v>1</v>
      </c>
      <c r="G5860" t="n">
        <v>2</v>
      </c>
      <c r="H5860" s="5">
        <f>HYPERLINK("https://api.qogita.com/variants/link/8429979483423/", "View Product")</f>
        <v/>
      </c>
    </row>
    <row r="5861">
      <c r="A5861" t="inlineStr">
        <is>
          <t>8431240392181</t>
        </is>
      </c>
      <c r="B5861" t="inlineStr">
        <is>
          <t>Giorgio Armani Code Pour Homme Eau De Toilette Spray 200ml</t>
        </is>
      </c>
      <c r="C5861" t="inlineStr">
        <is>
          <t>Eau De Toilette</t>
        </is>
      </c>
      <c r="D5861" t="inlineStr">
        <is>
          <t>Giorgio Armani</t>
        </is>
      </c>
      <c r="E5861" t="n">
        <v>112.6</v>
      </c>
      <c r="F5861" t="n">
        <v>1</v>
      </c>
      <c r="G5861" t="n">
        <v>18</v>
      </c>
      <c r="H5861" s="5">
        <f>HYPERLINK("https://api.qogita.com/variants/link/8431240392181/", "View Product")</f>
        <v/>
      </c>
    </row>
    <row r="5862">
      <c r="A5862" t="inlineStr">
        <is>
          <t>8431240404488</t>
        </is>
      </c>
      <c r="B5862" t="inlineStr">
        <is>
          <t>Lancome Tresor Eau de Parfum 100ml Spray + 3 Products Set</t>
        </is>
      </c>
      <c r="C5862" t="inlineStr">
        <is>
          <t>Fragrance Sets</t>
        </is>
      </c>
      <c r="D5862" t="inlineStr">
        <is>
          <t>Lancôme</t>
        </is>
      </c>
      <c r="E5862" t="n">
        <v>120.65</v>
      </c>
      <c r="F5862" t="n">
        <v>1</v>
      </c>
      <c r="G5862" t="n">
        <v>24</v>
      </c>
      <c r="H5862" s="5">
        <f>HYPERLINK("https://api.qogita.com/variants/link/8431240404488/", "View Product")</f>
        <v/>
      </c>
    </row>
    <row r="5863">
      <c r="A5863" t="inlineStr">
        <is>
          <t>8431240411615</t>
        </is>
      </c>
      <c r="B5863" t="inlineStr">
        <is>
          <t>Armani Giorgio Armani Si Eau De Parfum Spray 150 Milliliters</t>
        </is>
      </c>
      <c r="C5863" t="inlineStr">
        <is>
          <t>Eau De Parfum</t>
        </is>
      </c>
      <c r="D5863" t="inlineStr">
        <is>
          <t>Giorgio Armani</t>
        </is>
      </c>
      <c r="E5863" t="n">
        <v>112.81</v>
      </c>
      <c r="F5863" t="n">
        <v>1</v>
      </c>
      <c r="G5863" t="n">
        <v>2</v>
      </c>
      <c r="H5863" s="5">
        <f>HYPERLINK("https://api.qogita.com/variants/link/8431240411615/", "View Product")</f>
        <v/>
      </c>
    </row>
    <row r="5864">
      <c r="A5864" t="inlineStr">
        <is>
          <t>8431754006048</t>
        </is>
      </c>
      <c r="B5864" t="inlineStr">
        <is>
          <t>Halloween Halloween Man X Eau De Toilette Spray 75ml</t>
        </is>
      </c>
      <c r="C5864" t="inlineStr">
        <is>
          <t>Eau De Toilette</t>
        </is>
      </c>
      <c r="D5864" t="inlineStr">
        <is>
          <t>Halloween</t>
        </is>
      </c>
      <c r="E5864" t="n">
        <v>25.75</v>
      </c>
      <c r="F5864" t="n">
        <v>1</v>
      </c>
      <c r="G5864" t="n">
        <v>6</v>
      </c>
      <c r="H5864" s="5">
        <f>HYPERLINK("https://api.qogita.com/variants/link/8431754006048/", "View Product")</f>
        <v/>
      </c>
    </row>
    <row r="5865">
      <c r="A5865" t="inlineStr">
        <is>
          <t>8431754502519</t>
        </is>
      </c>
      <c r="B5865" t="inlineStr">
        <is>
          <t>Jesus del Pozo Halloween Man Rock On EDT Spray 4.2 Oz</t>
        </is>
      </c>
      <c r="C5865" t="inlineStr">
        <is>
          <t>Eau De Toilette</t>
        </is>
      </c>
      <c r="D5865" t="inlineStr">
        <is>
          <t>Halloween</t>
        </is>
      </c>
      <c r="E5865" t="n">
        <v>26</v>
      </c>
      <c r="F5865" t="n">
        <v>1</v>
      </c>
      <c r="G5865" t="n">
        <v>8</v>
      </c>
      <c r="H5865" s="5">
        <f>HYPERLINK("https://api.qogita.com/variants/link/8431754502519/", "View Product")</f>
        <v/>
      </c>
    </row>
    <row r="5866">
      <c r="A5866" t="inlineStr">
        <is>
          <t>8432225091471</t>
        </is>
      </c>
      <c r="B5866" t="inlineStr">
        <is>
          <t>Revlon Revlonissimo 45 Days Conditioning Shampoo For Golden Blondes 275ml</t>
        </is>
      </c>
      <c r="C5866" t="inlineStr">
        <is>
          <t>Shampoo</t>
        </is>
      </c>
      <c r="D5866" t="inlineStr">
        <is>
          <t>Revlon</t>
        </is>
      </c>
      <c r="E5866" t="n">
        <v>6.13</v>
      </c>
      <c r="F5866" t="n">
        <v>1</v>
      </c>
      <c r="G5866" t="n">
        <v>2</v>
      </c>
      <c r="H5866" s="5">
        <f>HYPERLINK("https://api.qogita.com/variants/link/8432225091471/", "View Product")</f>
        <v/>
      </c>
    </row>
    <row r="5867">
      <c r="A5867" t="inlineStr">
        <is>
          <t>8432225096858</t>
        </is>
      </c>
      <c r="B5867" t="inlineStr">
        <is>
          <t>Revlon Style Masters Elevator Spray 300ml Strong Hold Volumizing Hairspray</t>
        </is>
      </c>
      <c r="C5867" t="inlineStr">
        <is>
          <t>Hairspray</t>
        </is>
      </c>
      <c r="D5867" t="inlineStr">
        <is>
          <t>Revlon</t>
        </is>
      </c>
      <c r="E5867" t="n">
        <v>8.65</v>
      </c>
      <c r="F5867" t="n">
        <v>1</v>
      </c>
      <c r="G5867" t="n">
        <v>41</v>
      </c>
      <c r="H5867" s="5">
        <f>HYPERLINK("https://api.qogita.com/variants/link/8432225096858/", "View Product")</f>
        <v/>
      </c>
    </row>
    <row r="5868">
      <c r="A5868" t="inlineStr">
        <is>
          <t>8432225096889</t>
        </is>
      </c>
      <c r="B5868" t="inlineStr">
        <is>
          <t>Revlon Professional Style Masters Lissaver Heat Protector Spray - 150ml</t>
        </is>
      </c>
      <c r="C5868" t="inlineStr">
        <is>
          <t>Heat Protection</t>
        </is>
      </c>
      <c r="D5868" t="inlineStr">
        <is>
          <t>Revlon</t>
        </is>
      </c>
      <c r="E5868" t="n">
        <v>8.630000000000001</v>
      </c>
      <c r="F5868" t="n">
        <v>1</v>
      </c>
      <c r="G5868" t="n">
        <v>3</v>
      </c>
      <c r="H5868" s="5">
        <f>HYPERLINK("https://api.qogita.com/variants/link/8432225096889/", "View Product")</f>
        <v/>
      </c>
    </row>
    <row r="5869">
      <c r="A5869" t="inlineStr">
        <is>
          <t>8432225113319</t>
        </is>
      </c>
      <c r="B5869" t="inlineStr">
        <is>
          <t>Equave Kids Hypoallergenic Detangling Conditioner Green Apple - 200ml</t>
        </is>
      </c>
      <c r="C5869" t="inlineStr">
        <is>
          <t>Conditioner</t>
        </is>
      </c>
      <c r="D5869" t="inlineStr">
        <is>
          <t>Equave</t>
        </is>
      </c>
      <c r="E5869" t="n">
        <v>6.74</v>
      </c>
      <c r="F5869" t="n">
        <v>1</v>
      </c>
      <c r="G5869" t="n">
        <v>32</v>
      </c>
      <c r="H5869" s="5">
        <f>HYPERLINK("https://api.qogita.com/variants/link/8432225113319/", "View Product")</f>
        <v/>
      </c>
    </row>
    <row r="5870">
      <c r="A5870" t="inlineStr">
        <is>
          <t>8432225113593</t>
        </is>
      </c>
      <c r="B5870" t="inlineStr">
        <is>
          <t>Revlon Professional Proyou The Moisturizer Shampoo For Dry Hair 350ml</t>
        </is>
      </c>
      <c r="C5870" t="inlineStr">
        <is>
          <t>Shampoo</t>
        </is>
      </c>
      <c r="D5870" t="inlineStr">
        <is>
          <t>Revlon Professional</t>
        </is>
      </c>
      <c r="E5870" t="n">
        <v>4.46</v>
      </c>
      <c r="F5870" t="n">
        <v>1</v>
      </c>
      <c r="G5870" t="n">
        <v>2</v>
      </c>
      <c r="H5870" s="5">
        <f>HYPERLINK("https://api.qogita.com/variants/link/8432225113593/", "View Product")</f>
        <v/>
      </c>
    </row>
    <row r="5871">
      <c r="A5871" t="inlineStr">
        <is>
          <t>8432225113630</t>
        </is>
      </c>
      <c r="B5871" t="inlineStr">
        <is>
          <t>Revlon Pro You The Moisturizer Hydrate Conditioner 350ml</t>
        </is>
      </c>
      <c r="C5871" t="inlineStr">
        <is>
          <t>Conditioner</t>
        </is>
      </c>
      <c r="D5871" t="inlineStr">
        <is>
          <t>Revlon</t>
        </is>
      </c>
      <c r="E5871" t="n">
        <v>3.21</v>
      </c>
      <c r="F5871" t="n">
        <v>1</v>
      </c>
      <c r="G5871" t="n">
        <v>4</v>
      </c>
      <c r="H5871" s="5">
        <f>HYPERLINK("https://api.qogita.com/variants/link/8432225113630/", "View Product")</f>
        <v/>
      </c>
    </row>
    <row r="5872">
      <c r="A5872" t="inlineStr">
        <is>
          <t>8432225113654</t>
        </is>
      </c>
      <c r="B5872" t="inlineStr">
        <is>
          <t>Revlon Proyou The Keeper Shampoo 1000ml</t>
        </is>
      </c>
      <c r="C5872" t="inlineStr">
        <is>
          <t>Shampoo</t>
        </is>
      </c>
      <c r="D5872" t="inlineStr">
        <is>
          <t>Revlon</t>
        </is>
      </c>
      <c r="E5872" t="n">
        <v>9.35</v>
      </c>
      <c r="F5872" t="n">
        <v>1</v>
      </c>
      <c r="G5872" t="n">
        <v>4</v>
      </c>
      <c r="H5872" s="5">
        <f>HYPERLINK("https://api.qogita.com/variants/link/8432225113654/", "View Product")</f>
        <v/>
      </c>
    </row>
    <row r="5873">
      <c r="A5873" t="inlineStr">
        <is>
          <t>8432225113685</t>
        </is>
      </c>
      <c r="B5873" t="inlineStr">
        <is>
          <t>Revlon Pro You The Keeper Color Care Mask 500ml</t>
        </is>
      </c>
      <c r="C5873" t="inlineStr">
        <is>
          <t>Hair Masks</t>
        </is>
      </c>
      <c r="D5873" t="inlineStr">
        <is>
          <t>Revlon Professional</t>
        </is>
      </c>
      <c r="E5873" t="n">
        <v>7.84</v>
      </c>
      <c r="F5873" t="n">
        <v>1</v>
      </c>
      <c r="G5873" t="n">
        <v>10</v>
      </c>
      <c r="H5873" s="5">
        <f>HYPERLINK("https://api.qogita.com/variants/link/8432225113685/", "View Product")</f>
        <v/>
      </c>
    </row>
    <row r="5874">
      <c r="A5874" t="inlineStr">
        <is>
          <t>8432225113708</t>
        </is>
      </c>
      <c r="B5874" t="inlineStr">
        <is>
          <t>Revlon Professional Pro You The Keeper Color Care Conditioner 350 Ml For Colored Hair</t>
        </is>
      </c>
      <c r="C5874" t="inlineStr">
        <is>
          <t>Conditioner</t>
        </is>
      </c>
      <c r="D5874" t="inlineStr">
        <is>
          <t>Revlon Professional</t>
        </is>
      </c>
      <c r="E5874" t="n">
        <v>4.89</v>
      </c>
      <c r="F5874" t="n">
        <v>1</v>
      </c>
      <c r="G5874" t="n">
        <v>4</v>
      </c>
      <c r="H5874" s="5">
        <f>HYPERLINK("https://api.qogita.com/variants/link/8432225113708/", "View Product")</f>
        <v/>
      </c>
    </row>
    <row r="5875">
      <c r="A5875" t="inlineStr">
        <is>
          <t>8432225113968</t>
        </is>
      </c>
      <c r="B5875" t="inlineStr">
        <is>
          <t>American Crew Finishing Spray 200ml</t>
        </is>
      </c>
      <c r="C5875" t="inlineStr">
        <is>
          <t>Hairspray</t>
        </is>
      </c>
      <c r="D5875" t="inlineStr">
        <is>
          <t>American Crew</t>
        </is>
      </c>
      <c r="E5875" t="n">
        <v>6.95</v>
      </c>
      <c r="F5875" t="n">
        <v>1</v>
      </c>
      <c r="G5875" t="n">
        <v>12</v>
      </c>
      <c r="H5875" s="5">
        <f>HYPERLINK("https://api.qogita.com/variants/link/8432225113968/", "View Product")</f>
        <v/>
      </c>
    </row>
    <row r="5876">
      <c r="A5876" t="inlineStr">
        <is>
          <t>8432225114385</t>
        </is>
      </c>
      <c r="B5876" t="inlineStr">
        <is>
          <t>Revlon Restart Volume Magnifying Shampoo 1000ml Micellar Shampoo For Hair Volume</t>
        </is>
      </c>
      <c r="C5876" t="inlineStr">
        <is>
          <t>Shampoo</t>
        </is>
      </c>
      <c r="D5876" t="inlineStr">
        <is>
          <t>Revlon</t>
        </is>
      </c>
      <c r="E5876" t="n">
        <v>17.45</v>
      </c>
      <c r="F5876" t="n">
        <v>1</v>
      </c>
      <c r="G5876" t="n">
        <v>6</v>
      </c>
      <c r="H5876" s="5">
        <f>HYPERLINK("https://api.qogita.com/variants/link/8432225114385/", "View Product")</f>
        <v/>
      </c>
    </row>
    <row r="5877">
      <c r="A5877" t="inlineStr">
        <is>
          <t>8432225114590</t>
        </is>
      </c>
      <c r="B5877" t="inlineStr">
        <is>
          <t>Revlon Restart Hydration Drops 50ml Antifrizz Moisturizing Serum</t>
        </is>
      </c>
      <c r="C5877" t="inlineStr">
        <is>
          <t>Hair Oil &amp; Hair Serum</t>
        </is>
      </c>
      <c r="D5877" t="inlineStr">
        <is>
          <t>Revlon</t>
        </is>
      </c>
      <c r="E5877" t="n">
        <v>9.99</v>
      </c>
      <c r="F5877" t="n">
        <v>1</v>
      </c>
      <c r="G5877" t="n">
        <v>2</v>
      </c>
      <c r="H5877" s="5">
        <f>HYPERLINK("https://api.qogita.com/variants/link/8432225114590/", "View Product")</f>
        <v/>
      </c>
    </row>
    <row r="5878">
      <c r="A5878" t="inlineStr">
        <is>
          <t>8432225114606</t>
        </is>
      </c>
      <c r="B5878" t="inlineStr">
        <is>
          <t>Revlon Professional Restart Color Protective Micellar Shampoo 1000ml For Dyed Hair</t>
        </is>
      </c>
      <c r="C5878" t="inlineStr">
        <is>
          <t>Shampoo</t>
        </is>
      </c>
      <c r="D5878" t="inlineStr">
        <is>
          <t>Revlon Professional</t>
        </is>
      </c>
      <c r="E5878" t="n">
        <v>24.01</v>
      </c>
      <c r="F5878" t="n">
        <v>1</v>
      </c>
      <c r="G5878" t="n">
        <v>5</v>
      </c>
      <c r="H5878" s="5">
        <f>HYPERLINK("https://api.qogita.com/variants/link/8432225114606/", "View Product")</f>
        <v/>
      </c>
    </row>
    <row r="5879">
      <c r="A5879" t="inlineStr">
        <is>
          <t>8432225114637</t>
        </is>
      </c>
      <c r="B5879" t="inlineStr">
        <is>
          <t>Revlon Restart Recovery Restorative Shampoo 250ml Professional Hair Care</t>
        </is>
      </c>
      <c r="C5879" t="inlineStr">
        <is>
          <t>Shampoo</t>
        </is>
      </c>
      <c r="D5879" t="inlineStr">
        <is>
          <t>Revlon</t>
        </is>
      </c>
      <c r="E5879" t="n">
        <v>10.11</v>
      </c>
      <c r="F5879" t="n">
        <v>1</v>
      </c>
      <c r="G5879" t="n">
        <v>2</v>
      </c>
      <c r="H5879" s="5">
        <f>HYPERLINK("https://api.qogita.com/variants/link/8432225114637/", "View Product")</f>
        <v/>
      </c>
    </row>
    <row r="5880">
      <c r="A5880" t="inlineStr">
        <is>
          <t>8432225114729</t>
        </is>
      </c>
      <c r="B5880" t="inlineStr">
        <is>
          <t>Revlon Professional Restart Color Protective Melting Conditioner 750ml For Dyed Hair</t>
        </is>
      </c>
      <c r="C5880" t="inlineStr">
        <is>
          <t>Conditioner</t>
        </is>
      </c>
      <c r="D5880" t="inlineStr">
        <is>
          <t>Revlon Professional</t>
        </is>
      </c>
      <c r="E5880" t="n">
        <v>24.44</v>
      </c>
      <c r="F5880" t="n">
        <v>1</v>
      </c>
      <c r="G5880" t="n">
        <v>4</v>
      </c>
      <c r="H5880" s="5">
        <f>HYPERLINK("https://api.qogita.com/variants/link/8432225114729/", "View Product")</f>
        <v/>
      </c>
    </row>
    <row r="5881">
      <c r="A5881" t="inlineStr">
        <is>
          <t>8432225114781</t>
        </is>
      </c>
      <c r="B5881" t="inlineStr">
        <is>
          <t>Revlon Professional Pro You The Setter Hairspray Medium Hold 500 Ml</t>
        </is>
      </c>
      <c r="C5881" t="inlineStr">
        <is>
          <t>Hairspray</t>
        </is>
      </c>
      <c r="D5881" t="inlineStr">
        <is>
          <t>Revlon Professional</t>
        </is>
      </c>
      <c r="E5881" t="n">
        <v>4.72</v>
      </c>
      <c r="F5881" t="n">
        <v>1</v>
      </c>
      <c r="G5881" t="n">
        <v>14</v>
      </c>
      <c r="H5881" s="5">
        <f>HYPERLINK("https://api.qogita.com/variants/link/8432225114781/", "View Product")</f>
        <v/>
      </c>
    </row>
    <row r="5882">
      <c r="A5882" t="inlineStr">
        <is>
          <t>8432225115023</t>
        </is>
      </c>
      <c r="B5882" t="inlineStr">
        <is>
          <t>Revlon Pro You The Twister Waves Beach Spray 250ml</t>
        </is>
      </c>
      <c r="C5882" t="inlineStr">
        <is>
          <t>Styling Sprays</t>
        </is>
      </c>
      <c r="D5882" t="inlineStr">
        <is>
          <t>Revlon Professional</t>
        </is>
      </c>
      <c r="E5882" t="n">
        <v>6.94</v>
      </c>
      <c r="F5882" t="n">
        <v>1</v>
      </c>
      <c r="G5882" t="n">
        <v>2</v>
      </c>
      <c r="H5882" s="5">
        <f>HYPERLINK("https://api.qogita.com/variants/link/8432225115023/", "View Product")</f>
        <v/>
      </c>
    </row>
    <row r="5883">
      <c r="A5883" t="inlineStr">
        <is>
          <t>8432225117034</t>
        </is>
      </c>
      <c r="B5883" t="inlineStr">
        <is>
          <t>Intercosmo Styling Il Magnifico 150ml</t>
        </is>
      </c>
      <c r="C5883" t="inlineStr">
        <is>
          <t>Styling Sprays</t>
        </is>
      </c>
      <c r="D5883" t="inlineStr">
        <is>
          <t>Intercosmo</t>
        </is>
      </c>
      <c r="E5883" t="n">
        <v>5.85</v>
      </c>
      <c r="F5883" t="n">
        <v>1</v>
      </c>
      <c r="G5883" t="n">
        <v>5</v>
      </c>
      <c r="H5883" s="5">
        <f>HYPERLINK("https://api.qogita.com/variants/link/8432225117034/", "View Product")</f>
        <v/>
      </c>
    </row>
    <row r="5884">
      <c r="A5884" t="inlineStr">
        <is>
          <t>8432225127514</t>
        </is>
      </c>
      <c r="B5884" t="inlineStr">
        <is>
          <t>Revlon Restart Color Protective Jelly Mask 200ml</t>
        </is>
      </c>
      <c r="C5884" t="inlineStr">
        <is>
          <t>Hydrating Mask</t>
        </is>
      </c>
      <c r="D5884" t="inlineStr">
        <is>
          <t>Revlon</t>
        </is>
      </c>
      <c r="E5884" t="n">
        <v>10.72</v>
      </c>
      <c r="F5884" t="n">
        <v>1</v>
      </c>
      <c r="G5884" t="n">
        <v>2</v>
      </c>
      <c r="H5884" s="5">
        <f>HYPERLINK("https://api.qogita.com/variants/link/8432225127514/", "View Product")</f>
        <v/>
      </c>
    </row>
    <row r="5885">
      <c r="A5885" t="inlineStr">
        <is>
          <t>8432225127859</t>
        </is>
      </c>
      <c r="B5885" t="inlineStr">
        <is>
          <t>Revlon Professional Orofluido Elixir Argan Oil Nourishing Hair Oil 100ml</t>
        </is>
      </c>
      <c r="C5885" t="inlineStr">
        <is>
          <t>Hair Oil &amp; Hair Serum</t>
        </is>
      </c>
      <c r="D5885" t="inlineStr">
        <is>
          <t>Revlon Professional</t>
        </is>
      </c>
      <c r="E5885" t="n">
        <v>11.06</v>
      </c>
      <c r="F5885" t="n">
        <v>1</v>
      </c>
      <c r="G5885" t="n">
        <v>74</v>
      </c>
      <c r="H5885" s="5">
        <f>HYPERLINK("https://api.qogita.com/variants/link/8432225127859/", "View Product")</f>
        <v/>
      </c>
    </row>
    <row r="5886">
      <c r="A5886" t="inlineStr">
        <is>
          <t>8432225127866</t>
        </is>
      </c>
      <c r="B5886" t="inlineStr">
        <is>
          <t>Revlon Professional Orofluido Radiance Argan Shampoo 240ml</t>
        </is>
      </c>
      <c r="C5886" t="inlineStr">
        <is>
          <t>Shampoo</t>
        </is>
      </c>
      <c r="D5886" t="inlineStr">
        <is>
          <t>Revlon Professional</t>
        </is>
      </c>
      <c r="E5886" t="n">
        <v>4.34</v>
      </c>
      <c r="F5886" t="n">
        <v>1</v>
      </c>
      <c r="G5886" t="n">
        <v>29</v>
      </c>
      <c r="H5886" s="5">
        <f>HYPERLINK("https://api.qogita.com/variants/link/8432225127866/", "View Product")</f>
        <v/>
      </c>
    </row>
    <row r="5887">
      <c r="A5887" t="inlineStr">
        <is>
          <t>8432225127873</t>
        </is>
      </c>
      <c r="B5887" t="inlineStr">
        <is>
          <t>Revlon Professional Orofluido Radiance Argan Shampoo With Argan Oil 1000ml</t>
        </is>
      </c>
      <c r="C5887" t="inlineStr">
        <is>
          <t>Shampoo</t>
        </is>
      </c>
      <c r="D5887" t="inlineStr">
        <is>
          <t>Revlon Professional</t>
        </is>
      </c>
      <c r="E5887" t="n">
        <v>10.7</v>
      </c>
      <c r="F5887" t="n">
        <v>1</v>
      </c>
      <c r="G5887" t="n">
        <v>150</v>
      </c>
      <c r="H5887" s="5">
        <f>HYPERLINK("https://api.qogita.com/variants/link/8432225127873/", "View Product")</f>
        <v/>
      </c>
    </row>
    <row r="5888">
      <c r="A5888" t="inlineStr">
        <is>
          <t>8432225127897</t>
        </is>
      </c>
      <c r="B5888" t="inlineStr">
        <is>
          <t>Revlon Professional Orofluido Radiance Argan Conditioner Moisturizing Hair Treatment 1000ml</t>
        </is>
      </c>
      <c r="C5888" t="inlineStr">
        <is>
          <t>Conditioner</t>
        </is>
      </c>
      <c r="D5888" t="inlineStr">
        <is>
          <t>Revlon Professional</t>
        </is>
      </c>
      <c r="E5888" t="n">
        <v>10.7</v>
      </c>
      <c r="F5888" t="n">
        <v>1</v>
      </c>
      <c r="G5888" t="n">
        <v>66</v>
      </c>
      <c r="H5888" s="5">
        <f>HYPERLINK("https://api.qogita.com/variants/link/8432225127897/", "View Product")</f>
        <v/>
      </c>
    </row>
    <row r="5889">
      <c r="A5889" t="inlineStr">
        <is>
          <t>8432225127927</t>
        </is>
      </c>
      <c r="B5889" t="inlineStr">
        <is>
          <t>Orofluido Moisturizing Body Cream - 200ml</t>
        </is>
      </c>
      <c r="C5889" t="inlineStr">
        <is>
          <t>Body Lotion</t>
        </is>
      </c>
      <c r="D5889" t="inlineStr">
        <is>
          <t>Orofluido</t>
        </is>
      </c>
      <c r="E5889" t="n">
        <v>8.960000000000001</v>
      </c>
      <c r="F5889" t="n">
        <v>1</v>
      </c>
      <c r="G5889" t="n">
        <v>9</v>
      </c>
      <c r="H5889" s="5">
        <f>HYPERLINK("https://api.qogita.com/variants/link/8432225127927/", "View Product")</f>
        <v/>
      </c>
    </row>
    <row r="5890">
      <c r="A5890" t="inlineStr">
        <is>
          <t>8432225129891</t>
        </is>
      </c>
      <c r="B5890" t="inlineStr">
        <is>
          <t>Revlon Professional Uniqone Coco Leave-In Hair Treatment</t>
        </is>
      </c>
      <c r="C5890" t="inlineStr">
        <is>
          <t>Leave-In Conditioner</t>
        </is>
      </c>
      <c r="D5890" t="inlineStr">
        <is>
          <t>Revlon Professional</t>
        </is>
      </c>
      <c r="E5890" t="n">
        <v>7.32</v>
      </c>
      <c r="F5890" t="n">
        <v>1</v>
      </c>
      <c r="G5890" t="n">
        <v>26</v>
      </c>
      <c r="H5890" s="5">
        <f>HYPERLINK("https://api.qogita.com/variants/link/8432225129891/", "View Product")</f>
        <v/>
      </c>
    </row>
    <row r="5891">
      <c r="A5891" t="inlineStr">
        <is>
          <t>8432225132839</t>
        </is>
      </c>
      <c r="B5891" t="inlineStr">
        <is>
          <t>Revlon Restart Curls Nourishing Mask 500ml For Curly And Wavy Hair</t>
        </is>
      </c>
      <c r="C5891" t="inlineStr">
        <is>
          <t>Hair Masks</t>
        </is>
      </c>
      <c r="D5891" t="inlineStr">
        <is>
          <t>Revlon</t>
        </is>
      </c>
      <c r="E5891" t="n">
        <v>18.65</v>
      </c>
      <c r="F5891" t="n">
        <v>1</v>
      </c>
      <c r="G5891" t="n">
        <v>8</v>
      </c>
      <c r="H5891" s="5">
        <f>HYPERLINK("https://api.qogita.com/variants/link/8432225132839/", "View Product")</f>
        <v/>
      </c>
    </row>
    <row r="5892">
      <c r="A5892" t="inlineStr">
        <is>
          <t>8432225132860</t>
        </is>
      </c>
      <c r="B5892" t="inlineStr">
        <is>
          <t>Revlon Professional Restart Curls Geloil Multifunctional Gel For Curly And Wavy Hair 150 Ml</t>
        </is>
      </c>
      <c r="C5892" t="inlineStr">
        <is>
          <t>Gel</t>
        </is>
      </c>
      <c r="D5892" t="inlineStr">
        <is>
          <t>Revlon Professional</t>
        </is>
      </c>
      <c r="E5892" t="n">
        <v>14.2</v>
      </c>
      <c r="F5892" t="n">
        <v>1</v>
      </c>
      <c r="G5892" t="n">
        <v>8</v>
      </c>
      <c r="H5892" s="5">
        <f>HYPERLINK("https://api.qogita.com/variants/link/8432225132860/", "View Product")</f>
        <v/>
      </c>
    </row>
    <row r="5893">
      <c r="A5893" t="inlineStr">
        <is>
          <t>8433982007590</t>
        </is>
      </c>
      <c r="B5893" t="inlineStr">
        <is>
          <t>United Colors of Benetton Purple Eau De Toilette Spray 2.7 oz 80 ml Women</t>
        </is>
      </c>
      <c r="C5893" t="inlineStr">
        <is>
          <t>Eau De Toilette</t>
        </is>
      </c>
      <c r="D5893" t="inlineStr">
        <is>
          <t>United Colors Of Benetton</t>
        </is>
      </c>
      <c r="E5893" t="n">
        <v>15.29</v>
      </c>
      <c r="F5893" t="n">
        <v>1</v>
      </c>
      <c r="G5893" t="n">
        <v>3</v>
      </c>
      <c r="H5893" s="5">
        <f>HYPERLINK("https://api.qogita.com/variants/link/8433982007590/", "View Product")</f>
        <v/>
      </c>
    </row>
    <row r="5894">
      <c r="A5894" t="inlineStr">
        <is>
          <t>8434853000986</t>
        </is>
      </c>
      <c r="B5894" t="inlineStr">
        <is>
          <t>El Ganso Ciao Bella! Eau De Toilette for Women with Floral-Citrus Scent</t>
        </is>
      </c>
      <c r="C5894" t="inlineStr">
        <is>
          <t>Eau De Toilette</t>
        </is>
      </c>
      <c r="D5894" t="inlineStr">
        <is>
          <t>El Ganso</t>
        </is>
      </c>
      <c r="E5894" t="n">
        <v>31.49</v>
      </c>
      <c r="F5894" t="n">
        <v>1</v>
      </c>
      <c r="G5894" t="n">
        <v>14</v>
      </c>
      <c r="H5894" s="5">
        <f>HYPERLINK("https://api.qogita.com/variants/link/8434853000986/", "View Product")</f>
        <v/>
      </c>
    </row>
    <row r="5895">
      <c r="A5895" t="inlineStr">
        <is>
          <t>8434853002201</t>
        </is>
      </c>
      <c r="B5895" t="inlineStr">
        <is>
          <t>El Ganso Like Father Like Son Eau De Toilette</t>
        </is>
      </c>
      <c r="C5895" t="inlineStr">
        <is>
          <t>Eau De Toilette</t>
        </is>
      </c>
      <c r="D5895" t="inlineStr">
        <is>
          <t>El Ganso</t>
        </is>
      </c>
      <c r="E5895" t="n">
        <v>25.15</v>
      </c>
      <c r="F5895" t="n">
        <v>1</v>
      </c>
      <c r="G5895" t="n">
        <v>3</v>
      </c>
      <c r="H5895" s="5">
        <f>HYPERLINK("https://api.qogita.com/variants/link/8434853002201/", "View Product")</f>
        <v/>
      </c>
    </row>
    <row r="5896">
      <c r="A5896" t="inlineStr">
        <is>
          <t>8435137727094</t>
        </is>
      </c>
      <c r="B5896" t="inlineStr">
        <is>
          <t>Prada Candy Eau De Parfum Spray 50ml</t>
        </is>
      </c>
      <c r="C5896" t="inlineStr">
        <is>
          <t>Eau De Parfum</t>
        </is>
      </c>
      <c r="D5896" t="inlineStr">
        <is>
          <t>Prada</t>
        </is>
      </c>
      <c r="E5896" t="n">
        <v>73.39</v>
      </c>
      <c r="F5896" t="n">
        <v>1</v>
      </c>
      <c r="G5896" t="n">
        <v>5</v>
      </c>
      <c r="H5896" s="5">
        <f>HYPERLINK("https://api.qogita.com/variants/link/8435137727094/", "View Product")</f>
        <v/>
      </c>
    </row>
    <row r="5897">
      <c r="A5897" t="inlineStr">
        <is>
          <t>8435137759781</t>
        </is>
      </c>
      <c r="B5897" t="inlineStr">
        <is>
          <t>Prada Luna Rossa Carbon Eau De Toilette 100ml For Men</t>
        </is>
      </c>
      <c r="C5897" t="inlineStr">
        <is>
          <t>Eau De Toilette</t>
        </is>
      </c>
      <c r="D5897" t="inlineStr">
        <is>
          <t>Prada</t>
        </is>
      </c>
      <c r="E5897" t="n">
        <v>61.35</v>
      </c>
      <c r="F5897" t="n">
        <v>1</v>
      </c>
      <c r="G5897" t="n">
        <v>20</v>
      </c>
      <c r="H5897" s="5">
        <f>HYPERLINK("https://api.qogita.com/variants/link/8435137759781/", "View Product")</f>
        <v/>
      </c>
    </row>
    <row r="5898">
      <c r="A5898" t="inlineStr">
        <is>
          <t>8435137759811</t>
        </is>
      </c>
      <c r="B5898" t="inlineStr">
        <is>
          <t>Prada Luna Rossa Carbon Eau De Toilette 50ml Men's Fragrance</t>
        </is>
      </c>
      <c r="C5898" t="inlineStr">
        <is>
          <t>Eau De Toilette</t>
        </is>
      </c>
      <c r="D5898" t="inlineStr">
        <is>
          <t>Prada</t>
        </is>
      </c>
      <c r="E5898" t="n">
        <v>50.34</v>
      </c>
      <c r="F5898" t="n">
        <v>1</v>
      </c>
      <c r="G5898" t="n">
        <v>23</v>
      </c>
      <c r="H5898" s="5">
        <f>HYPERLINK("https://api.qogita.com/variants/link/8435137759811/", "View Product")</f>
        <v/>
      </c>
    </row>
    <row r="5899">
      <c r="A5899" t="inlineStr">
        <is>
          <t>8435137764372</t>
        </is>
      </c>
      <c r="B5899" t="inlineStr">
        <is>
          <t>Prada La Femme Intense Eau De Parfum Spray 35ml</t>
        </is>
      </c>
      <c r="C5899" t="inlineStr">
        <is>
          <t>Eau De Parfum</t>
        </is>
      </c>
      <c r="D5899" t="inlineStr">
        <is>
          <t>Prada</t>
        </is>
      </c>
      <c r="E5899" t="n">
        <v>32.72</v>
      </c>
      <c r="F5899" t="n">
        <v>1</v>
      </c>
      <c r="G5899" t="n">
        <v>2</v>
      </c>
      <c r="H5899" s="5">
        <f>HYPERLINK("https://api.qogita.com/variants/link/8435137764372/", "View Product")</f>
        <v/>
      </c>
    </row>
    <row r="5900">
      <c r="A5900" t="inlineStr">
        <is>
          <t>8435137764730</t>
        </is>
      </c>
      <c r="B5900" t="inlineStr">
        <is>
          <t>Prada L'Homme Intense Eau De Parfum 100ml For Men</t>
        </is>
      </c>
      <c r="C5900" t="inlineStr">
        <is>
          <t>Eau De Parfum</t>
        </is>
      </c>
      <c r="D5900" t="inlineStr">
        <is>
          <t>Prada</t>
        </is>
      </c>
      <c r="E5900" t="n">
        <v>70.59</v>
      </c>
      <c r="F5900" t="n">
        <v>1</v>
      </c>
      <c r="G5900" t="n">
        <v>63</v>
      </c>
      <c r="H5900" s="5">
        <f>HYPERLINK("https://api.qogita.com/variants/link/8435137764730/", "View Product")</f>
        <v/>
      </c>
    </row>
    <row r="5901">
      <c r="A5901" t="inlineStr">
        <is>
          <t>8435137771455</t>
        </is>
      </c>
      <c r="B5901" t="inlineStr">
        <is>
          <t>Prada Orange Blossom Infusions Eau De Parfum Spray 100ml</t>
        </is>
      </c>
      <c r="C5901" t="inlineStr">
        <is>
          <t>Eau De Parfum</t>
        </is>
      </c>
      <c r="D5901" t="inlineStr">
        <is>
          <t>Prada</t>
        </is>
      </c>
      <c r="E5901" t="n">
        <v>98.76000000000001</v>
      </c>
      <c r="F5901" t="n">
        <v>1</v>
      </c>
      <c r="G5901" t="n">
        <v>6</v>
      </c>
      <c r="H5901" s="5">
        <f>HYPERLINK("https://api.qogita.com/variants/link/8435137771455/", "View Product")</f>
        <v/>
      </c>
    </row>
    <row r="5902">
      <c r="A5902" t="inlineStr">
        <is>
          <t>8435137772704</t>
        </is>
      </c>
      <c r="B5902" t="inlineStr">
        <is>
          <t>Prada Luna Rossa Carbon Eau De Toilette 150ml By Prada</t>
        </is>
      </c>
      <c r="C5902" t="inlineStr">
        <is>
          <t>Eau De Toilette</t>
        </is>
      </c>
      <c r="D5902" t="inlineStr">
        <is>
          <t>Prada</t>
        </is>
      </c>
      <c r="E5902" t="n">
        <v>82.34</v>
      </c>
      <c r="F5902" t="n">
        <v>1</v>
      </c>
      <c r="G5902" t="n">
        <v>9</v>
      </c>
      <c r="H5902" s="5">
        <f>HYPERLINK("https://api.qogita.com/variants/link/8435137772704/", "View Product")</f>
        <v/>
      </c>
    </row>
    <row r="5903">
      <c r="A5903" t="inlineStr">
        <is>
          <t>8435415012690</t>
        </is>
      </c>
      <c r="B5903" t="inlineStr">
        <is>
          <t>Jean Paul Gaultier Le Male Eau De Toilette Spray 200ml</t>
        </is>
      </c>
      <c r="C5903" t="inlineStr">
        <is>
          <t>Eau De Toilette</t>
        </is>
      </c>
      <c r="D5903" t="inlineStr">
        <is>
          <t>Jean-Paul Gaultier</t>
        </is>
      </c>
      <c r="E5903" t="n">
        <v>89.43000000000001</v>
      </c>
      <c r="F5903" t="n">
        <v>1</v>
      </c>
      <c r="G5903" t="n">
        <v>39</v>
      </c>
      <c r="H5903" s="5">
        <f>HYPERLINK("https://api.qogita.com/variants/link/8435415012690/", "View Product")</f>
        <v/>
      </c>
    </row>
    <row r="5904">
      <c r="A5904" t="inlineStr">
        <is>
          <t>8435415012720</t>
        </is>
      </c>
      <c r="B5904" t="inlineStr">
        <is>
          <t>Jean Paul Gaultier Le Male After Shave Balm 125ml</t>
        </is>
      </c>
      <c r="C5904" t="inlineStr">
        <is>
          <t>Aftershave</t>
        </is>
      </c>
      <c r="D5904" t="inlineStr">
        <is>
          <t>Jean-Paul Gaultier</t>
        </is>
      </c>
      <c r="E5904" t="n">
        <v>55.41</v>
      </c>
      <c r="F5904" t="n">
        <v>1</v>
      </c>
      <c r="G5904" t="n">
        <v>2</v>
      </c>
      <c r="H5904" s="5">
        <f>HYPERLINK("https://api.qogita.com/variants/link/8435415012720/", "View Product")</f>
        <v/>
      </c>
    </row>
    <row r="5905">
      <c r="A5905" t="inlineStr">
        <is>
          <t>8435415012782</t>
        </is>
      </c>
      <c r="B5905" t="inlineStr">
        <is>
          <t>Jean Paul Gaultier Le Male Soothing After Shave Balm 100ml</t>
        </is>
      </c>
      <c r="C5905" t="inlineStr">
        <is>
          <t>Aftershave</t>
        </is>
      </c>
      <c r="D5905" t="inlineStr">
        <is>
          <t>Jean-Paul Gaultier</t>
        </is>
      </c>
      <c r="E5905" t="n">
        <v>37.03</v>
      </c>
      <c r="F5905" t="n">
        <v>1</v>
      </c>
      <c r="G5905" t="n">
        <v>14</v>
      </c>
      <c r="H5905" s="5">
        <f>HYPERLINK("https://api.qogita.com/variants/link/8435415012782/", "View Product")</f>
        <v/>
      </c>
    </row>
    <row r="5906">
      <c r="A5906" t="inlineStr">
        <is>
          <t>8435415012843</t>
        </is>
      </c>
      <c r="B5906" t="inlineStr">
        <is>
          <t>Jean Paul Gaultier Le Male Deodorant Spray 150ml</t>
        </is>
      </c>
      <c r="C5906" t="inlineStr">
        <is>
          <t>Deodorant &amp; Anti-Perspirant</t>
        </is>
      </c>
      <c r="D5906" t="inlineStr">
        <is>
          <t>Jean-Paul Gaultier</t>
        </is>
      </c>
      <c r="E5906" t="n">
        <v>20.86</v>
      </c>
      <c r="F5906" t="n">
        <v>1</v>
      </c>
      <c r="G5906" t="n">
        <v>27</v>
      </c>
      <c r="H5906" s="5">
        <f>HYPERLINK("https://api.qogita.com/variants/link/8435415012843/", "View Product")</f>
        <v/>
      </c>
    </row>
    <row r="5907">
      <c r="A5907" t="inlineStr">
        <is>
          <t>8435415050753</t>
        </is>
      </c>
      <c r="B5907" t="inlineStr">
        <is>
          <t>Jean Paul Gaultier Scandal Le Parfum Eau De Parfum 50ml For Women</t>
        </is>
      </c>
      <c r="C5907" t="inlineStr">
        <is>
          <t>Eau De Parfum</t>
        </is>
      </c>
      <c r="D5907" t="inlineStr">
        <is>
          <t>Jean Paul Gaultier</t>
        </is>
      </c>
      <c r="E5907" t="n">
        <v>69.95999999999999</v>
      </c>
      <c r="F5907" t="n">
        <v>1</v>
      </c>
      <c r="G5907" t="n">
        <v>5</v>
      </c>
      <c r="H5907" s="5">
        <f>HYPERLINK("https://api.qogita.com/variants/link/8435415050753/", "View Product")</f>
        <v/>
      </c>
    </row>
    <row r="5908">
      <c r="A5908" t="inlineStr">
        <is>
          <t>8435415054041</t>
        </is>
      </c>
      <c r="B5908" t="inlineStr">
        <is>
          <t>Jean Paul Gaultier Scandal Gold Eau De Parfum 80ml</t>
        </is>
      </c>
      <c r="C5908" t="inlineStr">
        <is>
          <t>Eau De Parfum</t>
        </is>
      </c>
      <c r="D5908" t="inlineStr">
        <is>
          <t>Jean-Paul Gaultier</t>
        </is>
      </c>
      <c r="E5908" t="n">
        <v>78.81</v>
      </c>
      <c r="F5908" t="n">
        <v>1</v>
      </c>
      <c r="G5908" t="n">
        <v>5</v>
      </c>
      <c r="H5908" s="5">
        <f>HYPERLINK("https://api.qogita.com/variants/link/8435415054041/", "View Product")</f>
        <v/>
      </c>
    </row>
    <row r="5909">
      <c r="A5909" t="inlineStr">
        <is>
          <t>8435415076821</t>
        </is>
      </c>
      <c r="B5909" t="inlineStr">
        <is>
          <t>Jean Paul Gaultier Divine Eau De Parfum Refillable Spray 50ml</t>
        </is>
      </c>
      <c r="C5909" t="inlineStr">
        <is>
          <t>Eau De Parfum</t>
        </is>
      </c>
      <c r="D5909" t="inlineStr">
        <is>
          <t>Jean-Paul Gaultier</t>
        </is>
      </c>
      <c r="E5909" t="n">
        <v>71.5</v>
      </c>
      <c r="F5909" t="n">
        <v>1</v>
      </c>
      <c r="G5909" t="n">
        <v>19</v>
      </c>
      <c r="H5909" s="5">
        <f>HYPERLINK("https://api.qogita.com/variants/link/8435415076821/", "View Product")</f>
        <v/>
      </c>
    </row>
    <row r="5910">
      <c r="A5910" t="inlineStr">
        <is>
          <t>8435415076838</t>
        </is>
      </c>
      <c r="B5910" t="inlineStr">
        <is>
          <t>Jean Paul Gaultier Gaultier Divine Eau De Parfum Spray 100ml</t>
        </is>
      </c>
      <c r="C5910" t="inlineStr">
        <is>
          <t>Eau De Parfum</t>
        </is>
      </c>
      <c r="D5910" t="inlineStr">
        <is>
          <t>Jean-Paul Gaultier</t>
        </is>
      </c>
      <c r="E5910" t="n">
        <v>93.47</v>
      </c>
      <c r="F5910" t="n">
        <v>1</v>
      </c>
      <c r="G5910" t="n">
        <v>64</v>
      </c>
      <c r="H5910" s="5">
        <f>HYPERLINK("https://api.qogita.com/variants/link/8435415076838/", "View Product")</f>
        <v/>
      </c>
    </row>
    <row r="5911">
      <c r="A5911" t="inlineStr">
        <is>
          <t>8435415080385</t>
        </is>
      </c>
      <c r="B5911" t="inlineStr">
        <is>
          <t>Jean Paul Gaultier Scandal Absolu Pour Homme Eau De Parfum Spray 100ml</t>
        </is>
      </c>
      <c r="C5911" t="inlineStr">
        <is>
          <t>Eau De Parfum</t>
        </is>
      </c>
      <c r="D5911" t="inlineStr">
        <is>
          <t>Jean-Paul Gaultier</t>
        </is>
      </c>
      <c r="E5911" t="n">
        <v>95.2</v>
      </c>
      <c r="F5911" t="n">
        <v>1</v>
      </c>
      <c r="G5911" t="n">
        <v>4</v>
      </c>
      <c r="H5911" s="5">
        <f>HYPERLINK("https://api.qogita.com/variants/link/8435415080385/", "View Product")</f>
        <v/>
      </c>
    </row>
    <row r="5912">
      <c r="A5912" t="inlineStr">
        <is>
          <t>8435415082938</t>
        </is>
      </c>
      <c r="B5912" t="inlineStr">
        <is>
          <t>Jean Paul Gaultier Gaultier Divine Body Balm 200ml</t>
        </is>
      </c>
      <c r="C5912" t="inlineStr">
        <is>
          <t>Body Lotion</t>
        </is>
      </c>
      <c r="D5912" t="inlineStr">
        <is>
          <t>Jean-Paul Gaultier</t>
        </is>
      </c>
      <c r="E5912" t="n">
        <v>27.46</v>
      </c>
      <c r="F5912" t="n">
        <v>1</v>
      </c>
      <c r="G5912" t="n">
        <v>2</v>
      </c>
      <c r="H5912" s="5">
        <f>HYPERLINK("https://api.qogita.com/variants/link/8435415082938/", "View Product")</f>
        <v/>
      </c>
    </row>
    <row r="5913">
      <c r="A5913" t="inlineStr">
        <is>
          <t>8435415084970</t>
        </is>
      </c>
      <c r="B5913" t="inlineStr">
        <is>
          <t>Jean Paul Gaultier Classique 100ml Eau de Toilette &amp; 75ml Body Lotion</t>
        </is>
      </c>
      <c r="C5913" t="inlineStr">
        <is>
          <t>Fragrance Sets</t>
        </is>
      </c>
      <c r="D5913" t="inlineStr">
        <is>
          <t>Jean Paul Gaultier</t>
        </is>
      </c>
      <c r="E5913" t="n">
        <v>89.73999999999999</v>
      </c>
      <c r="F5913" t="n">
        <v>1</v>
      </c>
      <c r="G5913" t="n">
        <v>3</v>
      </c>
      <c r="H5913" s="5">
        <f>HYPERLINK("https://api.qogita.com/variants/link/8435415084970/", "View Product")</f>
        <v/>
      </c>
    </row>
    <row r="5914">
      <c r="A5914" t="inlineStr">
        <is>
          <t>8435415091152</t>
        </is>
      </c>
      <c r="B5914" t="inlineStr">
        <is>
          <t>Jean Paul Gaultier Gaultier Divine Le Parfum Eau De Parfum Spray 50ml</t>
        </is>
      </c>
      <c r="C5914" t="inlineStr">
        <is>
          <t>Eau De Parfum</t>
        </is>
      </c>
      <c r="D5914" t="inlineStr">
        <is>
          <t>Jean-Paul Gaultier</t>
        </is>
      </c>
      <c r="E5914" t="n">
        <v>72.01000000000001</v>
      </c>
      <c r="F5914" t="n">
        <v>1</v>
      </c>
      <c r="G5914" t="n">
        <v>7</v>
      </c>
      <c r="H5914" s="5">
        <f>HYPERLINK("https://api.qogita.com/variants/link/8435415091152/", "View Product")</f>
        <v/>
      </c>
    </row>
    <row r="5915">
      <c r="A5915" t="inlineStr">
        <is>
          <t>8435415091664</t>
        </is>
      </c>
      <c r="B5915" t="inlineStr">
        <is>
          <t>Jean Paul Gaultier Le Male Pride Limited Edition Eau De Toilette Spray 125ml</t>
        </is>
      </c>
      <c r="C5915" t="inlineStr">
        <is>
          <t>Eau De Toilette</t>
        </is>
      </c>
      <c r="D5915" t="inlineStr">
        <is>
          <t>Jean-Paul Gaultier</t>
        </is>
      </c>
      <c r="E5915" t="n">
        <v>50.76</v>
      </c>
      <c r="F5915" t="n">
        <v>1</v>
      </c>
      <c r="G5915" t="n">
        <v>263</v>
      </c>
      <c r="H5915" s="5">
        <f>HYPERLINK("https://api.qogita.com/variants/link/8435415091664/", "View Product")</f>
        <v/>
      </c>
    </row>
    <row r="5916">
      <c r="A5916" t="inlineStr">
        <is>
          <t>8435415098755</t>
        </is>
      </c>
      <c r="B5916" t="inlineStr">
        <is>
          <t>Jean Paul Gaultier Scandal Absolu Parfum Concentre Spray 80ml Set 3 Pieces</t>
        </is>
      </c>
      <c r="C5916" t="inlineStr">
        <is>
          <t>Fragrance Sets</t>
        </is>
      </c>
      <c r="D5916" t="inlineStr">
        <is>
          <t>Jean-Paul Gaultier</t>
        </is>
      </c>
      <c r="E5916" t="n">
        <v>87.70999999999999</v>
      </c>
      <c r="F5916" t="n">
        <v>1</v>
      </c>
      <c r="G5916" t="n">
        <v>7</v>
      </c>
      <c r="H5916" s="5">
        <f>HYPERLINK("https://api.qogita.com/variants/link/8435415098755/", "View Product")</f>
        <v/>
      </c>
    </row>
    <row r="5917">
      <c r="A5917" t="inlineStr">
        <is>
          <t>8435590603140</t>
        </is>
      </c>
      <c r="B5917" t="inlineStr">
        <is>
          <t>Miriam Quevedo Platinum &amp; Diamonds Volume Conditioner 250 Ml</t>
        </is>
      </c>
      <c r="C5917" t="inlineStr">
        <is>
          <t>Conditioner</t>
        </is>
      </c>
      <c r="D5917" t="inlineStr">
        <is>
          <t>Miriam Quevedo</t>
        </is>
      </c>
      <c r="E5917" t="n">
        <v>45.17</v>
      </c>
      <c r="F5917" t="n">
        <v>1</v>
      </c>
      <c r="G5917" t="n">
        <v>6</v>
      </c>
      <c r="H5917" s="5">
        <f>HYPERLINK("https://api.qogita.com/variants/link/8435590603140/", "View Product")</f>
        <v/>
      </c>
    </row>
    <row r="5918">
      <c r="A5918" t="inlineStr">
        <is>
          <t>8435624504641</t>
        </is>
      </c>
      <c r="B5918" t="inlineStr">
        <is>
          <t>Natura Bissé Stabilizing Oil-Free Gel Cream</t>
        </is>
      </c>
      <c r="C5918" t="inlineStr">
        <is>
          <t>Face Cream</t>
        </is>
      </c>
      <c r="D5918" t="inlineStr">
        <is>
          <t>Natura Bissé</t>
        </is>
      </c>
      <c r="E5918" t="n">
        <v>51.5</v>
      </c>
      <c r="F5918" t="n">
        <v>1</v>
      </c>
      <c r="G5918" t="n">
        <v>2</v>
      </c>
      <c r="H5918" s="5">
        <f>HYPERLINK("https://api.qogita.com/variants/link/8435624504641/", "View Product")</f>
        <v/>
      </c>
    </row>
    <row r="5919">
      <c r="A5919" t="inlineStr">
        <is>
          <t>8436534714274</t>
        </is>
      </c>
      <c r="B5919" t="inlineStr">
        <is>
          <t>Natura Biss Diamond White Glowing Mask 100ml</t>
        </is>
      </c>
      <c r="C5919" t="inlineStr">
        <is>
          <t>Glow Mask</t>
        </is>
      </c>
      <c r="D5919" t="inlineStr">
        <is>
          <t>Natura Bissé</t>
        </is>
      </c>
      <c r="E5919" t="n">
        <v>63.61</v>
      </c>
      <c r="F5919" t="n">
        <v>1</v>
      </c>
      <c r="G5919" t="n">
        <v>2</v>
      </c>
      <c r="H5919" s="5">
        <f>HYPERLINK("https://api.qogita.com/variants/link/8436534714274/", "View Product")</f>
        <v/>
      </c>
    </row>
    <row r="5920">
      <c r="A5920" t="inlineStr">
        <is>
          <t>8436534714656</t>
        </is>
      </c>
      <c r="B5920" t="inlineStr">
        <is>
          <t>Natura Bisse Essential Shock Intense Revitalizing Mask 75ml</t>
        </is>
      </c>
      <c r="C5920" t="inlineStr">
        <is>
          <t>Anti-Aging Mask</t>
        </is>
      </c>
      <c r="D5920" t="inlineStr">
        <is>
          <t>Natura Bissé</t>
        </is>
      </c>
      <c r="E5920" t="n">
        <v>36.24</v>
      </c>
      <c r="F5920" t="n">
        <v>1</v>
      </c>
      <c r="G5920" t="n">
        <v>5</v>
      </c>
      <c r="H5920" s="5">
        <f>HYPERLINK("https://api.qogita.com/variants/link/8436534714656/", "View Product")</f>
        <v/>
      </c>
    </row>
    <row r="5921">
      <c r="A5921" t="inlineStr">
        <is>
          <t>8436543924398</t>
        </is>
      </c>
      <c r="B5921" t="inlineStr">
        <is>
          <t>Faisa Pure Joy Perfumed Water Spray 100ml</t>
        </is>
      </c>
      <c r="C5921" t="inlineStr">
        <is>
          <t>Eau De Parfum</t>
        </is>
      </c>
      <c r="D5921" t="inlineStr">
        <is>
          <t>Faisal</t>
        </is>
      </c>
      <c r="E5921" t="n">
        <v>135.34</v>
      </c>
      <c r="F5921" t="n">
        <v>1</v>
      </c>
      <c r="G5921" t="n">
        <v>3</v>
      </c>
      <c r="H5921" s="5">
        <f>HYPERLINK("https://api.qogita.com/variants/link/8436543924398/", "View Product")</f>
        <v/>
      </c>
    </row>
    <row r="5922">
      <c r="A5922" t="inlineStr">
        <is>
          <t>8436550501094</t>
        </is>
      </c>
      <c r="B5922" t="inlineStr">
        <is>
          <t>Tous Neon Candy Eau De Toilette Spray 90ml</t>
        </is>
      </c>
      <c r="C5922" t="inlineStr">
        <is>
          <t>Eau De Toilette</t>
        </is>
      </c>
      <c r="D5922" t="inlineStr">
        <is>
          <t>Tous</t>
        </is>
      </c>
      <c r="E5922" t="n">
        <v>23.82</v>
      </c>
      <c r="F5922" t="n">
        <v>1</v>
      </c>
      <c r="G5922" t="n">
        <v>42</v>
      </c>
      <c r="H5922" s="5">
        <f>HYPERLINK("https://api.qogita.com/variants/link/8436550501094/", "View Product")</f>
        <v/>
      </c>
    </row>
    <row r="5923">
      <c r="A5923" t="inlineStr">
        <is>
          <t>8436550507584</t>
        </is>
      </c>
      <c r="B5923" t="inlineStr">
        <is>
          <t>Tous Love Me Eau De Parfum 90ml A Delightful Fragrance For Women</t>
        </is>
      </c>
      <c r="C5923" t="inlineStr">
        <is>
          <t>Eau De Parfum</t>
        </is>
      </c>
      <c r="D5923" t="inlineStr">
        <is>
          <t>Tous</t>
        </is>
      </c>
      <c r="E5923" t="n">
        <v>46.19</v>
      </c>
      <c r="F5923" t="n">
        <v>1</v>
      </c>
      <c r="G5923" t="n">
        <v>3</v>
      </c>
      <c r="H5923" s="5">
        <f>HYPERLINK("https://api.qogita.com/variants/link/8436550507584/", "View Product")</f>
        <v/>
      </c>
    </row>
    <row r="5924">
      <c r="A5924" t="inlineStr">
        <is>
          <t>8436550509540</t>
        </is>
      </c>
      <c r="B5924" t="inlineStr">
        <is>
          <t>Tous Tous Your Powers Eau De Toilette Spray 90ml</t>
        </is>
      </c>
      <c r="C5924" t="inlineStr">
        <is>
          <t>Eau De Toilette</t>
        </is>
      </c>
      <c r="D5924" t="inlineStr">
        <is>
          <t>Tous</t>
        </is>
      </c>
      <c r="E5924" t="n">
        <v>30.15</v>
      </c>
      <c r="F5924" t="n">
        <v>1</v>
      </c>
      <c r="G5924" t="n">
        <v>6</v>
      </c>
      <c r="H5924" s="5">
        <f>HYPERLINK("https://api.qogita.com/variants/link/8436550509540/", "View Product")</f>
        <v/>
      </c>
    </row>
    <row r="5925">
      <c r="A5925" t="inlineStr">
        <is>
          <t>8436550509694</t>
        </is>
      </c>
      <c r="B5925" t="inlineStr">
        <is>
          <t>Tous Man Chill Eau De Toilette 100ml By Tous</t>
        </is>
      </c>
      <c r="C5925" t="inlineStr">
        <is>
          <t>Eau De Toilette</t>
        </is>
      </c>
      <c r="D5925" t="inlineStr">
        <is>
          <t>Tous</t>
        </is>
      </c>
      <c r="E5925" t="n">
        <v>25.75</v>
      </c>
      <c r="F5925" t="n">
        <v>1</v>
      </c>
      <c r="G5925" t="n">
        <v>13</v>
      </c>
      <c r="H5925" s="5">
        <f>HYPERLINK("https://api.qogita.com/variants/link/8436550509694/", "View Product")</f>
        <v/>
      </c>
    </row>
    <row r="5926">
      <c r="A5926" t="inlineStr">
        <is>
          <t>8436551807430</t>
        </is>
      </c>
      <c r="B5926" t="inlineStr">
        <is>
          <t>Black Baccara Hair Multiplying Shampoo 8.5 oz.</t>
        </is>
      </c>
      <c r="C5926" t="inlineStr">
        <is>
          <t>Shampoo</t>
        </is>
      </c>
      <c r="D5926" t="inlineStr">
        <is>
          <t>Miriam Quevedo</t>
        </is>
      </c>
      <c r="E5926" t="n">
        <v>41.96</v>
      </c>
      <c r="F5926" t="n">
        <v>1</v>
      </c>
      <c r="G5926" t="n">
        <v>4</v>
      </c>
      <c r="H5926" s="5">
        <f>HYPERLINK("https://api.qogita.com/variants/link/8436551807430/", "View Product")</f>
        <v/>
      </c>
    </row>
    <row r="5927">
      <c r="A5927" t="inlineStr">
        <is>
          <t>8436551809229</t>
        </is>
      </c>
      <c r="B5927" t="inlineStr">
        <is>
          <t>Miriam Quevedo Smoothing Shampoo Extreme Caviar Imperial Smoothing Shampoo 250 Ml</t>
        </is>
      </c>
      <c r="C5927" t="inlineStr">
        <is>
          <t>Shampoo</t>
        </is>
      </c>
      <c r="D5927" t="inlineStr">
        <is>
          <t>Miriam Quevedo</t>
        </is>
      </c>
      <c r="E5927" t="n">
        <v>37.69</v>
      </c>
      <c r="F5927" t="n">
        <v>1</v>
      </c>
      <c r="G5927" t="n">
        <v>3</v>
      </c>
      <c r="H5927" s="5">
        <f>HYPERLINK("https://api.qogita.com/variants/link/8436551809229/", "View Product")</f>
        <v/>
      </c>
    </row>
    <row r="5928">
      <c r="A5928" t="inlineStr">
        <is>
          <t>8436551809267</t>
        </is>
      </c>
      <c r="B5928" t="inlineStr">
        <is>
          <t>Miriam Quevedo Extreme Caviar Shampoo for Color Treated Hair 8.5 oz 250mL</t>
        </is>
      </c>
      <c r="C5928" t="inlineStr">
        <is>
          <t>Shampoo</t>
        </is>
      </c>
      <c r="D5928" t="inlineStr">
        <is>
          <t>Miriam Quevedo</t>
        </is>
      </c>
      <c r="E5928" t="n">
        <v>37.69</v>
      </c>
      <c r="F5928" t="n">
        <v>1</v>
      </c>
      <c r="G5928" t="n">
        <v>3</v>
      </c>
      <c r="H5928" s="5">
        <f>HYPERLINK("https://api.qogita.com/variants/link/8436551809267/", "View Product")</f>
        <v/>
      </c>
    </row>
    <row r="5929">
      <c r="A5929" t="inlineStr">
        <is>
          <t>8436568073279</t>
        </is>
      </c>
      <c r="B5929" t="inlineStr">
        <is>
          <t>Natura Biss Revitalizing Dry Body Oil 100 Ml</t>
        </is>
      </c>
      <c r="C5929" t="inlineStr">
        <is>
          <t>Body Oil</t>
        </is>
      </c>
      <c r="D5929" t="inlineStr">
        <is>
          <t>Natura Bissé</t>
        </is>
      </c>
      <c r="E5929" t="n">
        <v>42.02</v>
      </c>
      <c r="F5929" t="n">
        <v>1</v>
      </c>
      <c r="G5929" t="n">
        <v>7</v>
      </c>
      <c r="H5929" s="5">
        <f>HYPERLINK("https://api.qogita.com/variants/link/8436568073279/", "View Product")</f>
        <v/>
      </c>
    </row>
    <row r="5930">
      <c r="A5930" t="inlineStr">
        <is>
          <t>8436568074573</t>
        </is>
      </c>
      <c r="B5930" t="inlineStr">
        <is>
          <t>Natura Biss Nourishing Dry Oil Diamond Wellliving The Dry Oil Detox Body Oil 100 Ml</t>
        </is>
      </c>
      <c r="C5930" t="inlineStr">
        <is>
          <t>Body Oil</t>
        </is>
      </c>
      <c r="D5930" t="inlineStr">
        <is>
          <t>Natura Bissé</t>
        </is>
      </c>
      <c r="E5930" t="n">
        <v>43.92</v>
      </c>
      <c r="F5930" t="n">
        <v>1</v>
      </c>
      <c r="G5930" t="n">
        <v>3</v>
      </c>
      <c r="H5930" s="5">
        <f>HYPERLINK("https://api.qogita.com/variants/link/8436568074573/", "View Product")</f>
        <v/>
      </c>
    </row>
    <row r="5931">
      <c r="A5931" t="inlineStr">
        <is>
          <t>8436568074580</t>
        </is>
      </c>
      <c r="B5931" t="inlineStr">
        <is>
          <t>Fitness Dry Oil 100ml</t>
        </is>
      </c>
      <c r="C5931" t="inlineStr">
        <is>
          <t>Body Oil</t>
        </is>
      </c>
      <c r="D5931" t="inlineStr">
        <is>
          <t>Natura Bissé</t>
        </is>
      </c>
      <c r="E5931" t="n">
        <v>40.6</v>
      </c>
      <c r="F5931" t="n">
        <v>1</v>
      </c>
      <c r="G5931" t="n">
        <v>4</v>
      </c>
      <c r="H5931" s="5">
        <f>HYPERLINK("https://api.qogita.com/variants/link/8436568074580/", "View Product")</f>
        <v/>
      </c>
    </row>
    <row r="5932">
      <c r="A5932" t="inlineStr">
        <is>
          <t>8436581940091</t>
        </is>
      </c>
      <c r="B5932" t="inlineStr">
        <is>
          <t>Women'secret Rose Seduction Perfume for Women Eau de Parfum 100ml Floral</t>
        </is>
      </c>
      <c r="C5932" t="inlineStr">
        <is>
          <t>Eau De Parfum</t>
        </is>
      </c>
      <c r="D5932" t="inlineStr">
        <is>
          <t>Women'secret</t>
        </is>
      </c>
      <c r="E5932" t="n">
        <v>10.44</v>
      </c>
      <c r="F5932" t="n">
        <v>1</v>
      </c>
      <c r="G5932" t="n">
        <v>13</v>
      </c>
      <c r="H5932" s="5">
        <f>HYPERLINK("https://api.qogita.com/variants/link/8436581940091/", "View Product")</f>
        <v/>
      </c>
    </row>
    <row r="5933">
      <c r="A5933" t="inlineStr">
        <is>
          <t>8436581944693</t>
        </is>
      </c>
      <c r="B5933" t="inlineStr">
        <is>
          <t>Women'secret Lady Tenderness Fragrance Brume 250ml</t>
        </is>
      </c>
      <c r="C5933" t="inlineStr">
        <is>
          <t>Eau De Toilette</t>
        </is>
      </c>
      <c r="D5933" t="inlineStr">
        <is>
          <t>Women'secret</t>
        </is>
      </c>
      <c r="E5933" t="n">
        <v>8.460000000000001</v>
      </c>
      <c r="F5933" t="n">
        <v>1</v>
      </c>
      <c r="G5933" t="n">
        <v>11</v>
      </c>
      <c r="H5933" s="5">
        <f>HYPERLINK("https://api.qogita.com/variants/link/8436581944693/", "View Product")</f>
        <v/>
      </c>
    </row>
    <row r="5934">
      <c r="A5934" t="inlineStr">
        <is>
          <t>8436581945980</t>
        </is>
      </c>
      <c r="B5934" t="inlineStr">
        <is>
          <t>Reebok Inspire Your Mind Edt</t>
        </is>
      </c>
      <c r="C5934" t="inlineStr">
        <is>
          <t>Eau De Toilette</t>
        </is>
      </c>
      <c r="D5934" t="inlineStr">
        <is>
          <t>Reebok</t>
        </is>
      </c>
      <c r="E5934" t="n">
        <v>7.19</v>
      </c>
      <c r="F5934" t="n">
        <v>1</v>
      </c>
      <c r="G5934" t="n">
        <v>4</v>
      </c>
      <c r="H5934" s="5">
        <f>HYPERLINK("https://api.qogita.com/variants/link/8436581945980/", "View Product")</f>
        <v/>
      </c>
    </row>
    <row r="5935">
      <c r="A5935" t="inlineStr">
        <is>
          <t>8436581946253</t>
        </is>
      </c>
      <c r="B5935" t="inlineStr">
        <is>
          <t>Reebok Inspire Your Mind Women's Gift Set Perfume 100ml</t>
        </is>
      </c>
      <c r="C5935" t="inlineStr">
        <is>
          <t>Fragrance Sets</t>
        </is>
      </c>
      <c r="D5935" t="inlineStr">
        <is>
          <t>Reebok</t>
        </is>
      </c>
      <c r="E5935" t="n">
        <v>10.76</v>
      </c>
      <c r="F5935" t="n">
        <v>1</v>
      </c>
      <c r="G5935" t="n">
        <v>4</v>
      </c>
      <c r="H5935" s="5">
        <f>HYPERLINK("https://api.qogita.com/variants/link/8436581946253/", "View Product")</f>
        <v/>
      </c>
    </row>
    <row r="5936">
      <c r="A5936" t="inlineStr">
        <is>
          <t>8436589051140</t>
        </is>
      </c>
      <c r="B5936" t="inlineStr">
        <is>
          <t>Martiderm Shots Salicylic Imperfections Concentrated Face Serum 20ml</t>
        </is>
      </c>
      <c r="C5936" t="inlineStr">
        <is>
          <t>Face Serum</t>
        </is>
      </c>
      <c r="D5936" t="inlineStr">
        <is>
          <t>Martiderm</t>
        </is>
      </c>
      <c r="E5936" t="n">
        <v>17.82</v>
      </c>
      <c r="F5936" t="n">
        <v>1</v>
      </c>
      <c r="G5936" t="n">
        <v>3</v>
      </c>
      <c r="H5936" s="5">
        <f>HYPERLINK("https://api.qogita.com/variants/link/8436589051140/", "View Product")</f>
        <v/>
      </c>
    </row>
    <row r="5937">
      <c r="A5937" t="inlineStr">
        <is>
          <t>8436603740272</t>
        </is>
      </c>
      <c r="B5937" t="inlineStr">
        <is>
          <t>Rosendo Mateu Number 8 Eau de Parfum 100ml</t>
        </is>
      </c>
      <c r="C5937" t="inlineStr">
        <is>
          <t>Eau De Parfum</t>
        </is>
      </c>
      <c r="D5937" t="inlineStr">
        <is>
          <t>Rosendo Mateu</t>
        </is>
      </c>
      <c r="E5937" t="n">
        <v>99.65000000000001</v>
      </c>
      <c r="F5937" t="n">
        <v>1</v>
      </c>
      <c r="G5937" t="n">
        <v>8</v>
      </c>
      <c r="H5937" s="5">
        <f>HYPERLINK("https://api.qogita.com/variants/link/8436603740272/", "View Product")</f>
        <v/>
      </c>
    </row>
    <row r="5938">
      <c r="A5938" t="inlineStr">
        <is>
          <t>8437002997021</t>
        </is>
      </c>
      <c r="B5938" t="inlineStr">
        <is>
          <t>Tous Woman Eau De Toilette Spray 50ml</t>
        </is>
      </c>
      <c r="C5938" t="inlineStr">
        <is>
          <t>Eau De Toilette</t>
        </is>
      </c>
      <c r="D5938" t="inlineStr">
        <is>
          <t>Tous</t>
        </is>
      </c>
      <c r="E5938" t="n">
        <v>21.63</v>
      </c>
      <c r="F5938" t="n">
        <v>1</v>
      </c>
      <c r="G5938" t="n">
        <v>9</v>
      </c>
      <c r="H5938" s="5">
        <f>HYPERLINK("https://api.qogita.com/variants/link/8437002997021/", "View Product")</f>
        <v/>
      </c>
    </row>
    <row r="5939">
      <c r="A5939" t="inlineStr">
        <is>
          <t>8437002997571</t>
        </is>
      </c>
      <c r="B5939" t="inlineStr">
        <is>
          <t>Tous Gold Eau De Parfum Spray 50ml</t>
        </is>
      </c>
      <c r="C5939" t="inlineStr">
        <is>
          <t>Eau De Parfum</t>
        </is>
      </c>
      <c r="D5939" t="inlineStr">
        <is>
          <t>Tous</t>
        </is>
      </c>
      <c r="E5939" t="n">
        <v>23.54</v>
      </c>
      <c r="F5939" t="n">
        <v>1</v>
      </c>
      <c r="G5939" t="n">
        <v>5</v>
      </c>
      <c r="H5939" s="5">
        <f>HYPERLINK("https://api.qogita.com/variants/link/8437002997571/", "View Product")</f>
        <v/>
      </c>
    </row>
    <row r="5940">
      <c r="A5940" t="inlineStr">
        <is>
          <t>8437011481047</t>
        </is>
      </c>
      <c r="B5940" t="inlineStr">
        <is>
          <t>Carner Barcelona D600 Eau De Parfum Vapo 100ml</t>
        </is>
      </c>
      <c r="C5940" t="inlineStr">
        <is>
          <t>Eau De Parfum</t>
        </is>
      </c>
      <c r="D5940" t="inlineStr">
        <is>
          <t>Carner Barcelona</t>
        </is>
      </c>
      <c r="E5940" t="n">
        <v>80.68000000000001</v>
      </c>
      <c r="F5940" t="n">
        <v>1</v>
      </c>
      <c r="G5940" t="n">
        <v>5</v>
      </c>
      <c r="H5940" s="5">
        <f>HYPERLINK("https://api.qogita.com/variants/link/8437011481047/", "View Product")</f>
        <v/>
      </c>
    </row>
    <row r="5941">
      <c r="A5941" t="inlineStr">
        <is>
          <t>8437011481085</t>
        </is>
      </c>
      <c r="B5941" t="inlineStr">
        <is>
          <t>Carner Barcelona Cuirs Eau De Parfum 100ml</t>
        </is>
      </c>
      <c r="C5941" t="inlineStr">
        <is>
          <t>Eau De Parfum</t>
        </is>
      </c>
      <c r="D5941" t="inlineStr">
        <is>
          <t>Carner Barcelona</t>
        </is>
      </c>
      <c r="E5941" t="n">
        <v>77.7</v>
      </c>
      <c r="F5941" t="n">
        <v>1</v>
      </c>
      <c r="G5941" t="n">
        <v>11</v>
      </c>
      <c r="H5941" s="5">
        <f>HYPERLINK("https://api.qogita.com/variants/link/8437011481085/", "View Product")</f>
        <v/>
      </c>
    </row>
    <row r="5942">
      <c r="A5942" t="inlineStr">
        <is>
          <t>8437011863980</t>
        </is>
      </c>
      <c r="B5942" t="inlineStr">
        <is>
          <t>Miriam Quevedo Glacial White Caviar HydraPure Precious Elixir 1.7oz</t>
        </is>
      </c>
      <c r="C5942" t="inlineStr">
        <is>
          <t>Hydrating Serum</t>
        </is>
      </c>
      <c r="D5942" t="inlineStr">
        <is>
          <t>Miriam Quevedo</t>
        </is>
      </c>
      <c r="E5942" t="n">
        <v>53.71</v>
      </c>
      <c r="F5942" t="n">
        <v>1</v>
      </c>
      <c r="G5942" t="n">
        <v>3</v>
      </c>
      <c r="H5942" s="5">
        <f>HYPERLINK("https://api.qogita.com/variants/link/8437011863980/", "View Product")</f>
        <v/>
      </c>
    </row>
    <row r="5943">
      <c r="A5943" t="inlineStr">
        <is>
          <t>8437015942704</t>
        </is>
      </c>
      <c r="B5943" t="inlineStr">
        <is>
          <t>Martiderm Acniover Stick Corrector 15ml</t>
        </is>
      </c>
      <c r="C5943" t="inlineStr">
        <is>
          <t>Pimple &amp; Blackhead Treatments</t>
        </is>
      </c>
      <c r="D5943" t="inlineStr">
        <is>
          <t>Martiderm</t>
        </is>
      </c>
      <c r="E5943" t="n">
        <v>8.5</v>
      </c>
      <c r="F5943" t="n">
        <v>1</v>
      </c>
      <c r="G5943" t="n">
        <v>2</v>
      </c>
      <c r="H5943" s="5">
        <f>HYPERLINK("https://api.qogita.com/variants/link/8437015942704/", "View Product")</f>
        <v/>
      </c>
    </row>
    <row r="5944">
      <c r="A5944" t="inlineStr">
        <is>
          <t>8437016160084</t>
        </is>
      </c>
      <c r="B5944" t="inlineStr">
        <is>
          <t>Pink Clay &amp; Rose Pear Cleansing Mask BBO-SONG</t>
        </is>
      </c>
      <c r="C5944" t="inlineStr">
        <is>
          <t>Clay Mask</t>
        </is>
      </c>
      <c r="D5944" t="inlineStr">
        <is>
          <t>Ondo Beauty</t>
        </is>
      </c>
      <c r="E5944" t="n">
        <v>16.23</v>
      </c>
      <c r="F5944" t="n">
        <v>1</v>
      </c>
      <c r="G5944" t="n">
        <v>4</v>
      </c>
      <c r="H5944" s="5">
        <f>HYPERLINK("https://api.qogita.com/variants/link/8437016160084/", "View Product")</f>
        <v/>
      </c>
    </row>
    <row r="5945">
      <c r="A5945" t="inlineStr">
        <is>
          <t>8437016160343</t>
        </is>
      </c>
      <c r="B5945" t="inlineStr">
        <is>
          <t>Meisani Cosmetics Set 4 Pieces</t>
        </is>
      </c>
      <c r="C5945" t="inlineStr">
        <is>
          <t>Complexion Sets &amp; Pallets</t>
        </is>
      </c>
      <c r="D5945" t="inlineStr">
        <is>
          <t>Meisani</t>
        </is>
      </c>
      <c r="E5945" t="n">
        <v>20.36</v>
      </c>
      <c r="F5945" t="n">
        <v>1</v>
      </c>
      <c r="G5945" t="n">
        <v>4</v>
      </c>
      <c r="H5945" s="5">
        <f>HYPERLINK("https://api.qogita.com/variants/link/8437016160343/", "View Product")</f>
        <v/>
      </c>
    </row>
    <row r="5946">
      <c r="A5946" t="inlineStr">
        <is>
          <t>8437016160367</t>
        </is>
      </c>
      <c r="B5946" t="inlineStr">
        <is>
          <t>Ondo Beauty Tranexamic Acid &amp; Licorice Dark Spot Treatment 30ml</t>
        </is>
      </c>
      <c r="C5946" t="inlineStr">
        <is>
          <t>Anti-Pigmentation Spot Cream</t>
        </is>
      </c>
      <c r="D5946" t="inlineStr">
        <is>
          <t>Ondo Beauty</t>
        </is>
      </c>
      <c r="E5946" t="n">
        <v>16.44</v>
      </c>
      <c r="F5946" t="n">
        <v>1</v>
      </c>
      <c r="G5946" t="n">
        <v>2</v>
      </c>
      <c r="H5946" s="5">
        <f>HYPERLINK("https://api.qogita.com/variants/link/8437016160367/", "View Product")</f>
        <v/>
      </c>
    </row>
    <row r="5947">
      <c r="A5947" t="inlineStr">
        <is>
          <t>8437017668206</t>
        </is>
      </c>
      <c r="B5947" t="inlineStr">
        <is>
          <t>Carner Barcelona Unisex Eau De Parfum Fig 3.4 Oz</t>
        </is>
      </c>
      <c r="C5947" t="inlineStr">
        <is>
          <t>Eau De Parfum</t>
        </is>
      </c>
      <c r="D5947" t="inlineStr">
        <is>
          <t>Carner Barcelona</t>
        </is>
      </c>
      <c r="E5947" t="n">
        <v>84.06</v>
      </c>
      <c r="F5947" t="n">
        <v>1</v>
      </c>
      <c r="G5947" t="n">
        <v>3</v>
      </c>
      <c r="H5947" s="5">
        <f>HYPERLINK("https://api.qogita.com/variants/link/8437017668206/", "View Product")</f>
        <v/>
      </c>
    </row>
    <row r="5948">
      <c r="A5948" t="inlineStr">
        <is>
          <t>8437017668442</t>
        </is>
      </c>
      <c r="B5948" t="inlineStr">
        <is>
          <t>Carner Barcelona Lukomorie Eau De Parfum Spray 100ml</t>
        </is>
      </c>
      <c r="C5948" t="inlineStr">
        <is>
          <t>Eau De Parfum</t>
        </is>
      </c>
      <c r="D5948" t="inlineStr">
        <is>
          <t>Carner Barcelona</t>
        </is>
      </c>
      <c r="E5948" t="n">
        <v>77.40000000000001</v>
      </c>
      <c r="F5948" t="n">
        <v>1</v>
      </c>
      <c r="G5948" t="n">
        <v>5</v>
      </c>
      <c r="H5948" s="5">
        <f>HYPERLINK("https://api.qogita.com/variants/link/8437017668442/", "View Product")</f>
        <v/>
      </c>
    </row>
    <row r="5949">
      <c r="A5949" t="inlineStr">
        <is>
          <t>8437017668787</t>
        </is>
      </c>
      <c r="B5949" t="inlineStr">
        <is>
          <t>Carner Barcelona Rock Star 50ml Eau de Parfum Spray</t>
        </is>
      </c>
      <c r="C5949" t="inlineStr">
        <is>
          <t>Eau De Parfum</t>
        </is>
      </c>
      <c r="D5949" t="inlineStr">
        <is>
          <t>Carner Barcelona</t>
        </is>
      </c>
      <c r="E5949" t="n">
        <v>56.65</v>
      </c>
      <c r="F5949" t="n">
        <v>1</v>
      </c>
      <c r="G5949" t="n">
        <v>5</v>
      </c>
      <c r="H5949" s="5">
        <f>HYPERLINK("https://api.qogita.com/variants/link/8437017668787/", "View Product")</f>
        <v/>
      </c>
    </row>
    <row r="5950">
      <c r="A5950" t="inlineStr">
        <is>
          <t>8437017668794</t>
        </is>
      </c>
      <c r="B5950" t="inlineStr">
        <is>
          <t>Carner Barcelona Rock Star Eau De Parfum 100ml</t>
        </is>
      </c>
      <c r="C5950" t="inlineStr">
        <is>
          <t>Eau De Parfum</t>
        </is>
      </c>
      <c r="D5950" t="inlineStr">
        <is>
          <t>Carner Barcelona</t>
        </is>
      </c>
      <c r="E5950" t="n">
        <v>96.31999999999999</v>
      </c>
      <c r="F5950" t="n">
        <v>1</v>
      </c>
      <c r="G5950" t="n">
        <v>10</v>
      </c>
      <c r="H5950" s="5">
        <f>HYPERLINK("https://api.qogita.com/variants/link/8437017668794/", "View Product")</f>
        <v/>
      </c>
    </row>
    <row r="5951">
      <c r="A5951" t="inlineStr">
        <is>
          <t>8437018063512</t>
        </is>
      </c>
      <c r="B5951" t="inlineStr">
        <is>
          <t>Eight &amp; Bob Egypt Eau De Parfum For Men 30 Ml</t>
        </is>
      </c>
      <c r="C5951" t="inlineStr">
        <is>
          <t>Eau De Parfum</t>
        </is>
      </c>
      <c r="D5951" t="inlineStr">
        <is>
          <t>Eight &amp; Bob</t>
        </is>
      </c>
      <c r="E5951" t="n">
        <v>36.35</v>
      </c>
      <c r="F5951" t="n">
        <v>1</v>
      </c>
      <c r="G5951" t="n">
        <v>5</v>
      </c>
      <c r="H5951" s="5">
        <f>HYPERLINK("https://api.qogita.com/variants/link/8437018063512/", "View Product")</f>
        <v/>
      </c>
    </row>
    <row r="5952">
      <c r="A5952" t="inlineStr">
        <is>
          <t>8437018063543</t>
        </is>
      </c>
      <c r="B5952" t="inlineStr">
        <is>
          <t>Eight &amp; Bob Champs De Provence Eau de Parfum 30ml</t>
        </is>
      </c>
      <c r="C5952" t="inlineStr">
        <is>
          <t>Eau De Parfum</t>
        </is>
      </c>
      <c r="D5952" t="inlineStr">
        <is>
          <t>Eight &amp; Bob</t>
        </is>
      </c>
      <c r="E5952" t="n">
        <v>32.24</v>
      </c>
      <c r="F5952" t="n">
        <v>1</v>
      </c>
      <c r="G5952" t="n">
        <v>5</v>
      </c>
      <c r="H5952" s="5">
        <f>HYPERLINK("https://api.qogita.com/variants/link/8437018063543/", "View Product")</f>
        <v/>
      </c>
    </row>
    <row r="5953">
      <c r="A5953" t="inlineStr">
        <is>
          <t>8437018063574</t>
        </is>
      </c>
      <c r="B5953" t="inlineStr">
        <is>
          <t>Eight &amp; Bob Annicke 3 Eau De Parfum Spray 30ml</t>
        </is>
      </c>
      <c r="C5953" t="inlineStr">
        <is>
          <t>Eau De Parfum</t>
        </is>
      </c>
      <c r="D5953" t="inlineStr">
        <is>
          <t>Eight &amp; Bob</t>
        </is>
      </c>
      <c r="E5953" t="n">
        <v>35.28</v>
      </c>
      <c r="F5953" t="n">
        <v>1</v>
      </c>
      <c r="G5953" t="n">
        <v>3</v>
      </c>
      <c r="H5953" s="5">
        <f>HYPERLINK("https://api.qogita.com/variants/link/8437018063574/", "View Product")</f>
        <v/>
      </c>
    </row>
    <row r="5954">
      <c r="A5954" t="inlineStr">
        <is>
          <t>8437018391547</t>
        </is>
      </c>
      <c r="B5954" t="inlineStr">
        <is>
          <t>Nvdo Quest Artisan Eau De Parfum Spray 75ml</t>
        </is>
      </c>
      <c r="C5954" t="inlineStr">
        <is>
          <t>Eau De Parfum</t>
        </is>
      </c>
      <c r="D5954" t="inlineStr">
        <is>
          <t>Novo</t>
        </is>
      </c>
      <c r="E5954" t="n">
        <v>20.31</v>
      </c>
      <c r="F5954" t="n">
        <v>1</v>
      </c>
      <c r="G5954" t="n">
        <v>2</v>
      </c>
      <c r="H5954" s="5">
        <f>HYPERLINK("https://api.qogita.com/variants/link/8437018391547/", "View Product")</f>
        <v/>
      </c>
    </row>
    <row r="5955">
      <c r="A5955" t="inlineStr">
        <is>
          <t>8437018498444</t>
        </is>
      </c>
      <c r="B5955" t="inlineStr">
        <is>
          <t>Women'secret Daily Romance Body Mist Spray for Women 250ml</t>
        </is>
      </c>
      <c r="C5955" t="inlineStr">
        <is>
          <t>Eau De Toilette</t>
        </is>
      </c>
      <c r="D5955" t="inlineStr">
        <is>
          <t>Women'secret</t>
        </is>
      </c>
      <c r="E5955" t="n">
        <v>7.66</v>
      </c>
      <c r="F5955" t="n">
        <v>1</v>
      </c>
      <c r="G5955" t="n">
        <v>8</v>
      </c>
      <c r="H5955" s="5">
        <f>HYPERLINK("https://api.qogita.com/variants/link/8437018498444/", "View Product")</f>
        <v/>
      </c>
    </row>
    <row r="5956">
      <c r="A5956" t="inlineStr">
        <is>
          <t>8437018498734</t>
        </is>
      </c>
      <c r="B5956" t="inlineStr">
        <is>
          <t>Women'secret Gold Seduction Eau De Parfum Spray 30ml</t>
        </is>
      </c>
      <c r="C5956" t="inlineStr">
        <is>
          <t>Eau De Parfum</t>
        </is>
      </c>
      <c r="D5956" t="inlineStr">
        <is>
          <t>Women'secret</t>
        </is>
      </c>
      <c r="E5956" t="n">
        <v>9.460000000000001</v>
      </c>
      <c r="F5956" t="n">
        <v>1</v>
      </c>
      <c r="G5956" t="n">
        <v>11</v>
      </c>
      <c r="H5956" s="5">
        <f>HYPERLINK("https://api.qogita.com/variants/link/8437018498734/", "View Product")</f>
        <v/>
      </c>
    </row>
    <row r="5957">
      <c r="A5957" t="inlineStr">
        <is>
          <t>8437020930062</t>
        </is>
      </c>
      <c r="B5957" t="inlineStr">
        <is>
          <t>Angela Ciampagna Hatria Collection Aer Extrait De Parfum 100ml</t>
        </is>
      </c>
      <c r="C5957" t="inlineStr">
        <is>
          <t>Extrait De Parfum</t>
        </is>
      </c>
      <c r="D5957" t="inlineStr">
        <is>
          <t>Angela Ciampagna</t>
        </is>
      </c>
      <c r="E5957" t="n">
        <v>78.93000000000001</v>
      </c>
      <c r="F5957" t="n">
        <v>1</v>
      </c>
      <c r="G5957" t="n">
        <v>5</v>
      </c>
      <c r="H5957" s="5">
        <f>HYPERLINK("https://api.qogita.com/variants/link/8437020930062/", "View Product")</f>
        <v/>
      </c>
    </row>
    <row r="5958">
      <c r="A5958" t="inlineStr">
        <is>
          <t>8437020930109</t>
        </is>
      </c>
      <c r="B5958" t="inlineStr">
        <is>
          <t>Angela Ciampagna Cineres Collection Ignes Extrait De Parfum 100ml</t>
        </is>
      </c>
      <c r="C5958" t="inlineStr">
        <is>
          <t>Extrait De Parfum</t>
        </is>
      </c>
      <c r="D5958" t="inlineStr">
        <is>
          <t>Angela Ciampagna</t>
        </is>
      </c>
      <c r="E5958" t="n">
        <v>154.44</v>
      </c>
      <c r="F5958" t="n">
        <v>1</v>
      </c>
      <c r="G5958" t="n">
        <v>8</v>
      </c>
      <c r="H5958" s="5">
        <f>HYPERLINK("https://api.qogita.com/variants/link/8437020930109/", "View Product")</f>
        <v/>
      </c>
    </row>
    <row r="5959">
      <c r="A5959" t="inlineStr">
        <is>
          <t>8437020930178</t>
        </is>
      </c>
      <c r="B5959" t="inlineStr">
        <is>
          <t>Label Amber &amp; Rosewood EdP Eau de Parfum 50ml</t>
        </is>
      </c>
      <c r="C5959" t="inlineStr">
        <is>
          <t>Eau De Parfum</t>
        </is>
      </c>
      <c r="D5959" t="inlineStr">
        <is>
          <t>L'Occitane</t>
        </is>
      </c>
      <c r="E5959" t="n">
        <v>36.4</v>
      </c>
      <c r="F5959" t="n">
        <v>1</v>
      </c>
      <c r="G5959" t="n">
        <v>14</v>
      </c>
      <c r="H5959" s="5">
        <f>HYPERLINK("https://api.qogita.com/variants/link/8437020930178/", "View Product")</f>
        <v/>
      </c>
    </row>
    <row r="5960">
      <c r="A5960" t="inlineStr">
        <is>
          <t>8437020930420</t>
        </is>
      </c>
      <c r="B5960" t="inlineStr">
        <is>
          <t>Angela Ciampagna Virtus Extrait de Parfum 100ml Unisex</t>
        </is>
      </c>
      <c r="C5960" t="inlineStr">
        <is>
          <t>Extrait De Parfum</t>
        </is>
      </c>
      <c r="D5960" t="inlineStr">
        <is>
          <t>Angela Ciampagna</t>
        </is>
      </c>
      <c r="E5960" t="n">
        <v>267.47</v>
      </c>
      <c r="F5960" t="n">
        <v>1</v>
      </c>
      <c r="G5960" t="n">
        <v>6</v>
      </c>
      <c r="H5960" s="5">
        <f>HYPERLINK("https://api.qogita.com/variants/link/8437020930420/", "View Product")</f>
        <v/>
      </c>
    </row>
    <row r="5961">
      <c r="A5961" t="inlineStr">
        <is>
          <t>8470002180345</t>
        </is>
      </c>
      <c r="B5961" t="inlineStr">
        <is>
          <t>Sesderma Retises 05 Regenerating Antiwrinkle Cream 30ml</t>
        </is>
      </c>
      <c r="C5961" t="inlineStr">
        <is>
          <t>Anti-Aging Facial Care</t>
        </is>
      </c>
      <c r="D5961" t="inlineStr">
        <is>
          <t>Sesderma</t>
        </is>
      </c>
      <c r="E5961" t="n">
        <v>41.22</v>
      </c>
      <c r="F5961" t="n">
        <v>1</v>
      </c>
      <c r="G5961" t="n">
        <v>2</v>
      </c>
      <c r="H5961" s="5">
        <f>HYPERLINK("https://api.qogita.com/variants/link/8470002180345/", "View Product")</f>
        <v/>
      </c>
    </row>
    <row r="5962">
      <c r="A5962" t="inlineStr">
        <is>
          <t>8590031101729</t>
        </is>
      </c>
      <c r="B5962" t="inlineStr">
        <is>
          <t>Dermacol Compact Powder With Lace Relief 8 G</t>
        </is>
      </c>
      <c r="C5962" t="inlineStr">
        <is>
          <t>Powder</t>
        </is>
      </c>
      <c r="D5962" t="inlineStr">
        <is>
          <t>Dermacol</t>
        </is>
      </c>
      <c r="E5962" t="n">
        <v>3.69</v>
      </c>
      <c r="F5962" t="n">
        <v>1</v>
      </c>
      <c r="G5962" t="n">
        <v>12</v>
      </c>
      <c r="H5962" s="5">
        <f>HYPERLINK("https://api.qogita.com/variants/link/8590031101729/", "View Product")</f>
        <v/>
      </c>
    </row>
    <row r="5963">
      <c r="A5963" t="inlineStr">
        <is>
          <t>8590031101743</t>
        </is>
      </c>
      <c r="B5963" t="inlineStr">
        <is>
          <t>Dermacol Compact Powder With Embossed Lace 8 G</t>
        </is>
      </c>
      <c r="C5963" t="inlineStr">
        <is>
          <t>Powder</t>
        </is>
      </c>
      <c r="D5963" t="inlineStr">
        <is>
          <t>Dermacol</t>
        </is>
      </c>
      <c r="E5963" t="n">
        <v>5.74</v>
      </c>
      <c r="F5963" t="n">
        <v>1</v>
      </c>
      <c r="G5963" t="n">
        <v>2</v>
      </c>
      <c r="H5963" s="5">
        <f>HYPERLINK("https://api.qogita.com/variants/link/8590031101743/", "View Product")</f>
        <v/>
      </c>
    </row>
    <row r="5964">
      <c r="A5964" t="inlineStr">
        <is>
          <t>8590031102702</t>
        </is>
      </c>
      <c r="B5964" t="inlineStr">
        <is>
          <t>Dermacol Sensitive Eye Makeup Remover</t>
        </is>
      </c>
      <c r="C5964" t="inlineStr">
        <is>
          <t>Eye Makeup Remover</t>
        </is>
      </c>
      <c r="D5964" t="inlineStr">
        <is>
          <t>Dermacol</t>
        </is>
      </c>
      <c r="E5964" t="n">
        <v>5.44</v>
      </c>
      <c r="F5964" t="n">
        <v>1</v>
      </c>
      <c r="G5964" t="n">
        <v>5</v>
      </c>
      <c r="H5964" s="5">
        <f>HYPERLINK("https://api.qogita.com/variants/link/8590031102702/", "View Product")</f>
        <v/>
      </c>
    </row>
    <row r="5965">
      <c r="A5965" t="inlineStr">
        <is>
          <t>8590031102726</t>
        </is>
      </c>
      <c r="B5965" t="inlineStr">
        <is>
          <t>Sensitive Calming Toner</t>
        </is>
      </c>
      <c r="C5965" t="inlineStr">
        <is>
          <t>Facial Spray</t>
        </is>
      </c>
      <c r="D5965" t="inlineStr">
        <is>
          <t>Dermacol</t>
        </is>
      </c>
      <c r="E5965" t="n">
        <v>3.69</v>
      </c>
      <c r="F5965" t="n">
        <v>1</v>
      </c>
      <c r="G5965" t="n">
        <v>16</v>
      </c>
      <c r="H5965" s="5">
        <f>HYPERLINK("https://api.qogita.com/variants/link/8590031102726/", "View Product")</f>
        <v/>
      </c>
    </row>
    <row r="5966">
      <c r="A5966" t="inlineStr">
        <is>
          <t>8590031107059</t>
        </is>
      </c>
      <c r="B5966" t="inlineStr">
        <is>
          <t>Dermacol Cosmetic Lip Brush With Case And D60 Master Brush Lips</t>
        </is>
      </c>
      <c r="C5966" t="inlineStr">
        <is>
          <t>Lip Brushes</t>
        </is>
      </c>
      <c r="D5966" t="inlineStr">
        <is>
          <t>Dermacol</t>
        </is>
      </c>
      <c r="E5966" t="n">
        <v>3.9</v>
      </c>
      <c r="F5966" t="n">
        <v>1</v>
      </c>
      <c r="G5966" t="n">
        <v>5</v>
      </c>
      <c r="H5966" s="5">
        <f>HYPERLINK("https://api.qogita.com/variants/link/8590031107059/", "View Product")</f>
        <v/>
      </c>
    </row>
    <row r="5967">
      <c r="A5967" t="inlineStr">
        <is>
          <t>8590232000425</t>
        </is>
      </c>
      <c r="B5967" t="inlineStr">
        <is>
          <t>Elmex Sensitive Professional Toothpaste 3 X 75 Ml</t>
        </is>
      </c>
      <c r="C5967" t="inlineStr">
        <is>
          <t>Toothpaste</t>
        </is>
      </c>
      <c r="D5967" t="inlineStr">
        <is>
          <t>Elmex</t>
        </is>
      </c>
      <c r="E5967" t="n">
        <v>16.07</v>
      </c>
      <c r="F5967" t="n">
        <v>1</v>
      </c>
      <c r="G5967" t="n">
        <v>3</v>
      </c>
      <c r="H5967" s="5">
        <f>HYPERLINK("https://api.qogita.com/variants/link/8590232000425/", "View Product")</f>
        <v/>
      </c>
    </row>
    <row r="5968">
      <c r="A5968" t="inlineStr">
        <is>
          <t>8590232001224</t>
        </is>
      </c>
      <c r="B5968" t="inlineStr">
        <is>
          <t>Colgate Set Max White Ultra Complete set for teeth</t>
        </is>
      </c>
      <c r="C5968" t="inlineStr">
        <is>
          <t>Teeth Whiteners</t>
        </is>
      </c>
      <c r="D5968" t="inlineStr">
        <is>
          <t>Colgate</t>
        </is>
      </c>
      <c r="E5968" t="n">
        <v>15.71</v>
      </c>
      <c r="F5968" t="n">
        <v>1</v>
      </c>
      <c r="G5968" t="n">
        <v>12</v>
      </c>
      <c r="H5968" s="5">
        <f>HYPERLINK("https://api.qogita.com/variants/link/8590232001224/", "View Product")</f>
        <v/>
      </c>
    </row>
    <row r="5969">
      <c r="A5969" t="inlineStr">
        <is>
          <t>8590393260720</t>
        </is>
      </c>
      <c r="B5969" t="inlineStr">
        <is>
          <t>Eta Sonetic Toothbrush 0709 90010 Sonic Toothbrush</t>
        </is>
      </c>
      <c r="C5969" t="inlineStr">
        <is>
          <t>Electric Toothbrushes</t>
        </is>
      </c>
      <c r="D5969" t="inlineStr">
        <is>
          <t>Eta</t>
        </is>
      </c>
      <c r="E5969" t="n">
        <v>14.95</v>
      </c>
      <c r="F5969" t="n">
        <v>1</v>
      </c>
      <c r="G5969" t="n">
        <v>2</v>
      </c>
      <c r="H5969" s="5">
        <f>HYPERLINK("https://api.qogita.com/variants/link/8590393260720/", "View Product")</f>
        <v/>
      </c>
    </row>
    <row r="5970">
      <c r="A5970" t="inlineStr">
        <is>
          <t>8590393292837</t>
        </is>
      </c>
      <c r="B5970" t="inlineStr">
        <is>
          <t>Undulating Rod Set 4 In 1 Eta Fenité 8327 9</t>
        </is>
      </c>
      <c r="C5970" t="inlineStr">
        <is>
          <t>Facial Massage</t>
        </is>
      </c>
      <c r="D5970" t="inlineStr">
        <is>
          <t>Omega</t>
        </is>
      </c>
      <c r="E5970" t="n">
        <v>48.34</v>
      </c>
      <c r="F5970" t="n">
        <v>1</v>
      </c>
      <c r="G5970" t="n">
        <v>4</v>
      </c>
      <c r="H5970" s="5">
        <f>HYPERLINK("https://api.qogita.com/variants/link/8590393292837/", "View Product")</f>
        <v/>
      </c>
    </row>
    <row r="5971">
      <c r="A5971" t="inlineStr">
        <is>
          <t>8590393405732</t>
        </is>
      </c>
      <c r="B5971" t="inlineStr">
        <is>
          <t>Eta Vital Fitness Body Analysis Scale with App - 18 Measurements Including Body Fat</t>
        </is>
      </c>
      <c r="C5971" t="inlineStr">
        <is>
          <t>Fitness</t>
        </is>
      </c>
      <c r="D5971" t="inlineStr">
        <is>
          <t>Eta</t>
        </is>
      </c>
      <c r="E5971" t="n">
        <v>39.33</v>
      </c>
      <c r="F5971" t="n">
        <v>1</v>
      </c>
      <c r="G5971" t="n">
        <v>3</v>
      </c>
      <c r="H5971" s="5">
        <f>HYPERLINK("https://api.qogita.com/variants/link/8590393405732/", "View Product")</f>
        <v/>
      </c>
    </row>
    <row r="5972">
      <c r="A5972" t="inlineStr">
        <is>
          <t>8590669087532</t>
        </is>
      </c>
      <c r="B5972" t="inlineStr">
        <is>
          <t>Sencor SHD 6600 Hair Dryer Red</t>
        </is>
      </c>
      <c r="C5972" t="inlineStr">
        <is>
          <t>Hair Dryers</t>
        </is>
      </c>
      <c r="D5972" t="inlineStr">
        <is>
          <t>Sencor</t>
        </is>
      </c>
      <c r="E5972" t="n">
        <v>15.4</v>
      </c>
      <c r="F5972" t="n">
        <v>1</v>
      </c>
      <c r="G5972" t="n">
        <v>3</v>
      </c>
      <c r="H5972" s="5">
        <f>HYPERLINK("https://api.qogita.com/variants/link/8590669087532/", "View Product")</f>
        <v/>
      </c>
    </row>
    <row r="5973">
      <c r="A5973" t="inlineStr">
        <is>
          <t>8590669107520</t>
        </is>
      </c>
      <c r="B5973" t="inlineStr">
        <is>
          <t>SENCOR SHS 7551VT Multifunction Curling Iron Purple/Black</t>
        </is>
      </c>
      <c r="C5973" t="inlineStr">
        <is>
          <t>Curling Irons</t>
        </is>
      </c>
      <c r="D5973" t="inlineStr">
        <is>
          <t>Sencor</t>
        </is>
      </c>
      <c r="E5973" t="n">
        <v>30.83</v>
      </c>
      <c r="F5973" t="n">
        <v>1</v>
      </c>
      <c r="G5973" t="n">
        <v>2</v>
      </c>
      <c r="H5973" s="5">
        <f>HYPERLINK("https://api.qogita.com/variants/link/8590669107520/", "View Product")</f>
        <v/>
      </c>
    </row>
    <row r="5974">
      <c r="A5974" t="inlineStr">
        <is>
          <t>8590669240685</t>
        </is>
      </c>
      <c r="B5974" t="inlineStr">
        <is>
          <t>Sencor Hair Dryer for Women</t>
        </is>
      </c>
      <c r="C5974" t="inlineStr">
        <is>
          <t>Hair Dryers</t>
        </is>
      </c>
      <c r="D5974" t="inlineStr">
        <is>
          <t>Sencor</t>
        </is>
      </c>
      <c r="E5974" t="n">
        <v>17.32</v>
      </c>
      <c r="F5974" t="n">
        <v>1</v>
      </c>
      <c r="G5974" t="n">
        <v>3</v>
      </c>
      <c r="H5974" s="5">
        <f>HYPERLINK("https://api.qogita.com/variants/link/8590669240685/", "View Product")</f>
        <v/>
      </c>
    </row>
    <row r="5975">
      <c r="A5975" t="inlineStr">
        <is>
          <t>8590669243020</t>
        </is>
      </c>
      <c r="B5975" t="inlineStr">
        <is>
          <t>SENCOR SOX 002 Sonic Protection Toothbrush Head - Black</t>
        </is>
      </c>
      <c r="C5975" t="inlineStr">
        <is>
          <t>Electric Toothbrushes</t>
        </is>
      </c>
      <c r="D5975" t="inlineStr">
        <is>
          <t>Sencor</t>
        </is>
      </c>
      <c r="E5975" t="n">
        <v>14.8</v>
      </c>
      <c r="F5975" t="n">
        <v>1</v>
      </c>
      <c r="G5975" t="n">
        <v>14</v>
      </c>
      <c r="H5975" s="5">
        <f>HYPERLINK("https://api.qogita.com/variants/link/8590669243020/", "View Product")</f>
        <v/>
      </c>
    </row>
    <row r="5976">
      <c r="A5976" t="inlineStr">
        <is>
          <t>8590669265589</t>
        </is>
      </c>
      <c r="B5976" t="inlineStr">
        <is>
          <t>45W Hair Straightener 100mm x 25mm - Ironing Area</t>
        </is>
      </c>
      <c r="C5976" t="inlineStr">
        <is>
          <t>Hair Straighteners</t>
        </is>
      </c>
      <c r="D5976" t="inlineStr">
        <is>
          <t>Sencor</t>
        </is>
      </c>
      <c r="E5976" t="n">
        <v>15.4</v>
      </c>
      <c r="F5976" t="n">
        <v>1</v>
      </c>
      <c r="G5976" t="n">
        <v>4</v>
      </c>
      <c r="H5976" s="5">
        <f>HYPERLINK("https://api.qogita.com/variants/link/8590669265589/", "View Product")</f>
        <v/>
      </c>
    </row>
    <row r="5977">
      <c r="A5977" t="inlineStr">
        <is>
          <t>8590669265596</t>
        </is>
      </c>
      <c r="B5977" t="inlineStr">
        <is>
          <t>50W Hair Straightener with 100mm x 25mm Ironing Zone</t>
        </is>
      </c>
      <c r="C5977" t="inlineStr">
        <is>
          <t>Hair Straighteners</t>
        </is>
      </c>
      <c r="D5977" t="inlineStr">
        <is>
          <t>Sencor</t>
        </is>
      </c>
      <c r="E5977" t="n">
        <v>21.14</v>
      </c>
      <c r="F5977" t="n">
        <v>1</v>
      </c>
      <c r="G5977" t="n">
        <v>3</v>
      </c>
      <c r="H5977" s="5">
        <f>HYPERLINK("https://api.qogita.com/variants/link/8590669265596/", "View Product")</f>
        <v/>
      </c>
    </row>
    <row r="5978">
      <c r="A5978" t="inlineStr">
        <is>
          <t>8590669313303</t>
        </is>
      </c>
      <c r="B5978" t="inlineStr">
        <is>
          <t>Sencor Shs 8550bk</t>
        </is>
      </c>
      <c r="C5978" t="inlineStr">
        <is>
          <t>Hair Clippers</t>
        </is>
      </c>
      <c r="D5978" t="inlineStr">
        <is>
          <t>Sencor</t>
        </is>
      </c>
      <c r="E5978" t="n">
        <v>32.76</v>
      </c>
      <c r="F5978" t="n">
        <v>1</v>
      </c>
      <c r="G5978" t="n">
        <v>3</v>
      </c>
      <c r="H5978" s="5">
        <f>HYPERLINK("https://api.qogita.com/variants/link/8590669313303/", "View Product")</f>
        <v/>
      </c>
    </row>
    <row r="5979">
      <c r="A5979" t="inlineStr">
        <is>
          <t>8592297002642</t>
        </is>
      </c>
      <c r="B5979" t="inlineStr">
        <is>
          <t>Astrid Peo Deodorant For Feet In Spray 150 Ml</t>
        </is>
      </c>
      <c r="C5979" t="inlineStr">
        <is>
          <t>Deodorant &amp; Anti-Perspirant</t>
        </is>
      </c>
      <c r="D5979" t="inlineStr">
        <is>
          <t>Astrid</t>
        </is>
      </c>
      <c r="E5979" t="n">
        <v>4.38</v>
      </c>
      <c r="F5979" t="n">
        <v>1</v>
      </c>
      <c r="G5979" t="n">
        <v>10</v>
      </c>
      <c r="H5979" s="5">
        <f>HYPERLINK("https://api.qogita.com/variants/link/8592297002642/", "View Product")</f>
        <v/>
      </c>
    </row>
    <row r="5980">
      <c r="A5980" t="inlineStr">
        <is>
          <t>8592297005193</t>
        </is>
      </c>
      <c r="B5980" t="inlineStr">
        <is>
          <t>Aqua Biotic Day and Night Cream 50 ml for Normal and Combination Skin</t>
        </is>
      </c>
      <c r="C5980" t="inlineStr">
        <is>
          <t>Day Cream</t>
        </is>
      </c>
      <c r="D5980" t="inlineStr">
        <is>
          <t>‎- Unknown</t>
        </is>
      </c>
      <c r="E5980" t="n">
        <v>4.84</v>
      </c>
      <c r="F5980" t="n">
        <v>1</v>
      </c>
      <c r="G5980" t="n">
        <v>11</v>
      </c>
      <c r="H5980" s="5">
        <f>HYPERLINK("https://api.qogita.com/variants/link/8592297005193/", "View Product")</f>
        <v/>
      </c>
    </row>
    <row r="5981">
      <c r="A5981" t="inlineStr">
        <is>
          <t>8592297005209</t>
        </is>
      </c>
      <c r="B5981" t="inlineStr">
        <is>
          <t>Astrid - Aqua Biotic Cream Dry And Sensitive Skin - Day And Night Cream</t>
        </is>
      </c>
      <c r="C5981" t="inlineStr">
        <is>
          <t>Day Cream</t>
        </is>
      </c>
      <c r="D5981" t="inlineStr">
        <is>
          <t>Astrid</t>
        </is>
      </c>
      <c r="E5981" t="n">
        <v>4.61</v>
      </c>
      <c r="F5981" t="n">
        <v>1</v>
      </c>
      <c r="G5981" t="n">
        <v>5</v>
      </c>
      <c r="H5981" s="5">
        <f>HYPERLINK("https://api.qogita.com/variants/link/8592297005209/", "View Product")</f>
        <v/>
      </c>
    </row>
    <row r="5982">
      <c r="A5982" t="inlineStr">
        <is>
          <t>8592297006848</t>
        </is>
      </c>
      <c r="B5982" t="inlineStr">
        <is>
          <t>Astrid Vitamin C</t>
        </is>
      </c>
      <c r="C5982" t="inlineStr">
        <is>
          <t>Vitamin</t>
        </is>
      </c>
      <c r="D5982" t="inlineStr">
        <is>
          <t>Astrid</t>
        </is>
      </c>
      <c r="E5982" t="n">
        <v>6.77</v>
      </c>
      <c r="F5982" t="n">
        <v>1</v>
      </c>
      <c r="G5982" t="n">
        <v>8</v>
      </c>
      <c r="H5982" s="5">
        <f>HYPERLINK("https://api.qogita.com/variants/link/8592297006848/", "View Product")</f>
        <v/>
      </c>
    </row>
    <row r="5983">
      <c r="A5983" t="inlineStr">
        <is>
          <t>8592297009849</t>
        </is>
      </c>
      <c r="B5983" t="inlineStr">
        <is>
          <t>Firming and Filling Day Cream SPF 15 Rose Premium 50 ml</t>
        </is>
      </c>
      <c r="C5983" t="inlineStr">
        <is>
          <t>Day Cream</t>
        </is>
      </c>
      <c r="D5983" t="inlineStr">
        <is>
          <t>Astrid</t>
        </is>
      </c>
      <c r="E5983" t="n">
        <v>8.970000000000001</v>
      </c>
      <c r="F5983" t="n">
        <v>1</v>
      </c>
      <c r="G5983" t="n">
        <v>5</v>
      </c>
      <c r="H5983" s="5">
        <f>HYPERLINK("https://api.qogita.com/variants/link/8592297009849/", "View Product")</f>
        <v/>
      </c>
    </row>
    <row r="5984">
      <c r="A5984" t="inlineStr">
        <is>
          <t>8592297009870</t>
        </is>
      </c>
      <c r="B5984" t="inlineStr">
        <is>
          <t>Strengthening and Remodeling Day Cream SPF 15 Rose Premium 50 ml</t>
        </is>
      </c>
      <c r="C5984" t="inlineStr">
        <is>
          <t>Day Cream</t>
        </is>
      </c>
      <c r="D5984" t="inlineStr">
        <is>
          <t>Astrid</t>
        </is>
      </c>
      <c r="E5984" t="n">
        <v>8.970000000000001</v>
      </c>
      <c r="F5984" t="n">
        <v>1</v>
      </c>
      <c r="G5984" t="n">
        <v>5</v>
      </c>
      <c r="H5984" s="5">
        <f>HYPERLINK("https://api.qogita.com/variants/link/8592297009870/", "View Product")</f>
        <v/>
      </c>
    </row>
    <row r="5985">
      <c r="A5985" t="inlineStr">
        <is>
          <t>8592297009887</t>
        </is>
      </c>
      <c r="B5985" t="inlineStr">
        <is>
          <t>Rose Premium Strengthening and Remodeling Night Cream 50 ml</t>
        </is>
      </c>
      <c r="C5985" t="inlineStr">
        <is>
          <t>Night Cream</t>
        </is>
      </c>
      <c r="D5985" t="inlineStr">
        <is>
          <t>Astrid</t>
        </is>
      </c>
      <c r="E5985" t="n">
        <v>8.970000000000001</v>
      </c>
      <c r="F5985" t="n">
        <v>1</v>
      </c>
      <c r="G5985" t="n">
        <v>5</v>
      </c>
      <c r="H5985" s="5">
        <f>HYPERLINK("https://api.qogita.com/variants/link/8592297009887/", "View Product")</f>
        <v/>
      </c>
    </row>
    <row r="5986">
      <c r="A5986" t="inlineStr">
        <is>
          <t>8592297010173</t>
        </is>
      </c>
      <c r="B5986" t="inlineStr">
        <is>
          <t>Astrid Hyaluron 3in1 Micellar Water Twophase Eye And Lip Makeup Remover 125 Ml</t>
        </is>
      </c>
      <c r="C5986" t="inlineStr">
        <is>
          <t>Micellar Water</t>
        </is>
      </c>
      <c r="D5986" t="inlineStr">
        <is>
          <t>Astrid</t>
        </is>
      </c>
      <c r="E5986" t="n">
        <v>4.51</v>
      </c>
      <c r="F5986" t="n">
        <v>1</v>
      </c>
      <c r="G5986" t="n">
        <v>8</v>
      </c>
      <c r="H5986" s="5">
        <f>HYPERLINK("https://api.qogita.com/variants/link/8592297010173/", "View Product")</f>
        <v/>
      </c>
    </row>
    <row r="5987">
      <c r="A5987" t="inlineStr">
        <is>
          <t>8592297010197</t>
        </is>
      </c>
      <c r="B5987" t="inlineStr">
        <is>
          <t>Hydrating Gel Cream for Normal to Combination Skin Hydro X-Cell 50 ml</t>
        </is>
      </c>
      <c r="C5987" t="inlineStr">
        <is>
          <t>Face Cream</t>
        </is>
      </c>
      <c r="D5987" t="inlineStr">
        <is>
          <t>Astrid</t>
        </is>
      </c>
      <c r="E5987" t="n">
        <v>6.61</v>
      </c>
      <c r="F5987" t="n">
        <v>1</v>
      </c>
      <c r="G5987" t="n">
        <v>5</v>
      </c>
      <c r="H5987" s="5">
        <f>HYPERLINK("https://api.qogita.com/variants/link/8592297010197/", "View Product")</f>
        <v/>
      </c>
    </row>
    <row r="5988">
      <c r="A5988" t="inlineStr">
        <is>
          <t>8592297010678</t>
        </is>
      </c>
      <c r="B5988" t="inlineStr">
        <is>
          <t>Str8 Rise Gift Set Deodorant 85 Ml And Shower Gel 250 Ml</t>
        </is>
      </c>
      <c r="C5988" t="inlineStr">
        <is>
          <t>Deodorant &amp; Anti-Perspirant</t>
        </is>
      </c>
      <c r="D5988" t="inlineStr">
        <is>
          <t>Str8</t>
        </is>
      </c>
      <c r="E5988" t="n">
        <v>10.39</v>
      </c>
      <c r="F5988" t="n">
        <v>1</v>
      </c>
      <c r="G5988" t="n">
        <v>8</v>
      </c>
      <c r="H5988" s="5">
        <f>HYPERLINK("https://api.qogita.com/variants/link/8592297010678/", "View Product")</f>
        <v/>
      </c>
    </row>
    <row r="5989">
      <c r="A5989" t="inlineStr">
        <is>
          <t>8592297010913</t>
        </is>
      </c>
      <c r="B5989" t="inlineStr">
        <is>
          <t>Suntan oil SPF 30 Sun 200 ml</t>
        </is>
      </c>
      <c r="C5989" t="inlineStr">
        <is>
          <t>Body Sun Protection</t>
        </is>
      </c>
      <c r="D5989" t="inlineStr">
        <is>
          <t>Astrid</t>
        </is>
      </c>
      <c r="E5989" t="n">
        <v>9.49</v>
      </c>
      <c r="F5989" t="n">
        <v>1</v>
      </c>
      <c r="G5989" t="n">
        <v>4</v>
      </c>
      <c r="H5989" s="5">
        <f>HYPERLINK("https://api.qogita.com/variants/link/8592297010913/", "View Product")</f>
        <v/>
      </c>
    </row>
    <row r="5990">
      <c r="A5990" t="inlineStr">
        <is>
          <t>8592297011668</t>
        </is>
      </c>
      <c r="B5990" t="inlineStr">
        <is>
          <t>Astrid Anti-Wrinkle And Elasticity Restoring Day Cream Spf 10 Multi Collagen - 50 Ml</t>
        </is>
      </c>
      <c r="C5990" t="inlineStr">
        <is>
          <t>Day Cream</t>
        </is>
      </c>
      <c r="D5990" t="inlineStr">
        <is>
          <t>Astrid</t>
        </is>
      </c>
      <c r="E5990" t="n">
        <v>8.970000000000001</v>
      </c>
      <c r="F5990" t="n">
        <v>1</v>
      </c>
      <c r="G5990" t="n">
        <v>5</v>
      </c>
      <c r="H5990" s="5">
        <f>HYPERLINK("https://api.qogita.com/variants/link/8592297011668/", "View Product")</f>
        <v/>
      </c>
    </row>
    <row r="5991">
      <c r="A5991" t="inlineStr">
        <is>
          <t>8592297011675</t>
        </is>
      </c>
      <c r="B5991" t="inlineStr">
        <is>
          <t>Astrid Anti-Wrinkle And Elasticity Restoring Night Cream Multi Collagen 50 Ml</t>
        </is>
      </c>
      <c r="C5991" t="inlineStr">
        <is>
          <t>Night Cream</t>
        </is>
      </c>
      <c r="D5991" t="inlineStr">
        <is>
          <t>Astrid</t>
        </is>
      </c>
      <c r="E5991" t="n">
        <v>8.970000000000001</v>
      </c>
      <c r="F5991" t="n">
        <v>1</v>
      </c>
      <c r="G5991" t="n">
        <v>5</v>
      </c>
      <c r="H5991" s="5">
        <f>HYPERLINK("https://api.qogita.com/variants/link/8592297011675/", "View Product")</f>
        <v/>
      </c>
    </row>
    <row r="5992">
      <c r="A5992" t="inlineStr">
        <is>
          <t>8592297012030</t>
        </is>
      </c>
      <c r="B5992" t="inlineStr">
        <is>
          <t>Astrid Anti-Wrinkle Filling Night Cream With Gold Proteins Hyaluronic Gold - 50 Ml</t>
        </is>
      </c>
      <c r="C5992" t="inlineStr">
        <is>
          <t>Night Cream</t>
        </is>
      </c>
      <c r="D5992" t="inlineStr">
        <is>
          <t>Astrid</t>
        </is>
      </c>
      <c r="E5992" t="n">
        <v>8.970000000000001</v>
      </c>
      <c r="F5992" t="n">
        <v>1</v>
      </c>
      <c r="G5992" t="n">
        <v>5</v>
      </c>
      <c r="H5992" s="5">
        <f>HYPERLINK("https://api.qogita.com/variants/link/8592297012030/", "View Product")</f>
        <v/>
      </c>
    </row>
    <row r="5993">
      <c r="A5993" t="inlineStr">
        <is>
          <t>8592297012450</t>
        </is>
      </c>
      <c r="B5993" t="inlineStr">
        <is>
          <t>Astrid Sunscreen Fluid Spf 50+ 50 Ml</t>
        </is>
      </c>
      <c r="C5993" t="inlineStr">
        <is>
          <t>Face Sun Protection</t>
        </is>
      </c>
      <c r="D5993" t="inlineStr">
        <is>
          <t>Astrid</t>
        </is>
      </c>
      <c r="E5993" t="n">
        <v>7.57</v>
      </c>
      <c r="F5993" t="n">
        <v>1</v>
      </c>
      <c r="G5993" t="n">
        <v>11</v>
      </c>
      <c r="H5993" s="5">
        <f>HYPERLINK("https://api.qogita.com/variants/link/8592297012450/", "View Product")</f>
        <v/>
      </c>
    </row>
    <row r="5994">
      <c r="A5994" t="inlineStr">
        <is>
          <t>8592297012559</t>
        </is>
      </c>
      <c r="B5994" t="inlineStr">
        <is>
          <t>Astrid Children's Sunscreen Lotion Sensitive Spf 50+ 60 Ml</t>
        </is>
      </c>
      <c r="C5994" t="inlineStr">
        <is>
          <t>Sun Protection For Children</t>
        </is>
      </c>
      <c r="D5994" t="inlineStr">
        <is>
          <t>Astrid</t>
        </is>
      </c>
      <c r="E5994" t="n">
        <v>7.57</v>
      </c>
      <c r="F5994" t="n">
        <v>1</v>
      </c>
      <c r="G5994" t="n">
        <v>22</v>
      </c>
      <c r="H5994" s="5">
        <f>HYPERLINK("https://api.qogita.com/variants/link/8592297012559/", "View Product")</f>
        <v/>
      </c>
    </row>
    <row r="5995">
      <c r="A5995" t="inlineStr">
        <is>
          <t>8592297012573</t>
        </is>
      </c>
      <c r="B5995" t="inlineStr">
        <is>
          <t>Astrid Clear Control Blackhead Patches - 6 Pieces</t>
        </is>
      </c>
      <c r="C5995" t="inlineStr">
        <is>
          <t>Blackhead Masks</t>
        </is>
      </c>
      <c r="D5995" t="inlineStr">
        <is>
          <t>Astrid</t>
        </is>
      </c>
      <c r="E5995" t="n">
        <v>5.44</v>
      </c>
      <c r="F5995" t="n">
        <v>1</v>
      </c>
      <c r="G5995" t="n">
        <v>5</v>
      </c>
      <c r="H5995" s="5">
        <f>HYPERLINK("https://api.qogita.com/variants/link/8592297012573/", "View Product")</f>
        <v/>
      </c>
    </row>
    <row r="5996">
      <c r="A5996" t="inlineStr">
        <is>
          <t>8592297013167</t>
        </is>
      </c>
      <c r="B5996" t="inlineStr">
        <is>
          <t>Astrid Sunscreen Spf 30 Super Mat - 50 Ml</t>
        </is>
      </c>
      <c r="C5996" t="inlineStr">
        <is>
          <t>Face Sun Protection</t>
        </is>
      </c>
      <c r="D5996" t="inlineStr">
        <is>
          <t>Astrid</t>
        </is>
      </c>
      <c r="E5996" t="n">
        <v>6.76</v>
      </c>
      <c r="F5996" t="n">
        <v>1</v>
      </c>
      <c r="G5996" t="n">
        <v>21</v>
      </c>
      <c r="H5996" s="5">
        <f>HYPERLINK("https://api.qogita.com/variants/link/8592297013167/", "View Product")</f>
        <v/>
      </c>
    </row>
    <row r="5997">
      <c r="A5997" t="inlineStr">
        <is>
          <t>8592807480472</t>
        </is>
      </c>
      <c r="B5997" t="inlineStr">
        <is>
          <t>Garnier Skin Naturals Rose Cream Gift Set For Sensitive Skin</t>
        </is>
      </c>
      <c r="C5997" t="inlineStr">
        <is>
          <t>Facial Care Sets</t>
        </is>
      </c>
      <c r="D5997" t="inlineStr">
        <is>
          <t>Garnier</t>
        </is>
      </c>
      <c r="E5997" t="n">
        <v>11.54</v>
      </c>
      <c r="F5997" t="n">
        <v>1</v>
      </c>
      <c r="G5997" t="n">
        <v>3</v>
      </c>
      <c r="H5997" s="5">
        <f>HYPERLINK("https://api.qogita.com/variants/link/8592807480472/", "View Product")</f>
        <v/>
      </c>
    </row>
    <row r="5998">
      <c r="A5998" t="inlineStr">
        <is>
          <t>8592807508794</t>
        </is>
      </c>
      <c r="B5998" t="inlineStr">
        <is>
          <t>L'Oréal Paris Hyaluron Specialist 50ml</t>
        </is>
      </c>
      <c r="C5998" t="inlineStr">
        <is>
          <t>Hyaluronic Acid Serum</t>
        </is>
      </c>
      <c r="D5998" t="inlineStr">
        <is>
          <t>L'Oréal</t>
        </is>
      </c>
      <c r="E5998" t="n">
        <v>19.55</v>
      </c>
      <c r="F5998" t="n">
        <v>1</v>
      </c>
      <c r="G5998" t="n">
        <v>5</v>
      </c>
      <c r="H5998" s="5">
        <f>HYPERLINK("https://api.qogita.com/variants/link/8592807508794/", "View Product")</f>
        <v/>
      </c>
    </row>
    <row r="5999">
      <c r="A5999" t="inlineStr">
        <is>
          <t>8594001779840</t>
        </is>
      </c>
      <c r="B5999" t="inlineStr">
        <is>
          <t>ALPA Herbal Massage Cream with Chestnut</t>
        </is>
      </c>
      <c r="C5999" t="inlineStr">
        <is>
          <t>Body Lotion</t>
        </is>
      </c>
      <c r="D5999" t="inlineStr">
        <is>
          <t>Alpa</t>
        </is>
      </c>
      <c r="E5999" t="n">
        <v>4.17</v>
      </c>
      <c r="F5999" t="n">
        <v>1</v>
      </c>
      <c r="G5999" t="n">
        <v>27</v>
      </c>
      <c r="H5999" s="5">
        <f>HYPERLINK("https://api.qogita.com/variants/link/8594001779840/", "View Product")</f>
        <v/>
      </c>
    </row>
    <row r="6000">
      <c r="A6000" t="inlineStr">
        <is>
          <t>8594006380447</t>
        </is>
      </c>
      <c r="B6000" t="inlineStr">
        <is>
          <t>Balance Repair Mask 100 ml</t>
        </is>
      </c>
      <c r="C6000" t="inlineStr">
        <is>
          <t>Hydrating Mask</t>
        </is>
      </c>
      <c r="D6000" t="inlineStr">
        <is>
          <t>Perfektgarten</t>
        </is>
      </c>
      <c r="E6000" t="n">
        <v>13.1</v>
      </c>
      <c r="F6000" t="n">
        <v>1</v>
      </c>
      <c r="G6000" t="n">
        <v>4</v>
      </c>
      <c r="H6000" s="5">
        <f>HYPERLINK("https://api.qogita.com/variants/link/8594006380447/", "View Product")</f>
        <v/>
      </c>
    </row>
    <row r="6001">
      <c r="A6001" t="inlineStr">
        <is>
          <t>8594006380799</t>
        </is>
      </c>
      <c r="B6001" t="inlineStr">
        <is>
          <t>Green Tea Shampoo 250 ml</t>
        </is>
      </c>
      <c r="C6001" t="inlineStr">
        <is>
          <t>Shampoo</t>
        </is>
      </c>
      <c r="D6001" t="inlineStr">
        <is>
          <t>Tomas Arsov</t>
        </is>
      </c>
      <c r="E6001" t="n">
        <v>9.81</v>
      </c>
      <c r="F6001" t="n">
        <v>1</v>
      </c>
      <c r="G6001" t="n">
        <v>2</v>
      </c>
      <c r="H6001" s="5">
        <f>HYPERLINK("https://api.qogita.com/variants/link/8594006380799/", "View Product")</f>
        <v/>
      </c>
    </row>
    <row r="6002">
      <c r="A6002" t="inlineStr">
        <is>
          <t>8594007970074</t>
        </is>
      </c>
      <c r="B6002" t="inlineStr">
        <is>
          <t>Ryor Comedones Softener Gel</t>
        </is>
      </c>
      <c r="C6002" t="inlineStr">
        <is>
          <t>Pimple &amp; Blackhead Treatments</t>
        </is>
      </c>
      <c r="D6002" t="inlineStr">
        <is>
          <t>Ryor</t>
        </is>
      </c>
      <c r="E6002" t="n">
        <v>9.529999999999999</v>
      </c>
      <c r="F6002" t="n">
        <v>1</v>
      </c>
      <c r="G6002" t="n">
        <v>8</v>
      </c>
      <c r="H6002" s="5">
        <f>HYPERLINK("https://api.qogita.com/variants/link/8594007970074/", "View Product")</f>
        <v/>
      </c>
    </row>
    <row r="6003">
      <c r="A6003" t="inlineStr">
        <is>
          <t>8594007970432</t>
        </is>
      </c>
      <c r="B6003" t="inlineStr">
        <is>
          <t>Ryor Brightening 8in1 Medium Makeup</t>
        </is>
      </c>
      <c r="C6003" t="inlineStr">
        <is>
          <t>Foundation</t>
        </is>
      </c>
      <c r="D6003" t="inlineStr">
        <is>
          <t>Ryor</t>
        </is>
      </c>
      <c r="E6003" t="n">
        <v>10.07</v>
      </c>
      <c r="F6003" t="n">
        <v>1</v>
      </c>
      <c r="G6003" t="n">
        <v>9</v>
      </c>
      <c r="H6003" s="5">
        <f>HYPERLINK("https://api.qogita.com/variants/link/8594007970432/", "View Product")</f>
        <v/>
      </c>
    </row>
    <row r="6004">
      <c r="A6004" t="inlineStr">
        <is>
          <t>8594007970814</t>
        </is>
      </c>
      <c r="B6004" t="inlineStr">
        <is>
          <t>Ryor Anti-Acne Roll-On with Iris for Problematic Skin</t>
        </is>
      </c>
      <c r="C6004" t="inlineStr">
        <is>
          <t>Pimple &amp; Blackhead Treatments</t>
        </is>
      </c>
      <c r="D6004" t="inlineStr">
        <is>
          <t>Ryor</t>
        </is>
      </c>
      <c r="E6004" t="n">
        <v>4.5</v>
      </c>
      <c r="F6004" t="n">
        <v>1</v>
      </c>
      <c r="G6004" t="n">
        <v>15</v>
      </c>
      <c r="H6004" s="5">
        <f>HYPERLINK("https://api.qogita.com/variants/link/8594007970814/", "View Product")</f>
        <v/>
      </c>
    </row>
    <row r="6005">
      <c r="A6005" t="inlineStr">
        <is>
          <t>8594007970944</t>
        </is>
      </c>
      <c r="B6005" t="inlineStr">
        <is>
          <t>Ryor Sun Care Lotion SPF 30 200ml</t>
        </is>
      </c>
      <c r="C6005" t="inlineStr">
        <is>
          <t>Body Sun Protection</t>
        </is>
      </c>
      <c r="D6005" t="inlineStr">
        <is>
          <t>Ryor</t>
        </is>
      </c>
      <c r="E6005" t="n">
        <v>10.83</v>
      </c>
      <c r="F6005" t="n">
        <v>1</v>
      </c>
      <c r="G6005" t="n">
        <v>5</v>
      </c>
      <c r="H6005" s="5">
        <f>HYPERLINK("https://api.qogita.com/variants/link/8594007970944/", "View Product")</f>
        <v/>
      </c>
    </row>
    <row r="6006">
      <c r="A6006" t="inlineStr">
        <is>
          <t>8594007970975</t>
        </is>
      </c>
      <c r="B6006" t="inlineStr">
        <is>
          <t>Ryor Satin Moisturizing Serum with Ceramides</t>
        </is>
      </c>
      <c r="C6006" t="inlineStr">
        <is>
          <t>Hydrating Serum</t>
        </is>
      </c>
      <c r="D6006" t="inlineStr">
        <is>
          <t>Ryor</t>
        </is>
      </c>
      <c r="E6006" t="n">
        <v>10.48</v>
      </c>
      <c r="F6006" t="n">
        <v>1</v>
      </c>
      <c r="G6006" t="n">
        <v>3</v>
      </c>
      <c r="H6006" s="5">
        <f>HYPERLINK("https://api.qogita.com/variants/link/8594007970975/", "View Product")</f>
        <v/>
      </c>
    </row>
    <row r="6007">
      <c r="A6007" t="inlineStr">
        <is>
          <t>8594007972160</t>
        </is>
      </c>
      <c r="B6007" t="inlineStr">
        <is>
          <t>Ryor Mattifying Cream with Powder-Effect</t>
        </is>
      </c>
      <c r="C6007" t="inlineStr">
        <is>
          <t>Face Cream</t>
        </is>
      </c>
      <c r="D6007" t="inlineStr">
        <is>
          <t>Ryor</t>
        </is>
      </c>
      <c r="E6007" t="n">
        <v>8.23</v>
      </c>
      <c r="F6007" t="n">
        <v>1</v>
      </c>
      <c r="G6007" t="n">
        <v>14</v>
      </c>
      <c r="H6007" s="5">
        <f>HYPERLINK("https://api.qogita.com/variants/link/8594007972160/", "View Product")</f>
        <v/>
      </c>
    </row>
    <row r="6008">
      <c r="A6008" t="inlineStr">
        <is>
          <t>8594007972177</t>
        </is>
      </c>
      <c r="B6008" t="inlineStr">
        <is>
          <t>Ryor Cream with Phytosphingosine and Iris StopAcne</t>
        </is>
      </c>
      <c r="C6008" t="inlineStr">
        <is>
          <t>Pimple &amp; Blackhead Treatments</t>
        </is>
      </c>
      <c r="D6008" t="inlineStr">
        <is>
          <t>Ryor</t>
        </is>
      </c>
      <c r="E6008" t="n">
        <v>6.16</v>
      </c>
      <c r="F6008" t="n">
        <v>1</v>
      </c>
      <c r="G6008" t="n">
        <v>10</v>
      </c>
      <c r="H6008" s="5">
        <f>HYPERLINK("https://api.qogita.com/variants/link/8594007972177/", "View Product")</f>
        <v/>
      </c>
    </row>
    <row r="6009">
      <c r="A6009" t="inlineStr">
        <is>
          <t>8594007972894</t>
        </is>
      </c>
      <c r="B6009" t="inlineStr">
        <is>
          <t>Ryor Collagen Mask with Hyaluronic Acid</t>
        </is>
      </c>
      <c r="C6009" t="inlineStr">
        <is>
          <t>Anti-Aging Mask</t>
        </is>
      </c>
      <c r="D6009" t="inlineStr">
        <is>
          <t>Ryor</t>
        </is>
      </c>
      <c r="E6009" t="n">
        <v>5.84</v>
      </c>
      <c r="F6009" t="n">
        <v>1</v>
      </c>
      <c r="G6009" t="n">
        <v>9</v>
      </c>
      <c r="H6009" s="5">
        <f>HYPERLINK("https://api.qogita.com/variants/link/8594007972894/", "View Product")</f>
        <v/>
      </c>
    </row>
    <row r="6010">
      <c r="A6010" t="inlineStr">
        <is>
          <t>8594007975697</t>
        </is>
      </c>
      <c r="B6010" t="inlineStr">
        <is>
          <t>Ryor Peel-Off Gel Mask</t>
        </is>
      </c>
      <c r="C6010" t="inlineStr">
        <is>
          <t>Purifying Mask</t>
        </is>
      </c>
      <c r="D6010" t="inlineStr">
        <is>
          <t>Ryor</t>
        </is>
      </c>
      <c r="E6010" t="n">
        <v>4.37</v>
      </c>
      <c r="F6010" t="n">
        <v>1</v>
      </c>
      <c r="G6010" t="n">
        <v>14</v>
      </c>
      <c r="H6010" s="5">
        <f>HYPERLINK("https://api.qogita.com/variants/link/8594007975697/", "View Product")</f>
        <v/>
      </c>
    </row>
    <row r="6011">
      <c r="A6011" t="inlineStr">
        <is>
          <t>8594033411572</t>
        </is>
      </c>
      <c r="B6011" t="inlineStr">
        <is>
          <t>Surgana Zebra Manicure Set 5 Tools</t>
        </is>
      </c>
      <c r="C6011" t="inlineStr">
        <is>
          <t>Manicure Sets</t>
        </is>
      </c>
      <c r="D6011" t="inlineStr">
        <is>
          <t>SurgiCare</t>
        </is>
      </c>
      <c r="E6011" t="n">
        <v>16.76</v>
      </c>
      <c r="F6011" t="n">
        <v>1</v>
      </c>
      <c r="G6011" t="n">
        <v>5</v>
      </c>
      <c r="H6011" s="5">
        <f>HYPERLINK("https://api.qogita.com/variants/link/8594033411572/", "View Product")</f>
        <v/>
      </c>
    </row>
    <row r="6012">
      <c r="A6012" t="inlineStr">
        <is>
          <t>8594033411909</t>
        </is>
      </c>
      <c r="B6012" t="inlineStr">
        <is>
          <t>Surgana Crocodile Manicure Set 3 Tools</t>
        </is>
      </c>
      <c r="C6012" t="inlineStr">
        <is>
          <t>Manicure Sets</t>
        </is>
      </c>
      <c r="D6012" t="inlineStr">
        <is>
          <t>SurgiCare</t>
        </is>
      </c>
      <c r="E6012" t="n">
        <v>10.84</v>
      </c>
      <c r="F6012" t="n">
        <v>1</v>
      </c>
      <c r="G6012" t="n">
        <v>2</v>
      </c>
      <c r="H6012" s="5">
        <f>HYPERLINK("https://api.qogita.com/variants/link/8594033411909/", "View Product")</f>
        <v/>
      </c>
    </row>
    <row r="6013">
      <c r="A6013" t="inlineStr">
        <is>
          <t>8594040045401</t>
        </is>
      </c>
      <c r="B6013" t="inlineStr">
        <is>
          <t>Oranjito Tanning Acid Pineapple Accelerator 200 Ml</t>
        </is>
      </c>
      <c r="C6013" t="inlineStr">
        <is>
          <t>Body Self-Tanner</t>
        </is>
      </c>
      <c r="D6013" t="inlineStr">
        <is>
          <t>Oranjito</t>
        </is>
      </c>
      <c r="E6013" t="n">
        <v>11.67</v>
      </c>
      <c r="F6013" t="n">
        <v>1</v>
      </c>
      <c r="G6013" t="n">
        <v>4</v>
      </c>
      <c r="H6013" s="5">
        <f>HYPERLINK("https://api.qogita.com/variants/link/8594040045401/", "View Product")</f>
        <v/>
      </c>
    </row>
    <row r="6014">
      <c r="A6014" t="inlineStr">
        <is>
          <t>8594040047719</t>
        </is>
      </c>
      <c r="B6014" t="inlineStr">
        <is>
          <t>Oranjito Wild Caramel Solarium Milk Accelerator - 200 Ml</t>
        </is>
      </c>
      <c r="C6014" t="inlineStr">
        <is>
          <t>Aftersun</t>
        </is>
      </c>
      <c r="D6014" t="inlineStr">
        <is>
          <t>Oranjito</t>
        </is>
      </c>
      <c r="E6014" t="n">
        <v>9.19</v>
      </c>
      <c r="F6014" t="n">
        <v>1</v>
      </c>
      <c r="G6014" t="n">
        <v>4</v>
      </c>
      <c r="H6014" s="5">
        <f>HYPERLINK("https://api.qogita.com/variants/link/8594040047719/", "View Product")</f>
        <v/>
      </c>
    </row>
    <row r="6015">
      <c r="A6015" t="inlineStr">
        <is>
          <t>8594040048532</t>
        </is>
      </c>
      <c r="B6015" t="inlineStr">
        <is>
          <t>Oranjito Solarium Sunscreen Sexy Bronze Accelerator 200 Ml</t>
        </is>
      </c>
      <c r="C6015" t="inlineStr">
        <is>
          <t>Body Self-Tanner</t>
        </is>
      </c>
      <c r="D6015" t="inlineStr">
        <is>
          <t>Oranjito</t>
        </is>
      </c>
      <c r="E6015" t="n">
        <v>9.19</v>
      </c>
      <c r="F6015" t="n">
        <v>1</v>
      </c>
      <c r="G6015" t="n">
        <v>3</v>
      </c>
      <c r="H6015" s="5">
        <f>HYPERLINK("https://api.qogita.com/variants/link/8594040048532/", "View Product")</f>
        <v/>
      </c>
    </row>
    <row r="6016">
      <c r="A6016" t="inlineStr">
        <is>
          <t>8594040048594</t>
        </is>
      </c>
      <c r="B6016" t="inlineStr">
        <is>
          <t>Brazil Orange Accelerator Suntan Lotion 200 ml</t>
        </is>
      </c>
      <c r="C6016" t="inlineStr">
        <is>
          <t>Body Sun Protection</t>
        </is>
      </c>
      <c r="D6016" t="inlineStr">
        <is>
          <t>Oranjito</t>
        </is>
      </c>
      <c r="E6016" t="n">
        <v>11.67</v>
      </c>
      <c r="F6016" t="n">
        <v>1</v>
      </c>
      <c r="G6016" t="n">
        <v>4</v>
      </c>
      <c r="H6016" s="5">
        <f>HYPERLINK("https://api.qogita.com/variants/link/8594040048594/", "View Product")</f>
        <v/>
      </c>
    </row>
    <row r="6017">
      <c r="A6017" t="inlineStr">
        <is>
          <t>8594040048662</t>
        </is>
      </c>
      <c r="B6017" t="inlineStr">
        <is>
          <t>Cinnamon Anti-Cellulite Tea Gel</t>
        </is>
      </c>
      <c r="C6017" t="inlineStr">
        <is>
          <t>Anti-Cellulite</t>
        </is>
      </c>
      <c r="D6017" t="inlineStr">
        <is>
          <t>Oranjito</t>
        </is>
      </c>
      <c r="E6017" t="n">
        <v>7.69</v>
      </c>
      <c r="F6017" t="n">
        <v>1</v>
      </c>
      <c r="G6017" t="n">
        <v>7</v>
      </c>
      <c r="H6017" s="5">
        <f>HYPERLINK("https://api.qogita.com/variants/link/8594040048662/", "View Product")</f>
        <v/>
      </c>
    </row>
    <row r="6018">
      <c r="A6018" t="inlineStr">
        <is>
          <t>8594040066208</t>
        </is>
      </c>
      <c r="B6018" t="inlineStr">
        <is>
          <t>Oranjito Massage Milk With Aloe Vera Massage Pro 750 Ml</t>
        </is>
      </c>
      <c r="C6018" t="inlineStr">
        <is>
          <t>Body Lotion</t>
        </is>
      </c>
      <c r="D6018" t="inlineStr">
        <is>
          <t>Oranjito</t>
        </is>
      </c>
      <c r="E6018" t="n">
        <v>9.19</v>
      </c>
      <c r="F6018" t="n">
        <v>1</v>
      </c>
      <c r="G6018" t="n">
        <v>2</v>
      </c>
      <c r="H6018" s="5">
        <f>HYPERLINK("https://api.qogita.com/variants/link/8594040066208/", "View Product")</f>
        <v/>
      </c>
    </row>
    <row r="6019">
      <c r="A6019" t="inlineStr">
        <is>
          <t>8594057392901</t>
        </is>
      </c>
      <c r="B6019" t="inlineStr">
        <is>
          <t>Sefiros Makesha M6 - Cosmetic Brush</t>
        </is>
      </c>
      <c r="C6019" t="inlineStr">
        <is>
          <t>Brush Sets</t>
        </is>
      </c>
      <c r="D6019" t="inlineStr">
        <is>
          <t>Sefiros</t>
        </is>
      </c>
      <c r="E6019" t="n">
        <v>3.16</v>
      </c>
      <c r="F6019" t="n">
        <v>1</v>
      </c>
      <c r="G6019" t="n">
        <v>46</v>
      </c>
      <c r="H6019" s="5">
        <f>HYPERLINK("https://api.qogita.com/variants/link/8594057392901/", "View Product")</f>
        <v/>
      </c>
    </row>
    <row r="6020">
      <c r="A6020" t="inlineStr">
        <is>
          <t>8594057393151</t>
        </is>
      </c>
      <c r="B6020" t="inlineStr">
        <is>
          <t>Sefiros Argan Oil Conditioner With Minerals From The Dead Sea 300 Ml</t>
        </is>
      </c>
      <c r="C6020" t="inlineStr">
        <is>
          <t>Conditioner</t>
        </is>
      </c>
      <c r="D6020" t="inlineStr">
        <is>
          <t>Sefiros</t>
        </is>
      </c>
      <c r="E6020" t="n">
        <v>5.04</v>
      </c>
      <c r="F6020" t="n">
        <v>1</v>
      </c>
      <c r="G6020" t="n">
        <v>35</v>
      </c>
      <c r="H6020" s="5">
        <f>HYPERLINK("https://api.qogita.com/variants/link/8594057393151/", "View Product")</f>
        <v/>
      </c>
    </row>
    <row r="6021">
      <c r="A6021" t="inlineStr">
        <is>
          <t>8594057393502</t>
        </is>
      </c>
      <c r="B6021" t="inlineStr">
        <is>
          <t>Sefiros Argan Oil Day Cream - 50 Ml</t>
        </is>
      </c>
      <c r="C6021" t="inlineStr">
        <is>
          <t>Day Cream</t>
        </is>
      </c>
      <c r="D6021" t="inlineStr">
        <is>
          <t>Sefiros</t>
        </is>
      </c>
      <c r="E6021" t="n">
        <v>8.130000000000001</v>
      </c>
      <c r="F6021" t="n">
        <v>1</v>
      </c>
      <c r="G6021" t="n">
        <v>160</v>
      </c>
      <c r="H6021" s="5">
        <f>HYPERLINK("https://api.qogita.com/variants/link/8594057393502/", "View Product")</f>
        <v/>
      </c>
    </row>
    <row r="6022">
      <c r="A6022" t="inlineStr">
        <is>
          <t>8594069332964</t>
        </is>
      </c>
      <c r="B6022" t="inlineStr">
        <is>
          <t>Vitalcare White Pearl Nano Care Toothpaste 50 G</t>
        </is>
      </c>
      <c r="C6022" t="inlineStr">
        <is>
          <t>Toothpaste</t>
        </is>
      </c>
      <c r="D6022" t="inlineStr">
        <is>
          <t>Vitalcare</t>
        </is>
      </c>
      <c r="E6022" t="n">
        <v>4.82</v>
      </c>
      <c r="F6022" t="n">
        <v>1</v>
      </c>
      <c r="G6022" t="n">
        <v>4</v>
      </c>
      <c r="H6022" s="5">
        <f>HYPERLINK("https://api.qogita.com/variants/link/8594069332964/", "View Product")</f>
        <v/>
      </c>
    </row>
    <row r="6023">
      <c r="A6023" t="inlineStr">
        <is>
          <t>8594162056859</t>
        </is>
      </c>
      <c r="B6023" t="inlineStr">
        <is>
          <t>Vivaco Vivapharm Goat's Milk Shower Gel 400ml</t>
        </is>
      </c>
      <c r="C6023" t="inlineStr">
        <is>
          <t>Shower Gel</t>
        </is>
      </c>
      <c r="D6023" t="inlineStr">
        <is>
          <t>Vivaco</t>
        </is>
      </c>
      <c r="E6023" t="n">
        <v>2.98</v>
      </c>
      <c r="F6023" t="n">
        <v>1</v>
      </c>
      <c r="G6023" t="n">
        <v>3</v>
      </c>
      <c r="H6023" s="5">
        <f>HYPERLINK("https://api.qogita.com/variants/link/8594162056859/", "View Product")</f>
        <v/>
      </c>
    </row>
    <row r="6024">
      <c r="A6024" t="inlineStr">
        <is>
          <t>8594162058662</t>
        </is>
      </c>
      <c r="B6024" t="inlineStr">
        <is>
          <t>Sun Argan Bronz Oil Suntan Butter 200ml</t>
        </is>
      </c>
      <c r="C6024" t="inlineStr">
        <is>
          <t>Body Sun Protection</t>
        </is>
      </c>
      <c r="D6024" t="inlineStr">
        <is>
          <t>Vivaco</t>
        </is>
      </c>
      <c r="E6024" t="n">
        <v>5.61</v>
      </c>
      <c r="F6024" t="n">
        <v>1</v>
      </c>
      <c r="G6024" t="n">
        <v>4</v>
      </c>
      <c r="H6024" s="5">
        <f>HYPERLINK("https://api.qogita.com/variants/link/8594162058662/", "View Product")</f>
        <v/>
      </c>
    </row>
    <row r="6025">
      <c r="A6025" t="inlineStr">
        <is>
          <t>8594166106611</t>
        </is>
      </c>
      <c r="B6025" t="inlineStr">
        <is>
          <t>Beautyrelax Derma Twin Br1170 Cosmetic Device For Deep Cleansing And Rejuvenating Skin</t>
        </is>
      </c>
      <c r="C6025" t="inlineStr">
        <is>
          <t>Facial Cleansing Tools</t>
        </is>
      </c>
      <c r="D6025" t="inlineStr">
        <is>
          <t>Beautyrelax</t>
        </is>
      </c>
      <c r="E6025" t="n">
        <v>90.91</v>
      </c>
      <c r="F6025" t="n">
        <v>1</v>
      </c>
      <c r="G6025" t="n">
        <v>2</v>
      </c>
      <c r="H6025" s="5">
        <f>HYPERLINK("https://api.qogita.com/variants/link/8594166106611/", "View Product")</f>
        <v/>
      </c>
    </row>
    <row r="6026">
      <c r="A6026" t="inlineStr">
        <is>
          <t>8594166116924</t>
        </is>
      </c>
      <c r="B6026" t="inlineStr">
        <is>
          <t>RFlift BR-1500 Cosmetic Device for Wrinkles</t>
        </is>
      </c>
      <c r="C6026" t="inlineStr">
        <is>
          <t>Facial Massage</t>
        </is>
      </c>
      <c r="D6026" t="inlineStr">
        <is>
          <t>Beautyrelax</t>
        </is>
      </c>
      <c r="E6026" t="n">
        <v>102.36</v>
      </c>
      <c r="F6026" t="n">
        <v>1</v>
      </c>
      <c r="G6026" t="n">
        <v>5</v>
      </c>
      <c r="H6026" s="5">
        <f>HYPERLINK("https://api.qogita.com/variants/link/8594166116924/", "View Product")</f>
        <v/>
      </c>
    </row>
    <row r="6027">
      <c r="A6027" t="inlineStr">
        <is>
          <t>8594166118843</t>
        </is>
      </c>
      <c r="B6027" t="inlineStr">
        <is>
          <t>Beauty-Relax Peel Clean - Ultrasound Spatula</t>
        </is>
      </c>
      <c r="C6027" t="inlineStr">
        <is>
          <t>Facial Cleansing Tools</t>
        </is>
      </c>
      <c r="D6027" t="inlineStr">
        <is>
          <t>Beautyrelax</t>
        </is>
      </c>
      <c r="E6027" t="n">
        <v>52.91</v>
      </c>
      <c r="F6027" t="n">
        <v>1</v>
      </c>
      <c r="G6027" t="n">
        <v>2</v>
      </c>
      <c r="H6027" s="5">
        <f>HYPERLINK("https://api.qogita.com/variants/link/8594166118843/", "View Product")</f>
        <v/>
      </c>
    </row>
    <row r="6028">
      <c r="A6028" t="inlineStr">
        <is>
          <t>8594177062128</t>
        </is>
      </c>
      <c r="B6028" t="inlineStr">
        <is>
          <t>Collagen Powder 5000 mg 30 Sachets</t>
        </is>
      </c>
      <c r="C6028" t="inlineStr">
        <is>
          <t>Anti-Aging</t>
        </is>
      </c>
      <c r="D6028" t="inlineStr">
        <is>
          <t>Collamedic</t>
        </is>
      </c>
      <c r="E6028" t="n">
        <v>33.78</v>
      </c>
      <c r="F6028" t="n">
        <v>1</v>
      </c>
      <c r="G6028" t="n">
        <v>5</v>
      </c>
      <c r="H6028" s="5">
        <f>HYPERLINK("https://api.qogita.com/variants/link/8594177062128/", "View Product")</f>
        <v/>
      </c>
    </row>
    <row r="6029">
      <c r="A6029" t="inlineStr">
        <is>
          <t>8594177062357</t>
        </is>
      </c>
      <c r="B6029" t="inlineStr">
        <is>
          <t>Hydrating Body Milk with Collagen (Collagen Body Milk) 300 ml</t>
        </is>
      </c>
      <c r="C6029" t="inlineStr">
        <is>
          <t>Body Lotion</t>
        </is>
      </c>
      <c r="D6029" t="inlineStr">
        <is>
          <t>Collamedic</t>
        </is>
      </c>
      <c r="E6029" t="n">
        <v>10.04</v>
      </c>
      <c r="F6029" t="n">
        <v>1</v>
      </c>
      <c r="G6029" t="n">
        <v>14</v>
      </c>
      <c r="H6029" s="5">
        <f>HYPERLINK("https://api.qogita.com/variants/link/8594177062357/", "View Product")</f>
        <v/>
      </c>
    </row>
    <row r="6030">
      <c r="A6030" t="inlineStr">
        <is>
          <t>8594177062623</t>
        </is>
      </c>
      <c r="B6030" t="inlineStr">
        <is>
          <t>Revitalizing Hair Conditioner with Collagen 200 ml</t>
        </is>
      </c>
      <c r="C6030" t="inlineStr">
        <is>
          <t>Conditioner</t>
        </is>
      </c>
      <c r="D6030" t="inlineStr">
        <is>
          <t>Collamedic</t>
        </is>
      </c>
      <c r="E6030" t="n">
        <v>14.85</v>
      </c>
      <c r="F6030" t="n">
        <v>1</v>
      </c>
      <c r="G6030" t="n">
        <v>4</v>
      </c>
      <c r="H6030" s="5">
        <f>HYPERLINK("https://api.qogita.com/variants/link/8594177062623/", "View Product")</f>
        <v/>
      </c>
    </row>
    <row r="6031">
      <c r="A6031" t="inlineStr">
        <is>
          <t>8594180030756</t>
        </is>
      </c>
      <c r="B6031" t="inlineStr">
        <is>
          <t>Argan Oil Cold Pressed 100ml with Pipette Renovality - Made in Czech Republic</t>
        </is>
      </c>
      <c r="C6031" t="inlineStr">
        <is>
          <t>Inflammations</t>
        </is>
      </c>
      <c r="D6031" t="inlineStr">
        <is>
          <t>Renovality</t>
        </is>
      </c>
      <c r="E6031" t="n">
        <v>14.61</v>
      </c>
      <c r="F6031" t="n">
        <v>1</v>
      </c>
      <c r="G6031" t="n">
        <v>7</v>
      </c>
      <c r="H6031" s="5">
        <f>HYPERLINK("https://api.qogita.com/variants/link/8594180030756/", "View Product")</f>
        <v/>
      </c>
    </row>
    <row r="6032">
      <c r="A6032" t="inlineStr">
        <is>
          <t>8594187811402</t>
        </is>
      </c>
      <c r="B6032" t="inlineStr">
        <is>
          <t>Renovality Hydro Renobooster Moisturizing Face Oil 50ml</t>
        </is>
      </c>
      <c r="C6032" t="inlineStr">
        <is>
          <t>Facial Oil</t>
        </is>
      </c>
      <c r="D6032" t="inlineStr">
        <is>
          <t>Renovality</t>
        </is>
      </c>
      <c r="E6032" t="n">
        <v>15.55</v>
      </c>
      <c r="F6032" t="n">
        <v>1</v>
      </c>
      <c r="G6032" t="n">
        <v>5</v>
      </c>
      <c r="H6032" s="5">
        <f>HYPERLINK("https://api.qogita.com/variants/link/8594187811402/", "View Product")</f>
        <v/>
      </c>
    </row>
    <row r="6033">
      <c r="A6033" t="inlineStr">
        <is>
          <t>8594187813536</t>
        </is>
      </c>
      <c r="B6033" t="inlineStr">
        <is>
          <t>Renovality Original Series Tremella Vitac - Hydrating Facial Serum</t>
        </is>
      </c>
      <c r="C6033" t="inlineStr">
        <is>
          <t>Hydrating Serum</t>
        </is>
      </c>
      <c r="D6033" t="inlineStr">
        <is>
          <t>Renovality</t>
        </is>
      </c>
      <c r="E6033" t="n">
        <v>14.75</v>
      </c>
      <c r="F6033" t="n">
        <v>1</v>
      </c>
      <c r="G6033" t="n">
        <v>3</v>
      </c>
      <c r="H6033" s="5">
        <f>HYPERLINK("https://api.qogita.com/variants/link/8594187813536/", "View Product")</f>
        <v/>
      </c>
    </row>
    <row r="6034">
      <c r="A6034" t="inlineStr">
        <is>
          <t>8594191206027</t>
        </is>
      </c>
      <c r="B6034" t="inlineStr">
        <is>
          <t>Steve's No Bull***T All Beard Everything Set</t>
        </is>
      </c>
      <c r="C6034" t="inlineStr">
        <is>
          <t>Beard Care Sets</t>
        </is>
      </c>
      <c r="D6034" t="inlineStr">
        <is>
          <t>Steve's No Bull***T</t>
        </is>
      </c>
      <c r="E6034" t="n">
        <v>27.3</v>
      </c>
      <c r="F6034" t="n">
        <v>1</v>
      </c>
      <c r="G6034" t="n">
        <v>2</v>
      </c>
      <c r="H6034" s="5">
        <f>HYPERLINK("https://api.qogita.com/variants/link/8594191206027/", "View Product")</f>
        <v/>
      </c>
    </row>
    <row r="6035">
      <c r="A6035" t="inlineStr">
        <is>
          <t>8594199040302</t>
        </is>
      </c>
      <c r="B6035" t="inlineStr">
        <is>
          <t>Tomas Arsov Sapphire Blonde Shampoo For Blonde Bleached And Highlighted Hair 1000 Ml</t>
        </is>
      </c>
      <c r="C6035" t="inlineStr">
        <is>
          <t>Shampoo</t>
        </is>
      </c>
      <c r="D6035" t="inlineStr">
        <is>
          <t>Tomas Arsov</t>
        </is>
      </c>
      <c r="E6035" t="n">
        <v>25.92</v>
      </c>
      <c r="F6035" t="n">
        <v>1</v>
      </c>
      <c r="G6035" t="n">
        <v>3</v>
      </c>
      <c r="H6035" s="5">
        <f>HYPERLINK("https://api.qogita.com/variants/link/8594199040302/", "View Product")</f>
        <v/>
      </c>
    </row>
    <row r="6036">
      <c r="A6036" t="inlineStr">
        <is>
          <t>8594199040623</t>
        </is>
      </c>
      <c r="B6036" t="inlineStr">
        <is>
          <t>Tomas Arsov Holdup Natural Hold Hairspray 300 Ml</t>
        </is>
      </c>
      <c r="C6036" t="inlineStr">
        <is>
          <t>Hairspray</t>
        </is>
      </c>
      <c r="D6036" t="inlineStr">
        <is>
          <t>Tomas Arsov</t>
        </is>
      </c>
      <c r="E6036" t="n">
        <v>9.83</v>
      </c>
      <c r="F6036" t="n">
        <v>1</v>
      </c>
      <c r="G6036" t="n">
        <v>19</v>
      </c>
      <c r="H6036" s="5">
        <f>HYPERLINK("https://api.qogita.com/variants/link/8594199040623/", "View Product")</f>
        <v/>
      </c>
    </row>
    <row r="6037">
      <c r="A6037" t="inlineStr">
        <is>
          <t>8594199040630</t>
        </is>
      </c>
      <c r="B6037" t="inlineStr">
        <is>
          <t>GRIPPED Dry Texturizing Spray 200 ml</t>
        </is>
      </c>
      <c r="C6037" t="inlineStr">
        <is>
          <t>Styling Sprays</t>
        </is>
      </c>
      <c r="D6037" t="inlineStr">
        <is>
          <t>Tomas Arsov</t>
        </is>
      </c>
      <c r="E6037" t="n">
        <v>8.460000000000001</v>
      </c>
      <c r="F6037" t="n">
        <v>1</v>
      </c>
      <c r="G6037" t="n">
        <v>12</v>
      </c>
      <c r="H6037" s="5">
        <f>HYPERLINK("https://api.qogita.com/variants/link/8594199040630/", "View Product")</f>
        <v/>
      </c>
    </row>
    <row r="6038">
      <c r="A6038" t="inlineStr">
        <is>
          <t>8594209100408</t>
        </is>
      </c>
      <c r="B6038" t="inlineStr">
        <is>
          <t>Ultrasonic Spatula for Skin Care</t>
        </is>
      </c>
      <c r="C6038" t="inlineStr">
        <is>
          <t>Facial Cleansing Tools</t>
        </is>
      </c>
      <c r="D6038" t="inlineStr">
        <is>
          <t>Palsar 7</t>
        </is>
      </c>
      <c r="E6038" t="n">
        <v>64.52</v>
      </c>
      <c r="F6038" t="n">
        <v>1</v>
      </c>
      <c r="G6038" t="n">
        <v>9</v>
      </c>
      <c r="H6038" s="5">
        <f>HYPERLINK("https://api.qogita.com/variants/link/8594209100408/", "View Product")</f>
        <v/>
      </c>
    </row>
    <row r="6039">
      <c r="A6039" t="inlineStr">
        <is>
          <t>8595003102865</t>
        </is>
      </c>
      <c r="B6039" t="inlineStr">
        <is>
          <t>DERMACOL Natural Almond Day Cream 50ml</t>
        </is>
      </c>
      <c r="C6039" t="inlineStr">
        <is>
          <t>Day Cream</t>
        </is>
      </c>
      <c r="D6039" t="inlineStr">
        <is>
          <t>Dermacol</t>
        </is>
      </c>
      <c r="E6039" t="n">
        <v>6.02</v>
      </c>
      <c r="F6039" t="n">
        <v>1</v>
      </c>
      <c r="G6039" t="n">
        <v>5</v>
      </c>
      <c r="H6039" s="5">
        <f>HYPERLINK("https://api.qogita.com/variants/link/8595003102865/", "View Product")</f>
        <v/>
      </c>
    </row>
    <row r="6040">
      <c r="A6040" t="inlineStr">
        <is>
          <t>8595003103329</t>
        </is>
      </c>
      <c r="B6040" t="inlineStr">
        <is>
          <t>Happy Feet Cream</t>
        </is>
      </c>
      <c r="C6040" t="inlineStr">
        <is>
          <t>Foot Cream</t>
        </is>
      </c>
      <c r="D6040" t="inlineStr">
        <is>
          <t>Dermacol</t>
        </is>
      </c>
      <c r="E6040" t="n">
        <v>4.56</v>
      </c>
      <c r="F6040" t="n">
        <v>1</v>
      </c>
      <c r="G6040" t="n">
        <v>3</v>
      </c>
      <c r="H6040" s="5">
        <f>HYPERLINK("https://api.qogita.com/variants/link/8595003103329/", "View Product")</f>
        <v/>
      </c>
    </row>
    <row r="6041">
      <c r="A6041" t="inlineStr">
        <is>
          <t>8595003107600</t>
        </is>
      </c>
      <c r="B6041" t="inlineStr">
        <is>
          <t>Dermacol Wet &amp; Dry Powder Foundation 6g</t>
        </is>
      </c>
      <c r="C6041" t="inlineStr">
        <is>
          <t>Foundation</t>
        </is>
      </c>
      <c r="D6041" t="inlineStr">
        <is>
          <t>Dermacol</t>
        </is>
      </c>
      <c r="E6041" t="n">
        <v>4.7</v>
      </c>
      <c r="F6041" t="n">
        <v>1</v>
      </c>
      <c r="G6041" t="n">
        <v>4</v>
      </c>
      <c r="H6041" s="5">
        <f>HYPERLINK("https://api.qogita.com/variants/link/8595003107600/", "View Product")</f>
        <v/>
      </c>
    </row>
    <row r="6042">
      <c r="A6042" t="inlineStr">
        <is>
          <t>8595003108416</t>
        </is>
      </c>
      <c r="B6042" t="inlineStr">
        <is>
          <t>Dermacol Hyaluron Therapy 3d Eye And Lip Wrinkle Filler Cream - 15ml</t>
        </is>
      </c>
      <c r="C6042" t="inlineStr">
        <is>
          <t>Anti-Aging Facial Care</t>
        </is>
      </c>
      <c r="D6042" t="inlineStr">
        <is>
          <t>Dermacol</t>
        </is>
      </c>
      <c r="E6042" t="n">
        <v>6.86</v>
      </c>
      <c r="F6042" t="n">
        <v>1</v>
      </c>
      <c r="G6042" t="n">
        <v>7</v>
      </c>
      <c r="H6042" s="5">
        <f>HYPERLINK("https://api.qogita.com/variants/link/8595003108416/", "View Product")</f>
        <v/>
      </c>
    </row>
    <row r="6043">
      <c r="A6043" t="inlineStr">
        <is>
          <t>8595003110341</t>
        </is>
      </c>
      <c r="B6043" t="inlineStr">
        <is>
          <t>Collagen+ Intensive Rejuvenating Night Cream</t>
        </is>
      </c>
      <c r="C6043" t="inlineStr">
        <is>
          <t>Night Cream</t>
        </is>
      </c>
      <c r="D6043" t="inlineStr">
        <is>
          <t>Dermacol</t>
        </is>
      </c>
      <c r="E6043" t="n">
        <v>7.41</v>
      </c>
      <c r="F6043" t="n">
        <v>1</v>
      </c>
      <c r="G6043" t="n">
        <v>5</v>
      </c>
      <c r="H6043" s="5">
        <f>HYPERLINK("https://api.qogita.com/variants/link/8595003110341/", "View Product")</f>
        <v/>
      </c>
    </row>
    <row r="6044">
      <c r="A6044" t="inlineStr">
        <is>
          <t>8595003113779</t>
        </is>
      </c>
      <c r="B6044" t="inlineStr">
        <is>
          <t>Dermacol Push Up Bust Firming and Lifting Care Cream 100ml</t>
        </is>
      </c>
      <c r="C6044" t="inlineStr">
        <is>
          <t>Anti-Stretch Mark Cream</t>
        </is>
      </c>
      <c r="D6044" t="inlineStr">
        <is>
          <t>Dermacol</t>
        </is>
      </c>
      <c r="E6044" t="n">
        <v>5.92</v>
      </c>
      <c r="F6044" t="n">
        <v>1</v>
      </c>
      <c r="G6044" t="n">
        <v>23</v>
      </c>
      <c r="H6044" s="5">
        <f>HYPERLINK("https://api.qogita.com/variants/link/8595003113779/", "View Product")</f>
        <v/>
      </c>
    </row>
    <row r="6045">
      <c r="A6045" t="inlineStr">
        <is>
          <t>8595003117531</t>
        </is>
      </c>
      <c r="B6045" t="inlineStr">
        <is>
          <t>Sun SPF 50 Water Resistant Sunscreen Cream 50ml</t>
        </is>
      </c>
      <c r="C6045" t="inlineStr">
        <is>
          <t>Body Sun Protection</t>
        </is>
      </c>
      <c r="D6045" t="inlineStr">
        <is>
          <t>Dermacol</t>
        </is>
      </c>
      <c r="E6045" t="n">
        <v>7.32</v>
      </c>
      <c r="F6045" t="n">
        <v>1</v>
      </c>
      <c r="G6045" t="n">
        <v>19</v>
      </c>
      <c r="H6045" s="5">
        <f>HYPERLINK("https://api.qogita.com/variants/link/8595003117531/", "View Product")</f>
        <v/>
      </c>
    </row>
    <row r="6046">
      <c r="A6046" t="inlineStr">
        <is>
          <t>8595003117784</t>
        </is>
      </c>
      <c r="B6046" t="inlineStr">
        <is>
          <t>Dermacol Hyaluron Therapy 3d Remodeling Anti-Wrinkle Serum For Face 12ml</t>
        </is>
      </c>
      <c r="C6046" t="inlineStr">
        <is>
          <t>Anti-Aging Serum</t>
        </is>
      </c>
      <c r="D6046" t="inlineStr">
        <is>
          <t>Dermacol</t>
        </is>
      </c>
      <c r="E6046" t="n">
        <v>5.74</v>
      </c>
      <c r="F6046" t="n">
        <v>1</v>
      </c>
      <c r="G6046" t="n">
        <v>9</v>
      </c>
      <c r="H6046" s="5">
        <f>HYPERLINK("https://api.qogita.com/variants/link/8595003117784/", "View Product")</f>
        <v/>
      </c>
    </row>
    <row r="6047">
      <c r="A6047" t="inlineStr">
        <is>
          <t>8595003119979</t>
        </is>
      </c>
      <c r="B6047" t="inlineStr">
        <is>
          <t>Dermacol Men Agent Shower Gel 3 In 1 Don't Worry Be Happy 250ml</t>
        </is>
      </c>
      <c r="C6047" t="inlineStr">
        <is>
          <t>Shower Gel</t>
        </is>
      </c>
      <c r="D6047" t="inlineStr">
        <is>
          <t>Dermacol</t>
        </is>
      </c>
      <c r="E6047" t="n">
        <v>3.57</v>
      </c>
      <c r="F6047" t="n">
        <v>1</v>
      </c>
      <c r="G6047" t="n">
        <v>13</v>
      </c>
      <c r="H6047" s="5">
        <f>HYPERLINK("https://api.qogita.com/variants/link/8595003119979/", "View Product")</f>
        <v/>
      </c>
    </row>
    <row r="6048">
      <c r="A6048" t="inlineStr">
        <is>
          <t>8595003120289</t>
        </is>
      </c>
      <c r="B6048" t="inlineStr">
        <is>
          <t>Dermacol Revi Revitalizing Peeloff Mask Hyaluron Therapy 3d 15 Ml</t>
        </is>
      </c>
      <c r="C6048" t="inlineStr">
        <is>
          <t>Hydrating Mask</t>
        </is>
      </c>
      <c r="D6048" t="inlineStr">
        <is>
          <t>Dermacol</t>
        </is>
      </c>
      <c r="E6048" t="n">
        <v>2.89</v>
      </c>
      <c r="F6048" t="n">
        <v>1</v>
      </c>
      <c r="G6048" t="n">
        <v>8</v>
      </c>
      <c r="H6048" s="5">
        <f>HYPERLINK("https://api.qogita.com/variants/link/8595003120289/", "View Product")</f>
        <v/>
      </c>
    </row>
    <row r="6049">
      <c r="A6049" t="inlineStr">
        <is>
          <t>8595003120609</t>
        </is>
      </c>
      <c r="B6049" t="inlineStr">
        <is>
          <t>Japanese Garden Eau de Parfum 50 ml</t>
        </is>
      </c>
      <c r="C6049" t="inlineStr">
        <is>
          <t>Eau De Parfum</t>
        </is>
      </c>
      <c r="D6049" t="inlineStr">
        <is>
          <t>Dermacol</t>
        </is>
      </c>
      <c r="E6049" t="n">
        <v>14.67</v>
      </c>
      <c r="F6049" t="n">
        <v>1</v>
      </c>
      <c r="G6049" t="n">
        <v>5</v>
      </c>
      <c r="H6049" s="5">
        <f>HYPERLINK("https://api.qogita.com/variants/link/8595003120609/", "View Product")</f>
        <v/>
      </c>
    </row>
    <row r="6050">
      <c r="A6050" t="inlineStr">
        <is>
          <t>8595003120647</t>
        </is>
      </c>
      <c r="B6050" t="inlineStr">
        <is>
          <t>Cannabis Face Cream</t>
        </is>
      </c>
      <c r="C6050" t="inlineStr">
        <is>
          <t>Face Cream</t>
        </is>
      </c>
      <c r="D6050" t="inlineStr">
        <is>
          <t>Dermacol</t>
        </is>
      </c>
      <c r="E6050" t="n">
        <v>7.8</v>
      </c>
      <c r="F6050" t="n">
        <v>1</v>
      </c>
      <c r="G6050" t="n">
        <v>3</v>
      </c>
      <c r="H6050" s="5">
        <f>HYPERLINK("https://api.qogita.com/variants/link/8595003120647/", "View Product")</f>
        <v/>
      </c>
    </row>
    <row r="6051">
      <c r="A6051" t="inlineStr">
        <is>
          <t>8595003121095</t>
        </is>
      </c>
      <c r="B6051" t="inlineStr">
        <is>
          <t>Anti-Stress Face and Lip Peeling 50 grams</t>
        </is>
      </c>
      <c r="C6051" t="inlineStr">
        <is>
          <t>Facial Scrub &amp; Peeling</t>
        </is>
      </c>
      <c r="D6051" t="inlineStr">
        <is>
          <t>Dermacol</t>
        </is>
      </c>
      <c r="E6051" t="n">
        <v>4.19</v>
      </c>
      <c r="F6051" t="n">
        <v>1</v>
      </c>
      <c r="G6051" t="n">
        <v>9</v>
      </c>
      <c r="H6051" s="5">
        <f>HYPERLINK("https://api.qogita.com/variants/link/8595003121095/", "View Product")</f>
        <v/>
      </c>
    </row>
    <row r="6052">
      <c r="A6052" t="inlineStr">
        <is>
          <t>8595003121118</t>
        </is>
      </c>
      <c r="B6052" t="inlineStr">
        <is>
          <t>Dermacol Revitalizing Face And Lip Mango Peeling 50 G</t>
        </is>
      </c>
      <c r="C6052" t="inlineStr">
        <is>
          <t>Facial Scrub &amp; Peeling</t>
        </is>
      </c>
      <c r="D6052" t="inlineStr">
        <is>
          <t>Dermacol</t>
        </is>
      </c>
      <c r="E6052" t="n">
        <v>4.19</v>
      </c>
      <c r="F6052" t="n">
        <v>1</v>
      </c>
      <c r="G6052" t="n">
        <v>4</v>
      </c>
      <c r="H6052" s="5">
        <f>HYPERLINK("https://api.qogita.com/variants/link/8595003121118/", "View Product")</f>
        <v/>
      </c>
    </row>
    <row r="6053">
      <c r="A6053" t="inlineStr">
        <is>
          <t>8595003122856</t>
        </is>
      </c>
      <c r="B6053" t="inlineStr">
        <is>
          <t>Dermacol Hair Ritual Brunette Grow Effect Shampoo 250 Ml</t>
        </is>
      </c>
      <c r="C6053" t="inlineStr">
        <is>
          <t>Shampoo</t>
        </is>
      </c>
      <c r="D6053" t="inlineStr">
        <is>
          <t>Dermacol</t>
        </is>
      </c>
      <c r="E6053" t="n">
        <v>4.8</v>
      </c>
      <c r="F6053" t="n">
        <v>1</v>
      </c>
      <c r="G6053" t="n">
        <v>8</v>
      </c>
      <c r="H6053" s="5">
        <f>HYPERLINK("https://api.qogita.com/variants/link/8595003122856/", "View Product")</f>
        <v/>
      </c>
    </row>
    <row r="6054">
      <c r="A6054" t="inlineStr">
        <is>
          <t>8595003123242</t>
        </is>
      </c>
      <c r="B6054" t="inlineStr">
        <is>
          <t>Dermacol Caviar Energy Anti-Aging Night Cream 50ml</t>
        </is>
      </c>
      <c r="C6054" t="inlineStr">
        <is>
          <t>Night Cream</t>
        </is>
      </c>
      <c r="D6054" t="inlineStr">
        <is>
          <t>Dermacol</t>
        </is>
      </c>
      <c r="E6054" t="n">
        <v>7.94</v>
      </c>
      <c r="F6054" t="n">
        <v>1</v>
      </c>
      <c r="G6054" t="n">
        <v>3</v>
      </c>
      <c r="H6054" s="5">
        <f>HYPERLINK("https://api.qogita.com/variants/link/8595003123242/", "View Product")</f>
        <v/>
      </c>
    </row>
    <row r="6055">
      <c r="A6055" t="inlineStr">
        <is>
          <t>8595003124973</t>
        </is>
      </c>
      <c r="B6055" t="inlineStr">
        <is>
          <t>Dermacol Aroma Ritual Hawaiian Pineapple Shower Gel 250ml</t>
        </is>
      </c>
      <c r="C6055" t="inlineStr">
        <is>
          <t>Shower Gel</t>
        </is>
      </c>
      <c r="D6055" t="inlineStr">
        <is>
          <t>Dermacol</t>
        </is>
      </c>
      <c r="E6055" t="n">
        <v>3.26</v>
      </c>
      <c r="F6055" t="n">
        <v>1</v>
      </c>
      <c r="G6055" t="n">
        <v>6</v>
      </c>
      <c r="H6055" s="5">
        <f>HYPERLINK("https://api.qogita.com/variants/link/8595003124973/", "View Product")</f>
        <v/>
      </c>
    </row>
    <row r="6056">
      <c r="A6056" t="inlineStr">
        <is>
          <t>8595003125376</t>
        </is>
      </c>
      <c r="B6056" t="inlineStr">
        <is>
          <t>Dermacol Hair Ritual Conditioner For Red Hair 200 Ml</t>
        </is>
      </c>
      <c r="C6056" t="inlineStr">
        <is>
          <t>Conditioner</t>
        </is>
      </c>
      <c r="D6056" t="inlineStr">
        <is>
          <t>Dermacol</t>
        </is>
      </c>
      <c r="E6056" t="n">
        <v>4.8</v>
      </c>
      <c r="F6056" t="n">
        <v>1</v>
      </c>
      <c r="G6056" t="n">
        <v>11</v>
      </c>
      <c r="H6056" s="5">
        <f>HYPERLINK("https://api.qogita.com/variants/link/8595003125376/", "View Product")</f>
        <v/>
      </c>
    </row>
    <row r="6057">
      <c r="A6057" t="inlineStr">
        <is>
          <t>8595003126410</t>
        </is>
      </c>
      <c r="B6057" t="inlineStr">
        <is>
          <t>Dermacol 3d Hyaluron Therapy Ii Set Skin Care Gift Set</t>
        </is>
      </c>
      <c r="C6057" t="inlineStr">
        <is>
          <t>Face</t>
        </is>
      </c>
      <c r="D6057" t="inlineStr">
        <is>
          <t>Dermacol</t>
        </is>
      </c>
      <c r="E6057" t="n">
        <v>10.65</v>
      </c>
      <c r="F6057" t="n">
        <v>1</v>
      </c>
      <c r="G6057" t="n">
        <v>29</v>
      </c>
      <c r="H6057" s="5">
        <f>HYPERLINK("https://api.qogita.com/variants/link/8595003126410/", "View Product")</f>
        <v/>
      </c>
    </row>
    <row r="6058">
      <c r="A6058" t="inlineStr">
        <is>
          <t>8595003126915</t>
        </is>
      </c>
      <c r="B6058" t="inlineStr">
        <is>
          <t>Cannabis Garden Perfume Diffuser 100 ml</t>
        </is>
      </c>
      <c r="C6058" t="inlineStr">
        <is>
          <t>Diffusers</t>
        </is>
      </c>
      <c r="D6058" t="inlineStr">
        <is>
          <t>Dermacol</t>
        </is>
      </c>
      <c r="E6058" t="n">
        <v>19.82</v>
      </c>
      <c r="F6058" t="n">
        <v>1</v>
      </c>
      <c r="G6058" t="n">
        <v>5</v>
      </c>
      <c r="H6058" s="5">
        <f>HYPERLINK("https://api.qogita.com/variants/link/8595003126915/", "View Product")</f>
        <v/>
      </c>
    </row>
    <row r="6059">
      <c r="A6059" t="inlineStr">
        <is>
          <t>8595003127172</t>
        </is>
      </c>
      <c r="B6059" t="inlineStr">
        <is>
          <t>Rose Gold Cosmetic Eye Brush D74</t>
        </is>
      </c>
      <c r="C6059" t="inlineStr">
        <is>
          <t>Eyeshadow Brushes</t>
        </is>
      </c>
      <c r="D6059" t="inlineStr">
        <is>
          <t>Dermacol</t>
        </is>
      </c>
      <c r="E6059" t="n">
        <v>3.96</v>
      </c>
      <c r="F6059" t="n">
        <v>1</v>
      </c>
      <c r="G6059" t="n">
        <v>5</v>
      </c>
      <c r="H6059" s="5">
        <f>HYPERLINK("https://api.qogita.com/variants/link/8595003127172/", "View Product")</f>
        <v/>
      </c>
    </row>
    <row r="6060">
      <c r="A6060" t="inlineStr">
        <is>
          <t>8595003128117</t>
        </is>
      </c>
      <c r="B6060" t="inlineStr">
        <is>
          <t>Soothing Cream for Sensitive Skin Sensitiv e (Soothing Cream) 50 ml</t>
        </is>
      </c>
      <c r="C6060" t="inlineStr">
        <is>
          <t>Face Cream</t>
        </is>
      </c>
      <c r="D6060" t="inlineStr">
        <is>
          <t>Dermacol</t>
        </is>
      </c>
      <c r="E6060" t="n">
        <v>6.91</v>
      </c>
      <c r="F6060" t="n">
        <v>1</v>
      </c>
      <c r="G6060" t="n">
        <v>10</v>
      </c>
      <c r="H6060" s="5">
        <f>HYPERLINK("https://api.qogita.com/variants/link/8595003128117/", "View Product")</f>
        <v/>
      </c>
    </row>
    <row r="6061">
      <c r="A6061" t="inlineStr">
        <is>
          <t>8595003128131</t>
        </is>
      </c>
      <c r="B6061" t="inlineStr">
        <is>
          <t>Dermacol Sensitive Calming Toner For Sensitive Skin 200 Ml</t>
        </is>
      </c>
      <c r="C6061" t="inlineStr">
        <is>
          <t>Facial Spray</t>
        </is>
      </c>
      <c r="D6061" t="inlineStr">
        <is>
          <t>Dermacol</t>
        </is>
      </c>
      <c r="E6061" t="n">
        <v>5.44</v>
      </c>
      <c r="F6061" t="n">
        <v>1</v>
      </c>
      <c r="G6061" t="n">
        <v>9</v>
      </c>
      <c r="H6061" s="5">
        <f>HYPERLINK("https://api.qogita.com/variants/link/8595003128131/", "View Product")</f>
        <v/>
      </c>
    </row>
    <row r="6062">
      <c r="A6062" t="inlineStr">
        <is>
          <t>8595003128438</t>
        </is>
      </c>
      <c r="B6062" t="inlineStr">
        <is>
          <t>Dermacol 3d Hyaluron Therapy Intensive Lifting Tightening Textile Facial Mask</t>
        </is>
      </c>
      <c r="C6062" t="inlineStr">
        <is>
          <t>Sheet Mask</t>
        </is>
      </c>
      <c r="D6062" t="inlineStr">
        <is>
          <t>Dermacol</t>
        </is>
      </c>
      <c r="E6062" t="n">
        <v>3.39</v>
      </c>
      <c r="F6062" t="n">
        <v>1</v>
      </c>
      <c r="G6062" t="n">
        <v>10</v>
      </c>
      <c r="H6062" s="5">
        <f>HYPERLINK("https://api.qogita.com/variants/link/8595003128438/", "View Product")</f>
        <v/>
      </c>
    </row>
    <row r="6063">
      <c r="A6063" t="inlineStr">
        <is>
          <t>8595003128490</t>
        </is>
      </c>
      <c r="B6063" t="inlineStr">
        <is>
          <t>Tanning Milk SPF 30 Sun 200 ml</t>
        </is>
      </c>
      <c r="C6063" t="inlineStr">
        <is>
          <t>Body Sun Protection</t>
        </is>
      </c>
      <c r="D6063" t="inlineStr">
        <is>
          <t>Dermacol</t>
        </is>
      </c>
      <c r="E6063" t="n">
        <v>10.2</v>
      </c>
      <c r="F6063" t="n">
        <v>1</v>
      </c>
      <c r="G6063" t="n">
        <v>6</v>
      </c>
      <c r="H6063" s="5">
        <f>HYPERLINK("https://api.qogita.com/variants/link/8595003128490/", "View Product")</f>
        <v/>
      </c>
    </row>
    <row r="6064">
      <c r="A6064" t="inlineStr">
        <is>
          <t>8595003129015</t>
        </is>
      </c>
      <c r="B6064" t="inlineStr">
        <is>
          <t>Regenerating Feet Mask - Beauty Skincare Foot Care</t>
        </is>
      </c>
      <c r="C6064" t="inlineStr">
        <is>
          <t>Foot Mask</t>
        </is>
      </c>
      <c r="D6064" t="inlineStr">
        <is>
          <t>Dermacol</t>
        </is>
      </c>
      <c r="E6064" t="n">
        <v>5.74</v>
      </c>
      <c r="F6064" t="n">
        <v>1</v>
      </c>
      <c r="G6064" t="n">
        <v>12</v>
      </c>
      <c r="H6064" s="5">
        <f>HYPERLINK("https://api.qogita.com/variants/link/8595003129015/", "View Product")</f>
        <v/>
      </c>
    </row>
    <row r="6065">
      <c r="A6065" t="inlineStr">
        <is>
          <t>8595003130288</t>
        </is>
      </c>
      <c r="B6065" t="inlineStr">
        <is>
          <t>Hair Ritual Volume Hair Care Gift Set</t>
        </is>
      </c>
      <c r="C6065" t="inlineStr">
        <is>
          <t>Hair Care Sets</t>
        </is>
      </c>
      <c r="D6065" t="inlineStr">
        <is>
          <t>Dermacol</t>
        </is>
      </c>
      <c r="E6065" t="n">
        <v>14.43</v>
      </c>
      <c r="F6065" t="n">
        <v>1</v>
      </c>
      <c r="G6065" t="n">
        <v>11</v>
      </c>
      <c r="H6065" s="5">
        <f>HYPERLINK("https://api.qogita.com/variants/link/8595003130288/", "View Product")</f>
        <v/>
      </c>
    </row>
    <row r="6066">
      <c r="A6066" t="inlineStr">
        <is>
          <t>8595003130363</t>
        </is>
      </c>
      <c r="B6066" t="inlineStr">
        <is>
          <t>Gold Elixir II gift set</t>
        </is>
      </c>
      <c r="C6066" t="inlineStr">
        <is>
          <t>Rings</t>
        </is>
      </c>
      <c r="D6066" t="inlineStr">
        <is>
          <t>Dermacol</t>
        </is>
      </c>
      <c r="E6066" t="n">
        <v>12.61</v>
      </c>
      <c r="F6066" t="n">
        <v>1</v>
      </c>
      <c r="G6066" t="n">
        <v>23</v>
      </c>
      <c r="H6066" s="5">
        <f>HYPERLINK("https://api.qogita.com/variants/link/8595003130363/", "View Product")</f>
        <v/>
      </c>
    </row>
    <row r="6067">
      <c r="A6067" t="inlineStr">
        <is>
          <t>8595003130400</t>
        </is>
      </c>
      <c r="B6067" t="inlineStr">
        <is>
          <t>Gift set with Caviar Energy II</t>
        </is>
      </c>
      <c r="C6067" t="inlineStr">
        <is>
          <t>Facial Care Sets</t>
        </is>
      </c>
      <c r="D6067" t="inlineStr">
        <is>
          <t>Dermacol</t>
        </is>
      </c>
      <c r="E6067" t="n">
        <v>18.52</v>
      </c>
      <c r="F6067" t="n">
        <v>1</v>
      </c>
      <c r="G6067" t="n">
        <v>4</v>
      </c>
      <c r="H6067" s="5">
        <f>HYPERLINK("https://api.qogita.com/variants/link/8595003130400/", "View Product")</f>
        <v/>
      </c>
    </row>
    <row r="6068">
      <c r="A6068" t="inlineStr">
        <is>
          <t>8595003131025</t>
        </is>
      </c>
      <c r="B6068" t="inlineStr">
        <is>
          <t>Aroma Moment Delicious Shower Gel Wild Raspberry 250ml</t>
        </is>
      </c>
      <c r="C6068" t="inlineStr">
        <is>
          <t>Shower Gel</t>
        </is>
      </c>
      <c r="D6068" t="inlineStr">
        <is>
          <t>Aroma Moment</t>
        </is>
      </c>
      <c r="E6068" t="n">
        <v>3.26</v>
      </c>
      <c r="F6068" t="n">
        <v>1</v>
      </c>
      <c r="G6068" t="n">
        <v>6</v>
      </c>
      <c r="H6068" s="5">
        <f>HYPERLINK("https://api.qogita.com/variants/link/8595003131025/", "View Product")</f>
        <v/>
      </c>
    </row>
    <row r="6069">
      <c r="A6069" t="inlineStr">
        <is>
          <t>8595003131926</t>
        </is>
      </c>
      <c r="B6069" t="inlineStr">
        <is>
          <t>Dermacol Niacinamide Serum 30 Ml Skin Serum For Reducing Pores</t>
        </is>
      </c>
      <c r="C6069" t="inlineStr">
        <is>
          <t>Face Serum</t>
        </is>
      </c>
      <c r="D6069" t="inlineStr">
        <is>
          <t>Dermacol</t>
        </is>
      </c>
      <c r="E6069" t="n">
        <v>8.130000000000001</v>
      </c>
      <c r="F6069" t="n">
        <v>1</v>
      </c>
      <c r="G6069" t="n">
        <v>14</v>
      </c>
      <c r="H6069" s="5">
        <f>HYPERLINK("https://api.qogita.com/variants/link/8595003131926/", "View Product")</f>
        <v/>
      </c>
    </row>
    <row r="6070">
      <c r="A6070" t="inlineStr">
        <is>
          <t>8595003131988</t>
        </is>
      </c>
      <c r="B6070" t="inlineStr">
        <is>
          <t>Dermacol Infinity Multiuse Super Coverage Waterproof Touch 20 G 01 Fair</t>
        </is>
      </c>
      <c r="C6070" t="inlineStr">
        <is>
          <t>Foundation</t>
        </is>
      </c>
      <c r="D6070" t="inlineStr">
        <is>
          <t>Dermacol</t>
        </is>
      </c>
      <c r="E6070" t="n">
        <v>9.130000000000001</v>
      </c>
      <c r="F6070" t="n">
        <v>1</v>
      </c>
      <c r="G6070" t="n">
        <v>12</v>
      </c>
      <c r="H6070" s="5">
        <f>HYPERLINK("https://api.qogita.com/variants/link/8595003131988/", "View Product")</f>
        <v/>
      </c>
    </row>
    <row r="6071">
      <c r="A6071" t="inlineStr">
        <is>
          <t>8595003132022</t>
        </is>
      </c>
      <c r="B6071" t="inlineStr">
        <is>
          <t>Dermacol Infinity Makeup and Corrector Multi-Use Super Coverage Photo-Friendly Hypoallergenic Waterproof Touch Proof SPF 15 03 Sand</t>
        </is>
      </c>
      <c r="C6071" t="inlineStr">
        <is>
          <t>Foundation</t>
        </is>
      </c>
      <c r="D6071" t="inlineStr">
        <is>
          <t>Dermacol</t>
        </is>
      </c>
      <c r="E6071" t="n">
        <v>9.130000000000001</v>
      </c>
      <c r="F6071" t="n">
        <v>1</v>
      </c>
      <c r="G6071" t="n">
        <v>26</v>
      </c>
      <c r="H6071" s="5">
        <f>HYPERLINK("https://api.qogita.com/variants/link/8595003132022/", "View Product")</f>
        <v/>
      </c>
    </row>
    <row r="6072">
      <c r="A6072" t="inlineStr">
        <is>
          <t>8595003132176</t>
        </is>
      </c>
      <c r="B6072" t="inlineStr">
        <is>
          <t>Set of Neon Nail Polishes 2023</t>
        </is>
      </c>
      <c r="C6072" t="inlineStr">
        <is>
          <t>Nail Polish</t>
        </is>
      </c>
      <c r="D6072" t="inlineStr">
        <is>
          <t>Dermacol</t>
        </is>
      </c>
      <c r="E6072" t="n">
        <v>10.87</v>
      </c>
      <c r="F6072" t="n">
        <v>1</v>
      </c>
      <c r="G6072" t="n">
        <v>9</v>
      </c>
      <c r="H6072" s="5">
        <f>HYPERLINK("https://api.qogita.com/variants/link/8595003132176/", "View Product")</f>
        <v/>
      </c>
    </row>
    <row r="6073">
      <c r="A6073" t="inlineStr">
        <is>
          <t>8595003132527</t>
        </is>
      </c>
      <c r="B6073" t="inlineStr">
        <is>
          <t>Dermacol Sun Cream Stick 24ml</t>
        </is>
      </c>
      <c r="C6073" t="inlineStr">
        <is>
          <t>Body Sun Protection</t>
        </is>
      </c>
      <c r="D6073" t="inlineStr">
        <is>
          <t>‎- Unknown</t>
        </is>
      </c>
      <c r="E6073" t="n">
        <v>7.32</v>
      </c>
      <c r="F6073" t="n">
        <v>1</v>
      </c>
      <c r="G6073" t="n">
        <v>5</v>
      </c>
      <c r="H6073" s="5">
        <f>HYPERLINK("https://api.qogita.com/variants/link/8595003132527/", "View Product")</f>
        <v/>
      </c>
    </row>
    <row r="6074">
      <c r="A6074" t="inlineStr">
        <is>
          <t>8595003133005</t>
        </is>
      </c>
      <c r="B6074" t="inlineStr">
        <is>
          <t>Dermacol Imperial Xxl Mascara - 13ml</t>
        </is>
      </c>
      <c r="C6074" t="inlineStr">
        <is>
          <t>Mascara</t>
        </is>
      </c>
      <c r="D6074" t="inlineStr">
        <is>
          <t>Dermacol</t>
        </is>
      </c>
      <c r="E6074" t="n">
        <v>6.91</v>
      </c>
      <c r="F6074" t="n">
        <v>1</v>
      </c>
      <c r="G6074" t="n">
        <v>3</v>
      </c>
      <c r="H6074" s="5">
        <f>HYPERLINK("https://api.qogita.com/variants/link/8595003133005/", "View Product")</f>
        <v/>
      </c>
    </row>
    <row r="6075">
      <c r="A6075" t="inlineStr">
        <is>
          <t>8595003133760</t>
        </is>
      </c>
      <c r="B6075" t="inlineStr">
        <is>
          <t>Dermacol Collagen Mix Set - Gift Set For Rejuvenating Care</t>
        </is>
      </c>
      <c r="C6075" t="inlineStr">
        <is>
          <t>Facial Care Sets</t>
        </is>
      </c>
      <c r="D6075" t="inlineStr">
        <is>
          <t>Dermacol</t>
        </is>
      </c>
      <c r="E6075" t="n">
        <v>18.03</v>
      </c>
      <c r="F6075" t="n">
        <v>1</v>
      </c>
      <c r="G6075" t="n">
        <v>11</v>
      </c>
      <c r="H6075" s="5">
        <f>HYPERLINK("https://api.qogita.com/variants/link/8595003133760/", "View Product")</f>
        <v/>
      </c>
    </row>
    <row r="6076">
      <c r="A6076" t="inlineStr">
        <is>
          <t>8595003133883</t>
        </is>
      </c>
      <c r="B6076" t="inlineStr">
        <is>
          <t>Dermacol Bio Retinol Skin Care Gift Set</t>
        </is>
      </c>
      <c r="C6076" t="inlineStr">
        <is>
          <t>Facial Care Sets</t>
        </is>
      </c>
      <c r="D6076" t="inlineStr">
        <is>
          <t>Dermacol</t>
        </is>
      </c>
      <c r="E6076" t="n">
        <v>15.93</v>
      </c>
      <c r="F6076" t="n">
        <v>1</v>
      </c>
      <c r="G6076" t="n">
        <v>7</v>
      </c>
      <c r="H6076" s="5">
        <f>HYPERLINK("https://api.qogita.com/variants/link/8595003133883/", "View Product")</f>
        <v/>
      </c>
    </row>
    <row r="6077">
      <c r="A6077" t="inlineStr">
        <is>
          <t>8595003133968</t>
        </is>
      </c>
      <c r="B6077" t="inlineStr">
        <is>
          <t>Dermacol Aroma Moment Wild Raspberry Skin Care Set</t>
        </is>
      </c>
      <c r="C6077" t="inlineStr">
        <is>
          <t>Face</t>
        </is>
      </c>
      <c r="D6077" t="inlineStr">
        <is>
          <t>Dermacol</t>
        </is>
      </c>
      <c r="E6077" t="n">
        <v>6.33</v>
      </c>
      <c r="F6077" t="n">
        <v>1</v>
      </c>
      <c r="G6077" t="n">
        <v>50</v>
      </c>
      <c r="H6077" s="5">
        <f>HYPERLINK("https://api.qogita.com/variants/link/8595003133968/", "View Product")</f>
        <v/>
      </c>
    </row>
    <row r="6078">
      <c r="A6078" t="inlineStr">
        <is>
          <t>8595003133982</t>
        </is>
      </c>
      <c r="B6078" t="inlineStr">
        <is>
          <t>Dermacol Aroma Moment Bahamas Banana Skin Care Set</t>
        </is>
      </c>
      <c r="C6078" t="inlineStr">
        <is>
          <t>Body Care Sets</t>
        </is>
      </c>
      <c r="D6078" t="inlineStr">
        <is>
          <t>Dermacol</t>
        </is>
      </c>
      <c r="E6078" t="n">
        <v>8.390000000000001</v>
      </c>
      <c r="F6078" t="n">
        <v>1</v>
      </c>
      <c r="G6078" t="n">
        <v>32</v>
      </c>
      <c r="H6078" s="5">
        <f>HYPERLINK("https://api.qogita.com/variants/link/8595003133982/", "View Product")</f>
        <v/>
      </c>
    </row>
    <row r="6079">
      <c r="A6079" t="inlineStr">
        <is>
          <t>8595003134224</t>
        </is>
      </c>
      <c r="B6079" t="inlineStr">
        <is>
          <t>Dermacol Cannabis Skin Care Set</t>
        </is>
      </c>
      <c r="C6079" t="inlineStr">
        <is>
          <t>Facial Care Sets</t>
        </is>
      </c>
      <c r="D6079" t="inlineStr">
        <is>
          <t>Dermacol</t>
        </is>
      </c>
      <c r="E6079" t="n">
        <v>18.96</v>
      </c>
      <c r="F6079" t="n">
        <v>1</v>
      </c>
      <c r="G6079" t="n">
        <v>14</v>
      </c>
      <c r="H6079" s="5">
        <f>HYPERLINK("https://api.qogita.com/variants/link/8595003134224/", "View Product")</f>
        <v/>
      </c>
    </row>
    <row r="6080">
      <c r="A6080" t="inlineStr">
        <is>
          <t>8595003134408</t>
        </is>
      </c>
      <c r="B6080" t="inlineStr">
        <is>
          <t>Dermacol Magnolia Flower Care Ii Set - Gift Set</t>
        </is>
      </c>
      <c r="C6080" t="inlineStr">
        <is>
          <t>Facial Care Sets</t>
        </is>
      </c>
      <c r="D6080" t="inlineStr">
        <is>
          <t>Dermacol</t>
        </is>
      </c>
      <c r="E6080" t="n">
        <v>18.03</v>
      </c>
      <c r="F6080" t="n">
        <v>1</v>
      </c>
      <c r="G6080" t="n">
        <v>11</v>
      </c>
      <c r="H6080" s="5">
        <f>HYPERLINK("https://api.qogita.com/variants/link/8595003134408/", "View Product")</f>
        <v/>
      </c>
    </row>
    <row r="6081">
      <c r="A6081" t="inlineStr">
        <is>
          <t>8595003134491</t>
        </is>
      </c>
      <c r="B6081" t="inlineStr">
        <is>
          <t>Dermacol Men Agent Gift Set Of Shower Gels</t>
        </is>
      </c>
      <c r="C6081" t="inlineStr">
        <is>
          <t>Shower &amp; Bath Sets</t>
        </is>
      </c>
      <c r="D6081" t="inlineStr">
        <is>
          <t>Dermacol</t>
        </is>
      </c>
      <c r="E6081" t="n">
        <v>8.390000000000001</v>
      </c>
      <c r="F6081" t="n">
        <v>1</v>
      </c>
      <c r="G6081" t="n">
        <v>35</v>
      </c>
      <c r="H6081" s="5">
        <f>HYPERLINK("https://api.qogita.com/variants/link/8595003134491/", "View Product")</f>
        <v/>
      </c>
    </row>
    <row r="6082">
      <c r="A6082" t="inlineStr">
        <is>
          <t>8595003135108</t>
        </is>
      </c>
      <c r="B6082" t="inlineStr">
        <is>
          <t>Dermacol Lip Mask Kiss Sleep Intensive Night Mask For Lips 12 G</t>
        </is>
      </c>
      <c r="C6082" t="inlineStr">
        <is>
          <t>Lip Mask</t>
        </is>
      </c>
      <c r="D6082" t="inlineStr">
        <is>
          <t>Dermacol</t>
        </is>
      </c>
      <c r="E6082" t="n">
        <v>6.33</v>
      </c>
      <c r="F6082" t="n">
        <v>1</v>
      </c>
      <c r="G6082" t="n">
        <v>5</v>
      </c>
      <c r="H6082" s="5">
        <f>HYPERLINK("https://api.qogita.com/variants/link/8595003135108/", "View Product")</f>
        <v/>
      </c>
    </row>
    <row r="6083">
      <c r="A6083" t="inlineStr">
        <is>
          <t>8595003136952</t>
        </is>
      </c>
      <c r="B6083" t="inlineStr">
        <is>
          <t>Dermacol Plummy Monster Aroma Moment Liquid Soap 250 Ml</t>
        </is>
      </c>
      <c r="C6083" t="inlineStr">
        <is>
          <t>Soap</t>
        </is>
      </c>
      <c r="D6083" t="inlineStr">
        <is>
          <t>Dermacol</t>
        </is>
      </c>
      <c r="E6083" t="n">
        <v>3.26</v>
      </c>
      <c r="F6083" t="n">
        <v>1</v>
      </c>
      <c r="G6083" t="n">
        <v>6</v>
      </c>
      <c r="H6083" s="5">
        <f>HYPERLINK("https://api.qogita.com/variants/link/8595003136952/", "View Product")</f>
        <v/>
      </c>
    </row>
    <row r="6084">
      <c r="A6084" t="inlineStr">
        <is>
          <t>8595003137898</t>
        </is>
      </c>
      <c r="B6084" t="inlineStr">
        <is>
          <t>Dermacol Forbidden Release Men Agent 3-In-1 Shower Gel 250 Ml</t>
        </is>
      </c>
      <c r="C6084" t="inlineStr">
        <is>
          <t>Shower Gel</t>
        </is>
      </c>
      <c r="D6084" t="inlineStr">
        <is>
          <t>Dermacol</t>
        </is>
      </c>
      <c r="E6084" t="n">
        <v>3.57</v>
      </c>
      <c r="F6084" t="n">
        <v>1</v>
      </c>
      <c r="G6084" t="n">
        <v>13</v>
      </c>
      <c r="H6084" s="5">
        <f>HYPERLINK("https://api.qogita.com/variants/link/8595003137898/", "View Product")</f>
        <v/>
      </c>
    </row>
    <row r="6085">
      <c r="A6085" t="inlineStr">
        <is>
          <t>8595003138185</t>
        </is>
      </c>
      <c r="B6085" t="inlineStr">
        <is>
          <t>Dermacol Refreshing Foot Mask In Socks</t>
        </is>
      </c>
      <c r="C6085" t="inlineStr">
        <is>
          <t>Foot Mask</t>
        </is>
      </c>
      <c r="D6085" t="inlineStr">
        <is>
          <t>Dermacol</t>
        </is>
      </c>
      <c r="E6085" t="n">
        <v>5.74</v>
      </c>
      <c r="F6085" t="n">
        <v>1</v>
      </c>
      <c r="G6085" t="n">
        <v>7</v>
      </c>
      <c r="H6085" s="5">
        <f>HYPERLINK("https://api.qogita.com/variants/link/8595003138185/", "View Product")</f>
        <v/>
      </c>
    </row>
    <row r="6086">
      <c r="A6086" t="inlineStr">
        <is>
          <t>8595003935166</t>
        </is>
      </c>
      <c r="B6086" t="inlineStr">
        <is>
          <t>Dermacol Acne Clear Moisturising Gel-Cream Anti-Acne Face Gel-Cream 50ml</t>
        </is>
      </c>
      <c r="C6086" t="inlineStr">
        <is>
          <t>Pimple &amp; Blackhead Treatments</t>
        </is>
      </c>
      <c r="D6086" t="inlineStr">
        <is>
          <t>Dermacol</t>
        </is>
      </c>
      <c r="E6086" t="n">
        <v>6.92</v>
      </c>
      <c r="F6086" t="n">
        <v>1</v>
      </c>
      <c r="G6086" t="n">
        <v>9</v>
      </c>
      <c r="H6086" s="5">
        <f>HYPERLINK("https://api.qogita.com/variants/link/8595003935166/", "View Product")</f>
        <v/>
      </c>
    </row>
    <row r="6087">
      <c r="A6087" t="inlineStr">
        <is>
          <t>8595003935203</t>
        </is>
      </c>
      <c r="B6087" t="inlineStr">
        <is>
          <t>Dermacol Acne Clear Mask Face Mask 2x8g</t>
        </is>
      </c>
      <c r="C6087" t="inlineStr">
        <is>
          <t>Anti-Pimple Mask</t>
        </is>
      </c>
      <c r="D6087" t="inlineStr">
        <is>
          <t>Dermacol</t>
        </is>
      </c>
      <c r="E6087" t="n">
        <v>3.14</v>
      </c>
      <c r="F6087" t="n">
        <v>1</v>
      </c>
      <c r="G6087" t="n">
        <v>9</v>
      </c>
      <c r="H6087" s="5">
        <f>HYPERLINK("https://api.qogita.com/variants/link/8595003935203/", "View Product")</f>
        <v/>
      </c>
    </row>
    <row r="6088">
      <c r="A6088" t="inlineStr">
        <is>
          <t>8595003935456</t>
        </is>
      </c>
      <c r="B6088" t="inlineStr">
        <is>
          <t>Dermacol Imperial Mascara For Extra Length And Volume 13 Ml Black</t>
        </is>
      </c>
      <c r="C6088" t="inlineStr">
        <is>
          <t>Mascara</t>
        </is>
      </c>
      <c r="D6088" t="inlineStr">
        <is>
          <t>Dermacol</t>
        </is>
      </c>
      <c r="E6088" t="n">
        <v>10.87</v>
      </c>
      <c r="F6088" t="n">
        <v>1</v>
      </c>
      <c r="G6088" t="n">
        <v>4</v>
      </c>
      <c r="H6088" s="5">
        <f>HYPERLINK("https://api.qogita.com/variants/link/8595003935456/", "View Product")</f>
        <v/>
      </c>
    </row>
    <row r="6089">
      <c r="A6089" t="inlineStr">
        <is>
          <t>8595003935623</t>
        </is>
      </c>
      <c r="B6089" t="inlineStr">
        <is>
          <t>Dermacol Acneclear Facial Wash Gel 150 Ml For Problematic Skin</t>
        </is>
      </c>
      <c r="C6089" t="inlineStr">
        <is>
          <t>Cleansing Gel</t>
        </is>
      </c>
      <c r="D6089" t="inlineStr">
        <is>
          <t>Dermacol</t>
        </is>
      </c>
      <c r="E6089" t="n">
        <v>3.69</v>
      </c>
      <c r="F6089" t="n">
        <v>1</v>
      </c>
      <c r="G6089" t="n">
        <v>30</v>
      </c>
      <c r="H6089" s="5">
        <f>HYPERLINK("https://api.qogita.com/variants/link/8595003935623/", "View Product")</f>
        <v/>
      </c>
    </row>
    <row r="6090">
      <c r="A6090" t="inlineStr">
        <is>
          <t>8595017900181</t>
        </is>
      </c>
      <c r="B6090" t="inlineStr">
        <is>
          <t>Gabriella Salvete for Women</t>
        </is>
      </c>
      <c r="C6090" t="inlineStr">
        <is>
          <t>Eau De Parfum</t>
        </is>
      </c>
      <c r="D6090" t="inlineStr">
        <is>
          <t>Gabriella Salvete</t>
        </is>
      </c>
      <c r="E6090" t="n">
        <v>5.76</v>
      </c>
      <c r="F6090" t="n">
        <v>1</v>
      </c>
      <c r="G6090" t="n">
        <v>2</v>
      </c>
      <c r="H6090" s="5">
        <f>HYPERLINK("https://api.qogita.com/variants/link/8595017900181/", "View Product")</f>
        <v/>
      </c>
    </row>
    <row r="6091">
      <c r="A6091" t="inlineStr">
        <is>
          <t>8595017948664</t>
        </is>
      </c>
      <c r="B6091" t="inlineStr">
        <is>
          <t>Gabriella Salvete Tools Nail Art Stickers 06 3d Nail Stickers</t>
        </is>
      </c>
      <c r="C6091" t="inlineStr">
        <is>
          <t>Artificial Nails &amp; Nail Decoration</t>
        </is>
      </c>
      <c r="D6091" t="inlineStr">
        <is>
          <t>Gabriella Salvete</t>
        </is>
      </c>
      <c r="E6091" t="n">
        <v>1.27</v>
      </c>
      <c r="F6091" t="n">
        <v>1</v>
      </c>
      <c r="G6091" t="n">
        <v>23</v>
      </c>
      <c r="H6091" s="5">
        <f>HYPERLINK("https://api.qogita.com/variants/link/8595017948664/", "View Product")</f>
        <v/>
      </c>
    </row>
    <row r="6092">
      <c r="A6092" t="inlineStr">
        <is>
          <t>8595017948701</t>
        </is>
      </c>
      <c r="B6092" t="inlineStr">
        <is>
          <t>Gabriella Salvete Tools Nail Art Stickers 3d Nail Stickers</t>
        </is>
      </c>
      <c r="C6092" t="inlineStr">
        <is>
          <t>Artificial Nails &amp; Nail Decoration</t>
        </is>
      </c>
      <c r="D6092" t="inlineStr">
        <is>
          <t>Gabriella Salvete</t>
        </is>
      </c>
      <c r="E6092" t="n">
        <v>0.88</v>
      </c>
      <c r="F6092" t="n">
        <v>1</v>
      </c>
      <c r="G6092" t="n">
        <v>20</v>
      </c>
      <c r="H6092" s="5">
        <f>HYPERLINK("https://api.qogita.com/variants/link/8595017948701/", "View Product")</f>
        <v/>
      </c>
    </row>
    <row r="6093">
      <c r="A6093" t="inlineStr">
        <is>
          <t>8595017988936</t>
        </is>
      </c>
      <c r="B6093" t="inlineStr">
        <is>
          <t>Gabriella Salvete - Fizzing Bath Pastille</t>
        </is>
      </c>
      <c r="C6093" t="inlineStr">
        <is>
          <t>Bath Salts &amp; Bath Bombs</t>
        </is>
      </c>
      <c r="D6093" t="inlineStr">
        <is>
          <t>Gabriella Salvete</t>
        </is>
      </c>
      <c r="E6093" t="n">
        <v>0.18</v>
      </c>
      <c r="F6093" t="n">
        <v>1</v>
      </c>
      <c r="G6093" t="n">
        <v>1048</v>
      </c>
      <c r="H6093" s="5">
        <f>HYPERLINK("https://api.qogita.com/variants/link/8595017988936/", "View Product")</f>
        <v/>
      </c>
    </row>
    <row r="6094">
      <c r="A6094" t="inlineStr">
        <is>
          <t>8595017989537</t>
        </is>
      </c>
      <c r="B6094" t="inlineStr">
        <is>
          <t>Gabriella Salvete Winter Time Body And Nail Stickers</t>
        </is>
      </c>
      <c r="C6094" t="inlineStr">
        <is>
          <t>Nail Care Sets</t>
        </is>
      </c>
      <c r="D6094" t="inlineStr">
        <is>
          <t>Gabriella Salvete</t>
        </is>
      </c>
      <c r="E6094" t="n">
        <v>2.81</v>
      </c>
      <c r="F6094" t="n">
        <v>1</v>
      </c>
      <c r="G6094" t="n">
        <v>4</v>
      </c>
      <c r="H6094" s="5">
        <f>HYPERLINK("https://api.qogita.com/variants/link/8595017989537/", "View Product")</f>
        <v/>
      </c>
    </row>
    <row r="6095">
      <c r="A6095" t="inlineStr">
        <is>
          <t>8595017992261</t>
        </is>
      </c>
      <c r="B6095" t="inlineStr">
        <is>
          <t>Gabriella Salvete False Eyelashes for Women</t>
        </is>
      </c>
      <c r="C6095" t="inlineStr">
        <is>
          <t>False Eyelashes</t>
        </is>
      </c>
      <c r="D6095" t="inlineStr">
        <is>
          <t>Gabriella Salvete</t>
        </is>
      </c>
      <c r="E6095" t="n">
        <v>1.88</v>
      </c>
      <c r="F6095" t="n">
        <v>1</v>
      </c>
      <c r="G6095" t="n">
        <v>20</v>
      </c>
      <c r="H6095" s="5">
        <f>HYPERLINK("https://api.qogita.com/variants/link/8595017992261/", "View Product")</f>
        <v/>
      </c>
    </row>
    <row r="6096">
      <c r="A6096" t="inlineStr">
        <is>
          <t>8595017998195</t>
        </is>
      </c>
      <c r="B6096" t="inlineStr">
        <is>
          <t>GeLove UV LED</t>
        </is>
      </c>
      <c r="C6096" t="inlineStr">
        <is>
          <t>Contact Lenses &amp; Reading Glasses</t>
        </is>
      </c>
      <c r="D6096" t="inlineStr">
        <is>
          <t>Gabriella Salvete</t>
        </is>
      </c>
      <c r="E6096" t="n">
        <v>9.880000000000001</v>
      </c>
      <c r="F6096" t="n">
        <v>1</v>
      </c>
      <c r="G6096" t="n">
        <v>5</v>
      </c>
      <c r="H6096" s="5">
        <f>HYPERLINK("https://api.qogita.com/variants/link/8595017998195/", "View Product")</f>
        <v/>
      </c>
    </row>
    <row r="6097">
      <c r="A6097" t="inlineStr">
        <is>
          <t>8595017998201</t>
        </is>
      </c>
      <c r="B6097" t="inlineStr">
        <is>
          <t>Gabriella Salvete Uv Led Nail Polish 8 Ml 12 Bae</t>
        </is>
      </c>
      <c r="C6097" t="inlineStr">
        <is>
          <t>Gel Polish</t>
        </is>
      </c>
      <c r="D6097" t="inlineStr">
        <is>
          <t>Gabriella Salvete</t>
        </is>
      </c>
      <c r="E6097" t="n">
        <v>9.56</v>
      </c>
      <c r="F6097" t="n">
        <v>1</v>
      </c>
      <c r="G6097" t="n">
        <v>14</v>
      </c>
      <c r="H6097" s="5">
        <f>HYPERLINK("https://api.qogita.com/variants/link/8595017998201/", "View Product")</f>
        <v/>
      </c>
    </row>
    <row r="6098">
      <c r="A6098" t="inlineStr">
        <is>
          <t>8595017998218</t>
        </is>
      </c>
      <c r="B6098" t="inlineStr">
        <is>
          <t>Gabriella Salvete Uv Led Nail Polish 8 Ml 13 Mr Right</t>
        </is>
      </c>
      <c r="C6098" t="inlineStr">
        <is>
          <t>Nail Polish</t>
        </is>
      </c>
      <c r="D6098" t="inlineStr">
        <is>
          <t>Gabriella Salvete</t>
        </is>
      </c>
      <c r="E6098" t="n">
        <v>6.4</v>
      </c>
      <c r="F6098" t="n">
        <v>1</v>
      </c>
      <c r="G6098" t="n">
        <v>2</v>
      </c>
      <c r="H6098" s="5">
        <f>HYPERLINK("https://api.qogita.com/variants/link/8595017998218/", "View Product")</f>
        <v/>
      </c>
    </row>
    <row r="6099">
      <c r="A6099" t="inlineStr">
        <is>
          <t>8595018000453</t>
        </is>
      </c>
      <c r="B6099" t="inlineStr">
        <is>
          <t>Gabriella Salvete Over The Moon Gelove Nail Polish - 01 Midnight, 8 Ml</t>
        </is>
      </c>
      <c r="C6099" t="inlineStr">
        <is>
          <t>Nail Polish</t>
        </is>
      </c>
      <c r="D6099" t="inlineStr">
        <is>
          <t>Gabriella Salvete</t>
        </is>
      </c>
      <c r="E6099" t="n">
        <v>3.35</v>
      </c>
      <c r="F6099" t="n">
        <v>1</v>
      </c>
      <c r="G6099" t="n">
        <v>6</v>
      </c>
      <c r="H6099" s="5">
        <f>HYPERLINK("https://api.qogita.com/variants/link/8595018000453/", "View Product")</f>
        <v/>
      </c>
    </row>
    <row r="6100">
      <c r="A6100" t="inlineStr">
        <is>
          <t>8595018000507</t>
        </is>
      </c>
      <c r="B6100" t="inlineStr">
        <is>
          <t>Gabriella Salvete Say It It Matters Lipstick - 4 Grams</t>
        </is>
      </c>
      <c r="C6100" t="inlineStr">
        <is>
          <t>Lipstick</t>
        </is>
      </c>
      <c r="D6100" t="inlineStr">
        <is>
          <t>Gabriella Salvete</t>
        </is>
      </c>
      <c r="E6100" t="n">
        <v>3.69</v>
      </c>
      <c r="F6100" t="n">
        <v>1</v>
      </c>
      <c r="G6100" t="n">
        <v>4</v>
      </c>
      <c r="H6100" s="5">
        <f>HYPERLINK("https://api.qogita.com/variants/link/8595018000507/", "View Product")</f>
        <v/>
      </c>
    </row>
    <row r="6101">
      <c r="A6101" t="inlineStr">
        <is>
          <t>8595018001931</t>
        </is>
      </c>
      <c r="B6101" t="inlineStr">
        <is>
          <t>Gabriella Salvete Beveled Gab Monster Make-Up Sponge</t>
        </is>
      </c>
      <c r="C6101" t="inlineStr">
        <is>
          <t>Makeup Sponges</t>
        </is>
      </c>
      <c r="D6101" t="inlineStr">
        <is>
          <t>Gabriella Salvete</t>
        </is>
      </c>
      <c r="E6101" t="n">
        <v>3.78</v>
      </c>
      <c r="F6101" t="n">
        <v>1</v>
      </c>
      <c r="G6101" t="n">
        <v>21</v>
      </c>
      <c r="H6101" s="5">
        <f>HYPERLINK("https://api.qogita.com/variants/link/8595018001931/", "View Product")</f>
        <v/>
      </c>
    </row>
    <row r="6102">
      <c r="A6102" t="inlineStr">
        <is>
          <t>8595018002167</t>
        </is>
      </c>
      <c r="B6102" t="inlineStr">
        <is>
          <t>Gabriella Salvete Pear Make-Up Sponge</t>
        </is>
      </c>
      <c r="C6102" t="inlineStr">
        <is>
          <t>Makeup Sponges</t>
        </is>
      </c>
      <c r="D6102" t="inlineStr">
        <is>
          <t>Gabriella Salvete</t>
        </is>
      </c>
      <c r="E6102" t="n">
        <v>3.43</v>
      </c>
      <c r="F6102" t="n">
        <v>1</v>
      </c>
      <c r="G6102" t="n">
        <v>9</v>
      </c>
      <c r="H6102" s="5">
        <f>HYPERLINK("https://api.qogita.com/variants/link/8595018002167/", "View Product")</f>
        <v/>
      </c>
    </row>
    <row r="6103">
      <c r="A6103" t="inlineStr">
        <is>
          <t>8595111843100</t>
        </is>
      </c>
      <c r="B6103" t="inlineStr">
        <is>
          <t>Le Chaton Nourishing Curd Mask With Honey 100 G</t>
        </is>
      </c>
      <c r="C6103" t="inlineStr">
        <is>
          <t>Hydrating Mask</t>
        </is>
      </c>
      <c r="D6103" t="inlineStr">
        <is>
          <t>Le Chaton</t>
        </is>
      </c>
      <c r="E6103" t="n">
        <v>17.06</v>
      </c>
      <c r="F6103" t="n">
        <v>1</v>
      </c>
      <c r="G6103" t="n">
        <v>3</v>
      </c>
      <c r="H6103" s="5">
        <f>HYPERLINK("https://api.qogita.com/variants/link/8595111843100/", "View Product")</f>
        <v/>
      </c>
    </row>
    <row r="6104">
      <c r="A6104" t="inlineStr">
        <is>
          <t>8595111880013</t>
        </is>
      </c>
      <c r="B6104" t="inlineStr">
        <is>
          <t>Le Chaton PLATINE S Rejuvenating Serum with Goat Colostrum and Natural Biological Growth Factor</t>
        </is>
      </c>
      <c r="C6104" t="inlineStr">
        <is>
          <t>Anti-Aging Serum</t>
        </is>
      </c>
      <c r="D6104" t="inlineStr">
        <is>
          <t>Le Chaton</t>
        </is>
      </c>
      <c r="E6104" t="n">
        <v>33.57</v>
      </c>
      <c r="F6104" t="n">
        <v>1</v>
      </c>
      <c r="G6104" t="n">
        <v>3</v>
      </c>
      <c r="H6104" s="5">
        <f>HYPERLINK("https://api.qogita.com/variants/link/8595111880013/", "View Product")</f>
        <v/>
      </c>
    </row>
    <row r="6105">
      <c r="A6105" t="inlineStr">
        <is>
          <t>8595111881904</t>
        </is>
      </c>
      <c r="B6105" t="inlineStr">
        <is>
          <t>Le Chaton Brightening Serum With Vitamin C Dore - 30 Grams</t>
        </is>
      </c>
      <c r="C6105" t="inlineStr">
        <is>
          <t>Vitamin Serum</t>
        </is>
      </c>
      <c r="D6105" t="inlineStr">
        <is>
          <t>Le Chaton</t>
        </is>
      </c>
      <c r="E6105" t="n">
        <v>26.58</v>
      </c>
      <c r="F6105" t="n">
        <v>1</v>
      </c>
      <c r="G6105" t="n">
        <v>3</v>
      </c>
      <c r="H6105" s="5">
        <f>HYPERLINK("https://api.qogita.com/variants/link/8595111881904/", "View Product")</f>
        <v/>
      </c>
    </row>
    <row r="6106">
      <c r="A6106" t="inlineStr">
        <is>
          <t>8595111894133</t>
        </is>
      </c>
      <c r="B6106" t="inlineStr">
        <is>
          <t>Rejuvenating Serum with Retinol Like 15g</t>
        </is>
      </c>
      <c r="C6106" t="inlineStr">
        <is>
          <t>Anti-Aging Serum</t>
        </is>
      </c>
      <c r="D6106" t="inlineStr">
        <is>
          <t>Le Chaton</t>
        </is>
      </c>
      <c r="E6106" t="n">
        <v>20.2</v>
      </c>
      <c r="F6106" t="n">
        <v>1</v>
      </c>
      <c r="G6106" t="n">
        <v>4</v>
      </c>
      <c r="H6106" s="5">
        <f>HYPERLINK("https://api.qogita.com/variants/link/8595111894133/", "View Product")</f>
        <v/>
      </c>
    </row>
    <row r="6107">
      <c r="A6107" t="inlineStr">
        <is>
          <t>8595162103048</t>
        </is>
      </c>
      <c r="B6107" t="inlineStr">
        <is>
          <t>Dukas Travel Manicure Set Pink Threepiece Pl892</t>
        </is>
      </c>
      <c r="C6107" t="inlineStr">
        <is>
          <t>Manicure Sets</t>
        </is>
      </c>
      <c r="D6107" t="inlineStr">
        <is>
          <t>Ducal</t>
        </is>
      </c>
      <c r="E6107" t="n">
        <v>13.02</v>
      </c>
      <c r="F6107" t="n">
        <v>1</v>
      </c>
      <c r="G6107" t="n">
        <v>2</v>
      </c>
      <c r="H6107" s="5">
        <f>HYPERLINK("https://api.qogita.com/variants/link/8595162103048/", "View Product")</f>
        <v/>
      </c>
    </row>
    <row r="6108">
      <c r="A6108" t="inlineStr">
        <is>
          <t>8595162103246</t>
        </is>
      </c>
      <c r="B6108" t="inlineStr">
        <is>
          <t>Dukas Family Red Manicure Set Genuine Leather</t>
        </is>
      </c>
      <c r="C6108" t="inlineStr">
        <is>
          <t>Manicure Sets</t>
        </is>
      </c>
      <c r="D6108" t="inlineStr">
        <is>
          <t>Ducal</t>
        </is>
      </c>
      <c r="E6108" t="n">
        <v>49.19</v>
      </c>
      <c r="F6108" t="n">
        <v>1</v>
      </c>
      <c r="G6108" t="n">
        <v>2</v>
      </c>
      <c r="H6108" s="5">
        <f>HYPERLINK("https://api.qogita.com/variants/link/8595162103246/", "View Product")</f>
        <v/>
      </c>
    </row>
    <row r="6109">
      <c r="A6109" t="inlineStr">
        <is>
          <t>8595162103567</t>
        </is>
      </c>
      <c r="B6109" t="inlineStr">
        <is>
          <t>Dukas Manicure Set 5 Pieces Men's Premium Line Pl 1825cn</t>
        </is>
      </c>
      <c r="C6109" t="inlineStr">
        <is>
          <t>Manicure Sets</t>
        </is>
      </c>
      <c r="D6109" t="inlineStr">
        <is>
          <t>Ducal</t>
        </is>
      </c>
      <c r="E6109" t="n">
        <v>31.8</v>
      </c>
      <c r="F6109" t="n">
        <v>1</v>
      </c>
      <c r="G6109" t="n">
        <v>10</v>
      </c>
      <c r="H6109" s="5">
        <f>HYPERLINK("https://api.qogita.com/variants/link/8595162103567/", "View Product")</f>
        <v/>
      </c>
    </row>
    <row r="6110">
      <c r="A6110" t="inlineStr">
        <is>
          <t>8595162103925</t>
        </is>
      </c>
      <c r="B6110" t="inlineStr">
        <is>
          <t>Dukas Travel Manicure Set 3 Pieces Black Colorful</t>
        </is>
      </c>
      <c r="C6110" t="inlineStr">
        <is>
          <t>Manicure Sets</t>
        </is>
      </c>
      <c r="D6110" t="inlineStr">
        <is>
          <t>Ducal</t>
        </is>
      </c>
      <c r="E6110" t="n">
        <v>12.73</v>
      </c>
      <c r="F6110" t="n">
        <v>1</v>
      </c>
      <c r="G6110" t="n">
        <v>5</v>
      </c>
      <c r="H6110" s="5">
        <f>HYPERLINK("https://api.qogita.com/variants/link/8595162103925/", "View Product")</f>
        <v/>
      </c>
    </row>
    <row r="6111">
      <c r="A6111" t="inlineStr">
        <is>
          <t>8595162103932</t>
        </is>
      </c>
      <c r="B6111" t="inlineStr">
        <is>
          <t>Travel Manicure Set 3 Pieces Pink PL 874</t>
        </is>
      </c>
      <c r="C6111" t="inlineStr">
        <is>
          <t>Manicure Sets</t>
        </is>
      </c>
      <c r="D6111" t="inlineStr">
        <is>
          <t>Dukas</t>
        </is>
      </c>
      <c r="E6111" t="n">
        <v>14.89</v>
      </c>
      <c r="F6111" t="n">
        <v>1</v>
      </c>
      <c r="G6111" t="n">
        <v>4</v>
      </c>
      <c r="H6111" s="5">
        <f>HYPERLINK("https://api.qogita.com/variants/link/8595162103932/", "View Product")</f>
        <v/>
      </c>
    </row>
    <row r="6112">
      <c r="A6112" t="inlineStr">
        <is>
          <t>8595162104267</t>
        </is>
      </c>
      <c r="B6112" t="inlineStr">
        <is>
          <t>Dukas Men's 5-Piece Manicure Set Pl 1693hn</t>
        </is>
      </c>
      <c r="C6112" t="inlineStr">
        <is>
          <t>Manicure Sets</t>
        </is>
      </c>
      <c r="D6112" t="inlineStr">
        <is>
          <t>Ducal</t>
        </is>
      </c>
      <c r="E6112" t="n">
        <v>29.49</v>
      </c>
      <c r="F6112" t="n">
        <v>1</v>
      </c>
      <c r="G6112" t="n">
        <v>5</v>
      </c>
      <c r="H6112" s="5">
        <f>HYPERLINK("https://api.qogita.com/variants/link/8595162104267/", "View Product")</f>
        <v/>
      </c>
    </row>
    <row r="6113">
      <c r="A6113" t="inlineStr">
        <is>
          <t>8595162104304</t>
        </is>
      </c>
      <c r="B6113" t="inlineStr">
        <is>
          <t>Dukas 3-Piece Travel Manicure Set Pl 1774cni</t>
        </is>
      </c>
      <c r="C6113" t="inlineStr">
        <is>
          <t>Manicure Sets</t>
        </is>
      </c>
      <c r="D6113" t="inlineStr">
        <is>
          <t>Ducal</t>
        </is>
      </c>
      <c r="E6113" t="n">
        <v>15.71</v>
      </c>
      <c r="F6113" t="n">
        <v>1</v>
      </c>
      <c r="G6113" t="n">
        <v>4</v>
      </c>
      <c r="H6113" s="5">
        <f>HYPERLINK("https://api.qogita.com/variants/link/8595162104304/", "View Product")</f>
        <v/>
      </c>
    </row>
    <row r="6114">
      <c r="A6114" t="inlineStr">
        <is>
          <t>8595572900053</t>
        </is>
      </c>
      <c r="B6114" t="inlineStr">
        <is>
          <t>Reinheit Vision Organic Rose Water 100ml</t>
        </is>
      </c>
      <c r="C6114" t="inlineStr">
        <is>
          <t>Facial Spray</t>
        </is>
      </c>
      <c r="D6114" t="inlineStr">
        <is>
          <t>Purity Vision</t>
        </is>
      </c>
      <c r="E6114" t="n">
        <v>7.71</v>
      </c>
      <c r="F6114" t="n">
        <v>1</v>
      </c>
      <c r="G6114" t="n">
        <v>5</v>
      </c>
      <c r="H6114" s="5">
        <f>HYPERLINK("https://api.qogita.com/variants/link/8595572900053/", "View Product")</f>
        <v/>
      </c>
    </row>
    <row r="6115">
      <c r="A6115" t="inlineStr">
        <is>
          <t>8595572900138</t>
        </is>
      </c>
      <c r="B6115" t="inlineStr">
        <is>
          <t>Purity Vision - Bio Lavender Wazer - 100ml</t>
        </is>
      </c>
      <c r="C6115" t="inlineStr">
        <is>
          <t>Diffusers</t>
        </is>
      </c>
      <c r="D6115" t="inlineStr">
        <is>
          <t>Purity Vision</t>
        </is>
      </c>
      <c r="E6115" t="n">
        <v>6.73</v>
      </c>
      <c r="F6115" t="n">
        <v>1</v>
      </c>
      <c r="G6115" t="n">
        <v>3</v>
      </c>
      <c r="H6115" s="5">
        <f>HYPERLINK("https://api.qogita.com/variants/link/8595572900138/", "View Product")</f>
        <v/>
      </c>
    </row>
    <row r="6116">
      <c r="A6116" t="inlineStr">
        <is>
          <t>8595572900305</t>
        </is>
      </c>
      <c r="B6116" t="inlineStr">
        <is>
          <t>Purity Vision Organic Virgin Coconut Oil Cold Pressed</t>
        </is>
      </c>
      <c r="C6116" t="inlineStr">
        <is>
          <t>Nutrition</t>
        </is>
      </c>
      <c r="D6116" t="inlineStr">
        <is>
          <t>Purity Vision</t>
        </is>
      </c>
      <c r="E6116" t="n">
        <v>11.69</v>
      </c>
      <c r="F6116" t="n">
        <v>1</v>
      </c>
      <c r="G6116" t="n">
        <v>10</v>
      </c>
      <c r="H6116" s="5">
        <f>HYPERLINK("https://api.qogita.com/variants/link/8595572900305/", "View Product")</f>
        <v/>
      </c>
    </row>
    <row r="6117">
      <c r="A6117" t="inlineStr">
        <is>
          <t>8595572900312</t>
        </is>
      </c>
      <c r="B6117" t="inlineStr">
        <is>
          <t>Reinheit Vision Organic Coconut Oil 900ml</t>
        </is>
      </c>
      <c r="C6117" t="inlineStr">
        <is>
          <t>Body Oil</t>
        </is>
      </c>
      <c r="D6117" t="inlineStr">
        <is>
          <t>Purity Vision</t>
        </is>
      </c>
      <c r="E6117" t="n">
        <v>17.39</v>
      </c>
      <c r="F6117" t="n">
        <v>1</v>
      </c>
      <c r="G6117" t="n">
        <v>4</v>
      </c>
      <c r="H6117" s="5">
        <f>HYPERLINK("https://api.qogita.com/variants/link/8595572900312/", "View Product")</f>
        <v/>
      </c>
    </row>
    <row r="6118">
      <c r="A6118" t="inlineStr">
        <is>
          <t>8595572900428</t>
        </is>
      </c>
      <c r="B6118" t="inlineStr">
        <is>
          <t>Reinheit Vision Ayurvedic Bath Salt 500g</t>
        </is>
      </c>
      <c r="C6118" t="inlineStr">
        <is>
          <t>Bath Salts &amp; Bath Bombs</t>
        </is>
      </c>
      <c r="D6118" t="inlineStr">
        <is>
          <t>Purity Vision</t>
        </is>
      </c>
      <c r="E6118" t="n">
        <v>5.61</v>
      </c>
      <c r="F6118" t="n">
        <v>1</v>
      </c>
      <c r="G6118" t="n">
        <v>5</v>
      </c>
      <c r="H6118" s="5">
        <f>HYPERLINK("https://api.qogita.com/variants/link/8595572900428/", "View Product")</f>
        <v/>
      </c>
    </row>
    <row r="6119">
      <c r="A6119" t="inlineStr">
        <is>
          <t>8595572901319</t>
        </is>
      </c>
      <c r="B6119" t="inlineStr">
        <is>
          <t>Raw Organic Argan and Coconut Oil Volume 120 ml</t>
        </is>
      </c>
      <c r="C6119" t="inlineStr">
        <is>
          <t>Body Oil</t>
        </is>
      </c>
      <c r="D6119" t="inlineStr">
        <is>
          <t>Purity Vision</t>
        </is>
      </c>
      <c r="E6119" t="n">
        <v>6.56</v>
      </c>
      <c r="F6119" t="n">
        <v>1</v>
      </c>
      <c r="G6119" t="n">
        <v>3</v>
      </c>
      <c r="H6119" s="5">
        <f>HYPERLINK("https://api.qogita.com/variants/link/8595572901319/", "View Product")</f>
        <v/>
      </c>
    </row>
    <row r="6120">
      <c r="A6120" t="inlineStr">
        <is>
          <t>8595572901777</t>
        </is>
      </c>
      <c r="B6120" t="inlineStr">
        <is>
          <t>Purity Vision Children's Body Butter</t>
        </is>
      </c>
      <c r="C6120" t="inlineStr">
        <is>
          <t>Body Butter</t>
        </is>
      </c>
      <c r="D6120" t="inlineStr">
        <is>
          <t>Purity Vision</t>
        </is>
      </c>
      <c r="E6120" t="n">
        <v>15.31</v>
      </c>
      <c r="F6120" t="n">
        <v>1</v>
      </c>
      <c r="G6120" t="n">
        <v>22</v>
      </c>
      <c r="H6120" s="5">
        <f>HYPERLINK("https://api.qogita.com/variants/link/8595572901777/", "View Product")</f>
        <v/>
      </c>
    </row>
    <row r="6121">
      <c r="A6121" t="inlineStr">
        <is>
          <t>8595572901913</t>
        </is>
      </c>
      <c r="B6121" t="inlineStr">
        <is>
          <t>Bio Lavender Water Volume 50 ml</t>
        </is>
      </c>
      <c r="C6121" t="inlineStr">
        <is>
          <t>Incense</t>
        </is>
      </c>
      <c r="D6121" t="inlineStr">
        <is>
          <t>Purity Vision</t>
        </is>
      </c>
      <c r="E6121" t="n">
        <v>5.15</v>
      </c>
      <c r="F6121" t="n">
        <v>1</v>
      </c>
      <c r="G6121" t="n">
        <v>9</v>
      </c>
      <c r="H6121" s="5">
        <f>HYPERLINK("https://api.qogita.com/variants/link/8595572901913/", "View Product")</f>
        <v/>
      </c>
    </row>
    <row r="6122">
      <c r="A6122" t="inlineStr">
        <is>
          <t>8595572902002</t>
        </is>
      </c>
      <c r="B6122" t="inlineStr">
        <is>
          <t>Organic Lavender Oil</t>
        </is>
      </c>
      <c r="C6122" t="inlineStr">
        <is>
          <t>Aromatherapy &amp; Essential Oils</t>
        </is>
      </c>
      <c r="D6122" t="inlineStr">
        <is>
          <t>Purity Vision</t>
        </is>
      </c>
      <c r="E6122" t="n">
        <v>9.800000000000001</v>
      </c>
      <c r="F6122" t="n">
        <v>1</v>
      </c>
      <c r="G6122" t="n">
        <v>9</v>
      </c>
      <c r="H6122" s="5">
        <f>HYPERLINK("https://api.qogita.com/variants/link/8595572902002/", "View Product")</f>
        <v/>
      </c>
    </row>
    <row r="6123">
      <c r="A6123" t="inlineStr">
        <is>
          <t>8595572902163</t>
        </is>
      </c>
      <c r="B6123" t="inlineStr">
        <is>
          <t>Reinheit Vision Raw Bio Opuntia Oil Facial Oil 30ml</t>
        </is>
      </c>
      <c r="C6123" t="inlineStr">
        <is>
          <t>Facial Oil</t>
        </is>
      </c>
      <c r="D6123" t="inlineStr">
        <is>
          <t>Purity Vision</t>
        </is>
      </c>
      <c r="E6123" t="n">
        <v>41.96</v>
      </c>
      <c r="F6123" t="n">
        <v>1</v>
      </c>
      <c r="G6123" t="n">
        <v>5</v>
      </c>
      <c r="H6123" s="5">
        <f>HYPERLINK("https://api.qogita.com/variants/link/8595572902163/", "View Product")</f>
        <v/>
      </c>
    </row>
    <row r="6124">
      <c r="A6124" t="inlineStr">
        <is>
          <t>8595572902460</t>
        </is>
      </c>
      <c r="B6124" t="inlineStr">
        <is>
          <t>Reinheit Vision Bio MCT Coconut Oil 250ml</t>
        </is>
      </c>
      <c r="C6124" t="inlineStr">
        <is>
          <t>Nutrition</t>
        </is>
      </c>
      <c r="D6124" t="inlineStr">
        <is>
          <t>Reinheit Vision</t>
        </is>
      </c>
      <c r="E6124" t="n">
        <v>11.79</v>
      </c>
      <c r="F6124" t="n">
        <v>1</v>
      </c>
      <c r="G6124" t="n">
        <v>6</v>
      </c>
      <c r="H6124" s="5">
        <f>HYPERLINK("https://api.qogita.com/variants/link/8595572902460/", "View Product")</f>
        <v/>
      </c>
    </row>
    <row r="6125">
      <c r="A6125" t="inlineStr">
        <is>
          <t>8595572902484</t>
        </is>
      </c>
      <c r="B6125" t="inlineStr">
        <is>
          <t>Purity Vision Women's Lip Gloss</t>
        </is>
      </c>
      <c r="C6125" t="inlineStr">
        <is>
          <t>Lip Gloss</t>
        </is>
      </c>
      <c r="D6125" t="inlineStr">
        <is>
          <t>Purity Vision</t>
        </is>
      </c>
      <c r="E6125" t="n">
        <v>5.31</v>
      </c>
      <c r="F6125" t="n">
        <v>1</v>
      </c>
      <c r="G6125" t="n">
        <v>8</v>
      </c>
      <c r="H6125" s="5">
        <f>HYPERLINK("https://api.qogita.com/variants/link/8595572902484/", "View Product")</f>
        <v/>
      </c>
    </row>
    <row r="6126">
      <c r="A6126" t="inlineStr">
        <is>
          <t>8595572902750</t>
        </is>
      </c>
      <c r="B6126" t="inlineStr">
        <is>
          <t>Purity Vision Bio Soothing Amber Oil for Baby Care</t>
        </is>
      </c>
      <c r="C6126" t="inlineStr">
        <is>
          <t>Baby &amp; Child</t>
        </is>
      </c>
      <c r="D6126" t="inlineStr">
        <is>
          <t>Purity Vision</t>
        </is>
      </c>
      <c r="E6126" t="n">
        <v>12.95</v>
      </c>
      <c r="F6126" t="n">
        <v>1</v>
      </c>
      <c r="G6126" t="n">
        <v>9</v>
      </c>
      <c r="H6126" s="5">
        <f>HYPERLINK("https://api.qogita.com/variants/link/8595572902750/", "View Product")</f>
        <v/>
      </c>
    </row>
    <row r="6127">
      <c r="A6127" t="inlineStr">
        <is>
          <t>8595572902774</t>
        </is>
      </c>
      <c r="B6127" t="inlineStr">
        <is>
          <t>Purity Vision Bio Pink Rollon Deodorant 50 Ml</t>
        </is>
      </c>
      <c r="C6127" t="inlineStr">
        <is>
          <t>Deodorant &amp; Anti-Perspirant</t>
        </is>
      </c>
      <c r="D6127" t="inlineStr">
        <is>
          <t>Purity Vision</t>
        </is>
      </c>
      <c r="E6127" t="n">
        <v>7.38</v>
      </c>
      <c r="F6127" t="n">
        <v>1</v>
      </c>
      <c r="G6127" t="n">
        <v>4</v>
      </c>
      <c r="H6127" s="5">
        <f>HYPERLINK("https://api.qogita.com/variants/link/8595572902774/", "View Product")</f>
        <v/>
      </c>
    </row>
    <row r="6128">
      <c r="A6128" t="inlineStr">
        <is>
          <t>8595572902910</t>
        </is>
      </c>
      <c r="B6128" t="inlineStr">
        <is>
          <t>Reinheit Vision 100% Natural Magnesium Oil 95ml</t>
        </is>
      </c>
      <c r="C6128" t="inlineStr">
        <is>
          <t>Minerals</t>
        </is>
      </c>
      <c r="D6128" t="inlineStr">
        <is>
          <t>Reinheit Vision</t>
        </is>
      </c>
      <c r="E6128" t="n">
        <v>7.33</v>
      </c>
      <c r="F6128" t="n">
        <v>1</v>
      </c>
      <c r="G6128" t="n">
        <v>2</v>
      </c>
      <c r="H6128" s="5">
        <f>HYPERLINK("https://api.qogita.com/variants/link/8595572902910/", "View Product")</f>
        <v/>
      </c>
    </row>
    <row r="6129">
      <c r="A6129" t="inlineStr">
        <is>
          <t>8595572903665</t>
        </is>
      </c>
      <c r="B6129" t="inlineStr">
        <is>
          <t>Bio Coffee Skin Peeling 3-in-1 Volume 70 ml</t>
        </is>
      </c>
      <c r="C6129" t="inlineStr">
        <is>
          <t>Facial Scrub &amp; Peeling</t>
        </is>
      </c>
      <c r="D6129" t="inlineStr">
        <is>
          <t>Purity Vision</t>
        </is>
      </c>
      <c r="E6129" t="n">
        <v>9.52</v>
      </c>
      <c r="F6129" t="n">
        <v>1</v>
      </c>
      <c r="G6129" t="n">
        <v>2</v>
      </c>
      <c r="H6129" s="5">
        <f>HYPERLINK("https://api.qogita.com/variants/link/8595572903665/", "View Product")</f>
        <v/>
      </c>
    </row>
    <row r="6130">
      <c r="A6130" t="inlineStr">
        <is>
          <t>8595572905287</t>
        </is>
      </c>
      <c r="B6130" t="inlineStr">
        <is>
          <t>Pink Clay 175g</t>
        </is>
      </c>
      <c r="C6130" t="inlineStr">
        <is>
          <t>Clay Mask</t>
        </is>
      </c>
      <c r="D6130" t="inlineStr">
        <is>
          <t>Purity Vision</t>
        </is>
      </c>
      <c r="E6130" t="n">
        <v>8.529999999999999</v>
      </c>
      <c r="F6130" t="n">
        <v>1</v>
      </c>
      <c r="G6130" t="n">
        <v>4</v>
      </c>
      <c r="H6130" s="5">
        <f>HYPERLINK("https://api.qogita.com/variants/link/8595572905287/", "View Product")</f>
        <v/>
      </c>
    </row>
    <row r="6131">
      <c r="A6131" t="inlineStr">
        <is>
          <t>8595615780161</t>
        </is>
      </c>
      <c r="B6131" t="inlineStr">
        <is>
          <t>Hair Brush with Pink Handle</t>
        </is>
      </c>
      <c r="C6131" t="inlineStr">
        <is>
          <t>Flat &amp; Paddle Brushes</t>
        </is>
      </c>
      <c r="D6131" t="inlineStr">
        <is>
          <t>Dtangler</t>
        </is>
      </c>
      <c r="E6131" t="n">
        <v>5.35</v>
      </c>
      <c r="F6131" t="n">
        <v>1</v>
      </c>
      <c r="G6131" t="n">
        <v>5</v>
      </c>
      <c r="H6131" s="5">
        <f>HYPERLINK("https://api.qogita.com/variants/link/8595615780161/", "View Product")</f>
        <v/>
      </c>
    </row>
    <row r="6132">
      <c r="A6132" t="inlineStr">
        <is>
          <t>8595615780178</t>
        </is>
      </c>
      <c r="B6132" t="inlineStr">
        <is>
          <t>Green Black Hair Brush with Handle</t>
        </is>
      </c>
      <c r="C6132" t="inlineStr">
        <is>
          <t>Flat &amp; Paddle Brushes</t>
        </is>
      </c>
      <c r="D6132" t="inlineStr">
        <is>
          <t>Dtangler</t>
        </is>
      </c>
      <c r="E6132" t="n">
        <v>2.74</v>
      </c>
      <c r="F6132" t="n">
        <v>1</v>
      </c>
      <c r="G6132" t="n">
        <v>219</v>
      </c>
      <c r="H6132" s="5">
        <f>HYPERLINK("https://api.qogita.com/variants/link/8595615780178/", "View Product")</f>
        <v/>
      </c>
    </row>
    <row r="6133">
      <c r="A6133" t="inlineStr">
        <is>
          <t>8595615780260</t>
        </is>
      </c>
      <c r="B6133" t="inlineStr">
        <is>
          <t>Hair Brush with Leopard Yellow Handle</t>
        </is>
      </c>
      <c r="C6133" t="inlineStr">
        <is>
          <t>Flat &amp; Paddle Brushes</t>
        </is>
      </c>
      <c r="D6133" t="inlineStr">
        <is>
          <t>Dtangler</t>
        </is>
      </c>
      <c r="E6133" t="n">
        <v>5.38</v>
      </c>
      <c r="F6133" t="n">
        <v>1</v>
      </c>
      <c r="G6133" t="n">
        <v>10</v>
      </c>
      <c r="H6133" s="5">
        <f>HYPERLINK("https://api.qogita.com/variants/link/8595615780260/", "View Product")</f>
        <v/>
      </c>
    </row>
    <row r="6134">
      <c r="A6134" t="inlineStr">
        <is>
          <t>8595631010310</t>
        </is>
      </c>
      <c r="B6134" t="inlineStr">
        <is>
          <t>Concept PO2010 Stick Vacuum Cleaner White Rose Gold</t>
        </is>
      </c>
      <c r="C6134" t="inlineStr">
        <is>
          <t>Incense</t>
        </is>
      </c>
      <c r="D6134" t="inlineStr">
        <is>
          <t>Concept</t>
        </is>
      </c>
      <c r="E6134" t="n">
        <v>39.62</v>
      </c>
      <c r="F6134" t="n">
        <v>1</v>
      </c>
      <c r="G6134" t="n">
        <v>4</v>
      </c>
      <c r="H6134" s="5">
        <f>HYPERLINK("https://api.qogita.com/variants/link/8595631010310/", "View Product")</f>
        <v/>
      </c>
    </row>
    <row r="6135">
      <c r="A6135" t="inlineStr">
        <is>
          <t>8595631012765</t>
        </is>
      </c>
      <c r="B6135" t="inlineStr">
        <is>
          <t>Concept Heated Blanket Dv7420 Hygge</t>
        </is>
      </c>
      <c r="C6135" t="inlineStr">
        <is>
          <t>Incense</t>
        </is>
      </c>
      <c r="D6135" t="inlineStr">
        <is>
          <t>Concept</t>
        </is>
      </c>
      <c r="E6135" t="n">
        <v>54.35</v>
      </c>
      <c r="F6135" t="n">
        <v>1</v>
      </c>
      <c r="G6135" t="n">
        <v>2</v>
      </c>
      <c r="H6135" s="5">
        <f>HYPERLINK("https://api.qogita.com/variants/link/8595631012765/", "View Product")</f>
        <v/>
      </c>
    </row>
    <row r="6136">
      <c r="A6136" t="inlineStr">
        <is>
          <t>8595631072394</t>
        </is>
      </c>
      <c r="B6136" t="inlineStr">
        <is>
          <t>Concept Cosmetic Pocket Mirror With Led Lighting White Kz2010</t>
        </is>
      </c>
      <c r="C6136" t="inlineStr">
        <is>
          <t>Facial Cleansing Tools</t>
        </is>
      </c>
      <c r="D6136" t="inlineStr">
        <is>
          <t>Concept</t>
        </is>
      </c>
      <c r="E6136" t="n">
        <v>25.99</v>
      </c>
      <c r="F6136" t="n">
        <v>1</v>
      </c>
      <c r="G6136" t="n">
        <v>3</v>
      </c>
      <c r="H6136" s="5">
        <f>HYPERLINK("https://api.qogita.com/variants/link/8595631072394/", "View Product")</f>
        <v/>
      </c>
    </row>
    <row r="6137">
      <c r="A6137" t="inlineStr">
        <is>
          <t>8595631072400</t>
        </is>
      </c>
      <c r="B6137" t="inlineStr">
        <is>
          <t>Concept Cosmetic Pocket Mirror With Led Lighting</t>
        </is>
      </c>
      <c r="C6137" t="inlineStr">
        <is>
          <t>Facial Cleansing Brushes</t>
        </is>
      </c>
      <c r="D6137" t="inlineStr">
        <is>
          <t>Concept</t>
        </is>
      </c>
      <c r="E6137" t="n">
        <v>25.99</v>
      </c>
      <c r="F6137" t="n">
        <v>1</v>
      </c>
      <c r="G6137" t="n">
        <v>5</v>
      </c>
      <c r="H6137" s="5">
        <f>HYPERLINK("https://api.qogita.com/variants/link/8595631072400/", "View Product")</f>
        <v/>
      </c>
    </row>
    <row r="6138">
      <c r="A6138" t="inlineStr">
        <is>
          <t>8595631075067</t>
        </is>
      </c>
      <c r="B6138" t="inlineStr">
        <is>
          <t>Concept Replacement Heads For Children's Toothbrushes Zk6010, Zk6020 Small Zk0061 - 2 Pieces</t>
        </is>
      </c>
      <c r="C6138" t="inlineStr">
        <is>
          <t>Dental Care For Children</t>
        </is>
      </c>
      <c r="D6138" t="inlineStr">
        <is>
          <t>Concept</t>
        </is>
      </c>
      <c r="E6138" t="n">
        <v>6.14</v>
      </c>
      <c r="F6138" t="n">
        <v>1</v>
      </c>
      <c r="G6138" t="n">
        <v>2</v>
      </c>
      <c r="H6138" s="5">
        <f>HYPERLINK("https://api.qogita.com/variants/link/8595631075067/", "View Product")</f>
        <v/>
      </c>
    </row>
    <row r="6139">
      <c r="A6139" t="inlineStr">
        <is>
          <t>8595631075128</t>
        </is>
      </c>
      <c r="B6139" t="inlineStr">
        <is>
          <t>Concept Hair Dryer Bldc Profi Care Vv8100</t>
        </is>
      </c>
      <c r="C6139" t="inlineStr">
        <is>
          <t>Hair Dryers</t>
        </is>
      </c>
      <c r="D6139" t="inlineStr">
        <is>
          <t>Concept</t>
        </is>
      </c>
      <c r="E6139" t="n">
        <v>90.48999999999999</v>
      </c>
      <c r="F6139" t="n">
        <v>1</v>
      </c>
      <c r="G6139" t="n">
        <v>5</v>
      </c>
      <c r="H6139" s="5">
        <f>HYPERLINK("https://api.qogita.com/variants/link/8595631075128/", "View Product")</f>
        <v/>
      </c>
    </row>
    <row r="6140">
      <c r="A6140" t="inlineStr">
        <is>
          <t>8595635200052</t>
        </is>
      </c>
      <c r="B6140" t="inlineStr">
        <is>
          <t>Vivaco 200ml Sunscreen Butter with SPF 10 and Argan Oil - Effective Sunscreen Body Butter for Natural Tanning</t>
        </is>
      </c>
      <c r="C6140" t="inlineStr">
        <is>
          <t>Body Sun Protection</t>
        </is>
      </c>
      <c r="D6140" t="inlineStr">
        <is>
          <t>Vivaco</t>
        </is>
      </c>
      <c r="E6140" t="n">
        <v>6.28</v>
      </c>
      <c r="F6140" t="n">
        <v>1</v>
      </c>
      <c r="G6140" t="n">
        <v>8</v>
      </c>
      <c r="H6140" s="5">
        <f>HYPERLINK("https://api.qogita.com/variants/link/8595635200052/", "View Product")</f>
        <v/>
      </c>
    </row>
    <row r="6141">
      <c r="A6141" t="inlineStr">
        <is>
          <t>8595635201509</t>
        </is>
      </c>
      <c r="B6141" t="inlineStr">
        <is>
          <t>Sun Argan Bronze Oil SPF 25 Suntan Butter with Organic Argan Oil 200ml</t>
        </is>
      </c>
      <c r="C6141" t="inlineStr">
        <is>
          <t>Body Sun Protection</t>
        </is>
      </c>
      <c r="D6141" t="inlineStr">
        <is>
          <t>Vivaco</t>
        </is>
      </c>
      <c r="E6141" t="n">
        <v>7.62</v>
      </c>
      <c r="F6141" t="n">
        <v>1</v>
      </c>
      <c r="G6141" t="n">
        <v>5</v>
      </c>
      <c r="H6141" s="5">
        <f>HYPERLINK("https://api.qogita.com/variants/link/8595635201509/", "View Product")</f>
        <v/>
      </c>
    </row>
    <row r="6142">
      <c r="A6142" t="inlineStr">
        <is>
          <t>8595635209093</t>
        </is>
      </c>
      <c r="B6142" t="inlineStr">
        <is>
          <t>Vivaco Sun Argan Bronz Oil Glitter Aftersun Butter</t>
        </is>
      </c>
      <c r="C6142" t="inlineStr">
        <is>
          <t>Aftersun</t>
        </is>
      </c>
      <c r="D6142" t="inlineStr">
        <is>
          <t>Vivaco</t>
        </is>
      </c>
      <c r="E6142" t="n">
        <v>5.8</v>
      </c>
      <c r="F6142" t="n">
        <v>1</v>
      </c>
      <c r="G6142" t="n">
        <v>10</v>
      </c>
      <c r="H6142" s="5">
        <f>HYPERLINK("https://api.qogita.com/variants/link/8595635209093/", "View Product")</f>
        <v/>
      </c>
    </row>
    <row r="6143">
      <c r="A6143" t="inlineStr">
        <is>
          <t>8595635209239</t>
        </is>
      </c>
      <c r="B6143" t="inlineStr">
        <is>
          <t>Vivaco Bio Carrot Suntan Oil SPF6</t>
        </is>
      </c>
      <c r="C6143" t="inlineStr">
        <is>
          <t>Body Sun Protection</t>
        </is>
      </c>
      <c r="D6143" t="inlineStr">
        <is>
          <t>Vivaco</t>
        </is>
      </c>
      <c r="E6143" t="n">
        <v>4.17</v>
      </c>
      <c r="F6143" t="n">
        <v>1</v>
      </c>
      <c r="G6143" t="n">
        <v>6</v>
      </c>
      <c r="H6143" s="5">
        <f>HYPERLINK("https://api.qogita.com/variants/link/8595635209239/", "View Product")</f>
        <v/>
      </c>
    </row>
    <row r="6144">
      <c r="A6144" t="inlineStr">
        <is>
          <t>8595635209246</t>
        </is>
      </c>
      <c r="B6144" t="inlineStr">
        <is>
          <t>Vivaco Bio Carrot Suntan Oil SPF15</t>
        </is>
      </c>
      <c r="C6144" t="inlineStr">
        <is>
          <t>Body Sun Protection</t>
        </is>
      </c>
      <c r="D6144" t="inlineStr">
        <is>
          <t>Vivaco</t>
        </is>
      </c>
      <c r="E6144" t="n">
        <v>4.64</v>
      </c>
      <c r="F6144" t="n">
        <v>1</v>
      </c>
      <c r="G6144" t="n">
        <v>6</v>
      </c>
      <c r="H6144" s="5">
        <f>HYPERLINK("https://api.qogita.com/variants/link/8595635209246/", "View Product")</f>
        <v/>
      </c>
    </row>
    <row r="6145">
      <c r="A6145" t="inlineStr">
        <is>
          <t>8595635211393</t>
        </is>
      </c>
      <c r="B6145" t="inlineStr">
        <is>
          <t>Sun Argan Bronz Oil SPF 15 with Organic Argan Oil 200ml</t>
        </is>
      </c>
      <c r="C6145" t="inlineStr">
        <is>
          <t>Body Sun Protection</t>
        </is>
      </c>
      <c r="D6145" t="inlineStr">
        <is>
          <t>Vivaco</t>
        </is>
      </c>
      <c r="E6145" t="n">
        <v>6.62</v>
      </c>
      <c r="F6145" t="n">
        <v>1</v>
      </c>
      <c r="G6145" t="n">
        <v>8</v>
      </c>
      <c r="H6145" s="5">
        <f>HYPERLINK("https://api.qogita.com/variants/link/8595635211393/", "View Product")</f>
        <v/>
      </c>
    </row>
    <row r="6146">
      <c r="A6146" t="inlineStr">
        <is>
          <t>8595673310126</t>
        </is>
      </c>
      <c r="B6146" t="inlineStr">
        <is>
          <t>Pola Cosmetics Hd Makeup Perfect Look Foundation 30 Ml</t>
        </is>
      </c>
      <c r="C6146" t="inlineStr">
        <is>
          <t>Foundation</t>
        </is>
      </c>
      <c r="D6146" t="inlineStr">
        <is>
          <t>Pola Cosmetics</t>
        </is>
      </c>
      <c r="E6146" t="n">
        <v>26.04</v>
      </c>
      <c r="F6146" t="n">
        <v>1</v>
      </c>
      <c r="G6146" t="n">
        <v>3</v>
      </c>
      <c r="H6146" s="5">
        <f>HYPERLINK("https://api.qogita.com/variants/link/8595673310126/", "View Product")</f>
        <v/>
      </c>
    </row>
    <row r="6147">
      <c r="A6147" t="inlineStr">
        <is>
          <t>8595673310379</t>
        </is>
      </c>
      <c r="B6147" t="inlineStr">
        <is>
          <t>Moisturizing Colour Correcting Cream 30 grams Shade Dark</t>
        </is>
      </c>
      <c r="C6147" t="inlineStr">
        <is>
          <t>Bb Cream &amp; Cc Cream</t>
        </is>
      </c>
      <c r="D6147" t="inlineStr">
        <is>
          <t>Pola Cosmetics</t>
        </is>
      </c>
      <c r="E6147" t="n">
        <v>23.11</v>
      </c>
      <c r="F6147" t="n">
        <v>1</v>
      </c>
      <c r="G6147" t="n">
        <v>2</v>
      </c>
      <c r="H6147" s="5">
        <f>HYPERLINK("https://api.qogita.com/variants/link/8595673310379/", "View Product")</f>
        <v/>
      </c>
    </row>
    <row r="6148">
      <c r="A6148" t="inlineStr">
        <is>
          <t>8595673310638</t>
        </is>
      </c>
      <c r="B6148" t="inlineStr">
        <is>
          <t>Bamboo Makeup Removal Pads 10 pieces</t>
        </is>
      </c>
      <c r="C6148" t="inlineStr">
        <is>
          <t>Facial Cleansing Tools</t>
        </is>
      </c>
      <c r="D6148" t="inlineStr">
        <is>
          <t>Pola Cosmetics</t>
        </is>
      </c>
      <c r="E6148" t="n">
        <v>15.62</v>
      </c>
      <c r="F6148" t="n">
        <v>1</v>
      </c>
      <c r="G6148" t="n">
        <v>5</v>
      </c>
      <c r="H6148" s="5">
        <f>HYPERLINK("https://api.qogita.com/variants/link/8595673310638/", "View Product")</f>
        <v/>
      </c>
    </row>
    <row r="6149">
      <c r="A6149" t="inlineStr">
        <is>
          <t>8595673310683</t>
        </is>
      </c>
      <c r="B6149" t="inlineStr">
        <is>
          <t>Eyebrow Pencil with Precise Style Brush 5 ml Shade P2</t>
        </is>
      </c>
      <c r="C6149" t="inlineStr">
        <is>
          <t>Eyebrow Pencil</t>
        </is>
      </c>
      <c r="D6149" t="inlineStr">
        <is>
          <t>Pola Cosmetics</t>
        </is>
      </c>
      <c r="E6149" t="n">
        <v>10.31</v>
      </c>
      <c r="F6149" t="n">
        <v>1</v>
      </c>
      <c r="G6149" t="n">
        <v>2</v>
      </c>
      <c r="H6149" s="5">
        <f>HYPERLINK("https://api.qogita.com/variants/link/8595673310683/", "View Product")</f>
        <v/>
      </c>
    </row>
    <row r="6150">
      <c r="A6150" t="inlineStr">
        <is>
          <t>8595673310744</t>
        </is>
      </c>
      <c r="B6150" t="inlineStr">
        <is>
          <t>Starter set of makeup removal pads 3 pieces</t>
        </is>
      </c>
      <c r="C6150" t="inlineStr">
        <is>
          <t>Care Accessories</t>
        </is>
      </c>
      <c r="D6150" t="inlineStr">
        <is>
          <t>Pola Cosmetics</t>
        </is>
      </c>
      <c r="E6150" t="n">
        <v>5.23</v>
      </c>
      <c r="F6150" t="n">
        <v>1</v>
      </c>
      <c r="G6150" t="n">
        <v>5</v>
      </c>
      <c r="H6150" s="5">
        <f>HYPERLINK("https://api.qogita.com/variants/link/8595673310744/", "View Product")</f>
        <v/>
      </c>
    </row>
    <row r="6151">
      <c r="A6151" t="inlineStr">
        <is>
          <t>8595673310751</t>
        </is>
      </c>
      <c r="B6151" t="inlineStr">
        <is>
          <t>Blush T6 (Blush) 5.8 grams</t>
        </is>
      </c>
      <c r="C6151" t="inlineStr">
        <is>
          <t>Blush</t>
        </is>
      </c>
      <c r="D6151" t="inlineStr">
        <is>
          <t>Pola Cosmetics</t>
        </is>
      </c>
      <c r="E6151" t="n">
        <v>16.4</v>
      </c>
      <c r="F6151" t="n">
        <v>1</v>
      </c>
      <c r="G6151" t="n">
        <v>3</v>
      </c>
      <c r="H6151" s="5">
        <f>HYPERLINK("https://api.qogita.com/variants/link/8595673310751/", "View Product")</f>
        <v/>
      </c>
    </row>
    <row r="6152">
      <c r="A6152" t="inlineStr">
        <is>
          <t>8595713601023</t>
        </is>
      </c>
      <c r="B6152" t="inlineStr">
        <is>
          <t>No Bullshit Shampoo for Hair and Beard (Shampoo for Everything) 500 ml</t>
        </is>
      </c>
      <c r="C6152" t="inlineStr">
        <is>
          <t>Shampoo</t>
        </is>
      </c>
      <c r="D6152" t="inlineStr">
        <is>
          <t>Steve´S</t>
        </is>
      </c>
      <c r="E6152" t="n">
        <v>14.44</v>
      </c>
      <c r="F6152" t="n">
        <v>1</v>
      </c>
      <c r="G6152" t="n">
        <v>2</v>
      </c>
      <c r="H6152" s="5">
        <f>HYPERLINK("https://api.qogita.com/variants/link/8595713601023/", "View Product")</f>
        <v/>
      </c>
    </row>
    <row r="6153">
      <c r="A6153" t="inlineStr">
        <is>
          <t>8595713601054</t>
        </is>
      </c>
      <c r="B6153" t="inlineStr">
        <is>
          <t>Steve's Hair Boosting Tonic 250 ml</t>
        </is>
      </c>
      <c r="C6153" t="inlineStr">
        <is>
          <t>Hair Tonic</t>
        </is>
      </c>
      <c r="D6153" t="inlineStr">
        <is>
          <t>Steve´S</t>
        </is>
      </c>
      <c r="E6153" t="n">
        <v>11.23</v>
      </c>
      <c r="F6153" t="n">
        <v>1</v>
      </c>
      <c r="G6153" t="n">
        <v>4</v>
      </c>
      <c r="H6153" s="5">
        <f>HYPERLINK("https://api.qogita.com/variants/link/8595713601054/", "View Product")</f>
        <v/>
      </c>
    </row>
    <row r="6154">
      <c r="A6154" t="inlineStr">
        <is>
          <t>8595713603034</t>
        </is>
      </c>
      <c r="B6154" t="inlineStr">
        <is>
          <t>Steves No Bullt Balls And Body Wash 500 Ml</t>
        </is>
      </c>
      <c r="C6154" t="inlineStr">
        <is>
          <t>Shower Gel</t>
        </is>
      </c>
      <c r="D6154" t="inlineStr">
        <is>
          <t>Steve's</t>
        </is>
      </c>
      <c r="E6154" t="n">
        <v>14.44</v>
      </c>
      <c r="F6154" t="n">
        <v>1</v>
      </c>
      <c r="G6154" t="n">
        <v>2</v>
      </c>
      <c r="H6154" s="5">
        <f>HYPERLINK("https://api.qogita.com/variants/link/8595713603034/", "View Product")</f>
        <v/>
      </c>
    </row>
    <row r="6155">
      <c r="A6155" t="inlineStr">
        <is>
          <t>8595713605144</t>
        </is>
      </c>
      <c r="B6155" t="inlineStr">
        <is>
          <t>Šumava Eau de Parfum 50 ml</t>
        </is>
      </c>
      <c r="C6155" t="inlineStr">
        <is>
          <t>Eau De Parfum</t>
        </is>
      </c>
      <c r="D6155" t="inlineStr">
        <is>
          <t>Steve´S</t>
        </is>
      </c>
      <c r="E6155" t="n">
        <v>60.55</v>
      </c>
      <c r="F6155" t="n">
        <v>1</v>
      </c>
      <c r="G6155" t="n">
        <v>2</v>
      </c>
      <c r="H6155" s="5">
        <f>HYPERLINK("https://api.qogita.com/variants/link/8595713605144/", "View Product")</f>
        <v/>
      </c>
    </row>
    <row r="6156">
      <c r="A6156" t="inlineStr">
        <is>
          <t>8595713606004</t>
        </is>
      </c>
      <c r="B6156" t="inlineStr">
        <is>
          <t>Real Steel Shavetta Razor</t>
        </is>
      </c>
      <c r="C6156" t="inlineStr">
        <is>
          <t>Inflammations</t>
        </is>
      </c>
      <c r="D6156" t="inlineStr">
        <is>
          <t>Steve's</t>
        </is>
      </c>
      <c r="E6156" t="n">
        <v>15.4</v>
      </c>
      <c r="F6156" t="n">
        <v>1</v>
      </c>
      <c r="G6156" t="n">
        <v>3</v>
      </c>
      <c r="H6156" s="5">
        <f>HYPERLINK("https://api.qogita.com/variants/link/8595713606004/", "View Product")</f>
        <v/>
      </c>
    </row>
    <row r="6157">
      <c r="A6157" t="inlineStr">
        <is>
          <t>8681008055258</t>
        </is>
      </c>
      <c r="B6157" t="inlineStr">
        <is>
          <t>Nishane Ege Extrait De Parfum Spray 100ml</t>
        </is>
      </c>
      <c r="C6157" t="inlineStr">
        <is>
          <t>Extrait De Parfum</t>
        </is>
      </c>
      <c r="D6157" t="inlineStr">
        <is>
          <t>Nishane</t>
        </is>
      </c>
      <c r="E6157" t="n">
        <v>131.34</v>
      </c>
      <c r="F6157" t="n">
        <v>1</v>
      </c>
      <c r="G6157" t="n">
        <v>57</v>
      </c>
      <c r="H6157" s="5">
        <f>HYPERLINK("https://api.qogita.com/variants/link/8681008055258/", "View Product")</f>
        <v/>
      </c>
    </row>
    <row r="6158">
      <c r="A6158" t="inlineStr">
        <is>
          <t>8681008055401</t>
        </is>
      </c>
      <c r="B6158" t="inlineStr">
        <is>
          <t>Nishane Karagoz Perfume Extract 50ml Unisex</t>
        </is>
      </c>
      <c r="C6158" t="inlineStr">
        <is>
          <t>Extrait De Parfum</t>
        </is>
      </c>
      <c r="D6158" t="inlineStr">
        <is>
          <t>Nishane</t>
        </is>
      </c>
      <c r="E6158" t="n">
        <v>102.14</v>
      </c>
      <c r="F6158" t="n">
        <v>1</v>
      </c>
      <c r="G6158" t="n">
        <v>2</v>
      </c>
      <c r="H6158" s="5">
        <f>HYPERLINK("https://api.qogita.com/variants/link/8681008055401/", "View Product")</f>
        <v/>
      </c>
    </row>
    <row r="6159">
      <c r="A6159" t="inlineStr">
        <is>
          <t>8681008055425</t>
        </is>
      </c>
      <c r="B6159" t="inlineStr">
        <is>
          <t>Nishane Ambra Calabria Extrait De Parfum Spray 50ml</t>
        </is>
      </c>
      <c r="C6159" t="inlineStr">
        <is>
          <t>Extrait De Parfum</t>
        </is>
      </c>
      <c r="D6159" t="inlineStr">
        <is>
          <t>Nishane</t>
        </is>
      </c>
      <c r="E6159" t="n">
        <v>83.31</v>
      </c>
      <c r="F6159" t="n">
        <v>1</v>
      </c>
      <c r="G6159" t="n">
        <v>15</v>
      </c>
      <c r="H6159" s="5">
        <f>HYPERLINK("https://api.qogita.com/variants/link/8681008055425/", "View Product")</f>
        <v/>
      </c>
    </row>
    <row r="6160">
      <c r="A6160" t="inlineStr">
        <is>
          <t>8681008055524</t>
        </is>
      </c>
      <c r="B6160" t="inlineStr">
        <is>
          <t>Nishane Fan Your Flames Extrait De Parfum Spray 100ml</t>
        </is>
      </c>
      <c r="C6160" t="inlineStr">
        <is>
          <t>Extrait De Parfum</t>
        </is>
      </c>
      <c r="D6160" t="inlineStr">
        <is>
          <t>Nishane</t>
        </is>
      </c>
      <c r="E6160" t="n">
        <v>120.07</v>
      </c>
      <c r="F6160" t="n">
        <v>1</v>
      </c>
      <c r="G6160" t="n">
        <v>11</v>
      </c>
      <c r="H6160" s="5">
        <f>HYPERLINK("https://api.qogita.com/variants/link/8681008055524/", "View Product")</f>
        <v/>
      </c>
    </row>
    <row r="6161">
      <c r="A6161" t="inlineStr">
        <is>
          <t>8681008055623</t>
        </is>
      </c>
      <c r="B6161" t="inlineStr">
        <is>
          <t>Nishane Wulong Cha Hair Mist 50ml</t>
        </is>
      </c>
      <c r="C6161" t="inlineStr">
        <is>
          <t>Eau De Parfum</t>
        </is>
      </c>
      <c r="D6161" t="inlineStr">
        <is>
          <t>Nishane</t>
        </is>
      </c>
      <c r="E6161" t="n">
        <v>48.86</v>
      </c>
      <c r="F6161" t="n">
        <v>1</v>
      </c>
      <c r="G6161" t="n">
        <v>23</v>
      </c>
      <c r="H6161" s="5">
        <f>HYPERLINK("https://api.qogita.com/variants/link/8681008055623/", "View Product")</f>
        <v/>
      </c>
    </row>
    <row r="6162">
      <c r="A6162" t="inlineStr">
        <is>
          <t>8681619761197</t>
        </is>
      </c>
      <c r="B6162" t="inlineStr">
        <is>
          <t>Alghabra Labyrinth of Spices Extract De Parfum 50ml Unisex</t>
        </is>
      </c>
      <c r="C6162" t="inlineStr">
        <is>
          <t>Extrait De Parfum</t>
        </is>
      </c>
      <c r="D6162" t="inlineStr">
        <is>
          <t>Alghabra</t>
        </is>
      </c>
      <c r="E6162" t="n">
        <v>103.32</v>
      </c>
      <c r="F6162" t="n">
        <v>1</v>
      </c>
      <c r="G6162" t="n">
        <v>3</v>
      </c>
      <c r="H6162" s="5">
        <f>HYPERLINK("https://api.qogita.com/variants/link/8681619761197/", "View Product")</f>
        <v/>
      </c>
    </row>
    <row r="6163">
      <c r="A6163" t="inlineStr">
        <is>
          <t>8681619761227</t>
        </is>
      </c>
      <c r="B6163" t="inlineStr">
        <is>
          <t>Alghabra Crown of Marmara Extract De Parfum 50ml Unisex</t>
        </is>
      </c>
      <c r="C6163" t="inlineStr">
        <is>
          <t>Eau De Parfum</t>
        </is>
      </c>
      <c r="D6163" t="inlineStr">
        <is>
          <t>Alghabra</t>
        </is>
      </c>
      <c r="E6163" t="n">
        <v>74.34</v>
      </c>
      <c r="F6163" t="n">
        <v>1</v>
      </c>
      <c r="G6163" t="n">
        <v>6</v>
      </c>
      <c r="H6163" s="5">
        <f>HYPERLINK("https://api.qogita.com/variants/link/8681619761227/", "View Product")</f>
        <v/>
      </c>
    </row>
    <row r="6164">
      <c r="A6164" t="inlineStr">
        <is>
          <t>8681619761272</t>
        </is>
      </c>
      <c r="B6164" t="inlineStr">
        <is>
          <t>ALGHABRA PARFUMS Rejoice 1.7oz Spray Extract De Parfum</t>
        </is>
      </c>
      <c r="C6164" t="inlineStr">
        <is>
          <t>Extrait De Parfum</t>
        </is>
      </c>
      <c r="D6164" t="inlineStr">
        <is>
          <t>Alghabra Parfums</t>
        </is>
      </c>
      <c r="E6164" t="n">
        <v>101.69</v>
      </c>
      <c r="F6164" t="n">
        <v>1</v>
      </c>
      <c r="G6164" t="n">
        <v>4</v>
      </c>
      <c r="H6164" s="5">
        <f>HYPERLINK("https://api.qogita.com/variants/link/8681619761272/", "View Product")</f>
        <v/>
      </c>
    </row>
    <row r="6165">
      <c r="A6165" t="inlineStr">
        <is>
          <t>8683608071041</t>
        </is>
      </c>
      <c r="B6165" t="inlineStr">
        <is>
          <t>Nishane Hundred Silent Ways Extrait De Parfum Spray 100ml</t>
        </is>
      </c>
      <c r="C6165" t="inlineStr">
        <is>
          <t>Extrait De Parfum</t>
        </is>
      </c>
      <c r="D6165" t="inlineStr">
        <is>
          <t>Nishane</t>
        </is>
      </c>
      <c r="E6165" t="n">
        <v>133.05</v>
      </c>
      <c r="F6165" t="n">
        <v>1</v>
      </c>
      <c r="G6165" t="n">
        <v>5</v>
      </c>
      <c r="H6165" s="5">
        <f>HYPERLINK("https://api.qogita.com/variants/link/8683608071041/", "View Product")</f>
        <v/>
      </c>
    </row>
    <row r="6166">
      <c r="A6166" t="inlineStr">
        <is>
          <t>8683608071089</t>
        </is>
      </c>
      <c r="B6166" t="inlineStr">
        <is>
          <t>Nishane Ani X Extrait De Parfum Spray 100ml</t>
        </is>
      </c>
      <c r="C6166" t="inlineStr">
        <is>
          <t>Extrait De Parfum</t>
        </is>
      </c>
      <c r="D6166" t="inlineStr">
        <is>
          <t>Nishane</t>
        </is>
      </c>
      <c r="E6166" t="n">
        <v>147.75</v>
      </c>
      <c r="F6166" t="n">
        <v>1</v>
      </c>
      <c r="G6166" t="n">
        <v>4</v>
      </c>
      <c r="H6166" s="5">
        <f>HYPERLINK("https://api.qogita.com/variants/link/8683608071089/", "View Product")</f>
        <v/>
      </c>
    </row>
    <row r="6167">
      <c r="A6167" t="inlineStr">
        <is>
          <t>8683608071607</t>
        </is>
      </c>
      <c r="B6167" t="inlineStr">
        <is>
          <t>Nishane Favonius Extrait De Parfum Spray 50ml</t>
        </is>
      </c>
      <c r="C6167" t="inlineStr">
        <is>
          <t>Extrait De Parfum</t>
        </is>
      </c>
      <c r="D6167" t="inlineStr">
        <is>
          <t>Nishane</t>
        </is>
      </c>
      <c r="E6167" t="n">
        <v>100.81</v>
      </c>
      <c r="F6167" t="n">
        <v>1</v>
      </c>
      <c r="G6167" t="n">
        <v>9</v>
      </c>
      <c r="H6167" s="5">
        <f>HYPERLINK("https://api.qogita.com/variants/link/8683608071607/", "View Product")</f>
        <v/>
      </c>
    </row>
    <row r="6168">
      <c r="A6168" t="inlineStr">
        <is>
          <t>8690572775745</t>
        </is>
      </c>
      <c r="B6168" t="inlineStr">
        <is>
          <t>Syoss Renew 7 Shampoo For Very Damaged Hair 500 Ml</t>
        </is>
      </c>
      <c r="C6168" t="inlineStr">
        <is>
          <t>Shampoo</t>
        </is>
      </c>
      <c r="D6168" t="inlineStr">
        <is>
          <t>Syoss</t>
        </is>
      </c>
      <c r="E6168" t="n">
        <v>3.3</v>
      </c>
      <c r="F6168" t="n">
        <v>1</v>
      </c>
      <c r="G6168" t="n">
        <v>32</v>
      </c>
      <c r="H6168" s="5">
        <f>HYPERLINK("https://api.qogita.com/variants/link/8690572775745/", "View Product")</f>
        <v/>
      </c>
    </row>
    <row r="6169">
      <c r="A6169" t="inlineStr">
        <is>
          <t>8700216026635</t>
        </is>
      </c>
      <c r="B6169" t="inlineStr">
        <is>
          <t>Gillette Satin Care Bikini Shaving Gel 2in1 Cleanser Shave Gel 190 Ml</t>
        </is>
      </c>
      <c r="C6169" t="inlineStr">
        <is>
          <t>Shaving Creams &amp; Foams</t>
        </is>
      </c>
      <c r="D6169" t="inlineStr">
        <is>
          <t>Gillette</t>
        </is>
      </c>
      <c r="E6169" t="n">
        <v>10.76</v>
      </c>
      <c r="F6169" t="n">
        <v>1</v>
      </c>
      <c r="G6169" t="n">
        <v>37</v>
      </c>
      <c r="H6169" s="5">
        <f>HYPERLINK("https://api.qogita.com/variants/link/8700216026635/", "View Product")</f>
        <v/>
      </c>
    </row>
    <row r="6170">
      <c r="A6170" t="inlineStr">
        <is>
          <t>8700216026642</t>
        </is>
      </c>
      <c r="B6170" t="inlineStr">
        <is>
          <t>Satin Care Daily Soothing Serum 50 ml</t>
        </is>
      </c>
      <c r="C6170" t="inlineStr">
        <is>
          <t>Hydrating Serum</t>
        </is>
      </c>
      <c r="D6170" t="inlineStr">
        <is>
          <t>Gillette</t>
        </is>
      </c>
      <c r="E6170" t="n">
        <v>10.87</v>
      </c>
      <c r="F6170" t="n">
        <v>1</v>
      </c>
      <c r="G6170" t="n">
        <v>29</v>
      </c>
      <c r="H6170" s="5">
        <f>HYPERLINK("https://api.qogita.com/variants/link/8700216026642/", "View Product")</f>
        <v/>
      </c>
    </row>
    <row r="6171">
      <c r="A6171" t="inlineStr">
        <is>
          <t>8700216130516</t>
        </is>
      </c>
      <c r="B6171" t="inlineStr">
        <is>
          <t>Gillette Venus Platinum Comfortglide Sugarberry Shaver With 1 Head</t>
        </is>
      </c>
      <c r="C6171" t="inlineStr">
        <is>
          <t>Razors &amp; Hair Removal Tools</t>
        </is>
      </c>
      <c r="D6171" t="inlineStr">
        <is>
          <t>Gillette</t>
        </is>
      </c>
      <c r="E6171" t="n">
        <v>10.99</v>
      </c>
      <c r="F6171" t="n">
        <v>1</v>
      </c>
      <c r="G6171" t="n">
        <v>39</v>
      </c>
      <c r="H6171" s="5">
        <f>HYPERLINK("https://api.qogita.com/variants/link/8700216130516/", "View Product")</f>
        <v/>
      </c>
    </row>
    <row r="6172">
      <c r="A6172" t="inlineStr">
        <is>
          <t>8700216131421</t>
        </is>
      </c>
      <c r="B6172" t="inlineStr">
        <is>
          <t>Deep Sea Body Care Gift Set</t>
        </is>
      </c>
      <c r="C6172" t="inlineStr">
        <is>
          <t>Body Care Sets</t>
        </is>
      </c>
      <c r="D6172" t="inlineStr">
        <is>
          <t>Old Spice</t>
        </is>
      </c>
      <c r="E6172" t="n">
        <v>27.86</v>
      </c>
      <c r="F6172" t="n">
        <v>1</v>
      </c>
      <c r="G6172" t="n">
        <v>10</v>
      </c>
      <c r="H6172" s="5">
        <f>HYPERLINK("https://api.qogita.com/variants/link/8700216131421/", "View Product")</f>
        <v/>
      </c>
    </row>
    <row r="6173">
      <c r="A6173" t="inlineStr">
        <is>
          <t>8700216148146</t>
        </is>
      </c>
      <c r="B6173" t="inlineStr">
        <is>
          <t>Gillette Disposable Razors For Men Blue3 Red - 12 Pieces</t>
        </is>
      </c>
      <c r="C6173" t="inlineStr">
        <is>
          <t>Razors &amp; Hair Removal Tools</t>
        </is>
      </c>
      <c r="D6173" t="inlineStr">
        <is>
          <t>Gillette</t>
        </is>
      </c>
      <c r="E6173" t="n">
        <v>10.73</v>
      </c>
      <c r="F6173" t="n">
        <v>1</v>
      </c>
      <c r="G6173" t="n">
        <v>11</v>
      </c>
      <c r="H6173" s="5">
        <f>HYPERLINK("https://api.qogita.com/variants/link/8700216148146/", "View Product")</f>
        <v/>
      </c>
    </row>
    <row r="6174">
      <c r="A6174" t="inlineStr">
        <is>
          <t>8700216156172</t>
        </is>
      </c>
      <c r="B6174" t="inlineStr">
        <is>
          <t>Head &amp; Shoulders Citrus Fresh Antidandruff Shampoo</t>
        </is>
      </c>
      <c r="C6174" t="inlineStr">
        <is>
          <t>Shampoo</t>
        </is>
      </c>
      <c r="D6174" t="inlineStr">
        <is>
          <t>Head And Shoulders</t>
        </is>
      </c>
      <c r="E6174" t="n">
        <v>10.78</v>
      </c>
      <c r="F6174" t="n">
        <v>1</v>
      </c>
      <c r="G6174" t="n">
        <v>2</v>
      </c>
      <c r="H6174" s="5">
        <f>HYPERLINK("https://api.qogita.com/variants/link/8700216156172/", "View Product")</f>
        <v/>
      </c>
    </row>
    <row r="6175">
      <c r="A6175" t="inlineStr">
        <is>
          <t>8700216156844</t>
        </is>
      </c>
      <c r="B6175" t="inlineStr">
        <is>
          <t>Head &amp; Shoulders Proexpert 7 Mint Menthol Shampoo Antidandruff And Soothing</t>
        </is>
      </c>
      <c r="C6175" t="inlineStr">
        <is>
          <t>Shampoo</t>
        </is>
      </c>
      <c r="D6175" t="inlineStr">
        <is>
          <t>Head And Shoulders</t>
        </is>
      </c>
      <c r="E6175" t="n">
        <v>6.4</v>
      </c>
      <c r="F6175" t="n">
        <v>1</v>
      </c>
      <c r="G6175" t="n">
        <v>5</v>
      </c>
      <c r="H6175" s="5">
        <f>HYPERLINK("https://api.qogita.com/variants/link/8700216156844/", "View Product")</f>
        <v/>
      </c>
    </row>
    <row r="6176">
      <c r="A6176" t="inlineStr">
        <is>
          <t>8700216169820</t>
        </is>
      </c>
      <c r="B6176" t="inlineStr">
        <is>
          <t>Old Spice RockStar deodorant spray for men 150 ml</t>
        </is>
      </c>
      <c r="C6176" t="inlineStr">
        <is>
          <t>Deodorant &amp; Anti-Perspirant</t>
        </is>
      </c>
      <c r="D6176" t="inlineStr">
        <is>
          <t>Old Spice</t>
        </is>
      </c>
      <c r="E6176" t="n">
        <v>5.72</v>
      </c>
      <c r="F6176" t="n">
        <v>1</v>
      </c>
      <c r="G6176" t="n">
        <v>34</v>
      </c>
      <c r="H6176" s="5">
        <f>HYPERLINK("https://api.qogita.com/variants/link/8700216169820/", "View Product")</f>
        <v/>
      </c>
    </row>
    <row r="6177">
      <c r="A6177" t="inlineStr">
        <is>
          <t>8700216199483</t>
        </is>
      </c>
      <c r="B6177" t="inlineStr">
        <is>
          <t>Oral B Io Ultimate Clean Black Brush Heads - 4 Pack</t>
        </is>
      </c>
      <c r="C6177" t="inlineStr">
        <is>
          <t>Electric Toothbrushes</t>
        </is>
      </c>
      <c r="D6177" t="inlineStr">
        <is>
          <t>Oral-B</t>
        </is>
      </c>
      <c r="E6177" t="n">
        <v>34.6</v>
      </c>
      <c r="F6177" t="n">
        <v>1</v>
      </c>
      <c r="G6177" t="n">
        <v>3</v>
      </c>
      <c r="H6177" s="5">
        <f>HYPERLINK("https://api.qogita.com/variants/link/8700216199483/", "View Product")</f>
        <v/>
      </c>
    </row>
    <row r="6178">
      <c r="A6178" t="inlineStr">
        <is>
          <t>8700216230988</t>
        </is>
      </c>
      <c r="B6178" t="inlineStr">
        <is>
          <t>Old Spice Wolfthorn 3 In 1 Shower Gel Body, Hair, Face Wash 675 Ml</t>
        </is>
      </c>
      <c r="C6178" t="inlineStr">
        <is>
          <t>Shower Gel</t>
        </is>
      </c>
      <c r="D6178" t="inlineStr">
        <is>
          <t>Old Spice</t>
        </is>
      </c>
      <c r="E6178" t="n">
        <v>8.31</v>
      </c>
      <c r="F6178" t="n">
        <v>1</v>
      </c>
      <c r="G6178" t="n">
        <v>5</v>
      </c>
      <c r="H6178" s="5">
        <f>HYPERLINK("https://api.qogita.com/variants/link/8700216230988/", "View Product")</f>
        <v/>
      </c>
    </row>
    <row r="6179">
      <c r="A6179" t="inlineStr">
        <is>
          <t>8700216306782</t>
        </is>
      </c>
      <c r="B6179" t="inlineStr">
        <is>
          <t>Head &amp; Shoulders Apple Fresh Shampoo 800 ml - Anti-dandruff</t>
        </is>
      </c>
      <c r="C6179" t="inlineStr">
        <is>
          <t>Shampoo</t>
        </is>
      </c>
      <c r="D6179" t="inlineStr">
        <is>
          <t>Head And Shoulders</t>
        </is>
      </c>
      <c r="E6179" t="n">
        <v>10.78</v>
      </c>
      <c r="F6179" t="n">
        <v>1</v>
      </c>
      <c r="G6179" t="n">
        <v>5</v>
      </c>
      <c r="H6179" s="5">
        <f>HYPERLINK("https://api.qogita.com/variants/link/8700216306782/", "View Product")</f>
        <v/>
      </c>
    </row>
    <row r="6180">
      <c r="A6180" t="inlineStr">
        <is>
          <t>8700216423489</t>
        </is>
      </c>
      <c r="B6180" t="inlineStr">
        <is>
          <t>Gillette Blue3 Plus Disposable Razors 3+1 Pieces By Gillette</t>
        </is>
      </c>
      <c r="C6180" t="inlineStr">
        <is>
          <t>Razors &amp; Hair Removal Tools</t>
        </is>
      </c>
      <c r="D6180" t="inlineStr">
        <is>
          <t>Gillette</t>
        </is>
      </c>
      <c r="E6180" t="n">
        <v>5.72</v>
      </c>
      <c r="F6180" t="n">
        <v>1</v>
      </c>
      <c r="G6180" t="n">
        <v>4</v>
      </c>
      <c r="H6180" s="5">
        <f>HYPERLINK("https://api.qogita.com/variants/link/8700216423489/", "View Product")</f>
        <v/>
      </c>
    </row>
    <row r="6181">
      <c r="A6181" t="inlineStr">
        <is>
          <t>8700216600002</t>
        </is>
      </c>
      <c r="B6181" t="inlineStr">
        <is>
          <t>Gillette Intimate Anti-Chafe Stick - 48 Grams</t>
        </is>
      </c>
      <c r="C6181" t="inlineStr">
        <is>
          <t>Intimate Care</t>
        </is>
      </c>
      <c r="D6181" t="inlineStr">
        <is>
          <t>Gillette</t>
        </is>
      </c>
      <c r="E6181" t="n">
        <v>10.12</v>
      </c>
      <c r="F6181" t="n">
        <v>1</v>
      </c>
      <c r="G6181" t="n">
        <v>7</v>
      </c>
      <c r="H6181" s="5">
        <f>HYPERLINK("https://api.qogita.com/variants/link/8700216600002/", "View Product")</f>
        <v/>
      </c>
    </row>
    <row r="6182">
      <c r="A6182" t="inlineStr">
        <is>
          <t>8700216606035</t>
        </is>
      </c>
      <c r="B6182" t="inlineStr">
        <is>
          <t>Old Spice Epic Legend Deodorant Spray 150 Ml</t>
        </is>
      </c>
      <c r="C6182" t="inlineStr">
        <is>
          <t>Deodorant &amp; Anti-Perspirant</t>
        </is>
      </c>
      <c r="D6182" t="inlineStr">
        <is>
          <t>Old Spice</t>
        </is>
      </c>
      <c r="E6182" t="n">
        <v>5.72</v>
      </c>
      <c r="F6182" t="n">
        <v>1</v>
      </c>
      <c r="G6182" t="n">
        <v>11</v>
      </c>
      <c r="H6182" s="5">
        <f>HYPERLINK("https://api.qogita.com/variants/link/8700216606035/", "View Product")</f>
        <v/>
      </c>
    </row>
    <row r="6183">
      <c r="A6183" t="inlineStr">
        <is>
          <t>8700216752466</t>
        </is>
      </c>
      <c r="B6183" t="inlineStr">
        <is>
          <t>Old Spice Bearglove Solid Deodorant Stick - 85 Ml</t>
        </is>
      </c>
      <c r="C6183" t="inlineStr">
        <is>
          <t>Deodorant &amp; Anti-Perspirant</t>
        </is>
      </c>
      <c r="D6183" t="inlineStr">
        <is>
          <t>Old Spice</t>
        </is>
      </c>
      <c r="E6183" t="n">
        <v>8.31</v>
      </c>
      <c r="F6183" t="n">
        <v>1</v>
      </c>
      <c r="G6183" t="n">
        <v>9</v>
      </c>
      <c r="H6183" s="5">
        <f>HYPERLINK("https://api.qogita.com/variants/link/8700216752466/", "View Product")</f>
        <v/>
      </c>
    </row>
    <row r="6184">
      <c r="A6184" t="inlineStr">
        <is>
          <t>8710908381195</t>
        </is>
      </c>
      <c r="B6184" t="inlineStr">
        <is>
          <t>Men+Care Fresh Clean 2in1 Shampoo And Conditioner - 400ml</t>
        </is>
      </c>
      <c r="C6184" t="inlineStr">
        <is>
          <t>Shampoo</t>
        </is>
      </c>
      <c r="D6184" t="inlineStr">
        <is>
          <t>Men+Care</t>
        </is>
      </c>
      <c r="E6184" t="n">
        <v>4.41</v>
      </c>
      <c r="F6184" t="n">
        <v>1</v>
      </c>
      <c r="G6184" t="n">
        <v>4</v>
      </c>
      <c r="H6184" s="5">
        <f>HYPERLINK("https://api.qogita.com/variants/link/8710908381195/", "View Product")</f>
        <v/>
      </c>
    </row>
    <row r="6185">
      <c r="A6185" t="inlineStr">
        <is>
          <t>8710908381218</t>
        </is>
      </c>
      <c r="B6185" t="inlineStr">
        <is>
          <t>Dove Mencare Thickening Fortifying Shampoo 400 Ml</t>
        </is>
      </c>
      <c r="C6185" t="inlineStr">
        <is>
          <t>Shampoo</t>
        </is>
      </c>
      <c r="D6185" t="inlineStr">
        <is>
          <t>Dove</t>
        </is>
      </c>
      <c r="E6185" t="n">
        <v>4.41</v>
      </c>
      <c r="F6185" t="n">
        <v>1</v>
      </c>
      <c r="G6185" t="n">
        <v>6</v>
      </c>
      <c r="H6185" s="5">
        <f>HYPERLINK("https://api.qogita.com/variants/link/8710908381218/", "View Product")</f>
        <v/>
      </c>
    </row>
    <row r="6186">
      <c r="A6186" t="inlineStr">
        <is>
          <t>8710908760044</t>
        </is>
      </c>
      <c r="B6186" t="inlineStr">
        <is>
          <t>Rexona Men Active Shield Fresh Deospray</t>
        </is>
      </c>
      <c r="C6186" t="inlineStr">
        <is>
          <t>Deodorant &amp; Anti-Perspirant</t>
        </is>
      </c>
      <c r="D6186" t="inlineStr">
        <is>
          <t>Rexona</t>
        </is>
      </c>
      <c r="E6186" t="n">
        <v>3.95</v>
      </c>
      <c r="F6186" t="n">
        <v>1</v>
      </c>
      <c r="G6186" t="n">
        <v>5</v>
      </c>
      <c r="H6186" s="5">
        <f>HYPERLINK("https://api.qogita.com/variants/link/8710908760044/", "View Product")</f>
        <v/>
      </c>
    </row>
    <row r="6187">
      <c r="A6187" t="inlineStr">
        <is>
          <t>8711600368804</t>
        </is>
      </c>
      <c r="B6187" t="inlineStr">
        <is>
          <t>Dove Essential Nourishment Body Milk Nourishing Body Lotion</t>
        </is>
      </c>
      <c r="C6187" t="inlineStr">
        <is>
          <t>Body Lotion</t>
        </is>
      </c>
      <c r="D6187" t="inlineStr">
        <is>
          <t>Dove</t>
        </is>
      </c>
      <c r="E6187" t="n">
        <v>6.17</v>
      </c>
      <c r="F6187" t="n">
        <v>1</v>
      </c>
      <c r="G6187" t="n">
        <v>11</v>
      </c>
      <c r="H6187" s="5">
        <f>HYPERLINK("https://api.qogita.com/variants/link/8711600368804/", "View Product")</f>
        <v/>
      </c>
    </row>
    <row r="6188">
      <c r="A6188" t="inlineStr">
        <is>
          <t>8711600453975</t>
        </is>
      </c>
      <c r="B6188" t="inlineStr">
        <is>
          <t>Dove Intensive Nourishing Lotion 400 Ml Body Lotion For Very Dry Skin</t>
        </is>
      </c>
      <c r="C6188" t="inlineStr">
        <is>
          <t>Body Lotion</t>
        </is>
      </c>
      <c r="D6188" t="inlineStr">
        <is>
          <t>Dove</t>
        </is>
      </c>
      <c r="E6188" t="n">
        <v>6.17</v>
      </c>
      <c r="F6188" t="n">
        <v>1</v>
      </c>
      <c r="G6188" t="n">
        <v>9</v>
      </c>
      <c r="H6188" s="5">
        <f>HYPERLINK("https://api.qogita.com/variants/link/8711600453975/", "View Product")</f>
        <v/>
      </c>
    </row>
    <row r="6189">
      <c r="A6189" t="inlineStr">
        <is>
          <t>8711700921565</t>
        </is>
      </c>
      <c r="B6189" t="inlineStr">
        <is>
          <t>Dove Purely Pampering Beauty Cream Wash With Shea Butter And Vanilla</t>
        </is>
      </c>
      <c r="C6189" t="inlineStr">
        <is>
          <t>Shower Gel</t>
        </is>
      </c>
      <c r="D6189" t="inlineStr">
        <is>
          <t>Dove</t>
        </is>
      </c>
      <c r="E6189" t="n">
        <v>3.91</v>
      </c>
      <c r="F6189" t="n">
        <v>1</v>
      </c>
      <c r="G6189" t="n">
        <v>8</v>
      </c>
      <c r="H6189" s="5">
        <f>HYPERLINK("https://api.qogita.com/variants/link/8711700921565/", "View Product")</f>
        <v/>
      </c>
    </row>
    <row r="6190">
      <c r="A6190" t="inlineStr">
        <is>
          <t>8712561032155</t>
        </is>
      </c>
      <c r="B6190" t="inlineStr">
        <is>
          <t>Dove Men+Care Strengthening Shampoo Energy Boost 250ml</t>
        </is>
      </c>
      <c r="C6190" t="inlineStr">
        <is>
          <t>Shampoo</t>
        </is>
      </c>
      <c r="D6190" t="inlineStr">
        <is>
          <t>Dove</t>
        </is>
      </c>
      <c r="E6190" t="n">
        <v>3.77</v>
      </c>
      <c r="F6190" t="n">
        <v>1</v>
      </c>
      <c r="G6190" t="n">
        <v>5</v>
      </c>
      <c r="H6190" s="5">
        <f>HYPERLINK("https://api.qogita.com/variants/link/8712561032155/", "View Product")</f>
        <v/>
      </c>
    </row>
    <row r="6191">
      <c r="A6191" t="inlineStr">
        <is>
          <t>8712856064335</t>
        </is>
      </c>
      <c r="B6191" t="inlineStr">
        <is>
          <t>Silk'n VacuPedi Filters for Catching Dead Skin Flakes</t>
        </is>
      </c>
      <c r="C6191" t="inlineStr">
        <is>
          <t>Callus Remover</t>
        </is>
      </c>
      <c r="D6191" t="inlineStr">
        <is>
          <t>Silk'n</t>
        </is>
      </c>
      <c r="E6191" t="n">
        <v>8.35</v>
      </c>
      <c r="F6191" t="n">
        <v>1</v>
      </c>
      <c r="G6191" t="n">
        <v>2</v>
      </c>
      <c r="H6191" s="5">
        <f>HYPERLINK("https://api.qogita.com/variants/link/8712856064335/", "View Product")</f>
        <v/>
      </c>
    </row>
    <row r="6192">
      <c r="A6192" t="inlineStr">
        <is>
          <t>8712856068425</t>
        </is>
      </c>
      <c r="B6192" t="inlineStr">
        <is>
          <t>Silk'n FreshPedi Callus Remover Refill Fine and Medium</t>
        </is>
      </c>
      <c r="C6192" t="inlineStr">
        <is>
          <t>Callus Remover</t>
        </is>
      </c>
      <c r="D6192" t="inlineStr">
        <is>
          <t>Silk'n</t>
        </is>
      </c>
      <c r="E6192" t="n">
        <v>9.51</v>
      </c>
      <c r="F6192" t="n">
        <v>1</v>
      </c>
      <c r="G6192" t="n">
        <v>11</v>
      </c>
      <c r="H6192" s="5">
        <f>HYPERLINK("https://api.qogita.com/variants/link/8712856068425/", "View Product")</f>
        <v/>
      </c>
    </row>
    <row r="6193">
      <c r="A6193" t="inlineStr">
        <is>
          <t>8714789911755</t>
        </is>
      </c>
      <c r="B6193" t="inlineStr">
        <is>
          <t>Elmex Junior Mouthwash 400ml / 13.33 Fl Oz</t>
        </is>
      </c>
      <c r="C6193" t="inlineStr">
        <is>
          <t>Mouthwash</t>
        </is>
      </c>
      <c r="D6193" t="inlineStr">
        <is>
          <t>Elmex</t>
        </is>
      </c>
      <c r="E6193" t="n">
        <v>6.66</v>
      </c>
      <c r="F6193" t="n">
        <v>1</v>
      </c>
      <c r="G6193" t="n">
        <v>10</v>
      </c>
      <c r="H6193" s="5">
        <f>HYPERLINK("https://api.qogita.com/variants/link/8714789911755/", "View Product")</f>
        <v/>
      </c>
    </row>
    <row r="6194">
      <c r="A6194" t="inlineStr">
        <is>
          <t>8714789985060</t>
        </is>
      </c>
      <c r="B6194" t="inlineStr">
        <is>
          <t>Elmex Toothpaste For Sensitive Teeth Sensitive Duopack 2 X 75 Ml</t>
        </is>
      </c>
      <c r="C6194" t="inlineStr">
        <is>
          <t>Toothpaste</t>
        </is>
      </c>
      <c r="D6194" t="inlineStr">
        <is>
          <t>Elmex</t>
        </is>
      </c>
      <c r="E6194" t="n">
        <v>8.19</v>
      </c>
      <c r="F6194" t="n">
        <v>1</v>
      </c>
      <c r="G6194" t="n">
        <v>10</v>
      </c>
      <c r="H6194" s="5">
        <f>HYPERLINK("https://api.qogita.com/variants/link/8714789985060/", "View Product")</f>
        <v/>
      </c>
    </row>
    <row r="6195">
      <c r="A6195" t="inlineStr">
        <is>
          <t>8714789994185</t>
        </is>
      </c>
      <c r="B6195" t="inlineStr">
        <is>
          <t>Elmex Caries Protection Dental Care Gift Set</t>
        </is>
      </c>
      <c r="C6195" t="inlineStr">
        <is>
          <t>Toothpaste</t>
        </is>
      </c>
      <c r="D6195" t="inlineStr">
        <is>
          <t>Elmex</t>
        </is>
      </c>
      <c r="E6195" t="n">
        <v>8.220000000000001</v>
      </c>
      <c r="F6195" t="n">
        <v>1</v>
      </c>
      <c r="G6195" t="n">
        <v>8</v>
      </c>
      <c r="H6195" s="5">
        <f>HYPERLINK("https://api.qogita.com/variants/link/8714789994185/", "View Product")</f>
        <v/>
      </c>
    </row>
    <row r="6196">
      <c r="A6196" t="inlineStr">
        <is>
          <t>8717163097700</t>
        </is>
      </c>
      <c r="B6196" t="inlineStr">
        <is>
          <t>Dove Beautifying Creamy Liquid Soap With Cucumber And Green Tea Scent Go Fresh Fresh Touch Refill</t>
        </is>
      </c>
      <c r="C6196" t="inlineStr">
        <is>
          <t>Soap</t>
        </is>
      </c>
      <c r="D6196" t="inlineStr">
        <is>
          <t>Dove</t>
        </is>
      </c>
      <c r="E6196" t="n">
        <v>2.16</v>
      </c>
      <c r="F6196" t="n">
        <v>1</v>
      </c>
      <c r="G6196" t="n">
        <v>14</v>
      </c>
      <c r="H6196" s="5">
        <f>HYPERLINK("https://api.qogita.com/variants/link/8717163097700/", "View Product")</f>
        <v/>
      </c>
    </row>
    <row r="6197">
      <c r="A6197" t="inlineStr">
        <is>
          <t>8717163340561</t>
        </is>
      </c>
      <c r="B6197" t="inlineStr">
        <is>
          <t>Rexona Motionsense Aloe Vera Antiperspirant Spray</t>
        </is>
      </c>
      <c r="C6197" t="inlineStr">
        <is>
          <t>Deodorant &amp; Anti-Perspirant</t>
        </is>
      </c>
      <c r="D6197" t="inlineStr">
        <is>
          <t>Rexona</t>
        </is>
      </c>
      <c r="E6197" t="n">
        <v>3.95</v>
      </c>
      <c r="F6197" t="n">
        <v>1</v>
      </c>
      <c r="G6197" t="n">
        <v>5</v>
      </c>
      <c r="H6197" s="5">
        <f>HYPERLINK("https://api.qogita.com/variants/link/8717163340561/", "View Product")</f>
        <v/>
      </c>
    </row>
    <row r="6198">
      <c r="A6198" t="inlineStr">
        <is>
          <t>8717524070014</t>
        </is>
      </c>
      <c r="B6198" t="inlineStr">
        <is>
          <t>Vinolia Soap 150g</t>
        </is>
      </c>
      <c r="C6198" t="inlineStr">
        <is>
          <t>Soap</t>
        </is>
      </c>
      <c r="D6198" t="inlineStr">
        <is>
          <t>Vinolia</t>
        </is>
      </c>
      <c r="E6198" t="n">
        <v>1.87</v>
      </c>
      <c r="F6198" t="n">
        <v>1</v>
      </c>
      <c r="G6198" t="n">
        <v>11</v>
      </c>
      <c r="H6198" s="5">
        <f>HYPERLINK("https://api.qogita.com/variants/link/8717524070014/", "View Product")</f>
        <v/>
      </c>
    </row>
    <row r="6199">
      <c r="A6199" t="inlineStr">
        <is>
          <t>8717524072391</t>
        </is>
      </c>
      <c r="B6199" t="inlineStr">
        <is>
          <t>Purol Salve Unguent 50ml</t>
        </is>
      </c>
      <c r="C6199" t="inlineStr">
        <is>
          <t>Neurodermatitis</t>
        </is>
      </c>
      <c r="D6199" t="inlineStr">
        <is>
          <t>Purol</t>
        </is>
      </c>
      <c r="E6199" t="n">
        <v>5.57</v>
      </c>
      <c r="F6199" t="n">
        <v>1</v>
      </c>
      <c r="G6199" t="n">
        <v>5</v>
      </c>
      <c r="H6199" s="5">
        <f>HYPERLINK("https://api.qogita.com/variants/link/8717524072391/", "View Product")</f>
        <v/>
      </c>
    </row>
    <row r="6200">
      <c r="A6200" t="inlineStr">
        <is>
          <t>8717524072469</t>
        </is>
      </c>
      <c r="B6200" t="inlineStr">
        <is>
          <t>Purol Lip Balm 5ml Jar</t>
        </is>
      </c>
      <c r="C6200" t="inlineStr">
        <is>
          <t>Medicated Treatments</t>
        </is>
      </c>
      <c r="D6200" t="inlineStr">
        <is>
          <t>Purol</t>
        </is>
      </c>
      <c r="E6200" t="n">
        <v>3.28</v>
      </c>
      <c r="F6200" t="n">
        <v>1</v>
      </c>
      <c r="G6200" t="n">
        <v>50</v>
      </c>
      <c r="H6200" s="5">
        <f>HYPERLINK("https://api.qogita.com/variants/link/8717524072469/", "View Product")</f>
        <v/>
      </c>
    </row>
    <row r="6201">
      <c r="A6201" t="inlineStr">
        <is>
          <t>8717524075316</t>
        </is>
      </c>
      <c r="B6201" t="inlineStr">
        <is>
          <t>Aok Face Wash Gel 150ml for Combination and Oily Skin - Pack of 6</t>
        </is>
      </c>
      <c r="C6201" t="inlineStr">
        <is>
          <t>Cleansing Gel</t>
        </is>
      </c>
      <c r="D6201" t="inlineStr">
        <is>
          <t>Aok</t>
        </is>
      </c>
      <c r="E6201" t="n">
        <v>3.56</v>
      </c>
      <c r="F6201" t="n">
        <v>1</v>
      </c>
      <c r="G6201" t="n">
        <v>22</v>
      </c>
      <c r="H6201" s="5">
        <f>HYPERLINK("https://api.qogita.com/variants/link/8717524075316/", "View Product")</f>
        <v/>
      </c>
    </row>
    <row r="6202">
      <c r="A6202" t="inlineStr">
        <is>
          <t>8717644320426</t>
        </is>
      </c>
      <c r="B6202" t="inlineStr">
        <is>
          <t>Rexona Men Motionsense Quantum Dry Antiperspirant</t>
        </is>
      </c>
      <c r="C6202" t="inlineStr">
        <is>
          <t>Deodorant &amp; Anti-Perspirant</t>
        </is>
      </c>
      <c r="D6202" t="inlineStr">
        <is>
          <t>Rexona</t>
        </is>
      </c>
      <c r="E6202" t="n">
        <v>3.95</v>
      </c>
      <c r="F6202" t="n">
        <v>1</v>
      </c>
      <c r="G6202" t="n">
        <v>5</v>
      </c>
      <c r="H6202" s="5">
        <f>HYPERLINK("https://api.qogita.com/variants/link/8717644320426/", "View Product")</f>
        <v/>
      </c>
    </row>
    <row r="6203">
      <c r="A6203" t="inlineStr">
        <is>
          <t>8717774840344</t>
        </is>
      </c>
      <c r="B6203" t="inlineStr">
        <is>
          <t>Nasomatto Fantomas Unisex Extrait De Parfum Spray 30ml</t>
        </is>
      </c>
      <c r="C6203" t="inlineStr">
        <is>
          <t>Extrait De Parfum</t>
        </is>
      </c>
      <c r="D6203" t="inlineStr">
        <is>
          <t>Nasomatto</t>
        </is>
      </c>
      <c r="E6203" t="n">
        <v>103.16</v>
      </c>
      <c r="F6203" t="n">
        <v>1</v>
      </c>
      <c r="G6203" t="n">
        <v>7</v>
      </c>
      <c r="H6203" s="5">
        <f>HYPERLINK("https://api.qogita.com/variants/link/8717774840344/", "View Product")</f>
        <v/>
      </c>
    </row>
    <row r="6204">
      <c r="A6204" t="inlineStr">
        <is>
          <t>8717774840580</t>
        </is>
      </c>
      <c r="B6204" t="inlineStr">
        <is>
          <t>Nasomatto Sadonaso Extrait De Parfum Spray 30ml</t>
        </is>
      </c>
      <c r="C6204" t="inlineStr">
        <is>
          <t>Extrait De Parfum</t>
        </is>
      </c>
      <c r="D6204" t="inlineStr">
        <is>
          <t>Nasomatto</t>
        </is>
      </c>
      <c r="E6204" t="n">
        <v>86.51000000000001</v>
      </c>
      <c r="F6204" t="n">
        <v>1</v>
      </c>
      <c r="G6204" t="n">
        <v>35</v>
      </c>
      <c r="H6204" s="5">
        <f>HYPERLINK("https://api.qogita.com/variants/link/8717774840580/", "View Product")</f>
        <v/>
      </c>
    </row>
    <row r="6205">
      <c r="A6205" t="inlineStr">
        <is>
          <t>8718951070905</t>
        </is>
      </c>
      <c r="B6205" t="inlineStr">
        <is>
          <t>Elmex Sensitive Professional Gentle Whitening Toothpaste 75 Ml</t>
        </is>
      </c>
      <c r="C6205" t="inlineStr">
        <is>
          <t>Toothpaste</t>
        </is>
      </c>
      <c r="D6205" t="inlineStr">
        <is>
          <t>Elmex</t>
        </is>
      </c>
      <c r="E6205" t="n">
        <v>6.57</v>
      </c>
      <c r="F6205" t="n">
        <v>1</v>
      </c>
      <c r="G6205" t="n">
        <v>2</v>
      </c>
      <c r="H6205" s="5">
        <f>HYPERLINK("https://api.qogita.com/variants/link/8718951070905/", "View Product")</f>
        <v/>
      </c>
    </row>
    <row r="6206">
      <c r="A6206" t="inlineStr">
        <is>
          <t>8718951159563</t>
        </is>
      </c>
      <c r="B6206" t="inlineStr">
        <is>
          <t>Meridol Set Of Soft Toothbrushes 3 Pieces</t>
        </is>
      </c>
      <c r="C6206" t="inlineStr">
        <is>
          <t>Toothbrushes &amp; Tongue Cleaners</t>
        </is>
      </c>
      <c r="D6206" t="inlineStr">
        <is>
          <t>Meridol</t>
        </is>
      </c>
      <c r="E6206" t="n">
        <v>9.220000000000001</v>
      </c>
      <c r="F6206" t="n">
        <v>1</v>
      </c>
      <c r="G6206" t="n">
        <v>10</v>
      </c>
      <c r="H6206" s="5">
        <f>HYPERLINK("https://api.qogita.com/variants/link/8718951159563/", "View Product")</f>
        <v/>
      </c>
    </row>
    <row r="6207">
      <c r="A6207" t="inlineStr">
        <is>
          <t>8718951412811</t>
        </is>
      </c>
      <c r="B6207" t="inlineStr">
        <is>
          <t>Meridol Mouthwash With Chlorhexidine 300 Ml</t>
        </is>
      </c>
      <c r="C6207" t="inlineStr">
        <is>
          <t>Mouthwash</t>
        </is>
      </c>
      <c r="D6207" t="inlineStr">
        <is>
          <t>Meridol</t>
        </is>
      </c>
      <c r="E6207" t="n">
        <v>9.07</v>
      </c>
      <c r="F6207" t="n">
        <v>1</v>
      </c>
      <c r="G6207" t="n">
        <v>14</v>
      </c>
      <c r="H6207" s="5">
        <f>HYPERLINK("https://api.qogita.com/variants/link/8718951412811/", "View Product")</f>
        <v/>
      </c>
    </row>
    <row r="6208">
      <c r="A6208" t="inlineStr">
        <is>
          <t>8718951469754</t>
        </is>
      </c>
      <c r="B6208" t="inlineStr">
        <is>
          <t>Colgate Toothbrush 360 Battery Floss Tip</t>
        </is>
      </c>
      <c r="C6208" t="inlineStr">
        <is>
          <t>Toothbrushes &amp; Tongue Cleaners</t>
        </is>
      </c>
      <c r="D6208" t="inlineStr">
        <is>
          <t>Colgate</t>
        </is>
      </c>
      <c r="E6208" t="n">
        <v>5.31</v>
      </c>
      <c r="F6208" t="n">
        <v>1</v>
      </c>
      <c r="G6208" t="n">
        <v>24</v>
      </c>
      <c r="H6208" s="5">
        <f>HYPERLINK("https://api.qogita.com/variants/link/8718951469754/", "View Product")</f>
        <v/>
      </c>
    </row>
    <row r="6209">
      <c r="A6209" t="inlineStr">
        <is>
          <t>8718951482920</t>
        </is>
      </c>
      <c r="B6209" t="inlineStr">
        <is>
          <t>Complete Care Mouthwash 400 ml</t>
        </is>
      </c>
      <c r="C6209" t="inlineStr">
        <is>
          <t>Mouthwash</t>
        </is>
      </c>
      <c r="D6209" t="inlineStr">
        <is>
          <t>Meridol</t>
        </is>
      </c>
      <c r="E6209" t="n">
        <v>7.21</v>
      </c>
      <c r="F6209" t="n">
        <v>1</v>
      </c>
      <c r="G6209" t="n">
        <v>5</v>
      </c>
      <c r="H6209" s="5">
        <f>HYPERLINK("https://api.qogita.com/variants/link/8718951482920/", "View Product")</f>
        <v/>
      </c>
    </row>
    <row r="6210">
      <c r="A6210" t="inlineStr">
        <is>
          <t>8718951516014</t>
        </is>
      </c>
      <c r="B6210" t="inlineStr">
        <is>
          <t>Elmex Caries Complete Care Toothpaste For Complete Oral Protection 75 Ml</t>
        </is>
      </c>
      <c r="C6210" t="inlineStr">
        <is>
          <t>Toothpaste</t>
        </is>
      </c>
      <c r="D6210" t="inlineStr">
        <is>
          <t>Elmex</t>
        </is>
      </c>
      <c r="E6210" t="n">
        <v>6.57</v>
      </c>
      <c r="F6210" t="n">
        <v>1</v>
      </c>
      <c r="G6210" t="n">
        <v>5</v>
      </c>
      <c r="H6210" s="5">
        <f>HYPERLINK("https://api.qogita.com/variants/link/8718951516014/", "View Product")</f>
        <v/>
      </c>
    </row>
    <row r="6211">
      <c r="A6211" t="inlineStr">
        <is>
          <t>8718951560741</t>
        </is>
      </c>
      <c r="B6211" t="inlineStr">
        <is>
          <t>Meridol Mouthwash For Healthy Gums And Fresh Breath 400 Ml</t>
        </is>
      </c>
      <c r="C6211" t="inlineStr">
        <is>
          <t>Mouthwash</t>
        </is>
      </c>
      <c r="D6211" t="inlineStr">
        <is>
          <t>Meridol</t>
        </is>
      </c>
      <c r="E6211" t="n">
        <v>7.21</v>
      </c>
      <c r="F6211" t="n">
        <v>1</v>
      </c>
      <c r="G6211" t="n">
        <v>6</v>
      </c>
      <c r="H6211" s="5">
        <f>HYPERLINK("https://api.qogita.com/variants/link/8718951560741/", "View Product")</f>
        <v/>
      </c>
    </row>
    <row r="6212">
      <c r="A6212" t="inlineStr">
        <is>
          <t>8718951658875</t>
        </is>
      </c>
      <c r="B6212" t="inlineStr">
        <is>
          <t>Elmex Expert Precision Sensitive Toothbrush</t>
        </is>
      </c>
      <c r="C6212" t="inlineStr">
        <is>
          <t>Toothbrushes &amp; Tongue Cleaners</t>
        </is>
      </c>
      <c r="D6212" t="inlineStr">
        <is>
          <t>Elmex</t>
        </is>
      </c>
      <c r="E6212" t="n">
        <v>4.88</v>
      </c>
      <c r="F6212" t="n">
        <v>1</v>
      </c>
      <c r="G6212" t="n">
        <v>7</v>
      </c>
      <c r="H6212" s="5">
        <f>HYPERLINK("https://api.qogita.com/variants/link/8718951658875/", "View Product")</f>
        <v/>
      </c>
    </row>
    <row r="6213">
      <c r="A6213" t="inlineStr">
        <is>
          <t>8718951716384</t>
        </is>
      </c>
      <c r="B6213" t="inlineStr">
        <is>
          <t>Elmex Sensitive Clinical Expert Instant Care Toothpaste 75 Ml</t>
        </is>
      </c>
      <c r="C6213" t="inlineStr">
        <is>
          <t>Toothpaste</t>
        </is>
      </c>
      <c r="D6213" t="inlineStr">
        <is>
          <t>Elmex</t>
        </is>
      </c>
      <c r="E6213" t="n">
        <v>6.57</v>
      </c>
      <c r="F6213" t="n">
        <v>1</v>
      </c>
      <c r="G6213" t="n">
        <v>9</v>
      </c>
      <c r="H6213" s="5">
        <f>HYPERLINK("https://api.qogita.com/variants/link/8718951716384/", "View Product")</f>
        <v/>
      </c>
    </row>
    <row r="6214">
      <c r="A6214" t="inlineStr">
        <is>
          <t>8719134098631</t>
        </is>
      </c>
      <c r="B6214" t="inlineStr">
        <is>
          <t>RITUALS The Ritual of Ayurveda Body Scrub 300g</t>
        </is>
      </c>
      <c r="C6214" t="inlineStr">
        <is>
          <t>Body Scrub &amp; Peeling</t>
        </is>
      </c>
      <c r="D6214" t="inlineStr">
        <is>
          <t>Rituals</t>
        </is>
      </c>
      <c r="E6214" t="n">
        <v>14.61</v>
      </c>
      <c r="F6214" t="n">
        <v>1</v>
      </c>
      <c r="G6214" t="n">
        <v>5</v>
      </c>
      <c r="H6214" s="5">
        <f>HYPERLINK("https://api.qogita.com/variants/link/8719134098631/", "View Product")</f>
        <v/>
      </c>
    </row>
    <row r="6215">
      <c r="A6215" t="inlineStr">
        <is>
          <t>8719134100068</t>
        </is>
      </c>
      <c r="B6215" t="inlineStr">
        <is>
          <t>RITUALS Fleurs de L'Himalayas Eau de Parfum 50ml</t>
        </is>
      </c>
      <c r="C6215" t="inlineStr">
        <is>
          <t>Eau De Parfum</t>
        </is>
      </c>
      <c r="D6215" t="inlineStr">
        <is>
          <t>Rituals</t>
        </is>
      </c>
      <c r="E6215" t="n">
        <v>33.01</v>
      </c>
      <c r="F6215" t="n">
        <v>1</v>
      </c>
      <c r="G6215" t="n">
        <v>14</v>
      </c>
      <c r="H6215" s="5">
        <f>HYPERLINK("https://api.qogita.com/variants/link/8719134100068/", "View Product")</f>
        <v/>
      </c>
    </row>
    <row r="6216">
      <c r="A6216" t="inlineStr">
        <is>
          <t>8719134152852</t>
        </is>
      </c>
      <c r="B6216" t="inlineStr">
        <is>
          <t>Ritual of Karma After Sun Cooling Shower Gel 200ml</t>
        </is>
      </c>
      <c r="C6216" t="inlineStr">
        <is>
          <t>Shower Gel</t>
        </is>
      </c>
      <c r="D6216" t="inlineStr">
        <is>
          <t>Rituals</t>
        </is>
      </c>
      <c r="E6216" t="n">
        <v>7.25</v>
      </c>
      <c r="F6216" t="n">
        <v>1</v>
      </c>
      <c r="G6216" t="n">
        <v>80</v>
      </c>
      <c r="H6216" s="5">
        <f>HYPERLINK("https://api.qogita.com/variants/link/8719134152852/", "View Product")</f>
        <v/>
      </c>
    </row>
    <row r="6217">
      <c r="A6217" t="inlineStr">
        <is>
          <t>8719134160826</t>
        </is>
      </c>
      <c r="B6217" t="inlineStr">
        <is>
          <t>Rituals The Ritual Of Ayurveda Shower Foam Gel 200ml</t>
        </is>
      </c>
      <c r="C6217" t="inlineStr">
        <is>
          <t>Shower Foam</t>
        </is>
      </c>
      <c r="D6217" t="inlineStr">
        <is>
          <t>Rituals</t>
        </is>
      </c>
      <c r="E6217" t="n">
        <v>8.85</v>
      </c>
      <c r="F6217" t="n">
        <v>1</v>
      </c>
      <c r="G6217" t="n">
        <v>33</v>
      </c>
      <c r="H6217" s="5">
        <f>HYPERLINK("https://api.qogita.com/variants/link/8719134160826/", "View Product")</f>
        <v/>
      </c>
    </row>
    <row r="6218">
      <c r="A6218" t="inlineStr">
        <is>
          <t>8719134161151</t>
        </is>
      </c>
      <c r="B6218" t="inlineStr">
        <is>
          <t>Rituals The Ritual Of Jing Body Cream 220ml Nourishing Body Cream</t>
        </is>
      </c>
      <c r="C6218" t="inlineStr">
        <is>
          <t>Body Butter</t>
        </is>
      </c>
      <c r="D6218" t="inlineStr">
        <is>
          <t>Rituals</t>
        </is>
      </c>
      <c r="E6218" t="n">
        <v>13.78</v>
      </c>
      <c r="F6218" t="n">
        <v>1</v>
      </c>
      <c r="G6218" t="n">
        <v>3</v>
      </c>
      <c r="H6218" s="5">
        <f>HYPERLINK("https://api.qogita.com/variants/link/8719134161151/", "View Product")</f>
        <v/>
      </c>
    </row>
    <row r="6219">
      <c r="A6219" t="inlineStr">
        <is>
          <t>8719134162998</t>
        </is>
      </c>
      <c r="B6219" t="inlineStr">
        <is>
          <t>Rituals Homme Beard Shaper 30ml</t>
        </is>
      </c>
      <c r="C6219" t="inlineStr">
        <is>
          <t>Beard Care Accessories</t>
        </is>
      </c>
      <c r="D6219" t="inlineStr">
        <is>
          <t>Rituals</t>
        </is>
      </c>
      <c r="E6219" t="n">
        <v>15.72</v>
      </c>
      <c r="F6219" t="n">
        <v>1</v>
      </c>
      <c r="G6219" t="n">
        <v>29</v>
      </c>
      <c r="H6219" s="5">
        <f>HYPERLINK("https://api.qogita.com/variants/link/8719134162998/", "View Product")</f>
        <v/>
      </c>
    </row>
    <row r="6220">
      <c r="A6220" t="inlineStr">
        <is>
          <t>8719134163124</t>
        </is>
      </c>
      <c r="B6220" t="inlineStr">
        <is>
          <t>Rituals Sport Body Lotion 100ml Men Sport Antidryness</t>
        </is>
      </c>
      <c r="C6220" t="inlineStr">
        <is>
          <t>Body Lotion</t>
        </is>
      </c>
      <c r="D6220" t="inlineStr">
        <is>
          <t>Rituals</t>
        </is>
      </c>
      <c r="E6220" t="n">
        <v>10.85</v>
      </c>
      <c r="F6220" t="n">
        <v>1</v>
      </c>
      <c r="G6220" t="n">
        <v>69</v>
      </c>
      <c r="H6220" s="5">
        <f>HYPERLINK("https://api.qogita.com/variants/link/8719134163124/", "View Product")</f>
        <v/>
      </c>
    </row>
    <row r="6221">
      <c r="A6221" t="inlineStr">
        <is>
          <t>8719134163841</t>
        </is>
      </c>
      <c r="B6221" t="inlineStr">
        <is>
          <t>Rituals The Ritual Of Namaste Ageless Firming Serum 30 Ml</t>
        </is>
      </c>
      <c r="C6221" t="inlineStr">
        <is>
          <t>Anti-Aging Serum</t>
        </is>
      </c>
      <c r="D6221" t="inlineStr">
        <is>
          <t>Rituals</t>
        </is>
      </c>
      <c r="E6221" t="n">
        <v>24.87</v>
      </c>
      <c r="F6221" t="n">
        <v>1</v>
      </c>
      <c r="G6221" t="n">
        <v>9</v>
      </c>
      <c r="H6221" s="5">
        <f>HYPERLINK("https://api.qogita.com/variants/link/8719134163841/", "View Product")</f>
        <v/>
      </c>
    </row>
    <row r="6222">
      <c r="A6222" t="inlineStr">
        <is>
          <t>8719134164404</t>
        </is>
      </c>
      <c r="B6222" t="inlineStr">
        <is>
          <t>RITUALS The of Jing Sleep Shower Oil Sacred Wood Lavender 6.7 fl oz</t>
        </is>
      </c>
      <c r="C6222" t="inlineStr">
        <is>
          <t>Shower Oil</t>
        </is>
      </c>
      <c r="D6222" t="inlineStr">
        <is>
          <t>Rituals</t>
        </is>
      </c>
      <c r="E6222" t="n">
        <v>9.32</v>
      </c>
      <c r="F6222" t="n">
        <v>1</v>
      </c>
      <c r="G6222" t="n">
        <v>15</v>
      </c>
      <c r="H6222" s="5">
        <f>HYPERLINK("https://api.qogita.com/variants/link/8719134164404/", "View Product")</f>
        <v/>
      </c>
    </row>
    <row r="6223">
      <c r="A6223" t="inlineStr">
        <is>
          <t>8719134184433</t>
        </is>
      </c>
      <c r="B6223" t="inlineStr">
        <is>
          <t>Rituals The Ritual Of Jing Soothing Gift Set 20 Ml</t>
        </is>
      </c>
      <c r="C6223" t="inlineStr">
        <is>
          <t>Body Care Sets</t>
        </is>
      </c>
      <c r="D6223" t="inlineStr">
        <is>
          <t>Rituals</t>
        </is>
      </c>
      <c r="E6223" t="n">
        <v>24.35</v>
      </c>
      <c r="F6223" t="n">
        <v>1</v>
      </c>
      <c r="G6223" t="n">
        <v>11</v>
      </c>
      <c r="H6223" s="5">
        <f>HYPERLINK("https://api.qogita.com/variants/link/8719134184433/", "View Product")</f>
        <v/>
      </c>
    </row>
    <row r="6224">
      <c r="A6224" t="inlineStr">
        <is>
          <t>8720181101236</t>
        </is>
      </c>
      <c r="B6224" t="inlineStr">
        <is>
          <t>Vaseline Instant Dry Skin Rescue Body Lotion 400ml</t>
        </is>
      </c>
      <c r="C6224" t="inlineStr">
        <is>
          <t>Body Lotion</t>
        </is>
      </c>
      <c r="D6224" t="inlineStr">
        <is>
          <t>Vaseline</t>
        </is>
      </c>
      <c r="E6224" t="n">
        <v>6.52</v>
      </c>
      <c r="F6224" t="n">
        <v>1</v>
      </c>
      <c r="G6224" t="n">
        <v>5</v>
      </c>
      <c r="H6224" s="5">
        <f>HYPERLINK("https://api.qogita.com/variants/link/8720181101236/", "View Product")</f>
        <v/>
      </c>
    </row>
    <row r="6225">
      <c r="A6225" t="inlineStr">
        <is>
          <t>8720181114489</t>
        </is>
      </c>
      <c r="B6225" t="inlineStr">
        <is>
          <t>Axe Black Deodorant Spray 150ml</t>
        </is>
      </c>
      <c r="C6225" t="inlineStr">
        <is>
          <t>Deodorant &amp; Anti-Perspirant</t>
        </is>
      </c>
      <c r="D6225" t="inlineStr">
        <is>
          <t>Axe</t>
        </is>
      </c>
      <c r="E6225" t="n">
        <v>2.78</v>
      </c>
      <c r="F6225" t="n">
        <v>1</v>
      </c>
      <c r="G6225" t="n">
        <v>6</v>
      </c>
      <c r="H6225" s="5">
        <f>HYPERLINK("https://api.qogita.com/variants/link/8720181114489/", "View Product")</f>
        <v/>
      </c>
    </row>
    <row r="6226">
      <c r="A6226" t="inlineStr">
        <is>
          <t>8720181114526</t>
        </is>
      </c>
      <c r="B6226" t="inlineStr">
        <is>
          <t>Axe Gold Temptation 48h Deodorant Spray 150ml</t>
        </is>
      </c>
      <c r="C6226" t="inlineStr">
        <is>
          <t>Deodorant &amp; Anti-Perspirant</t>
        </is>
      </c>
      <c r="D6226" t="inlineStr">
        <is>
          <t>Axe</t>
        </is>
      </c>
      <c r="E6226" t="n">
        <v>3.4</v>
      </c>
      <c r="F6226" t="n">
        <v>1</v>
      </c>
      <c r="G6226" t="n">
        <v>3</v>
      </c>
      <c r="H6226" s="5">
        <f>HYPERLINK("https://api.qogita.com/variants/link/8720181114526/", "View Product")</f>
        <v/>
      </c>
    </row>
    <row r="6227">
      <c r="A6227" t="inlineStr">
        <is>
          <t>8720181172144</t>
        </is>
      </c>
      <c r="B6227" t="inlineStr">
        <is>
          <t>Dove Body Love One Cream for Dry Skin Light Hydration Instantly Absorbed 250ml</t>
        </is>
      </c>
      <c r="C6227" t="inlineStr">
        <is>
          <t>Body Lotion</t>
        </is>
      </c>
      <c r="D6227" t="inlineStr">
        <is>
          <t>Dove</t>
        </is>
      </c>
      <c r="E6227" t="n">
        <v>6.2</v>
      </c>
      <c r="F6227" t="n">
        <v>1</v>
      </c>
      <c r="G6227" t="n">
        <v>12</v>
      </c>
      <c r="H6227" s="5">
        <f>HYPERLINK("https://api.qogita.com/variants/link/8720181172144/", "View Product")</f>
        <v/>
      </c>
    </row>
    <row r="6228">
      <c r="A6228" t="inlineStr">
        <is>
          <t>8720181284335</t>
        </is>
      </c>
      <c r="B6228" t="inlineStr">
        <is>
          <t>Dove Men Care Advanced Clean Comfort Antiperspirant Spray 150 Ml</t>
        </is>
      </c>
      <c r="C6228" t="inlineStr">
        <is>
          <t>Deodorant &amp; Anti-Perspirant</t>
        </is>
      </c>
      <c r="D6228" t="inlineStr">
        <is>
          <t>Dove</t>
        </is>
      </c>
      <c r="E6228" t="n">
        <v>4.33</v>
      </c>
      <c r="F6228" t="n">
        <v>1</v>
      </c>
      <c r="G6228" t="n">
        <v>9</v>
      </c>
      <c r="H6228" s="5">
        <f>HYPERLINK("https://api.qogita.com/variants/link/8720181284335/", "View Product")</f>
        <v/>
      </c>
    </row>
    <row r="6229">
      <c r="A6229" t="inlineStr">
        <is>
          <t>8720181284359</t>
        </is>
      </c>
      <c r="B6229" t="inlineStr">
        <is>
          <t>Dove Invisible Dry Antiperspirant Spray For Men 150 Ml Advanced 72h Protection</t>
        </is>
      </c>
      <c r="C6229" t="inlineStr">
        <is>
          <t>Deodorant &amp; Anti-Perspirant</t>
        </is>
      </c>
      <c r="D6229" t="inlineStr">
        <is>
          <t>Dove</t>
        </is>
      </c>
      <c r="E6229" t="n">
        <v>4.33</v>
      </c>
      <c r="F6229" t="n">
        <v>1</v>
      </c>
      <c r="G6229" t="n">
        <v>11</v>
      </c>
      <c r="H6229" s="5">
        <f>HYPERLINK("https://api.qogita.com/variants/link/8720181284359/", "View Product")</f>
        <v/>
      </c>
    </row>
    <row r="6230">
      <c r="A6230" t="inlineStr">
        <is>
          <t>8720181291395</t>
        </is>
      </c>
      <c r="B6230" t="inlineStr">
        <is>
          <t>Dove Go Fresh Acai &amp; Waterlily Antiperspirant Spray 150 Ml</t>
        </is>
      </c>
      <c r="C6230" t="inlineStr">
        <is>
          <t>Deodorant &amp; Anti-Perspirant</t>
        </is>
      </c>
      <c r="D6230" t="inlineStr">
        <is>
          <t>Dove</t>
        </is>
      </c>
      <c r="E6230" t="n">
        <v>4.33</v>
      </c>
      <c r="F6230" t="n">
        <v>1</v>
      </c>
      <c r="G6230" t="n">
        <v>3</v>
      </c>
      <c r="H6230" s="5">
        <f>HYPERLINK("https://api.qogita.com/variants/link/8720181291395/", "View Product")</f>
        <v/>
      </c>
    </row>
    <row r="6231">
      <c r="A6231" t="inlineStr">
        <is>
          <t>8720181291494</t>
        </is>
      </c>
      <c r="B6231" t="inlineStr">
        <is>
          <t>Dove Advanced Care Coconut &amp; Jasmine Flower Antiperspirant Spray 150 Ml</t>
        </is>
      </c>
      <c r="C6231" t="inlineStr">
        <is>
          <t>Deodorant &amp; Anti-Perspirant</t>
        </is>
      </c>
      <c r="D6231" t="inlineStr">
        <is>
          <t>Dove</t>
        </is>
      </c>
      <c r="E6231" t="n">
        <v>4.14</v>
      </c>
      <c r="F6231" t="n">
        <v>1</v>
      </c>
      <c r="G6231" t="n">
        <v>8</v>
      </c>
      <c r="H6231" s="5">
        <f>HYPERLINK("https://api.qogita.com/variants/link/8720181291494/", "View Product")</f>
        <v/>
      </c>
    </row>
    <row r="6232">
      <c r="A6232" t="inlineStr">
        <is>
          <t>8720181291623</t>
        </is>
      </c>
      <c r="B6232" t="inlineStr">
        <is>
          <t>Dove Advanced Care Invisible Dry Antiperspirant Spray 150 Ml 72h Protection</t>
        </is>
      </c>
      <c r="C6232" t="inlineStr">
        <is>
          <t>Deodorant &amp; Anti-Perspirant</t>
        </is>
      </c>
      <c r="D6232" t="inlineStr">
        <is>
          <t>Dove</t>
        </is>
      </c>
      <c r="E6232" t="n">
        <v>4.33</v>
      </c>
      <c r="F6232" t="n">
        <v>1</v>
      </c>
      <c r="G6232" t="n">
        <v>6</v>
      </c>
      <c r="H6232" s="5">
        <f>HYPERLINK("https://api.qogita.com/variants/link/8720181291623/", "View Product")</f>
        <v/>
      </c>
    </row>
    <row r="6233">
      <c r="A6233" t="inlineStr">
        <is>
          <t>8720181291746</t>
        </is>
      </c>
      <c r="B6233" t="inlineStr">
        <is>
          <t>Dove Advanced Care Go Fresh Pear &amp; Aloe Vera 72h Antiperspirant 150 Ml</t>
        </is>
      </c>
      <c r="C6233" t="inlineStr">
        <is>
          <t>Deodorant &amp; Anti-Perspirant</t>
        </is>
      </c>
      <c r="D6233" t="inlineStr">
        <is>
          <t>Dove</t>
        </is>
      </c>
      <c r="E6233" t="n">
        <v>4.33</v>
      </c>
      <c r="F6233" t="n">
        <v>1</v>
      </c>
      <c r="G6233" t="n">
        <v>2</v>
      </c>
      <c r="H6233" s="5">
        <f>HYPERLINK("https://api.qogita.com/variants/link/8720181291746/", "View Product")</f>
        <v/>
      </c>
    </row>
    <row r="6234">
      <c r="A6234" t="inlineStr">
        <is>
          <t>8720181339905</t>
        </is>
      </c>
      <c r="B6234" t="inlineStr">
        <is>
          <t>Dove Advanced Care Clean Touch Antiperspirant Spray 150 Ml</t>
        </is>
      </c>
      <c r="C6234" t="inlineStr">
        <is>
          <t>Deodorant &amp; Anti-Perspirant</t>
        </is>
      </c>
      <c r="D6234" t="inlineStr">
        <is>
          <t>Dove</t>
        </is>
      </c>
      <c r="E6234" t="n">
        <v>4.33</v>
      </c>
      <c r="F6234" t="n">
        <v>1</v>
      </c>
      <c r="G6234" t="n">
        <v>5</v>
      </c>
      <c r="H6234" s="5">
        <f>HYPERLINK("https://api.qogita.com/variants/link/8720181339905/", "View Product")</f>
        <v/>
      </c>
    </row>
    <row r="6235">
      <c r="A6235" t="inlineStr">
        <is>
          <t>8720181457494</t>
        </is>
      </c>
      <c r="B6235" t="inlineStr">
        <is>
          <t>Dove Nourishing Shower Gel Deeply Nourishing - A Moisturizing Body Wash For Soft Skin</t>
        </is>
      </c>
      <c r="C6235" t="inlineStr">
        <is>
          <t>Shower Gel</t>
        </is>
      </c>
      <c r="D6235" t="inlineStr">
        <is>
          <t>Dove</t>
        </is>
      </c>
      <c r="E6235" t="n">
        <v>3.61</v>
      </c>
      <c r="F6235" t="n">
        <v>1</v>
      </c>
      <c r="G6235" t="n">
        <v>7</v>
      </c>
      <c r="H6235" s="5">
        <f>HYPERLINK("https://api.qogita.com/variants/link/8720181457494/", "View Product")</f>
        <v/>
      </c>
    </row>
    <row r="6236">
      <c r="A6236" t="inlineStr">
        <is>
          <t>8720181465840</t>
        </is>
      </c>
      <c r="B6236" t="inlineStr">
        <is>
          <t>Dove Advanced Care Glowing Body Wash 400 Ml</t>
        </is>
      </c>
      <c r="C6236" t="inlineStr">
        <is>
          <t>Shower Gel</t>
        </is>
      </c>
      <c r="D6236" t="inlineStr">
        <is>
          <t>Dove</t>
        </is>
      </c>
      <c r="E6236" t="n">
        <v>5.54</v>
      </c>
      <c r="F6236" t="n">
        <v>1</v>
      </c>
      <c r="G6236" t="n">
        <v>5</v>
      </c>
      <c r="H6236" s="5">
        <f>HYPERLINK("https://api.qogita.com/variants/link/8720181465840/", "View Product")</f>
        <v/>
      </c>
    </row>
    <row r="6237">
      <c r="A6237" t="inlineStr">
        <is>
          <t>8720181566875</t>
        </is>
      </c>
      <c r="B6237" t="inlineStr">
        <is>
          <t>Dove Fruity Fresh Antiperspirant Spray 150 Ml</t>
        </is>
      </c>
      <c r="C6237" t="inlineStr">
        <is>
          <t>Deodorant &amp; Anti-Perspirant</t>
        </is>
      </c>
      <c r="D6237" t="inlineStr">
        <is>
          <t>Dove</t>
        </is>
      </c>
      <c r="E6237" t="n">
        <v>4.14</v>
      </c>
      <c r="F6237" t="n">
        <v>1</v>
      </c>
      <c r="G6237" t="n">
        <v>8</v>
      </c>
      <c r="H6237" s="5">
        <f>HYPERLINK("https://api.qogita.com/variants/link/8720181566875/", "View Product")</f>
        <v/>
      </c>
    </row>
    <row r="6238">
      <c r="A6238" t="inlineStr">
        <is>
          <t>8720182258397</t>
        </is>
      </c>
      <c r="B6238" t="inlineStr">
        <is>
          <t>Dove Nourishing Moroccan Argan Oil Creamy Toilet Soap 90g</t>
        </is>
      </c>
      <c r="C6238" t="inlineStr">
        <is>
          <t>Soap</t>
        </is>
      </c>
      <c r="D6238" t="inlineStr">
        <is>
          <t>Dove</t>
        </is>
      </c>
      <c r="E6238" t="n">
        <v>2.95</v>
      </c>
      <c r="F6238" t="n">
        <v>1</v>
      </c>
      <c r="G6238" t="n">
        <v>43</v>
      </c>
      <c r="H6238" s="5">
        <f>HYPERLINK("https://api.qogita.com/variants/link/8720182258397/", "View Product")</f>
        <v/>
      </c>
    </row>
    <row r="6239">
      <c r="A6239" t="inlineStr">
        <is>
          <t>8720246249361</t>
        </is>
      </c>
      <c r="B6239" t="inlineStr">
        <is>
          <t>Balmain Hair Couture Scalp Scrub 100g</t>
        </is>
      </c>
      <c r="C6239" t="inlineStr">
        <is>
          <t>Scalp Care</t>
        </is>
      </c>
      <c r="D6239" t="inlineStr">
        <is>
          <t>Spigen</t>
        </is>
      </c>
      <c r="E6239" t="n">
        <v>37.25</v>
      </c>
      <c r="F6239" t="n">
        <v>1</v>
      </c>
      <c r="G6239" t="n">
        <v>7</v>
      </c>
      <c r="H6239" s="5">
        <f>HYPERLINK("https://api.qogita.com/variants/link/8720246249361/", "View Product")</f>
        <v/>
      </c>
    </row>
    <row r="6240">
      <c r="A6240" t="inlineStr">
        <is>
          <t>8720254710556</t>
        </is>
      </c>
      <c r="B6240" t="inlineStr">
        <is>
          <t>Naïf Nourishing Shampoo for Baby and Child with Coconut and Cotton Seed Oil 500ml</t>
        </is>
      </c>
      <c r="C6240" t="inlineStr">
        <is>
          <t>Baby Bath</t>
        </is>
      </c>
      <c r="D6240" t="inlineStr">
        <is>
          <t>Naïf</t>
        </is>
      </c>
      <c r="E6240" t="n">
        <v>21.37</v>
      </c>
      <c r="F6240" t="n">
        <v>1</v>
      </c>
      <c r="G6240" t="n">
        <v>2</v>
      </c>
      <c r="H6240" s="5">
        <f>HYPERLINK("https://api.qogita.com/variants/link/8720254710556/", "View Product")</f>
        <v/>
      </c>
    </row>
    <row r="6241">
      <c r="A6241" t="inlineStr">
        <is>
          <t>8720865194165</t>
        </is>
      </c>
      <c r="B6241" t="inlineStr">
        <is>
          <t>Francesca Bianchi Angel's Dust Extrait De Parfum 3.38 Oz</t>
        </is>
      </c>
      <c r="C6241" t="inlineStr">
        <is>
          <t>Extrait De Parfum</t>
        </is>
      </c>
      <c r="D6241" t="inlineStr">
        <is>
          <t>Francesca Bianchi</t>
        </is>
      </c>
      <c r="E6241" t="n">
        <v>126.15</v>
      </c>
      <c r="F6241" t="n">
        <v>1</v>
      </c>
      <c r="G6241" t="n">
        <v>5</v>
      </c>
      <c r="H6241" s="5">
        <f>HYPERLINK("https://api.qogita.com/variants/link/8720865194165/", "View Product")</f>
        <v/>
      </c>
    </row>
    <row r="6242">
      <c r="A6242" t="inlineStr">
        <is>
          <t>8721082818216</t>
        </is>
      </c>
      <c r="B6242" t="inlineStr">
        <is>
          <t>Naif Relaxing Body Oil - Pregnancy Moisturizing Oil</t>
        </is>
      </c>
      <c r="C6242" t="inlineStr">
        <is>
          <t>Body Oil</t>
        </is>
      </c>
      <c r="D6242" t="inlineStr">
        <is>
          <t>Naïf</t>
        </is>
      </c>
      <c r="E6242" t="n">
        <v>17.09</v>
      </c>
      <c r="F6242" t="n">
        <v>1</v>
      </c>
      <c r="G6242" t="n">
        <v>3</v>
      </c>
      <c r="H6242" s="5">
        <f>HYPERLINK("https://api.qogita.com/variants/link/8721082818216/", "View Product")</f>
        <v/>
      </c>
    </row>
    <row r="6243">
      <c r="A6243" t="inlineStr">
        <is>
          <t>8802587671220</t>
        </is>
      </c>
      <c r="B6243" t="inlineStr">
        <is>
          <t>Arabian Oryx Intense Oud Eau De Parfum 100ml</t>
        </is>
      </c>
      <c r="C6243" t="inlineStr">
        <is>
          <t>Eau De Parfum</t>
        </is>
      </c>
      <c r="D6243" t="inlineStr">
        <is>
          <t>Arabian Oryx</t>
        </is>
      </c>
      <c r="E6243" t="n">
        <v>12.57</v>
      </c>
      <c r="F6243" t="n">
        <v>1</v>
      </c>
      <c r="G6243" t="n">
        <v>53</v>
      </c>
      <c r="H6243" s="5">
        <f>HYPERLINK("https://api.qogita.com/variants/link/8802587671220/", "View Product")</f>
        <v/>
      </c>
    </row>
    <row r="6244">
      <c r="A6244" t="inlineStr">
        <is>
          <t>8803463006044</t>
        </is>
      </c>
      <c r="B6244" t="inlineStr">
        <is>
          <t>[Vt] Reedle Shot 300 2-Stage Mask</t>
        </is>
      </c>
      <c r="C6244" t="inlineStr">
        <is>
          <t>Purifying Mask</t>
        </is>
      </c>
      <c r="D6244" t="inlineStr">
        <is>
          <t>Vt</t>
        </is>
      </c>
      <c r="E6244" t="n">
        <v>3.41</v>
      </c>
      <c r="F6244" t="n">
        <v>1</v>
      </c>
      <c r="G6244" t="n">
        <v>6</v>
      </c>
      <c r="H6244" s="5">
        <f>HYPERLINK("https://api.qogita.com/variants/link/8803463006044/", "View Product")</f>
        <v/>
      </c>
    </row>
    <row r="6245">
      <c r="A6245" t="inlineStr">
        <is>
          <t>8803463006242</t>
        </is>
      </c>
      <c r="B6245" t="inlineStr">
        <is>
          <t>Vt Cosmetics Reedle Shot Vita-Light Brightening Mask</t>
        </is>
      </c>
      <c r="C6245" t="inlineStr">
        <is>
          <t>Sheet Mask</t>
        </is>
      </c>
      <c r="D6245" t="inlineStr">
        <is>
          <t>Vt Cosmetics</t>
        </is>
      </c>
      <c r="E6245" t="n">
        <v>16.12</v>
      </c>
      <c r="F6245" t="n">
        <v>1</v>
      </c>
      <c r="G6245" t="n">
        <v>2</v>
      </c>
      <c r="H6245" s="5">
        <f>HYPERLINK("https://api.qogita.com/variants/link/8803463006242/", "View Product")</f>
        <v/>
      </c>
    </row>
    <row r="6246">
      <c r="A6246" t="inlineStr">
        <is>
          <t>8803463007607</t>
        </is>
      </c>
      <c r="B6246" t="inlineStr">
        <is>
          <t>Vt Cosmetics Hydrop Reedle Shot 100hl 2step Mask - 1pc</t>
        </is>
      </c>
      <c r="C6246" t="inlineStr">
        <is>
          <t>Hydrating Mask</t>
        </is>
      </c>
      <c r="D6246" t="inlineStr">
        <is>
          <t>Vt Cosmetics</t>
        </is>
      </c>
      <c r="E6246" t="n">
        <v>4.08</v>
      </c>
      <c r="F6246" t="n">
        <v>1</v>
      </c>
      <c r="G6246" t="n">
        <v>16</v>
      </c>
      <c r="H6246" s="5">
        <f>HYPERLINK("https://api.qogita.com/variants/link/8803463007607/", "View Product")</f>
        <v/>
      </c>
    </row>
    <row r="6247">
      <c r="A6247" t="inlineStr">
        <is>
          <t>8806133613672</t>
        </is>
      </c>
      <c r="B6247" t="inlineStr">
        <is>
          <t>Dr.Ceuracle 5α Control Clearing Serum In Emulsion 100ml</t>
        </is>
      </c>
      <c r="C6247" t="inlineStr">
        <is>
          <t>Hydrating Serum</t>
        </is>
      </c>
      <c r="D6247" t="inlineStr">
        <is>
          <t>Dr. Ceuracle</t>
        </is>
      </c>
      <c r="E6247" t="n">
        <v>26.21</v>
      </c>
      <c r="F6247" t="n">
        <v>1</v>
      </c>
      <c r="G6247" t="n">
        <v>5</v>
      </c>
      <c r="H6247" s="5">
        <f>HYPERLINK("https://api.qogita.com/variants/link/8806133613672/", "View Product")</f>
        <v/>
      </c>
    </row>
    <row r="6248">
      <c r="A6248" t="inlineStr">
        <is>
          <t>8806133613917</t>
        </is>
      </c>
      <c r="B6248" t="inlineStr">
        <is>
          <t>Drceuracle Tea Tree Purifine 95 Essence For Problematic Skin 50 Ml</t>
        </is>
      </c>
      <c r="C6248" t="inlineStr">
        <is>
          <t>Hydrating Serum</t>
        </is>
      </c>
      <c r="D6248" t="inlineStr">
        <is>
          <t>Dr.Ceuracle</t>
        </is>
      </c>
      <c r="E6248" t="n">
        <v>25.15</v>
      </c>
      <c r="F6248" t="n">
        <v>1</v>
      </c>
      <c r="G6248" t="n">
        <v>8</v>
      </c>
      <c r="H6248" s="5">
        <f>HYPERLINK("https://api.qogita.com/variants/link/8806133613917/", "View Product")</f>
        <v/>
      </c>
    </row>
    <row r="6249">
      <c r="A6249" t="inlineStr">
        <is>
          <t>8806133613924</t>
        </is>
      </c>
      <c r="B6249" t="inlineStr">
        <is>
          <t>Dr.Ceuracle Pro Balance Pure Deep Cleansing Oil 155ml</t>
        </is>
      </c>
      <c r="C6249" t="inlineStr">
        <is>
          <t>Cleansing Oil</t>
        </is>
      </c>
      <c r="D6249" t="inlineStr">
        <is>
          <t>Dr.Ceuracle</t>
        </is>
      </c>
      <c r="E6249" t="n">
        <v>20.45</v>
      </c>
      <c r="F6249" t="n">
        <v>1</v>
      </c>
      <c r="G6249" t="n">
        <v>2</v>
      </c>
      <c r="H6249" s="5">
        <f>HYPERLINK("https://api.qogita.com/variants/link/8806133613924/", "View Product")</f>
        <v/>
      </c>
    </row>
    <row r="6250">
      <c r="A6250" t="inlineStr">
        <is>
          <t>8806133614624</t>
        </is>
      </c>
      <c r="B6250" t="inlineStr">
        <is>
          <t>Dr.Ceuracle Skin Serum With Vitamin C Pure Vc Mellight Ampoule</t>
        </is>
      </c>
      <c r="C6250" t="inlineStr">
        <is>
          <t>Vitamin Serum</t>
        </is>
      </c>
      <c r="D6250" t="inlineStr">
        <is>
          <t>Dr.Ceuracle</t>
        </is>
      </c>
      <c r="E6250" t="n">
        <v>19.82</v>
      </c>
      <c r="F6250" t="n">
        <v>1</v>
      </c>
      <c r="G6250" t="n">
        <v>7</v>
      </c>
      <c r="H6250" s="5">
        <f>HYPERLINK("https://api.qogita.com/variants/link/8806133614624/", "View Product")</f>
        <v/>
      </c>
    </row>
    <row r="6251">
      <c r="A6251" t="inlineStr">
        <is>
          <t>8806133614747</t>
        </is>
      </c>
      <c r="B6251" t="inlineStr">
        <is>
          <t>Dr. Ceuracle Ganghwa Rice Granule Pack 115g</t>
        </is>
      </c>
      <c r="C6251" t="inlineStr">
        <is>
          <t>Glow Mask</t>
        </is>
      </c>
      <c r="D6251" t="inlineStr">
        <is>
          <t>Dr.Ceuracle</t>
        </is>
      </c>
      <c r="E6251" t="n">
        <v>20.42</v>
      </c>
      <c r="F6251" t="n">
        <v>1</v>
      </c>
      <c r="G6251" t="n">
        <v>5</v>
      </c>
      <c r="H6251" s="5">
        <f>HYPERLINK("https://api.qogita.com/variants/link/8806133614747/", "View Product")</f>
        <v/>
      </c>
    </row>
    <row r="6252">
      <c r="A6252" t="inlineStr">
        <is>
          <t>8806133615225</t>
        </is>
      </c>
      <c r="B6252" t="inlineStr">
        <is>
          <t>Dr.Ceuracle Royal Vita Propolis 33 Capsule Eye Cream 20ml</t>
        </is>
      </c>
      <c r="C6252" t="inlineStr">
        <is>
          <t>Eye Cream</t>
        </is>
      </c>
      <c r="D6252" t="inlineStr">
        <is>
          <t>Dr. Ceuracle</t>
        </is>
      </c>
      <c r="E6252" t="n">
        <v>24.26</v>
      </c>
      <c r="F6252" t="n">
        <v>1</v>
      </c>
      <c r="G6252" t="n">
        <v>7</v>
      </c>
      <c r="H6252" s="5">
        <f>HYPERLINK("https://api.qogita.com/variants/link/8806133615225/", "View Product")</f>
        <v/>
      </c>
    </row>
    <row r="6253">
      <c r="A6253" t="inlineStr">
        <is>
          <t>8806133615270</t>
        </is>
      </c>
      <c r="B6253" t="inlineStr">
        <is>
          <t>Dr.Ceuracle Vegan Kombucha Tea BB Cream 30ml</t>
        </is>
      </c>
      <c r="C6253" t="inlineStr">
        <is>
          <t>Tinted Day Cream</t>
        </is>
      </c>
      <c r="D6253" t="inlineStr">
        <is>
          <t>Dr.Ceuracle</t>
        </is>
      </c>
      <c r="E6253" t="n">
        <v>18.85</v>
      </c>
      <c r="F6253" t="n">
        <v>1</v>
      </c>
      <c r="G6253" t="n">
        <v>2</v>
      </c>
      <c r="H6253" s="5">
        <f>HYPERLINK("https://api.qogita.com/variants/link/8806133615270/", "View Product")</f>
        <v/>
      </c>
    </row>
    <row r="6254">
      <c r="A6254" t="inlineStr">
        <is>
          <t>8806133615577</t>
        </is>
      </c>
      <c r="B6254" t="inlineStr">
        <is>
          <t>Dr.Ceuracle Vegan Active Berry First Essence High-Density Resveratrol Capsules from French Grapes Vitamin A from Cranberry Upcycled Grape Seed Oil Boosting Vitality Revive Rejuvenate Skin</t>
        </is>
      </c>
      <c r="C6254" t="inlineStr">
        <is>
          <t>Vitamin</t>
        </is>
      </c>
      <c r="D6254" t="inlineStr">
        <is>
          <t>Dr. Ceuracle</t>
        </is>
      </c>
      <c r="E6254" t="n">
        <v>28.32</v>
      </c>
      <c r="F6254" t="n">
        <v>1</v>
      </c>
      <c r="G6254" t="n">
        <v>8</v>
      </c>
      <c r="H6254" s="5">
        <f>HYPERLINK("https://api.qogita.com/variants/link/8806133615577/", "View Product")</f>
        <v/>
      </c>
    </row>
    <row r="6255">
      <c r="A6255" t="inlineStr">
        <is>
          <t>8806135245765</t>
        </is>
      </c>
      <c r="B6255" t="inlineStr">
        <is>
          <t>Isntree Tw-Real Bifida Ampoule 50ml 1.69 Fl. Oz - Care for Skin Elasticity</t>
        </is>
      </c>
      <c r="C6255" t="inlineStr">
        <is>
          <t>Ampoules</t>
        </is>
      </c>
      <c r="D6255" t="inlineStr">
        <is>
          <t>Isntree</t>
        </is>
      </c>
      <c r="E6255" t="n">
        <v>16.17</v>
      </c>
      <c r="F6255" t="n">
        <v>1</v>
      </c>
      <c r="G6255" t="n">
        <v>15</v>
      </c>
      <c r="H6255" s="5">
        <f>HYPERLINK("https://api.qogita.com/variants/link/8806135245765/", "View Product")</f>
        <v/>
      </c>
    </row>
    <row r="6256">
      <c r="A6256" t="inlineStr">
        <is>
          <t>8806158552567</t>
        </is>
      </c>
      <c r="B6256" t="inlineStr">
        <is>
          <t>Sioris Bright The Light Serum - A Basic Moisturiser</t>
        </is>
      </c>
      <c r="C6256" t="inlineStr">
        <is>
          <t>Glow Serum</t>
        </is>
      </c>
      <c r="D6256" t="inlineStr">
        <is>
          <t>Sioris</t>
        </is>
      </c>
      <c r="E6256" t="n">
        <v>24.15</v>
      </c>
      <c r="F6256" t="n">
        <v>1</v>
      </c>
      <c r="G6256" t="n">
        <v>4</v>
      </c>
      <c r="H6256" s="5">
        <f>HYPERLINK("https://api.qogita.com/variants/link/8806158552567/", "View Product")</f>
        <v/>
      </c>
    </row>
    <row r="6257">
      <c r="A6257" t="inlineStr">
        <is>
          <t>8806185793124</t>
        </is>
      </c>
      <c r="B6257" t="inlineStr">
        <is>
          <t>Missha Perfect Cover No23 Natural Beige Bb Cream Spf42 50ml</t>
        </is>
      </c>
      <c r="C6257" t="inlineStr">
        <is>
          <t>Tinted Day Cream</t>
        </is>
      </c>
      <c r="D6257" t="inlineStr">
        <is>
          <t>Missha</t>
        </is>
      </c>
      <c r="E6257" t="n">
        <v>11.34</v>
      </c>
      <c r="F6257" t="n">
        <v>1</v>
      </c>
      <c r="G6257" t="n">
        <v>2</v>
      </c>
      <c r="H6257" s="5">
        <f>HYPERLINK("https://api.qogita.com/variants/link/8806185793124/", "View Product")</f>
        <v/>
      </c>
    </row>
    <row r="6258">
      <c r="A6258" t="inlineStr">
        <is>
          <t>8806194059198</t>
        </is>
      </c>
      <c r="B6258" t="inlineStr">
        <is>
          <t>Tony Moly Red Retinol Radiance Wrap Mask Gift Set</t>
        </is>
      </c>
      <c r="C6258" t="inlineStr">
        <is>
          <t>Anti-Aging Mask</t>
        </is>
      </c>
      <c r="D6258" t="inlineStr">
        <is>
          <t>Tony Moly</t>
        </is>
      </c>
      <c r="E6258" t="n">
        <v>25.62</v>
      </c>
      <c r="F6258" t="n">
        <v>1</v>
      </c>
      <c r="G6258" t="n">
        <v>3</v>
      </c>
      <c r="H6258" s="5">
        <f>HYPERLINK("https://api.qogita.com/variants/link/8806194059198/", "View Product")</f>
        <v/>
      </c>
    </row>
    <row r="6259">
      <c r="A6259" t="inlineStr">
        <is>
          <t>8806194060569</t>
        </is>
      </c>
      <c r="B6259" t="inlineStr">
        <is>
          <t>Tony Moly Toning Protection Face Cream Spf 45 Uv Master All In One Cream - 50 Ml</t>
        </is>
      </c>
      <c r="C6259" t="inlineStr">
        <is>
          <t>Face Sun Protection</t>
        </is>
      </c>
      <c r="D6259" t="inlineStr">
        <is>
          <t>Tony Moly</t>
        </is>
      </c>
      <c r="E6259" t="n">
        <v>11.46</v>
      </c>
      <c r="F6259" t="n">
        <v>1</v>
      </c>
      <c r="G6259" t="n">
        <v>2</v>
      </c>
      <c r="H6259" s="5">
        <f>HYPERLINK("https://api.qogita.com/variants/link/8806194060569/", "View Product")</f>
        <v/>
      </c>
    </row>
    <row r="6260">
      <c r="A6260" t="inlineStr">
        <is>
          <t>8806194066073</t>
        </is>
      </c>
      <c r="B6260" t="inlineStr">
        <is>
          <t>Tony Moly Red Retinol Revital Toner 120 Ml - Anti-Aging Skin Tonic</t>
        </is>
      </c>
      <c r="C6260" t="inlineStr">
        <is>
          <t>Anti-Aging Facial Care</t>
        </is>
      </c>
      <c r="D6260" t="inlineStr">
        <is>
          <t>Tony Moly</t>
        </is>
      </c>
      <c r="E6260" t="n">
        <v>30.46</v>
      </c>
      <c r="F6260" t="n">
        <v>1</v>
      </c>
      <c r="G6260" t="n">
        <v>3</v>
      </c>
      <c r="H6260" s="5">
        <f>HYPERLINK("https://api.qogita.com/variants/link/8806194066073/", "View Product")</f>
        <v/>
      </c>
    </row>
    <row r="6261">
      <c r="A6261" t="inlineStr">
        <is>
          <t>8806194066172</t>
        </is>
      </c>
      <c r="B6261" t="inlineStr">
        <is>
          <t>Tony Moly Houttuynia Cordata Cica Quick Calming 97 Toner - 200 Ml</t>
        </is>
      </c>
      <c r="C6261" t="inlineStr">
        <is>
          <t>Facial Spray</t>
        </is>
      </c>
      <c r="D6261" t="inlineStr">
        <is>
          <t>Tony Moly</t>
        </is>
      </c>
      <c r="E6261" t="n">
        <v>14.87</v>
      </c>
      <c r="F6261" t="n">
        <v>1</v>
      </c>
      <c r="G6261" t="n">
        <v>2</v>
      </c>
      <c r="H6261" s="5">
        <f>HYPERLINK("https://api.qogita.com/variants/link/8806194066172/", "View Product")</f>
        <v/>
      </c>
    </row>
    <row r="6262">
      <c r="A6262" t="inlineStr">
        <is>
          <t>8807779080507</t>
        </is>
      </c>
      <c r="B6262" t="inlineStr">
        <is>
          <t>Daeng Gi Meo Ri Vitalizing Shampoo 300ml</t>
        </is>
      </c>
      <c r="C6262" t="inlineStr">
        <is>
          <t>Shampoo</t>
        </is>
      </c>
      <c r="D6262" t="inlineStr">
        <is>
          <t>Daeng Gi Meo Ri</t>
        </is>
      </c>
      <c r="E6262" t="n">
        <v>10.47</v>
      </c>
      <c r="F6262" t="n">
        <v>1</v>
      </c>
      <c r="G6262" t="n">
        <v>5</v>
      </c>
      <c r="H6262" s="5">
        <f>HYPERLINK("https://api.qogita.com/variants/link/8807779080507/", "View Product")</f>
        <v/>
      </c>
    </row>
    <row r="6263">
      <c r="A6263" t="inlineStr">
        <is>
          <t>8807779087940</t>
        </is>
      </c>
      <c r="B6263" t="inlineStr">
        <is>
          <t>Daeng Gi Meo Ri DLAESOO Anti Hair Loss Shampoo 200ml - Made In Korea</t>
        </is>
      </c>
      <c r="C6263" t="inlineStr">
        <is>
          <t>Shampoo</t>
        </is>
      </c>
      <c r="D6263" t="inlineStr">
        <is>
          <t>Daeng Gi Meo Ri</t>
        </is>
      </c>
      <c r="E6263" t="n">
        <v>10.8</v>
      </c>
      <c r="F6263" t="n">
        <v>1</v>
      </c>
      <c r="G6263" t="n">
        <v>9</v>
      </c>
      <c r="H6263" s="5">
        <f>HYPERLINK("https://api.qogita.com/variants/link/8807779087940/", "View Product")</f>
        <v/>
      </c>
    </row>
    <row r="6264">
      <c r="A6264" t="inlineStr">
        <is>
          <t>8807779101370</t>
        </is>
      </c>
      <c r="B6264" t="inlineStr">
        <is>
          <t>Daeng Gi Meo Ri Professional Honey Therapy PLUS Treatment 500 ml</t>
        </is>
      </c>
      <c r="C6264" t="inlineStr">
        <is>
          <t>Conditioner</t>
        </is>
      </c>
      <c r="D6264" t="inlineStr">
        <is>
          <t>Daeng Gi Meo Ri</t>
        </is>
      </c>
      <c r="E6264" t="n">
        <v>14.06</v>
      </c>
      <c r="F6264" t="n">
        <v>1</v>
      </c>
      <c r="G6264" t="n">
        <v>3</v>
      </c>
      <c r="H6264" s="5">
        <f>HYPERLINK("https://api.qogita.com/variants/link/8807779101370/", "View Product")</f>
        <v/>
      </c>
    </row>
    <row r="6265">
      <c r="A6265" t="inlineStr">
        <is>
          <t>8809030733368</t>
        </is>
      </c>
      <c r="B6265" t="inlineStr">
        <is>
          <t>Abib Mild Acidic pH Sheet Mask</t>
        </is>
      </c>
      <c r="C6265" t="inlineStr">
        <is>
          <t>Sheet Mask</t>
        </is>
      </c>
      <c r="D6265" t="inlineStr">
        <is>
          <t>Abib</t>
        </is>
      </c>
      <c r="E6265" t="n">
        <v>3.43</v>
      </c>
      <c r="F6265" t="n">
        <v>1</v>
      </c>
      <c r="G6265" t="n">
        <v>2</v>
      </c>
      <c r="H6265" s="5">
        <f>HYPERLINK("https://api.qogita.com/variants/link/8809030733368/", "View Product")</f>
        <v/>
      </c>
    </row>
    <row r="6266">
      <c r="A6266" t="inlineStr">
        <is>
          <t>8809115025487</t>
        </is>
      </c>
      <c r="B6266" t="inlineStr">
        <is>
          <t>Dearklairs K-Beauty Skincare Rich Moist Foaming Cleanser 3.4 Fl Oz 100ml</t>
        </is>
      </c>
      <c r="C6266" t="inlineStr">
        <is>
          <t>Cleansing Foam</t>
        </is>
      </c>
      <c r="D6266" t="inlineStr">
        <is>
          <t>Dear Klairs</t>
        </is>
      </c>
      <c r="E6266" t="n">
        <v>14.22</v>
      </c>
      <c r="F6266" t="n">
        <v>1</v>
      </c>
      <c r="G6266" t="n">
        <v>2</v>
      </c>
      <c r="H6266" s="5">
        <f>HYPERLINK("https://api.qogita.com/variants/link/8809115025487/", "View Product")</f>
        <v/>
      </c>
    </row>
    <row r="6267">
      <c r="A6267" t="inlineStr">
        <is>
          <t>8809115029119</t>
        </is>
      </c>
      <c r="B6267" t="inlineStr">
        <is>
          <t>Dearklairs Supple Preparation Unscented Toner 6.08 Fl Oz - Lightweight Essential</t>
        </is>
      </c>
      <c r="C6267" t="inlineStr">
        <is>
          <t>Facial Spray</t>
        </is>
      </c>
      <c r="D6267" t="inlineStr">
        <is>
          <t>Dear Klairs</t>
        </is>
      </c>
      <c r="E6267" t="n">
        <v>18.81</v>
      </c>
      <c r="F6267" t="n">
        <v>1</v>
      </c>
      <c r="G6267" t="n">
        <v>2</v>
      </c>
      <c r="H6267" s="5">
        <f>HYPERLINK("https://api.qogita.com/variants/link/8809115029119/", "View Product")</f>
        <v/>
      </c>
    </row>
    <row r="6268">
      <c r="A6268" t="inlineStr">
        <is>
          <t>8809132968927</t>
        </is>
      </c>
      <c r="B6268" t="inlineStr">
        <is>
          <t>Mizon Fresh Shower Gel My Relaxing Time Aloe 800 Ml</t>
        </is>
      </c>
      <c r="C6268" t="inlineStr">
        <is>
          <t>Shower Gel</t>
        </is>
      </c>
      <c r="D6268" t="inlineStr">
        <is>
          <t>Mizon</t>
        </is>
      </c>
      <c r="E6268" t="n">
        <v>11.84</v>
      </c>
      <c r="F6268" t="n">
        <v>1</v>
      </c>
      <c r="G6268" t="n">
        <v>14</v>
      </c>
      <c r="H6268" s="5">
        <f>HYPERLINK("https://api.qogita.com/variants/link/8809132968927/", "View Product")</f>
        <v/>
      </c>
    </row>
    <row r="6269">
      <c r="A6269" t="inlineStr">
        <is>
          <t>8809132968965</t>
        </is>
      </c>
      <c r="B6269" t="inlineStr">
        <is>
          <t>MIZON My Relaxing Time Milk Body Wash Nourish Moisturize and Soothe Skin 27oz</t>
        </is>
      </c>
      <c r="C6269" t="inlineStr">
        <is>
          <t>Shower Gel</t>
        </is>
      </c>
      <c r="D6269" t="inlineStr">
        <is>
          <t>Mizon</t>
        </is>
      </c>
      <c r="E6269" t="n">
        <v>11.84</v>
      </c>
      <c r="F6269" t="n">
        <v>1</v>
      </c>
      <c r="G6269" t="n">
        <v>5</v>
      </c>
      <c r="H6269" s="5">
        <f>HYPERLINK("https://api.qogita.com/variants/link/8809132968965/", "View Product")</f>
        <v/>
      </c>
    </row>
    <row r="6270">
      <c r="A6270" t="inlineStr">
        <is>
          <t>8809139494573</t>
        </is>
      </c>
      <c r="B6270" t="inlineStr">
        <is>
          <t>Mizon Pore Fresh Clear Nose Pack</t>
        </is>
      </c>
      <c r="C6270" t="inlineStr">
        <is>
          <t>Blackhead Masks</t>
        </is>
      </c>
      <c r="D6270" t="inlineStr">
        <is>
          <t>Mizon</t>
        </is>
      </c>
      <c r="E6270" t="n">
        <v>2.76</v>
      </c>
      <c r="F6270" t="n">
        <v>1</v>
      </c>
      <c r="G6270" t="n">
        <v>67</v>
      </c>
      <c r="H6270" s="5">
        <f>HYPERLINK("https://api.qogita.com/variants/link/8809139494573/", "View Product")</f>
        <v/>
      </c>
    </row>
    <row r="6271">
      <c r="A6271" t="inlineStr">
        <is>
          <t>8809187049350</t>
        </is>
      </c>
      <c r="B6271" t="inlineStr">
        <is>
          <t>Isntree C-Niacin Toning Ampoule 50ml 1.69 Fl.Oz</t>
        </is>
      </c>
      <c r="C6271" t="inlineStr">
        <is>
          <t>Ampoules</t>
        </is>
      </c>
      <c r="D6271" t="inlineStr">
        <is>
          <t>Isntree</t>
        </is>
      </c>
      <c r="E6271" t="n">
        <v>16.37</v>
      </c>
      <c r="F6271" t="n">
        <v>1</v>
      </c>
      <c r="G6271" t="n">
        <v>6</v>
      </c>
      <c r="H6271" s="5">
        <f>HYPERLINK("https://api.qogita.com/variants/link/8809187049350/", "View Product")</f>
        <v/>
      </c>
    </row>
    <row r="6272">
      <c r="A6272" t="inlineStr">
        <is>
          <t>8809187049428</t>
        </is>
      </c>
      <c r="B6272" t="inlineStr">
        <is>
          <t>C-Niacin Toning Cream 50ml</t>
        </is>
      </c>
      <c r="C6272" t="inlineStr">
        <is>
          <t>Face Cream</t>
        </is>
      </c>
      <c r="D6272" t="inlineStr">
        <is>
          <t>Isntree</t>
        </is>
      </c>
      <c r="E6272" t="n">
        <v>13.1</v>
      </c>
      <c r="F6272" t="n">
        <v>1</v>
      </c>
      <c r="G6272" t="n">
        <v>5</v>
      </c>
      <c r="H6272" s="5">
        <f>HYPERLINK("https://api.qogita.com/variants/link/8809187049428/", "View Product")</f>
        <v/>
      </c>
    </row>
    <row r="6273">
      <c r="A6273" t="inlineStr">
        <is>
          <t>8809236798093</t>
        </is>
      </c>
      <c r="B6273" t="inlineStr">
        <is>
          <t>IsNtree Aloe Soothing Gel Moisture 150ml 5.07 fl.oz - Aloe Vera 80% - Comforts Sensitive Skin</t>
        </is>
      </c>
      <c r="C6273" t="inlineStr">
        <is>
          <t>Face Cream</t>
        </is>
      </c>
      <c r="D6273" t="inlineStr">
        <is>
          <t>Isntree</t>
        </is>
      </c>
      <c r="E6273" t="n">
        <v>8.119999999999999</v>
      </c>
      <c r="F6273" t="n">
        <v>1</v>
      </c>
      <c r="G6273" t="n">
        <v>10</v>
      </c>
      <c r="H6273" s="5">
        <f>HYPERLINK("https://api.qogita.com/variants/link/8809236798093/", "View Product")</f>
        <v/>
      </c>
    </row>
    <row r="6274">
      <c r="A6274" t="inlineStr">
        <is>
          <t>8809255785715</t>
        </is>
      </c>
      <c r="B6274" t="inlineStr">
        <is>
          <t>Erborian Skin Hero with White Ginseng 7 Day Nude Skin Perfecting Untinted Face</t>
        </is>
      </c>
      <c r="C6274" t="inlineStr">
        <is>
          <t>Face Cream</t>
        </is>
      </c>
      <c r="D6274" t="inlineStr">
        <is>
          <t>Erborian</t>
        </is>
      </c>
      <c r="E6274" t="n">
        <v>31.63</v>
      </c>
      <c r="F6274" t="n">
        <v>1</v>
      </c>
      <c r="G6274" t="n">
        <v>4</v>
      </c>
      <c r="H6274" s="5">
        <f>HYPERLINK("https://api.qogita.com/variants/link/8809255785715/", "View Product")</f>
        <v/>
      </c>
    </row>
    <row r="6275">
      <c r="A6275" t="inlineStr">
        <is>
          <t>8809255786514</t>
        </is>
      </c>
      <c r="B6275" t="inlineStr">
        <is>
          <t>Erborian Cc Cream Clair - 40ml By Erborian</t>
        </is>
      </c>
      <c r="C6275" t="inlineStr">
        <is>
          <t>Tinted Day Cream</t>
        </is>
      </c>
      <c r="D6275" t="inlineStr">
        <is>
          <t>Erborian</t>
        </is>
      </c>
      <c r="E6275" t="n">
        <v>34.42</v>
      </c>
      <c r="F6275" t="n">
        <v>1</v>
      </c>
      <c r="G6275" t="n">
        <v>17</v>
      </c>
      <c r="H6275" s="5">
        <f>HYPERLINK("https://api.qogita.com/variants/link/8809255786514/", "View Product")</f>
        <v/>
      </c>
    </row>
    <row r="6276">
      <c r="A6276" t="inlineStr">
        <is>
          <t>8809255787115</t>
        </is>
      </c>
      <c r="B6276" t="inlineStr">
        <is>
          <t>Erborian Super Bb Nude 40ml Bb Cream With Spf 20</t>
        </is>
      </c>
      <c r="C6276" t="inlineStr">
        <is>
          <t>Face Sun Protection</t>
        </is>
      </c>
      <c r="D6276" t="inlineStr">
        <is>
          <t>Erborian</t>
        </is>
      </c>
      <c r="E6276" t="n">
        <v>32.12</v>
      </c>
      <c r="F6276" t="n">
        <v>1</v>
      </c>
      <c r="G6276" t="n">
        <v>12</v>
      </c>
      <c r="H6276" s="5">
        <f>HYPERLINK("https://api.qogita.com/variants/link/8809255787115/", "View Product")</f>
        <v/>
      </c>
    </row>
    <row r="6277">
      <c r="A6277" t="inlineStr">
        <is>
          <t>8809326334224</t>
        </is>
      </c>
      <c r="B6277" t="inlineStr">
        <is>
          <t>SOME BY MI AHA BHA PHA 30 Days Miracle Cream 60g - Mild Skin Barrier Cream for Acne-Fighting and Sensitive Skin</t>
        </is>
      </c>
      <c r="C6277" t="inlineStr">
        <is>
          <t>Face Cream</t>
        </is>
      </c>
      <c r="D6277" t="inlineStr">
        <is>
          <t>Some By Mi</t>
        </is>
      </c>
      <c r="E6277" t="n">
        <v>14.96</v>
      </c>
      <c r="F6277" t="n">
        <v>1</v>
      </c>
      <c r="G6277" t="n">
        <v>24</v>
      </c>
      <c r="H6277" s="5">
        <f>HYPERLINK("https://api.qogita.com/variants/link/8809326334224/", "View Product")</f>
        <v/>
      </c>
    </row>
    <row r="6278">
      <c r="A6278" t="inlineStr">
        <is>
          <t>8809393400068</t>
        </is>
      </c>
      <c r="B6278" t="inlineStr">
        <is>
          <t>Skin79 Dark Panda Face Mask 23g</t>
        </is>
      </c>
      <c r="C6278" t="inlineStr">
        <is>
          <t>Sheet Mask</t>
        </is>
      </c>
      <c r="D6278" t="inlineStr">
        <is>
          <t>Skin79</t>
        </is>
      </c>
      <c r="E6278" t="n">
        <v>11.21</v>
      </c>
      <c r="F6278" t="n">
        <v>1</v>
      </c>
      <c r="G6278" t="n">
        <v>4</v>
      </c>
      <c r="H6278" s="5">
        <f>HYPERLINK("https://api.qogita.com/variants/link/8809393400068/", "View Product")</f>
        <v/>
      </c>
    </row>
    <row r="6279">
      <c r="A6279" t="inlineStr">
        <is>
          <t>8809393400747</t>
        </is>
      </c>
      <c r="B6279" t="inlineStr">
        <is>
          <t>Skin79 Golden Snail Face Contour Refining Serum - 40 ml</t>
        </is>
      </c>
      <c r="C6279" t="inlineStr">
        <is>
          <t>Anti-Aging Serum</t>
        </is>
      </c>
      <c r="D6279" t="inlineStr">
        <is>
          <t>Skin79</t>
        </is>
      </c>
      <c r="E6279" t="n">
        <v>15.89</v>
      </c>
      <c r="F6279" t="n">
        <v>1</v>
      </c>
      <c r="G6279" t="n">
        <v>18</v>
      </c>
      <c r="H6279" s="5">
        <f>HYPERLINK("https://api.qogita.com/variants/link/8809393400747/", "View Product")</f>
        <v/>
      </c>
    </row>
    <row r="6280">
      <c r="A6280" t="inlineStr">
        <is>
          <t>8809393400761</t>
        </is>
      </c>
      <c r="B6280" t="inlineStr">
        <is>
          <t>Skin79 Golden Snail Intensive Eye Cream 35 G</t>
        </is>
      </c>
      <c r="C6280" t="inlineStr">
        <is>
          <t>Eye Cream</t>
        </is>
      </c>
      <c r="D6280" t="inlineStr">
        <is>
          <t>Skin79</t>
        </is>
      </c>
      <c r="E6280" t="n">
        <v>16.07</v>
      </c>
      <c r="F6280" t="n">
        <v>1</v>
      </c>
      <c r="G6280" t="n">
        <v>5</v>
      </c>
      <c r="H6280" s="5">
        <f>HYPERLINK("https://api.qogita.com/variants/link/8809393400761/", "View Product")</f>
        <v/>
      </c>
    </row>
    <row r="6281">
      <c r="A6281" t="inlineStr">
        <is>
          <t>8809393403892</t>
        </is>
      </c>
      <c r="B6281" t="inlineStr">
        <is>
          <t>Skin79 Seoul Girl's Beauty Secret Sheet Mask Brightening Mask - 20 G</t>
        </is>
      </c>
      <c r="C6281" t="inlineStr">
        <is>
          <t>Sheet Mask</t>
        </is>
      </c>
      <c r="D6281" t="inlineStr">
        <is>
          <t>Skin79</t>
        </is>
      </c>
      <c r="E6281" t="n">
        <v>3.39</v>
      </c>
      <c r="F6281" t="n">
        <v>1</v>
      </c>
      <c r="G6281" t="n">
        <v>2</v>
      </c>
      <c r="H6281" s="5">
        <f>HYPERLINK("https://api.qogita.com/variants/link/8809393403892/", "View Product")</f>
        <v/>
      </c>
    </row>
    <row r="6282">
      <c r="A6282" t="inlineStr">
        <is>
          <t>8809393404639</t>
        </is>
      </c>
      <c r="B6282" t="inlineStr">
        <is>
          <t>Skin79 Gold Hydrogel Eye Patch With 24k Hyaluronic Acid 60 Pieces</t>
        </is>
      </c>
      <c r="C6282" t="inlineStr">
        <is>
          <t>Eye Masks &amp; Eye Pads</t>
        </is>
      </c>
      <c r="D6282" t="inlineStr">
        <is>
          <t>Skin79</t>
        </is>
      </c>
      <c r="E6282" t="n">
        <v>10.65</v>
      </c>
      <c r="F6282" t="n">
        <v>1</v>
      </c>
      <c r="G6282" t="n">
        <v>21</v>
      </c>
      <c r="H6282" s="5">
        <f>HYPERLINK("https://api.qogita.com/variants/link/8809393404639/", "View Product")</f>
        <v/>
      </c>
    </row>
    <row r="6283">
      <c r="A6283" t="inlineStr">
        <is>
          <t>8809393404707</t>
        </is>
      </c>
      <c r="B6283" t="inlineStr">
        <is>
          <t>SKIN79 Waterproof Moist Cool Sun Stick UV SPF50+ PA++++ 23g for Face Cooling Moisturizer and Protection from UVA and UVB Radiation</t>
        </is>
      </c>
      <c r="C6283" t="inlineStr">
        <is>
          <t>Face Sun Protection</t>
        </is>
      </c>
      <c r="D6283" t="inlineStr">
        <is>
          <t>Skin79</t>
        </is>
      </c>
      <c r="E6283" t="n">
        <v>14.97</v>
      </c>
      <c r="F6283" t="n">
        <v>1</v>
      </c>
      <c r="G6283" t="n">
        <v>2</v>
      </c>
      <c r="H6283" s="5">
        <f>HYPERLINK("https://api.qogita.com/variants/link/8809393404707/", "View Product")</f>
        <v/>
      </c>
    </row>
    <row r="6284">
      <c r="A6284" t="inlineStr">
        <is>
          <t>8809416470009</t>
        </is>
      </c>
      <c r="B6284" t="inlineStr">
        <is>
          <t>Cosrx Advanced Snail 96 Mucin Power Essence - 100ml</t>
        </is>
      </c>
      <c r="C6284" t="inlineStr">
        <is>
          <t>Hydrating Serum</t>
        </is>
      </c>
      <c r="D6284" t="inlineStr">
        <is>
          <t>Cosrx</t>
        </is>
      </c>
      <c r="E6284" t="n">
        <v>12.64</v>
      </c>
      <c r="F6284" t="n">
        <v>1</v>
      </c>
      <c r="G6284" t="n">
        <v>1102</v>
      </c>
      <c r="H6284" s="5">
        <f>HYPERLINK("https://api.qogita.com/variants/link/8809416470009/", "View Product")</f>
        <v/>
      </c>
    </row>
    <row r="6285">
      <c r="A6285" t="inlineStr">
        <is>
          <t>8809416470306</t>
        </is>
      </c>
      <c r="B6285" t="inlineStr">
        <is>
          <t>Cosrx One Step Original Clear Pad BHA Toner-Soaked Exfoliating 70 Pads</t>
        </is>
      </c>
      <c r="C6285" t="inlineStr">
        <is>
          <t>Facial Scrub &amp; Peeling</t>
        </is>
      </c>
      <c r="D6285" t="inlineStr">
        <is>
          <t>Cosrx</t>
        </is>
      </c>
      <c r="E6285" t="n">
        <v>12.5</v>
      </c>
      <c r="F6285" t="n">
        <v>1</v>
      </c>
      <c r="G6285" t="n">
        <v>76</v>
      </c>
      <c r="H6285" s="5">
        <f>HYPERLINK("https://api.qogita.com/variants/link/8809416470306/", "View Product")</f>
        <v/>
      </c>
    </row>
    <row r="6286">
      <c r="A6286" t="inlineStr">
        <is>
          <t>8809416471396</t>
        </is>
      </c>
      <c r="B6286" t="inlineStr">
        <is>
          <t>Cosrx Clear Fit Master Patch Healing Pimple Patches 18 Patches</t>
        </is>
      </c>
      <c r="C6286" t="inlineStr">
        <is>
          <t>Pimple &amp; Blackhead Treatments</t>
        </is>
      </c>
      <c r="D6286" t="inlineStr">
        <is>
          <t>Cosrx</t>
        </is>
      </c>
      <c r="E6286" t="n">
        <v>3.26</v>
      </c>
      <c r="F6286" t="n">
        <v>1</v>
      </c>
      <c r="G6286" t="n">
        <v>23</v>
      </c>
      <c r="H6286" s="5">
        <f>HYPERLINK("https://api.qogita.com/variants/link/8809416471396/", "View Product")</f>
        <v/>
      </c>
    </row>
    <row r="6287">
      <c r="A6287" t="inlineStr">
        <is>
          <t>8809417490891</t>
        </is>
      </c>
      <c r="B6287" t="inlineStr">
        <is>
          <t>Look At Me Intensive Moisturizing Glove Mask Look At My Soft Hand 1 Pair</t>
        </is>
      </c>
      <c r="C6287" t="inlineStr">
        <is>
          <t>Hand Mask</t>
        </is>
      </c>
      <c r="D6287" t="inlineStr">
        <is>
          <t>Look At Me</t>
        </is>
      </c>
      <c r="E6287" t="n">
        <v>2.55</v>
      </c>
      <c r="F6287" t="n">
        <v>1</v>
      </c>
      <c r="G6287" t="n">
        <v>4</v>
      </c>
      <c r="H6287" s="5">
        <f>HYPERLINK("https://api.qogita.com/variants/link/8809417490891/", "View Product")</f>
        <v/>
      </c>
    </row>
    <row r="6288">
      <c r="A6288" t="inlineStr">
        <is>
          <t>8809420800366</t>
        </is>
      </c>
      <c r="B6288" t="inlineStr">
        <is>
          <t>BARULAB The Clean Vegan Mask Cica 20ml</t>
        </is>
      </c>
      <c r="C6288" t="inlineStr">
        <is>
          <t>Hydrating Mask</t>
        </is>
      </c>
      <c r="D6288" t="inlineStr">
        <is>
          <t>Barulab</t>
        </is>
      </c>
      <c r="E6288" t="n">
        <v>2.09</v>
      </c>
      <c r="F6288" t="n">
        <v>1</v>
      </c>
      <c r="G6288" t="n">
        <v>5</v>
      </c>
      <c r="H6288" s="5">
        <f>HYPERLINK("https://api.qogita.com/variants/link/8809420800366/", "View Product")</f>
        <v/>
      </c>
    </row>
    <row r="6289">
      <c r="A6289" t="inlineStr">
        <is>
          <t>8809420800465</t>
        </is>
      </c>
      <c r="B6289" t="inlineStr">
        <is>
          <t>Barulab Balancing Tea Tree Sheet Mask The Clean Vegan Mask 20ml</t>
        </is>
      </c>
      <c r="C6289" t="inlineStr">
        <is>
          <t>Sheet Mask</t>
        </is>
      </c>
      <c r="D6289" t="inlineStr">
        <is>
          <t>Barulab</t>
        </is>
      </c>
      <c r="E6289" t="n">
        <v>2.5</v>
      </c>
      <c r="F6289" t="n">
        <v>1</v>
      </c>
      <c r="G6289" t="n">
        <v>16</v>
      </c>
      <c r="H6289" s="5">
        <f>HYPERLINK("https://api.qogita.com/variants/link/8809420800465/", "View Product")</f>
        <v/>
      </c>
    </row>
    <row r="6290">
      <c r="A6290" t="inlineStr">
        <is>
          <t>8809448639924</t>
        </is>
      </c>
      <c r="B6290" t="inlineStr">
        <is>
          <t>Han Skin Pore Cleansing Balm Aha - 80 Grams</t>
        </is>
      </c>
      <c r="C6290" t="inlineStr">
        <is>
          <t>Cleansing Cream</t>
        </is>
      </c>
      <c r="D6290" t="inlineStr">
        <is>
          <t>Han Skincare</t>
        </is>
      </c>
      <c r="E6290" t="n">
        <v>16.86</v>
      </c>
      <c r="F6290" t="n">
        <v>1</v>
      </c>
      <c r="G6290" t="n">
        <v>2</v>
      </c>
      <c r="H6290" s="5">
        <f>HYPERLINK("https://api.qogita.com/variants/link/8809448639924/", "View Product")</f>
        <v/>
      </c>
    </row>
    <row r="6291">
      <c r="A6291" t="inlineStr">
        <is>
          <t>8809455420812</t>
        </is>
      </c>
      <c r="B6291" t="inlineStr">
        <is>
          <t>NEEDLY pH Balanced Hydration Cleanser Mild Cleansing Gel for Acne Clarifying Solution</t>
        </is>
      </c>
      <c r="C6291" t="inlineStr">
        <is>
          <t>Cleansing Gel</t>
        </is>
      </c>
      <c r="D6291" t="inlineStr">
        <is>
          <t>Neutrogena</t>
        </is>
      </c>
      <c r="E6291" t="n">
        <v>21.64</v>
      </c>
      <c r="F6291" t="n">
        <v>1</v>
      </c>
      <c r="G6291" t="n">
        <v>65</v>
      </c>
      <c r="H6291" s="5">
        <f>HYPERLINK("https://api.qogita.com/variants/link/8809455420812/", "View Product")</f>
        <v/>
      </c>
    </row>
    <row r="6292">
      <c r="A6292" t="inlineStr">
        <is>
          <t>8809455421680</t>
        </is>
      </c>
      <c r="B6292" t="inlineStr">
        <is>
          <t>Needly Cicachid Soothing Ampoule 30ml</t>
        </is>
      </c>
      <c r="C6292" t="inlineStr">
        <is>
          <t>Ampoules</t>
        </is>
      </c>
      <c r="D6292" t="inlineStr">
        <is>
          <t>Needly</t>
        </is>
      </c>
      <c r="E6292" t="n">
        <v>20.37</v>
      </c>
      <c r="F6292" t="n">
        <v>1</v>
      </c>
      <c r="G6292" t="n">
        <v>43</v>
      </c>
      <c r="H6292" s="5">
        <f>HYPERLINK("https://api.qogita.com/variants/link/8809455421680/", "View Product")</f>
        <v/>
      </c>
    </row>
    <row r="6293">
      <c r="A6293" t="inlineStr">
        <is>
          <t>8809455421772</t>
        </is>
      </c>
      <c r="B6293" t="inlineStr">
        <is>
          <t>NEEDLY Hand Cream Rainy Garden 30 g</t>
        </is>
      </c>
      <c r="C6293" t="inlineStr">
        <is>
          <t>Hand Cream</t>
        </is>
      </c>
      <c r="D6293" t="inlineStr">
        <is>
          <t>Needly</t>
        </is>
      </c>
      <c r="E6293" t="n">
        <v>9.16</v>
      </c>
      <c r="F6293" t="n">
        <v>1</v>
      </c>
      <c r="G6293" t="n">
        <v>36</v>
      </c>
      <c r="H6293" s="5">
        <f>HYPERLINK("https://api.qogita.com/variants/link/8809455421772/", "View Product")</f>
        <v/>
      </c>
    </row>
    <row r="6294">
      <c r="A6294" t="inlineStr">
        <is>
          <t>8809455421789</t>
        </is>
      </c>
      <c r="B6294" t="inlineStr">
        <is>
          <t>NEEDLY Hand Cream Dreamy Desert 30 ml</t>
        </is>
      </c>
      <c r="C6294" t="inlineStr">
        <is>
          <t>Hand Cream</t>
        </is>
      </c>
      <c r="D6294" t="inlineStr">
        <is>
          <t>Needly</t>
        </is>
      </c>
      <c r="E6294" t="n">
        <v>9.16</v>
      </c>
      <c r="F6294" t="n">
        <v>1</v>
      </c>
      <c r="G6294" t="n">
        <v>33</v>
      </c>
      <c r="H6294" s="5">
        <f>HYPERLINK("https://api.qogita.com/variants/link/8809455421789/", "View Product")</f>
        <v/>
      </c>
    </row>
    <row r="6295">
      <c r="A6295" t="inlineStr">
        <is>
          <t>8809455422243</t>
        </is>
      </c>
      <c r="B6295" t="inlineStr">
        <is>
          <t>Needly Ampoule Real Active Panthenol Plus 50 Ml - Hydra Vitamin B5 And Niacinamide Serum For Whitening</t>
        </is>
      </c>
      <c r="C6295" t="inlineStr">
        <is>
          <t>Vitamin Serum</t>
        </is>
      </c>
      <c r="D6295" t="inlineStr">
        <is>
          <t>Needly</t>
        </is>
      </c>
      <c r="E6295" t="n">
        <v>17.39</v>
      </c>
      <c r="F6295" t="n">
        <v>1</v>
      </c>
      <c r="G6295" t="n">
        <v>64</v>
      </c>
      <c r="H6295" s="5">
        <f>HYPERLINK("https://api.qogita.com/variants/link/8809455422243/", "View Product")</f>
        <v/>
      </c>
    </row>
    <row r="6296">
      <c r="A6296" t="inlineStr">
        <is>
          <t>8809479166376</t>
        </is>
      </c>
      <c r="B6296" t="inlineStr">
        <is>
          <t>Joyful Time Green Tea Essence Sheet Mask</t>
        </is>
      </c>
      <c r="C6296" t="inlineStr">
        <is>
          <t>Sheet Mask</t>
        </is>
      </c>
      <c r="D6296" t="inlineStr">
        <is>
          <t>Mizon</t>
        </is>
      </c>
      <c r="E6296" t="n">
        <v>3.13</v>
      </c>
      <c r="F6296" t="n">
        <v>1</v>
      </c>
      <c r="G6296" t="n">
        <v>9</v>
      </c>
      <c r="H6296" s="5">
        <f>HYPERLINK("https://api.qogita.com/variants/link/8809479166376/", "View Product")</f>
        <v/>
      </c>
    </row>
    <row r="6297">
      <c r="A6297" t="inlineStr">
        <is>
          <t>8809479166383</t>
        </is>
      </c>
      <c r="B6297" t="inlineStr">
        <is>
          <t>MIZON Joyful Royal Jelly Face Mask Sheet Exp Date 12-2022</t>
        </is>
      </c>
      <c r="C6297" t="inlineStr">
        <is>
          <t>Sheet Mask</t>
        </is>
      </c>
      <c r="D6297" t="inlineStr">
        <is>
          <t>Mizon</t>
        </is>
      </c>
      <c r="E6297" t="n">
        <v>3.13</v>
      </c>
      <c r="F6297" t="n">
        <v>1</v>
      </c>
      <c r="G6297" t="n">
        <v>8</v>
      </c>
      <c r="H6297" s="5">
        <f>HYPERLINK("https://api.qogita.com/variants/link/8809479166383/", "View Product")</f>
        <v/>
      </c>
    </row>
    <row r="6298">
      <c r="A6298" t="inlineStr">
        <is>
          <t>8809479166512</t>
        </is>
      </c>
      <c r="B6298" t="inlineStr">
        <is>
          <t>Mizon Joyful Time Essence Bamboo Sheet Mask 23g</t>
        </is>
      </c>
      <c r="C6298" t="inlineStr">
        <is>
          <t>Sheet Mask</t>
        </is>
      </c>
      <c r="D6298" t="inlineStr">
        <is>
          <t>Mizon</t>
        </is>
      </c>
      <c r="E6298" t="n">
        <v>3.13</v>
      </c>
      <c r="F6298" t="n">
        <v>1</v>
      </c>
      <c r="G6298" t="n">
        <v>7</v>
      </c>
      <c r="H6298" s="5">
        <f>HYPERLINK("https://api.qogita.com/variants/link/8809479166512/", "View Product")</f>
        <v/>
      </c>
    </row>
    <row r="6299">
      <c r="A6299" t="inlineStr">
        <is>
          <t>8809486680063</t>
        </is>
      </c>
      <c r="B6299" t="inlineStr">
        <is>
          <t>Pyunkang Yul Moisture Serum 3.4 Fl. Oz</t>
        </is>
      </c>
      <c r="C6299" t="inlineStr">
        <is>
          <t>Hydrating Serum</t>
        </is>
      </c>
      <c r="D6299" t="inlineStr">
        <is>
          <t>Pyunkang Yul</t>
        </is>
      </c>
      <c r="E6299" t="n">
        <v>21.85</v>
      </c>
      <c r="F6299" t="n">
        <v>1</v>
      </c>
      <c r="G6299" t="n">
        <v>8</v>
      </c>
      <c r="H6299" s="5">
        <f>HYPERLINK("https://api.qogita.com/variants/link/8809486680063/", "View Product")</f>
        <v/>
      </c>
    </row>
    <row r="6300">
      <c r="A6300" t="inlineStr">
        <is>
          <t>8809486680407</t>
        </is>
      </c>
      <c r="B6300" t="inlineStr">
        <is>
          <t>PYUNKANG YUL ATO Cream Blue Label Hyaluronic Acid Baby Cream 4.6 Fl. Oz</t>
        </is>
      </c>
      <c r="C6300" t="inlineStr">
        <is>
          <t>Baby &amp; Child</t>
        </is>
      </c>
      <c r="D6300" t="inlineStr">
        <is>
          <t>Pyunkang Yul</t>
        </is>
      </c>
      <c r="E6300" t="n">
        <v>12.7</v>
      </c>
      <c r="F6300" t="n">
        <v>1</v>
      </c>
      <c r="G6300" t="n">
        <v>5</v>
      </c>
      <c r="H6300" s="5">
        <f>HYPERLINK("https://api.qogita.com/variants/link/8809486680407/", "View Product")</f>
        <v/>
      </c>
    </row>
    <row r="6301">
      <c r="A6301" t="inlineStr">
        <is>
          <t>8809486681114</t>
        </is>
      </c>
      <c r="B6301" t="inlineStr">
        <is>
          <t>Pyunkang Yul Black Tea Time Reverse Eye Cream - 25ml</t>
        </is>
      </c>
      <c r="C6301" t="inlineStr">
        <is>
          <t>Eye Cream</t>
        </is>
      </c>
      <c r="D6301" t="inlineStr">
        <is>
          <t>Pyunkang Yul</t>
        </is>
      </c>
      <c r="E6301" t="n">
        <v>24.26</v>
      </c>
      <c r="F6301" t="n">
        <v>1</v>
      </c>
      <c r="G6301" t="n">
        <v>2</v>
      </c>
      <c r="H6301" s="5">
        <f>HYPERLINK("https://api.qogita.com/variants/link/8809486681114/", "View Product")</f>
        <v/>
      </c>
    </row>
    <row r="6302">
      <c r="A6302" t="inlineStr">
        <is>
          <t>8809486681169</t>
        </is>
      </c>
      <c r="B6302" t="inlineStr">
        <is>
          <t>PYUNKANG YUL ATO Mild Sun Cream Hybrid Sunblock SPF 50 Broad Spectrum 2.53 Fl.Oz.</t>
        </is>
      </c>
      <c r="C6302" t="inlineStr">
        <is>
          <t>Face Sun Protection</t>
        </is>
      </c>
      <c r="D6302" t="inlineStr">
        <is>
          <t>Pyunkang Yul</t>
        </is>
      </c>
      <c r="E6302" t="n">
        <v>14.3</v>
      </c>
      <c r="F6302" t="n">
        <v>1</v>
      </c>
      <c r="G6302" t="n">
        <v>5</v>
      </c>
      <c r="H6302" s="5">
        <f>HYPERLINK("https://api.qogita.com/variants/link/8809486681169/", "View Product")</f>
        <v/>
      </c>
    </row>
    <row r="6303">
      <c r="A6303" t="inlineStr">
        <is>
          <t>8809486681251</t>
        </is>
      </c>
      <c r="B6303" t="inlineStr">
        <is>
          <t>Pyunkang Yul Calming Face Intensive Repair Balm with Peptides and Hyaluronic Acid 1.01 Fl Oz</t>
        </is>
      </c>
      <c r="C6303" t="inlineStr">
        <is>
          <t>Face Cream</t>
        </is>
      </c>
      <c r="D6303" t="inlineStr">
        <is>
          <t>Pyunkang Yul</t>
        </is>
      </c>
      <c r="E6303" t="n">
        <v>14.38</v>
      </c>
      <c r="F6303" t="n">
        <v>1</v>
      </c>
      <c r="G6303" t="n">
        <v>3</v>
      </c>
      <c r="H6303" s="5">
        <f>HYPERLINK("https://api.qogita.com/variants/link/8809486681251/", "View Product")</f>
        <v/>
      </c>
    </row>
    <row r="6304">
      <c r="A6304" t="inlineStr">
        <is>
          <t>8809486681480</t>
        </is>
      </c>
      <c r="B6304" t="inlineStr">
        <is>
          <t>Pyunkang Yul Calming Deep Moisture Toner with AHA and PHA 5.07 Fl Oz</t>
        </is>
      </c>
      <c r="C6304" t="inlineStr">
        <is>
          <t>Facial Spray</t>
        </is>
      </c>
      <c r="D6304" t="inlineStr">
        <is>
          <t>Pyunkang Yul</t>
        </is>
      </c>
      <c r="E6304" t="n">
        <v>11.39</v>
      </c>
      <c r="F6304" t="n">
        <v>1</v>
      </c>
      <c r="G6304" t="n">
        <v>3</v>
      </c>
      <c r="H6304" s="5">
        <f>HYPERLINK("https://api.qogita.com/variants/link/8809486681480/", "View Product")</f>
        <v/>
      </c>
    </row>
    <row r="6305">
      <c r="A6305" t="inlineStr">
        <is>
          <t>8809503310393</t>
        </is>
      </c>
      <c r="B6305" t="inlineStr">
        <is>
          <t>Reclar 8pepta Boosting Gel Cream 200 Ml</t>
        </is>
      </c>
      <c r="C6305" t="inlineStr">
        <is>
          <t>Face Cream</t>
        </is>
      </c>
      <c r="D6305" t="inlineStr">
        <is>
          <t>Reclar</t>
        </is>
      </c>
      <c r="E6305" t="n">
        <v>24.48</v>
      </c>
      <c r="F6305" t="n">
        <v>1</v>
      </c>
      <c r="G6305" t="n">
        <v>13</v>
      </c>
      <c r="H6305" s="5">
        <f>HYPERLINK("https://api.qogita.com/variants/link/8809503310393/", "View Product")</f>
        <v/>
      </c>
    </row>
    <row r="6306">
      <c r="A6306" t="inlineStr">
        <is>
          <t>8809507381931</t>
        </is>
      </c>
      <c r="B6306" t="inlineStr">
        <is>
          <t>Abib Hydration Gel Water Tube 2.53 fl oz Refreshing Lightweight Gel</t>
        </is>
      </c>
      <c r="C6306" t="inlineStr">
        <is>
          <t>Facial Spray</t>
        </is>
      </c>
      <c r="D6306" t="inlineStr">
        <is>
          <t>Abib</t>
        </is>
      </c>
      <c r="E6306" t="n">
        <v>20.62</v>
      </c>
      <c r="F6306" t="n">
        <v>1</v>
      </c>
      <c r="G6306" t="n">
        <v>8</v>
      </c>
      <c r="H6306" s="5">
        <f>HYPERLINK("https://api.qogita.com/variants/link/8809507381931/", "View Product")</f>
        <v/>
      </c>
    </row>
    <row r="6307">
      <c r="A6307" t="inlineStr">
        <is>
          <t>8809517419709</t>
        </is>
      </c>
      <c r="B6307" t="inlineStr">
        <is>
          <t>Medicube Red Acne Succinic Acid Peeling 40g</t>
        </is>
      </c>
      <c r="C6307" t="inlineStr">
        <is>
          <t>Facial Scrub &amp; Peeling</t>
        </is>
      </c>
      <c r="D6307" t="inlineStr">
        <is>
          <t>Medicube</t>
        </is>
      </c>
      <c r="E6307" t="n">
        <v>19.63</v>
      </c>
      <c r="F6307" t="n">
        <v>1</v>
      </c>
      <c r="G6307" t="n">
        <v>4</v>
      </c>
      <c r="H6307" s="5">
        <f>HYPERLINK("https://api.qogita.com/variants/link/8809517419709/", "View Product")</f>
        <v/>
      </c>
    </row>
    <row r="6308">
      <c r="A6308" t="inlineStr">
        <is>
          <t>8809532220731</t>
        </is>
      </c>
      <c r="B6308" t="inlineStr">
        <is>
          <t>Haruharu WONDER Black Rice Facial Oil 30ml Anti-oxidation and Replenishing Nourishment</t>
        </is>
      </c>
      <c r="C6308" t="inlineStr">
        <is>
          <t>Facial Oil</t>
        </is>
      </c>
      <c r="D6308" t="inlineStr">
        <is>
          <t>Genove</t>
        </is>
      </c>
      <c r="E6308" t="n">
        <v>12.19</v>
      </c>
      <c r="F6308" t="n">
        <v>1</v>
      </c>
      <c r="G6308" t="n">
        <v>12</v>
      </c>
      <c r="H6308" s="5">
        <f>HYPERLINK("https://api.qogita.com/variants/link/8809532220731/", "View Product")</f>
        <v/>
      </c>
    </row>
    <row r="6309">
      <c r="A6309" t="inlineStr">
        <is>
          <t>8809532221462</t>
        </is>
      </c>
      <c r="B6309" t="inlineStr">
        <is>
          <t>Haruharu Wonder Black Rice Hyaluronic Toner for Sensitive Skin 5.1 fl.oz / 150ml - Alcohol Free Fragrance Free Vegan Cruelty Free EWG-Green</t>
        </is>
      </c>
      <c r="C6309" t="inlineStr">
        <is>
          <t>Facial Spray</t>
        </is>
      </c>
      <c r="D6309" t="inlineStr">
        <is>
          <t>Haruharu Wonder</t>
        </is>
      </c>
      <c r="E6309" t="n">
        <v>13.1</v>
      </c>
      <c r="F6309" t="n">
        <v>1</v>
      </c>
      <c r="G6309" t="n">
        <v>10</v>
      </c>
      <c r="H6309" s="5">
        <f>HYPERLINK("https://api.qogita.com/variants/link/8809532221462/", "View Product")</f>
        <v/>
      </c>
    </row>
    <row r="6310">
      <c r="A6310" t="inlineStr">
        <is>
          <t>8809561820391</t>
        </is>
      </c>
      <c r="B6310" t="inlineStr">
        <is>
          <t>Hyggee Vegan Sunscreen Spf50+ Pa++++ - 50 Ml</t>
        </is>
      </c>
      <c r="C6310" t="inlineStr">
        <is>
          <t>Face Sun Protection</t>
        </is>
      </c>
      <c r="D6310" t="inlineStr">
        <is>
          <t>Hygge</t>
        </is>
      </c>
      <c r="E6310" t="n">
        <v>18.76</v>
      </c>
      <c r="F6310" t="n">
        <v>1</v>
      </c>
      <c r="G6310" t="n">
        <v>3</v>
      </c>
      <c r="H6310" s="5">
        <f>HYPERLINK("https://api.qogita.com/variants/link/8809561820391/", "View Product")</f>
        <v/>
      </c>
    </row>
    <row r="6311">
      <c r="A6311" t="inlineStr">
        <is>
          <t>8809563100200</t>
        </is>
      </c>
      <c r="B6311" t="inlineStr">
        <is>
          <t>PURITO Bamboo Charcoal Konjac Sponge with Jeju Volcanic Ash 100% Vegan</t>
        </is>
      </c>
      <c r="C6311" t="inlineStr">
        <is>
          <t>Facial Soap</t>
        </is>
      </c>
      <c r="D6311" t="inlineStr">
        <is>
          <t>Purito</t>
        </is>
      </c>
      <c r="E6311" t="n">
        <v>8.25</v>
      </c>
      <c r="F6311" t="n">
        <v>1</v>
      </c>
      <c r="G6311" t="n">
        <v>23</v>
      </c>
      <c r="H6311" s="5">
        <f>HYPERLINK("https://api.qogita.com/variants/link/8809563100200/", "View Product")</f>
        <v/>
      </c>
    </row>
    <row r="6312">
      <c r="A6312" t="inlineStr">
        <is>
          <t>8809563100231</t>
        </is>
      </c>
      <c r="B6312" t="inlineStr">
        <is>
          <t>PURITO Bamboo Charcoal Konjac Sponge 100% Vegan</t>
        </is>
      </c>
      <c r="C6312" t="inlineStr">
        <is>
          <t>Facial Cleansing Tools</t>
        </is>
      </c>
      <c r="D6312" t="inlineStr">
        <is>
          <t>Purito</t>
        </is>
      </c>
      <c r="E6312" t="n">
        <v>8.25</v>
      </c>
      <c r="F6312" t="n">
        <v>1</v>
      </c>
      <c r="G6312" t="n">
        <v>7</v>
      </c>
      <c r="H6312" s="5">
        <f>HYPERLINK("https://api.qogita.com/variants/link/8809563100231/", "View Product")</f>
        <v/>
      </c>
    </row>
    <row r="6313">
      <c r="A6313" t="inlineStr">
        <is>
          <t>8809563100330</t>
        </is>
      </c>
      <c r="B6313" t="inlineStr">
        <is>
          <t>Purito Seoul Wonder Releaf Centella Spot Patch - All Care Recovery Cica</t>
        </is>
      </c>
      <c r="C6313" t="inlineStr">
        <is>
          <t>Pimple &amp; Blackhead Treatments</t>
        </is>
      </c>
      <c r="D6313" t="inlineStr">
        <is>
          <t>Purito</t>
        </is>
      </c>
      <c r="E6313" t="n">
        <v>8.35</v>
      </c>
      <c r="F6313" t="n">
        <v>1</v>
      </c>
      <c r="G6313" t="n">
        <v>40</v>
      </c>
      <c r="H6313" s="5">
        <f>HYPERLINK("https://api.qogita.com/variants/link/8809563100330/", "View Product")</f>
        <v/>
      </c>
    </row>
    <row r="6314">
      <c r="A6314" t="inlineStr">
        <is>
          <t>8809563100347</t>
        </is>
      </c>
      <c r="B6314" t="inlineStr">
        <is>
          <t>Purito Centella Unscented Soothing Tonic 200 Ml</t>
        </is>
      </c>
      <c r="C6314" t="inlineStr">
        <is>
          <t>Facial Spray</t>
        </is>
      </c>
      <c r="D6314" t="inlineStr">
        <is>
          <t>Purito</t>
        </is>
      </c>
      <c r="E6314" t="n">
        <v>19.21</v>
      </c>
      <c r="F6314" t="n">
        <v>1</v>
      </c>
      <c r="G6314" t="n">
        <v>5</v>
      </c>
      <c r="H6314" s="5">
        <f>HYPERLINK("https://api.qogita.com/variants/link/8809563100347/", "View Product")</f>
        <v/>
      </c>
    </row>
    <row r="6315">
      <c r="A6315" t="inlineStr">
        <is>
          <t>8809563100354</t>
        </is>
      </c>
      <c r="B6315" t="inlineStr">
        <is>
          <t>PURITO From Green Deep Foaming Cleanser with Plant-Based Natural Surfactants 150ml pH 5.5</t>
        </is>
      </c>
      <c r="C6315" t="inlineStr">
        <is>
          <t>Cleansing Foam</t>
        </is>
      </c>
      <c r="D6315" t="inlineStr">
        <is>
          <t>Purito</t>
        </is>
      </c>
      <c r="E6315" t="n">
        <v>11.98</v>
      </c>
      <c r="F6315" t="n">
        <v>1</v>
      </c>
      <c r="G6315" t="n">
        <v>2</v>
      </c>
      <c r="H6315" s="5">
        <f>HYPERLINK("https://api.qogita.com/variants/link/8809563100354/", "View Product")</f>
        <v/>
      </c>
    </row>
    <row r="6316">
      <c r="A6316" t="inlineStr">
        <is>
          <t>8809563100392</t>
        </is>
      </c>
      <c r="B6316" t="inlineStr">
        <is>
          <t>Purito Sea Buckthorn Vital 70 Cream 50 Ml Brightening Skin Cream</t>
        </is>
      </c>
      <c r="C6316" t="inlineStr">
        <is>
          <t>Face Cream</t>
        </is>
      </c>
      <c r="D6316" t="inlineStr">
        <is>
          <t>Purito</t>
        </is>
      </c>
      <c r="E6316" t="n">
        <v>17.54</v>
      </c>
      <c r="F6316" t="n">
        <v>1</v>
      </c>
      <c r="G6316" t="n">
        <v>2</v>
      </c>
      <c r="H6316" s="5">
        <f>HYPERLINK("https://api.qogita.com/variants/link/8809563100392/", "View Product")</f>
        <v/>
      </c>
    </row>
    <row r="6317">
      <c r="A6317" t="inlineStr">
        <is>
          <t>8809563100804</t>
        </is>
      </c>
      <c r="B6317" t="inlineStr">
        <is>
          <t>Purito Unscented Face Serum With Asian Wonder Releaf Centella Serum - 15 Ml</t>
        </is>
      </c>
      <c r="C6317" t="inlineStr">
        <is>
          <t>Hydrating Serum</t>
        </is>
      </c>
      <c r="D6317" t="inlineStr">
        <is>
          <t>Purito</t>
        </is>
      </c>
      <c r="E6317" t="n">
        <v>7.06</v>
      </c>
      <c r="F6317" t="n">
        <v>1</v>
      </c>
      <c r="G6317" t="n">
        <v>10</v>
      </c>
      <c r="H6317" s="5">
        <f>HYPERLINK("https://api.qogita.com/variants/link/8809563100804/", "View Product")</f>
        <v/>
      </c>
    </row>
    <row r="6318">
      <c r="A6318" t="inlineStr">
        <is>
          <t>8809563101436</t>
        </is>
      </c>
      <c r="B6318" t="inlineStr">
        <is>
          <t>PURITO Cica Clearing BB Cream #31 Deep Warm 1 fl.oz / 30ml Vegan Foundation</t>
        </is>
      </c>
      <c r="C6318" t="inlineStr">
        <is>
          <t>Bb Cream &amp; Cc Cream</t>
        </is>
      </c>
      <c r="D6318" t="inlineStr">
        <is>
          <t>Purito</t>
        </is>
      </c>
      <c r="E6318" t="n">
        <v>11.9</v>
      </c>
      <c r="F6318" t="n">
        <v>1</v>
      </c>
      <c r="G6318" t="n">
        <v>9</v>
      </c>
      <c r="H6318" s="5">
        <f>HYPERLINK("https://api.qogita.com/variants/link/8809563101436/", "View Product")</f>
        <v/>
      </c>
    </row>
    <row r="6319">
      <c r="A6319" t="inlineStr">
        <is>
          <t>8809563102365</t>
        </is>
      </c>
      <c r="B6319" t="inlineStr">
        <is>
          <t>PURITO Bakuchiol Timeless Bloom Revitalizing Serum 30ml 1.01 fl. oz. Vegan and Cruelty-Free Korean Skin Care</t>
        </is>
      </c>
      <c r="C6319" t="inlineStr">
        <is>
          <t>Anti-Aging Serum</t>
        </is>
      </c>
      <c r="D6319" t="inlineStr">
        <is>
          <t>Purito</t>
        </is>
      </c>
      <c r="E6319" t="n">
        <v>24.26</v>
      </c>
      <c r="F6319" t="n">
        <v>1</v>
      </c>
      <c r="G6319" t="n">
        <v>23</v>
      </c>
      <c r="H6319" s="5">
        <f>HYPERLINK("https://api.qogita.com/variants/link/8809563102365/", "View Product")</f>
        <v/>
      </c>
    </row>
    <row r="6320">
      <c r="A6320" t="inlineStr">
        <is>
          <t>8809563102488</t>
        </is>
      </c>
      <c r="B6320" t="inlineStr">
        <is>
          <t>Purito Seoul From Green Cleansing Oil Refill 2 X 200 Ml Skin Care Gift Set</t>
        </is>
      </c>
      <c r="C6320" t="inlineStr">
        <is>
          <t>Facial Cleansing Sets</t>
        </is>
      </c>
      <c r="D6320" t="inlineStr">
        <is>
          <t>Seoul</t>
        </is>
      </c>
      <c r="E6320" t="n">
        <v>37.49</v>
      </c>
      <c r="F6320" t="n">
        <v>1</v>
      </c>
      <c r="G6320" t="n">
        <v>28</v>
      </c>
      <c r="H6320" s="5">
        <f>HYPERLINK("https://api.qogita.com/variants/link/8809563102488/", "View Product")</f>
        <v/>
      </c>
    </row>
    <row r="6321">
      <c r="A6321" t="inlineStr">
        <is>
          <t>8809563102730</t>
        </is>
      </c>
      <c r="B6321" t="inlineStr">
        <is>
          <t>Purito Clear Code Superfruit Serum 30 Ml</t>
        </is>
      </c>
      <c r="C6321" t="inlineStr">
        <is>
          <t>Glow Serum</t>
        </is>
      </c>
      <c r="D6321" t="inlineStr">
        <is>
          <t>Purito</t>
        </is>
      </c>
      <c r="E6321" t="n">
        <v>19.8</v>
      </c>
      <c r="F6321" t="n">
        <v>1</v>
      </c>
      <c r="G6321" t="n">
        <v>13</v>
      </c>
      <c r="H6321" s="5">
        <f>HYPERLINK("https://api.qogita.com/variants/link/8809563102730/", "View Product")</f>
        <v/>
      </c>
    </row>
    <row r="6322">
      <c r="A6322" t="inlineStr">
        <is>
          <t>8809563103065</t>
        </is>
      </c>
      <c r="B6322" t="inlineStr">
        <is>
          <t>Purito Seoul Timeless Bloom Retinol Spot Cream 30ml</t>
        </is>
      </c>
      <c r="C6322" t="inlineStr">
        <is>
          <t>Anti-Aging Facial Care</t>
        </is>
      </c>
      <c r="D6322" t="inlineStr">
        <is>
          <t>Purito Seoul</t>
        </is>
      </c>
      <c r="E6322" t="n">
        <v>20.21</v>
      </c>
      <c r="F6322" t="n">
        <v>1</v>
      </c>
      <c r="G6322" t="n">
        <v>14</v>
      </c>
      <c r="H6322" s="5">
        <f>HYPERLINK("https://api.qogita.com/variants/link/8809563103065/", "View Product")</f>
        <v/>
      </c>
    </row>
    <row r="6323">
      <c r="A6323" t="inlineStr">
        <is>
          <t>8809563103362</t>
        </is>
      </c>
      <c r="B6323" t="inlineStr">
        <is>
          <t>Purito Seoul Wonder Releaf Centella Bb Cushion In Natural Beige</t>
        </is>
      </c>
      <c r="C6323" t="inlineStr">
        <is>
          <t>Bb Cream &amp; Cc Cream</t>
        </is>
      </c>
      <c r="D6323" t="inlineStr">
        <is>
          <t>Purito Seoul</t>
        </is>
      </c>
      <c r="E6323" t="n">
        <v>29.75</v>
      </c>
      <c r="F6323" t="n">
        <v>1</v>
      </c>
      <c r="G6323" t="n">
        <v>17</v>
      </c>
      <c r="H6323" s="5">
        <f>HYPERLINK("https://api.qogita.com/variants/link/8809563103362/", "View Product")</f>
        <v/>
      </c>
    </row>
    <row r="6324">
      <c r="A6324" t="inlineStr">
        <is>
          <t>8809566990358</t>
        </is>
      </c>
      <c r="B6324" t="inlineStr">
        <is>
          <t>BENTON Deep Green Tea Lotion 40W x 40L x 140H (mm)</t>
        </is>
      </c>
      <c r="C6324" t="inlineStr">
        <is>
          <t>Body Lotion</t>
        </is>
      </c>
      <c r="D6324" t="inlineStr">
        <is>
          <t>Benton</t>
        </is>
      </c>
      <c r="E6324" t="n">
        <v>13.44</v>
      </c>
      <c r="F6324" t="n">
        <v>1</v>
      </c>
      <c r="G6324" t="n">
        <v>5</v>
      </c>
      <c r="H6324" s="5">
        <f>HYPERLINK("https://api.qogita.com/variants/link/8809566990358/", "View Product")</f>
        <v/>
      </c>
    </row>
    <row r="6325">
      <c r="A6325" t="inlineStr">
        <is>
          <t>8809566990457</t>
        </is>
      </c>
      <c r="B6325" t="inlineStr">
        <is>
          <t>BENTON Shea Butter and Coconut Body Lotion 250ml 8.45 fl.oz. - Body Moisturizer Korean Skincare Dermatologically Tested</t>
        </is>
      </c>
      <c r="C6325" t="inlineStr">
        <is>
          <t>Body Lotion</t>
        </is>
      </c>
      <c r="D6325" t="inlineStr">
        <is>
          <t>Benton</t>
        </is>
      </c>
      <c r="E6325" t="n">
        <v>21.52</v>
      </c>
      <c r="F6325" t="n">
        <v>1</v>
      </c>
      <c r="G6325" t="n">
        <v>2</v>
      </c>
      <c r="H6325" s="5">
        <f>HYPERLINK("https://api.qogita.com/variants/link/8809566990457/", "View Product")</f>
        <v/>
      </c>
    </row>
    <row r="6326">
      <c r="A6326" t="inlineStr">
        <is>
          <t>8809566990822</t>
        </is>
      </c>
      <c r="B6326" t="inlineStr">
        <is>
          <t>Benton Deep Green Tea Serum 30ml</t>
        </is>
      </c>
      <c r="C6326" t="inlineStr">
        <is>
          <t>Hydrating Serum</t>
        </is>
      </c>
      <c r="D6326" t="inlineStr">
        <is>
          <t>Benton</t>
        </is>
      </c>
      <c r="E6326" t="n">
        <v>13.69</v>
      </c>
      <c r="F6326" t="n">
        <v>1</v>
      </c>
      <c r="G6326" t="n">
        <v>10</v>
      </c>
      <c r="H6326" s="5">
        <f>HYPERLINK("https://api.qogita.com/variants/link/8809566990822/", "View Product")</f>
        <v/>
      </c>
    </row>
    <row r="6327">
      <c r="A6327" t="inlineStr">
        <is>
          <t>8809566992505</t>
        </is>
      </c>
      <c r="B6327" t="inlineStr">
        <is>
          <t>BENTON Guava 70 Skin Toner Face Mask Pad - Skin Soothing and Moisturizing Effect for All Skin Types, Elastic Skin, Pore Care, Korean Skin Care</t>
        </is>
      </c>
      <c r="C6327" t="inlineStr">
        <is>
          <t>Hydrating Mask</t>
        </is>
      </c>
      <c r="D6327" t="inlineStr">
        <is>
          <t>Benton</t>
        </is>
      </c>
      <c r="E6327" t="n">
        <v>22.86</v>
      </c>
      <c r="F6327" t="n">
        <v>1</v>
      </c>
      <c r="G6327" t="n">
        <v>4</v>
      </c>
      <c r="H6327" s="5">
        <f>HYPERLINK("https://api.qogita.com/variants/link/8809566992505/", "View Product")</f>
        <v/>
      </c>
    </row>
    <row r="6328">
      <c r="A6328" t="inlineStr">
        <is>
          <t>8809572891397</t>
        </is>
      </c>
      <c r="B6328" t="inlineStr">
        <is>
          <t>Klairs All Day Airy Sunscreen 50g SPF50+ PA++++</t>
        </is>
      </c>
      <c r="C6328" t="inlineStr">
        <is>
          <t>Face Sun Protection</t>
        </is>
      </c>
      <c r="D6328" t="inlineStr">
        <is>
          <t>Klairs</t>
        </is>
      </c>
      <c r="E6328" t="n">
        <v>20.59</v>
      </c>
      <c r="F6328" t="n">
        <v>1</v>
      </c>
      <c r="G6328" t="n">
        <v>6</v>
      </c>
      <c r="H6328" s="5">
        <f>HYPERLINK("https://api.qogita.com/variants/link/8809572891397/", "View Product")</f>
        <v/>
      </c>
    </row>
    <row r="6329">
      <c r="A6329" t="inlineStr">
        <is>
          <t>8809576260700</t>
        </is>
      </c>
      <c r="B6329" t="inlineStr">
        <is>
          <t>[SKIN1004] Madagascar Centella Hyalu-Cica Brightening Toner 210ml</t>
        </is>
      </c>
      <c r="C6329" t="inlineStr">
        <is>
          <t>Facial Spray</t>
        </is>
      </c>
      <c r="D6329" t="inlineStr">
        <is>
          <t>Skin1004</t>
        </is>
      </c>
      <c r="E6329" t="n">
        <v>13.02</v>
      </c>
      <c r="F6329" t="n">
        <v>1</v>
      </c>
      <c r="G6329" t="n">
        <v>2</v>
      </c>
      <c r="H6329" s="5">
        <f>HYPERLINK("https://api.qogita.com/variants/link/8809576260700/", "View Product")</f>
        <v/>
      </c>
    </row>
    <row r="6330">
      <c r="A6330" t="inlineStr">
        <is>
          <t>8809576261073</t>
        </is>
      </c>
      <c r="B6330" t="inlineStr">
        <is>
          <t>SKIN1004 Hyalu Serum</t>
        </is>
      </c>
      <c r="C6330" t="inlineStr">
        <is>
          <t>Hyaluronic Acid Serum</t>
        </is>
      </c>
      <c r="D6330" t="inlineStr">
        <is>
          <t>Skin1004</t>
        </is>
      </c>
      <c r="E6330" t="n">
        <v>6.11</v>
      </c>
      <c r="F6330" t="n">
        <v>1</v>
      </c>
      <c r="G6330" t="n">
        <v>45</v>
      </c>
      <c r="H6330" s="5">
        <f>HYPERLINK("https://api.qogita.com/variants/link/8809576261073/", "View Product")</f>
        <v/>
      </c>
    </row>
    <row r="6331">
      <c r="A6331" t="inlineStr">
        <is>
          <t>8809576261134</t>
        </is>
      </c>
      <c r="B6331" t="inlineStr">
        <is>
          <t>Skin1004 Madagascar Centella Soothing Cream 75ml</t>
        </is>
      </c>
      <c r="C6331" t="inlineStr">
        <is>
          <t>Face Cream</t>
        </is>
      </c>
      <c r="D6331" t="inlineStr">
        <is>
          <t>Skin1004</t>
        </is>
      </c>
      <c r="E6331" t="n">
        <v>21.56</v>
      </c>
      <c r="F6331" t="n">
        <v>1</v>
      </c>
      <c r="G6331" t="n">
        <v>2</v>
      </c>
      <c r="H6331" s="5">
        <f>HYPERLINK("https://api.qogita.com/variants/link/8809576261134/", "View Product")</f>
        <v/>
      </c>
    </row>
    <row r="6332">
      <c r="A6332" t="inlineStr">
        <is>
          <t>8809576261165</t>
        </is>
      </c>
      <c r="B6332" t="inlineStr">
        <is>
          <t>SKIN1004 Madagascar Centella Tone Brightening Boosting Toner 7.1 fl.oz 210ml - 90% Centella Asiatica Extract Vitamin C Exfoliating Pore Tightening Moisturizing</t>
        </is>
      </c>
      <c r="C6332" t="inlineStr">
        <is>
          <t>Facial Spray</t>
        </is>
      </c>
      <c r="D6332" t="inlineStr">
        <is>
          <t>Skin1004</t>
        </is>
      </c>
      <c r="E6332" t="n">
        <v>13.2</v>
      </c>
      <c r="F6332" t="n">
        <v>1</v>
      </c>
      <c r="G6332" t="n">
        <v>14</v>
      </c>
      <c r="H6332" s="5">
        <f>HYPERLINK("https://api.qogita.com/variants/link/8809576261165/", "View Product")</f>
        <v/>
      </c>
    </row>
    <row r="6333">
      <c r="A6333" t="inlineStr">
        <is>
          <t>8809576261615</t>
        </is>
      </c>
      <c r="B6333" t="inlineStr">
        <is>
          <t>Madagascar Centella Tone Brightening Moisturizing Cream</t>
        </is>
      </c>
      <c r="C6333" t="inlineStr">
        <is>
          <t>Face Cream</t>
        </is>
      </c>
      <c r="D6333" t="inlineStr">
        <is>
          <t>Skin1004</t>
        </is>
      </c>
      <c r="E6333" t="n">
        <v>17.68</v>
      </c>
      <c r="F6333" t="n">
        <v>1</v>
      </c>
      <c r="G6333" t="n">
        <v>31</v>
      </c>
      <c r="H6333" s="5">
        <f>HYPERLINK("https://api.qogita.com/variants/link/8809576261615/", "View Product")</f>
        <v/>
      </c>
    </row>
    <row r="6334">
      <c r="A6334" t="inlineStr">
        <is>
          <t>8809579273158</t>
        </is>
      </c>
      <c r="B6334" t="inlineStr">
        <is>
          <t>Mizon Premium Eye Hydrogel Mask With White Pearl And Diamond 60 Pieces X 14 Grams For Wrinkles And Skin Lightening</t>
        </is>
      </c>
      <c r="C6334" t="inlineStr">
        <is>
          <t>Eye Masks &amp; Eye Pads</t>
        </is>
      </c>
      <c r="D6334" t="inlineStr">
        <is>
          <t>Mizon</t>
        </is>
      </c>
      <c r="E6334" t="n">
        <v>24.59</v>
      </c>
      <c r="F6334" t="n">
        <v>1</v>
      </c>
      <c r="G6334" t="n">
        <v>3</v>
      </c>
      <c r="H6334" s="5">
        <f>HYPERLINK("https://api.qogita.com/variants/link/8809579273158/", "View Product")</f>
        <v/>
      </c>
    </row>
    <row r="6335">
      <c r="A6335" t="inlineStr">
        <is>
          <t>8809581076334</t>
        </is>
      </c>
      <c r="B6335" t="inlineStr">
        <is>
          <t>ISNTREE Real Rose Calming Face Mask 3.38 fl. oz. Moisturizing Nourishing and Soothing with 60% Damask Rose Water Amino Acids Complex and Hyaluronic Acid</t>
        </is>
      </c>
      <c r="C6335" t="inlineStr">
        <is>
          <t>Hydrating Mask</t>
        </is>
      </c>
      <c r="D6335" t="inlineStr">
        <is>
          <t>Isntree</t>
        </is>
      </c>
      <c r="E6335" t="n">
        <v>14.27</v>
      </c>
      <c r="F6335" t="n">
        <v>1</v>
      </c>
      <c r="G6335" t="n">
        <v>5</v>
      </c>
      <c r="H6335" s="5">
        <f>HYPERLINK("https://api.qogita.com/variants/link/8809581076334/", "View Product")</f>
        <v/>
      </c>
    </row>
    <row r="6336">
      <c r="A6336" t="inlineStr">
        <is>
          <t>8809581445789</t>
        </is>
      </c>
      <c r="B6336" t="inlineStr">
        <is>
          <t>MISSHA 3D Mascara Korean Eyes Makeup Original K-Beauty UK</t>
        </is>
      </c>
      <c r="C6336" t="inlineStr">
        <is>
          <t>Mascara</t>
        </is>
      </c>
      <c r="D6336" t="inlineStr">
        <is>
          <t>Missha</t>
        </is>
      </c>
      <c r="E6336" t="n">
        <v>5</v>
      </c>
      <c r="F6336" t="n">
        <v>1</v>
      </c>
      <c r="G6336" t="n">
        <v>9</v>
      </c>
      <c r="H6336" s="5">
        <f>HYPERLINK("https://api.qogita.com/variants/link/8809581445789/", "View Product")</f>
        <v/>
      </c>
    </row>
    <row r="6337">
      <c r="A6337" t="inlineStr">
        <is>
          <t>8809581451216</t>
        </is>
      </c>
      <c r="B6337" t="inlineStr">
        <is>
          <t>Missha Bee Pollen Renew Treatment 150ml</t>
        </is>
      </c>
      <c r="C6337" t="inlineStr">
        <is>
          <t>Facial Care Sets</t>
        </is>
      </c>
      <c r="D6337" t="inlineStr">
        <is>
          <t>Missha</t>
        </is>
      </c>
      <c r="E6337" t="n">
        <v>22.07</v>
      </c>
      <c r="F6337" t="n">
        <v>1</v>
      </c>
      <c r="G6337" t="n">
        <v>4</v>
      </c>
      <c r="H6337" s="5">
        <f>HYPERLINK("https://api.qogita.com/variants/link/8809581451216/", "View Product")</f>
        <v/>
      </c>
    </row>
    <row r="6338">
      <c r="A6338" t="inlineStr">
        <is>
          <t>8809581451476</t>
        </is>
      </c>
      <c r="B6338" t="inlineStr">
        <is>
          <t>MISSHA M B.B Boomer Cream with Shea Butter 40ml</t>
        </is>
      </c>
      <c r="C6338" t="inlineStr">
        <is>
          <t>Face Cream</t>
        </is>
      </c>
      <c r="D6338" t="inlineStr">
        <is>
          <t>Missha</t>
        </is>
      </c>
      <c r="E6338" t="n">
        <v>10.12</v>
      </c>
      <c r="F6338" t="n">
        <v>1</v>
      </c>
      <c r="G6338" t="n">
        <v>6</v>
      </c>
      <c r="H6338" s="5">
        <f>HYPERLINK("https://api.qogita.com/variants/link/8809581451476/", "View Product")</f>
        <v/>
      </c>
    </row>
    <row r="6339">
      <c r="A6339" t="inlineStr">
        <is>
          <t>8809581452367</t>
        </is>
      </c>
      <c r="B6339" t="inlineStr">
        <is>
          <t>Missha Missha All Around Safe Block Soft Finish Sun Milk Spf 50 70ml</t>
        </is>
      </c>
      <c r="C6339" t="inlineStr">
        <is>
          <t>Face Sun Protection</t>
        </is>
      </c>
      <c r="D6339" t="inlineStr">
        <is>
          <t>Missha</t>
        </is>
      </c>
      <c r="E6339" t="n">
        <v>15.85</v>
      </c>
      <c r="F6339" t="n">
        <v>1</v>
      </c>
      <c r="G6339" t="n">
        <v>14</v>
      </c>
      <c r="H6339" s="5">
        <f>HYPERLINK("https://api.qogita.com/variants/link/8809581452367/", "View Product")</f>
        <v/>
      </c>
    </row>
    <row r="6340">
      <c r="A6340" t="inlineStr">
        <is>
          <t>8809598450561</t>
        </is>
      </c>
      <c r="B6340" t="inlineStr">
        <is>
          <t>Cosrx Ac Collection Blemish 20 Spot Clearing Serum 40 Ml</t>
        </is>
      </c>
      <c r="C6340" t="inlineStr">
        <is>
          <t>Hydrating Serum</t>
        </is>
      </c>
      <c r="D6340" t="inlineStr">
        <is>
          <t>Cosrx</t>
        </is>
      </c>
      <c r="E6340" t="n">
        <v>18.51</v>
      </c>
      <c r="F6340" t="n">
        <v>1</v>
      </c>
      <c r="G6340" t="n">
        <v>43</v>
      </c>
      <c r="H6340" s="5">
        <f>HYPERLINK("https://api.qogita.com/variants/link/8809598450561/", "View Product")</f>
        <v/>
      </c>
    </row>
    <row r="6341">
      <c r="A6341" t="inlineStr">
        <is>
          <t>8809598450622</t>
        </is>
      </c>
      <c r="B6341" t="inlineStr">
        <is>
          <t>Cosrx Hydrium Green Tea Acqua Soothing Gel Cream - 50ml</t>
        </is>
      </c>
      <c r="C6341" t="inlineStr">
        <is>
          <t>Face Cream</t>
        </is>
      </c>
      <c r="D6341" t="inlineStr">
        <is>
          <t>Cosrx</t>
        </is>
      </c>
      <c r="E6341" t="n">
        <v>18.06</v>
      </c>
      <c r="F6341" t="n">
        <v>1</v>
      </c>
      <c r="G6341" t="n">
        <v>10</v>
      </c>
      <c r="H6341" s="5">
        <f>HYPERLINK("https://api.qogita.com/variants/link/8809598450622/", "View Product")</f>
        <v/>
      </c>
    </row>
    <row r="6342">
      <c r="A6342" t="inlineStr">
        <is>
          <t>8809598450660</t>
        </is>
      </c>
      <c r="B6342" t="inlineStr">
        <is>
          <t>Cosrx Centella Aqua Soothing Ampoule Centella Asiatica Cica Serum Korean Skin</t>
        </is>
      </c>
      <c r="C6342" t="inlineStr">
        <is>
          <t>Ampoules</t>
        </is>
      </c>
      <c r="D6342" t="inlineStr">
        <is>
          <t>Cosrx</t>
        </is>
      </c>
      <c r="E6342" t="n">
        <v>16.63</v>
      </c>
      <c r="F6342" t="n">
        <v>1</v>
      </c>
      <c r="G6342" t="n">
        <v>69</v>
      </c>
      <c r="H6342" s="5">
        <f>HYPERLINK("https://api.qogita.com/variants/link/8809598450660/", "View Product")</f>
        <v/>
      </c>
    </row>
    <row r="6343">
      <c r="A6343" t="inlineStr">
        <is>
          <t>8809598450912</t>
        </is>
      </c>
      <c r="B6343" t="inlineStr">
        <is>
          <t>[COSRX] AC Collection Lightweight Soothing Moisturizer 80ml - Pack of 2</t>
        </is>
      </c>
      <c r="C6343" t="inlineStr">
        <is>
          <t>Face Cream</t>
        </is>
      </c>
      <c r="D6343" t="inlineStr">
        <is>
          <t>Cosrx</t>
        </is>
      </c>
      <c r="E6343" t="n">
        <v>14.01</v>
      </c>
      <c r="F6343" t="n">
        <v>1</v>
      </c>
      <c r="G6343" t="n">
        <v>8</v>
      </c>
      <c r="H6343" s="5">
        <f>HYPERLINK("https://api.qogita.com/variants/link/8809598450912/", "View Product")</f>
        <v/>
      </c>
    </row>
    <row r="6344">
      <c r="A6344" t="inlineStr">
        <is>
          <t>8809598452190</t>
        </is>
      </c>
      <c r="B6344" t="inlineStr">
        <is>
          <t>COSRX Pure Fit CICA 7 Relief Kit - Pack of 3</t>
        </is>
      </c>
      <c r="C6344" t="inlineStr">
        <is>
          <t>Facial Care Sets</t>
        </is>
      </c>
      <c r="D6344" t="inlineStr">
        <is>
          <t>Cosrx</t>
        </is>
      </c>
      <c r="E6344" t="n">
        <v>18.05</v>
      </c>
      <c r="F6344" t="n">
        <v>1</v>
      </c>
      <c r="G6344" t="n">
        <v>47</v>
      </c>
      <c r="H6344" s="5">
        <f>HYPERLINK("https://api.qogita.com/variants/link/8809598452190/", "View Product")</f>
        <v/>
      </c>
    </row>
    <row r="6345">
      <c r="A6345" t="inlineStr">
        <is>
          <t>8809598453500</t>
        </is>
      </c>
      <c r="B6345" t="inlineStr">
        <is>
          <t>Cosrx Cleansing Facial Pads Full Fit Propolis Synergy Pad 70 Pieces</t>
        </is>
      </c>
      <c r="C6345" t="inlineStr">
        <is>
          <t>Makeup Remover</t>
        </is>
      </c>
      <c r="D6345" t="inlineStr">
        <is>
          <t>Cosrx</t>
        </is>
      </c>
      <c r="E6345" t="n">
        <v>15.97</v>
      </c>
      <c r="F6345" t="n">
        <v>1</v>
      </c>
      <c r="G6345" t="n">
        <v>54</v>
      </c>
      <c r="H6345" s="5">
        <f>HYPERLINK("https://api.qogita.com/variants/link/8809598453500/", "View Product")</f>
        <v/>
      </c>
    </row>
    <row r="6346">
      <c r="A6346" t="inlineStr">
        <is>
          <t>8809598453579</t>
        </is>
      </c>
      <c r="B6346" t="inlineStr">
        <is>
          <t>Cosrx Ac Collection Calming Foam Cleanser 150 Ml Soothing Cleansing Foam</t>
        </is>
      </c>
      <c r="C6346" t="inlineStr">
        <is>
          <t>Cleansing Foam</t>
        </is>
      </c>
      <c r="D6346" t="inlineStr">
        <is>
          <t>Cosrx</t>
        </is>
      </c>
      <c r="E6346" t="n">
        <v>11.18</v>
      </c>
      <c r="F6346" t="n">
        <v>1</v>
      </c>
      <c r="G6346" t="n">
        <v>44</v>
      </c>
      <c r="H6346" s="5">
        <f>HYPERLINK("https://api.qogita.com/variants/link/8809598453579/", "View Product")</f>
        <v/>
      </c>
    </row>
    <row r="6347">
      <c r="A6347" t="inlineStr">
        <is>
          <t>8809598453609</t>
        </is>
      </c>
      <c r="B6347" t="inlineStr">
        <is>
          <t>Cosrx Hydrium Triple Hyaluronic Moisture Ampoule 40 Ml</t>
        </is>
      </c>
      <c r="C6347" t="inlineStr">
        <is>
          <t>Hyaluronic Acid Serum</t>
        </is>
      </c>
      <c r="D6347" t="inlineStr">
        <is>
          <t>Cosrx</t>
        </is>
      </c>
      <c r="E6347" t="n">
        <v>24.24</v>
      </c>
      <c r="F6347" t="n">
        <v>1</v>
      </c>
      <c r="G6347" t="n">
        <v>7</v>
      </c>
      <c r="H6347" s="5">
        <f>HYPERLINK("https://api.qogita.com/variants/link/8809598453609/", "View Product")</f>
        <v/>
      </c>
    </row>
    <row r="6348">
      <c r="A6348" t="inlineStr">
        <is>
          <t>8809598453623</t>
        </is>
      </c>
      <c r="B6348" t="inlineStr">
        <is>
          <t>Hydrium Moisture Power Enriched Cream 50 ml</t>
        </is>
      </c>
      <c r="C6348" t="inlineStr">
        <is>
          <t>Face Cream</t>
        </is>
      </c>
      <c r="D6348" t="inlineStr">
        <is>
          <t>Hydrium</t>
        </is>
      </c>
      <c r="E6348" t="n">
        <v>23.11</v>
      </c>
      <c r="F6348" t="n">
        <v>1</v>
      </c>
      <c r="G6348" t="n">
        <v>12</v>
      </c>
      <c r="H6348" s="5">
        <f>HYPERLINK("https://api.qogita.com/variants/link/8809598453623/", "View Product")</f>
        <v/>
      </c>
    </row>
    <row r="6349">
      <c r="A6349" t="inlineStr">
        <is>
          <t>8809598453630</t>
        </is>
      </c>
      <c r="B6349" t="inlineStr">
        <is>
          <t>Cosrx Ultimate Moisturizing Honey Overnight 60ml</t>
        </is>
      </c>
      <c r="C6349" t="inlineStr">
        <is>
          <t>Night Cream</t>
        </is>
      </c>
      <c r="D6349" t="inlineStr">
        <is>
          <t>Cosrx</t>
        </is>
      </c>
      <c r="E6349" t="n">
        <v>17.18</v>
      </c>
      <c r="F6349" t="n">
        <v>1</v>
      </c>
      <c r="G6349" t="n">
        <v>9</v>
      </c>
      <c r="H6349" s="5">
        <f>HYPERLINK("https://api.qogita.com/variants/link/8809598453630/", "View Product")</f>
        <v/>
      </c>
    </row>
    <row r="6350">
      <c r="A6350" t="inlineStr">
        <is>
          <t>8809598453692</t>
        </is>
      </c>
      <c r="B6350" t="inlineStr">
        <is>
          <t>COSRX AC Collection Calming Foam Cleanser Face Foam 50ml</t>
        </is>
      </c>
      <c r="C6350" t="inlineStr">
        <is>
          <t>Cleansing Foam</t>
        </is>
      </c>
      <c r="D6350" t="inlineStr">
        <is>
          <t>Cosrx</t>
        </is>
      </c>
      <c r="E6350" t="n">
        <v>6.6</v>
      </c>
      <c r="F6350" t="n">
        <v>1</v>
      </c>
      <c r="G6350" t="n">
        <v>19</v>
      </c>
      <c r="H6350" s="5">
        <f>HYPERLINK("https://api.qogita.com/variants/link/8809598453692/", "View Product")</f>
        <v/>
      </c>
    </row>
    <row r="6351">
      <c r="A6351" t="inlineStr">
        <is>
          <t>8809598453791</t>
        </is>
      </c>
      <c r="B6351" t="inlineStr">
        <is>
          <t>Cosrx Basic Master Patch Pimple Patches For Acne Treatment</t>
        </is>
      </c>
      <c r="C6351" t="inlineStr">
        <is>
          <t>Pimple &amp; Blackhead Treatments</t>
        </is>
      </c>
      <c r="D6351" t="inlineStr">
        <is>
          <t>Cosrx</t>
        </is>
      </c>
      <c r="E6351" t="n">
        <v>14.7</v>
      </c>
      <c r="F6351" t="n">
        <v>1</v>
      </c>
      <c r="G6351" t="n">
        <v>5</v>
      </c>
      <c r="H6351" s="5">
        <f>HYPERLINK("https://api.qogita.com/variants/link/8809598453791/", "View Product")</f>
        <v/>
      </c>
    </row>
    <row r="6352">
      <c r="A6352" t="inlineStr">
        <is>
          <t>8809598453876</t>
        </is>
      </c>
      <c r="B6352" t="inlineStr">
        <is>
          <t>Cosrx Refresh Aha Bha Vitamin C Daily Cream 50 Ml</t>
        </is>
      </c>
      <c r="C6352" t="inlineStr">
        <is>
          <t>Day Cream</t>
        </is>
      </c>
      <c r="D6352" t="inlineStr">
        <is>
          <t>Cosrx</t>
        </is>
      </c>
      <c r="E6352" t="n">
        <v>15.06</v>
      </c>
      <c r="F6352" t="n">
        <v>1</v>
      </c>
      <c r="G6352" t="n">
        <v>13</v>
      </c>
      <c r="H6352" s="5">
        <f>HYPERLINK("https://api.qogita.com/variants/link/8809598453876/", "View Product")</f>
        <v/>
      </c>
    </row>
    <row r="6353">
      <c r="A6353" t="inlineStr">
        <is>
          <t>8809598454613</t>
        </is>
      </c>
      <c r="B6353" t="inlineStr">
        <is>
          <t>COSRX Vitamin E SPF 50+ Daily Sunscreen Reef Safe OTC Vitalizing 1.69 fl.oz / 50ml</t>
        </is>
      </c>
      <c r="C6353" t="inlineStr">
        <is>
          <t>Face Sun Protection</t>
        </is>
      </c>
      <c r="D6353" t="inlineStr">
        <is>
          <t>Cosrx</t>
        </is>
      </c>
      <c r="E6353" t="n">
        <v>16.59</v>
      </c>
      <c r="F6353" t="n">
        <v>1</v>
      </c>
      <c r="G6353" t="n">
        <v>44</v>
      </c>
      <c r="H6353" s="5">
        <f>HYPERLINK("https://api.qogita.com/variants/link/8809598454613/", "View Product")</f>
        <v/>
      </c>
    </row>
    <row r="6354">
      <c r="A6354" t="inlineStr">
        <is>
          <t>8809598454637</t>
        </is>
      </c>
      <c r="B6354" t="inlineStr">
        <is>
          <t>Cosrx The Niacinamide 15 Serum Skin Care Serum</t>
        </is>
      </c>
      <c r="C6354" t="inlineStr">
        <is>
          <t>Vitamin Serum</t>
        </is>
      </c>
      <c r="D6354" t="inlineStr">
        <is>
          <t>Cosrx</t>
        </is>
      </c>
      <c r="E6354" t="n">
        <v>17.41</v>
      </c>
      <c r="F6354" t="n">
        <v>1</v>
      </c>
      <c r="G6354" t="n">
        <v>2</v>
      </c>
      <c r="H6354" s="5">
        <f>HYPERLINK("https://api.qogita.com/variants/link/8809598454637/", "View Product")</f>
        <v/>
      </c>
    </row>
    <row r="6355">
      <c r="A6355" t="inlineStr">
        <is>
          <t>8809598454668</t>
        </is>
      </c>
      <c r="B6355" t="inlineStr">
        <is>
          <t>Cosrx The Hyaluronic Acid 3 Serum Moisturizing 20g</t>
        </is>
      </c>
      <c r="C6355" t="inlineStr">
        <is>
          <t>Hyaluronic Acid Serum</t>
        </is>
      </c>
      <c r="D6355" t="inlineStr">
        <is>
          <t>Cosrx</t>
        </is>
      </c>
      <c r="E6355" t="n">
        <v>11.79</v>
      </c>
      <c r="F6355" t="n">
        <v>1</v>
      </c>
      <c r="G6355" t="n">
        <v>104</v>
      </c>
      <c r="H6355" s="5">
        <f>HYPERLINK("https://api.qogita.com/variants/link/8809598454668/", "View Product")</f>
        <v/>
      </c>
    </row>
    <row r="6356">
      <c r="A6356" t="inlineStr">
        <is>
          <t>8809598455559</t>
        </is>
      </c>
      <c r="B6356" t="inlineStr">
        <is>
          <t>Cosrx Advanced Snail 92 All In One Cream - 50 Ml</t>
        </is>
      </c>
      <c r="C6356" t="inlineStr">
        <is>
          <t>Face Cream</t>
        </is>
      </c>
      <c r="D6356" t="inlineStr">
        <is>
          <t>Cosrx</t>
        </is>
      </c>
      <c r="E6356" t="n">
        <v>10.9</v>
      </c>
      <c r="F6356" t="n">
        <v>1</v>
      </c>
      <c r="G6356" t="n">
        <v>8</v>
      </c>
      <c r="H6356" s="5">
        <f>HYPERLINK("https://api.qogita.com/variants/link/8809598455559/", "View Product")</f>
        <v/>
      </c>
    </row>
    <row r="6357">
      <c r="A6357" t="inlineStr">
        <is>
          <t>8809598455733</t>
        </is>
      </c>
      <c r="B6357" t="inlineStr">
        <is>
          <t>Cosrx Clear Fit Master Patch - Acne Treatment</t>
        </is>
      </c>
      <c r="C6357" t="inlineStr">
        <is>
          <t>Pimple &amp; Blackhead Treatments</t>
        </is>
      </c>
      <c r="D6357" t="inlineStr">
        <is>
          <t>Cosrx</t>
        </is>
      </c>
      <c r="E6357" t="n">
        <v>3.66</v>
      </c>
      <c r="F6357" t="n">
        <v>1</v>
      </c>
      <c r="G6357" t="n">
        <v>18</v>
      </c>
      <c r="H6357" s="5">
        <f>HYPERLINK("https://api.qogita.com/variants/link/8809598455733/", "View Product")</f>
        <v/>
      </c>
    </row>
    <row r="6358">
      <c r="A6358" t="inlineStr">
        <is>
          <t>8809611861268</t>
        </is>
      </c>
      <c r="B6358" t="inlineStr">
        <is>
          <t>LAKA Soul Vegan Lip Balm 3.9g</t>
        </is>
      </c>
      <c r="C6358" t="inlineStr">
        <is>
          <t>Lip Balm</t>
        </is>
      </c>
      <c r="D6358" t="inlineStr">
        <is>
          <t>Laka</t>
        </is>
      </c>
      <c r="E6358" t="n">
        <v>11.07</v>
      </c>
      <c r="F6358" t="n">
        <v>1</v>
      </c>
      <c r="G6358" t="n">
        <v>3</v>
      </c>
      <c r="H6358" s="5">
        <f>HYPERLINK("https://api.qogita.com/variants/link/8809611861268/", "View Product")</f>
        <v/>
      </c>
    </row>
    <row r="6359">
      <c r="A6359" t="inlineStr">
        <is>
          <t>8809625240301</t>
        </is>
      </c>
      <c r="B6359" t="inlineStr">
        <is>
          <t>ROMAND Juicy Lasting Tint Syrup Coating Lip Tint 09 Litchi Coral</t>
        </is>
      </c>
      <c r="C6359" t="inlineStr">
        <is>
          <t>Lip Gloss</t>
        </is>
      </c>
      <c r="D6359" t="inlineStr">
        <is>
          <t>Romand</t>
        </is>
      </c>
      <c r="E6359" t="n">
        <v>8.19</v>
      </c>
      <c r="F6359" t="n">
        <v>1</v>
      </c>
      <c r="G6359" t="n">
        <v>4</v>
      </c>
      <c r="H6359" s="5">
        <f>HYPERLINK("https://api.qogita.com/variants/link/8809625240301/", "View Product")</f>
        <v/>
      </c>
    </row>
    <row r="6360">
      <c r="A6360" t="inlineStr">
        <is>
          <t>8809625241322</t>
        </is>
      </c>
      <c r="B6360" t="inlineStr">
        <is>
          <t>Rom&amp;Nd Glasting Water Tint For Lips 02 Red Drop 4g</t>
        </is>
      </c>
      <c r="C6360" t="inlineStr">
        <is>
          <t>Lip Gloss</t>
        </is>
      </c>
      <c r="D6360" t="inlineStr">
        <is>
          <t>Rom&amp;Nd</t>
        </is>
      </c>
      <c r="E6360" t="n">
        <v>8.82</v>
      </c>
      <c r="F6360" t="n">
        <v>1</v>
      </c>
      <c r="G6360" t="n">
        <v>2</v>
      </c>
      <c r="H6360" s="5">
        <f>HYPERLINK("https://api.qogita.com/variants/link/8809625241322/", "View Product")</f>
        <v/>
      </c>
    </row>
    <row r="6361">
      <c r="A6361" t="inlineStr">
        <is>
          <t>8809625242275</t>
        </is>
      </c>
      <c r="B6361" t="inlineStr">
        <is>
          <t>Rom&amp;Nd Zero Velvet Tint Lip Tint 16 Burny Nude 5.5g</t>
        </is>
      </c>
      <c r="C6361" t="inlineStr">
        <is>
          <t>Lipstick</t>
        </is>
      </c>
      <c r="D6361" t="inlineStr">
        <is>
          <t>Rom&amp;Nd</t>
        </is>
      </c>
      <c r="E6361" t="n">
        <v>10.8</v>
      </c>
      <c r="F6361" t="n">
        <v>1</v>
      </c>
      <c r="G6361" t="n">
        <v>4</v>
      </c>
      <c r="H6361" s="5">
        <f>HYPERLINK("https://api.qogita.com/variants/link/8809625242275/", "View Product")</f>
        <v/>
      </c>
    </row>
    <row r="6362">
      <c r="A6362" t="inlineStr">
        <is>
          <t>8809625242930</t>
        </is>
      </c>
      <c r="B6362" t="inlineStr">
        <is>
          <t>Rom&amp;Nd See Through Veillighter 02 Moonkissed Veil - 5.5g</t>
        </is>
      </c>
      <c r="C6362" t="inlineStr">
        <is>
          <t>Highlighter</t>
        </is>
      </c>
      <c r="D6362" t="inlineStr">
        <is>
          <t>Rom&amp;Nd</t>
        </is>
      </c>
      <c r="E6362" t="n">
        <v>7.45</v>
      </c>
      <c r="F6362" t="n">
        <v>1</v>
      </c>
      <c r="G6362" t="n">
        <v>3</v>
      </c>
      <c r="H6362" s="5">
        <f>HYPERLINK("https://api.qogita.com/variants/link/8809625242930/", "View Product")</f>
        <v/>
      </c>
    </row>
    <row r="6363">
      <c r="A6363" t="inlineStr">
        <is>
          <t>8809625244187</t>
        </is>
      </c>
      <c r="B6363" t="inlineStr">
        <is>
          <t>Rom&amp;Nd Dewy-Full Water Tint 05 Taffy 5g - A Hydrating Lip Tint For A Dewy Finish</t>
        </is>
      </c>
      <c r="C6363" t="inlineStr">
        <is>
          <t>Lip Gloss</t>
        </is>
      </c>
      <c r="D6363" t="inlineStr">
        <is>
          <t>Rom&amp;Nd</t>
        </is>
      </c>
      <c r="E6363" t="n">
        <v>8.19</v>
      </c>
      <c r="F6363" t="n">
        <v>1</v>
      </c>
      <c r="G6363" t="n">
        <v>4</v>
      </c>
      <c r="H6363" s="5">
        <f>HYPERLINK("https://api.qogita.com/variants/link/8809625244187/", "View Product")</f>
        <v/>
      </c>
    </row>
    <row r="6364">
      <c r="A6364" t="inlineStr">
        <is>
          <t>8809625244453</t>
        </is>
      </c>
      <c r="B6364" t="inlineStr">
        <is>
          <t>Rom&amp;Nd Blur Fudge Tint Lip Tint 01 Pomeloco 5g</t>
        </is>
      </c>
      <c r="C6364" t="inlineStr">
        <is>
          <t>Lipstick</t>
        </is>
      </c>
      <c r="D6364" t="inlineStr">
        <is>
          <t>Rom&amp;Nd</t>
        </is>
      </c>
      <c r="E6364" t="n">
        <v>8.19</v>
      </c>
      <c r="F6364" t="n">
        <v>1</v>
      </c>
      <c r="G6364" t="n">
        <v>3</v>
      </c>
      <c r="H6364" s="5">
        <f>HYPERLINK("https://api.qogita.com/variants/link/8809625244453/", "View Product")</f>
        <v/>
      </c>
    </row>
    <row r="6365">
      <c r="A6365" t="inlineStr">
        <is>
          <t>8809625244521</t>
        </is>
      </c>
      <c r="B6365" t="inlineStr">
        <is>
          <t>Rom&amp;Nd Blur Fudge Tint Lip Tint 08 Currant Jam 5g</t>
        </is>
      </c>
      <c r="C6365" t="inlineStr">
        <is>
          <t>Lipstick</t>
        </is>
      </c>
      <c r="D6365" t="inlineStr">
        <is>
          <t>Rom&amp;Nd</t>
        </is>
      </c>
      <c r="E6365" t="n">
        <v>8.19</v>
      </c>
      <c r="F6365" t="n">
        <v>1</v>
      </c>
      <c r="G6365" t="n">
        <v>4</v>
      </c>
      <c r="H6365" s="5">
        <f>HYPERLINK("https://api.qogita.com/variants/link/8809625244521/", "View Product")</f>
        <v/>
      </c>
    </row>
    <row r="6366">
      <c r="A6366" t="inlineStr">
        <is>
          <t>8809625244781</t>
        </is>
      </c>
      <c r="B6366" t="inlineStr">
        <is>
          <t>Rom&amp;Nd Nu Zero Cushion Concealing Foundation In Cushion 02 Pure 21 15g</t>
        </is>
      </c>
      <c r="C6366" t="inlineStr">
        <is>
          <t>Foundation</t>
        </is>
      </c>
      <c r="D6366" t="inlineStr">
        <is>
          <t>Rom&amp;Nd</t>
        </is>
      </c>
      <c r="E6366" t="n">
        <v>16.37</v>
      </c>
      <c r="F6366" t="n">
        <v>1</v>
      </c>
      <c r="G6366" t="n">
        <v>3</v>
      </c>
      <c r="H6366" s="5">
        <f>HYPERLINK("https://api.qogita.com/variants/link/8809625244781/", "View Product")</f>
        <v/>
      </c>
    </row>
    <row r="6367">
      <c r="A6367" t="inlineStr">
        <is>
          <t>8809626562921</t>
        </is>
      </c>
      <c r="B6367" t="inlineStr">
        <is>
          <t>Celimax Baking Soda Deep Pore Foam Cleansing 150ml</t>
        </is>
      </c>
      <c r="C6367" t="inlineStr">
        <is>
          <t>Cleansing Foam</t>
        </is>
      </c>
      <c r="D6367" t="inlineStr">
        <is>
          <t>Celimax</t>
        </is>
      </c>
      <c r="E6367" t="n">
        <v>7.36</v>
      </c>
      <c r="F6367" t="n">
        <v>1</v>
      </c>
      <c r="G6367" t="n">
        <v>5</v>
      </c>
      <c r="H6367" s="5">
        <f>HYPERLINK("https://api.qogita.com/variants/link/8809626562921/", "View Product")</f>
        <v/>
      </c>
    </row>
    <row r="6368">
      <c r="A6368" t="inlineStr">
        <is>
          <t>8809626566431</t>
        </is>
      </c>
      <c r="B6368" t="inlineStr">
        <is>
          <t>Isntree Hyaluronic Acid Water Essence - Hyaluronic Acid Serum</t>
        </is>
      </c>
      <c r="C6368" t="inlineStr">
        <is>
          <t>Hyaluronic Acid Serum</t>
        </is>
      </c>
      <c r="D6368" t="inlineStr">
        <is>
          <t>Isntree</t>
        </is>
      </c>
      <c r="E6368" t="n">
        <v>16.17</v>
      </c>
      <c r="F6368" t="n">
        <v>1</v>
      </c>
      <c r="G6368" t="n">
        <v>10</v>
      </c>
      <c r="H6368" s="5">
        <f>HYPERLINK("https://api.qogita.com/variants/link/8809626566431/", "View Product")</f>
        <v/>
      </c>
    </row>
    <row r="6369">
      <c r="A6369" t="inlineStr">
        <is>
          <t>8809640734687</t>
        </is>
      </c>
      <c r="B6369" t="inlineStr">
        <is>
          <t>Anua Heartleaf Pore Control Cleansing Oil 200ml</t>
        </is>
      </c>
      <c r="C6369" t="inlineStr">
        <is>
          <t>Cleansing Oil</t>
        </is>
      </c>
      <c r="D6369" t="inlineStr">
        <is>
          <t>Anua</t>
        </is>
      </c>
      <c r="E6369" t="n">
        <v>14.69</v>
      </c>
      <c r="F6369" t="n">
        <v>1</v>
      </c>
      <c r="G6369" t="n">
        <v>6</v>
      </c>
      <c r="H6369" s="5">
        <f>HYPERLINK("https://api.qogita.com/variants/link/8809640734687/", "View Product")</f>
        <v/>
      </c>
    </row>
    <row r="6370">
      <c r="A6370" t="inlineStr">
        <is>
          <t>8809640735820</t>
        </is>
      </c>
      <c r="B6370" t="inlineStr">
        <is>
          <t>Anua Niacinamide 10 Txa 4 Dark Spot Removing Serum - 30 Ml</t>
        </is>
      </c>
      <c r="C6370" t="inlineStr">
        <is>
          <t>Vitamin Serum</t>
        </is>
      </c>
      <c r="D6370" t="inlineStr">
        <is>
          <t>Anua</t>
        </is>
      </c>
      <c r="E6370" t="n">
        <v>21.09</v>
      </c>
      <c r="F6370" t="n">
        <v>1</v>
      </c>
      <c r="G6370" t="n">
        <v>5</v>
      </c>
      <c r="H6370" s="5">
        <f>HYPERLINK("https://api.qogita.com/variants/link/8809640735820/", "View Product")</f>
        <v/>
      </c>
    </row>
    <row r="6371">
      <c r="A6371" t="inlineStr">
        <is>
          <t>8809640736100</t>
        </is>
      </c>
      <c r="B6371" t="inlineStr">
        <is>
          <t>Anua 8 Hyaluronic Acid Hydrating Gentle Foaming Cleanser - 150ml</t>
        </is>
      </c>
      <c r="C6371" t="inlineStr">
        <is>
          <t>Cleansing Foam</t>
        </is>
      </c>
      <c r="D6371" t="inlineStr">
        <is>
          <t>Anua</t>
        </is>
      </c>
      <c r="E6371" t="n">
        <v>12.4</v>
      </c>
      <c r="F6371" t="n">
        <v>1</v>
      </c>
      <c r="G6371" t="n">
        <v>7</v>
      </c>
      <c r="H6371" s="5">
        <f>HYPERLINK("https://api.qogita.com/variants/link/8809640736100/", "View Product")</f>
        <v/>
      </c>
    </row>
    <row r="6372">
      <c r="A6372" t="inlineStr">
        <is>
          <t>8809642712645</t>
        </is>
      </c>
      <c r="B6372" t="inlineStr">
        <is>
          <t>Dr. Jart+ Clearing Solution Sheet Facial Mask 5 Count - Pack of 5</t>
        </is>
      </c>
      <c r="C6372" t="inlineStr">
        <is>
          <t>Sheet Mask</t>
        </is>
      </c>
      <c r="D6372" t="inlineStr">
        <is>
          <t>Dr. Jart</t>
        </is>
      </c>
      <c r="E6372" t="n">
        <v>20.21</v>
      </c>
      <c r="F6372" t="n">
        <v>1</v>
      </c>
      <c r="G6372" t="n">
        <v>10</v>
      </c>
      <c r="H6372" s="5">
        <f>HYPERLINK("https://api.qogita.com/variants/link/8809642712645/", "View Product")</f>
        <v/>
      </c>
    </row>
    <row r="6373">
      <c r="A6373" t="inlineStr">
        <is>
          <t>8809642712652</t>
        </is>
      </c>
      <c r="B6373" t="inlineStr">
        <is>
          <t>Dr. Jart+ Brightening Solution Sheet Mask Korean Face Mask</t>
        </is>
      </c>
      <c r="C6373" t="inlineStr">
        <is>
          <t>Sheet Mask</t>
        </is>
      </c>
      <c r="D6373" t="inlineStr">
        <is>
          <t>Dr. Jart</t>
        </is>
      </c>
      <c r="E6373" t="n">
        <v>21.43</v>
      </c>
      <c r="F6373" t="n">
        <v>1</v>
      </c>
      <c r="G6373" t="n">
        <v>5</v>
      </c>
      <c r="H6373" s="5">
        <f>HYPERLINK("https://api.qogita.com/variants/link/8809642712652/", "View Product")</f>
        <v/>
      </c>
    </row>
    <row r="6374">
      <c r="A6374" t="inlineStr">
        <is>
          <t>8809642712928</t>
        </is>
      </c>
      <c r="B6374" t="inlineStr">
        <is>
          <t>Dr. Jart+ Ctrl A Teatreement Soothing Spot Unisex 0.5 oz</t>
        </is>
      </c>
      <c r="C6374" t="inlineStr">
        <is>
          <t>Pimple &amp; Blackhead Treatments</t>
        </is>
      </c>
      <c r="D6374" t="inlineStr">
        <is>
          <t>Dr. Jart</t>
        </is>
      </c>
      <c r="E6374" t="n">
        <v>18.19</v>
      </c>
      <c r="F6374" t="n">
        <v>1</v>
      </c>
      <c r="G6374" t="n">
        <v>24</v>
      </c>
      <c r="H6374" s="5">
        <f>HYPERLINK("https://api.qogita.com/variants/link/8809642712928/", "View Product")</f>
        <v/>
      </c>
    </row>
    <row r="6375">
      <c r="A6375" t="inlineStr">
        <is>
          <t>8809643523455</t>
        </is>
      </c>
      <c r="B6375" t="inlineStr">
        <is>
          <t>MISSHA Vita C Plus Spot Correction Concentrate Ampoule 50g/0.52 fl.oz. - Concentrated Ampoule</t>
        </is>
      </c>
      <c r="C6375" t="inlineStr">
        <is>
          <t>Vitamin Serum</t>
        </is>
      </c>
      <c r="D6375" t="inlineStr">
        <is>
          <t>Missha</t>
        </is>
      </c>
      <c r="E6375" t="n">
        <v>17.74</v>
      </c>
      <c r="F6375" t="n">
        <v>1</v>
      </c>
      <c r="G6375" t="n">
        <v>12</v>
      </c>
      <c r="H6375" s="5">
        <f>HYPERLINK("https://api.qogita.com/variants/link/8809643523455/", "View Product")</f>
        <v/>
      </c>
    </row>
    <row r="6376">
      <c r="A6376" t="inlineStr">
        <is>
          <t>8809643532358</t>
        </is>
      </c>
      <c r="B6376" t="inlineStr">
        <is>
          <t>Missha Dare Body Love Begins Moisturizing Body Lotion</t>
        </is>
      </c>
      <c r="C6376" t="inlineStr">
        <is>
          <t>Body Lotion</t>
        </is>
      </c>
      <c r="D6376" t="inlineStr">
        <is>
          <t>Missha</t>
        </is>
      </c>
      <c r="E6376" t="n">
        <v>12.67</v>
      </c>
      <c r="F6376" t="n">
        <v>1</v>
      </c>
      <c r="G6376" t="n">
        <v>2</v>
      </c>
      <c r="H6376" s="5">
        <f>HYPERLINK("https://api.qogita.com/variants/link/8809643532358/", "View Product")</f>
        <v/>
      </c>
    </row>
    <row r="6377">
      <c r="A6377" t="inlineStr">
        <is>
          <t>8809643546546</t>
        </is>
      </c>
      <c r="B6377" t="inlineStr">
        <is>
          <t>Dare Body Hand Cream</t>
        </is>
      </c>
      <c r="C6377" t="inlineStr">
        <is>
          <t>Hand Cream</t>
        </is>
      </c>
      <c r="D6377" t="inlineStr">
        <is>
          <t>Missha</t>
        </is>
      </c>
      <c r="E6377" t="n">
        <v>4.08</v>
      </c>
      <c r="F6377" t="n">
        <v>1</v>
      </c>
      <c r="G6377" t="n">
        <v>2</v>
      </c>
      <c r="H6377" s="5">
        <f>HYPERLINK("https://api.qogita.com/variants/link/8809643546546/", "View Product")</f>
        <v/>
      </c>
    </row>
    <row r="6378">
      <c r="A6378" t="inlineStr">
        <is>
          <t>8809643546720</t>
        </is>
      </c>
      <c r="B6378" t="inlineStr">
        <is>
          <t>Missha Super Off Cleansing Oil Blackhead Off 305ml</t>
        </is>
      </c>
      <c r="C6378" t="inlineStr">
        <is>
          <t>Cleansing Oil</t>
        </is>
      </c>
      <c r="D6378" t="inlineStr">
        <is>
          <t>Missha</t>
        </is>
      </c>
      <c r="E6378" t="n">
        <v>19.69</v>
      </c>
      <c r="F6378" t="n">
        <v>1</v>
      </c>
      <c r="G6378" t="n">
        <v>3</v>
      </c>
      <c r="H6378" s="5">
        <f>HYPERLINK("https://api.qogita.com/variants/link/8809643546720/", "View Product")</f>
        <v/>
      </c>
    </row>
    <row r="6379">
      <c r="A6379" t="inlineStr">
        <is>
          <t>8809643546737</t>
        </is>
      </c>
      <c r="B6379" t="inlineStr">
        <is>
          <t>MISSHA Super Off Cleansing Oil Dryness Off</t>
        </is>
      </c>
      <c r="C6379" t="inlineStr">
        <is>
          <t>Cleansing Oil</t>
        </is>
      </c>
      <c r="D6379" t="inlineStr">
        <is>
          <t>Missha</t>
        </is>
      </c>
      <c r="E6379" t="n">
        <v>17.89</v>
      </c>
      <c r="F6379" t="n">
        <v>1</v>
      </c>
      <c r="G6379" t="n">
        <v>6</v>
      </c>
      <c r="H6379" s="5">
        <f>HYPERLINK("https://api.qogita.com/variants/link/8809643546737/", "View Product")</f>
        <v/>
      </c>
    </row>
    <row r="6380">
      <c r="A6380" t="inlineStr">
        <is>
          <t>8809647390091</t>
        </is>
      </c>
      <c r="B6380" t="inlineStr">
        <is>
          <t>Some By Mi Aha.Bha.Pha Miracle Acne Clear Foam - 100ml</t>
        </is>
      </c>
      <c r="C6380" t="inlineStr">
        <is>
          <t>Cleansing Foam</t>
        </is>
      </c>
      <c r="D6380" t="inlineStr">
        <is>
          <t>Some By Mi</t>
        </is>
      </c>
      <c r="E6380" t="n">
        <v>9.4</v>
      </c>
      <c r="F6380" t="n">
        <v>1</v>
      </c>
      <c r="G6380" t="n">
        <v>3</v>
      </c>
      <c r="H6380" s="5">
        <f>HYPERLINK("https://api.qogita.com/variants/link/8809647390091/", "View Product")</f>
        <v/>
      </c>
    </row>
    <row r="6381">
      <c r="A6381" t="inlineStr">
        <is>
          <t>8809647390497</t>
        </is>
      </c>
      <c r="B6381" t="inlineStr">
        <is>
          <t>Some By Mi Snail Truecica Miracle Repair Low pH Gel Cleanser 3.38oz 100ml</t>
        </is>
      </c>
      <c r="C6381" t="inlineStr">
        <is>
          <t>Cleansing Gel</t>
        </is>
      </c>
      <c r="D6381" t="inlineStr">
        <is>
          <t>Some By Mi</t>
        </is>
      </c>
      <c r="E6381" t="n">
        <v>12.95</v>
      </c>
      <c r="F6381" t="n">
        <v>1</v>
      </c>
      <c r="G6381" t="n">
        <v>3</v>
      </c>
      <c r="H6381" s="5">
        <f>HYPERLINK("https://api.qogita.com/variants/link/8809647390497/", "View Product")</f>
        <v/>
      </c>
    </row>
    <row r="6382">
      <c r="A6382" t="inlineStr">
        <is>
          <t>8809647391388</t>
        </is>
      </c>
      <c r="B6382" t="inlineStr">
        <is>
          <t>Some By Mi Super Matcha Pore Clean Cleansing Gel 100ml</t>
        </is>
      </c>
      <c r="C6382" t="inlineStr">
        <is>
          <t>Cleansing Gel</t>
        </is>
      </c>
      <c r="D6382" t="inlineStr">
        <is>
          <t>Some By Mi</t>
        </is>
      </c>
      <c r="E6382" t="n">
        <v>12.01</v>
      </c>
      <c r="F6382" t="n">
        <v>1</v>
      </c>
      <c r="G6382" t="n">
        <v>2</v>
      </c>
      <c r="H6382" s="5">
        <f>HYPERLINK("https://api.qogita.com/variants/link/8809647391388/", "View Product")</f>
        <v/>
      </c>
    </row>
    <row r="6383">
      <c r="A6383" t="inlineStr">
        <is>
          <t>8809647392743</t>
        </is>
      </c>
      <c r="B6383" t="inlineStr">
        <is>
          <t>SOME BY MI Beta-Panthenol Gel Cleanser 4.05Oz 120ml - Rebuilding Skin Barrier with Beta-Sitosterol and D-Panthenol for Damaged Skin - Mild Daily Cleanser and pH Balance - Facial Skin Care</t>
        </is>
      </c>
      <c r="C6383" t="inlineStr">
        <is>
          <t>Cleansing Gel</t>
        </is>
      </c>
      <c r="D6383" t="inlineStr">
        <is>
          <t>Some By Mi</t>
        </is>
      </c>
      <c r="E6383" t="n">
        <v>14.75</v>
      </c>
      <c r="F6383" t="n">
        <v>1</v>
      </c>
      <c r="G6383" t="n">
        <v>5</v>
      </c>
      <c r="H6383" s="5">
        <f>HYPERLINK("https://api.qogita.com/variants/link/8809647392743/", "View Product")</f>
        <v/>
      </c>
    </row>
    <row r="6384">
      <c r="A6384" t="inlineStr">
        <is>
          <t>8809647392866</t>
        </is>
      </c>
      <c r="B6384" t="inlineStr">
        <is>
          <t>[SOMEBYMI] V10 Hyaluronic Acid Antioxidant Sunscreen 40g SPF50+ PA+++</t>
        </is>
      </c>
      <c r="C6384" t="inlineStr">
        <is>
          <t>Face Sun Protection</t>
        </is>
      </c>
      <c r="D6384" t="inlineStr">
        <is>
          <t>Some By Mi</t>
        </is>
      </c>
      <c r="E6384" t="n">
        <v>15.65</v>
      </c>
      <c r="F6384" t="n">
        <v>1</v>
      </c>
      <c r="G6384" t="n">
        <v>5</v>
      </c>
      <c r="H6384" s="5">
        <f>HYPERLINK("https://api.qogita.com/variants/link/8809647392866/", "View Product")</f>
        <v/>
      </c>
    </row>
    <row r="6385">
      <c r="A6385" t="inlineStr">
        <is>
          <t>8809647394167</t>
        </is>
      </c>
      <c r="B6385" t="inlineStr">
        <is>
          <t>Somebymi Lacto Soya Sebum &amp; Blackhead Cleansing Oil 200ml</t>
        </is>
      </c>
      <c r="C6385" t="inlineStr">
        <is>
          <t>Cleansing Oil</t>
        </is>
      </c>
      <c r="D6385" t="inlineStr">
        <is>
          <t>Some By Mi</t>
        </is>
      </c>
      <c r="E6385" t="n">
        <v>17.2</v>
      </c>
      <c r="F6385" t="n">
        <v>1</v>
      </c>
      <c r="G6385" t="n">
        <v>2</v>
      </c>
      <c r="H6385" s="5">
        <f>HYPERLINK("https://api.qogita.com/variants/link/8809647394167/", "View Product")</f>
        <v/>
      </c>
    </row>
    <row r="6386">
      <c r="A6386" t="inlineStr">
        <is>
          <t>8809653233351</t>
        </is>
      </c>
      <c r="B6386" t="inlineStr">
        <is>
          <t>Hanskin Vitamin C Glow Mask Clay Mask with Ascorbic Acid for Glowing Skin</t>
        </is>
      </c>
      <c r="C6386" t="inlineStr">
        <is>
          <t>Glow Mask</t>
        </is>
      </c>
      <c r="D6386" t="inlineStr">
        <is>
          <t>Hanskin</t>
        </is>
      </c>
      <c r="E6386" t="n">
        <v>22.38</v>
      </c>
      <c r="F6386" t="n">
        <v>1</v>
      </c>
      <c r="G6386" t="n">
        <v>7</v>
      </c>
      <c r="H6386" s="5">
        <f>HYPERLINK("https://api.qogita.com/variants/link/8809653233351/", "View Product")</f>
        <v/>
      </c>
    </row>
    <row r="6387">
      <c r="A6387" t="inlineStr">
        <is>
          <t>8809653238943</t>
        </is>
      </c>
      <c r="B6387" t="inlineStr">
        <is>
          <t>HANSKIN Vitamin A Glow Retinol Serum</t>
        </is>
      </c>
      <c r="C6387" t="inlineStr">
        <is>
          <t>Vitamin Serum</t>
        </is>
      </c>
      <c r="D6387" t="inlineStr">
        <is>
          <t>Hanskin</t>
        </is>
      </c>
      <c r="E6387" t="n">
        <v>23.32</v>
      </c>
      <c r="F6387" t="n">
        <v>1</v>
      </c>
      <c r="G6387" t="n">
        <v>12</v>
      </c>
      <c r="H6387" s="5">
        <f>HYPERLINK("https://api.qogita.com/variants/link/8809653238943/", "View Product")</f>
        <v/>
      </c>
    </row>
    <row r="6388">
      <c r="A6388" t="inlineStr">
        <is>
          <t>8809657118012</t>
        </is>
      </c>
      <c r="B6388" t="inlineStr">
        <is>
          <t>Abib Heartleaf Calming Toner Skin Booster 7.1 Fl Oz 210ml for Sensitive Skin</t>
        </is>
      </c>
      <c r="C6388" t="inlineStr">
        <is>
          <t>Facial Spray</t>
        </is>
      </c>
      <c r="D6388" t="inlineStr">
        <is>
          <t>Abib</t>
        </is>
      </c>
      <c r="E6388" t="n">
        <v>13.15</v>
      </c>
      <c r="F6388" t="n">
        <v>1</v>
      </c>
      <c r="G6388" t="n">
        <v>5</v>
      </c>
      <c r="H6388" s="5">
        <f>HYPERLINK("https://api.qogita.com/variants/link/8809657118012/", "View Product")</f>
        <v/>
      </c>
    </row>
    <row r="6389">
      <c r="A6389" t="inlineStr">
        <is>
          <t>8809663751562</t>
        </is>
      </c>
      <c r="B6389" t="inlineStr">
        <is>
          <t>Mizon Collagen Power Lifting Emulsion 120 Ml With 54 Marine Collagen</t>
        </is>
      </c>
      <c r="C6389" t="inlineStr">
        <is>
          <t>Collagen Serum</t>
        </is>
      </c>
      <c r="D6389" t="inlineStr">
        <is>
          <t>Mizon</t>
        </is>
      </c>
      <c r="E6389" t="n">
        <v>21.77</v>
      </c>
      <c r="F6389" t="n">
        <v>1</v>
      </c>
      <c r="G6389" t="n">
        <v>9</v>
      </c>
      <c r="H6389" s="5">
        <f>HYPERLINK("https://api.qogita.com/variants/link/8809663751562/", "View Product")</f>
        <v/>
      </c>
    </row>
    <row r="6390">
      <c r="A6390" t="inlineStr">
        <is>
          <t>8809663751616</t>
        </is>
      </c>
      <c r="B6390" t="inlineStr">
        <is>
          <t>[Mizon] Snail Repair Intensive Essence 100ml - Skin Regeneration and Intensive Moisturizing Treatment</t>
        </is>
      </c>
      <c r="C6390" t="inlineStr">
        <is>
          <t>Hydrating Serum</t>
        </is>
      </c>
      <c r="D6390" t="inlineStr">
        <is>
          <t>Mizon</t>
        </is>
      </c>
      <c r="E6390" t="n">
        <v>25.94</v>
      </c>
      <c r="F6390" t="n">
        <v>1</v>
      </c>
      <c r="G6390" t="n">
        <v>9</v>
      </c>
      <c r="H6390" s="5">
        <f>HYPERLINK("https://api.qogita.com/variants/link/8809663751616/", "View Product")</f>
        <v/>
      </c>
    </row>
    <row r="6391">
      <c r="A6391" t="inlineStr">
        <is>
          <t>8809663751678</t>
        </is>
      </c>
      <c r="B6391" t="inlineStr">
        <is>
          <t>Mizon All In One Snail Repair Cream - Regenerating Skin Cream With Snail Secretion Filtrate 92</t>
        </is>
      </c>
      <c r="C6391" t="inlineStr">
        <is>
          <t>Face Cream</t>
        </is>
      </c>
      <c r="D6391" t="inlineStr">
        <is>
          <t>Mizon</t>
        </is>
      </c>
      <c r="E6391" t="n">
        <v>36.32</v>
      </c>
      <c r="F6391" t="n">
        <v>1</v>
      </c>
      <c r="G6391" t="n">
        <v>5</v>
      </c>
      <c r="H6391" s="5">
        <f>HYPERLINK("https://api.qogita.com/variants/link/8809663751678/", "View Product")</f>
        <v/>
      </c>
    </row>
    <row r="6392">
      <c r="A6392" t="inlineStr">
        <is>
          <t>8809663751708</t>
        </is>
      </c>
      <c r="B6392" t="inlineStr">
        <is>
          <t>Mizon Snail Repair Eye Cream 15ml Dark Circle Treatment Skin Regeneration</t>
        </is>
      </c>
      <c r="C6392" t="inlineStr">
        <is>
          <t>Eye Cream</t>
        </is>
      </c>
      <c r="D6392" t="inlineStr">
        <is>
          <t>Mizon</t>
        </is>
      </c>
      <c r="E6392" t="n">
        <v>11.39</v>
      </c>
      <c r="F6392" t="n">
        <v>1</v>
      </c>
      <c r="G6392" t="n">
        <v>14</v>
      </c>
      <c r="H6392" s="5">
        <f>HYPERLINK("https://api.qogita.com/variants/link/8809663751708/", "View Product")</f>
        <v/>
      </c>
    </row>
    <row r="6393">
      <c r="A6393" t="inlineStr">
        <is>
          <t>8809663751968</t>
        </is>
      </c>
      <c r="B6393" t="inlineStr">
        <is>
          <t>MIZON Orga-Real Barrier Cream Moisturizer 100ml 3.38 FL oz</t>
        </is>
      </c>
      <c r="C6393" t="inlineStr">
        <is>
          <t>Face Cream</t>
        </is>
      </c>
      <c r="D6393" t="inlineStr">
        <is>
          <t>Mizon</t>
        </is>
      </c>
      <c r="E6393" t="n">
        <v>13.15</v>
      </c>
      <c r="F6393" t="n">
        <v>1</v>
      </c>
      <c r="G6393" t="n">
        <v>2</v>
      </c>
      <c r="H6393" s="5">
        <f>HYPERLINK("https://api.qogita.com/variants/link/8809663751968/", "View Product")</f>
        <v/>
      </c>
    </row>
    <row r="6394">
      <c r="A6394" t="inlineStr">
        <is>
          <t>8809663752576</t>
        </is>
      </c>
      <c r="B6394" t="inlineStr">
        <is>
          <t>Mizon Apple Smoothie Peeling Gel 120 Ml</t>
        </is>
      </c>
      <c r="C6394" t="inlineStr">
        <is>
          <t>Facial Scrub &amp; Peeling</t>
        </is>
      </c>
      <c r="D6394" t="inlineStr">
        <is>
          <t>Mizon</t>
        </is>
      </c>
      <c r="E6394" t="n">
        <v>12.85</v>
      </c>
      <c r="F6394" t="n">
        <v>1</v>
      </c>
      <c r="G6394" t="n">
        <v>10</v>
      </c>
      <c r="H6394" s="5">
        <f>HYPERLINK("https://api.qogita.com/variants/link/8809663752576/", "View Product")</f>
        <v/>
      </c>
    </row>
    <row r="6395">
      <c r="A6395" t="inlineStr">
        <is>
          <t>8809663753399</t>
        </is>
      </c>
      <c r="B6395" t="inlineStr">
        <is>
          <t>Mizon Good Bye Blemish Pink Spot 19ml Korean Skincare - Night Anti</t>
        </is>
      </c>
      <c r="C6395" t="inlineStr">
        <is>
          <t>Pimple &amp; Blackhead Treatments</t>
        </is>
      </c>
      <c r="D6395" t="inlineStr">
        <is>
          <t>Mizon</t>
        </is>
      </c>
      <c r="E6395" t="n">
        <v>17.27</v>
      </c>
      <c r="F6395" t="n">
        <v>1</v>
      </c>
      <c r="G6395" t="n">
        <v>11</v>
      </c>
      <c r="H6395" s="5">
        <f>HYPERLINK("https://api.qogita.com/variants/link/8809663753399/", "View Product")</f>
        <v/>
      </c>
    </row>
    <row r="6396">
      <c r="A6396" t="inlineStr">
        <is>
          <t>8809663753498</t>
        </is>
      </c>
      <c r="B6396" t="inlineStr">
        <is>
          <t>MIZON Good Bye Blemish Soothing Gel Cream for Troubled and Sensitive Skin 55ml 1.85 fl oz</t>
        </is>
      </c>
      <c r="C6396" t="inlineStr">
        <is>
          <t>Pimple &amp; Blackhead Treatments</t>
        </is>
      </c>
      <c r="D6396" t="inlineStr">
        <is>
          <t>Mizon</t>
        </is>
      </c>
      <c r="E6396" t="n">
        <v>19.86</v>
      </c>
      <c r="F6396" t="n">
        <v>1</v>
      </c>
      <c r="G6396" t="n">
        <v>2</v>
      </c>
      <c r="H6396" s="5">
        <f>HYPERLINK("https://api.qogita.com/variants/link/8809663753498/", "View Product")</f>
        <v/>
      </c>
    </row>
    <row r="6397">
      <c r="A6397" t="inlineStr">
        <is>
          <t>8809663754273</t>
        </is>
      </c>
      <c r="B6397" t="inlineStr">
        <is>
          <t>MIZON Phyto Plump Collagen Eye Gel Patch Wrinkle Care for Dark Circles Vegan 30 Pairs</t>
        </is>
      </c>
      <c r="C6397" t="inlineStr">
        <is>
          <t>Eye Masks &amp; Eye Pads</t>
        </is>
      </c>
      <c r="D6397" t="inlineStr">
        <is>
          <t>Mizon</t>
        </is>
      </c>
      <c r="E6397" t="n">
        <v>23.72</v>
      </c>
      <c r="F6397" t="n">
        <v>1</v>
      </c>
      <c r="G6397" t="n">
        <v>14</v>
      </c>
      <c r="H6397" s="5">
        <f>HYPERLINK("https://api.qogita.com/variants/link/8809663754273/", "View Product")</f>
        <v/>
      </c>
    </row>
    <row r="6398">
      <c r="A6398" t="inlineStr">
        <is>
          <t>8809663754617</t>
        </is>
      </c>
      <c r="B6398" t="inlineStr">
        <is>
          <t>Mizon Collagen Power Lifting Cream 75ml</t>
        </is>
      </c>
      <c r="C6398" t="inlineStr">
        <is>
          <t>Anti-Aging Facial Care</t>
        </is>
      </c>
      <c r="D6398" t="inlineStr">
        <is>
          <t>Mizon</t>
        </is>
      </c>
      <c r="E6398" t="n">
        <v>23.52</v>
      </c>
      <c r="F6398" t="n">
        <v>1</v>
      </c>
      <c r="G6398" t="n">
        <v>18</v>
      </c>
      <c r="H6398" s="5">
        <f>HYPERLINK("https://api.qogita.com/variants/link/8809663754617/", "View Product")</f>
        <v/>
      </c>
    </row>
    <row r="6399">
      <c r="A6399" t="inlineStr">
        <is>
          <t>8809663756895</t>
        </is>
      </c>
      <c r="B6399" t="inlineStr">
        <is>
          <t>Mizon Snail Repair Intensive Bb Cream 50 G - Colour: #23</t>
        </is>
      </c>
      <c r="C6399" t="inlineStr">
        <is>
          <t>Tinted Day Cream</t>
        </is>
      </c>
      <c r="D6399" t="inlineStr">
        <is>
          <t>Mizon</t>
        </is>
      </c>
      <c r="E6399" t="n">
        <v>17.27</v>
      </c>
      <c r="F6399" t="n">
        <v>1</v>
      </c>
      <c r="G6399" t="n">
        <v>25</v>
      </c>
      <c r="H6399" s="5">
        <f>HYPERLINK("https://api.qogita.com/variants/link/8809663756895/", "View Product")</f>
        <v/>
      </c>
    </row>
    <row r="6400">
      <c r="A6400" t="inlineStr">
        <is>
          <t>8809670681036</t>
        </is>
      </c>
      <c r="B6400" t="inlineStr">
        <is>
          <t>Mary&amp;May Vitamin B, C, E Cleansing Balm - Gentle Makeup Remover</t>
        </is>
      </c>
      <c r="C6400" t="inlineStr">
        <is>
          <t>Makeup Remover</t>
        </is>
      </c>
      <c r="D6400" t="inlineStr">
        <is>
          <t>Mary&amp;May</t>
        </is>
      </c>
      <c r="E6400" t="n">
        <v>16.21</v>
      </c>
      <c r="F6400" t="n">
        <v>1</v>
      </c>
      <c r="G6400" t="n">
        <v>3</v>
      </c>
      <c r="H6400" s="5">
        <f>HYPERLINK("https://api.qogita.com/variants/link/8809670681036/", "View Product")</f>
        <v/>
      </c>
    </row>
    <row r="6401">
      <c r="A6401" t="inlineStr">
        <is>
          <t>8809670682026</t>
        </is>
      </c>
      <c r="B6401" t="inlineStr">
        <is>
          <t>Vegan Blackberry Complex Multi Sun Balm SPF 50+ PA++++ 0.35 oz 10g</t>
        </is>
      </c>
      <c r="C6401" t="inlineStr">
        <is>
          <t>Body Sun Protection</t>
        </is>
      </c>
      <c r="D6401" t="inlineStr">
        <is>
          <t>Mary &amp; May</t>
        </is>
      </c>
      <c r="E6401" t="n">
        <v>20.26</v>
      </c>
      <c r="F6401" t="n">
        <v>1</v>
      </c>
      <c r="G6401" t="n">
        <v>14</v>
      </c>
      <c r="H6401" s="5">
        <f>HYPERLINK("https://api.qogita.com/variants/link/8809670682026/", "View Product")</f>
        <v/>
      </c>
    </row>
    <row r="6402">
      <c r="A6402" t="inlineStr">
        <is>
          <t>8809679696451</t>
        </is>
      </c>
      <c r="B6402" t="inlineStr">
        <is>
          <t>Tirtir Mask Fit Red Cushion Foundation Full Coverage Weightless Skin Fit</t>
        </is>
      </c>
      <c r="C6402" t="inlineStr">
        <is>
          <t>Foundation</t>
        </is>
      </c>
      <c r="D6402" t="inlineStr">
        <is>
          <t>Tirtir</t>
        </is>
      </c>
      <c r="E6402" t="n">
        <v>21.35</v>
      </c>
      <c r="F6402" t="n">
        <v>1</v>
      </c>
      <c r="G6402" t="n">
        <v>2</v>
      </c>
      <c r="H6402" s="5">
        <f>HYPERLINK("https://api.qogita.com/variants/link/8809679696451/", "View Product")</f>
        <v/>
      </c>
    </row>
    <row r="6403">
      <c r="A6403" t="inlineStr">
        <is>
          <t>8809686383566</t>
        </is>
      </c>
      <c r="B6403" t="inlineStr">
        <is>
          <t>Isntree Hyaluronic Acid Aqua Gel Cream - Intensive Moisturizing 100ml</t>
        </is>
      </c>
      <c r="C6403" t="inlineStr">
        <is>
          <t>Face Cream</t>
        </is>
      </c>
      <c r="D6403" t="inlineStr">
        <is>
          <t>Isntree</t>
        </is>
      </c>
      <c r="E6403" t="n">
        <v>13.48</v>
      </c>
      <c r="F6403" t="n">
        <v>1</v>
      </c>
      <c r="G6403" t="n">
        <v>2</v>
      </c>
      <c r="H6403" s="5">
        <f>HYPERLINK("https://api.qogita.com/variants/link/8809686383566/", "View Product")</f>
        <v/>
      </c>
    </row>
    <row r="6404">
      <c r="A6404" t="inlineStr">
        <is>
          <t>8809686384204</t>
        </is>
      </c>
      <c r="B6404" t="inlineStr">
        <is>
          <t>ISNTREE Hyaluronic Acid Watery Sun Gel 50ml 1.69 fl.oz 50+ PA++++</t>
        </is>
      </c>
      <c r="C6404" t="inlineStr">
        <is>
          <t>Face Sun Protection</t>
        </is>
      </c>
      <c r="D6404" t="inlineStr">
        <is>
          <t>Isntree</t>
        </is>
      </c>
      <c r="E6404" t="n">
        <v>13.41</v>
      </c>
      <c r="F6404" t="n">
        <v>1</v>
      </c>
      <c r="G6404" t="n">
        <v>5</v>
      </c>
      <c r="H6404" s="5">
        <f>HYPERLINK("https://api.qogita.com/variants/link/8809686384204/", "View Product")</f>
        <v/>
      </c>
    </row>
    <row r="6405">
      <c r="A6405" t="inlineStr">
        <is>
          <t>8809686389391</t>
        </is>
      </c>
      <c r="B6405" t="inlineStr">
        <is>
          <t>ISNTREE Hyaluronic Acid Low pH Cleansing Foam 5.07 fl.oz - Creamy Texture for Dry and Neutral Skin</t>
        </is>
      </c>
      <c r="C6405" t="inlineStr">
        <is>
          <t>Cleansing Foam</t>
        </is>
      </c>
      <c r="D6405" t="inlineStr">
        <is>
          <t>Isntree</t>
        </is>
      </c>
      <c r="E6405" t="n">
        <v>13.75</v>
      </c>
      <c r="F6405" t="n">
        <v>1</v>
      </c>
      <c r="G6405" t="n">
        <v>5</v>
      </c>
      <c r="H6405" s="5">
        <f>HYPERLINK("https://api.qogita.com/variants/link/8809686389391/", "View Product")</f>
        <v/>
      </c>
    </row>
    <row r="6406">
      <c r="A6406" t="inlineStr">
        <is>
          <t>8809689370198</t>
        </is>
      </c>
      <c r="B6406" t="inlineStr">
        <is>
          <t>Mizon Snail Hand And Foot Cream 100 Ml</t>
        </is>
      </c>
      <c r="C6406" t="inlineStr">
        <is>
          <t>Hand &amp; Foot Care</t>
        </is>
      </c>
      <c r="D6406" t="inlineStr">
        <is>
          <t>Mizon</t>
        </is>
      </c>
      <c r="E6406" t="n">
        <v>6.36</v>
      </c>
      <c r="F6406" t="n">
        <v>1</v>
      </c>
      <c r="G6406" t="n">
        <v>14</v>
      </c>
      <c r="H6406" s="5">
        <f>HYPERLINK("https://api.qogita.com/variants/link/8809689370198/", "View Product")</f>
        <v/>
      </c>
    </row>
    <row r="6407">
      <c r="A6407" t="inlineStr">
        <is>
          <t>8809695678431</t>
        </is>
      </c>
      <c r="B6407" t="inlineStr">
        <is>
          <t>VT Cosmetics Reedle Shot 300 Booster for Skin Improvement 50ml</t>
        </is>
      </c>
      <c r="C6407" t="inlineStr">
        <is>
          <t>Ampoules</t>
        </is>
      </c>
      <c r="D6407" t="inlineStr">
        <is>
          <t>Vt Cosmetics</t>
        </is>
      </c>
      <c r="E6407" t="n">
        <v>25.83</v>
      </c>
      <c r="F6407" t="n">
        <v>1</v>
      </c>
      <c r="G6407" t="n">
        <v>15</v>
      </c>
      <c r="H6407" s="5">
        <f>HYPERLINK("https://api.qogita.com/variants/link/8809695678431/", "View Product")</f>
        <v/>
      </c>
    </row>
    <row r="6408">
      <c r="A6408" t="inlineStr">
        <is>
          <t>8809704190596</t>
        </is>
      </c>
      <c r="B6408" t="inlineStr">
        <is>
          <t>Asian Centella Serum</t>
        </is>
      </c>
      <c r="C6408" t="inlineStr">
        <is>
          <t>Hydrating Serum</t>
        </is>
      </c>
      <c r="D6408" t="inlineStr">
        <is>
          <t>One Thing</t>
        </is>
      </c>
      <c r="E6408" t="n">
        <v>20.51</v>
      </c>
      <c r="F6408" t="n">
        <v>1</v>
      </c>
      <c r="G6408" t="n">
        <v>2</v>
      </c>
      <c r="H6408" s="5">
        <f>HYPERLINK("https://api.qogita.com/variants/link/8809704190596/", "View Product")</f>
        <v/>
      </c>
    </row>
    <row r="6409">
      <c r="A6409" t="inlineStr">
        <is>
          <t>8809724476151</t>
        </is>
      </c>
      <c r="B6409" t="inlineStr">
        <is>
          <t>DrJart Cicapair Tiger Grass Color Correcting Treatment 50ml Face Cream</t>
        </is>
      </c>
      <c r="C6409" t="inlineStr">
        <is>
          <t>Tinted Day Cream</t>
        </is>
      </c>
      <c r="D6409" t="inlineStr">
        <is>
          <t>Dr. Jart</t>
        </is>
      </c>
      <c r="E6409" t="n">
        <v>30.36</v>
      </c>
      <c r="F6409" t="n">
        <v>1</v>
      </c>
      <c r="G6409" t="n">
        <v>3</v>
      </c>
      <c r="H6409" s="5">
        <f>HYPERLINK("https://api.qogita.com/variants/link/8809724476151/", "View Product")</f>
        <v/>
      </c>
    </row>
    <row r="6410">
      <c r="A6410" t="inlineStr">
        <is>
          <t>8809724476953</t>
        </is>
      </c>
      <c r="B6410" t="inlineStr">
        <is>
          <t>Every Sun Day Waterproof 30ml</t>
        </is>
      </c>
      <c r="C6410" t="inlineStr">
        <is>
          <t>Body Sun Protection</t>
        </is>
      </c>
      <c r="D6410" t="inlineStr">
        <is>
          <t>Dr. Jart</t>
        </is>
      </c>
      <c r="E6410" t="n">
        <v>18.79</v>
      </c>
      <c r="F6410" t="n">
        <v>1</v>
      </c>
      <c r="G6410" t="n">
        <v>24</v>
      </c>
      <c r="H6410" s="5">
        <f>HYPERLINK("https://api.qogita.com/variants/link/8809724476953/", "View Product")</f>
        <v/>
      </c>
    </row>
    <row r="6411">
      <c r="A6411" t="inlineStr">
        <is>
          <t>8809738310960</t>
        </is>
      </c>
      <c r="B6411" t="inlineStr">
        <is>
          <t>Beauty Of Joseon Ginseng Essence Water 150 Ml</t>
        </is>
      </c>
      <c r="C6411" t="inlineStr">
        <is>
          <t>Facial Spray</t>
        </is>
      </c>
      <c r="D6411" t="inlineStr">
        <is>
          <t>Beauty Of Joseon</t>
        </is>
      </c>
      <c r="E6411" t="n">
        <v>12.13</v>
      </c>
      <c r="F6411" t="n">
        <v>1</v>
      </c>
      <c r="G6411" t="n">
        <v>7</v>
      </c>
      <c r="H6411" s="5">
        <f>HYPERLINK("https://api.qogita.com/variants/link/8809738310960/", "View Product")</f>
        <v/>
      </c>
    </row>
    <row r="6412">
      <c r="A6412" t="inlineStr">
        <is>
          <t>8809738312872</t>
        </is>
      </c>
      <c r="B6412" t="inlineStr">
        <is>
          <t>Beauty of Joseon Apricot Blossom Peeling Gel 100ml</t>
        </is>
      </c>
      <c r="C6412" t="inlineStr">
        <is>
          <t>Facial Scrub &amp; Peeling</t>
        </is>
      </c>
      <c r="D6412" t="inlineStr">
        <is>
          <t>Beauty Of Joseon</t>
        </is>
      </c>
      <c r="E6412" t="n">
        <v>8.880000000000001</v>
      </c>
      <c r="F6412" t="n">
        <v>1</v>
      </c>
      <c r="G6412" t="n">
        <v>26</v>
      </c>
      <c r="H6412" s="5">
        <f>HYPERLINK("https://api.qogita.com/variants/link/8809738312872/", "View Product")</f>
        <v/>
      </c>
    </row>
    <row r="6413">
      <c r="A6413" t="inlineStr">
        <is>
          <t>8809738315897</t>
        </is>
      </c>
      <c r="B6413" t="inlineStr">
        <is>
          <t>Beauty Of Joseon Hanbang Serum Discovery Set Miniature Serum 4x10ml</t>
        </is>
      </c>
      <c r="C6413" t="inlineStr">
        <is>
          <t>Facial Care Sets</t>
        </is>
      </c>
      <c r="D6413" t="inlineStr">
        <is>
          <t>Beauty Of Joseon</t>
        </is>
      </c>
      <c r="E6413" t="n">
        <v>18.15</v>
      </c>
      <c r="F6413" t="n">
        <v>1</v>
      </c>
      <c r="G6413" t="n">
        <v>22</v>
      </c>
      <c r="H6413" s="5">
        <f>HYPERLINK("https://api.qogita.com/variants/link/8809738315897/", "View Product")</f>
        <v/>
      </c>
    </row>
    <row r="6414">
      <c r="A6414" t="inlineStr">
        <is>
          <t>8809738316139</t>
        </is>
      </c>
      <c r="B6414" t="inlineStr">
        <is>
          <t>Beauty Of Joseon Revive Serum Ginseng And Snail Mucin 30 Ml</t>
        </is>
      </c>
      <c r="C6414" t="inlineStr">
        <is>
          <t>Anti-Aging Serum</t>
        </is>
      </c>
      <c r="D6414" t="inlineStr">
        <is>
          <t>Beauty Of Joseon</t>
        </is>
      </c>
      <c r="E6414" t="n">
        <v>11.8</v>
      </c>
      <c r="F6414" t="n">
        <v>1</v>
      </c>
      <c r="G6414" t="n">
        <v>15</v>
      </c>
      <c r="H6414" s="5">
        <f>HYPERLINK("https://api.qogita.com/variants/link/8809738316139/", "View Product")</f>
        <v/>
      </c>
    </row>
    <row r="6415">
      <c r="A6415" t="inlineStr">
        <is>
          <t>8809738316986</t>
        </is>
      </c>
      <c r="B6415" t="inlineStr">
        <is>
          <t>Beauty Of Joseon Red Bean Refreshing Pore Mask 140 Ml</t>
        </is>
      </c>
      <c r="C6415" t="inlineStr">
        <is>
          <t>Purifying Mask</t>
        </is>
      </c>
      <c r="D6415" t="inlineStr">
        <is>
          <t>Beauty Of Joseon</t>
        </is>
      </c>
      <c r="E6415" t="n">
        <v>13.75</v>
      </c>
      <c r="F6415" t="n">
        <v>1</v>
      </c>
      <c r="G6415" t="n">
        <v>5</v>
      </c>
      <c r="H6415" s="5">
        <f>HYPERLINK("https://api.qogita.com/variants/link/8809738316986/", "View Product")</f>
        <v/>
      </c>
    </row>
    <row r="6416">
      <c r="A6416" t="inlineStr">
        <is>
          <t>8809738316993</t>
        </is>
      </c>
      <c r="B6416" t="inlineStr">
        <is>
          <t>Beauty Of Joseon Red Bean Water Gel Lightweight Cream-Gel For Face 100ml</t>
        </is>
      </c>
      <c r="C6416" t="inlineStr">
        <is>
          <t>Face Cream</t>
        </is>
      </c>
      <c r="D6416" t="inlineStr">
        <is>
          <t>Beauty Of Joseon</t>
        </is>
      </c>
      <c r="E6416" t="n">
        <v>12.84</v>
      </c>
      <c r="F6416" t="n">
        <v>1</v>
      </c>
      <c r="G6416" t="n">
        <v>11</v>
      </c>
      <c r="H6416" s="5">
        <f>HYPERLINK("https://api.qogita.com/variants/link/8809738316993/", "View Product")</f>
        <v/>
      </c>
    </row>
    <row r="6417">
      <c r="A6417" t="inlineStr">
        <is>
          <t>8809743540635</t>
        </is>
      </c>
      <c r="B6417" t="inlineStr">
        <is>
          <t>Mizon Snail Wrinkle Care Sleeping Pack 80g</t>
        </is>
      </c>
      <c r="C6417" t="inlineStr">
        <is>
          <t>Anti-Aging Mask</t>
        </is>
      </c>
      <c r="D6417" t="inlineStr">
        <is>
          <t>Mizon</t>
        </is>
      </c>
      <c r="E6417" t="n">
        <v>20.39</v>
      </c>
      <c r="F6417" t="n">
        <v>1</v>
      </c>
      <c r="G6417" t="n">
        <v>7</v>
      </c>
      <c r="H6417" s="5">
        <f>HYPERLINK("https://api.qogita.com/variants/link/8809743540635/", "View Product")</f>
        <v/>
      </c>
    </row>
    <row r="6418">
      <c r="A6418" t="inlineStr">
        <is>
          <t>8809744060101</t>
        </is>
      </c>
      <c r="B6418" t="inlineStr">
        <is>
          <t>Masil 8 Seconds Salon Hair Mask - Smoothing Hair Mask</t>
        </is>
      </c>
      <c r="C6418" t="inlineStr">
        <is>
          <t>Hair Masks</t>
        </is>
      </c>
      <c r="D6418" t="inlineStr">
        <is>
          <t>Masil</t>
        </is>
      </c>
      <c r="E6418" t="n">
        <v>14.04</v>
      </c>
      <c r="F6418" t="n">
        <v>1</v>
      </c>
      <c r="G6418" t="n">
        <v>9</v>
      </c>
      <c r="H6418" s="5">
        <f>HYPERLINK("https://api.qogita.com/variants/link/8809744060101/", "View Product")</f>
        <v/>
      </c>
    </row>
    <row r="6419">
      <c r="A6419" t="inlineStr">
        <is>
          <t>8809744060231</t>
        </is>
      </c>
      <c r="B6419" t="inlineStr">
        <is>
          <t>Masil Scalp Spa 12 Cleansing Lotion 4 X 15 Ml</t>
        </is>
      </c>
      <c r="C6419" t="inlineStr">
        <is>
          <t>Scalp Care</t>
        </is>
      </c>
      <c r="D6419" t="inlineStr">
        <is>
          <t>Masil</t>
        </is>
      </c>
      <c r="E6419" t="n">
        <v>8.77</v>
      </c>
      <c r="F6419" t="n">
        <v>1</v>
      </c>
      <c r="G6419" t="n">
        <v>4</v>
      </c>
      <c r="H6419" s="5">
        <f>HYPERLINK("https://api.qogita.com/variants/link/8809744060231/", "View Product")</f>
        <v/>
      </c>
    </row>
    <row r="6420">
      <c r="A6420" t="inlineStr">
        <is>
          <t>8809744060293</t>
        </is>
      </c>
      <c r="B6420" t="inlineStr">
        <is>
          <t>Masil 8 Seconds Salon Supermild Hair Mask 8 ml</t>
        </is>
      </c>
      <c r="C6420" t="inlineStr">
        <is>
          <t>Hair Masks</t>
        </is>
      </c>
      <c r="D6420" t="inlineStr">
        <is>
          <t>Masil</t>
        </is>
      </c>
      <c r="E6420" t="n">
        <v>13.88</v>
      </c>
      <c r="F6420" t="n">
        <v>1</v>
      </c>
      <c r="G6420" t="n">
        <v>5</v>
      </c>
      <c r="H6420" s="5">
        <f>HYPERLINK("https://api.qogita.com/variants/link/8809744060293/", "View Product")</f>
        <v/>
      </c>
    </row>
    <row r="6421">
      <c r="A6421" t="inlineStr">
        <is>
          <t>8809744060392</t>
        </is>
      </c>
      <c r="B6421" t="inlineStr">
        <is>
          <t>Masil Color Radiance Shampoo With Probiotics For Colored Hair</t>
        </is>
      </c>
      <c r="C6421" t="inlineStr">
        <is>
          <t>Shampoo</t>
        </is>
      </c>
      <c r="D6421" t="inlineStr">
        <is>
          <t>Masil</t>
        </is>
      </c>
      <c r="E6421" t="n">
        <v>10.65</v>
      </c>
      <c r="F6421" t="n">
        <v>1</v>
      </c>
      <c r="G6421" t="n">
        <v>2</v>
      </c>
      <c r="H6421" s="5">
        <f>HYPERLINK("https://api.qogita.com/variants/link/8809744060392/", "View Product")</f>
        <v/>
      </c>
    </row>
    <row r="6422">
      <c r="A6422" t="inlineStr">
        <is>
          <t>8809744061405</t>
        </is>
      </c>
      <c r="B6422" t="inlineStr">
        <is>
          <t>MASIL 8 Seconds Salon Super Mild Soothing and Regenerating Hair Mask - 50 ml, Suitable for Sensitive Scalps</t>
        </is>
      </c>
      <c r="C6422" t="inlineStr">
        <is>
          <t>Hair Masks</t>
        </is>
      </c>
      <c r="D6422" t="inlineStr">
        <is>
          <t>Masil</t>
        </is>
      </c>
      <c r="E6422" t="n">
        <v>5.6</v>
      </c>
      <c r="F6422" t="n">
        <v>1</v>
      </c>
      <c r="G6422" t="n">
        <v>6</v>
      </c>
      <c r="H6422" s="5">
        <f>HYPERLINK("https://api.qogita.com/variants/link/8809744061405/", "View Product")</f>
        <v/>
      </c>
    </row>
    <row r="6423">
      <c r="A6423" t="inlineStr">
        <is>
          <t>8809744061559</t>
        </is>
      </c>
      <c r="B6423" t="inlineStr">
        <is>
          <t>Masil Cherry Blossom 7 Perfumed Shower Gel - Ceramide Infused</t>
        </is>
      </c>
      <c r="C6423" t="inlineStr">
        <is>
          <t>Shower Gel</t>
        </is>
      </c>
      <c r="D6423" t="inlineStr">
        <is>
          <t>Masil</t>
        </is>
      </c>
      <c r="E6423" t="n">
        <v>13.49</v>
      </c>
      <c r="F6423" t="n">
        <v>1</v>
      </c>
      <c r="G6423" t="n">
        <v>4</v>
      </c>
      <c r="H6423" s="5">
        <f>HYPERLINK("https://api.qogita.com/variants/link/8809744061559/", "View Product")</f>
        <v/>
      </c>
    </row>
    <row r="6424">
      <c r="A6424" t="inlineStr">
        <is>
          <t>8809744061566</t>
        </is>
      </c>
      <c r="B6424" t="inlineStr">
        <is>
          <t>Masil Perfumed Shower Gel Sweet Love 7 Ceramide Perfume Shower Gel</t>
        </is>
      </c>
      <c r="C6424" t="inlineStr">
        <is>
          <t>Shower Gel</t>
        </is>
      </c>
      <c r="D6424" t="inlineStr">
        <is>
          <t>Masil</t>
        </is>
      </c>
      <c r="E6424" t="n">
        <v>10.19</v>
      </c>
      <c r="F6424" t="n">
        <v>1</v>
      </c>
      <c r="G6424" t="n">
        <v>9</v>
      </c>
      <c r="H6424" s="5">
        <f>HYPERLINK("https://api.qogita.com/variants/link/8809744061566/", "View Product")</f>
        <v/>
      </c>
    </row>
    <row r="6425">
      <c r="A6425" t="inlineStr">
        <is>
          <t>8809744061580</t>
        </is>
      </c>
      <c r="B6425" t="inlineStr">
        <is>
          <t>MASIL Sweet Flower Shower Gel 300 ml with Ceramide</t>
        </is>
      </c>
      <c r="C6425" t="inlineStr">
        <is>
          <t>Shower Gel</t>
        </is>
      </c>
      <c r="D6425" t="inlineStr">
        <is>
          <t>Masil</t>
        </is>
      </c>
      <c r="E6425" t="n">
        <v>10.19</v>
      </c>
      <c r="F6425" t="n">
        <v>1</v>
      </c>
      <c r="G6425" t="n">
        <v>5</v>
      </c>
      <c r="H6425" s="5">
        <f>HYPERLINK("https://api.qogita.com/variants/link/8809744061580/", "View Product")</f>
        <v/>
      </c>
    </row>
    <row r="6426">
      <c r="A6426" t="inlineStr">
        <is>
          <t>8809747928682</t>
        </is>
      </c>
      <c r="B6426" t="inlineStr">
        <is>
          <t>Missha Super Aqua Ultra Hyalron Toner Pads Moisturizing Facial Pads 90 Pieces</t>
        </is>
      </c>
      <c r="C6426" t="inlineStr">
        <is>
          <t>Facial Spray</t>
        </is>
      </c>
      <c r="D6426" t="inlineStr">
        <is>
          <t>Missha</t>
        </is>
      </c>
      <c r="E6426" t="n">
        <v>19.65</v>
      </c>
      <c r="F6426" t="n">
        <v>1</v>
      </c>
      <c r="G6426" t="n">
        <v>5</v>
      </c>
      <c r="H6426" s="5">
        <f>HYPERLINK("https://api.qogita.com/variants/link/8809747928682/", "View Product")</f>
        <v/>
      </c>
    </row>
    <row r="6427">
      <c r="A6427" t="inlineStr">
        <is>
          <t>8809747932238</t>
        </is>
      </c>
      <c r="B6427" t="inlineStr">
        <is>
          <t>The First Essence Enriched 5.07 fl oz 150ml</t>
        </is>
      </c>
      <c r="C6427" t="inlineStr">
        <is>
          <t>Hydrating Serum</t>
        </is>
      </c>
      <c r="D6427" t="inlineStr">
        <is>
          <t>Missha</t>
        </is>
      </c>
      <c r="E6427" t="n">
        <v>27.88</v>
      </c>
      <c r="F6427" t="n">
        <v>1</v>
      </c>
      <c r="G6427" t="n">
        <v>6</v>
      </c>
      <c r="H6427" s="5">
        <f>HYPERLINK("https://api.qogita.com/variants/link/8809747932238/", "View Product")</f>
        <v/>
      </c>
    </row>
    <row r="6428">
      <c r="A6428" t="inlineStr">
        <is>
          <t>8809747932382</t>
        </is>
      </c>
      <c r="B6428" t="inlineStr">
        <is>
          <t>MISSHA Artemisia Calming Essence Mist 120ml</t>
        </is>
      </c>
      <c r="C6428" t="inlineStr">
        <is>
          <t>Facial Spray</t>
        </is>
      </c>
      <c r="D6428" t="inlineStr">
        <is>
          <t>Missha</t>
        </is>
      </c>
      <c r="E6428" t="n">
        <v>20.54</v>
      </c>
      <c r="F6428" t="n">
        <v>1</v>
      </c>
      <c r="G6428" t="n">
        <v>6</v>
      </c>
      <c r="H6428" s="5">
        <f>HYPERLINK("https://api.qogita.com/variants/link/8809747932382/", "View Product")</f>
        <v/>
      </c>
    </row>
    <row r="6429">
      <c r="A6429" t="inlineStr">
        <is>
          <t>8809747932924</t>
        </is>
      </c>
      <c r="B6429" t="inlineStr">
        <is>
          <t>Missha High Coverage Makeup Spf 40 Stay Cushion - 15 G</t>
        </is>
      </c>
      <c r="C6429" t="inlineStr">
        <is>
          <t>Foundation</t>
        </is>
      </c>
      <c r="D6429" t="inlineStr">
        <is>
          <t>Missha</t>
        </is>
      </c>
      <c r="E6429" t="n">
        <v>17.74</v>
      </c>
      <c r="F6429" t="n">
        <v>1</v>
      </c>
      <c r="G6429" t="n">
        <v>5</v>
      </c>
      <c r="H6429" s="5">
        <f>HYPERLINK("https://api.qogita.com/variants/link/8809747932924/", "View Product")</f>
        <v/>
      </c>
    </row>
    <row r="6430">
      <c r="A6430" t="inlineStr">
        <is>
          <t>8809747941865</t>
        </is>
      </c>
      <c r="B6430" t="inlineStr">
        <is>
          <t>Chogongjin Geumsul Jin Essence 1.69 fl oz 50 ml</t>
        </is>
      </c>
      <c r="C6430" t="inlineStr">
        <is>
          <t>Hydrating Serum</t>
        </is>
      </c>
      <c r="D6430" t="inlineStr">
        <is>
          <t>Missha</t>
        </is>
      </c>
      <c r="E6430" t="n">
        <v>22.17</v>
      </c>
      <c r="F6430" t="n">
        <v>1</v>
      </c>
      <c r="G6430" t="n">
        <v>4</v>
      </c>
      <c r="H6430" s="5">
        <f>HYPERLINK("https://api.qogita.com/variants/link/8809747941865/", "View Product")</f>
        <v/>
      </c>
    </row>
    <row r="6431">
      <c r="A6431" t="inlineStr">
        <is>
          <t>8809747952021</t>
        </is>
      </c>
      <c r="B6431" t="inlineStr">
        <is>
          <t>Missha Premium Cica Aloe Soothing Gel 300 Ml</t>
        </is>
      </c>
      <c r="C6431" t="inlineStr">
        <is>
          <t>Face Cream</t>
        </is>
      </c>
      <c r="D6431" t="inlineStr">
        <is>
          <t>Missha</t>
        </is>
      </c>
      <c r="E6431" t="n">
        <v>5.17</v>
      </c>
      <c r="F6431" t="n">
        <v>1</v>
      </c>
      <c r="G6431" t="n">
        <v>9</v>
      </c>
      <c r="H6431" s="5">
        <f>HYPERLINK("https://api.qogita.com/variants/link/8809747952021/", "View Product")</f>
        <v/>
      </c>
    </row>
    <row r="6432">
      <c r="A6432" t="inlineStr">
        <is>
          <t>8809750460940</t>
        </is>
      </c>
      <c r="B6432" t="inlineStr">
        <is>
          <t>Abib Rice Probiotics Overnight Mask Barrier Jelly 80ml K-Cosmetics Night Mask</t>
        </is>
      </c>
      <c r="C6432" t="inlineStr">
        <is>
          <t>Hydrating Mask</t>
        </is>
      </c>
      <c r="D6432" t="inlineStr">
        <is>
          <t>Abib</t>
        </is>
      </c>
      <c r="E6432" t="n">
        <v>17.2</v>
      </c>
      <c r="F6432" t="n">
        <v>1</v>
      </c>
      <c r="G6432" t="n">
        <v>8</v>
      </c>
      <c r="H6432" s="5">
        <f>HYPERLINK("https://api.qogita.com/variants/link/8809750460940/", "View Product")</f>
        <v/>
      </c>
    </row>
    <row r="6433">
      <c r="A6433" t="inlineStr">
        <is>
          <t>8809750463705</t>
        </is>
      </c>
      <c r="B6433" t="inlineStr">
        <is>
          <t>Abib Abib Gummy Sheet Mask Madecassoside Sticker 27ml</t>
        </is>
      </c>
      <c r="C6433" t="inlineStr">
        <is>
          <t>Sheet Mask</t>
        </is>
      </c>
      <c r="D6433" t="inlineStr">
        <is>
          <t>Abib</t>
        </is>
      </c>
      <c r="E6433" t="n">
        <v>3.58</v>
      </c>
      <c r="F6433" t="n">
        <v>1</v>
      </c>
      <c r="G6433" t="n">
        <v>14</v>
      </c>
      <c r="H6433" s="5">
        <f>HYPERLINK("https://api.qogita.com/variants/link/8809750463705/", "View Product")</f>
        <v/>
      </c>
    </row>
    <row r="6434">
      <c r="A6434" t="inlineStr">
        <is>
          <t>8809759903127</t>
        </is>
      </c>
      <c r="B6434" t="inlineStr">
        <is>
          <t>BANILA CO Clean it Zero Pore Clarifying Foam Cleanser 150ml With Tri-Peel Acid and Natural Clay</t>
        </is>
      </c>
      <c r="C6434" t="inlineStr">
        <is>
          <t>Cleansing Foam</t>
        </is>
      </c>
      <c r="D6434" t="inlineStr">
        <is>
          <t>Banila Co</t>
        </is>
      </c>
      <c r="E6434" t="n">
        <v>11.46</v>
      </c>
      <c r="F6434" t="n">
        <v>1</v>
      </c>
      <c r="G6434" t="n">
        <v>8</v>
      </c>
      <c r="H6434" s="5">
        <f>HYPERLINK("https://api.qogita.com/variants/link/8809759903127/", "View Product")</f>
        <v/>
      </c>
    </row>
    <row r="6435">
      <c r="A6435" t="inlineStr">
        <is>
          <t>8809759903455</t>
        </is>
      </c>
      <c r="B6435" t="inlineStr">
        <is>
          <t>Banila Co Clean It Zero Brightening Peeling Gel 120ml</t>
        </is>
      </c>
      <c r="C6435" t="inlineStr">
        <is>
          <t>Facial Scrub &amp; Peeling</t>
        </is>
      </c>
      <c r="D6435" t="inlineStr">
        <is>
          <t>Banila Co</t>
        </is>
      </c>
      <c r="E6435" t="n">
        <v>13.18</v>
      </c>
      <c r="F6435" t="n">
        <v>1</v>
      </c>
      <c r="G6435" t="n">
        <v>4</v>
      </c>
      <c r="H6435" s="5">
        <f>HYPERLINK("https://api.qogita.com/variants/link/8809759903455/", "View Product")</f>
        <v/>
      </c>
    </row>
    <row r="6436">
      <c r="A6436" t="inlineStr">
        <is>
          <t>8809759908405</t>
        </is>
      </c>
      <c r="B6436" t="inlineStr">
        <is>
          <t>Banila Co Clean It Zero Pore Clarifying Cleansing Balm 100ml</t>
        </is>
      </c>
      <c r="C6436" t="inlineStr">
        <is>
          <t>Cleansing Cream</t>
        </is>
      </c>
      <c r="D6436" t="inlineStr">
        <is>
          <t>Banila Co</t>
        </is>
      </c>
      <c r="E6436" t="n">
        <v>18.55</v>
      </c>
      <c r="F6436" t="n">
        <v>1</v>
      </c>
      <c r="G6436" t="n">
        <v>3</v>
      </c>
      <c r="H6436" s="5">
        <f>HYPERLINK("https://api.qogita.com/variants/link/8809759908405/", "View Product")</f>
        <v/>
      </c>
    </row>
    <row r="6437">
      <c r="A6437" t="inlineStr">
        <is>
          <t>8809783322642</t>
        </is>
      </c>
      <c r="B6437" t="inlineStr">
        <is>
          <t>[ISNTREE] Onion Newpair Essence Toner 200ml - Free Gift</t>
        </is>
      </c>
      <c r="C6437" t="inlineStr">
        <is>
          <t>Facial Spray</t>
        </is>
      </c>
      <c r="D6437" t="inlineStr">
        <is>
          <t>Isntree</t>
        </is>
      </c>
      <c r="E6437" t="n">
        <v>15.56</v>
      </c>
      <c r="F6437" t="n">
        <v>1</v>
      </c>
      <c r="G6437" t="n">
        <v>5</v>
      </c>
      <c r="H6437" s="5">
        <f>HYPERLINK("https://api.qogita.com/variants/link/8809783322642/", "View Product")</f>
        <v/>
      </c>
    </row>
    <row r="6438">
      <c r="A6438" t="inlineStr">
        <is>
          <t>8809803540056</t>
        </is>
      </c>
      <c r="B6438" t="inlineStr">
        <is>
          <t>NEW Laneige Water Bank Blue Hyaluronic Emulsion for Combination to Oily Skin</t>
        </is>
      </c>
      <c r="C6438" t="inlineStr">
        <is>
          <t>Face Cream</t>
        </is>
      </c>
      <c r="D6438" t="inlineStr">
        <is>
          <t>Laneige</t>
        </is>
      </c>
      <c r="E6438" t="n">
        <v>37.46</v>
      </c>
      <c r="F6438" t="n">
        <v>1</v>
      </c>
      <c r="G6438" t="n">
        <v>44</v>
      </c>
      <c r="H6438" s="5">
        <f>HYPERLINK("https://api.qogita.com/variants/link/8809803540056/", "View Product")</f>
        <v/>
      </c>
    </row>
    <row r="6439">
      <c r="A6439" t="inlineStr">
        <is>
          <t>8809844993125</t>
        </is>
      </c>
      <c r="B6439" t="inlineStr">
        <is>
          <t>Dr Jart Ceramidin Moisturizing And Strengthening Face Mask 5 X 22 G</t>
        </is>
      </c>
      <c r="C6439" t="inlineStr">
        <is>
          <t>Sheet Mask</t>
        </is>
      </c>
      <c r="D6439" t="inlineStr">
        <is>
          <t>Dr. Jart</t>
        </is>
      </c>
      <c r="E6439" t="n">
        <v>22.41</v>
      </c>
      <c r="F6439" t="n">
        <v>1</v>
      </c>
      <c r="G6439" t="n">
        <v>5</v>
      </c>
      <c r="H6439" s="5">
        <f>HYPERLINK("https://api.qogita.com/variants/link/8809844993125/", "View Product")</f>
        <v/>
      </c>
    </row>
    <row r="6440">
      <c r="A6440" t="inlineStr">
        <is>
          <t>8809844995099</t>
        </is>
      </c>
      <c r="B6440" t="inlineStr">
        <is>
          <t>Dr. Jart+ Brightening And Toning Cream V7 Toning Light 50 Ml</t>
        </is>
      </c>
      <c r="C6440" t="inlineStr">
        <is>
          <t>Day Cream</t>
        </is>
      </c>
      <c r="D6440" t="inlineStr">
        <is>
          <t>Dr. Jart</t>
        </is>
      </c>
      <c r="E6440" t="n">
        <v>40.31</v>
      </c>
      <c r="F6440" t="n">
        <v>1</v>
      </c>
      <c r="G6440" t="n">
        <v>14</v>
      </c>
      <c r="H6440" s="5">
        <f>HYPERLINK("https://api.qogita.com/variants/link/8809844995099/", "View Product")</f>
        <v/>
      </c>
    </row>
    <row r="6441">
      <c r="A6441" t="inlineStr">
        <is>
          <t>8809844996454</t>
        </is>
      </c>
      <c r="B6441" t="inlineStr">
        <is>
          <t>Dr Jart Cicapair Intensive Soothing Repair Treatment Lotion 150ml</t>
        </is>
      </c>
      <c r="C6441" t="inlineStr">
        <is>
          <t>Face Cream</t>
        </is>
      </c>
      <c r="D6441" t="inlineStr">
        <is>
          <t>Dr. Jart</t>
        </is>
      </c>
      <c r="E6441" t="n">
        <v>28.32</v>
      </c>
      <c r="F6441" t="n">
        <v>1</v>
      </c>
      <c r="G6441" t="n">
        <v>5</v>
      </c>
      <c r="H6441" s="5">
        <f>HYPERLINK("https://api.qogita.com/variants/link/8809844996454/", "View Product")</f>
        <v/>
      </c>
    </row>
    <row r="6442">
      <c r="A6442" t="inlineStr">
        <is>
          <t>8809844996515</t>
        </is>
      </c>
      <c r="B6442" t="inlineStr">
        <is>
          <t>Dr. Jart+ Cicapair Intensive Soothing Repair Cream - 50 ml</t>
        </is>
      </c>
      <c r="C6442" t="inlineStr">
        <is>
          <t>Face Cream</t>
        </is>
      </c>
      <c r="D6442" t="inlineStr">
        <is>
          <t>Dr. Jart</t>
        </is>
      </c>
      <c r="E6442" t="n">
        <v>32.08</v>
      </c>
      <c r="F6442" t="n">
        <v>1</v>
      </c>
      <c r="G6442" t="n">
        <v>9</v>
      </c>
      <c r="H6442" s="5">
        <f>HYPERLINK("https://api.qogita.com/variants/link/8809844996515/", "View Product")</f>
        <v/>
      </c>
    </row>
    <row r="6443">
      <c r="A6443" t="inlineStr">
        <is>
          <t>8809844997802</t>
        </is>
      </c>
      <c r="B6443" t="inlineStr">
        <is>
          <t>Dr Jart Dermaupe Multifunctional Bb Cream Spf 40 Rejuvenating Beauty Balm 50 Ml</t>
        </is>
      </c>
      <c r="C6443" t="inlineStr">
        <is>
          <t>Face Dermacosmetics Sun Protection</t>
        </is>
      </c>
      <c r="D6443" t="inlineStr">
        <is>
          <t>Dr. Jart</t>
        </is>
      </c>
      <c r="E6443" t="n">
        <v>24.26</v>
      </c>
      <c r="F6443" t="n">
        <v>1</v>
      </c>
      <c r="G6443" t="n">
        <v>3</v>
      </c>
      <c r="H6443" s="5">
        <f>HYPERLINK("https://api.qogita.com/variants/link/8809844997802/", "View Product")</f>
        <v/>
      </c>
    </row>
    <row r="6444">
      <c r="A6444" t="inlineStr">
        <is>
          <t>8809875906477</t>
        </is>
      </c>
      <c r="B6444" t="inlineStr">
        <is>
          <t>Beauty Of Joseon Light On Serum Centella Vita C 30 Ml</t>
        </is>
      </c>
      <c r="C6444" t="inlineStr">
        <is>
          <t>Vitamin Serum</t>
        </is>
      </c>
      <c r="D6444" t="inlineStr">
        <is>
          <t>Beauty Of Joseon</t>
        </is>
      </c>
      <c r="E6444" t="n">
        <v>12.74</v>
      </c>
      <c r="F6444" t="n">
        <v>1</v>
      </c>
      <c r="G6444" t="n">
        <v>149</v>
      </c>
      <c r="H6444" s="5">
        <f>HYPERLINK("https://api.qogita.com/variants/link/8809875906477/", "View Product")</f>
        <v/>
      </c>
    </row>
    <row r="6445">
      <c r="A6445" t="inlineStr">
        <is>
          <t>8809883883135</t>
        </is>
      </c>
      <c r="B6445" t="inlineStr">
        <is>
          <t>Medicube Age-R Booster Gel 100ml</t>
        </is>
      </c>
      <c r="C6445" t="inlineStr">
        <is>
          <t>Anti-Aging Serum</t>
        </is>
      </c>
      <c r="D6445" t="inlineStr">
        <is>
          <t>Medicube</t>
        </is>
      </c>
      <c r="E6445" t="n">
        <v>17.63</v>
      </c>
      <c r="F6445" t="n">
        <v>1</v>
      </c>
      <c r="G6445" t="n">
        <v>4</v>
      </c>
      <c r="H6445" s="5">
        <f>HYPERLINK("https://api.qogita.com/variants/link/8809883883135/", "View Product")</f>
        <v/>
      </c>
    </row>
    <row r="6446">
      <c r="A6446" t="inlineStr">
        <is>
          <t>8809913830061</t>
        </is>
      </c>
      <c r="B6446" t="inlineStr">
        <is>
          <t>SKIN1004 Madagascar Centella Hyalu-Cica Water-Fit Sun Serum SPF50 Mini</t>
        </is>
      </c>
      <c r="C6446" t="inlineStr">
        <is>
          <t>Face Sun Protection</t>
        </is>
      </c>
      <c r="D6446" t="inlineStr">
        <is>
          <t>Skin1004</t>
        </is>
      </c>
      <c r="E6446" t="n">
        <v>7.27</v>
      </c>
      <c r="F6446" t="n">
        <v>1</v>
      </c>
      <c r="G6446" t="n">
        <v>38</v>
      </c>
      <c r="H6446" s="5">
        <f>HYPERLINK("https://api.qogita.com/variants/link/8809913830061/", "View Product")</f>
        <v/>
      </c>
    </row>
    <row r="6447">
      <c r="A6447" t="inlineStr">
        <is>
          <t>8809913830139</t>
        </is>
      </c>
      <c r="B6447" t="inlineStr">
        <is>
          <t>Hyalu-Cica First Ampoule - Skincare Serum &amp; Ampoules</t>
        </is>
      </c>
      <c r="C6447" t="inlineStr">
        <is>
          <t>Ampoules</t>
        </is>
      </c>
      <c r="D6447" t="inlineStr">
        <is>
          <t>‎- Unknown</t>
        </is>
      </c>
      <c r="E6447" t="n">
        <v>10.89</v>
      </c>
      <c r="F6447" t="n">
        <v>1</v>
      </c>
      <c r="G6447" t="n">
        <v>7</v>
      </c>
      <c r="H6447" s="5">
        <f>HYPERLINK("https://api.qogita.com/variants/link/8809913830139/", "View Product")</f>
        <v/>
      </c>
    </row>
    <row r="6448">
      <c r="A6448" t="inlineStr">
        <is>
          <t>8809913830207</t>
        </is>
      </c>
      <c r="B6448" t="inlineStr">
        <is>
          <t>Skin1004 Zombie Beauty Witch Pack - 120 Grams</t>
        </is>
      </c>
      <c r="C6448" t="inlineStr">
        <is>
          <t>Clay Mask</t>
        </is>
      </c>
      <c r="D6448" t="inlineStr">
        <is>
          <t>Skin1004</t>
        </is>
      </c>
      <c r="E6448" t="n">
        <v>9.880000000000001</v>
      </c>
      <c r="F6448" t="n">
        <v>1</v>
      </c>
      <c r="G6448" t="n">
        <v>9</v>
      </c>
      <c r="H6448" s="5">
        <f>HYPERLINK("https://api.qogita.com/variants/link/8809913830207/", "View Product")</f>
        <v/>
      </c>
    </row>
    <row r="6449">
      <c r="A6449" t="inlineStr">
        <is>
          <t>8809913830337</t>
        </is>
      </c>
      <c r="B6449" t="inlineStr">
        <is>
          <t>Skin1004 Madagascar Centella Tea-Trica Spot Cream - 20 Ml</t>
        </is>
      </c>
      <c r="C6449" t="inlineStr">
        <is>
          <t>Anti-Pigmentation Spot Cream</t>
        </is>
      </c>
      <c r="D6449" t="inlineStr">
        <is>
          <t>Skin1004</t>
        </is>
      </c>
      <c r="E6449" t="n">
        <v>18.03</v>
      </c>
      <c r="F6449" t="n">
        <v>1</v>
      </c>
      <c r="G6449" t="n">
        <v>8</v>
      </c>
      <c r="H6449" s="5">
        <f>HYPERLINK("https://api.qogita.com/variants/link/8809913830337/", "View Product")</f>
        <v/>
      </c>
    </row>
    <row r="6450">
      <c r="A6450" t="inlineStr">
        <is>
          <t>8809913831174</t>
        </is>
      </c>
      <c r="B6450" t="inlineStr">
        <is>
          <t>Skin1004 Madagascar Centella Quick Calming Pad 70 Pads</t>
        </is>
      </c>
      <c r="C6450" t="inlineStr">
        <is>
          <t>Makeup Remover</t>
        </is>
      </c>
      <c r="D6450" t="inlineStr">
        <is>
          <t>Skin1004</t>
        </is>
      </c>
      <c r="E6450" t="n">
        <v>14.73</v>
      </c>
      <c r="F6450" t="n">
        <v>1</v>
      </c>
      <c r="G6450" t="n">
        <v>21</v>
      </c>
      <c r="H6450" s="5">
        <f>HYPERLINK("https://api.qogita.com/variants/link/8809913831174/", "View Product")</f>
        <v/>
      </c>
    </row>
    <row r="6451">
      <c r="A6451" t="inlineStr">
        <is>
          <t>8809913831273</t>
        </is>
      </c>
      <c r="B6451" t="inlineStr">
        <is>
          <t>Skin1004 Madagascar Centella Probio-Cica Essence Toner 210ml</t>
        </is>
      </c>
      <c r="C6451" t="inlineStr">
        <is>
          <t>Facial Spray</t>
        </is>
      </c>
      <c r="D6451" t="inlineStr">
        <is>
          <t>Skin1004</t>
        </is>
      </c>
      <c r="E6451" t="n">
        <v>15.71</v>
      </c>
      <c r="F6451" t="n">
        <v>1</v>
      </c>
      <c r="G6451" t="n">
        <v>11</v>
      </c>
      <c r="H6451" s="5">
        <f>HYPERLINK("https://api.qogita.com/variants/link/8809913831273/", "View Product")</f>
        <v/>
      </c>
    </row>
    <row r="6452">
      <c r="A6452" t="inlineStr">
        <is>
          <t>8809913831297</t>
        </is>
      </c>
      <c r="B6452" t="inlineStr">
        <is>
          <t>Skin1004 Madagascar Centella Probio-Cica Enrich Cream 50ml</t>
        </is>
      </c>
      <c r="C6452" t="inlineStr">
        <is>
          <t>Face Cream</t>
        </is>
      </c>
      <c r="D6452" t="inlineStr">
        <is>
          <t>Skin1004</t>
        </is>
      </c>
      <c r="E6452" t="n">
        <v>23.73</v>
      </c>
      <c r="F6452" t="n">
        <v>1</v>
      </c>
      <c r="G6452" t="n">
        <v>5</v>
      </c>
      <c r="H6452" s="5">
        <f>HYPERLINK("https://api.qogita.com/variants/link/8809913831297/", "View Product")</f>
        <v/>
      </c>
    </row>
    <row r="6453">
      <c r="A6453" t="inlineStr">
        <is>
          <t>8809928133881</t>
        </is>
      </c>
      <c r="B6453" t="inlineStr">
        <is>
          <t>Tirtir Mask Fit Red Cushion - 18 G</t>
        </is>
      </c>
      <c r="C6453" t="inlineStr">
        <is>
          <t>Hydrating Mask</t>
        </is>
      </c>
      <c r="D6453" t="inlineStr">
        <is>
          <t>Tirtir</t>
        </is>
      </c>
      <c r="E6453" t="n">
        <v>21.35</v>
      </c>
      <c r="F6453" t="n">
        <v>1</v>
      </c>
      <c r="G6453" t="n">
        <v>5</v>
      </c>
      <c r="H6453" s="5">
        <f>HYPERLINK("https://api.qogita.com/variants/link/8809928133881/", "View Product")</f>
        <v/>
      </c>
    </row>
    <row r="6454">
      <c r="A6454" t="inlineStr">
        <is>
          <t>8809937361695</t>
        </is>
      </c>
      <c r="B6454" t="inlineStr">
        <is>
          <t>Biodance Pore Tightening Collagen Cream - 50ml</t>
        </is>
      </c>
      <c r="C6454" t="inlineStr">
        <is>
          <t>Face Cream</t>
        </is>
      </c>
      <c r="D6454" t="inlineStr">
        <is>
          <t>Biodance</t>
        </is>
      </c>
      <c r="E6454" t="n">
        <v>37.41</v>
      </c>
      <c r="F6454" t="n">
        <v>1</v>
      </c>
      <c r="G6454" t="n">
        <v>23</v>
      </c>
      <c r="H6454" s="5">
        <f>HYPERLINK("https://api.qogita.com/variants/link/8809937361695/", "View Product")</f>
        <v/>
      </c>
    </row>
    <row r="6455">
      <c r="A6455" t="inlineStr">
        <is>
          <t>8809968130147</t>
        </is>
      </c>
      <c r="B6455" t="inlineStr">
        <is>
          <t>Beauty of Joseon Jelloskin Massage Cream Moisturizing Face and Body Lotion for Relaxing Massage 200ml 6.76 fl. oz</t>
        </is>
      </c>
      <c r="C6455" t="inlineStr">
        <is>
          <t>Body Lotion</t>
        </is>
      </c>
      <c r="D6455" t="inlineStr">
        <is>
          <t>Beauty Of Joseon</t>
        </is>
      </c>
      <c r="E6455" t="n">
        <v>24.47</v>
      </c>
      <c r="F6455" t="n">
        <v>1</v>
      </c>
      <c r="G6455" t="n">
        <v>9</v>
      </c>
      <c r="H6455" s="5">
        <f>HYPERLINK("https://api.qogita.com/variants/link/8809968130147/", "View Product")</f>
        <v/>
      </c>
    </row>
    <row r="6456">
      <c r="A6456" t="inlineStr">
        <is>
          <t>8809982769934</t>
        </is>
      </c>
      <c r="B6456" t="inlineStr">
        <is>
          <t>Medicube Super Cica Soothing Face Mask Daily Quick Mask - 30 Pieces</t>
        </is>
      </c>
      <c r="C6456" t="inlineStr">
        <is>
          <t>Sheet Mask</t>
        </is>
      </c>
      <c r="D6456" t="inlineStr">
        <is>
          <t>Medicube</t>
        </is>
      </c>
      <c r="E6456" t="n">
        <v>19.95</v>
      </c>
      <c r="F6456" t="n">
        <v>1</v>
      </c>
      <c r="G6456" t="n">
        <v>4</v>
      </c>
      <c r="H6456" s="5">
        <f>HYPERLINK("https://api.qogita.com/variants/link/8809982769934/", "View Product")</f>
        <v/>
      </c>
    </row>
    <row r="6457">
      <c r="A6457" t="inlineStr">
        <is>
          <t>8809990007431</t>
        </is>
      </c>
      <c r="B6457" t="inlineStr">
        <is>
          <t>Skybottle Perfumed Hand Cream Set</t>
        </is>
      </c>
      <c r="C6457" t="inlineStr">
        <is>
          <t>Hand Care Sets</t>
        </is>
      </c>
      <c r="D6457" t="inlineStr">
        <is>
          <t>Skybottle</t>
        </is>
      </c>
      <c r="E6457" t="n">
        <v>21.56</v>
      </c>
      <c r="F6457" t="n">
        <v>1</v>
      </c>
      <c r="G6457" t="n">
        <v>3</v>
      </c>
      <c r="H6457" s="5">
        <f>HYPERLINK("https://api.qogita.com/variants/link/8809990007431/", "View Product")</f>
        <v/>
      </c>
    </row>
    <row r="6458">
      <c r="A6458" t="inlineStr">
        <is>
          <t>9001498302004</t>
        </is>
      </c>
      <c r="B6458" t="inlineStr">
        <is>
          <t>Pitralon Original After Shave 100ml</t>
        </is>
      </c>
      <c r="C6458" t="inlineStr">
        <is>
          <t>Aftershave</t>
        </is>
      </c>
      <c r="D6458" t="inlineStr">
        <is>
          <t>Pitralon</t>
        </is>
      </c>
      <c r="E6458" t="n">
        <v>3.99</v>
      </c>
      <c r="F6458" t="n">
        <v>1</v>
      </c>
      <c r="G6458" t="n">
        <v>458</v>
      </c>
      <c r="H6458" s="5">
        <f>HYPERLINK("https://api.qogita.com/variants/link/9001498302004/", "View Product")</f>
        <v/>
      </c>
    </row>
    <row r="6459">
      <c r="A6459" t="inlineStr">
        <is>
          <t>9003877057109</t>
        </is>
      </c>
      <c r="B6459" t="inlineStr">
        <is>
          <t>Refectocil Eyebrow and Eyelash Tint 15ml Deep Black</t>
        </is>
      </c>
      <c r="C6459" t="inlineStr">
        <is>
          <t>Eyebrow Dye</t>
        </is>
      </c>
      <c r="D6459" t="inlineStr">
        <is>
          <t>Refectocil</t>
        </is>
      </c>
      <c r="E6459" t="n">
        <v>4.53</v>
      </c>
      <c r="F6459" t="n">
        <v>1</v>
      </c>
      <c r="G6459" t="n">
        <v>26</v>
      </c>
      <c r="H6459" s="5">
        <f>HYPERLINK("https://api.qogita.com/variants/link/9003877057109/", "View Product")</f>
        <v/>
      </c>
    </row>
    <row r="6460">
      <c r="A6460" t="inlineStr">
        <is>
          <t>9003877057307</t>
        </is>
      </c>
      <c r="B6460" t="inlineStr">
        <is>
          <t>Refectocil Eyebrow and Eyelash Tint Natural Brown 15ml</t>
        </is>
      </c>
      <c r="C6460" t="inlineStr">
        <is>
          <t>Eyebrow Dye</t>
        </is>
      </c>
      <c r="D6460" t="inlineStr">
        <is>
          <t>Refectocil</t>
        </is>
      </c>
      <c r="E6460" t="n">
        <v>4.54</v>
      </c>
      <c r="F6460" t="n">
        <v>1</v>
      </c>
      <c r="G6460" t="n">
        <v>44</v>
      </c>
      <c r="H6460" s="5">
        <f>HYPERLINK("https://api.qogita.com/variants/link/9003877057307/", "View Product")</f>
        <v/>
      </c>
    </row>
    <row r="6461">
      <c r="A6461" t="inlineStr">
        <is>
          <t>9003877901167</t>
        </is>
      </c>
      <c r="B6461" t="inlineStr">
        <is>
          <t>Refectocil Micellar Eye Make-Up Remover 150ml</t>
        </is>
      </c>
      <c r="C6461" t="inlineStr">
        <is>
          <t>Makeup Remover</t>
        </is>
      </c>
      <c r="D6461" t="inlineStr">
        <is>
          <t>Refectocil</t>
        </is>
      </c>
      <c r="E6461" t="n">
        <v>6.26</v>
      </c>
      <c r="F6461" t="n">
        <v>1</v>
      </c>
      <c r="G6461" t="n">
        <v>3</v>
      </c>
      <c r="H6461" s="5">
        <f>HYPERLINK("https://api.qogita.com/variants/link/9003877901167/", "View Product")</f>
        <v/>
      </c>
    </row>
    <row r="6462">
      <c r="A6462" t="inlineStr">
        <is>
          <t>9003877904021</t>
        </is>
      </c>
      <c r="B6462" t="inlineStr">
        <is>
          <t>Refectocil Lash &amp; Brow Booster Serum For Eyebrow And Eyelash Growth 2 In 1 6ml</t>
        </is>
      </c>
      <c r="C6462" t="inlineStr">
        <is>
          <t>Other</t>
        </is>
      </c>
      <c r="D6462" t="inlineStr">
        <is>
          <t>Refectocil</t>
        </is>
      </c>
      <c r="E6462" t="n">
        <v>41.95</v>
      </c>
      <c r="F6462" t="n">
        <v>1</v>
      </c>
      <c r="G6462" t="n">
        <v>4</v>
      </c>
      <c r="H6462" s="5">
        <f>HYPERLINK("https://api.qogita.com/variants/link/9003877904021/", "View Product")</f>
        <v/>
      </c>
    </row>
    <row r="6463">
      <c r="A6463" t="inlineStr">
        <is>
          <t>9003877907008</t>
        </is>
      </c>
      <c r="B6463" t="inlineStr">
        <is>
          <t>REFECTOCIL Henna for Eyebrows and Lashes 2 Dark Graphite 15ml</t>
        </is>
      </c>
      <c r="C6463" t="inlineStr">
        <is>
          <t>Eyebrow Dye</t>
        </is>
      </c>
      <c r="D6463" t="inlineStr">
        <is>
          <t>Refectocil</t>
        </is>
      </c>
      <c r="E6463" t="n">
        <v>5.39</v>
      </c>
      <c r="F6463" t="n">
        <v>1</v>
      </c>
      <c r="G6463" t="n">
        <v>6</v>
      </c>
      <c r="H6463" s="5">
        <f>HYPERLINK("https://api.qogita.com/variants/link/9003877907008/", "View Product")</f>
        <v/>
      </c>
    </row>
    <row r="6464">
      <c r="A6464" t="inlineStr">
        <is>
          <t>9004432099305</t>
        </is>
      </c>
      <c r="B6464" t="inlineStr">
        <is>
          <t>STYX Potato Hand Balm 50ml</t>
        </is>
      </c>
      <c r="C6464" t="inlineStr">
        <is>
          <t>Hand Cream</t>
        </is>
      </c>
      <c r="D6464" t="inlineStr">
        <is>
          <t>Styx</t>
        </is>
      </c>
      <c r="E6464" t="n">
        <v>7.97</v>
      </c>
      <c r="F6464" t="n">
        <v>1</v>
      </c>
      <c r="G6464" t="n">
        <v>5</v>
      </c>
      <c r="H6464" s="5">
        <f>HYPERLINK("https://api.qogita.com/variants/link/9004432099305/", "View Product")</f>
        <v/>
      </c>
    </row>
    <row r="6465">
      <c r="A6465" t="inlineStr">
        <is>
          <t>9005800222899</t>
        </is>
      </c>
      <c r="B6465" t="inlineStr">
        <is>
          <t>Nivea Creme Sensitive Care Shower Gel 250 Ml</t>
        </is>
      </c>
      <c r="C6465" t="inlineStr">
        <is>
          <t>Shower Gel</t>
        </is>
      </c>
      <c r="D6465" t="inlineStr">
        <is>
          <t>Nivea</t>
        </is>
      </c>
      <c r="E6465" t="n">
        <v>3.39</v>
      </c>
      <c r="F6465" t="n">
        <v>1</v>
      </c>
      <c r="G6465" t="n">
        <v>9</v>
      </c>
      <c r="H6465" s="5">
        <f>HYPERLINK("https://api.qogita.com/variants/link/9005800222899/", "View Product")</f>
        <v/>
      </c>
    </row>
    <row r="6466">
      <c r="A6466" t="inlineStr">
        <is>
          <t>9005800223018</t>
        </is>
      </c>
      <c r="B6466" t="inlineStr">
        <is>
          <t>Nivea Coconut Shower Gel 250 Ml</t>
        </is>
      </c>
      <c r="C6466" t="inlineStr">
        <is>
          <t>Shower Gel</t>
        </is>
      </c>
      <c r="D6466" t="inlineStr">
        <is>
          <t>Nivea</t>
        </is>
      </c>
      <c r="E6466" t="n">
        <v>2.38</v>
      </c>
      <c r="F6466" t="n">
        <v>1</v>
      </c>
      <c r="G6466" t="n">
        <v>5</v>
      </c>
      <c r="H6466" s="5">
        <f>HYPERLINK("https://api.qogita.com/variants/link/9005800223018/", "View Product")</f>
        <v/>
      </c>
    </row>
    <row r="6467">
      <c r="A6467" t="inlineStr">
        <is>
          <t>9005800223025</t>
        </is>
      </c>
      <c r="B6467" t="inlineStr">
        <is>
          <t>Nivea Cream Shower Gel Creme Care 250 Ml</t>
        </is>
      </c>
      <c r="C6467" t="inlineStr">
        <is>
          <t>Shower Gel</t>
        </is>
      </c>
      <c r="D6467" t="inlineStr">
        <is>
          <t>Nivea</t>
        </is>
      </c>
      <c r="E6467" t="n">
        <v>2.89</v>
      </c>
      <c r="F6467" t="n">
        <v>1</v>
      </c>
      <c r="G6467" t="n">
        <v>12</v>
      </c>
      <c r="H6467" s="5">
        <f>HYPERLINK("https://api.qogita.com/variants/link/9005800223025/", "View Product")</f>
        <v/>
      </c>
    </row>
    <row r="6468">
      <c r="A6468" t="inlineStr">
        <is>
          <t>9005800223247</t>
        </is>
      </c>
      <c r="B6468" t="inlineStr">
        <is>
          <t>Nivea Volume Sensation Hair Volume Shampoo</t>
        </is>
      </c>
      <c r="C6468" t="inlineStr">
        <is>
          <t>Shampoo</t>
        </is>
      </c>
      <c r="D6468" t="inlineStr">
        <is>
          <t>Nivea</t>
        </is>
      </c>
      <c r="E6468" t="n">
        <v>4.82</v>
      </c>
      <c r="F6468" t="n">
        <v>1</v>
      </c>
      <c r="G6468" t="n">
        <v>7</v>
      </c>
      <c r="H6468" s="5">
        <f>HYPERLINK("https://api.qogita.com/variants/link/9005800223247/", "View Product")</f>
        <v/>
      </c>
    </row>
    <row r="6469">
      <c r="A6469" t="inlineStr">
        <is>
          <t>9005800226828</t>
        </is>
      </c>
      <c r="B6469" t="inlineStr">
        <is>
          <t>Nivea Daily Essentials Sensitive 3 in 1 Micellar Cleansing Water 200ml</t>
        </is>
      </c>
      <c r="C6469" t="inlineStr">
        <is>
          <t>Micellar Water</t>
        </is>
      </c>
      <c r="D6469" t="inlineStr">
        <is>
          <t>Nivea</t>
        </is>
      </c>
      <c r="E6469" t="n">
        <v>5.69</v>
      </c>
      <c r="F6469" t="n">
        <v>1</v>
      </c>
      <c r="G6469" t="n">
        <v>8</v>
      </c>
      <c r="H6469" s="5">
        <f>HYPERLINK("https://api.qogita.com/variants/link/9005800226828/", "View Product")</f>
        <v/>
      </c>
    </row>
    <row r="6470">
      <c r="A6470" t="inlineStr">
        <is>
          <t>9005800227054</t>
        </is>
      </c>
      <c r="B6470" t="inlineStr">
        <is>
          <t>Nivea Soothing Toner For Dry And Sensitive Skin 200ml</t>
        </is>
      </c>
      <c r="C6470" t="inlineStr">
        <is>
          <t>Facial Spray</t>
        </is>
      </c>
      <c r="D6470" t="inlineStr">
        <is>
          <t>Nivea</t>
        </is>
      </c>
      <c r="E6470" t="n">
        <v>6.4</v>
      </c>
      <c r="F6470" t="n">
        <v>1</v>
      </c>
      <c r="G6470" t="n">
        <v>5</v>
      </c>
      <c r="H6470" s="5">
        <f>HYPERLINK("https://api.qogita.com/variants/link/9005800227054/", "View Product")</f>
        <v/>
      </c>
    </row>
    <row r="6471">
      <c r="A6471" t="inlineStr">
        <is>
          <t>9005800227184</t>
        </is>
      </c>
      <c r="B6471" t="inlineStr">
        <is>
          <t>Nivea Regenerating Night Cream For Normal To Combination Skin 50 Ml</t>
        </is>
      </c>
      <c r="C6471" t="inlineStr">
        <is>
          <t>Night Cream</t>
        </is>
      </c>
      <c r="D6471" t="inlineStr">
        <is>
          <t>Nivea</t>
        </is>
      </c>
      <c r="E6471" t="n">
        <v>3.77</v>
      </c>
      <c r="F6471" t="n">
        <v>1</v>
      </c>
      <c r="G6471" t="n">
        <v>5</v>
      </c>
      <c r="H6471" s="5">
        <f>HYPERLINK("https://api.qogita.com/variants/link/9005800227184/", "View Product")</f>
        <v/>
      </c>
    </row>
    <row r="6472">
      <c r="A6472" t="inlineStr">
        <is>
          <t>9005800227344</t>
        </is>
      </c>
      <c r="B6472" t="inlineStr">
        <is>
          <t>Nivea Nourishing Night Cream For Dry To Sensitive Skin - 50 Ml</t>
        </is>
      </c>
      <c r="C6472" t="inlineStr">
        <is>
          <t>Night Cream</t>
        </is>
      </c>
      <c r="D6472" t="inlineStr">
        <is>
          <t>Nivea</t>
        </is>
      </c>
      <c r="E6472" t="n">
        <v>4.42</v>
      </c>
      <c r="F6472" t="n">
        <v>1</v>
      </c>
      <c r="G6472" t="n">
        <v>6</v>
      </c>
      <c r="H6472" s="5">
        <f>HYPERLINK("https://api.qogita.com/variants/link/9005800227344/", "View Product")</f>
        <v/>
      </c>
    </row>
    <row r="6473">
      <c r="A6473" t="inlineStr">
        <is>
          <t>9005800235196</t>
        </is>
      </c>
      <c r="B6473" t="inlineStr">
        <is>
          <t>Nivea Color Care &amp; Protect Shampoo 250ml</t>
        </is>
      </c>
      <c r="C6473" t="inlineStr">
        <is>
          <t>Shampoo</t>
        </is>
      </c>
      <c r="D6473" t="inlineStr">
        <is>
          <t>Nivea</t>
        </is>
      </c>
      <c r="E6473" t="n">
        <v>4.82</v>
      </c>
      <c r="F6473" t="n">
        <v>1</v>
      </c>
      <c r="G6473" t="n">
        <v>5</v>
      </c>
      <c r="H6473" s="5">
        <f>HYPERLINK("https://api.qogita.com/variants/link/9005800235196/", "View Product")</f>
        <v/>
      </c>
    </row>
    <row r="6474">
      <c r="A6474" t="inlineStr">
        <is>
          <t>9005800240053</t>
        </is>
      </c>
      <c r="B6474" t="inlineStr">
        <is>
          <t>Nivea Men Cream Universal Moisturizer For Men</t>
        </is>
      </c>
      <c r="C6474" t="inlineStr">
        <is>
          <t>Face Cream</t>
        </is>
      </c>
      <c r="D6474" t="inlineStr">
        <is>
          <t>Nivea</t>
        </is>
      </c>
      <c r="E6474" t="n">
        <v>4.08</v>
      </c>
      <c r="F6474" t="n">
        <v>1</v>
      </c>
      <c r="G6474" t="n">
        <v>31</v>
      </c>
      <c r="H6474" s="5">
        <f>HYPERLINK("https://api.qogita.com/variants/link/9005800240053/", "View Product")</f>
        <v/>
      </c>
    </row>
    <row r="6475">
      <c r="A6475" t="inlineStr">
        <is>
          <t>9005800244143</t>
        </is>
      </c>
      <c r="B6475" t="inlineStr">
        <is>
          <t>Nivea Hyaluron Cellular Filler + Firming Spf15 Anti-Wrinkle Day Cream 50ml</t>
        </is>
      </c>
      <c r="C6475" t="inlineStr">
        <is>
          <t>Day Cream</t>
        </is>
      </c>
      <c r="D6475" t="inlineStr">
        <is>
          <t>Nivea</t>
        </is>
      </c>
      <c r="E6475" t="n">
        <v>14.33</v>
      </c>
      <c r="F6475" t="n">
        <v>1</v>
      </c>
      <c r="G6475" t="n">
        <v>3</v>
      </c>
      <c r="H6475" s="5">
        <f>HYPERLINK("https://api.qogita.com/variants/link/9005800244143/", "View Product")</f>
        <v/>
      </c>
    </row>
    <row r="6476">
      <c r="A6476" t="inlineStr">
        <is>
          <t>9005800244167</t>
        </is>
      </c>
      <c r="B6476" t="inlineStr">
        <is>
          <t>Nivea Hyaluron Cellular Filler + Firming Anti-Wrinkle Night Cream 50ml</t>
        </is>
      </c>
      <c r="C6476" t="inlineStr">
        <is>
          <t>Night Cream</t>
        </is>
      </c>
      <c r="D6476" t="inlineStr">
        <is>
          <t>Nivea</t>
        </is>
      </c>
      <c r="E6476" t="n">
        <v>14.33</v>
      </c>
      <c r="F6476" t="n">
        <v>1</v>
      </c>
      <c r="G6476" t="n">
        <v>7</v>
      </c>
      <c r="H6476" s="5">
        <f>HYPERLINK("https://api.qogita.com/variants/link/9005800244167/", "View Product")</f>
        <v/>
      </c>
    </row>
    <row r="6477">
      <c r="A6477" t="inlineStr">
        <is>
          <t>9005800249209</t>
        </is>
      </c>
      <c r="B6477" t="inlineStr">
        <is>
          <t>NIVEA Men Sensitive Cooling Shaving Foam 200ml</t>
        </is>
      </c>
      <c r="C6477" t="inlineStr">
        <is>
          <t>Shaving</t>
        </is>
      </c>
      <c r="D6477" t="inlineStr">
        <is>
          <t>Nivea</t>
        </is>
      </c>
      <c r="E6477" t="n">
        <v>3.64</v>
      </c>
      <c r="F6477" t="n">
        <v>1</v>
      </c>
      <c r="G6477" t="n">
        <v>4</v>
      </c>
      <c r="H6477" s="5">
        <f>HYPERLINK("https://api.qogita.com/variants/link/9005800249209/", "View Product")</f>
        <v/>
      </c>
    </row>
    <row r="6478">
      <c r="A6478" t="inlineStr">
        <is>
          <t>9005800259659</t>
        </is>
      </c>
      <c r="B6478" t="inlineStr">
        <is>
          <t>Nivea Hyaluronic Cellular Filler SPF15</t>
        </is>
      </c>
      <c r="C6478" t="inlineStr">
        <is>
          <t>Face Sun Protection</t>
        </is>
      </c>
      <c r="D6478" t="inlineStr">
        <is>
          <t>Nivea</t>
        </is>
      </c>
      <c r="E6478" t="n">
        <v>28.73</v>
      </c>
      <c r="F6478" t="n">
        <v>1</v>
      </c>
      <c r="G6478" t="n">
        <v>3</v>
      </c>
      <c r="H6478" s="5">
        <f>HYPERLINK("https://api.qogita.com/variants/link/9005800259659/", "View Product")</f>
        <v/>
      </c>
    </row>
    <row r="6479">
      <c r="A6479" t="inlineStr">
        <is>
          <t>9005800286532</t>
        </is>
      </c>
      <c r="B6479" t="inlineStr">
        <is>
          <t>Nivea Men Power Refresh Shower Gel For Men 250 Ml</t>
        </is>
      </c>
      <c r="C6479" t="inlineStr">
        <is>
          <t>Shower Gel</t>
        </is>
      </c>
      <c r="D6479" t="inlineStr">
        <is>
          <t>Nivea</t>
        </is>
      </c>
      <c r="E6479" t="n">
        <v>4.64</v>
      </c>
      <c r="F6479" t="n">
        <v>1</v>
      </c>
      <c r="G6479" t="n">
        <v>7</v>
      </c>
      <c r="H6479" s="5">
        <f>HYPERLINK("https://api.qogita.com/variants/link/9005800286532/", "View Product")</f>
        <v/>
      </c>
    </row>
    <row r="6480">
      <c r="A6480" t="inlineStr">
        <is>
          <t>9005800286570</t>
        </is>
      </c>
      <c r="B6480" t="inlineStr">
        <is>
          <t>Nivea Men Sensitive Shower Gel 500ml</t>
        </is>
      </c>
      <c r="C6480" t="inlineStr">
        <is>
          <t>Shower Gel</t>
        </is>
      </c>
      <c r="D6480" t="inlineStr">
        <is>
          <t>Nivea</t>
        </is>
      </c>
      <c r="E6480" t="n">
        <v>5.99</v>
      </c>
      <c r="F6480" t="n">
        <v>1</v>
      </c>
      <c r="G6480" t="n">
        <v>8</v>
      </c>
      <c r="H6480" s="5">
        <f>HYPERLINK("https://api.qogita.com/variants/link/9005800286570/", "View Product")</f>
        <v/>
      </c>
    </row>
    <row r="6481">
      <c r="A6481" t="inlineStr">
        <is>
          <t>9005800290799</t>
        </is>
      </c>
      <c r="B6481" t="inlineStr">
        <is>
          <t>Nivea Firming Antiwrinkle Day Cream 45 50 Ml</t>
        </is>
      </c>
      <c r="C6481" t="inlineStr">
        <is>
          <t>Day Cream</t>
        </is>
      </c>
      <c r="D6481" t="inlineStr">
        <is>
          <t>Nivea</t>
        </is>
      </c>
      <c r="E6481" t="n">
        <v>5.4</v>
      </c>
      <c r="F6481" t="n">
        <v>1</v>
      </c>
      <c r="G6481" t="n">
        <v>6</v>
      </c>
      <c r="H6481" s="5">
        <f>HYPERLINK("https://api.qogita.com/variants/link/9005800290799/", "View Product")</f>
        <v/>
      </c>
    </row>
    <row r="6482">
      <c r="A6482" t="inlineStr">
        <is>
          <t>9005800294209</t>
        </is>
      </c>
      <c r="B6482" t="inlineStr">
        <is>
          <t>Nivea Sensitive Men Shaving Gel Refreshing Recovery Shaving Gel 200 Ml</t>
        </is>
      </c>
      <c r="C6482" t="inlineStr">
        <is>
          <t>Shaving</t>
        </is>
      </c>
      <c r="D6482" t="inlineStr">
        <is>
          <t>Nivea</t>
        </is>
      </c>
      <c r="E6482" t="n">
        <v>6.33</v>
      </c>
      <c r="F6482" t="n">
        <v>1</v>
      </c>
      <c r="G6482" t="n">
        <v>10</v>
      </c>
      <c r="H6482" s="5">
        <f>HYPERLINK("https://api.qogita.com/variants/link/9005800294209/", "View Product")</f>
        <v/>
      </c>
    </row>
    <row r="6483">
      <c r="A6483" t="inlineStr">
        <is>
          <t>9005800297156</t>
        </is>
      </c>
      <c r="B6483" t="inlineStr">
        <is>
          <t>Nivea Deep Shaving Gel 200 Ml</t>
        </is>
      </c>
      <c r="C6483" t="inlineStr">
        <is>
          <t>Shaving</t>
        </is>
      </c>
      <c r="D6483" t="inlineStr">
        <is>
          <t>Nivea</t>
        </is>
      </c>
      <c r="E6483" t="n">
        <v>3.68</v>
      </c>
      <c r="F6483" t="n">
        <v>1</v>
      </c>
      <c r="G6483" t="n">
        <v>3</v>
      </c>
      <c r="H6483" s="5">
        <f>HYPERLINK("https://api.qogita.com/variants/link/9005800297156/", "View Product")</f>
        <v/>
      </c>
    </row>
    <row r="6484">
      <c r="A6484" t="inlineStr">
        <is>
          <t>9005800297606</t>
        </is>
      </c>
      <c r="B6484" t="inlineStr">
        <is>
          <t>Nivea Micellar Water 400ml Waterproof</t>
        </is>
      </c>
      <c r="C6484" t="inlineStr">
        <is>
          <t>Micellar Water</t>
        </is>
      </c>
      <c r="D6484" t="inlineStr">
        <is>
          <t>Nivea</t>
        </is>
      </c>
      <c r="E6484" t="n">
        <v>9.140000000000001</v>
      </c>
      <c r="F6484" t="n">
        <v>1</v>
      </c>
      <c r="G6484" t="n">
        <v>11</v>
      </c>
      <c r="H6484" s="5">
        <f>HYPERLINK("https://api.qogita.com/variants/link/9005800297606/", "View Product")</f>
        <v/>
      </c>
    </row>
    <row r="6485">
      <c r="A6485" t="inlineStr">
        <is>
          <t>9005800299938</t>
        </is>
      </c>
      <c r="B6485" t="inlineStr">
        <is>
          <t>Nivea MicellAIR 400ml W</t>
        </is>
      </c>
      <c r="C6485" t="inlineStr">
        <is>
          <t>Micellar Water</t>
        </is>
      </c>
      <c r="D6485" t="inlineStr">
        <is>
          <t>Nivea</t>
        </is>
      </c>
      <c r="E6485" t="n">
        <v>7.41</v>
      </c>
      <c r="F6485" t="n">
        <v>1</v>
      </c>
      <c r="G6485" t="n">
        <v>2</v>
      </c>
      <c r="H6485" s="5">
        <f>HYPERLINK("https://api.qogita.com/variants/link/9005800299938/", "View Product")</f>
        <v/>
      </c>
    </row>
    <row r="6486">
      <c r="A6486" t="inlineStr">
        <is>
          <t>9005800315386</t>
        </is>
      </c>
      <c r="B6486" t="inlineStr">
        <is>
          <t>Nivea Men's Deep Espresso Antiperspirant Spray 150 Ml</t>
        </is>
      </c>
      <c r="C6486" t="inlineStr">
        <is>
          <t>Deodorant &amp; Anti-Perspirant</t>
        </is>
      </c>
      <c r="D6486" t="inlineStr">
        <is>
          <t>Nivea</t>
        </is>
      </c>
      <c r="E6486" t="n">
        <v>5.23</v>
      </c>
      <c r="F6486" t="n">
        <v>1</v>
      </c>
      <c r="G6486" t="n">
        <v>5</v>
      </c>
      <c r="H6486" s="5">
        <f>HYPERLINK("https://api.qogita.com/variants/link/9005800315386/", "View Product")</f>
        <v/>
      </c>
    </row>
    <row r="6487">
      <c r="A6487" t="inlineStr">
        <is>
          <t>9005800319223</t>
        </is>
      </c>
      <c r="B6487" t="inlineStr">
        <is>
          <t>Q10 Power Anti-wrinkle + Extra-nourishing Day Cream  50ml  SPF 15</t>
        </is>
      </c>
      <c r="C6487" t="inlineStr">
        <is>
          <t>Day Cream</t>
        </is>
      </c>
      <c r="D6487" t="inlineStr">
        <is>
          <t>Nivea</t>
        </is>
      </c>
      <c r="E6487" t="n">
        <v>13.19</v>
      </c>
      <c r="F6487" t="n">
        <v>1</v>
      </c>
      <c r="G6487" t="n">
        <v>10</v>
      </c>
      <c r="H6487" s="5">
        <f>HYPERLINK("https://api.qogita.com/variants/link/9005800319223/", "View Product")</f>
        <v/>
      </c>
    </row>
    <row r="6488">
      <c r="A6488" t="inlineStr">
        <is>
          <t>9005800328058</t>
        </is>
      </c>
      <c r="B6488" t="inlineStr">
        <is>
          <t>Nivea Strong Power Strengthening Shampoo For Hair 400ml</t>
        </is>
      </c>
      <c r="C6488" t="inlineStr">
        <is>
          <t>Shampoo</t>
        </is>
      </c>
      <c r="D6488" t="inlineStr">
        <is>
          <t>Nivea</t>
        </is>
      </c>
      <c r="E6488" t="n">
        <v>3.39</v>
      </c>
      <c r="F6488" t="n">
        <v>1</v>
      </c>
      <c r="G6488" t="n">
        <v>3</v>
      </c>
      <c r="H6488" s="5">
        <f>HYPERLINK("https://api.qogita.com/variants/link/9005800328058/", "View Product")</f>
        <v/>
      </c>
    </row>
    <row r="6489">
      <c r="A6489" t="inlineStr">
        <is>
          <t>9005800339702</t>
        </is>
      </c>
      <c r="B6489" t="inlineStr">
        <is>
          <t>Nivea Rose Touch Moisturizing Gel Cream For Face 50ml</t>
        </is>
      </c>
      <c r="C6489" t="inlineStr">
        <is>
          <t>Face Cream</t>
        </is>
      </c>
      <c r="D6489" t="inlineStr">
        <is>
          <t>Nivea</t>
        </is>
      </c>
      <c r="E6489" t="n">
        <v>8.609999999999999</v>
      </c>
      <c r="F6489" t="n">
        <v>1</v>
      </c>
      <c r="G6489" t="n">
        <v>9</v>
      </c>
      <c r="H6489" s="5">
        <f>HYPERLINK("https://api.qogita.com/variants/link/9005800339702/", "View Product")</f>
        <v/>
      </c>
    </row>
    <row r="6490">
      <c r="A6490" t="inlineStr">
        <is>
          <t>9005800341644</t>
        </is>
      </c>
      <c r="B6490" t="inlineStr">
        <is>
          <t>Nivea Men Active Energy Shower Gel 500ml</t>
        </is>
      </c>
      <c r="C6490" t="inlineStr">
        <is>
          <t>Shower Gel</t>
        </is>
      </c>
      <c r="D6490" t="inlineStr">
        <is>
          <t>Nivea</t>
        </is>
      </c>
      <c r="E6490" t="n">
        <v>6</v>
      </c>
      <c r="F6490" t="n">
        <v>1</v>
      </c>
      <c r="G6490" t="n">
        <v>8</v>
      </c>
      <c r="H6490" s="5">
        <f>HYPERLINK("https://api.qogita.com/variants/link/9005800341644/", "View Product")</f>
        <v/>
      </c>
    </row>
    <row r="6491">
      <c r="A6491" t="inlineStr">
        <is>
          <t>9005800348513</t>
        </is>
      </c>
      <c r="B6491" t="inlineStr">
        <is>
          <t>Nivea Q10 Energy Set Energizing Skin Care Gift Set</t>
        </is>
      </c>
      <c r="C6491" t="inlineStr">
        <is>
          <t>Face</t>
        </is>
      </c>
      <c r="D6491" t="inlineStr">
        <is>
          <t>Nivea</t>
        </is>
      </c>
      <c r="E6491" t="n">
        <v>23.24</v>
      </c>
      <c r="F6491" t="n">
        <v>1</v>
      </c>
      <c r="G6491" t="n">
        <v>5</v>
      </c>
      <c r="H6491" s="5">
        <f>HYPERLINK("https://api.qogita.com/variants/link/9005800348513/", "View Product")</f>
        <v/>
      </c>
    </row>
    <row r="6492">
      <c r="A6492" t="inlineStr">
        <is>
          <t>9005800356143</t>
        </is>
      </c>
      <c r="B6492" t="inlineStr">
        <is>
          <t>Eucerin Hyaluron-Filler Anti-Aging Serum 3x EFFECT 6 x 5 ml</t>
        </is>
      </c>
      <c r="C6492" t="inlineStr">
        <is>
          <t>Anti-Aging Serum</t>
        </is>
      </c>
      <c r="D6492" t="inlineStr">
        <is>
          <t>Eucerin</t>
        </is>
      </c>
      <c r="E6492" t="n">
        <v>45.36</v>
      </c>
      <c r="F6492" t="n">
        <v>1</v>
      </c>
      <c r="G6492" t="n">
        <v>5</v>
      </c>
      <c r="H6492" s="5">
        <f>HYPERLINK("https://api.qogita.com/variants/link/9005800356143/", "View Product")</f>
        <v/>
      </c>
    </row>
    <row r="6493">
      <c r="A6493" t="inlineStr">
        <is>
          <t>9005800357768</t>
        </is>
      </c>
      <c r="B6493" t="inlineStr">
        <is>
          <t>Nivea Men Derma Dry Control Antiperspirant</t>
        </is>
      </c>
      <c r="C6493" t="inlineStr">
        <is>
          <t>Deodorant &amp; Anti-Perspirant</t>
        </is>
      </c>
      <c r="D6493" t="inlineStr">
        <is>
          <t>Nivea</t>
        </is>
      </c>
      <c r="E6493" t="n">
        <v>5.51</v>
      </c>
      <c r="F6493" t="n">
        <v>1</v>
      </c>
      <c r="G6493" t="n">
        <v>23</v>
      </c>
      <c r="H6493" s="5">
        <f>HYPERLINK("https://api.qogita.com/variants/link/9005800357768/", "View Product")</f>
        <v/>
      </c>
    </row>
    <row r="6494">
      <c r="A6494" t="inlineStr">
        <is>
          <t>9005800358307</t>
        </is>
      </c>
      <c r="B6494" t="inlineStr">
        <is>
          <t>Nivea Men Protect &amp; Care Shower Gel 2 X 500 Ml</t>
        </is>
      </c>
      <c r="C6494" t="inlineStr">
        <is>
          <t>Shower Gel</t>
        </is>
      </c>
      <c r="D6494" t="inlineStr">
        <is>
          <t>Nivea</t>
        </is>
      </c>
      <c r="E6494" t="n">
        <v>9.99</v>
      </c>
      <c r="F6494" t="n">
        <v>1</v>
      </c>
      <c r="G6494" t="n">
        <v>4</v>
      </c>
      <c r="H6494" s="5">
        <f>HYPERLINK("https://api.qogita.com/variants/link/9005800358307/", "View Product")</f>
        <v/>
      </c>
    </row>
    <row r="6495">
      <c r="A6495" t="inlineStr">
        <is>
          <t>9005800366791</t>
        </is>
      </c>
      <c r="B6495" t="inlineStr">
        <is>
          <t>Nivea Sun Touch Body Lotion Tanning Body Balm 400ml</t>
        </is>
      </c>
      <c r="C6495" t="inlineStr">
        <is>
          <t>Body Self-Tanner</t>
        </is>
      </c>
      <c r="D6495" t="inlineStr">
        <is>
          <t>Nivea</t>
        </is>
      </c>
      <c r="E6495" t="n">
        <v>11.63</v>
      </c>
      <c r="F6495" t="n">
        <v>1</v>
      </c>
      <c r="G6495" t="n">
        <v>4</v>
      </c>
      <c r="H6495" s="5">
        <f>HYPERLINK("https://api.qogita.com/variants/link/9005800366791/", "View Product")</f>
        <v/>
      </c>
    </row>
    <row r="6496">
      <c r="A6496" t="inlineStr">
        <is>
          <t>9005800369105</t>
        </is>
      </c>
      <c r="B6496" t="inlineStr">
        <is>
          <t>Nivea Baby Head To Toe Shower Gel 200 Ml</t>
        </is>
      </c>
      <c r="C6496" t="inlineStr">
        <is>
          <t>Baby Shower Gel &amp; Soap</t>
        </is>
      </c>
      <c r="D6496" t="inlineStr">
        <is>
          <t>Nivea</t>
        </is>
      </c>
      <c r="E6496" t="n">
        <v>4.56</v>
      </c>
      <c r="F6496" t="n">
        <v>1</v>
      </c>
      <c r="G6496" t="n">
        <v>3</v>
      </c>
      <c r="H6496" s="5">
        <f>HYPERLINK("https://api.qogita.com/variants/link/9005800369105/", "View Product")</f>
        <v/>
      </c>
    </row>
    <row r="6497">
      <c r="A6497" t="inlineStr">
        <is>
          <t>9005800369143</t>
        </is>
      </c>
      <c r="B6497" t="inlineStr">
        <is>
          <t>Nivea Baby Body Lotion 500 ml</t>
        </is>
      </c>
      <c r="C6497" t="inlineStr">
        <is>
          <t>Baby Cream &amp; Oil</t>
        </is>
      </c>
      <c r="D6497" t="inlineStr">
        <is>
          <t>Nivea</t>
        </is>
      </c>
      <c r="E6497" t="n">
        <v>4.46</v>
      </c>
      <c r="F6497" t="n">
        <v>1</v>
      </c>
      <c r="G6497" t="n">
        <v>12</v>
      </c>
      <c r="H6497" s="5">
        <f>HYPERLINK("https://api.qogita.com/variants/link/9005800369143/", "View Product")</f>
        <v/>
      </c>
    </row>
    <row r="6498">
      <c r="A6498" t="inlineStr">
        <is>
          <t>9005800369792</t>
        </is>
      </c>
      <c r="B6498" t="inlineStr">
        <is>
          <t>Nivea Men Derma Dry Control Solid Antiperspirant 50 Ml</t>
        </is>
      </c>
      <c r="C6498" t="inlineStr">
        <is>
          <t>Deodorant &amp; Anti-Perspirant</t>
        </is>
      </c>
      <c r="D6498" t="inlineStr">
        <is>
          <t>Nivea</t>
        </is>
      </c>
      <c r="E6498" t="n">
        <v>5.88</v>
      </c>
      <c r="F6498" t="n">
        <v>1</v>
      </c>
      <c r="G6498" t="n">
        <v>10</v>
      </c>
      <c r="H6498" s="5">
        <f>HYPERLINK("https://api.qogita.com/variants/link/9005800369792/", "View Product")</f>
        <v/>
      </c>
    </row>
    <row r="6499">
      <c r="A6499" t="inlineStr">
        <is>
          <t>9005800378985</t>
        </is>
      </c>
      <c r="B6499" t="inlineStr">
        <is>
          <t>Nivea Blooming Garden Antiperspirant Spray 150ml</t>
        </is>
      </c>
      <c r="C6499" t="inlineStr">
        <is>
          <t>Deodorant &amp; Anti-Perspirant</t>
        </is>
      </c>
      <c r="D6499" t="inlineStr">
        <is>
          <t>Nivea</t>
        </is>
      </c>
      <c r="E6499" t="n">
        <v>5.32</v>
      </c>
      <c r="F6499" t="n">
        <v>1</v>
      </c>
      <c r="G6499" t="n">
        <v>19</v>
      </c>
      <c r="H6499" s="5">
        <f>HYPERLINK("https://api.qogita.com/variants/link/9005800378985/", "View Product")</f>
        <v/>
      </c>
    </row>
    <row r="6500">
      <c r="A6500" t="inlineStr">
        <is>
          <t>9005800378992</t>
        </is>
      </c>
      <c r="B6500" t="inlineStr">
        <is>
          <t>Nivea Women's Antiperspirant Spray Tropical Sunrise 150ml</t>
        </is>
      </c>
      <c r="C6500" t="inlineStr">
        <is>
          <t>Deodorant &amp; Anti-Perspirant</t>
        </is>
      </c>
      <c r="D6500" t="inlineStr">
        <is>
          <t>Nivea</t>
        </is>
      </c>
      <c r="E6500" t="n">
        <v>4.31</v>
      </c>
      <c r="F6500" t="n">
        <v>1</v>
      </c>
      <c r="G6500" t="n">
        <v>4</v>
      </c>
      <c r="H6500" s="5">
        <f>HYPERLINK("https://api.qogita.com/variants/link/9005800378992/", "View Product")</f>
        <v/>
      </c>
    </row>
    <row r="6501">
      <c r="A6501" t="inlineStr">
        <is>
          <t>9005800379067</t>
        </is>
      </c>
      <c r="B6501" t="inlineStr">
        <is>
          <t>Nivea Invisible Black &amp; White Silk And Smooth Antiperspirant 50 Ml</t>
        </is>
      </c>
      <c r="C6501" t="inlineStr">
        <is>
          <t>Deodorant &amp; Anti-Perspirant</t>
        </is>
      </c>
      <c r="D6501" t="inlineStr">
        <is>
          <t>Nivea</t>
        </is>
      </c>
      <c r="E6501" t="n">
        <v>4.04</v>
      </c>
      <c r="F6501" t="n">
        <v>1</v>
      </c>
      <c r="G6501" t="n">
        <v>30</v>
      </c>
      <c r="H6501" s="5">
        <f>HYPERLINK("https://api.qogita.com/variants/link/9005800379067/", "View Product")</f>
        <v/>
      </c>
    </row>
    <row r="6502">
      <c r="A6502" t="inlineStr">
        <is>
          <t>9005800379128</t>
        </is>
      </c>
      <c r="B6502" t="inlineStr">
        <is>
          <t>Nivea Invisible For Black &amp; White Pure Antiperspirant 50 Ml</t>
        </is>
      </c>
      <c r="C6502" t="inlineStr">
        <is>
          <t>Deodorant &amp; Anti-Perspirant</t>
        </is>
      </c>
      <c r="D6502" t="inlineStr">
        <is>
          <t>Nivea</t>
        </is>
      </c>
      <c r="E6502" t="n">
        <v>4.04</v>
      </c>
      <c r="F6502" t="n">
        <v>1</v>
      </c>
      <c r="G6502" t="n">
        <v>5</v>
      </c>
      <c r="H6502" s="5">
        <f>HYPERLINK("https://api.qogita.com/variants/link/9005800379128/", "View Product")</f>
        <v/>
      </c>
    </row>
    <row r="6503">
      <c r="A6503" t="inlineStr">
        <is>
          <t>9005800379227</t>
        </is>
      </c>
      <c r="B6503" t="inlineStr">
        <is>
          <t>Nivea Men Ultra Fresh Antiperspirant Spray 150 Ml</t>
        </is>
      </c>
      <c r="C6503" t="inlineStr">
        <is>
          <t>Deodorant &amp; Anti-Perspirant</t>
        </is>
      </c>
      <c r="D6503" t="inlineStr">
        <is>
          <t>Nivea</t>
        </is>
      </c>
      <c r="E6503" t="n">
        <v>4.42</v>
      </c>
      <c r="F6503" t="n">
        <v>1</v>
      </c>
      <c r="G6503" t="n">
        <v>13</v>
      </c>
      <c r="H6503" s="5">
        <f>HYPERLINK("https://api.qogita.com/variants/link/9005800379227/", "View Product")</f>
        <v/>
      </c>
    </row>
    <row r="6504">
      <c r="A6504" t="inlineStr">
        <is>
          <t>9005800379715</t>
        </is>
      </c>
      <c r="B6504" t="inlineStr">
        <is>
          <t>Nivea Q10 Anti-Wrinkle Extra Light Smoothing Cream For Combination Skin Day Spf 15 50ml</t>
        </is>
      </c>
      <c r="C6504" t="inlineStr">
        <is>
          <t>Day Cream</t>
        </is>
      </c>
      <c r="D6504" t="inlineStr">
        <is>
          <t>Nivea</t>
        </is>
      </c>
      <c r="E6504" t="n">
        <v>12.32</v>
      </c>
      <c r="F6504" t="n">
        <v>1</v>
      </c>
      <c r="G6504" t="n">
        <v>2</v>
      </c>
      <c r="H6504" s="5">
        <f>HYPERLINK("https://api.qogita.com/variants/link/9005800379715/", "View Product")</f>
        <v/>
      </c>
    </row>
    <row r="6505">
      <c r="A6505" t="inlineStr">
        <is>
          <t>9005800380643</t>
        </is>
      </c>
      <c r="B6505" t="inlineStr">
        <is>
          <t>Nivea Refreshingly Soft Moisturizing Cream 500 Ml</t>
        </is>
      </c>
      <c r="C6505" t="inlineStr">
        <is>
          <t>Body Lotion</t>
        </is>
      </c>
      <c r="D6505" t="inlineStr">
        <is>
          <t>Nivea</t>
        </is>
      </c>
      <c r="E6505" t="n">
        <v>10.48</v>
      </c>
      <c r="F6505" t="n">
        <v>1</v>
      </c>
      <c r="G6505" t="n">
        <v>5</v>
      </c>
      <c r="H6505" s="5">
        <f>HYPERLINK("https://api.qogita.com/variants/link/9005800380643/", "View Product")</f>
        <v/>
      </c>
    </row>
    <row r="6506">
      <c r="A6506" t="inlineStr">
        <is>
          <t>9005800382043</t>
        </is>
      </c>
      <c r="B6506" t="inlineStr">
        <is>
          <t>Nivea Men Deep Care Set - Darkova Sada</t>
        </is>
      </c>
      <c r="C6506" t="inlineStr">
        <is>
          <t>Facial Care Sets</t>
        </is>
      </c>
      <c r="D6506" t="inlineStr">
        <is>
          <t>Nivea</t>
        </is>
      </c>
      <c r="E6506" t="n">
        <v>8.210000000000001</v>
      </c>
      <c r="F6506" t="n">
        <v>1</v>
      </c>
      <c r="G6506" t="n">
        <v>41</v>
      </c>
      <c r="H6506" s="5">
        <f>HYPERLINK("https://api.qogita.com/variants/link/9005800382043/", "View Product")</f>
        <v/>
      </c>
    </row>
    <row r="6507">
      <c r="A6507" t="inlineStr">
        <is>
          <t>9005800382463</t>
        </is>
      </c>
      <c r="B6507" t="inlineStr">
        <is>
          <t>Nivea Men Keep It Cool Skin Care Set</t>
        </is>
      </c>
      <c r="C6507" t="inlineStr">
        <is>
          <t>Face</t>
        </is>
      </c>
      <c r="D6507" t="inlineStr">
        <is>
          <t>Nivea</t>
        </is>
      </c>
      <c r="E6507" t="n">
        <v>18.64</v>
      </c>
      <c r="F6507" t="n">
        <v>1</v>
      </c>
      <c r="G6507" t="n">
        <v>14</v>
      </c>
      <c r="H6507" s="5">
        <f>HYPERLINK("https://api.qogita.com/variants/link/9005800382463/", "View Product")</f>
        <v/>
      </c>
    </row>
    <row r="6508">
      <c r="A6508" t="inlineStr">
        <is>
          <t>9005800382494</t>
        </is>
      </c>
      <c r="B6508" t="inlineStr">
        <is>
          <t>Nivea Men Keep It Active Skin Care Set</t>
        </is>
      </c>
      <c r="C6508" t="inlineStr">
        <is>
          <t>Facial Care Sets</t>
        </is>
      </c>
      <c r="D6508" t="inlineStr">
        <is>
          <t>Nivea</t>
        </is>
      </c>
      <c r="E6508" t="n">
        <v>10.78</v>
      </c>
      <c r="F6508" t="n">
        <v>1</v>
      </c>
      <c r="G6508" t="n">
        <v>29</v>
      </c>
      <c r="H6508" s="5">
        <f>HYPERLINK("https://api.qogita.com/variants/link/9005800382494/", "View Product")</f>
        <v/>
      </c>
    </row>
    <row r="6509">
      <c r="A6509" t="inlineStr">
        <is>
          <t>9005800388243</t>
        </is>
      </c>
      <c r="B6509" t="inlineStr">
        <is>
          <t>Nivea Firming Body Lotion Q10 - 625 Ml</t>
        </is>
      </c>
      <c r="C6509" t="inlineStr">
        <is>
          <t>Body Lotion</t>
        </is>
      </c>
      <c r="D6509" t="inlineStr">
        <is>
          <t>Nivea</t>
        </is>
      </c>
      <c r="E6509" t="n">
        <v>14.79</v>
      </c>
      <c r="F6509" t="n">
        <v>1</v>
      </c>
      <c r="G6509" t="n">
        <v>4</v>
      </c>
      <c r="H6509" s="5">
        <f>HYPERLINK("https://api.qogita.com/variants/link/9005800388243/", "View Product")</f>
        <v/>
      </c>
    </row>
    <row r="6510">
      <c r="A6510" t="inlineStr">
        <is>
          <t>9005800389875</t>
        </is>
      </c>
      <c r="B6510" t="inlineStr">
        <is>
          <t>Nivea Ultra Light Tinted Fluid Spf 50+ Sun - 40 Ml</t>
        </is>
      </c>
      <c r="C6510" t="inlineStr">
        <is>
          <t>Face Sun Protection</t>
        </is>
      </c>
      <c r="D6510" t="inlineStr">
        <is>
          <t>Nivea</t>
        </is>
      </c>
      <c r="E6510" t="n">
        <v>12.41</v>
      </c>
      <c r="F6510" t="n">
        <v>1</v>
      </c>
      <c r="G6510" t="n">
        <v>12</v>
      </c>
      <c r="H6510" s="5">
        <f>HYPERLINK("https://api.qogita.com/variants/link/9005800389875/", "View Product")</f>
        <v/>
      </c>
    </row>
    <row r="6511">
      <c r="A6511" t="inlineStr">
        <is>
          <t>9005800390000</t>
        </is>
      </c>
      <c r="B6511" t="inlineStr">
        <is>
          <t>Nivea Derma Control Defend Shower Gel 500ml</t>
        </is>
      </c>
      <c r="C6511" t="inlineStr">
        <is>
          <t>Shower Gel</t>
        </is>
      </c>
      <c r="D6511" t="inlineStr">
        <is>
          <t>Nivea</t>
        </is>
      </c>
      <c r="E6511" t="n">
        <v>5.91</v>
      </c>
      <c r="F6511" t="n">
        <v>1</v>
      </c>
      <c r="G6511" t="n">
        <v>10</v>
      </c>
      <c r="H6511" s="5">
        <f>HYPERLINK("https://api.qogita.com/variants/link/9005800390000/", "View Product")</f>
        <v/>
      </c>
    </row>
    <row r="6512">
      <c r="A6512" t="inlineStr">
        <is>
          <t>9005800392776</t>
        </is>
      </c>
      <c r="B6512" t="inlineStr">
        <is>
          <t>Nivea Length Wonder Strengthening Shampoo With Niacinamide And Shea Butter 400ml</t>
        </is>
      </c>
      <c r="C6512" t="inlineStr">
        <is>
          <t>Shampoo</t>
        </is>
      </c>
      <c r="D6512" t="inlineStr">
        <is>
          <t>Nivea</t>
        </is>
      </c>
      <c r="E6512" t="n">
        <v>5.73</v>
      </c>
      <c r="F6512" t="n">
        <v>1</v>
      </c>
      <c r="G6512" t="n">
        <v>9</v>
      </c>
      <c r="H6512" s="5">
        <f>HYPERLINK("https://api.qogita.com/variants/link/9005800392776/", "View Product")</f>
        <v/>
      </c>
    </row>
    <row r="6513">
      <c r="A6513" t="inlineStr">
        <is>
          <t>9007867004258</t>
        </is>
      </c>
      <c r="B6513" t="inlineStr">
        <is>
          <t>Declare Men After Shave Balm 200ml</t>
        </is>
      </c>
      <c r="C6513" t="inlineStr">
        <is>
          <t>Aftershave</t>
        </is>
      </c>
      <c r="D6513" t="inlineStr">
        <is>
          <t>Declare</t>
        </is>
      </c>
      <c r="E6513" t="n">
        <v>23.26</v>
      </c>
      <c r="F6513" t="n">
        <v>1</v>
      </c>
      <c r="G6513" t="n">
        <v>5</v>
      </c>
      <c r="H6513" s="5">
        <f>HYPERLINK("https://api.qogita.com/variants/link/9007867004258/", "View Product")</f>
        <v/>
      </c>
    </row>
    <row r="6514">
      <c r="A6514" t="inlineStr">
        <is>
          <t>9007867005170</t>
        </is>
      </c>
      <c r="B6514" t="inlineStr">
        <is>
          <t>Declaré Caviar Perfection Luxury Anti-Wrinkle Ampoule 7 Units</t>
        </is>
      </c>
      <c r="C6514" t="inlineStr">
        <is>
          <t>Ampoules</t>
        </is>
      </c>
      <c r="D6514" t="inlineStr">
        <is>
          <t>Declare</t>
        </is>
      </c>
      <c r="E6514" t="n">
        <v>29.49</v>
      </c>
      <c r="F6514" t="n">
        <v>1</v>
      </c>
      <c r="G6514" t="n">
        <v>3</v>
      </c>
      <c r="H6514" s="5">
        <f>HYPERLINK("https://api.qogita.com/variants/link/9007867005170/", "View Product")</f>
        <v/>
      </c>
    </row>
    <row r="6515">
      <c r="A6515" t="inlineStr">
        <is>
          <t>9007867005927</t>
        </is>
      </c>
      <c r="B6515" t="inlineStr">
        <is>
          <t>Declaré Age Control Smoothing Cream 50g</t>
        </is>
      </c>
      <c r="C6515" t="inlineStr">
        <is>
          <t>Anti-Aging Facial Care</t>
        </is>
      </c>
      <c r="D6515" t="inlineStr">
        <is>
          <t>Declare</t>
        </is>
      </c>
      <c r="E6515" t="n">
        <v>37.03</v>
      </c>
      <c r="F6515" t="n">
        <v>1</v>
      </c>
      <c r="G6515" t="n">
        <v>3</v>
      </c>
      <c r="H6515" s="5">
        <f>HYPERLINK("https://api.qogita.com/variants/link/9007867005927/", "View Product")</f>
        <v/>
      </c>
    </row>
    <row r="6516">
      <c r="A6516" t="inlineStr">
        <is>
          <t>9007867006689</t>
        </is>
      </c>
      <c r="B6516" t="inlineStr">
        <is>
          <t>Declare Youth Supreme Eye Cream</t>
        </is>
      </c>
      <c r="C6516" t="inlineStr">
        <is>
          <t>Eye Cream</t>
        </is>
      </c>
      <c r="D6516" t="inlineStr">
        <is>
          <t>Declare</t>
        </is>
      </c>
      <c r="E6516" t="n">
        <v>19.87</v>
      </c>
      <c r="F6516" t="n">
        <v>1</v>
      </c>
      <c r="G6516" t="n">
        <v>3</v>
      </c>
      <c r="H6516" s="5">
        <f>HYPERLINK("https://api.qogita.com/variants/link/9007867006689/", "View Product")</f>
        <v/>
      </c>
    </row>
    <row r="6517">
      <c r="A6517" t="inlineStr">
        <is>
          <t>9007867118030</t>
        </is>
      </c>
      <c r="B6517" t="inlineStr">
        <is>
          <t>HYALURON Boost After Sun Body Lotion 200ml</t>
        </is>
      </c>
      <c r="C6517" t="inlineStr">
        <is>
          <t>Aftersun</t>
        </is>
      </c>
      <c r="D6517" t="inlineStr">
        <is>
          <t>Declare</t>
        </is>
      </c>
      <c r="E6517" t="n">
        <v>28.44</v>
      </c>
      <c r="F6517" t="n">
        <v>1</v>
      </c>
      <c r="G6517" t="n">
        <v>2</v>
      </c>
      <c r="H6517" s="5">
        <f>HYPERLINK("https://api.qogita.com/variants/link/9007867118030/", "View Product")</f>
        <v/>
      </c>
    </row>
    <row r="6518">
      <c r="A6518" t="inlineStr">
        <is>
          <t>9007867118214</t>
        </is>
      </c>
      <c r="B6518" t="inlineStr">
        <is>
          <t>HYALURON Boost Self Tan Concentrate 30ml</t>
        </is>
      </c>
      <c r="C6518" t="inlineStr">
        <is>
          <t>Body Self-Tanner</t>
        </is>
      </c>
      <c r="D6518" t="inlineStr">
        <is>
          <t>Declare</t>
        </is>
      </c>
      <c r="E6518" t="n">
        <v>28.44</v>
      </c>
      <c r="F6518" t="n">
        <v>1</v>
      </c>
      <c r="G6518" t="n">
        <v>3</v>
      </c>
      <c r="H6518" s="5">
        <f>HYPERLINK("https://api.qogita.com/variants/link/9007867118214/", "View Product")</f>
        <v/>
      </c>
    </row>
    <row r="6519">
      <c r="A6519" t="inlineStr">
        <is>
          <t>9007867715727</t>
        </is>
      </c>
      <c r="B6519" t="inlineStr">
        <is>
          <t>Juvena Mastercream Eye &amp; Lip 20ml Antiwrinkle Treatment For Eye Area And Lips</t>
        </is>
      </c>
      <c r="C6519" t="inlineStr">
        <is>
          <t>Eye Cream</t>
        </is>
      </c>
      <c r="D6519" t="inlineStr">
        <is>
          <t>Juvena</t>
        </is>
      </c>
      <c r="E6519" t="n">
        <v>78.43000000000001</v>
      </c>
      <c r="F6519" t="n">
        <v>1</v>
      </c>
      <c r="G6519" t="n">
        <v>12</v>
      </c>
      <c r="H6519" s="5">
        <f>HYPERLINK("https://api.qogita.com/variants/link/9007867715727/", "View Product")</f>
        <v/>
      </c>
    </row>
    <row r="6520">
      <c r="A6520" t="inlineStr">
        <is>
          <t>9007867731178</t>
        </is>
      </c>
      <c r="B6520" t="inlineStr">
        <is>
          <t>Juvena Pure Calming Tonic 200ml For Normal To Dry Skin Cleansing Tonic</t>
        </is>
      </c>
      <c r="C6520" t="inlineStr">
        <is>
          <t>Cleansing Milk</t>
        </is>
      </c>
      <c r="D6520" t="inlineStr">
        <is>
          <t>Juvena</t>
        </is>
      </c>
      <c r="E6520" t="n">
        <v>17.58</v>
      </c>
      <c r="F6520" t="n">
        <v>1</v>
      </c>
      <c r="G6520" t="n">
        <v>23</v>
      </c>
      <c r="H6520" s="5">
        <f>HYPERLINK("https://api.qogita.com/variants/link/9007867731178/", "View Product")</f>
        <v/>
      </c>
    </row>
    <row r="6521">
      <c r="A6521" t="inlineStr">
        <is>
          <t>9007867731239</t>
        </is>
      </c>
      <c r="B6521" t="inlineStr">
        <is>
          <t>Juvena Pure Clarifying Tonic 200 Ml For Combination To Oily Skin</t>
        </is>
      </c>
      <c r="C6521" t="inlineStr">
        <is>
          <t>Face Lotion</t>
        </is>
      </c>
      <c r="D6521" t="inlineStr">
        <is>
          <t>Juvena</t>
        </is>
      </c>
      <c r="E6521" t="n">
        <v>17.55</v>
      </c>
      <c r="F6521" t="n">
        <v>1</v>
      </c>
      <c r="G6521" t="n">
        <v>13</v>
      </c>
      <c r="H6521" s="5">
        <f>HYPERLINK("https://api.qogita.com/variants/link/9007867731239/", "View Product")</f>
        <v/>
      </c>
    </row>
    <row r="6522">
      <c r="A6522" t="inlineStr">
        <is>
          <t>9007867737972</t>
        </is>
      </c>
      <c r="B6522" t="inlineStr">
        <is>
          <t>Juvena Body Daily Adoration Lotion for Women 200ml</t>
        </is>
      </c>
      <c r="C6522" t="inlineStr">
        <is>
          <t>Body Lotion</t>
        </is>
      </c>
      <c r="D6522" t="inlineStr">
        <is>
          <t>Juvena</t>
        </is>
      </c>
      <c r="E6522" t="n">
        <v>20.08</v>
      </c>
      <c r="F6522" t="n">
        <v>1</v>
      </c>
      <c r="G6522" t="n">
        <v>2</v>
      </c>
      <c r="H6522" s="5">
        <f>HYPERLINK("https://api.qogita.com/variants/link/9007867737972/", "View Product")</f>
        <v/>
      </c>
    </row>
    <row r="6523">
      <c r="A6523" t="inlineStr">
        <is>
          <t>9007867738016</t>
        </is>
      </c>
      <c r="B6523" t="inlineStr">
        <is>
          <t>JUVENA Body Care Vitalizing Massage Oil 200ml</t>
        </is>
      </c>
      <c r="C6523" t="inlineStr">
        <is>
          <t>Body Oil</t>
        </is>
      </c>
      <c r="D6523" t="inlineStr">
        <is>
          <t>Juvena</t>
        </is>
      </c>
      <c r="E6523" t="n">
        <v>23.51</v>
      </c>
      <c r="F6523" t="n">
        <v>1</v>
      </c>
      <c r="G6523" t="n">
        <v>6</v>
      </c>
      <c r="H6523" s="5">
        <f>HYPERLINK("https://api.qogita.com/variants/link/9007867738016/", "View Product")</f>
        <v/>
      </c>
    </row>
    <row r="6524">
      <c r="A6524" t="inlineStr">
        <is>
          <t>9007867760055</t>
        </is>
      </c>
      <c r="B6524" t="inlineStr">
        <is>
          <t>Juvena Skin Energy Moisture Eye Cream 15 Ml</t>
        </is>
      </c>
      <c r="C6524" t="inlineStr">
        <is>
          <t>Eye Cream</t>
        </is>
      </c>
      <c r="D6524" t="inlineStr">
        <is>
          <t>Juvena</t>
        </is>
      </c>
      <c r="E6524" t="n">
        <v>21.46</v>
      </c>
      <c r="F6524" t="n">
        <v>1</v>
      </c>
      <c r="G6524" t="n">
        <v>26</v>
      </c>
      <c r="H6524" s="5">
        <f>HYPERLINK("https://api.qogita.com/variants/link/9007867760055/", "View Product")</f>
        <v/>
      </c>
    </row>
    <row r="6525">
      <c r="A6525" t="inlineStr">
        <is>
          <t>9007867760666</t>
        </is>
      </c>
      <c r="B6525" t="inlineStr">
        <is>
          <t>Juvena Pure Cleansing Lifting Peeling Powder 90ml</t>
        </is>
      </c>
      <c r="C6525" t="inlineStr">
        <is>
          <t>Facial Scrub &amp; Peeling</t>
        </is>
      </c>
      <c r="D6525" t="inlineStr">
        <is>
          <t>Juvena</t>
        </is>
      </c>
      <c r="E6525" t="n">
        <v>27.69</v>
      </c>
      <c r="F6525" t="n">
        <v>1</v>
      </c>
      <c r="G6525" t="n">
        <v>20</v>
      </c>
      <c r="H6525" s="5">
        <f>HYPERLINK("https://api.qogita.com/variants/link/9007867760666/", "View Product")</f>
        <v/>
      </c>
    </row>
    <row r="6526">
      <c r="A6526" t="inlineStr">
        <is>
          <t>9007867760963</t>
        </is>
      </c>
      <c r="B6526" t="inlineStr">
        <is>
          <t>Juvena Phyto Detox Detoxifying Cleansing Oil 100 Ml</t>
        </is>
      </c>
      <c r="C6526" t="inlineStr">
        <is>
          <t>Cleansing Oil</t>
        </is>
      </c>
      <c r="D6526" t="inlineStr">
        <is>
          <t>Juvena</t>
        </is>
      </c>
      <c r="E6526" t="n">
        <v>17.83</v>
      </c>
      <c r="F6526" t="n">
        <v>1</v>
      </c>
      <c r="G6526" t="n">
        <v>21</v>
      </c>
      <c r="H6526" s="5">
        <f>HYPERLINK("https://api.qogita.com/variants/link/9007867760963/", "View Product")</f>
        <v/>
      </c>
    </row>
    <row r="6527">
      <c r="A6527" t="inlineStr">
        <is>
          <t>9007867761083</t>
        </is>
      </c>
      <c r="B6527" t="inlineStr">
        <is>
          <t>Juvena Lip Balm With Volume Effect Specialist Lip Filler &amp; Booster 42 Ml</t>
        </is>
      </c>
      <c r="C6527" t="inlineStr">
        <is>
          <t>Medicated Treatments</t>
        </is>
      </c>
      <c r="D6527" t="inlineStr">
        <is>
          <t>Juvena</t>
        </is>
      </c>
      <c r="E6527" t="n">
        <v>21.11</v>
      </c>
      <c r="F6527" t="n">
        <v>1</v>
      </c>
      <c r="G6527" t="n">
        <v>10</v>
      </c>
      <c r="H6527" s="5">
        <f>HYPERLINK("https://api.qogita.com/variants/link/9007867761083/", "View Product")</f>
        <v/>
      </c>
    </row>
    <row r="6528">
      <c r="A6528" t="inlineStr">
        <is>
          <t>9007867761618</t>
        </is>
      </c>
      <c r="B6528" t="inlineStr">
        <is>
          <t>Juvena MasterCare Express Firming Bio Fleece Mask</t>
        </is>
      </c>
      <c r="C6528" t="inlineStr">
        <is>
          <t>Sheet Mask</t>
        </is>
      </c>
      <c r="D6528" t="inlineStr">
        <is>
          <t>Juvena</t>
        </is>
      </c>
      <c r="E6528" t="n">
        <v>19.52</v>
      </c>
      <c r="F6528" t="n">
        <v>1</v>
      </c>
      <c r="G6528" t="n">
        <v>4</v>
      </c>
      <c r="H6528" s="5">
        <f>HYPERLINK("https://api.qogita.com/variants/link/9007867761618/", "View Product")</f>
        <v/>
      </c>
    </row>
    <row r="6529">
      <c r="A6529" t="inlineStr">
        <is>
          <t>9007867763315</t>
        </is>
      </c>
      <c r="B6529" t="inlineStr">
        <is>
          <t>Juvena Sunsation Superior Antiage Cream Spf 30 75 Ml Sunscreen With Antiaging Effect</t>
        </is>
      </c>
      <c r="C6529" t="inlineStr">
        <is>
          <t>Face Sun Protection</t>
        </is>
      </c>
      <c r="D6529" t="inlineStr">
        <is>
          <t>Juvena</t>
        </is>
      </c>
      <c r="E6529" t="n">
        <v>34.44</v>
      </c>
      <c r="F6529" t="n">
        <v>1</v>
      </c>
      <c r="G6529" t="n">
        <v>23</v>
      </c>
      <c r="H6529" s="5">
        <f>HYPERLINK("https://api.qogita.com/variants/link/9007867763315/", "View Product")</f>
        <v/>
      </c>
    </row>
    <row r="6530">
      <c r="A6530" t="inlineStr">
        <is>
          <t>9007867763551</t>
        </is>
      </c>
      <c r="B6530" t="inlineStr">
        <is>
          <t>Juvena Sunsation After Sun Shower Gel 200ml</t>
        </is>
      </c>
      <c r="C6530" t="inlineStr">
        <is>
          <t>Aftersun</t>
        </is>
      </c>
      <c r="D6530" t="inlineStr">
        <is>
          <t>Juvena</t>
        </is>
      </c>
      <c r="E6530" t="n">
        <v>18</v>
      </c>
      <c r="F6530" t="n">
        <v>1</v>
      </c>
      <c r="G6530" t="n">
        <v>8</v>
      </c>
      <c r="H6530" s="5">
        <f>HYPERLINK("https://api.qogita.com/variants/link/9007867763551/", "View Product")</f>
        <v/>
      </c>
    </row>
    <row r="6531">
      <c r="A6531" t="inlineStr">
        <is>
          <t>9007867766316</t>
        </is>
      </c>
      <c r="B6531" t="inlineStr">
        <is>
          <t>Juv Epigen Lift AW Day Cream 50ml</t>
        </is>
      </c>
      <c r="C6531" t="inlineStr">
        <is>
          <t>Day Cream</t>
        </is>
      </c>
      <c r="D6531" t="inlineStr">
        <is>
          <t>Juvena</t>
        </is>
      </c>
      <c r="E6531" t="n">
        <v>58.3</v>
      </c>
      <c r="F6531" t="n">
        <v>1</v>
      </c>
      <c r="G6531" t="n">
        <v>2</v>
      </c>
      <c r="H6531" s="5">
        <f>HYPERLINK("https://api.qogita.com/variants/link/9007867766316/", "View Product")</f>
        <v/>
      </c>
    </row>
    <row r="6532">
      <c r="A6532" t="inlineStr">
        <is>
          <t>9007867768396</t>
        </is>
      </c>
      <c r="B6532" t="inlineStr">
        <is>
          <t>Juvena Rejuven Men 24h Effect Deodorant 75 Ml</t>
        </is>
      </c>
      <c r="C6532" t="inlineStr">
        <is>
          <t>Deodorant &amp; Anti-Perspirant</t>
        </is>
      </c>
      <c r="D6532" t="inlineStr">
        <is>
          <t>Juvena</t>
        </is>
      </c>
      <c r="E6532" t="n">
        <v>18</v>
      </c>
      <c r="F6532" t="n">
        <v>1</v>
      </c>
      <c r="G6532" t="n">
        <v>3</v>
      </c>
      <c r="H6532" s="5">
        <f>HYPERLINK("https://api.qogita.com/variants/link/9007867768396/", "View Product")</f>
        <v/>
      </c>
    </row>
    <row r="6533">
      <c r="A6533" t="inlineStr">
        <is>
          <t>9120037353755</t>
        </is>
      </c>
      <c r="B6533" t="inlineStr">
        <is>
          <t>Susanne Kaufmann Purifying Cleansing Gel - Shower Gel - 100 Ml</t>
        </is>
      </c>
      <c r="C6533" t="inlineStr">
        <is>
          <t>Shower Gel</t>
        </is>
      </c>
      <c r="D6533" t="inlineStr">
        <is>
          <t>Susanne Kaufmann</t>
        </is>
      </c>
      <c r="E6533" t="n">
        <v>34.12</v>
      </c>
      <c r="F6533" t="n">
        <v>1</v>
      </c>
      <c r="G6533" t="n">
        <v>2</v>
      </c>
      <c r="H6533" s="5">
        <f>HYPERLINK("https://api.qogita.com/variants/link/9120037353755/", "View Product")</f>
        <v/>
      </c>
    </row>
    <row r="6534">
      <c r="A6534" t="inlineStr">
        <is>
          <t>9120037353977</t>
        </is>
      </c>
      <c r="B6534" t="inlineStr">
        <is>
          <t>Susanne Kaufmann Nourishing Eye Cream 15 Ml</t>
        </is>
      </c>
      <c r="C6534" t="inlineStr">
        <is>
          <t>Eye Cream</t>
        </is>
      </c>
      <c r="D6534" t="inlineStr">
        <is>
          <t>Susanne Kaufmann</t>
        </is>
      </c>
      <c r="E6534" t="n">
        <v>58.06</v>
      </c>
      <c r="F6534" t="n">
        <v>1</v>
      </c>
      <c r="G6534" t="n">
        <v>3</v>
      </c>
      <c r="H6534" s="5">
        <f>HYPERLINK("https://api.qogita.com/variants/link/9120037353977/", "View Product")</f>
        <v/>
      </c>
    </row>
    <row r="6535">
      <c r="A6535" t="inlineStr">
        <is>
          <t>9120037354462</t>
        </is>
      </c>
      <c r="B6535" t="inlineStr">
        <is>
          <t>Susanne Kaufmann Mountain Pine Bath 250ml</t>
        </is>
      </c>
      <c r="C6535" t="inlineStr">
        <is>
          <t>Bath Oil &amp; Bath Milk</t>
        </is>
      </c>
      <c r="D6535" t="inlineStr">
        <is>
          <t>Susanne Kaufmann</t>
        </is>
      </c>
      <c r="E6535" t="n">
        <v>56.43</v>
      </c>
      <c r="F6535" t="n">
        <v>1</v>
      </c>
      <c r="G6535" t="n">
        <v>2</v>
      </c>
      <c r="H6535" s="5">
        <f>HYPERLINK("https://api.qogita.com/variants/link/9120037354462/", "View Product")</f>
        <v/>
      </c>
    </row>
    <row r="6536">
      <c r="A6536" t="inlineStr">
        <is>
          <t>9120037354981</t>
        </is>
      </c>
      <c r="B6536" t="inlineStr">
        <is>
          <t>Susanne Kaufmann Deep Cleansing Oil 100 Ml</t>
        </is>
      </c>
      <c r="C6536" t="inlineStr">
        <is>
          <t>Cleansing Oil</t>
        </is>
      </c>
      <c r="D6536" t="inlineStr">
        <is>
          <t>Susanne Kaufmann</t>
        </is>
      </c>
      <c r="E6536" t="n">
        <v>45.27</v>
      </c>
      <c r="F6536" t="n">
        <v>1</v>
      </c>
      <c r="G6536" t="n">
        <v>2</v>
      </c>
      <c r="H6536" s="5">
        <f>HYPERLINK("https://api.qogita.com/variants/link/9120037354981/", "View Product")</f>
        <v/>
      </c>
    </row>
    <row r="6537">
      <c r="A6537" t="inlineStr">
        <is>
          <t>9120054350041</t>
        </is>
      </c>
      <c r="B6537" t="inlineStr">
        <is>
          <t>Synouvelle Cosmeceuticals Hyaluronic Intensive Serum 3.0 - 15 Ml</t>
        </is>
      </c>
      <c r="C6537" t="inlineStr">
        <is>
          <t>Hyaluronic Acid Serum</t>
        </is>
      </c>
      <c r="D6537" t="inlineStr">
        <is>
          <t>Synouvelle</t>
        </is>
      </c>
      <c r="E6537" t="n">
        <v>61.83</v>
      </c>
      <c r="F6537" t="n">
        <v>1</v>
      </c>
      <c r="G6537" t="n">
        <v>5</v>
      </c>
      <c r="H6537" s="5">
        <f>HYPERLINK("https://api.qogita.com/variants/link/9120054350041/", "View Product")</f>
        <v/>
      </c>
    </row>
    <row r="6538">
      <c r="A6538" t="inlineStr">
        <is>
          <t>9120054350072</t>
        </is>
      </c>
      <c r="B6538" t="inlineStr">
        <is>
          <t>Synouvelle Cosmeceuticals Eye Recovery Serum 15 Ml</t>
        </is>
      </c>
      <c r="C6538" t="inlineStr">
        <is>
          <t>Eye Serum</t>
        </is>
      </c>
      <c r="D6538" t="inlineStr">
        <is>
          <t>Synouvelle</t>
        </is>
      </c>
      <c r="E6538" t="n">
        <v>71.23</v>
      </c>
      <c r="F6538" t="n">
        <v>1</v>
      </c>
      <c r="G6538" t="n">
        <v>2</v>
      </c>
      <c r="H6538" s="5">
        <f>HYPERLINK("https://api.qogita.com/variants/link/9120054350072/", "View Product")</f>
        <v/>
      </c>
    </row>
    <row r="6539">
      <c r="A6539" t="inlineStr">
        <is>
          <t>9120054350089</t>
        </is>
      </c>
      <c r="B6539" t="inlineStr">
        <is>
          <t>Sensitiv e Super-pep Eyelash and Eyebrow Serum 5 ml</t>
        </is>
      </c>
      <c r="C6539" t="inlineStr">
        <is>
          <t>Eyelash Serum &amp; Eyebrow Serum</t>
        </is>
      </c>
      <c r="D6539" t="inlineStr">
        <is>
          <t>Synouvelle Cosmeceuticals</t>
        </is>
      </c>
      <c r="E6539" t="n">
        <v>87.09</v>
      </c>
      <c r="F6539" t="n">
        <v>1</v>
      </c>
      <c r="G6539" t="n">
        <v>6</v>
      </c>
      <c r="H6539" s="5">
        <f>HYPERLINK("https://api.qogita.com/variants/link/9120054350089/", "View Product")</f>
        <v/>
      </c>
    </row>
    <row r="6540">
      <c r="A6540" t="inlineStr">
        <is>
          <t>9120054350706</t>
        </is>
      </c>
      <c r="B6540" t="inlineStr">
        <is>
          <t>Synouvelle Cosmetics Lash Brow Activating Serum 5 Ml</t>
        </is>
      </c>
      <c r="C6540" t="inlineStr">
        <is>
          <t>Eyelash Serum &amp; Eyebrow Serum</t>
        </is>
      </c>
      <c r="D6540" t="inlineStr">
        <is>
          <t>Synouvelle Cosmetics</t>
        </is>
      </c>
      <c r="E6540" t="n">
        <v>87.09</v>
      </c>
      <c r="F6540" t="n">
        <v>1</v>
      </c>
      <c r="G6540" t="n">
        <v>117</v>
      </c>
      <c r="H6540" s="5">
        <f>HYPERLINK("https://api.qogita.com/variants/link/9120054350706/", "View Product")</f>
        <v/>
      </c>
    </row>
    <row r="6541">
      <c r="A6541" t="inlineStr">
        <is>
          <t>9339341005278</t>
        </is>
      </c>
      <c r="B6541" t="inlineStr">
        <is>
          <t>Kevin Murphy Round Hair Brush Universal Hair Brush Detailing Brush</t>
        </is>
      </c>
      <c r="C6541" t="inlineStr">
        <is>
          <t>Round Brushes</t>
        </is>
      </c>
      <c r="D6541" t="inlineStr">
        <is>
          <t>Kevin Murphy</t>
        </is>
      </c>
      <c r="E6541" t="n">
        <v>36.91</v>
      </c>
      <c r="F6541" t="n">
        <v>1</v>
      </c>
      <c r="G6541" t="n">
        <v>2</v>
      </c>
      <c r="H6541" s="5">
        <f>HYPERLINK("https://api.qogita.com/variants/link/9339341005278/", "View Product")</f>
        <v/>
      </c>
    </row>
    <row r="6542">
      <c r="A6542" t="inlineStr">
        <is>
          <t>9339341006183</t>
        </is>
      </c>
      <c r="B6542" t="inlineStr">
        <is>
          <t>Kevin.Murphy Crystal.Angel Colour Shine Hair Treatment for Colour Gloss</t>
        </is>
      </c>
      <c r="C6542" t="inlineStr">
        <is>
          <t>Hair Oil &amp; Hair Serum</t>
        </is>
      </c>
      <c r="D6542" t="inlineStr">
        <is>
          <t>Kevin Murphy</t>
        </is>
      </c>
      <c r="E6542" t="n">
        <v>26.76</v>
      </c>
      <c r="F6542" t="n">
        <v>1</v>
      </c>
      <c r="G6542" t="n">
        <v>2</v>
      </c>
      <c r="H6542" s="5">
        <f>HYPERLINK("https://api.qogita.com/variants/link/9339341006183/", "View Product")</f>
        <v/>
      </c>
    </row>
    <row r="6543">
      <c r="A6543" t="inlineStr">
        <is>
          <t>9339341011644</t>
        </is>
      </c>
      <c r="B6543" t="inlineStr">
        <is>
          <t>Kevin Murphy Young Again Dry Conditioner 250 Ml Rejuvenating And Moisturizing Spray</t>
        </is>
      </c>
      <c r="C6543" t="inlineStr">
        <is>
          <t>Conditioner</t>
        </is>
      </c>
      <c r="D6543" t="inlineStr">
        <is>
          <t>Kevin Murphy</t>
        </is>
      </c>
      <c r="E6543" t="n">
        <v>24.74</v>
      </c>
      <c r="F6543" t="n">
        <v>1</v>
      </c>
      <c r="G6543" t="n">
        <v>3</v>
      </c>
      <c r="H6543" s="5">
        <f>HYPERLINK("https://api.qogita.com/variants/link/9339341011644/", "View Product")</f>
        <v/>
      </c>
    </row>
    <row r="6544">
      <c r="A6544" t="inlineStr">
        <is>
          <t>9339341016922</t>
        </is>
      </c>
      <c r="B6544" t="inlineStr">
        <is>
          <t>Kevin.Murphy Hydrate-Me Masque 1000ml 33.8 Fl Oz</t>
        </is>
      </c>
      <c r="C6544" t="inlineStr">
        <is>
          <t>Hair Masks</t>
        </is>
      </c>
      <c r="D6544" t="inlineStr">
        <is>
          <t>Kevin.Murphy</t>
        </is>
      </c>
      <c r="E6544" t="n">
        <v>67.36</v>
      </c>
      <c r="F6544" t="n">
        <v>1</v>
      </c>
      <c r="G6544" t="n">
        <v>10</v>
      </c>
      <c r="H6544" s="5">
        <f>HYPERLINK("https://api.qogita.com/variants/link/9339341016922/", "View Product")</f>
        <v/>
      </c>
    </row>
    <row r="6545">
      <c r="A6545" t="inlineStr">
        <is>
          <t>9339341017295</t>
        </is>
      </c>
      <c r="B6545" t="inlineStr">
        <is>
          <t>Repair-Me Regenerating Shampoo For Hair 1000ml</t>
        </is>
      </c>
      <c r="C6545" t="inlineStr">
        <is>
          <t>Shampoo</t>
        </is>
      </c>
      <c r="D6545" t="inlineStr">
        <is>
          <t>Repair-Me</t>
        </is>
      </c>
      <c r="E6545" t="n">
        <v>59.02</v>
      </c>
      <c r="F6545" t="n">
        <v>1</v>
      </c>
      <c r="G6545" t="n">
        <v>8</v>
      </c>
      <c r="H6545" s="5">
        <f>HYPERLINK("https://api.qogita.com/variants/link/9339341017295/", "View Product")</f>
        <v/>
      </c>
    </row>
    <row r="6546">
      <c r="A6546" t="inlineStr">
        <is>
          <t>9339341017301</t>
        </is>
      </c>
      <c r="B6546" t="inlineStr">
        <is>
          <t>Kevin Murphy Repair-Me.Wash Shampoo - 40ml</t>
        </is>
      </c>
      <c r="C6546" t="inlineStr">
        <is>
          <t>Shampoo</t>
        </is>
      </c>
      <c r="D6546" t="inlineStr">
        <is>
          <t>Kevin Murphy</t>
        </is>
      </c>
      <c r="E6546" t="n">
        <v>6.37</v>
      </c>
      <c r="F6546" t="n">
        <v>1</v>
      </c>
      <c r="G6546" t="n">
        <v>6</v>
      </c>
      <c r="H6546" s="5">
        <f>HYPERLINK("https://api.qogita.com/variants/link/9339341017301/", "View Product")</f>
        <v/>
      </c>
    </row>
    <row r="6547">
      <c r="A6547" t="inlineStr">
        <is>
          <t>9339341017394</t>
        </is>
      </c>
      <c r="B6547" t="inlineStr">
        <is>
          <t>Kevin Murphy Stayingalive Leavein Conditioner 1000 Ml For Dry Damaged And Colored Hair</t>
        </is>
      </c>
      <c r="C6547" t="inlineStr">
        <is>
          <t>Leave-In Conditioner</t>
        </is>
      </c>
      <c r="D6547" t="inlineStr">
        <is>
          <t>Kevin Murphy</t>
        </is>
      </c>
      <c r="E6547" t="n">
        <v>66.11</v>
      </c>
      <c r="F6547" t="n">
        <v>1</v>
      </c>
      <c r="G6547" t="n">
        <v>14</v>
      </c>
      <c r="H6547" s="5">
        <f>HYPERLINK("https://api.qogita.com/variants/link/9339341017394/", "View Product")</f>
        <v/>
      </c>
    </row>
    <row r="6548">
      <c r="A6548" t="inlineStr">
        <is>
          <t>9339341017653</t>
        </is>
      </c>
      <c r="B6548" t="inlineStr">
        <is>
          <t>Kevin Murphy Night Rider Matte Texture Paste Strong Hold For Short Hair 100g</t>
        </is>
      </c>
      <c r="C6548" t="inlineStr">
        <is>
          <t>Wax</t>
        </is>
      </c>
      <c r="D6548" t="inlineStr">
        <is>
          <t>Kevin Murphy</t>
        </is>
      </c>
      <c r="E6548" t="n">
        <v>26.3</v>
      </c>
      <c r="F6548" t="n">
        <v>1</v>
      </c>
      <c r="G6548" t="n">
        <v>52</v>
      </c>
      <c r="H6548" s="5">
        <f>HYPERLINK("https://api.qogita.com/variants/link/9339341017653/", "View Product")</f>
        <v/>
      </c>
    </row>
    <row r="6549">
      <c r="A6549" t="inlineStr">
        <is>
          <t>9339341017752</t>
        </is>
      </c>
      <c r="B6549" t="inlineStr">
        <is>
          <t>Kevin Murphy Maxi Wash Cleansing Shampoo For Hair 40ml</t>
        </is>
      </c>
      <c r="C6549" t="inlineStr">
        <is>
          <t>Shampoo</t>
        </is>
      </c>
      <c r="D6549" t="inlineStr">
        <is>
          <t>Kevin Murphy</t>
        </is>
      </c>
      <c r="E6549" t="n">
        <v>7.89</v>
      </c>
      <c r="F6549" t="n">
        <v>1</v>
      </c>
      <c r="G6549" t="n">
        <v>12</v>
      </c>
      <c r="H6549" s="5">
        <f>HYPERLINK("https://api.qogita.com/variants/link/9339341017752/", "View Product")</f>
        <v/>
      </c>
    </row>
    <row r="6550">
      <c r="A6550" t="inlineStr">
        <is>
          <t>9339341019541</t>
        </is>
      </c>
      <c r="B6550" t="inlineStr">
        <is>
          <t>Kevin Murphy Angel Masque Hair Mask For Colored Hair 200ml</t>
        </is>
      </c>
      <c r="C6550" t="inlineStr">
        <is>
          <t>Hair Masks</t>
        </is>
      </c>
      <c r="D6550" t="inlineStr">
        <is>
          <t>Kevin Murphy</t>
        </is>
      </c>
      <c r="E6550" t="n">
        <v>24.81</v>
      </c>
      <c r="F6550" t="n">
        <v>1</v>
      </c>
      <c r="G6550" t="n">
        <v>35</v>
      </c>
      <c r="H6550" s="5">
        <f>HYPERLINK("https://api.qogita.com/variants/link/9339341019541/", "View Product")</f>
        <v/>
      </c>
    </row>
    <row r="6551">
      <c r="A6551" t="inlineStr">
        <is>
          <t>9339341026754</t>
        </is>
      </c>
      <c r="B6551" t="inlineStr">
        <is>
          <t>Kevin Murphy Bodybuilder Volumising Mousse 400ml</t>
        </is>
      </c>
      <c r="C6551" t="inlineStr">
        <is>
          <t>Mousse</t>
        </is>
      </c>
      <c r="D6551" t="inlineStr">
        <is>
          <t>Kevin Murphy</t>
        </is>
      </c>
      <c r="E6551" t="n">
        <v>25.7</v>
      </c>
      <c r="F6551" t="n">
        <v>1</v>
      </c>
      <c r="G6551" t="n">
        <v>41</v>
      </c>
      <c r="H6551" s="5">
        <f>HYPERLINK("https://api.qogita.com/variants/link/9339341026754/", "View Product")</f>
        <v/>
      </c>
    </row>
    <row r="6552">
      <c r="A6552" t="inlineStr">
        <is>
          <t>9339341033677</t>
        </is>
      </c>
      <c r="B6552" t="inlineStr">
        <is>
          <t>Kevin Murphy Scalp Spa Treatment Cleansing Foam For Sensitive Scalp 170ml</t>
        </is>
      </c>
      <c r="C6552" t="inlineStr">
        <is>
          <t>Scalp Care</t>
        </is>
      </c>
      <c r="D6552" t="inlineStr">
        <is>
          <t>Kevin Murphy</t>
        </is>
      </c>
      <c r="E6552" t="n">
        <v>30.94</v>
      </c>
      <c r="F6552" t="n">
        <v>1</v>
      </c>
      <c r="G6552" t="n">
        <v>8</v>
      </c>
      <c r="H6552" s="5">
        <f>HYPERLINK("https://api.qogita.com/variants/link/9339341033677/", "View Product")</f>
        <v/>
      </c>
    </row>
    <row r="6553">
      <c r="A6553" t="inlineStr">
        <is>
          <t>9339341033691</t>
        </is>
      </c>
      <c r="B6553" t="inlineStr">
        <is>
          <t>Kevin Murphy Anti Gravity Hair Care Styling - 40 Ml</t>
        </is>
      </c>
      <c r="C6553" t="inlineStr">
        <is>
          <t>Styling Creams</t>
        </is>
      </c>
      <c r="D6553" t="inlineStr">
        <is>
          <t>Kevin Murphy</t>
        </is>
      </c>
      <c r="E6553" t="n">
        <v>9.24</v>
      </c>
      <c r="F6553" t="n">
        <v>1</v>
      </c>
      <c r="G6553" t="n">
        <v>4</v>
      </c>
      <c r="H6553" s="5">
        <f>HYPERLINK("https://api.qogita.com/variants/link/9339341033691/", "View Product")</f>
        <v/>
      </c>
    </row>
    <row r="6554">
      <c r="A6554" t="inlineStr">
        <is>
          <t>9339341035404</t>
        </is>
      </c>
      <c r="B6554" t="inlineStr">
        <is>
          <t>Kevin Murphy Everlastingcolour Leavein Colour Protective Treatment</t>
        </is>
      </c>
      <c r="C6554" t="inlineStr">
        <is>
          <t>Leave-In Conditioner</t>
        </is>
      </c>
      <c r="D6554" t="inlineStr">
        <is>
          <t>Kevin Murphy</t>
        </is>
      </c>
      <c r="E6554" t="n">
        <v>78.42</v>
      </c>
      <c r="F6554" t="n">
        <v>1</v>
      </c>
      <c r="G6554" t="n">
        <v>6</v>
      </c>
      <c r="H6554" s="5">
        <f>HYPERLINK("https://api.qogita.com/variants/link/9339341035404/", "View Product")</f>
        <v/>
      </c>
    </row>
    <row r="6555">
      <c r="A6555" t="inlineStr">
        <is>
          <t>9339341035589</t>
        </is>
      </c>
      <c r="B6555" t="inlineStr">
        <is>
          <t>Kevin Murphy Plumping Doo Over Powder Hair Spray 250ml</t>
        </is>
      </c>
      <c r="C6555" t="inlineStr">
        <is>
          <t>Hairspray</t>
        </is>
      </c>
      <c r="D6555" t="inlineStr">
        <is>
          <t>Kevin Murphy</t>
        </is>
      </c>
      <c r="E6555" t="n">
        <v>21.94</v>
      </c>
      <c r="F6555" t="n">
        <v>1</v>
      </c>
      <c r="G6555" t="n">
        <v>14</v>
      </c>
      <c r="H6555" s="5">
        <f>HYPERLINK("https://api.qogita.com/variants/link/9339341035589/", "View Product")</f>
        <v/>
      </c>
    </row>
    <row r="6556">
      <c r="A6556" t="inlineStr">
        <is>
          <t>9339341035619</t>
        </is>
      </c>
      <c r="B6556" t="inlineStr">
        <is>
          <t>Kevin Murphy Session Spray Flex 400ml</t>
        </is>
      </c>
      <c r="C6556" t="inlineStr">
        <is>
          <t>Hairspray</t>
        </is>
      </c>
      <c r="D6556" t="inlineStr">
        <is>
          <t>Kevin Murphy</t>
        </is>
      </c>
      <c r="E6556" t="n">
        <v>25.59</v>
      </c>
      <c r="F6556" t="n">
        <v>1</v>
      </c>
      <c r="G6556" t="n">
        <v>4</v>
      </c>
      <c r="H6556" s="5">
        <f>HYPERLINK("https://api.qogita.com/variants/link/9339341035619/", "View Product")</f>
        <v/>
      </c>
    </row>
    <row r="6557">
      <c r="A6557" t="inlineStr">
        <is>
          <t>9339341035626</t>
        </is>
      </c>
      <c r="B6557" t="inlineStr">
        <is>
          <t>Kevin Murphy Styling Session Spray Flex - 100ml</t>
        </is>
      </c>
      <c r="C6557" t="inlineStr">
        <is>
          <t>Styling Sprays</t>
        </is>
      </c>
      <c r="D6557" t="inlineStr">
        <is>
          <t>Kevin Murphy</t>
        </is>
      </c>
      <c r="E6557" t="n">
        <v>9.279999999999999</v>
      </c>
      <c r="F6557" t="n">
        <v>1</v>
      </c>
      <c r="G6557" t="n">
        <v>21</v>
      </c>
      <c r="H6557" s="5">
        <f>HYPERLINK("https://api.qogita.com/variants/link/9339341035626/", "View Product")</f>
        <v/>
      </c>
    </row>
    <row r="6558">
      <c r="A6558" t="inlineStr">
        <is>
          <t>9339341035848</t>
        </is>
      </c>
      <c r="B6558" t="inlineStr">
        <is>
          <t>Kevin Murphy Powder Puff Volumising Powder 14g</t>
        </is>
      </c>
      <c r="C6558" t="inlineStr">
        <is>
          <t>Volume Powder</t>
        </is>
      </c>
      <c r="D6558" t="inlineStr">
        <is>
          <t>Kevin Murphy</t>
        </is>
      </c>
      <c r="E6558" t="n">
        <v>21.94</v>
      </c>
      <c r="F6558" t="n">
        <v>1</v>
      </c>
      <c r="G6558" t="n">
        <v>31</v>
      </c>
      <c r="H6558" s="5">
        <f>HYPERLINK("https://api.qogita.com/variants/link/9339341035848/", "View Product")</f>
        <v/>
      </c>
    </row>
    <row r="6559">
      <c r="A6559" t="inlineStr">
        <is>
          <t>9339341036012</t>
        </is>
      </c>
      <c r="B6559" t="inlineStr">
        <is>
          <t>Kevin Murphy Blow Dry Wash Shampoo 1 Liter 33.8oz</t>
        </is>
      </c>
      <c r="C6559" t="inlineStr">
        <is>
          <t>Shampoo</t>
        </is>
      </c>
      <c r="D6559" t="inlineStr">
        <is>
          <t>Kevin Murphy</t>
        </is>
      </c>
      <c r="E6559" t="n">
        <v>56.72</v>
      </c>
      <c r="F6559" t="n">
        <v>1</v>
      </c>
      <c r="G6559" t="n">
        <v>24</v>
      </c>
      <c r="H6559" s="5">
        <f>HYPERLINK("https://api.qogita.com/variants/link/9339341036012/", "View Product")</f>
        <v/>
      </c>
    </row>
    <row r="6560">
      <c r="A6560" t="inlineStr">
        <is>
          <t>9339341037040</t>
        </is>
      </c>
      <c r="B6560" t="inlineStr">
        <is>
          <t>Kevin Murphy Blow Dry Rinse 40ml</t>
        </is>
      </c>
      <c r="C6560" t="inlineStr">
        <is>
          <t>Conditioner</t>
        </is>
      </c>
      <c r="D6560" t="inlineStr">
        <is>
          <t>Kevin Murphy</t>
        </is>
      </c>
      <c r="E6560" t="n">
        <v>6.6</v>
      </c>
      <c r="F6560" t="n">
        <v>1</v>
      </c>
      <c r="G6560" t="n">
        <v>3</v>
      </c>
      <c r="H6560" s="5">
        <f>HYPERLINK("https://api.qogita.com/variants/link/9339341037040/", "View Product")</f>
        <v/>
      </c>
    </row>
    <row r="6561">
      <c r="A6561" t="inlineStr">
        <is>
          <t>9339527010850</t>
        </is>
      </c>
      <c r="B6561" t="inlineStr">
        <is>
          <t>Inika Organic Natural Light Care Make-Up Serum Foundation - 25 Ml</t>
        </is>
      </c>
      <c r="C6561" t="inlineStr">
        <is>
          <t>Foundation</t>
        </is>
      </c>
      <c r="D6561" t="inlineStr">
        <is>
          <t>Inika Organic</t>
        </is>
      </c>
      <c r="E6561" t="n">
        <v>52.15</v>
      </c>
      <c r="F6561" t="n">
        <v>1</v>
      </c>
      <c r="G6561" t="n">
        <v>3</v>
      </c>
      <c r="H6561" s="5">
        <f>HYPERLINK("https://api.qogita.com/variants/link/9339527010850/", "View Product")</f>
        <v/>
      </c>
    </row>
    <row r="6562">
      <c r="A6562" t="inlineStr">
        <is>
          <t>9340800003346</t>
        </is>
      </c>
      <c r="B6562" t="inlineStr">
        <is>
          <t>Grown Alchemist Strengthening Shampoo 200ml</t>
        </is>
      </c>
      <c r="C6562" t="inlineStr">
        <is>
          <t>Shampoo</t>
        </is>
      </c>
      <c r="D6562" t="inlineStr">
        <is>
          <t>Grown Alchemist</t>
        </is>
      </c>
      <c r="E6562" t="n">
        <v>15.93</v>
      </c>
      <c r="F6562" t="n">
        <v>1</v>
      </c>
      <c r="G6562" t="n">
        <v>2</v>
      </c>
      <c r="H6562" s="5">
        <f>HYPERLINK("https://api.qogita.com/variants/link/9340800003346/", "View Product")</f>
        <v/>
      </c>
    </row>
    <row r="6563">
      <c r="A6563" t="inlineStr">
        <is>
          <t>9340800003407</t>
        </is>
      </c>
      <c r="B6563" t="inlineStr">
        <is>
          <t>Grown Alchemist Detox Shampoo Phytoprotein Lycopene Sage Hydrolyzed Silk Protein Detox Shampoo</t>
        </is>
      </c>
      <c r="C6563" t="inlineStr">
        <is>
          <t>Shampoo</t>
        </is>
      </c>
      <c r="D6563" t="inlineStr">
        <is>
          <t>Grown Alchemist</t>
        </is>
      </c>
      <c r="E6563" t="n">
        <v>16.53</v>
      </c>
      <c r="F6563" t="n">
        <v>1</v>
      </c>
      <c r="G6563" t="n">
        <v>4</v>
      </c>
      <c r="H6563" s="5">
        <f>HYPERLINK("https://api.qogita.com/variants/link/9340800003407/", "View Product")</f>
        <v/>
      </c>
    </row>
    <row r="6564">
      <c r="A6564" t="inlineStr">
        <is>
          <t>9346627000100</t>
        </is>
      </c>
      <c r="B6564" t="inlineStr">
        <is>
          <t>Memonotry Eleven Australia I Want Body Volume Conditioner 300ml</t>
        </is>
      </c>
      <c r="C6564" t="inlineStr">
        <is>
          <t>Conditioner</t>
        </is>
      </c>
      <c r="D6564" t="inlineStr">
        <is>
          <t>Eleven Australia</t>
        </is>
      </c>
      <c r="E6564" t="n">
        <v>12.42</v>
      </c>
      <c r="F6564" t="n">
        <v>1</v>
      </c>
      <c r="G6564" t="n">
        <v>12</v>
      </c>
      <c r="H6564" s="5">
        <f>HYPERLINK("https://api.qogita.com/variants/link/9346627000100/", "View Product")</f>
        <v/>
      </c>
    </row>
    <row r="6565">
      <c r="A6565" t="inlineStr">
        <is>
          <t>9346627001787</t>
        </is>
      </c>
      <c r="B6565" t="inlineStr">
        <is>
          <t>ELEVEN AUSTRALIA Repair My Hair Nourishing Conditioner 6.8 Fl Oz</t>
        </is>
      </c>
      <c r="C6565" t="inlineStr">
        <is>
          <t>Conditioner</t>
        </is>
      </c>
      <c r="D6565" t="inlineStr">
        <is>
          <t>Eleven Australia</t>
        </is>
      </c>
      <c r="E6565" t="n">
        <v>12.61</v>
      </c>
      <c r="F6565" t="n">
        <v>1</v>
      </c>
      <c r="G6565" t="n">
        <v>5</v>
      </c>
      <c r="H6565" s="5">
        <f>HYPERLINK("https://api.qogita.com/variants/link/9346627001787/", "View Product")</f>
        <v/>
      </c>
    </row>
    <row r="6566">
      <c r="A6566" t="inlineStr">
        <is>
          <t>9347108006406</t>
        </is>
      </c>
      <c r="B6566" t="inlineStr">
        <is>
          <t>MineTan Radically Moisturizing Body Lotion for Dry Skin with Hyaluronic Acid and Ceramides 7 fl oz</t>
        </is>
      </c>
      <c r="C6566" t="inlineStr">
        <is>
          <t>Body Lotion</t>
        </is>
      </c>
      <c r="D6566" t="inlineStr">
        <is>
          <t>Minetan</t>
        </is>
      </c>
      <c r="E6566" t="n">
        <v>30.33</v>
      </c>
      <c r="F6566" t="n">
        <v>1</v>
      </c>
      <c r="G6566" t="n">
        <v>3</v>
      </c>
      <c r="H6566" s="5">
        <f>HYPERLINK("https://api.qogita.com/variants/link/9347108006406/", "View Product")</f>
        <v/>
      </c>
    </row>
    <row r="6567">
      <c r="A6567" t="inlineStr">
        <is>
          <t>9347108008653</t>
        </is>
      </c>
      <c r="B6567" t="inlineStr">
        <is>
          <t>MineTan Bronze On Tanning Glove Streak Finish Self Tanning Glove</t>
        </is>
      </c>
      <c r="C6567" t="inlineStr">
        <is>
          <t>Self-Tanning Gloves</t>
        </is>
      </c>
      <c r="D6567" t="inlineStr">
        <is>
          <t>Minetan</t>
        </is>
      </c>
      <c r="E6567" t="n">
        <v>9.81</v>
      </c>
      <c r="F6567" t="n">
        <v>1</v>
      </c>
      <c r="G6567" t="n">
        <v>2</v>
      </c>
      <c r="H6567" s="5">
        <f>HYPERLINK("https://api.qogita.com/variants/link/9347108008653/", "View Product")</f>
        <v/>
      </c>
    </row>
    <row r="6568">
      <c r="A6568" t="inlineStr">
        <is>
          <t>9347108049052</t>
        </is>
      </c>
      <c r="B6568" t="inlineStr">
        <is>
          <t>Minetan Self Tanning Foam With Golden Effect Caramel - 200 Ml</t>
        </is>
      </c>
      <c r="C6568" t="inlineStr">
        <is>
          <t>Body Self-Tanner</t>
        </is>
      </c>
      <c r="D6568" t="inlineStr">
        <is>
          <t>Minetan</t>
        </is>
      </c>
      <c r="E6568" t="n">
        <v>33.71</v>
      </c>
      <c r="F6568" t="n">
        <v>1</v>
      </c>
      <c r="G6568" t="n">
        <v>2</v>
      </c>
      <c r="H6568" s="5">
        <f>HYPERLINK("https://api.qogita.com/variants/link/9347108049052/", "View Product")</f>
        <v/>
      </c>
    </row>
    <row r="6569">
      <c r="A6569" t="inlineStr">
        <is>
          <t>9421017766894</t>
        </is>
      </c>
      <c r="B6569" t="inlineStr">
        <is>
          <t>Trilogy Vitamin C Moisturizing Lotion 50ml</t>
        </is>
      </c>
      <c r="C6569" t="inlineStr">
        <is>
          <t>Face Cream</t>
        </is>
      </c>
      <c r="D6569" t="inlineStr">
        <is>
          <t>Trilogy</t>
        </is>
      </c>
      <c r="E6569" t="n">
        <v>23.74</v>
      </c>
      <c r="F6569" t="n">
        <v>1</v>
      </c>
      <c r="G6569" t="n">
        <v>2</v>
      </c>
      <c r="H6569" s="5">
        <f>HYPERLINK("https://api.qogita.com/variants/link/9421017766894/", "View Product")</f>
        <v/>
      </c>
    </row>
    <row r="6570">
      <c r="A6570" t="inlineStr">
        <is>
          <t>9999901505039</t>
        </is>
      </c>
      <c r="B6570" t="inlineStr">
        <is>
          <t>Khadlaj Empire Empress Eau De Parfum</t>
        </is>
      </c>
      <c r="C6570" t="inlineStr">
        <is>
          <t>Eau De Parfum</t>
        </is>
      </c>
      <c r="D6570" t="inlineStr">
        <is>
          <t>Khadlaj</t>
        </is>
      </c>
      <c r="E6570" t="n">
        <v>16.28</v>
      </c>
      <c r="F6570" t="n">
        <v>1</v>
      </c>
      <c r="G6570" t="n">
        <v>86</v>
      </c>
      <c r="H6570" s="5">
        <f>HYPERLINK("https://api.qogita.com/variants/link/9999901505039/", "View Product")</f>
        <v/>
      </c>
    </row>
    <row r="6571">
      <c r="A6571" t="inlineStr">
        <is>
          <t>0000085960336</t>
        </is>
      </c>
      <c r="B6571" t="inlineStr">
        <is>
          <t>Dermacol Czech ILUSION Super Volume Mascara 11ml</t>
        </is>
      </c>
      <c r="C6571" t="inlineStr">
        <is>
          <t>Mascara</t>
        </is>
      </c>
      <c r="D6571" t="inlineStr">
        <is>
          <t>Dermacol</t>
        </is>
      </c>
      <c r="E6571" t="n">
        <v>6.33</v>
      </c>
      <c r="F6571" t="n">
        <v>1</v>
      </c>
      <c r="G6571" t="n">
        <v>8</v>
      </c>
      <c r="H6571" s="5">
        <f>HYPERLINK("https://api.qogita.com/variants/link/0000085960336/", "View Product")</f>
        <v/>
      </c>
    </row>
    <row r="6572">
      <c r="A6572" t="inlineStr">
        <is>
          <t>0000085960374</t>
        </is>
      </c>
      <c r="B6572" t="inlineStr">
        <is>
          <t>DERMACOL Matte Mania No.31 3.5g</t>
        </is>
      </c>
      <c r="C6572" t="inlineStr">
        <is>
          <t>Lipstick</t>
        </is>
      </c>
      <c r="D6572" t="inlineStr">
        <is>
          <t>Dermacol</t>
        </is>
      </c>
      <c r="E6572" t="n">
        <v>4.93</v>
      </c>
      <c r="F6572" t="n">
        <v>1</v>
      </c>
      <c r="G6572" t="n">
        <v>2</v>
      </c>
      <c r="H6572" s="5">
        <f>HYPERLINK("https://api.qogita.com/variants/link/0000085960374/", "View Product")</f>
        <v/>
      </c>
    </row>
    <row r="6573">
      <c r="A6573" t="inlineStr">
        <is>
          <t>0000085962798</t>
        </is>
      </c>
      <c r="B6573" t="inlineStr">
        <is>
          <t>Dermacol Pretty Matte Lipstick 45g</t>
        </is>
      </c>
      <c r="C6573" t="inlineStr">
        <is>
          <t>Lipstick</t>
        </is>
      </c>
      <c r="D6573" t="inlineStr">
        <is>
          <t>Dermacol</t>
        </is>
      </c>
      <c r="E6573" t="n">
        <v>4.68</v>
      </c>
      <c r="F6573" t="n">
        <v>1</v>
      </c>
      <c r="G6573" t="n">
        <v>4</v>
      </c>
      <c r="H6573" s="5">
        <f>HYPERLINK("https://api.qogita.com/variants/link/0000085962798/", "View Product")</f>
        <v/>
      </c>
    </row>
    <row r="6574">
      <c r="A6574" t="inlineStr">
        <is>
          <t>0000085966383</t>
        </is>
      </c>
      <c r="B6574" t="inlineStr">
        <is>
          <t>Dermacol Full Coverage Foundation Liquid Makeup Matte Foundation with SPF 30 Waterproof Foundation for Oily Skin Acne &amp; Under Eye Bags Long-Lasting Makeup Products 30g Shade 228</t>
        </is>
      </c>
      <c r="C6574" t="inlineStr">
        <is>
          <t>Foundation</t>
        </is>
      </c>
      <c r="D6574" t="inlineStr">
        <is>
          <t>Dermacol</t>
        </is>
      </c>
      <c r="E6574" t="n">
        <v>11.67</v>
      </c>
      <c r="F6574" t="n">
        <v>1</v>
      </c>
      <c r="G6574" t="n">
        <v>2</v>
      </c>
      <c r="H6574" s="5">
        <f>HYPERLINK("https://api.qogita.com/variants/link/0000085966383/", "View Product")</f>
        <v/>
      </c>
    </row>
    <row r="6575">
      <c r="A6575" t="inlineStr">
        <is>
          <t>0000085966574</t>
        </is>
      </c>
      <c r="B6575" t="inlineStr">
        <is>
          <t>Dermacol Facial Highlighter 20ml - Shine Every Day</t>
        </is>
      </c>
      <c r="C6575" t="inlineStr">
        <is>
          <t>Highlighter</t>
        </is>
      </c>
      <c r="D6575" t="inlineStr">
        <is>
          <t>Dermacol</t>
        </is>
      </c>
      <c r="E6575" t="n">
        <v>7.66</v>
      </c>
      <c r="F6575" t="n">
        <v>1</v>
      </c>
      <c r="G6575" t="n">
        <v>11</v>
      </c>
      <c r="H6575" s="5">
        <f>HYPERLINK("https://api.qogita.com/variants/link/0000085966574/", "View Product")</f>
        <v/>
      </c>
    </row>
    <row r="6576">
      <c r="A6576" t="inlineStr">
        <is>
          <t>0000085968691</t>
        </is>
      </c>
      <c r="B6576" t="inlineStr">
        <is>
          <t>Satin Makeup Base Smoothing Base Under Makeup 20ml</t>
        </is>
      </c>
      <c r="C6576" t="inlineStr">
        <is>
          <t>Primer</t>
        </is>
      </c>
      <c r="D6576" t="inlineStr">
        <is>
          <t>Dermacol</t>
        </is>
      </c>
      <c r="E6576" t="n">
        <v>6.66</v>
      </c>
      <c r="F6576" t="n">
        <v>1</v>
      </c>
      <c r="G6576" t="n">
        <v>23</v>
      </c>
      <c r="H6576" s="5">
        <f>HYPERLINK("https://api.qogita.com/variants/link/0000085968691/", "View Product")</f>
        <v/>
      </c>
    </row>
    <row r="6577">
      <c r="A6577" t="inlineStr">
        <is>
          <t>0000085971370</t>
        </is>
      </c>
      <c r="B6577" t="inlineStr">
        <is>
          <t>Dermacol Acnecover Makeup 30ml</t>
        </is>
      </c>
      <c r="C6577" t="inlineStr">
        <is>
          <t>Foundation</t>
        </is>
      </c>
      <c r="D6577" t="inlineStr">
        <is>
          <t>Dermacol</t>
        </is>
      </c>
      <c r="E6577" t="n">
        <v>4.43</v>
      </c>
      <c r="F6577" t="n">
        <v>1</v>
      </c>
      <c r="G6577" t="n">
        <v>37</v>
      </c>
      <c r="H6577" s="5">
        <f>HYPERLINK("https://api.qogita.com/variants/link/0000085971370/", "View Product")</f>
        <v/>
      </c>
    </row>
    <row r="6578">
      <c r="A6578" t="inlineStr">
        <is>
          <t>0000085972551</t>
        </is>
      </c>
      <c r="B6578" t="inlineStr">
        <is>
          <t>Dermacol Eyebrow Eyeliner Tattoo 3 Eyebrows No. 3</t>
        </is>
      </c>
      <c r="C6578" t="inlineStr">
        <is>
          <t>Other</t>
        </is>
      </c>
      <c r="D6578" t="inlineStr">
        <is>
          <t>Dermacol</t>
        </is>
      </c>
      <c r="E6578" t="n">
        <v>4.93</v>
      </c>
      <c r="F6578" t="n">
        <v>1</v>
      </c>
      <c r="G6578" t="n">
        <v>12</v>
      </c>
      <c r="H6578" s="5">
        <f>HYPERLINK("https://api.qogita.com/variants/link/0000085972551/", "View Product")</f>
        <v/>
      </c>
    </row>
    <row r="6579">
      <c r="A6579" t="inlineStr">
        <is>
          <t>0000085972735</t>
        </is>
      </c>
      <c r="B6579" t="inlineStr">
        <is>
          <t>3D Mono Eyeshadows 2g Shade 02 Metal Champagne</t>
        </is>
      </c>
      <c r="C6579" t="inlineStr">
        <is>
          <t>Eyeshadow</t>
        </is>
      </c>
      <c r="D6579" t="inlineStr">
        <is>
          <t>Dermacol</t>
        </is>
      </c>
      <c r="E6579" t="n">
        <v>6.33</v>
      </c>
      <c r="F6579" t="n">
        <v>1</v>
      </c>
      <c r="G6579" t="n">
        <v>2</v>
      </c>
      <c r="H6579" s="5">
        <f>HYPERLINK("https://api.qogita.com/variants/link/0000085972735/", "View Product")</f>
        <v/>
      </c>
    </row>
    <row r="6580">
      <c r="A6580" t="inlineStr">
        <is>
          <t>0000085972865</t>
        </is>
      </c>
      <c r="B6580" t="inlineStr">
        <is>
          <t>Crystal Look Automatic 24-Hour Waterproof Eyeliner Shade 01 Bronze</t>
        </is>
      </c>
      <c r="C6580" t="inlineStr">
        <is>
          <t>Eyeliner</t>
        </is>
      </c>
      <c r="D6580" t="inlineStr">
        <is>
          <t>Dermacol</t>
        </is>
      </c>
      <c r="E6580" t="n">
        <v>3.85</v>
      </c>
      <c r="F6580" t="n">
        <v>1</v>
      </c>
      <c r="G6580" t="n">
        <v>3</v>
      </c>
      <c r="H6580" s="5">
        <f>HYPERLINK("https://api.qogita.com/variants/link/0000085972865/", "View Product")</f>
        <v/>
      </c>
    </row>
    <row r="6581">
      <c r="A6581" t="inlineStr">
        <is>
          <t>0000085972889</t>
        </is>
      </c>
      <c r="B6581" t="inlineStr">
        <is>
          <t>Dermacol Crystal Look 24h Waterproof Eyeliner 03 Opal</t>
        </is>
      </c>
      <c r="C6581" t="inlineStr">
        <is>
          <t>Eyeliner</t>
        </is>
      </c>
      <c r="D6581" t="inlineStr">
        <is>
          <t>Dermacol</t>
        </is>
      </c>
      <c r="E6581" t="n">
        <v>3.85</v>
      </c>
      <c r="F6581" t="n">
        <v>1</v>
      </c>
      <c r="G6581" t="n">
        <v>4</v>
      </c>
      <c r="H6581" s="5">
        <f>HYPERLINK("https://api.qogita.com/variants/link/0000085972889/", "View Product")</f>
        <v/>
      </c>
    </row>
    <row r="6582">
      <c r="A6582" t="inlineStr">
        <is>
          <t>0000085972940</t>
        </is>
      </c>
      <c r="B6582" t="inlineStr">
        <is>
          <t>Dermacol Collagen-Infused Nude Lifting Foundation - 20 Ml</t>
        </is>
      </c>
      <c r="C6582" t="inlineStr">
        <is>
          <t>Foundation</t>
        </is>
      </c>
      <c r="D6582" t="inlineStr">
        <is>
          <t>Dermacol</t>
        </is>
      </c>
      <c r="E6582" t="n">
        <v>7.07</v>
      </c>
      <c r="F6582" t="n">
        <v>1</v>
      </c>
      <c r="G6582" t="n">
        <v>13</v>
      </c>
      <c r="H6582" s="5">
        <f>HYPERLINK("https://api.qogita.com/variants/link/0000085972940/", "View Product")</f>
        <v/>
      </c>
    </row>
    <row r="6583">
      <c r="A6583" t="inlineStr">
        <is>
          <t>0000085973138</t>
        </is>
      </c>
      <c r="B6583" t="inlineStr">
        <is>
          <t>Dermacol Cover Xtreme Corrector Contour Stick SPF30 High Coverage Light Formula No. 3 (210)</t>
        </is>
      </c>
      <c r="C6583" t="inlineStr">
        <is>
          <t>Concealer</t>
        </is>
      </c>
      <c r="D6583" t="inlineStr">
        <is>
          <t>Dermacol</t>
        </is>
      </c>
      <c r="E6583" t="n">
        <v>6.96</v>
      </c>
      <c r="F6583" t="n">
        <v>1</v>
      </c>
      <c r="G6583" t="n">
        <v>7</v>
      </c>
      <c r="H6583" s="5">
        <f>HYPERLINK("https://api.qogita.com/variants/link/0000085973138/", "View Product")</f>
        <v/>
      </c>
    </row>
    <row r="6584">
      <c r="A6584" t="inlineStr">
        <is>
          <t>0000085974074</t>
        </is>
      </c>
      <c r="B6584" t="inlineStr">
        <is>
          <t>Extreme Cover Corrector No. 2 (208)</t>
        </is>
      </c>
      <c r="C6584" t="inlineStr">
        <is>
          <t>Color Corrector</t>
        </is>
      </c>
      <c r="D6584" t="inlineStr">
        <is>
          <t>Dermacol</t>
        </is>
      </c>
      <c r="E6584" t="n">
        <v>6.91</v>
      </c>
      <c r="F6584" t="n">
        <v>1</v>
      </c>
      <c r="G6584" t="n">
        <v>5</v>
      </c>
      <c r="H6584" s="5">
        <f>HYPERLINK("https://api.qogita.com/variants/link/0000085974074/", "View Product")</f>
        <v/>
      </c>
    </row>
    <row r="6585">
      <c r="A6585" t="inlineStr">
        <is>
          <t>0000085974098</t>
        </is>
      </c>
      <c r="B6585" t="inlineStr">
        <is>
          <t>Dermacol Mineral Compact Powder 8.5g</t>
        </is>
      </c>
      <c r="C6585" t="inlineStr">
        <is>
          <t>Powder</t>
        </is>
      </c>
      <c r="D6585" t="inlineStr">
        <is>
          <t>Dermacol</t>
        </is>
      </c>
      <c r="E6585" t="n">
        <v>5.33</v>
      </c>
      <c r="F6585" t="n">
        <v>1</v>
      </c>
      <c r="G6585" t="n">
        <v>4</v>
      </c>
      <c r="H6585" s="5">
        <f>HYPERLINK("https://api.qogita.com/variants/link/0000085974098/", "View Product")</f>
        <v/>
      </c>
    </row>
    <row r="6586">
      <c r="A6586" t="inlineStr">
        <is>
          <t>0000085974289</t>
        </is>
      </c>
      <c r="B6586" t="inlineStr">
        <is>
          <t>BB Hyaluronic Cream All in One SPF 30 (Hyaluronic Cream) 30 ml Shade Bronze</t>
        </is>
      </c>
      <c r="C6586" t="inlineStr">
        <is>
          <t>Tinted Day Cream</t>
        </is>
      </c>
      <c r="D6586" t="inlineStr">
        <is>
          <t>Dermacol</t>
        </is>
      </c>
      <c r="E6586" t="n">
        <v>6.66</v>
      </c>
      <c r="F6586" t="n">
        <v>1</v>
      </c>
      <c r="G6586" t="n">
        <v>8</v>
      </c>
      <c r="H6586" s="5">
        <f>HYPERLINK("https://api.qogita.com/variants/link/0000085974289/", "View Product")</f>
        <v/>
      </c>
    </row>
    <row r="6587">
      <c r="A6587" t="inlineStr">
        <is>
          <t>0000085974296</t>
        </is>
      </c>
      <c r="B6587" t="inlineStr">
        <is>
          <t>Beauty Balance Cream (BB Cream) 30 ml Shade Fair</t>
        </is>
      </c>
      <c r="C6587" t="inlineStr">
        <is>
          <t>Bb Cream &amp; Cc Cream</t>
        </is>
      </c>
      <c r="D6587" t="inlineStr">
        <is>
          <t>Dermacol</t>
        </is>
      </c>
      <c r="E6587" t="n">
        <v>5.55</v>
      </c>
      <c r="F6587" t="n">
        <v>1</v>
      </c>
      <c r="G6587" t="n">
        <v>19</v>
      </c>
      <c r="H6587" s="5">
        <f>HYPERLINK("https://api.qogita.com/variants/link/0000085974296/", "View Product")</f>
        <v/>
      </c>
    </row>
    <row r="6588">
      <c r="A6588" t="inlineStr">
        <is>
          <t>0000085974364</t>
        </is>
      </c>
      <c r="B6588" t="inlineStr">
        <is>
          <t>Lip Gloss F ****** High Shine 4 ml Shade 04</t>
        </is>
      </c>
      <c r="C6588" t="inlineStr">
        <is>
          <t>Lip Gloss</t>
        </is>
      </c>
      <c r="D6588" t="inlineStr">
        <is>
          <t>Dermacol</t>
        </is>
      </c>
      <c r="E6588" t="n">
        <v>4.54</v>
      </c>
      <c r="F6588" t="n">
        <v>1</v>
      </c>
      <c r="G6588" t="n">
        <v>8</v>
      </c>
      <c r="H6588" s="5">
        <f>HYPERLINK("https://api.qogita.com/variants/link/0000085974364/", "View Product")</f>
        <v/>
      </c>
    </row>
    <row r="6589">
      <c r="A6589" t="inlineStr">
        <is>
          <t>0000085974388</t>
        </is>
      </c>
      <c r="B6589" t="inlineStr">
        <is>
          <t>Lip Gloss F ****** High Shine 4 ml Shade 06</t>
        </is>
      </c>
      <c r="C6589" t="inlineStr">
        <is>
          <t>Lip Gloss</t>
        </is>
      </c>
      <c r="D6589" t="inlineStr">
        <is>
          <t>Dermacol</t>
        </is>
      </c>
      <c r="E6589" t="n">
        <v>4.54</v>
      </c>
      <c r="F6589" t="n">
        <v>1</v>
      </c>
      <c r="G6589" t="n">
        <v>8</v>
      </c>
      <c r="H6589" s="5">
        <f>HYPERLINK("https://api.qogita.com/variants/link/0000085974388/", "View Product")</f>
        <v/>
      </c>
    </row>
    <row r="6590">
      <c r="A6590" t="inlineStr">
        <is>
          <t>0000085975033</t>
        </is>
      </c>
      <c r="B6590" t="inlineStr">
        <is>
          <t>Dermacol Eyebrow Lifting Gel Color No. 02 Fixing Gel</t>
        </is>
      </c>
      <c r="C6590" t="inlineStr">
        <is>
          <t>Eyebrow Gel</t>
        </is>
      </c>
      <c r="D6590" t="inlineStr">
        <is>
          <t>Dermacol</t>
        </is>
      </c>
      <c r="E6590" t="n">
        <v>4.76</v>
      </c>
      <c r="F6590" t="n">
        <v>1</v>
      </c>
      <c r="G6590" t="n">
        <v>5</v>
      </c>
      <c r="H6590" s="5">
        <f>HYPERLINK("https://api.qogita.com/variants/link/0000085975033/", "View Product")</f>
        <v/>
      </c>
    </row>
    <row r="6591">
      <c r="A6591" t="inlineStr">
        <is>
          <t>0000085975095</t>
        </is>
      </c>
      <c r="B6591" t="inlineStr">
        <is>
          <t>Imperial Rose Lip Oil (Lip Oil) 7.5 ml Shade 01</t>
        </is>
      </c>
      <c r="C6591" t="inlineStr">
        <is>
          <t>Lip Gloss</t>
        </is>
      </c>
      <c r="D6591" t="inlineStr">
        <is>
          <t>Dermacol</t>
        </is>
      </c>
      <c r="E6591" t="n">
        <v>5.18</v>
      </c>
      <c r="F6591" t="n">
        <v>1</v>
      </c>
      <c r="G6591" t="n">
        <v>17</v>
      </c>
      <c r="H6591" s="5">
        <f>HYPERLINK("https://api.qogita.com/variants/link/0000085975095/", "View Product")</f>
        <v/>
      </c>
    </row>
    <row r="6592">
      <c r="A6592" t="inlineStr">
        <is>
          <t>0000085975101</t>
        </is>
      </c>
      <c r="B6592" t="inlineStr">
        <is>
          <t>Imperial Rose Lip Oil (Lip Oil) 7.5 ml Shade 02</t>
        </is>
      </c>
      <c r="C6592" t="inlineStr">
        <is>
          <t>Lip Gloss</t>
        </is>
      </c>
      <c r="D6592" t="inlineStr">
        <is>
          <t>Dermacol</t>
        </is>
      </c>
      <c r="E6592" t="n">
        <v>5.18</v>
      </c>
      <c r="F6592" t="n">
        <v>1</v>
      </c>
      <c r="G6592" t="n">
        <v>4</v>
      </c>
      <c r="H6592" s="5">
        <f>HYPERLINK("https://api.qogita.com/variants/link/0000085975101/", "View Product")</f>
        <v/>
      </c>
    </row>
    <row r="6593">
      <c r="A6593" t="inlineStr">
        <is>
          <t>0000085975262</t>
        </is>
      </c>
      <c r="B6593" t="inlineStr">
        <is>
          <t>Matte Liquid Lipstick Hyaluron Hysteria Shade 05</t>
        </is>
      </c>
      <c r="C6593" t="inlineStr">
        <is>
          <t>Lipstick</t>
        </is>
      </c>
      <c r="D6593" t="inlineStr">
        <is>
          <t>Dermacol</t>
        </is>
      </c>
      <c r="E6593" t="n">
        <v>7.8</v>
      </c>
      <c r="F6593" t="n">
        <v>1</v>
      </c>
      <c r="G6593" t="n">
        <v>2</v>
      </c>
      <c r="H6593" s="5">
        <f>HYPERLINK("https://api.qogita.com/variants/link/0000085975262/", "View Product")</f>
        <v/>
      </c>
    </row>
    <row r="6594">
      <c r="A6594" t="inlineStr">
        <is>
          <t>0000085975354</t>
        </is>
      </c>
      <c r="B6594" t="inlineStr">
        <is>
          <t>Dermacol Make-Up Cover - Extremely Covering Make-Up 13 G 207</t>
        </is>
      </c>
      <c r="C6594" t="inlineStr">
        <is>
          <t>Camouflage Makeup</t>
        </is>
      </c>
      <c r="D6594" t="inlineStr">
        <is>
          <t>Dermacol</t>
        </is>
      </c>
      <c r="E6594" t="n">
        <v>5.67</v>
      </c>
      <c r="F6594" t="n">
        <v>1</v>
      </c>
      <c r="G6594" t="n">
        <v>10</v>
      </c>
      <c r="H6594" s="5">
        <f>HYPERLINK("https://api.qogita.com/variants/link/0000085975354/", "View Product")</f>
        <v/>
      </c>
    </row>
    <row r="6595">
      <c r="A6595" t="inlineStr">
        <is>
          <t>0000085975736</t>
        </is>
      </c>
      <c r="B6595" t="inlineStr">
        <is>
          <t>Long-lasting Two-Phase Lip Color and Gloss 16H Lip Color (Extreme Long-Lasting Lipstick) 4 + 4 ml Shade 35</t>
        </is>
      </c>
      <c r="C6595" t="inlineStr">
        <is>
          <t>Lipstick</t>
        </is>
      </c>
      <c r="D6595" t="inlineStr">
        <is>
          <t>Dermacol</t>
        </is>
      </c>
      <c r="E6595" t="n">
        <v>6.16</v>
      </c>
      <c r="F6595" t="n">
        <v>1</v>
      </c>
      <c r="G6595" t="n">
        <v>4</v>
      </c>
      <c r="H6595" s="5">
        <f>HYPERLINK("https://api.qogita.com/variants/link/0000085975736/", "View Product")</f>
        <v/>
      </c>
    </row>
    <row r="6596">
      <c r="A6596" t="inlineStr">
        <is>
          <t>0000085977846</t>
        </is>
      </c>
      <c r="B6596" t="inlineStr">
        <is>
          <t>Dermacol Pretty Matte Lipstick - 45 Grams</t>
        </is>
      </c>
      <c r="C6596" t="inlineStr">
        <is>
          <t>Lipstick</t>
        </is>
      </c>
      <c r="D6596" t="inlineStr">
        <is>
          <t>Dermacol</t>
        </is>
      </c>
      <c r="E6596" t="n">
        <v>5.8</v>
      </c>
      <c r="F6596" t="n">
        <v>1</v>
      </c>
      <c r="G6596" t="n">
        <v>11</v>
      </c>
      <c r="H6596" s="5">
        <f>HYPERLINK("https://api.qogita.com/variants/link/0000085977846/", "View Product")</f>
        <v/>
      </c>
    </row>
    <row r="6597">
      <c r="A6597" t="inlineStr">
        <is>
          <t>0000085977877</t>
        </is>
      </c>
      <c r="B6597" t="inlineStr">
        <is>
          <t>Dermacol Pretty Matte Lipstick - 45 Grams</t>
        </is>
      </c>
      <c r="C6597" t="inlineStr">
        <is>
          <t>Lipstick</t>
        </is>
      </c>
      <c r="D6597" t="inlineStr">
        <is>
          <t>Dermacol</t>
        </is>
      </c>
      <c r="E6597" t="n">
        <v>5.8</v>
      </c>
      <c r="F6597" t="n">
        <v>1</v>
      </c>
      <c r="G6597" t="n">
        <v>9</v>
      </c>
      <c r="H6597" s="5">
        <f>HYPERLINK("https://api.qogita.com/variants/link/0000085977877/", "View Product")</f>
        <v/>
      </c>
    </row>
    <row r="6598">
      <c r="A6598" t="inlineStr">
        <is>
          <t>0000085978133</t>
        </is>
      </c>
      <c r="B6598" t="inlineStr">
        <is>
          <t>Dermacol Cbd Corrector - Creamy Concealer Stick 57g 01</t>
        </is>
      </c>
      <c r="C6598" t="inlineStr">
        <is>
          <t>Concealer</t>
        </is>
      </c>
      <c r="D6598" t="inlineStr">
        <is>
          <t>Dermacol</t>
        </is>
      </c>
      <c r="E6598" t="n">
        <v>5.44</v>
      </c>
      <c r="F6598" t="n">
        <v>1</v>
      </c>
      <c r="G6598" t="n">
        <v>4</v>
      </c>
      <c r="H6598" s="5">
        <f>HYPERLINK("https://api.qogita.com/variants/link/0000085978133/", "View Product")</f>
        <v/>
      </c>
    </row>
    <row r="6599">
      <c r="A6599" t="inlineStr">
        <is>
          <t>0000085978140</t>
        </is>
      </c>
      <c r="B6599" t="inlineStr">
        <is>
          <t>Dermacol Cbd Corrector - Creamy Concealer Stick 57g 02</t>
        </is>
      </c>
      <c r="C6599" t="inlineStr">
        <is>
          <t>Concealer</t>
        </is>
      </c>
      <c r="D6599" t="inlineStr">
        <is>
          <t>Dermacol</t>
        </is>
      </c>
      <c r="E6599" t="n">
        <v>5.44</v>
      </c>
      <c r="F6599" t="n">
        <v>1</v>
      </c>
      <c r="G6599" t="n">
        <v>6</v>
      </c>
      <c r="H6599" s="5">
        <f>HYPERLINK("https://api.qogita.com/variants/link/0000085978140/", "View Product")</f>
        <v/>
      </c>
    </row>
    <row r="6600">
      <c r="A6600" t="inlineStr">
        <is>
          <t>0000085978294</t>
        </is>
      </c>
      <c r="B6600" t="inlineStr">
        <is>
          <t>Hyaluronic Acid Make-up and Serum 2 in 1 (25g) Shade 03 Sand</t>
        </is>
      </c>
      <c r="C6600" t="inlineStr">
        <is>
          <t>Foundation</t>
        </is>
      </c>
      <c r="D6600" t="inlineStr">
        <is>
          <t>Dermacol</t>
        </is>
      </c>
      <c r="E6600" t="n">
        <v>7.88</v>
      </c>
      <c r="F6600" t="n">
        <v>1</v>
      </c>
      <c r="G6600" t="n">
        <v>22</v>
      </c>
      <c r="H6600" s="5">
        <f>HYPERLINK("https://api.qogita.com/variants/link/0000085978294/", "View Product")</f>
        <v/>
      </c>
    </row>
    <row r="6601">
      <c r="A6601" t="inlineStr">
        <is>
          <t>0000085978317</t>
        </is>
      </c>
      <c r="B6601" t="inlineStr">
        <is>
          <t>Bombastick Volume Mascara (Panoramic Volume Mascara) 12.5 ml Shade Black</t>
        </is>
      </c>
      <c r="C6601" t="inlineStr">
        <is>
          <t>Mascara</t>
        </is>
      </c>
      <c r="D6601" t="inlineStr">
        <is>
          <t>Dermacol</t>
        </is>
      </c>
      <c r="E6601" t="n">
        <v>6.41</v>
      </c>
      <c r="F6601" t="n">
        <v>1</v>
      </c>
      <c r="G6601" t="n">
        <v>10</v>
      </c>
      <c r="H6601" s="5">
        <f>HYPERLINK("https://api.qogita.com/variants/link/0000085978317/", "View Product")</f>
        <v/>
      </c>
    </row>
    <row r="6602">
      <c r="A6602" t="inlineStr">
        <is>
          <t>0000085978324</t>
        </is>
      </c>
      <c r="B6602" t="inlineStr">
        <is>
          <t>Dermacol Eyelash Hair Neon Mascara Pink Euphoria - 4 Ml</t>
        </is>
      </c>
      <c r="C6602" t="inlineStr">
        <is>
          <t>Mascara</t>
        </is>
      </c>
      <c r="D6602" t="inlineStr">
        <is>
          <t>Dermacol</t>
        </is>
      </c>
      <c r="E6602" t="n">
        <v>5.14</v>
      </c>
      <c r="F6602" t="n">
        <v>1</v>
      </c>
      <c r="G6602" t="n">
        <v>5</v>
      </c>
      <c r="H6602" s="5">
        <f>HYPERLINK("https://api.qogita.com/variants/link/0000085978324/", "View Product")</f>
        <v/>
      </c>
    </row>
    <row r="6603">
      <c r="A6603" t="inlineStr">
        <is>
          <t>0000085978331</t>
        </is>
      </c>
      <c r="B6603" t="inlineStr">
        <is>
          <t>Dermacol Eyelash Hair Neon Mascara Purple Rain - 4 Ml</t>
        </is>
      </c>
      <c r="C6603" t="inlineStr">
        <is>
          <t>Mascara</t>
        </is>
      </c>
      <c r="D6603" t="inlineStr">
        <is>
          <t>Dermacol</t>
        </is>
      </c>
      <c r="E6603" t="n">
        <v>5.14</v>
      </c>
      <c r="F6603" t="n">
        <v>1</v>
      </c>
      <c r="G6603" t="n">
        <v>5</v>
      </c>
      <c r="H6603" s="5">
        <f>HYPERLINK("https://api.qogita.com/variants/link/0000085978331/", "View Product")</f>
        <v/>
      </c>
    </row>
    <row r="6604">
      <c r="A6604" t="inlineStr">
        <is>
          <t>0000085978362</t>
        </is>
      </c>
      <c r="B6604" t="inlineStr">
        <is>
          <t>Dermacol 5 Day Stay Nail Polish 11 Ml - Color 60 Coral Island</t>
        </is>
      </c>
      <c r="C6604" t="inlineStr">
        <is>
          <t>Nail Polish</t>
        </is>
      </c>
      <c r="D6604" t="inlineStr">
        <is>
          <t>Dermacol</t>
        </is>
      </c>
      <c r="E6604" t="n">
        <v>4.85</v>
      </c>
      <c r="F6604" t="n">
        <v>1</v>
      </c>
      <c r="G6604" t="n">
        <v>2</v>
      </c>
      <c r="H6604" s="5">
        <f>HYPERLINK("https://api.qogita.com/variants/link/0000085978362/", "View Product")</f>
        <v/>
      </c>
    </row>
    <row r="6605">
      <c r="A6605" t="inlineStr">
        <is>
          <t>0000085978379</t>
        </is>
      </c>
      <c r="B6605" t="inlineStr">
        <is>
          <t>Dermacol 5 Day Stay - Nail Polish 11 Ml 61 Star Fish</t>
        </is>
      </c>
      <c r="C6605" t="inlineStr">
        <is>
          <t>Nail Polish</t>
        </is>
      </c>
      <c r="D6605" t="inlineStr">
        <is>
          <t>Dermacol</t>
        </is>
      </c>
      <c r="E6605" t="n">
        <v>4.85</v>
      </c>
      <c r="F6605" t="n">
        <v>1</v>
      </c>
      <c r="G6605" t="n">
        <v>6</v>
      </c>
      <c r="H6605" s="5">
        <f>HYPERLINK("https://api.qogita.com/variants/link/0000085978379/", "View Product")</f>
        <v/>
      </c>
    </row>
    <row r="6606">
      <c r="A6606" t="inlineStr">
        <is>
          <t>0000085979376</t>
        </is>
      </c>
      <c r="B6606" t="inlineStr">
        <is>
          <t>Dermacol Magic Glow Cream Highlighter - 3 Ml</t>
        </is>
      </c>
      <c r="C6606" t="inlineStr">
        <is>
          <t>Highlighter</t>
        </is>
      </c>
      <c r="D6606" t="inlineStr">
        <is>
          <t>Dermacol</t>
        </is>
      </c>
      <c r="E6606" t="n">
        <v>6.33</v>
      </c>
      <c r="F6606" t="n">
        <v>1</v>
      </c>
      <c r="G6606" t="n">
        <v>10</v>
      </c>
      <c r="H6606" s="5">
        <f>HYPERLINK("https://api.qogita.com/variants/link/0000085979376/", "View Product")</f>
        <v/>
      </c>
    </row>
    <row r="6607">
      <c r="A6607" t="inlineStr">
        <is>
          <t>0000085979413</t>
        </is>
      </c>
      <c r="B6607" t="inlineStr">
        <is>
          <t>Dermacol Magic Lip Oil - 58 Ml</t>
        </is>
      </c>
      <c r="C6607" t="inlineStr">
        <is>
          <t>Lip Oil</t>
        </is>
      </c>
      <c r="D6607" t="inlineStr">
        <is>
          <t>Dermacol</t>
        </is>
      </c>
      <c r="E6607" t="n">
        <v>5.57</v>
      </c>
      <c r="F6607" t="n">
        <v>1</v>
      </c>
      <c r="G6607" t="n">
        <v>3</v>
      </c>
      <c r="H6607" s="5">
        <f>HYPERLINK("https://api.qogita.com/variants/link/0000085979413/", "View Product")</f>
        <v/>
      </c>
    </row>
    <row r="6608">
      <c r="A6608" t="inlineStr">
        <is>
          <t>0000085979857</t>
        </is>
      </c>
      <c r="B6608" t="inlineStr">
        <is>
          <t>Dermacol Lipstick D Lady 4.4 G</t>
        </is>
      </c>
      <c r="C6608" t="inlineStr">
        <is>
          <t>Lipstick</t>
        </is>
      </c>
      <c r="D6608" t="inlineStr">
        <is>
          <t>Dermacol</t>
        </is>
      </c>
      <c r="E6608" t="n">
        <v>5.92</v>
      </c>
      <c r="F6608" t="n">
        <v>1</v>
      </c>
      <c r="G6608" t="n">
        <v>12</v>
      </c>
      <c r="H6608" s="5">
        <f>HYPERLINK("https://api.qogita.com/variants/link/0000085979857/", "View Product")</f>
        <v/>
      </c>
    </row>
    <row r="6609">
      <c r="A6609" t="inlineStr">
        <is>
          <t>0000085979864</t>
        </is>
      </c>
      <c r="B6609" t="inlineStr">
        <is>
          <t>Dermacol Lipstick D Lady 4.4 G</t>
        </is>
      </c>
      <c r="C6609" t="inlineStr">
        <is>
          <t>Lipstick</t>
        </is>
      </c>
      <c r="D6609" t="inlineStr">
        <is>
          <t>Dermacol</t>
        </is>
      </c>
      <c r="E6609" t="n">
        <v>5.92</v>
      </c>
      <c r="F6609" t="n">
        <v>1</v>
      </c>
      <c r="G6609" t="n">
        <v>13</v>
      </c>
      <c r="H6609" s="5">
        <f>HYPERLINK("https://api.qogita.com/variants/link/0000085979864/", "View Product")</f>
        <v/>
      </c>
    </row>
    <row r="6610">
      <c r="A6610" t="inlineStr">
        <is>
          <t>0000085979888</t>
        </is>
      </c>
      <c r="B6610" t="inlineStr">
        <is>
          <t>Dermacol Lipstick D Lady 4.4 G</t>
        </is>
      </c>
      <c r="C6610" t="inlineStr">
        <is>
          <t>Lipstick</t>
        </is>
      </c>
      <c r="D6610" t="inlineStr">
        <is>
          <t>Dermacol</t>
        </is>
      </c>
      <c r="E6610" t="n">
        <v>5.92</v>
      </c>
      <c r="F6610" t="n">
        <v>1</v>
      </c>
      <c r="G6610" t="n">
        <v>13</v>
      </c>
      <c r="H6610" s="5">
        <f>HYPERLINK("https://api.qogita.com/variants/link/0000085979888/", "View Product")</f>
        <v/>
      </c>
    </row>
    <row r="6611">
      <c r="A6611" t="inlineStr">
        <is>
          <t>0000085979925</t>
        </is>
      </c>
      <c r="B6611" t="inlineStr">
        <is>
          <t>Dermacol Lipstick D Lady 4.4 G</t>
        </is>
      </c>
      <c r="C6611" t="inlineStr">
        <is>
          <t>Lipstick</t>
        </is>
      </c>
      <c r="D6611" t="inlineStr">
        <is>
          <t>Dermacol</t>
        </is>
      </c>
      <c r="E6611" t="n">
        <v>5.92</v>
      </c>
      <c r="F6611" t="n">
        <v>1</v>
      </c>
      <c r="G6611" t="n">
        <v>14</v>
      </c>
      <c r="H6611" s="5">
        <f>HYPERLINK("https://api.qogita.com/variants/link/0000085979925/", "View Product")</f>
        <v/>
      </c>
    </row>
    <row r="6612">
      <c r="A6612" t="inlineStr">
        <is>
          <t>0000085980204</t>
        </is>
      </c>
      <c r="B6612" t="inlineStr">
        <is>
          <t>Dermacol Infinity Lengthening Mascara - 6 Ml</t>
        </is>
      </c>
      <c r="C6612" t="inlineStr">
        <is>
          <t>Mascara</t>
        </is>
      </c>
      <c r="D6612" t="inlineStr">
        <is>
          <t>Dermacol</t>
        </is>
      </c>
      <c r="E6612" t="n">
        <v>6.66</v>
      </c>
      <c r="F6612" t="n">
        <v>1</v>
      </c>
      <c r="G6612" t="n">
        <v>10</v>
      </c>
      <c r="H6612" s="5">
        <f>HYPERLINK("https://api.qogita.com/variants/link/0000085980204/", "View Product")</f>
        <v/>
      </c>
    </row>
    <row r="6613">
      <c r="A6613" t="inlineStr">
        <is>
          <t>0000096097335</t>
        </is>
      </c>
      <c r="B6613" t="inlineStr">
        <is>
          <t>Rexona 50ml Invisible Black &amp; White Anti Perspirant Stick for Men</t>
        </is>
      </c>
      <c r="C6613" t="inlineStr">
        <is>
          <t>Deodorant &amp; Anti-Perspirant</t>
        </is>
      </c>
      <c r="D6613" t="inlineStr">
        <is>
          <t>Rexona</t>
        </is>
      </c>
      <c r="E6613" t="n">
        <v>3.95</v>
      </c>
      <c r="F6613" t="n">
        <v>1</v>
      </c>
      <c r="G6613" t="n">
        <v>5</v>
      </c>
      <c r="H6613" s="5">
        <f>HYPERLINK("https://api.qogita.com/variants/link/0000096097335/", "View Product")</f>
        <v/>
      </c>
    </row>
    <row r="6614">
      <c r="A6614" t="inlineStr">
        <is>
          <t>0000096099278</t>
        </is>
      </c>
      <c r="B6614" t="inlineStr">
        <is>
          <t>Max Factor Crème Puff Blusher Lovely Pink 5 05 Lovely Pink 1 Count</t>
        </is>
      </c>
      <c r="C6614" t="inlineStr">
        <is>
          <t>Blush</t>
        </is>
      </c>
      <c r="D6614" t="inlineStr">
        <is>
          <t>Max Factor</t>
        </is>
      </c>
      <c r="E6614" t="n">
        <v>6.02</v>
      </c>
      <c r="F6614" t="n">
        <v>1</v>
      </c>
      <c r="G6614" t="n">
        <v>4</v>
      </c>
      <c r="H6614" s="5">
        <f>HYPERLINK("https://api.qogita.com/variants/link/0000096099278/", "View Product")</f>
        <v/>
      </c>
    </row>
    <row r="6615">
      <c r="A6615" t="inlineStr">
        <is>
          <t>0008080060044</t>
        </is>
      </c>
      <c r="B6615" t="inlineStr">
        <is>
          <t>Molton Brown Fiery Pink Pepper Nurturing Body Scrub 275g</t>
        </is>
      </c>
      <c r="C6615" t="inlineStr">
        <is>
          <t>Body Scrub &amp; Peeling</t>
        </is>
      </c>
      <c r="D6615" t="inlineStr">
        <is>
          <t>Molton Brown</t>
        </is>
      </c>
      <c r="E6615" t="n">
        <v>27.59</v>
      </c>
      <c r="F6615" t="n">
        <v>1</v>
      </c>
      <c r="G6615" t="n">
        <v>13</v>
      </c>
      <c r="H6615" s="5">
        <f>HYPERLINK("https://api.qogita.com/variants/link/0008080060044/", "View Product")</f>
        <v/>
      </c>
    </row>
    <row r="6616">
      <c r="A6616" t="inlineStr">
        <is>
          <t>0008080106094</t>
        </is>
      </c>
      <c r="B6616" t="inlineStr">
        <is>
          <t>Molton Brown Coastal Cypress and Sea Fennel Bath Salts 300g</t>
        </is>
      </c>
      <c r="C6616" t="inlineStr">
        <is>
          <t>Bath Salts &amp; Bath Bombs</t>
        </is>
      </c>
      <c r="D6616" t="inlineStr">
        <is>
          <t>Molton Brown</t>
        </is>
      </c>
      <c r="E6616" t="n">
        <v>22.64</v>
      </c>
      <c r="F6616" t="n">
        <v>1</v>
      </c>
      <c r="G6616" t="n">
        <v>224</v>
      </c>
      <c r="H6616" s="5">
        <f>HYPERLINK("https://api.qogita.com/variants/link/0008080106094/", "View Product")</f>
        <v/>
      </c>
    </row>
    <row r="6617">
      <c r="A6617" t="inlineStr">
        <is>
          <t>0008080155177</t>
        </is>
      </c>
      <c r="B6617" t="inlineStr">
        <is>
          <t>Molton Brown Lily &amp; Magnolia Blossom Body Lotion 300ml</t>
        </is>
      </c>
      <c r="C6617" t="inlineStr">
        <is>
          <t>Body Lotion</t>
        </is>
      </c>
      <c r="D6617" t="inlineStr">
        <is>
          <t>Molton Brown</t>
        </is>
      </c>
      <c r="E6617" t="n">
        <v>21.77</v>
      </c>
      <c r="F6617" t="n">
        <v>1</v>
      </c>
      <c r="G6617" t="n">
        <v>16</v>
      </c>
      <c r="H6617" s="5">
        <f>HYPERLINK("https://api.qogita.com/variants/link/0008080155177/", "View Product")</f>
        <v/>
      </c>
    </row>
    <row r="6618">
      <c r="A6618" t="inlineStr">
        <is>
          <t>0008952164108</t>
        </is>
      </c>
      <c r="B6618" t="inlineStr">
        <is>
          <t>Amouroud Oud du Jour Eau de Parfum 100ml Spray</t>
        </is>
      </c>
      <c r="C6618" t="inlineStr">
        <is>
          <t>Eau De Parfum</t>
        </is>
      </c>
      <c r="D6618" t="inlineStr">
        <is>
          <t>Amouroud</t>
        </is>
      </c>
      <c r="E6618" t="n">
        <v>88.90000000000001</v>
      </c>
      <c r="F6618" t="n">
        <v>1</v>
      </c>
      <c r="G6618" t="n">
        <v>3</v>
      </c>
      <c r="H6618" s="5">
        <f>HYPERLINK("https://api.qogita.com/variants/link/0008952164108/", "View Product")</f>
        <v/>
      </c>
    </row>
    <row r="6619">
      <c r="A6619" t="inlineStr">
        <is>
          <t>0008952171106</t>
        </is>
      </c>
      <c r="B6619" t="inlineStr">
        <is>
          <t>Amouroud Sunset Oud Eau De Parfum 100ml</t>
        </is>
      </c>
      <c r="C6619" t="inlineStr">
        <is>
          <t>Eau De Parfum</t>
        </is>
      </c>
      <c r="D6619" t="inlineStr">
        <is>
          <t>Amouroud</t>
        </is>
      </c>
      <c r="E6619" t="n">
        <v>87.55</v>
      </c>
      <c r="F6619" t="n">
        <v>1</v>
      </c>
      <c r="G6619" t="n">
        <v>5</v>
      </c>
      <c r="H6619" s="5">
        <f>HYPERLINK("https://api.qogita.com/variants/link/0008952171106/", "View Product")</f>
        <v/>
      </c>
    </row>
    <row r="6620">
      <c r="A6620" t="inlineStr">
        <is>
          <t>0008952205108</t>
        </is>
      </c>
      <c r="B6620" t="inlineStr">
        <is>
          <t>Amouroud Himalayan Woods Unisex Perfume 100ml</t>
        </is>
      </c>
      <c r="C6620" t="inlineStr">
        <is>
          <t>Eau De Parfum</t>
        </is>
      </c>
      <c r="D6620" t="inlineStr">
        <is>
          <t>Amouroud</t>
        </is>
      </c>
      <c r="E6620" t="n">
        <v>78.51000000000001</v>
      </c>
      <c r="F6620" t="n">
        <v>1</v>
      </c>
      <c r="G6620" t="n">
        <v>5</v>
      </c>
      <c r="H6620" s="5">
        <f>HYPERLINK("https://api.qogita.com/variants/link/0008952205108/", "View Product")</f>
        <v/>
      </c>
    </row>
    <row r="6621">
      <c r="A6621" t="inlineStr">
        <is>
          <t>0017854112735</t>
        </is>
      </c>
      <c r="B6621" t="inlineStr">
        <is>
          <t>Baylis &amp; Harding The Fuzzy Duck Winter Wonderland Festive Luxury Body Care Gift</t>
        </is>
      </c>
      <c r="C6621" t="inlineStr">
        <is>
          <t>Body Care Sets</t>
        </is>
      </c>
      <c r="D6621" t="inlineStr">
        <is>
          <t>Baylis &amp; Harding</t>
        </is>
      </c>
      <c r="E6621" t="n">
        <v>19.69</v>
      </c>
      <c r="F6621" t="n">
        <v>1</v>
      </c>
      <c r="G6621" t="n">
        <v>20</v>
      </c>
      <c r="H6621" s="5">
        <f>HYPERLINK("https://api.qogita.com/variants/link/0017854112735/", "View Product")</f>
        <v/>
      </c>
    </row>
    <row r="6622">
      <c r="A6622" t="inlineStr">
        <is>
          <t>0017854117228</t>
        </is>
      </c>
      <c r="B6622" t="inlineStr">
        <is>
          <t>Baylis &amp; Harding The Edit Twilight Amber Luxury Body And Hair Mist - 250 Ml</t>
        </is>
      </c>
      <c r="C6622" t="inlineStr">
        <is>
          <t>Body Mist</t>
        </is>
      </c>
      <c r="D6622" t="inlineStr">
        <is>
          <t>Baylis &amp; Harding</t>
        </is>
      </c>
      <c r="E6622" t="n">
        <v>11.44</v>
      </c>
      <c r="F6622" t="n">
        <v>1</v>
      </c>
      <c r="G6622" t="n">
        <v>3</v>
      </c>
      <c r="H6622" s="5">
        <f>HYPERLINK("https://api.qogita.com/variants/link/0017854117228/", "View Product")</f>
        <v/>
      </c>
    </row>
    <row r="6623">
      <c r="A6623" t="inlineStr">
        <is>
          <t>0017854117648</t>
        </is>
      </c>
      <c r="B6623" t="inlineStr">
        <is>
          <t>Baylis &amp; Harding Moonlight Fig Bath Shower Bubbles</t>
        </is>
      </c>
      <c r="C6623" t="inlineStr">
        <is>
          <t>Bath Foam</t>
        </is>
      </c>
      <c r="D6623" t="inlineStr">
        <is>
          <t>Baylis &amp; Harding</t>
        </is>
      </c>
      <c r="E6623" t="n">
        <v>7.35</v>
      </c>
      <c r="F6623" t="n">
        <v>1</v>
      </c>
      <c r="G6623" t="n">
        <v>3</v>
      </c>
      <c r="H6623" s="5">
        <f>HYPERLINK("https://api.qogita.com/variants/link/0017854117648/", "View Product")</f>
        <v/>
      </c>
    </row>
    <row r="6624">
      <c r="A6624" t="inlineStr">
        <is>
          <t>0017854117655</t>
        </is>
      </c>
      <c r="B6624" t="inlineStr">
        <is>
          <t>Baylis &amp; Harding Body Care Gift Set Fig Pomegranate 4 Pieces</t>
        </is>
      </c>
      <c r="C6624" t="inlineStr">
        <is>
          <t>Body Care Sets</t>
        </is>
      </c>
      <c r="D6624" t="inlineStr">
        <is>
          <t>Baylis &amp; Harding</t>
        </is>
      </c>
      <c r="E6624" t="n">
        <v>26.63</v>
      </c>
      <c r="F6624" t="n">
        <v>1</v>
      </c>
      <c r="G6624" t="n">
        <v>9</v>
      </c>
      <c r="H6624" s="5">
        <f>HYPERLINK("https://api.qogita.com/variants/link/0017854117655/", "View Product")</f>
        <v/>
      </c>
    </row>
    <row r="6625">
      <c r="A6625" t="inlineStr">
        <is>
          <t>0017854117914</t>
        </is>
      </c>
      <c r="B6625" t="inlineStr">
        <is>
          <t>Baylis &amp; Harding The Fuzzy Duck Peace Luxury Hand Care Set</t>
        </is>
      </c>
      <c r="C6625" t="inlineStr">
        <is>
          <t>Hand Care Sets</t>
        </is>
      </c>
      <c r="D6625" t="inlineStr">
        <is>
          <t>Baylis &amp; Harding</t>
        </is>
      </c>
      <c r="E6625" t="n">
        <v>12.48</v>
      </c>
      <c r="F6625" t="n">
        <v>1</v>
      </c>
      <c r="G6625" t="n">
        <v>13</v>
      </c>
      <c r="H6625" s="5">
        <f>HYPERLINK("https://api.qogita.com/variants/link/0017854117914/", "View Product")</f>
        <v/>
      </c>
    </row>
    <row r="6626">
      <c r="A6626" t="inlineStr">
        <is>
          <t>0017854118485</t>
        </is>
      </c>
      <c r="B6626" t="inlineStr">
        <is>
          <t>Baylis &amp; Harding Gift Set Of Bath Salts Unicorn 5 Pieces</t>
        </is>
      </c>
      <c r="C6626" t="inlineStr">
        <is>
          <t>Bath Salts &amp; Bath Bombs</t>
        </is>
      </c>
      <c r="D6626" t="inlineStr">
        <is>
          <t>Baylis &amp; Harding</t>
        </is>
      </c>
      <c r="E6626" t="n">
        <v>8.52</v>
      </c>
      <c r="F6626" t="n">
        <v>1</v>
      </c>
      <c r="G6626" t="n">
        <v>16</v>
      </c>
      <c r="H6626" s="5">
        <f>HYPERLINK("https://api.qogita.com/variants/link/0017854118485/", "View Product")</f>
        <v/>
      </c>
    </row>
    <row r="6627">
      <c r="A6627" t="inlineStr">
        <is>
          <t>0017854118492</t>
        </is>
      </c>
      <c r="B6627" t="inlineStr">
        <is>
          <t>Baylis &amp; Harding Beauticology Beauty Lip Bus - Gift Set</t>
        </is>
      </c>
      <c r="C6627" t="inlineStr">
        <is>
          <t>Facial Care Sets</t>
        </is>
      </c>
      <c r="D6627" t="inlineStr">
        <is>
          <t>Baylis &amp; Harding</t>
        </is>
      </c>
      <c r="E6627" t="n">
        <v>9.890000000000001</v>
      </c>
      <c r="F6627" t="n">
        <v>1</v>
      </c>
      <c r="G6627" t="n">
        <v>36</v>
      </c>
      <c r="H6627" s="5">
        <f>HYPERLINK("https://api.qogita.com/variants/link/0017854118492/", "View Product")</f>
        <v/>
      </c>
    </row>
    <row r="6628">
      <c r="A6628" t="inlineStr">
        <is>
          <t>0017854118508</t>
        </is>
      </c>
      <c r="B6628" t="inlineStr">
        <is>
          <t>Baylis &amp; Harding Magical Beauty Bus Unicorn Set</t>
        </is>
      </c>
      <c r="C6628" t="inlineStr">
        <is>
          <t>Body Care Sets</t>
        </is>
      </c>
      <c r="D6628" t="inlineStr">
        <is>
          <t>Baylis &amp; Harding</t>
        </is>
      </c>
      <c r="E6628" t="n">
        <v>12.01</v>
      </c>
      <c r="F6628" t="n">
        <v>1</v>
      </c>
      <c r="G6628" t="n">
        <v>28</v>
      </c>
      <c r="H6628" s="5">
        <f>HYPERLINK("https://api.qogita.com/variants/link/0017854118508/", "View Product")</f>
        <v/>
      </c>
    </row>
    <row r="6629">
      <c r="A6629" t="inlineStr">
        <is>
          <t>0017854118546</t>
        </is>
      </c>
      <c r="B6629" t="inlineStr">
        <is>
          <t>Baylis &amp; Harding Gift Set For Body Skin And Hair Care - Bergamot Hemp Sandalwood, 3 Pieces</t>
        </is>
      </c>
      <c r="C6629" t="inlineStr">
        <is>
          <t>Body Care Sets</t>
        </is>
      </c>
      <c r="D6629" t="inlineStr">
        <is>
          <t>Baylis &amp; Harding</t>
        </is>
      </c>
      <c r="E6629" t="n">
        <v>9.65</v>
      </c>
      <c r="F6629" t="n">
        <v>1</v>
      </c>
      <c r="G6629" t="n">
        <v>3</v>
      </c>
      <c r="H6629" s="5">
        <f>HYPERLINK("https://api.qogita.com/variants/link/0017854118546/", "View Product")</f>
        <v/>
      </c>
    </row>
    <row r="6630">
      <c r="A6630" t="inlineStr">
        <is>
          <t>0017854118638</t>
        </is>
      </c>
      <c r="B6630" t="inlineStr">
        <is>
          <t>Baylis &amp; Harding Gift Set For Body Care - Football 9 Pieces</t>
        </is>
      </c>
      <c r="C6630" t="inlineStr">
        <is>
          <t>Body Care Sets</t>
        </is>
      </c>
      <c r="D6630" t="inlineStr">
        <is>
          <t>Baylis &amp; Harding</t>
        </is>
      </c>
      <c r="E6630" t="n">
        <v>31.29</v>
      </c>
      <c r="F6630" t="n">
        <v>1</v>
      </c>
      <c r="G6630" t="n">
        <v>3</v>
      </c>
      <c r="H6630" s="5">
        <f>HYPERLINK("https://api.qogita.com/variants/link/0017854118638/", "View Product")</f>
        <v/>
      </c>
    </row>
    <row r="6631">
      <c r="A6631" t="inlineStr">
        <is>
          <t>0017854123021</t>
        </is>
      </c>
      <c r="B6631" t="inlineStr">
        <is>
          <t>Baylis &amp; Harding Goodness Oud, Cedar &amp; Amber Essentials Gift Set - Vegan</t>
        </is>
      </c>
      <c r="C6631" t="inlineStr">
        <is>
          <t>Body Care Sets</t>
        </is>
      </c>
      <c r="D6631" t="inlineStr">
        <is>
          <t>Baylis &amp; Harding</t>
        </is>
      </c>
      <c r="E6631" t="n">
        <v>19.65</v>
      </c>
      <c r="F6631" t="n">
        <v>1</v>
      </c>
      <c r="G6631" t="n">
        <v>5</v>
      </c>
      <c r="H6631" s="5">
        <f>HYPERLINK("https://api.qogita.com/variants/link/0017854123021/", "View Product")</f>
        <v/>
      </c>
    </row>
    <row r="6632">
      <c r="A6632" t="inlineStr">
        <is>
          <t>0018084014394</t>
        </is>
      </c>
      <c r="B6632" t="inlineStr">
        <is>
          <t>Aveda Nutriplenish Conditioner LT BB 1000ml 33.8fl.oz</t>
        </is>
      </c>
      <c r="C6632" t="inlineStr">
        <is>
          <t>Conditioner</t>
        </is>
      </c>
      <c r="D6632" t="inlineStr">
        <is>
          <t>Aveda</t>
        </is>
      </c>
      <c r="E6632" t="n">
        <v>84.8</v>
      </c>
      <c r="F6632" t="n">
        <v>1</v>
      </c>
      <c r="G6632" t="n">
        <v>2</v>
      </c>
      <c r="H6632" s="5">
        <f>HYPERLINK("https://api.qogita.com/variants/link/0018084014394/", "View Product")</f>
        <v/>
      </c>
    </row>
    <row r="6633">
      <c r="A6633" t="inlineStr">
        <is>
          <t>0018084040577</t>
        </is>
      </c>
      <c r="B6633" t="inlineStr">
        <is>
          <t>Aveda Scalp Solution Conditioner</t>
        </is>
      </c>
      <c r="C6633" t="inlineStr">
        <is>
          <t>Conditioner</t>
        </is>
      </c>
      <c r="D6633" t="inlineStr">
        <is>
          <t>Aveda</t>
        </is>
      </c>
      <c r="E6633" t="n">
        <v>113.71</v>
      </c>
      <c r="F6633" t="n">
        <v>1</v>
      </c>
      <c r="G6633" t="n">
        <v>5</v>
      </c>
      <c r="H6633" s="5">
        <f>HYPERLINK("https://api.qogita.com/variants/link/0018084040577/", "View Product")</f>
        <v/>
      </c>
    </row>
    <row r="6634">
      <c r="A6634" t="inlineStr">
        <is>
          <t>0018084040584</t>
        </is>
      </c>
      <c r="B6634" t="inlineStr">
        <is>
          <t>Aveda Scalp Solutions Replenishing Conditioner</t>
        </is>
      </c>
      <c r="C6634" t="inlineStr">
        <is>
          <t>Conditioner</t>
        </is>
      </c>
      <c r="D6634" t="inlineStr">
        <is>
          <t>Aveda</t>
        </is>
      </c>
      <c r="E6634" t="n">
        <v>29.96</v>
      </c>
      <c r="F6634" t="n">
        <v>1</v>
      </c>
      <c r="G6634" t="n">
        <v>5</v>
      </c>
      <c r="H6634" s="5">
        <f>HYPERLINK("https://api.qogita.com/variants/link/0018084040584/", "View Product")</f>
        <v/>
      </c>
    </row>
    <row r="6635">
      <c r="A6635" t="inlineStr">
        <is>
          <t>0615908431575</t>
        </is>
      </c>
      <c r="B6635" t="inlineStr">
        <is>
          <t>Bed Head by Tigi Manipulator Texturizing Hair Putty for Men and Women</t>
        </is>
      </c>
      <c r="C6635" t="inlineStr">
        <is>
          <t>Wax</t>
        </is>
      </c>
      <c r="D6635" t="inlineStr">
        <is>
          <t>Tigi Bed Head</t>
        </is>
      </c>
      <c r="E6635" t="n">
        <v>7.94</v>
      </c>
      <c r="F6635" t="n">
        <v>1</v>
      </c>
      <c r="G6635" t="n">
        <v>12</v>
      </c>
      <c r="H6635" s="5">
        <f>HYPERLINK("https://api.qogita.com/variants/link/0615908431575/", "View Product")</f>
        <v/>
      </c>
    </row>
    <row r="6636">
      <c r="A6636" t="inlineStr">
        <is>
          <t>0615908431629</t>
        </is>
      </c>
      <c r="B6636" t="inlineStr">
        <is>
          <t>Bed Head by TIGI Salty Not Sorry Hair Texturizing Salt Spray 100ml</t>
        </is>
      </c>
      <c r="C6636" t="inlineStr">
        <is>
          <t>Styling Sprays</t>
        </is>
      </c>
      <c r="D6636" t="inlineStr">
        <is>
          <t>Bed Head By Tigi</t>
        </is>
      </c>
      <c r="E6636" t="n">
        <v>7.91</v>
      </c>
      <c r="F6636" t="n">
        <v>1</v>
      </c>
      <c r="G6636" t="n">
        <v>22</v>
      </c>
      <c r="H6636" s="5">
        <f>HYPERLINK("https://api.qogita.com/variants/link/0615908431629/", "View Product")</f>
        <v/>
      </c>
    </row>
    <row r="6637">
      <c r="A6637" t="inlineStr">
        <is>
          <t>0615908431674</t>
        </is>
      </c>
      <c r="B6637" t="inlineStr">
        <is>
          <t>Bed Head by Tigi Hard Head Hairspray for Extra Strong Hold 385ml</t>
        </is>
      </c>
      <c r="C6637" t="inlineStr">
        <is>
          <t>Hairspray</t>
        </is>
      </c>
      <c r="D6637" t="inlineStr">
        <is>
          <t>Tigi</t>
        </is>
      </c>
      <c r="E6637" t="n">
        <v>9.48</v>
      </c>
      <c r="F6637" t="n">
        <v>1</v>
      </c>
      <c r="G6637" t="n">
        <v>83</v>
      </c>
      <c r="H6637" s="5">
        <f>HYPERLINK("https://api.qogita.com/variants/link/0615908431674/", "View Product")</f>
        <v/>
      </c>
    </row>
    <row r="6638">
      <c r="A6638" t="inlineStr">
        <is>
          <t>0615908431766</t>
        </is>
      </c>
      <c r="B6638" t="inlineStr">
        <is>
          <t>Bed Head by Tigi Masterpiece Shiny Hairspray Extra Strong Hold</t>
        </is>
      </c>
      <c r="C6638" t="inlineStr">
        <is>
          <t>Hairspray</t>
        </is>
      </c>
      <c r="D6638" t="inlineStr">
        <is>
          <t>Tigi</t>
        </is>
      </c>
      <c r="E6638" t="n">
        <v>11</v>
      </c>
      <c r="F6638" t="n">
        <v>1</v>
      </c>
      <c r="G6638" t="n">
        <v>4</v>
      </c>
      <c r="H6638" s="5">
        <f>HYPERLINK("https://api.qogita.com/variants/link/0615908431766/", "View Product")</f>
        <v/>
      </c>
    </row>
    <row r="6639">
      <c r="A6639" t="inlineStr">
        <is>
          <t>0615908432008</t>
        </is>
      </c>
      <c r="B6639" t="inlineStr">
        <is>
          <t>Tigi - Bed Head Recovery Shampoo 400ml</t>
        </is>
      </c>
      <c r="C6639" t="inlineStr">
        <is>
          <t>Shampoo</t>
        </is>
      </c>
      <c r="D6639" t="inlineStr">
        <is>
          <t>Tigi</t>
        </is>
      </c>
      <c r="E6639" t="n">
        <v>4.98</v>
      </c>
      <c r="F6639" t="n">
        <v>1</v>
      </c>
      <c r="G6639" t="n">
        <v>3</v>
      </c>
      <c r="H6639" s="5">
        <f>HYPERLINK("https://api.qogita.com/variants/link/0615908432008/", "View Product")</f>
        <v/>
      </c>
    </row>
    <row r="6640">
      <c r="A6640" t="inlineStr">
        <is>
          <t>0615908432152</t>
        </is>
      </c>
      <c r="B6640" t="inlineStr">
        <is>
          <t>Bed Head by Tigi Curls Rock Amplifier Curl Shaping and Defining Cream</t>
        </is>
      </c>
      <c r="C6640" t="inlineStr">
        <is>
          <t>Styling Creams</t>
        </is>
      </c>
      <c r="D6640" t="inlineStr">
        <is>
          <t>Tigi Bed Head</t>
        </is>
      </c>
      <c r="E6640" t="n">
        <v>8.640000000000001</v>
      </c>
      <c r="F6640" t="n">
        <v>1</v>
      </c>
      <c r="G6640" t="n">
        <v>31</v>
      </c>
      <c r="H6640" s="5">
        <f>HYPERLINK("https://api.qogita.com/variants/link/0615908432152/", "View Product")</f>
        <v/>
      </c>
    </row>
    <row r="6641">
      <c r="A6641" t="inlineStr">
        <is>
          <t>0615908432251</t>
        </is>
      </c>
      <c r="B6641" t="inlineStr">
        <is>
          <t>Serial Blonde Bed Head Tigi Shampoo 400ml</t>
        </is>
      </c>
      <c r="C6641" t="inlineStr">
        <is>
          <t>Shampoo</t>
        </is>
      </c>
      <c r="D6641" t="inlineStr">
        <is>
          <t>Tigi</t>
        </is>
      </c>
      <c r="E6641" t="n">
        <v>6.37</v>
      </c>
      <c r="F6641" t="n">
        <v>1</v>
      </c>
      <c r="G6641" t="n">
        <v>8</v>
      </c>
      <c r="H6641" s="5">
        <f>HYPERLINK("https://api.qogita.com/variants/link/0615908432251/", "View Product")</f>
        <v/>
      </c>
    </row>
    <row r="6642">
      <c r="A6642" t="inlineStr">
        <is>
          <t>0615908432756</t>
        </is>
      </c>
      <c r="B6642" t="inlineStr">
        <is>
          <t>Bed Head by TIGI Bigger The Better Hair Volume Conditioner 300ml</t>
        </is>
      </c>
      <c r="C6642" t="inlineStr">
        <is>
          <t>Conditioner</t>
        </is>
      </c>
      <c r="D6642" t="inlineStr">
        <is>
          <t>Tigi</t>
        </is>
      </c>
      <c r="E6642" t="n">
        <v>5.52</v>
      </c>
      <c r="F6642" t="n">
        <v>1</v>
      </c>
      <c r="G6642" t="n">
        <v>5</v>
      </c>
      <c r="H6642" s="5">
        <f>HYPERLINK("https://api.qogita.com/variants/link/0615908432756/", "View Product")</f>
        <v/>
      </c>
    </row>
    <row r="6643">
      <c r="A6643" t="inlineStr">
        <is>
          <t>0615908433388</t>
        </is>
      </c>
      <c r="B6643" t="inlineStr">
        <is>
          <t>Bed Head by TIGI Resurrection Repair Conditioner Ideal for Damaged Hair Travel Size 100ml</t>
        </is>
      </c>
      <c r="C6643" t="inlineStr">
        <is>
          <t>Conditioner</t>
        </is>
      </c>
      <c r="D6643" t="inlineStr">
        <is>
          <t>Tigi</t>
        </is>
      </c>
      <c r="E6643" t="n">
        <v>4.64</v>
      </c>
      <c r="F6643" t="n">
        <v>1</v>
      </c>
      <c r="G6643" t="n">
        <v>4</v>
      </c>
      <c r="H6643" s="5">
        <f>HYPERLINK("https://api.qogita.com/variants/link/0615908433388/", "View Product")</f>
        <v/>
      </c>
    </row>
    <row r="6644">
      <c r="A6644" t="inlineStr">
        <is>
          <t>0615908433401</t>
        </is>
      </c>
      <c r="B6644" t="inlineStr">
        <is>
          <t>Bed Head TIGI Shampoo or Conditioner to Repair and Moisturize Damaged Colored or Dry Hair 970ml Recovery Conditioner</t>
        </is>
      </c>
      <c r="C6644" t="inlineStr">
        <is>
          <t>Conditioner</t>
        </is>
      </c>
      <c r="D6644" t="inlineStr">
        <is>
          <t>Tigi</t>
        </is>
      </c>
      <c r="E6644" t="n">
        <v>17.45</v>
      </c>
      <c r="F6644" t="n">
        <v>1</v>
      </c>
      <c r="G6644" t="n">
        <v>4</v>
      </c>
      <c r="H6644" s="5">
        <f>HYPERLINK("https://api.qogita.com/variants/link/0615908433401/", "View Product")</f>
        <v/>
      </c>
    </row>
    <row r="6645">
      <c r="A6645" t="inlineStr">
        <is>
          <t>0617375451964</t>
        </is>
      </c>
      <c r="B6645" t="inlineStr">
        <is>
          <t>Beard Comb</t>
        </is>
      </c>
      <c r="C6645" t="inlineStr">
        <is>
          <t>Combs</t>
        </is>
      </c>
      <c r="D6645" t="inlineStr">
        <is>
          <t>Men Rock</t>
        </is>
      </c>
      <c r="E6645" t="n">
        <v>4.08</v>
      </c>
      <c r="F6645" t="n">
        <v>1</v>
      </c>
      <c r="G6645" t="n">
        <v>3</v>
      </c>
      <c r="H6645" s="5">
        <f>HYPERLINK("https://api.qogita.com/variants/link/0617375451964/", "View Product")</f>
        <v/>
      </c>
    </row>
    <row r="6646">
      <c r="A6646" t="inlineStr">
        <is>
          <t>0619828038951</t>
        </is>
      </c>
      <c r="B6646" t="inlineStr">
        <is>
          <t>Opi Nail Cleansing Solution Nas 99 - 960 Ml</t>
        </is>
      </c>
      <c r="C6646" t="inlineStr">
        <is>
          <t>Nail Care Sets</t>
        </is>
      </c>
      <c r="D6646" t="inlineStr">
        <is>
          <t>OPI</t>
        </is>
      </c>
      <c r="E6646" t="n">
        <v>94.8</v>
      </c>
      <c r="F6646" t="n">
        <v>1</v>
      </c>
      <c r="G6646" t="n">
        <v>3</v>
      </c>
      <c r="H6646" s="5">
        <f>HYPERLINK("https://api.qogita.com/variants/link/0619828038951/", "View Product")</f>
        <v/>
      </c>
    </row>
    <row r="6647">
      <c r="A6647" t="inlineStr">
        <is>
          <t>0619828095930</t>
        </is>
      </c>
      <c r="B6647" t="inlineStr">
        <is>
          <t>Opi Gelcolor Gel Nail Polish 15 Ml</t>
        </is>
      </c>
      <c r="C6647" t="inlineStr">
        <is>
          <t>Nail Care Sets</t>
        </is>
      </c>
      <c r="D6647" t="inlineStr">
        <is>
          <t>OPI</t>
        </is>
      </c>
      <c r="E6647" t="n">
        <v>25.11</v>
      </c>
      <c r="F6647" t="n">
        <v>1</v>
      </c>
      <c r="G6647" t="n">
        <v>3</v>
      </c>
      <c r="H6647" s="5">
        <f>HYPERLINK("https://api.qogita.com/variants/link/0619828095930/", "View Product")</f>
        <v/>
      </c>
    </row>
    <row r="6648">
      <c r="A6648" t="inlineStr">
        <is>
          <t>0619828139597</t>
        </is>
      </c>
      <c r="B6648" t="inlineStr">
        <is>
          <t>OPI Classic Nail Polish Long-Lasting Luxury Varnish Machu Peach-u</t>
        </is>
      </c>
      <c r="C6648" t="inlineStr">
        <is>
          <t>Nail Polish</t>
        </is>
      </c>
      <c r="D6648" t="inlineStr">
        <is>
          <t>OPI</t>
        </is>
      </c>
      <c r="E6648" t="n">
        <v>9.380000000000001</v>
      </c>
      <c r="F6648" t="n">
        <v>1</v>
      </c>
      <c r="G6648" t="n">
        <v>2</v>
      </c>
      <c r="H6648" s="5">
        <f>HYPERLINK("https://api.qogita.com/variants/link/0619828139597/", "View Product")</f>
        <v/>
      </c>
    </row>
    <row r="6649">
      <c r="A6649" t="inlineStr">
        <is>
          <t>0633911620489</t>
        </is>
      </c>
      <c r="B6649" t="inlineStr">
        <is>
          <t>Farouk CHI Lock Long-Lasting Color Treatment 350ml</t>
        </is>
      </c>
      <c r="C6649" t="inlineStr">
        <is>
          <t>Hair Dye</t>
        </is>
      </c>
      <c r="D6649" t="inlineStr">
        <is>
          <t>Chi</t>
        </is>
      </c>
      <c r="E6649" t="n">
        <v>11.51</v>
      </c>
      <c r="F6649" t="n">
        <v>1</v>
      </c>
      <c r="G6649" t="n">
        <v>3</v>
      </c>
      <c r="H6649" s="5">
        <f>HYPERLINK("https://api.qogita.com/variants/link/0633911620489/", "View Product")</f>
        <v/>
      </c>
    </row>
    <row r="6650">
      <c r="A6650" t="inlineStr">
        <is>
          <t>0633911630624</t>
        </is>
      </c>
      <c r="B6650" t="inlineStr">
        <is>
          <t>CHI Volume Booster Liquid Bodifying Glaze 237ml</t>
        </is>
      </c>
      <c r="C6650" t="inlineStr">
        <is>
          <t>Hair Care Sets</t>
        </is>
      </c>
      <c r="D6650" t="inlineStr">
        <is>
          <t>Chi</t>
        </is>
      </c>
      <c r="E6650" t="n">
        <v>11.75</v>
      </c>
      <c r="F6650" t="n">
        <v>1</v>
      </c>
      <c r="G6650" t="n">
        <v>8</v>
      </c>
      <c r="H6650" s="5">
        <f>HYPERLINK("https://api.qogita.com/variants/link/0633911630624/", "View Product")</f>
        <v/>
      </c>
    </row>
    <row r="6651">
      <c r="A6651" t="inlineStr">
        <is>
          <t>0633911630648</t>
        </is>
      </c>
      <c r="B6651" t="inlineStr">
        <is>
          <t>CHI Infra Gel Maximum Control 237ml</t>
        </is>
      </c>
      <c r="C6651" t="inlineStr">
        <is>
          <t>Gel</t>
        </is>
      </c>
      <c r="D6651" t="inlineStr">
        <is>
          <t>Chi</t>
        </is>
      </c>
      <c r="E6651" t="n">
        <v>9.289999999999999</v>
      </c>
      <c r="F6651" t="n">
        <v>1</v>
      </c>
      <c r="G6651" t="n">
        <v>5</v>
      </c>
      <c r="H6651" s="5">
        <f>HYPERLINK("https://api.qogita.com/variants/link/0633911630648/", "View Product")</f>
        <v/>
      </c>
    </row>
    <row r="6652">
      <c r="A6652" t="inlineStr">
        <is>
          <t>0633911630891</t>
        </is>
      </c>
      <c r="B6652" t="inlineStr">
        <is>
          <t>CHI Silk Infusion Leave-In Hair Serum for Dry Damaged Hair Heat Protectant for All Hair Types Pre-Styling Hair Oil for Repair Strengthening and Moisturizing 177ml</t>
        </is>
      </c>
      <c r="C6652" t="inlineStr">
        <is>
          <t>Hair Oil &amp; Hair Serum</t>
        </is>
      </c>
      <c r="D6652" t="inlineStr">
        <is>
          <t>Chi</t>
        </is>
      </c>
      <c r="E6652" t="n">
        <v>15.27</v>
      </c>
      <c r="F6652" t="n">
        <v>1</v>
      </c>
      <c r="G6652" t="n">
        <v>20</v>
      </c>
      <c r="H6652" s="5">
        <f>HYPERLINK("https://api.qogita.com/variants/link/0633911630891/", "View Product")</f>
        <v/>
      </c>
    </row>
    <row r="6653">
      <c r="A6653" t="inlineStr">
        <is>
          <t>0633911641064</t>
        </is>
      </c>
      <c r="B6653" t="inlineStr">
        <is>
          <t>CHI Helmet Head Extra Firm Hair Spray 284g</t>
        </is>
      </c>
      <c r="C6653" t="inlineStr">
        <is>
          <t>Hairspray</t>
        </is>
      </c>
      <c r="D6653" t="inlineStr">
        <is>
          <t>Chi</t>
        </is>
      </c>
      <c r="E6653" t="n">
        <v>11.93</v>
      </c>
      <c r="F6653" t="n">
        <v>1</v>
      </c>
      <c r="G6653" t="n">
        <v>13</v>
      </c>
      <c r="H6653" s="5">
        <f>HYPERLINK("https://api.qogita.com/variants/link/0633911641064/", "View Product")</f>
        <v/>
      </c>
    </row>
    <row r="6654">
      <c r="A6654" t="inlineStr">
        <is>
          <t>0633911722053</t>
        </is>
      </c>
      <c r="B6654" t="inlineStr">
        <is>
          <t>CHI Straight Guard Smoothing Styling Cream 177ml</t>
        </is>
      </c>
      <c r="C6654" t="inlineStr">
        <is>
          <t>Styling Creams</t>
        </is>
      </c>
      <c r="D6654" t="inlineStr">
        <is>
          <t>Chi</t>
        </is>
      </c>
      <c r="E6654" t="n">
        <v>11.32</v>
      </c>
      <c r="F6654" t="n">
        <v>1</v>
      </c>
      <c r="G6654" t="n">
        <v>4</v>
      </c>
      <c r="H6654" s="5">
        <f>HYPERLINK("https://api.qogita.com/variants/link/0633911722053/", "View Product")</f>
        <v/>
      </c>
    </row>
    <row r="6655">
      <c r="A6655" t="inlineStr">
        <is>
          <t>0633911729021</t>
        </is>
      </c>
      <c r="B6655" t="inlineStr">
        <is>
          <t>Biosilk Volumizing Therapy Shampoo for Unisex 12oz 355ml</t>
        </is>
      </c>
      <c r="C6655" t="inlineStr">
        <is>
          <t>Shampoo</t>
        </is>
      </c>
      <c r="D6655" t="inlineStr">
        <is>
          <t>Farouk Systems</t>
        </is>
      </c>
      <c r="E6655" t="n">
        <v>9.31</v>
      </c>
      <c r="F6655" t="n">
        <v>1</v>
      </c>
      <c r="G6655" t="n">
        <v>4</v>
      </c>
      <c r="H6655" s="5">
        <f>HYPERLINK("https://api.qogita.com/variants/link/0633911729021/", "View Product")</f>
        <v/>
      </c>
    </row>
    <row r="6656">
      <c r="A6656" t="inlineStr">
        <is>
          <t>0633911743874</t>
        </is>
      </c>
      <c r="B6656" t="inlineStr">
        <is>
          <t>Chi 44 Iron Guard Style and Stay Fixation Spray 77ml</t>
        </is>
      </c>
      <c r="C6656" t="inlineStr">
        <is>
          <t>Styling Sprays</t>
        </is>
      </c>
      <c r="D6656" t="inlineStr">
        <is>
          <t>Chi</t>
        </is>
      </c>
      <c r="E6656" t="n">
        <v>4.92</v>
      </c>
      <c r="F6656" t="n">
        <v>1</v>
      </c>
      <c r="G6656" t="n">
        <v>11</v>
      </c>
      <c r="H6656" s="5">
        <f>HYPERLINK("https://api.qogita.com/variants/link/0633911743874/", "View Product")</f>
        <v/>
      </c>
    </row>
    <row r="6657">
      <c r="A6657" t="inlineStr">
        <is>
          <t>0633911744819</t>
        </is>
      </c>
      <c r="B6657" t="inlineStr">
        <is>
          <t>Biosilk Silk Therapy Shampoo 12 Fl Oz</t>
        </is>
      </c>
      <c r="C6657" t="inlineStr">
        <is>
          <t>Shampoo</t>
        </is>
      </c>
      <c r="D6657" t="inlineStr">
        <is>
          <t>Biosilk</t>
        </is>
      </c>
      <c r="E6657" t="n">
        <v>9.199999999999999</v>
      </c>
      <c r="F6657" t="n">
        <v>1</v>
      </c>
      <c r="G6657" t="n">
        <v>5</v>
      </c>
      <c r="H6657" s="5">
        <f>HYPERLINK("https://api.qogita.com/variants/link/0633911744819/", "View Product")</f>
        <v/>
      </c>
    </row>
    <row r="6658">
      <c r="A6658" t="inlineStr">
        <is>
          <t>0633911745304</t>
        </is>
      </c>
      <c r="B6658" t="inlineStr">
        <is>
          <t>BioSilk Silk Therapy 17 Miracle Leave In Conditioner 167ml</t>
        </is>
      </c>
      <c r="C6658" t="inlineStr">
        <is>
          <t>Leave-In Conditioner</t>
        </is>
      </c>
      <c r="D6658" t="inlineStr">
        <is>
          <t>Biosilk</t>
        </is>
      </c>
      <c r="E6658" t="n">
        <v>10.85</v>
      </c>
      <c r="F6658" t="n">
        <v>1</v>
      </c>
      <c r="G6658" t="n">
        <v>5</v>
      </c>
      <c r="H6658" s="5">
        <f>HYPERLINK("https://api.qogita.com/variants/link/0633911745304/", "View Product")</f>
        <v/>
      </c>
    </row>
    <row r="6659">
      <c r="A6659" t="inlineStr">
        <is>
          <t>0633911745984</t>
        </is>
      </c>
      <c r="B6659" t="inlineStr">
        <is>
          <t>Biosilk Silk Therapy</t>
        </is>
      </c>
      <c r="C6659" t="inlineStr">
        <is>
          <t>Hair Oil &amp; Hair Serum</t>
        </is>
      </c>
      <c r="D6659" t="inlineStr">
        <is>
          <t>Biosilk</t>
        </is>
      </c>
      <c r="E6659" t="n">
        <v>8.09</v>
      </c>
      <c r="F6659" t="n">
        <v>1</v>
      </c>
      <c r="G6659" t="n">
        <v>10</v>
      </c>
      <c r="H6659" s="5">
        <f>HYPERLINK("https://api.qogita.com/variants/link/0633911745984/", "View Product")</f>
        <v/>
      </c>
    </row>
    <row r="6660">
      <c r="A6660" t="inlineStr">
        <is>
          <t>0633911747124</t>
        </is>
      </c>
      <c r="B6660" t="inlineStr">
        <is>
          <t>Biosilk Silk Therapy Lite Leave in treatment 67ml</t>
        </is>
      </c>
      <c r="C6660" t="inlineStr">
        <is>
          <t>Leave-In Conditioner</t>
        </is>
      </c>
      <c r="D6660" t="inlineStr">
        <is>
          <t>Biosilk</t>
        </is>
      </c>
      <c r="E6660" t="n">
        <v>8.859999999999999</v>
      </c>
      <c r="F6660" t="n">
        <v>1</v>
      </c>
      <c r="G6660" t="n">
        <v>9</v>
      </c>
      <c r="H6660" s="5">
        <f>HYPERLINK("https://api.qogita.com/variants/link/0633911747124/", "View Product")</f>
        <v/>
      </c>
    </row>
    <row r="6661">
      <c r="A6661" t="inlineStr">
        <is>
          <t>0633911749302</t>
        </is>
      </c>
      <c r="B6661" t="inlineStr">
        <is>
          <t>CHI Argan Oil Hair Conditioner Plus Moringa Oil Blend Rejuvenating Conditioner 340ml</t>
        </is>
      </c>
      <c r="C6661" t="inlineStr">
        <is>
          <t>Conditioner</t>
        </is>
      </c>
      <c r="D6661" t="inlineStr">
        <is>
          <t>Chi</t>
        </is>
      </c>
      <c r="E6661" t="n">
        <v>10.03</v>
      </c>
      <c r="F6661" t="n">
        <v>1</v>
      </c>
      <c r="G6661" t="n">
        <v>8</v>
      </c>
      <c r="H6661" s="5">
        <f>HYPERLINK("https://api.qogita.com/variants/link/0633911749302/", "View Product")</f>
        <v/>
      </c>
    </row>
    <row r="6662">
      <c r="A6662" t="inlineStr">
        <is>
          <t>0633911761335</t>
        </is>
      </c>
      <c r="B6662" t="inlineStr">
        <is>
          <t>Biosilk Silk Therapy Spray Spritz 7oz Hairspray for Unisex</t>
        </is>
      </c>
      <c r="C6662" t="inlineStr">
        <is>
          <t>Hairspray</t>
        </is>
      </c>
      <c r="D6662" t="inlineStr">
        <is>
          <t>Biosilk</t>
        </is>
      </c>
      <c r="E6662" t="n">
        <v>8.859999999999999</v>
      </c>
      <c r="F6662" t="n">
        <v>1</v>
      </c>
      <c r="G6662" t="n">
        <v>9</v>
      </c>
      <c r="H6662" s="5">
        <f>HYPERLINK("https://api.qogita.com/variants/link/0633911761335/", "View Product")</f>
        <v/>
      </c>
    </row>
    <row r="6663">
      <c r="A6663" t="inlineStr">
        <is>
          <t>0633911762738</t>
        </is>
      </c>
      <c r="B6663" t="inlineStr">
        <is>
          <t>CHI Tea Tree Oil Shampoo 739ml</t>
        </is>
      </c>
      <c r="C6663" t="inlineStr">
        <is>
          <t>Shampoo</t>
        </is>
      </c>
      <c r="D6663" t="inlineStr">
        <is>
          <t>Chi</t>
        </is>
      </c>
      <c r="E6663" t="n">
        <v>17.48</v>
      </c>
      <c r="F6663" t="n">
        <v>1</v>
      </c>
      <c r="G6663" t="n">
        <v>9</v>
      </c>
      <c r="H6663" s="5">
        <f>HYPERLINK("https://api.qogita.com/variants/link/0633911762738/", "View Product")</f>
        <v/>
      </c>
    </row>
    <row r="6664">
      <c r="A6664" t="inlineStr">
        <is>
          <t>0633911762936</t>
        </is>
      </c>
      <c r="B6664" t="inlineStr">
        <is>
          <t>CHI Tea Tree Oil Soothing Scalp Spray 89ml</t>
        </is>
      </c>
      <c r="C6664" t="inlineStr">
        <is>
          <t>Scalp Care</t>
        </is>
      </c>
      <c r="D6664" t="inlineStr">
        <is>
          <t>Chi</t>
        </is>
      </c>
      <c r="E6664" t="n">
        <v>8.890000000000001</v>
      </c>
      <c r="F6664" t="n">
        <v>1</v>
      </c>
      <c r="G6664" t="n">
        <v>4</v>
      </c>
      <c r="H6664" s="5">
        <f>HYPERLINK("https://api.qogita.com/variants/link/0633911762936/", "View Product")</f>
        <v/>
      </c>
    </row>
    <row r="6665">
      <c r="A6665" t="inlineStr">
        <is>
          <t>0633911772744</t>
        </is>
      </c>
      <c r="B6665" t="inlineStr">
        <is>
          <t>CHI Rose Hip Oil Protecting Shampoo 340ml</t>
        </is>
      </c>
      <c r="C6665" t="inlineStr">
        <is>
          <t>Shampoo</t>
        </is>
      </c>
      <c r="D6665" t="inlineStr">
        <is>
          <t>Chi</t>
        </is>
      </c>
      <c r="E6665" t="n">
        <v>9.960000000000001</v>
      </c>
      <c r="F6665" t="n">
        <v>1</v>
      </c>
      <c r="G6665" t="n">
        <v>4</v>
      </c>
      <c r="H6665" s="5">
        <f>HYPERLINK("https://api.qogita.com/variants/link/0633911772744/", "View Product")</f>
        <v/>
      </c>
    </row>
    <row r="6666">
      <c r="A6666" t="inlineStr">
        <is>
          <t>0633911772782</t>
        </is>
      </c>
      <c r="B6666" t="inlineStr">
        <is>
          <t>Farouk Hair Care and Scalp Farouk Hair Care and Scalp 118ml</t>
        </is>
      </c>
      <c r="C6666" t="inlineStr">
        <is>
          <t>Scalp Care</t>
        </is>
      </c>
      <c r="D6666" t="inlineStr">
        <is>
          <t>Chi</t>
        </is>
      </c>
      <c r="E6666" t="n">
        <v>10.88</v>
      </c>
      <c r="F6666" t="n">
        <v>1</v>
      </c>
      <c r="G6666" t="n">
        <v>5</v>
      </c>
      <c r="H6666" s="5">
        <f>HYPERLINK("https://api.qogita.com/variants/link/0633911772782/", "View Product")</f>
        <v/>
      </c>
    </row>
    <row r="6667">
      <c r="A6667" t="inlineStr">
        <is>
          <t>0633911811474</t>
        </is>
      </c>
      <c r="B6667" t="inlineStr">
        <is>
          <t>CHI Aloe Vera Detangling Conditioner 340ml</t>
        </is>
      </c>
      <c r="C6667" t="inlineStr">
        <is>
          <t>Conditioner</t>
        </is>
      </c>
      <c r="D6667" t="inlineStr">
        <is>
          <t>Chi</t>
        </is>
      </c>
      <c r="E6667" t="n">
        <v>11.79</v>
      </c>
      <c r="F6667" t="n">
        <v>1</v>
      </c>
      <c r="G6667" t="n">
        <v>3</v>
      </c>
      <c r="H6667" s="5">
        <f>HYPERLINK("https://api.qogita.com/variants/link/0633911811474/", "View Product")</f>
        <v/>
      </c>
    </row>
    <row r="6668">
      <c r="A6668" t="inlineStr">
        <is>
          <t>0633911814109</t>
        </is>
      </c>
      <c r="B6668" t="inlineStr">
        <is>
          <t>BIOSILK Silk Therapy with Natural Coconut Oil Curl Cream 148ml</t>
        </is>
      </c>
      <c r="C6668" t="inlineStr">
        <is>
          <t>Styling Creams</t>
        </is>
      </c>
      <c r="D6668" t="inlineStr">
        <is>
          <t>Biosilk</t>
        </is>
      </c>
      <c r="E6668" t="n">
        <v>13.74</v>
      </c>
      <c r="F6668" t="n">
        <v>1</v>
      </c>
      <c r="G6668" t="n">
        <v>7</v>
      </c>
      <c r="H6668" s="5">
        <f>HYPERLINK("https://api.qogita.com/variants/link/0633911814109/", "View Product")</f>
        <v/>
      </c>
    </row>
    <row r="6669">
      <c r="A6669" t="inlineStr">
        <is>
          <t>0633911847084</t>
        </is>
      </c>
      <c r="B6669" t="inlineStr">
        <is>
          <t>CHI Naturals with Aloe Vera Serum 6oz</t>
        </is>
      </c>
      <c r="C6669" t="inlineStr">
        <is>
          <t>Hair Oil &amp; Hair Serum</t>
        </is>
      </c>
      <c r="D6669" t="inlineStr">
        <is>
          <t>Chi</t>
        </is>
      </c>
      <c r="E6669" t="n">
        <v>15.7</v>
      </c>
      <c r="F6669" t="n">
        <v>1</v>
      </c>
      <c r="G6669" t="n">
        <v>10</v>
      </c>
      <c r="H6669" s="5">
        <f>HYPERLINK("https://api.qogita.com/variants/link/0633911847084/", "View Product")</f>
        <v/>
      </c>
    </row>
    <row r="6670">
      <c r="A6670" t="inlineStr">
        <is>
          <t>0633911853467</t>
        </is>
      </c>
      <c r="B6670" t="inlineStr">
        <is>
          <t>CHI CurlyCare Curl Shampoo 12 fl oz</t>
        </is>
      </c>
      <c r="C6670" t="inlineStr">
        <is>
          <t>Shampoo</t>
        </is>
      </c>
      <c r="D6670" t="inlineStr">
        <is>
          <t>Chi</t>
        </is>
      </c>
      <c r="E6670" t="n">
        <v>10.28</v>
      </c>
      <c r="F6670" t="n">
        <v>1</v>
      </c>
      <c r="G6670" t="n">
        <v>4</v>
      </c>
      <c r="H6670" s="5">
        <f>HYPERLINK("https://api.qogita.com/variants/link/0633911853467/", "View Product")</f>
        <v/>
      </c>
    </row>
    <row r="6671">
      <c r="A6671" t="inlineStr">
        <is>
          <t>0634114043174</t>
        </is>
      </c>
      <c r="B6671" t="inlineStr">
        <is>
          <t>Carbon Theory Skincare Face Mask and Serum Christmas Gifts Stocking Filler New</t>
        </is>
      </c>
      <c r="C6671" t="inlineStr">
        <is>
          <t>Facial Care Sets</t>
        </is>
      </c>
      <c r="D6671" t="inlineStr">
        <is>
          <t>Carbon Theory</t>
        </is>
      </c>
      <c r="E6671" t="n">
        <v>9.289999999999999</v>
      </c>
      <c r="F6671" t="n">
        <v>1</v>
      </c>
      <c r="G6671" t="n">
        <v>4</v>
      </c>
      <c r="H6671" s="5">
        <f>HYPERLINK("https://api.qogita.com/variants/link/0634114043174/", "View Product")</f>
        <v/>
      </c>
    </row>
    <row r="6672">
      <c r="A6672" t="inlineStr">
        <is>
          <t>0634158476273</t>
        </is>
      </c>
      <c r="B6672" t="inlineStr">
        <is>
          <t>Dapper Dan Matt Texturised Styling Paste for a Versatile Strong Flexible Hold 100ml</t>
        </is>
      </c>
      <c r="C6672" t="inlineStr">
        <is>
          <t>Styling Creams</t>
        </is>
      </c>
      <c r="D6672" t="inlineStr">
        <is>
          <t>Dapper Dan</t>
        </is>
      </c>
      <c r="E6672" t="n">
        <v>8.890000000000001</v>
      </c>
      <c r="F6672" t="n">
        <v>1</v>
      </c>
      <c r="G6672" t="n">
        <v>22</v>
      </c>
      <c r="H6672" s="5">
        <f>HYPERLINK("https://api.qogita.com/variants/link/0634158476273/", "View Product")</f>
        <v/>
      </c>
    </row>
    <row r="6673">
      <c r="A6673" t="inlineStr">
        <is>
          <t>0641628401741</t>
        </is>
      </c>
      <c r="B6673" t="inlineStr">
        <is>
          <t>Elemis Superfood Facial Oil 15ml</t>
        </is>
      </c>
      <c r="C6673" t="inlineStr">
        <is>
          <t>Facial Oil</t>
        </is>
      </c>
      <c r="D6673" t="inlineStr">
        <is>
          <t>Elemis</t>
        </is>
      </c>
      <c r="E6673" t="n">
        <v>36.06</v>
      </c>
      <c r="F6673" t="n">
        <v>1</v>
      </c>
      <c r="G6673" t="n">
        <v>9</v>
      </c>
      <c r="H6673" s="5">
        <f>HYPERLINK("https://api.qogita.com/variants/link/0641628401741/", "View Product")</f>
        <v/>
      </c>
    </row>
    <row r="6674">
      <c r="A6674" t="inlineStr">
        <is>
          <t>0641628501953</t>
        </is>
      </c>
      <c r="B6674" t="inlineStr">
        <is>
          <t>Elemis Dynamic Resurfacing Skin Smoothing Serum 30ml</t>
        </is>
      </c>
      <c r="C6674" t="inlineStr">
        <is>
          <t>Anti-Aging Serum</t>
        </is>
      </c>
      <c r="D6674" t="inlineStr">
        <is>
          <t>Elemis</t>
        </is>
      </c>
      <c r="E6674" t="n">
        <v>52.63</v>
      </c>
      <c r="F6674" t="n">
        <v>1</v>
      </c>
      <c r="G6674" t="n">
        <v>3</v>
      </c>
      <c r="H6674" s="5">
        <f>HYPERLINK("https://api.qogita.com/variants/link/0641628501953/", "View Product")</f>
        <v/>
      </c>
    </row>
    <row r="6675">
      <c r="A6675" t="inlineStr">
        <is>
          <t>0641628601240</t>
        </is>
      </c>
      <c r="B6675" t="inlineStr">
        <is>
          <t>Elemis Superfood Glow Priming Illuminating Moisturiser 60mL</t>
        </is>
      </c>
      <c r="C6675" t="inlineStr">
        <is>
          <t>Day Cream</t>
        </is>
      </c>
      <c r="D6675" t="inlineStr">
        <is>
          <t>Elemis</t>
        </is>
      </c>
      <c r="E6675" t="n">
        <v>42.94</v>
      </c>
      <c r="F6675" t="n">
        <v>1</v>
      </c>
      <c r="G6675" t="n">
        <v>3</v>
      </c>
      <c r="H6675" s="5">
        <f>HYPERLINK("https://api.qogita.com/variants/link/0641628601240/", "View Product")</f>
        <v/>
      </c>
    </row>
    <row r="6676">
      <c r="A6676" t="inlineStr">
        <is>
          <t>0641628892099</t>
        </is>
      </c>
      <c r="B6676" t="inlineStr">
        <is>
          <t>Elemis The Dynamic Resurfacing Duo Set - Skin Care Gift Set</t>
        </is>
      </c>
      <c r="C6676" t="inlineStr">
        <is>
          <t>Facial Care Sets</t>
        </is>
      </c>
      <c r="D6676" t="inlineStr">
        <is>
          <t>Elemis</t>
        </is>
      </c>
      <c r="E6676" t="n">
        <v>49.17</v>
      </c>
      <c r="F6676" t="n">
        <v>1</v>
      </c>
      <c r="G6676" t="n">
        <v>3</v>
      </c>
      <c r="H6676" s="5">
        <f>HYPERLINK("https://api.qogita.com/variants/link/0641628892099/", "View Product")</f>
        <v/>
      </c>
    </row>
    <row r="6677">
      <c r="A6677" t="inlineStr">
        <is>
          <t>0641628892112</t>
        </is>
      </c>
      <c r="B6677" t="inlineStr">
        <is>
          <t>Elemis The Grooming Collection</t>
        </is>
      </c>
      <c r="C6677" t="inlineStr">
        <is>
          <t>Shaving Sets</t>
        </is>
      </c>
      <c r="D6677" t="inlineStr">
        <is>
          <t>Elemis</t>
        </is>
      </c>
      <c r="E6677" t="n">
        <v>50.5</v>
      </c>
      <c r="F6677" t="n">
        <v>1</v>
      </c>
      <c r="G6677" t="n">
        <v>10</v>
      </c>
      <c r="H6677" s="5">
        <f>HYPERLINK("https://api.qogita.com/variants/link/0641628892112/", "View Product")</f>
        <v/>
      </c>
    </row>
    <row r="6678">
      <c r="A6678" t="inlineStr">
        <is>
          <t>0652638010182</t>
        </is>
      </c>
      <c r="B6678" t="inlineStr">
        <is>
          <t>Clive Christian Original Collection X Feminine 50ml</t>
        </is>
      </c>
      <c r="C6678" t="inlineStr">
        <is>
          <t>Eau De Parfum</t>
        </is>
      </c>
      <c r="D6678" t="inlineStr">
        <is>
          <t>Clive Christian</t>
        </is>
      </c>
      <c r="E6678" t="n">
        <v>175.46</v>
      </c>
      <c r="F6678" t="n">
        <v>1</v>
      </c>
      <c r="G6678" t="n">
        <v>5</v>
      </c>
      <c r="H6678" s="5">
        <f>HYPERLINK("https://api.qogita.com/variants/link/0652638010182/", "View Product")</f>
        <v/>
      </c>
    </row>
    <row r="6679">
      <c r="A6679" t="inlineStr">
        <is>
          <t>0652638010311</t>
        </is>
      </c>
      <c r="B6679" t="inlineStr">
        <is>
          <t>Clive Christian 1872 Femme Perfume Spray 3.4 Oz - New Unsealed Box</t>
        </is>
      </c>
      <c r="C6679" t="inlineStr">
        <is>
          <t>Eau De Parfum</t>
        </is>
      </c>
      <c r="D6679" t="inlineStr">
        <is>
          <t>Clive Christian</t>
        </is>
      </c>
      <c r="E6679" t="n">
        <v>262.78</v>
      </c>
      <c r="F6679" t="n">
        <v>1</v>
      </c>
      <c r="G6679" t="n">
        <v>4</v>
      </c>
      <c r="H6679" s="5">
        <f>HYPERLINK("https://api.qogita.com/variants/link/0652638010311/", "View Product")</f>
        <v/>
      </c>
    </row>
    <row r="6680">
      <c r="A6680" t="inlineStr">
        <is>
          <t>0652685682059</t>
        </is>
      </c>
      <c r="B6680" t="inlineStr">
        <is>
          <t>ALYSSA ASHLEY Essence de Patchouli EDP Vapo 50ml</t>
        </is>
      </c>
      <c r="C6680" t="inlineStr">
        <is>
          <t>Eau De Parfum</t>
        </is>
      </c>
      <c r="D6680" t="inlineStr">
        <is>
          <t>Alyssa Ashley</t>
        </is>
      </c>
      <c r="E6680" t="n">
        <v>20.83</v>
      </c>
      <c r="F6680" t="n">
        <v>1</v>
      </c>
      <c r="G6680" t="n">
        <v>5</v>
      </c>
      <c r="H6680" s="5">
        <f>HYPERLINK("https://api.qogita.com/variants/link/0652685682059/", "View Product")</f>
        <v/>
      </c>
    </row>
    <row r="6681">
      <c r="A6681" t="inlineStr">
        <is>
          <t>0652685685807</t>
        </is>
      </c>
      <c r="B6681" t="inlineStr">
        <is>
          <t>Alyssa Ashley Body Milk 150g</t>
        </is>
      </c>
      <c r="C6681" t="inlineStr">
        <is>
          <t>Body Lotion</t>
        </is>
      </c>
      <c r="D6681" t="inlineStr">
        <is>
          <t>Alyssa Ashley</t>
        </is>
      </c>
      <c r="E6681" t="n">
        <v>6.25</v>
      </c>
      <c r="F6681" t="n">
        <v>1</v>
      </c>
      <c r="G6681" t="n">
        <v>8</v>
      </c>
      <c r="H6681" s="5">
        <f>HYPERLINK("https://api.qogita.com/variants/link/0652685685807/", "View Product")</f>
        <v/>
      </c>
    </row>
    <row r="6682">
      <c r="A6682" t="inlineStr">
        <is>
          <t>0652685692034</t>
        </is>
      </c>
      <c r="B6682" t="inlineStr">
        <is>
          <t>ALYSSA ASHLEY Ambre Gris EDP Vapo 30ml</t>
        </is>
      </c>
      <c r="C6682" t="inlineStr">
        <is>
          <t>Eau De Parfum</t>
        </is>
      </c>
      <c r="D6682" t="inlineStr">
        <is>
          <t>Alyssa Ashley</t>
        </is>
      </c>
      <c r="E6682" t="n">
        <v>14.09</v>
      </c>
      <c r="F6682" t="n">
        <v>1</v>
      </c>
      <c r="G6682" t="n">
        <v>2</v>
      </c>
      <c r="H6682" s="5">
        <f>HYPERLINK("https://api.qogita.com/variants/link/0652685692034/", "View Product")</f>
        <v/>
      </c>
    </row>
    <row r="6683">
      <c r="A6683" t="inlineStr">
        <is>
          <t>0652685692058</t>
        </is>
      </c>
      <c r="B6683" t="inlineStr">
        <is>
          <t>Alyssa Ashley Ambre Gris Eau de Parfum Spray 50ml</t>
        </is>
      </c>
      <c r="C6683" t="inlineStr">
        <is>
          <t>Eau De Parfum</t>
        </is>
      </c>
      <c r="D6683" t="inlineStr">
        <is>
          <t>Alyssa Ashley</t>
        </is>
      </c>
      <c r="E6683" t="n">
        <v>21.74</v>
      </c>
      <c r="F6683" t="n">
        <v>1</v>
      </c>
      <c r="G6683" t="n">
        <v>5</v>
      </c>
      <c r="H6683" s="5">
        <f>HYPERLINK("https://api.qogita.com/variants/link/0652685692058/", "View Product")</f>
        <v/>
      </c>
    </row>
    <row r="6684">
      <c r="A6684" t="inlineStr">
        <is>
          <t>0654050362061</t>
        </is>
      </c>
      <c r="B6684" t="inlineStr">
        <is>
          <t>L'ANZA Healing Style Dry Shampoo for Oily Hair 6.3 Fl Oz</t>
        </is>
      </c>
      <c r="C6684" t="inlineStr">
        <is>
          <t>Dry Shampoo</t>
        </is>
      </c>
      <c r="D6684" t="inlineStr">
        <is>
          <t>L'Anza</t>
        </is>
      </c>
      <c r="E6684" t="n">
        <v>11.94</v>
      </c>
      <c r="F6684" t="n">
        <v>1</v>
      </c>
      <c r="G6684" t="n">
        <v>5</v>
      </c>
      <c r="H6684" s="5">
        <f>HYPERLINK("https://api.qogita.com/variants/link/0654050362061/", "View Product")</f>
        <v/>
      </c>
    </row>
    <row r="6685">
      <c r="A6685" t="inlineStr">
        <is>
          <t>0663350008234</t>
        </is>
      </c>
      <c r="B6685" t="inlineStr">
        <is>
          <t>Mickey Mouse EDT Spray 100ml</t>
        </is>
      </c>
      <c r="C6685" t="inlineStr">
        <is>
          <t>Eau De Toilette</t>
        </is>
      </c>
      <c r="D6685" t="inlineStr">
        <is>
          <t>Disney</t>
        </is>
      </c>
      <c r="E6685" t="n">
        <v>9.73</v>
      </c>
      <c r="F6685" t="n">
        <v>1</v>
      </c>
      <c r="G6685" t="n">
        <v>4</v>
      </c>
      <c r="H6685" s="5">
        <f>HYPERLINK("https://api.qogita.com/variants/link/0663350008234/", "View Product")</f>
        <v/>
      </c>
    </row>
    <row r="6686">
      <c r="A6686" t="inlineStr">
        <is>
          <t>0663350053647</t>
        </is>
      </c>
      <c r="B6686" t="inlineStr">
        <is>
          <t>Disney Minnie Body Spray 200ml</t>
        </is>
      </c>
      <c r="C6686" t="inlineStr">
        <is>
          <t>Eau De Toilette</t>
        </is>
      </c>
      <c r="D6686" t="inlineStr">
        <is>
          <t>Disney</t>
        </is>
      </c>
      <c r="E6686" t="n">
        <v>5.74</v>
      </c>
      <c r="F6686" t="n">
        <v>1</v>
      </c>
      <c r="G6686" t="n">
        <v>4</v>
      </c>
      <c r="H6686" s="5">
        <f>HYPERLINK("https://api.qogita.com/variants/link/0663350053647/", "View Product")</f>
        <v/>
      </c>
    </row>
    <row r="6687">
      <c r="A6687" t="inlineStr">
        <is>
          <t>0666151005525</t>
        </is>
      </c>
      <c r="B6687" t="inlineStr">
        <is>
          <t>Dermalogica Sensitive Skin Rescue Kit 300ml</t>
        </is>
      </c>
      <c r="C6687" t="inlineStr">
        <is>
          <t>Facial Care Sets</t>
        </is>
      </c>
      <c r="D6687" t="inlineStr">
        <is>
          <t>Dermalogica</t>
        </is>
      </c>
      <c r="E6687" t="n">
        <v>43.56</v>
      </c>
      <c r="F6687" t="n">
        <v>1</v>
      </c>
      <c r="G6687" t="n">
        <v>10</v>
      </c>
      <c r="H6687" s="5">
        <f>HYPERLINK("https://api.qogita.com/variants/link/0666151005525/", "View Product")</f>
        <v/>
      </c>
    </row>
    <row r="6688">
      <c r="A6688" t="inlineStr">
        <is>
          <t>0666151011328</t>
        </is>
      </c>
      <c r="B6688" t="inlineStr">
        <is>
          <t>Dermalogica Active Clearing Skin Wash 250ml</t>
        </is>
      </c>
      <c r="C6688" t="inlineStr">
        <is>
          <t>Cleansing Gel</t>
        </is>
      </c>
      <c r="D6688" t="inlineStr">
        <is>
          <t>Dermalogica</t>
        </is>
      </c>
      <c r="E6688" t="n">
        <v>31.76</v>
      </c>
      <c r="F6688" t="n">
        <v>1</v>
      </c>
      <c r="G6688" t="n">
        <v>8</v>
      </c>
      <c r="H6688" s="5">
        <f>HYPERLINK("https://api.qogita.com/variants/link/0666151011328/", "View Product")</f>
        <v/>
      </c>
    </row>
    <row r="6689">
      <c r="A6689" t="inlineStr">
        <is>
          <t>0667550664832</t>
        </is>
      </c>
      <c r="B6689" t="inlineStr">
        <is>
          <t>Victoria's Secret Hardcore Rose Fragrance Body Mist Spray 8.4 Fl Oz</t>
        </is>
      </c>
      <c r="C6689" t="inlineStr">
        <is>
          <t>Eau De Toilette</t>
        </is>
      </c>
      <c r="D6689" t="inlineStr">
        <is>
          <t>Victoria's Secret</t>
        </is>
      </c>
      <c r="E6689" t="n">
        <v>16.44</v>
      </c>
      <c r="F6689" t="n">
        <v>1</v>
      </c>
      <c r="G6689" t="n">
        <v>21</v>
      </c>
      <c r="H6689" s="5">
        <f>HYPERLINK("https://api.qogita.com/variants/link/0667550664832/", "View Product")</f>
        <v/>
      </c>
    </row>
    <row r="6690">
      <c r="A6690" t="inlineStr">
        <is>
          <t>0667552252280</t>
        </is>
      </c>
      <c r="B6690" t="inlineStr">
        <is>
          <t>Victoria's Secret VS Him Platinum Eau de Parfum 1.7 Fl Oz</t>
        </is>
      </c>
      <c r="C6690" t="inlineStr">
        <is>
          <t>Eau De Parfum</t>
        </is>
      </c>
      <c r="D6690" t="inlineStr">
        <is>
          <t>Victoria's Secret</t>
        </is>
      </c>
      <c r="E6690" t="n">
        <v>28.49</v>
      </c>
      <c r="F6690" t="n">
        <v>1</v>
      </c>
      <c r="G6690" t="n">
        <v>5</v>
      </c>
      <c r="H6690" s="5">
        <f>HYPERLINK("https://api.qogita.com/variants/link/0667552252280/", "View Product")</f>
        <v/>
      </c>
    </row>
    <row r="6691">
      <c r="A6691" t="inlineStr">
        <is>
          <t>0667553072955</t>
        </is>
      </c>
      <c r="B6691" t="inlineStr">
        <is>
          <t>New Victoria's Secret So in Love Eau de Parfum Perfume Mist 1.7 oz</t>
        </is>
      </c>
      <c r="C6691" t="inlineStr">
        <is>
          <t>Eau De Parfum</t>
        </is>
      </c>
      <c r="D6691" t="inlineStr">
        <is>
          <t>Victoria's Secret</t>
        </is>
      </c>
      <c r="E6691" t="n">
        <v>29.11</v>
      </c>
      <c r="F6691" t="n">
        <v>1</v>
      </c>
      <c r="G6691" t="n">
        <v>8</v>
      </c>
      <c r="H6691" s="5">
        <f>HYPERLINK("https://api.qogita.com/variants/link/0667553072955/", "View Product")</f>
        <v/>
      </c>
    </row>
    <row r="6692">
      <c r="A6692" t="inlineStr">
        <is>
          <t>0667553699473</t>
        </is>
      </c>
      <c r="B6692" t="inlineStr">
        <is>
          <t>Victoria's Secret Bombshell Oud Eau De Parfum 50ml</t>
        </is>
      </c>
      <c r="C6692" t="inlineStr">
        <is>
          <t>Eau De Parfum</t>
        </is>
      </c>
      <c r="D6692" t="inlineStr">
        <is>
          <t>Victoria's Secret</t>
        </is>
      </c>
      <c r="E6692" t="n">
        <v>41.49</v>
      </c>
      <c r="F6692" t="n">
        <v>1</v>
      </c>
      <c r="G6692" t="n">
        <v>11</v>
      </c>
      <c r="H6692" s="5">
        <f>HYPERLINK("https://api.qogita.com/variants/link/0667553699473/", "View Product")</f>
        <v/>
      </c>
    </row>
    <row r="6693">
      <c r="A6693" t="inlineStr">
        <is>
          <t>0667555513005</t>
        </is>
      </c>
      <c r="B6693" t="inlineStr">
        <is>
          <t>Victoria's Secret Just A Kiss Fragrance Mist 8.4 Fl Oz</t>
        </is>
      </c>
      <c r="C6693" t="inlineStr">
        <is>
          <t>Eau De Toilette</t>
        </is>
      </c>
      <c r="D6693" t="inlineStr">
        <is>
          <t>Victoria's Secret</t>
        </is>
      </c>
      <c r="E6693" t="n">
        <v>16.44</v>
      </c>
      <c r="F6693" t="n">
        <v>1</v>
      </c>
      <c r="G6693" t="n">
        <v>12</v>
      </c>
      <c r="H6693" s="5">
        <f>HYPERLINK("https://api.qogita.com/variants/link/0667555513005/", "View Product")</f>
        <v/>
      </c>
    </row>
    <row r="6694">
      <c r="A6694" t="inlineStr">
        <is>
          <t>0667556258004</t>
        </is>
      </c>
      <c r="B6694" t="inlineStr">
        <is>
          <t>Victoria's Secret Pure Seduction Golden Fragrance Mist 250ml</t>
        </is>
      </c>
      <c r="C6694" t="inlineStr">
        <is>
          <t>Eau De Toilette</t>
        </is>
      </c>
      <c r="D6694" t="inlineStr">
        <is>
          <t>Victoria's Secret</t>
        </is>
      </c>
      <c r="E6694" t="n">
        <v>16.37</v>
      </c>
      <c r="F6694" t="n">
        <v>1</v>
      </c>
      <c r="G6694" t="n">
        <v>2</v>
      </c>
      <c r="H6694" s="5">
        <f>HYPERLINK("https://api.qogita.com/variants/link/0667556258004/", "View Product")</f>
        <v/>
      </c>
    </row>
    <row r="6695">
      <c r="A6695" t="inlineStr">
        <is>
          <t>0667556258011</t>
        </is>
      </c>
      <c r="B6695" t="inlineStr">
        <is>
          <t>Victoria's Secret GOLDEN Fragrance Mist 8.4oz 236ml - New</t>
        </is>
      </c>
      <c r="C6695" t="inlineStr">
        <is>
          <t>Fragrance Sets</t>
        </is>
      </c>
      <c r="D6695" t="inlineStr">
        <is>
          <t>Victoria's Secret</t>
        </is>
      </c>
      <c r="E6695" t="n">
        <v>16.79</v>
      </c>
      <c r="F6695" t="n">
        <v>1</v>
      </c>
      <c r="G6695" t="n">
        <v>13</v>
      </c>
      <c r="H6695" s="5">
        <f>HYPERLINK("https://api.qogita.com/variants/link/0667556258011/", "View Product")</f>
        <v/>
      </c>
    </row>
    <row r="6696">
      <c r="A6696" t="inlineStr">
        <is>
          <t>0667557180489</t>
        </is>
      </c>
      <c r="B6696" t="inlineStr">
        <is>
          <t>Victoria's Secret Pear Ice Fragrance Mist Body Spray 8.4 Oz</t>
        </is>
      </c>
      <c r="C6696" t="inlineStr">
        <is>
          <t>Fragrance Sets</t>
        </is>
      </c>
      <c r="D6696" t="inlineStr">
        <is>
          <t>Victoria's Secret</t>
        </is>
      </c>
      <c r="E6696" t="n">
        <v>15.4</v>
      </c>
      <c r="F6696" t="n">
        <v>1</v>
      </c>
      <c r="G6696" t="n">
        <v>6</v>
      </c>
      <c r="H6696" s="5">
        <f>HYPERLINK("https://api.qogita.com/variants/link/0667557180489/", "View Product")</f>
        <v/>
      </c>
    </row>
    <row r="6697">
      <c r="A6697" t="inlineStr">
        <is>
          <t>0667557640464</t>
        </is>
      </c>
      <c r="B6697" t="inlineStr">
        <is>
          <t>Victoria's Secret Petal Plush Clouds Fragrance Mist 8.4 Fl Oz</t>
        </is>
      </c>
      <c r="C6697" t="inlineStr">
        <is>
          <t>Eau De Toilette</t>
        </is>
      </c>
      <c r="D6697" t="inlineStr">
        <is>
          <t>Victoria's Secret</t>
        </is>
      </c>
      <c r="E6697" t="n">
        <v>14.05</v>
      </c>
      <c r="F6697" t="n">
        <v>1</v>
      </c>
      <c r="G6697" t="n">
        <v>16</v>
      </c>
      <c r="H6697" s="5">
        <f>HYPERLINK("https://api.qogita.com/variants/link/0667557640464/", "View Product")</f>
        <v/>
      </c>
    </row>
    <row r="6698">
      <c r="A6698" t="inlineStr">
        <is>
          <t>0667557640921</t>
        </is>
      </c>
      <c r="B6698" t="inlineStr">
        <is>
          <t>Victoria's Secret Melon Drench Fragrance Mist 8.4 fl oz</t>
        </is>
      </c>
      <c r="C6698" t="inlineStr">
        <is>
          <t>Fragrance Sets</t>
        </is>
      </c>
      <c r="D6698" t="inlineStr">
        <is>
          <t>Victoria's Secret</t>
        </is>
      </c>
      <c r="E6698" t="n">
        <v>13.95</v>
      </c>
      <c r="F6698" t="n">
        <v>1</v>
      </c>
      <c r="G6698" t="n">
        <v>5</v>
      </c>
      <c r="H6698" s="5">
        <f>HYPERLINK("https://api.qogita.com/variants/link/0667557640921/", "View Product")</f>
        <v/>
      </c>
    </row>
    <row r="6699">
      <c r="A6699" t="inlineStr">
        <is>
          <t>0667557640969</t>
        </is>
      </c>
      <c r="B6699" t="inlineStr">
        <is>
          <t>Victoria's Secret Melon Drench Body Lotion 80oz</t>
        </is>
      </c>
      <c r="C6699" t="inlineStr">
        <is>
          <t>Body Lotion</t>
        </is>
      </c>
      <c r="D6699" t="inlineStr">
        <is>
          <t>Victoria's Secret</t>
        </is>
      </c>
      <c r="E6699" t="n">
        <v>15.13</v>
      </c>
      <c r="F6699" t="n">
        <v>1</v>
      </c>
      <c r="G6699" t="n">
        <v>11</v>
      </c>
      <c r="H6699" s="5">
        <f>HYPERLINK("https://api.qogita.com/variants/link/0667557640969/", "View Product")</f>
        <v/>
      </c>
    </row>
    <row r="6700">
      <c r="A6700" t="inlineStr">
        <is>
          <t>0667557894652</t>
        </is>
      </c>
      <c r="B6700" t="inlineStr">
        <is>
          <t>Victoria's Secret Velvet Petals Body Lotion 236 ml 8oz</t>
        </is>
      </c>
      <c r="C6700" t="inlineStr">
        <is>
          <t>Body Lotion</t>
        </is>
      </c>
      <c r="D6700" t="inlineStr">
        <is>
          <t>Victoria's Secret</t>
        </is>
      </c>
      <c r="E6700" t="n">
        <v>16.39</v>
      </c>
      <c r="F6700" t="n">
        <v>1</v>
      </c>
      <c r="G6700" t="n">
        <v>17</v>
      </c>
      <c r="H6700" s="5">
        <f>HYPERLINK("https://api.qogita.com/variants/link/0667557894652/", "View Product")</f>
        <v/>
      </c>
    </row>
    <row r="6701">
      <c r="A6701" t="inlineStr">
        <is>
          <t>0667557894690</t>
        </is>
      </c>
      <c r="B6701" t="inlineStr">
        <is>
          <t>Victoria's Secret Amber Romance Body Lotion 236ml</t>
        </is>
      </c>
      <c r="C6701" t="inlineStr">
        <is>
          <t>Body Lotion</t>
        </is>
      </c>
      <c r="D6701" t="inlineStr">
        <is>
          <t>Victoria's Secret</t>
        </is>
      </c>
      <c r="E6701" t="n">
        <v>15.22</v>
      </c>
      <c r="F6701" t="n">
        <v>1</v>
      </c>
      <c r="G6701" t="n">
        <v>45</v>
      </c>
      <c r="H6701" s="5">
        <f>HYPERLINK("https://api.qogita.com/variants/link/0667557894690/", "View Product")</f>
        <v/>
      </c>
    </row>
    <row r="6702">
      <c r="A6702" t="inlineStr">
        <is>
          <t>0667557895437</t>
        </is>
      </c>
      <c r="B6702" t="inlineStr">
        <is>
          <t>Body Spray Mist for Women Fragrance Sets 3.4 Fl Oz - Total</t>
        </is>
      </c>
      <c r="C6702" t="inlineStr">
        <is>
          <t>Fragrance Sets</t>
        </is>
      </c>
      <c r="D6702" t="inlineStr">
        <is>
          <t>Clean</t>
        </is>
      </c>
      <c r="E6702" t="n">
        <v>16.36</v>
      </c>
      <c r="F6702" t="n">
        <v>1</v>
      </c>
      <c r="G6702" t="n">
        <v>2</v>
      </c>
      <c r="H6702" s="5">
        <f>HYPERLINK("https://api.qogita.com/variants/link/0667557895437/", "View Product")</f>
        <v/>
      </c>
    </row>
    <row r="6703">
      <c r="A6703" t="inlineStr">
        <is>
          <t>0667557895451</t>
        </is>
      </c>
      <c r="B6703" t="inlineStr">
        <is>
          <t>Victorias Secret Rush Body Lotion 236ml</t>
        </is>
      </c>
      <c r="C6703" t="inlineStr">
        <is>
          <t>Body Lotion</t>
        </is>
      </c>
      <c r="D6703" t="inlineStr">
        <is>
          <t>Victoria's Secret</t>
        </is>
      </c>
      <c r="E6703" t="n">
        <v>15.75</v>
      </c>
      <c r="F6703" t="n">
        <v>1</v>
      </c>
      <c r="G6703" t="n">
        <v>5</v>
      </c>
      <c r="H6703" s="5">
        <f>HYPERLINK("https://api.qogita.com/variants/link/0667557895451/", "View Product")</f>
        <v/>
      </c>
    </row>
    <row r="6704">
      <c r="A6704" t="inlineStr">
        <is>
          <t>0667558227145</t>
        </is>
      </c>
      <c r="B6704" t="inlineStr">
        <is>
          <t>Victoria's Secret Petal Buzz Fragrance Mist 250ml</t>
        </is>
      </c>
      <c r="C6704" t="inlineStr">
        <is>
          <t>Eau De Toilette</t>
        </is>
      </c>
      <c r="D6704" t="inlineStr">
        <is>
          <t>Victoria's Secret</t>
        </is>
      </c>
      <c r="E6704" t="n">
        <v>16.44</v>
      </c>
      <c r="F6704" t="n">
        <v>1</v>
      </c>
      <c r="G6704" t="n">
        <v>19</v>
      </c>
      <c r="H6704" s="5">
        <f>HYPERLINK("https://api.qogita.com/variants/link/0667558227145/", "View Product")</f>
        <v/>
      </c>
    </row>
    <row r="6705">
      <c r="A6705" t="inlineStr">
        <is>
          <t>0667558426906</t>
        </is>
      </c>
      <c r="B6705" t="inlineStr">
        <is>
          <t>Victoria's Secret Body Mist Nightsip 250ml 8.4oz</t>
        </is>
      </c>
      <c r="C6705" t="inlineStr">
        <is>
          <t>Eau De Toilette</t>
        </is>
      </c>
      <c r="D6705" t="inlineStr">
        <is>
          <t>Victoria's Secret</t>
        </is>
      </c>
      <c r="E6705" t="n">
        <v>14.39</v>
      </c>
      <c r="F6705" t="n">
        <v>1</v>
      </c>
      <c r="G6705" t="n">
        <v>22</v>
      </c>
      <c r="H6705" s="5">
        <f>HYPERLINK("https://api.qogita.com/variants/link/0667558426906/", "View Product")</f>
        <v/>
      </c>
    </row>
    <row r="6706">
      <c r="A6706" t="inlineStr">
        <is>
          <t>0667558437315</t>
        </is>
      </c>
      <c r="B6706" t="inlineStr">
        <is>
          <t>Victoria's Secret Sugar Plum Fig Fragrance Mist 250ml</t>
        </is>
      </c>
      <c r="C6706" t="inlineStr">
        <is>
          <t>Eau De Toilette</t>
        </is>
      </c>
      <c r="D6706" t="inlineStr">
        <is>
          <t>Victoria's Secret</t>
        </is>
      </c>
      <c r="E6706" t="n">
        <v>15.29</v>
      </c>
      <c r="F6706" t="n">
        <v>1</v>
      </c>
      <c r="G6706" t="n">
        <v>13</v>
      </c>
      <c r="H6706" s="5">
        <f>HYPERLINK("https://api.qogita.com/variants/link/0667558437315/", "View Product")</f>
        <v/>
      </c>
    </row>
    <row r="6707">
      <c r="A6707" t="inlineStr">
        <is>
          <t>0667558437650</t>
        </is>
      </c>
      <c r="B6707" t="inlineStr">
        <is>
          <t>Victoria's Secret Pure Seduction Shimmer for Women 8 oz</t>
        </is>
      </c>
      <c r="C6707" t="inlineStr">
        <is>
          <t>Eau De Parfum</t>
        </is>
      </c>
      <c r="D6707" t="inlineStr">
        <is>
          <t>Victoria's Secret</t>
        </is>
      </c>
      <c r="E6707" t="n">
        <v>16.8</v>
      </c>
      <c r="F6707" t="n">
        <v>1</v>
      </c>
      <c r="G6707" t="n">
        <v>19</v>
      </c>
      <c r="H6707" s="5">
        <f>HYPERLINK("https://api.qogita.com/variants/link/0667558437650/", "View Product")</f>
        <v/>
      </c>
    </row>
    <row r="6708">
      <c r="A6708" t="inlineStr">
        <is>
          <t>0667558717219</t>
        </is>
      </c>
      <c r="B6708" t="inlineStr">
        <is>
          <t>Body Spray Mist for Women Fragrance Sets 3.4 Fl Oz - Total</t>
        </is>
      </c>
      <c r="C6708" t="inlineStr">
        <is>
          <t>Fragrance Sets</t>
        </is>
      </c>
      <c r="D6708" t="inlineStr">
        <is>
          <t>Clean</t>
        </is>
      </c>
      <c r="E6708" t="n">
        <v>16.44</v>
      </c>
      <c r="F6708" t="n">
        <v>1</v>
      </c>
      <c r="G6708" t="n">
        <v>4</v>
      </c>
      <c r="H6708" s="5">
        <f>HYPERLINK("https://api.qogita.com/variants/link/0667558717219/", "View Product")</f>
        <v/>
      </c>
    </row>
    <row r="6709">
      <c r="A6709" t="inlineStr">
        <is>
          <t>0667558717356</t>
        </is>
      </c>
      <c r="B6709" t="inlineStr">
        <is>
          <t>Victoria's Secret Perfume 3.4 Fl Oz Eau De Parfum Spray</t>
        </is>
      </c>
      <c r="C6709" t="inlineStr">
        <is>
          <t>Eau De Parfum</t>
        </is>
      </c>
      <c r="D6709" t="inlineStr">
        <is>
          <t>Victoria's Secret</t>
        </is>
      </c>
      <c r="E6709" t="n">
        <v>44.79</v>
      </c>
      <c r="F6709" t="n">
        <v>1</v>
      </c>
      <c r="G6709" t="n">
        <v>34</v>
      </c>
      <c r="H6709" s="5">
        <f>HYPERLINK("https://api.qogita.com/variants/link/0667558717356/", "View Product")</f>
        <v/>
      </c>
    </row>
    <row r="6710">
      <c r="A6710" t="inlineStr">
        <is>
          <t>0667559066392</t>
        </is>
      </c>
      <c r="B6710" t="inlineStr">
        <is>
          <t>Victoria's Secret Bright Mariposa Apricot Fragrance Mist 250ml For Women</t>
        </is>
      </c>
      <c r="C6710" t="inlineStr">
        <is>
          <t>Fragrance Sets</t>
        </is>
      </c>
      <c r="D6710" t="inlineStr">
        <is>
          <t>Victoria's Secret</t>
        </is>
      </c>
      <c r="E6710" t="n">
        <v>14.9</v>
      </c>
      <c r="F6710" t="n">
        <v>1</v>
      </c>
      <c r="G6710" t="n">
        <v>6</v>
      </c>
      <c r="H6710" s="5">
        <f>HYPERLINK("https://api.qogita.com/variants/link/0667559066392/", "View Product")</f>
        <v/>
      </c>
    </row>
    <row r="6711">
      <c r="A6711" t="inlineStr">
        <is>
          <t>0667559066859</t>
        </is>
      </c>
      <c r="B6711" t="inlineStr">
        <is>
          <t>Victoria's Secret Siren Serenade Fragrance Mist 250ml</t>
        </is>
      </c>
      <c r="C6711" t="inlineStr">
        <is>
          <t>Fragrance Sets</t>
        </is>
      </c>
      <c r="D6711" t="inlineStr">
        <is>
          <t>Victoria's Secret</t>
        </is>
      </c>
      <c r="E6711" t="n">
        <v>13.96</v>
      </c>
      <c r="F6711" t="n">
        <v>1</v>
      </c>
      <c r="G6711" t="n">
        <v>5</v>
      </c>
      <c r="H6711" s="5">
        <f>HYPERLINK("https://api.qogita.com/variants/link/0667559066859/", "View Product")</f>
        <v/>
      </c>
    </row>
    <row r="6712">
      <c r="A6712" t="inlineStr">
        <is>
          <t>0667559068334</t>
        </is>
      </c>
      <c r="B6712" t="inlineStr">
        <is>
          <t>Victoria's Secret Pure Seduction Sol Fragrance Mist 250ml for Women</t>
        </is>
      </c>
      <c r="C6712" t="inlineStr">
        <is>
          <t>Eau De Toilette</t>
        </is>
      </c>
      <c r="D6712" t="inlineStr">
        <is>
          <t>Victoria's Secret</t>
        </is>
      </c>
      <c r="E6712" t="n">
        <v>14.13</v>
      </c>
      <c r="F6712" t="n">
        <v>1</v>
      </c>
      <c r="G6712" t="n">
        <v>11</v>
      </c>
      <c r="H6712" s="5">
        <f>HYPERLINK("https://api.qogita.com/variants/link/0667559068334/", "View Product")</f>
        <v/>
      </c>
    </row>
    <row r="6713">
      <c r="A6713" t="inlineStr">
        <is>
          <t>0667559666714</t>
        </is>
      </c>
      <c r="B6713" t="inlineStr">
        <is>
          <t>Victoria's Secret Berry Brulee Body Mist 250ml</t>
        </is>
      </c>
      <c r="C6713" t="inlineStr">
        <is>
          <t>Body Mist</t>
        </is>
      </c>
      <c r="D6713" t="inlineStr">
        <is>
          <t>Victoria's Secret</t>
        </is>
      </c>
      <c r="E6713" t="n">
        <v>16.44</v>
      </c>
      <c r="F6713" t="n">
        <v>1</v>
      </c>
      <c r="G6713" t="n">
        <v>5</v>
      </c>
      <c r="H6713" s="5">
        <f>HYPERLINK("https://api.qogita.com/variants/link/0667559666714/", "View Product")</f>
        <v/>
      </c>
    </row>
    <row r="6714">
      <c r="A6714" t="inlineStr">
        <is>
          <t>0667559666806</t>
        </is>
      </c>
      <c r="B6714" t="inlineStr">
        <is>
          <t>Victoria's Secret Pure Seduction Daydream Body Mist 250ml</t>
        </is>
      </c>
      <c r="C6714" t="inlineStr">
        <is>
          <t>Body Mist</t>
        </is>
      </c>
      <c r="D6714" t="inlineStr">
        <is>
          <t>Victoria's Secret</t>
        </is>
      </c>
      <c r="E6714" t="n">
        <v>16.88</v>
      </c>
      <c r="F6714" t="n">
        <v>1</v>
      </c>
      <c r="G6714" t="n">
        <v>3</v>
      </c>
      <c r="H6714" s="5">
        <f>HYPERLINK("https://api.qogita.com/variants/link/0667559666806/", "View Product")</f>
        <v/>
      </c>
    </row>
    <row r="6715">
      <c r="A6715" t="inlineStr">
        <is>
          <t>0667559816683</t>
        </is>
      </c>
      <c r="B6715" t="inlineStr">
        <is>
          <t>Victoria's Secret Pure Seduction Starlit Body Mist 250ml</t>
        </is>
      </c>
      <c r="C6715" t="inlineStr">
        <is>
          <t>Body Care Sets</t>
        </is>
      </c>
      <c r="D6715" t="inlineStr">
        <is>
          <t>Victoria's Secret</t>
        </is>
      </c>
      <c r="E6715" t="n">
        <v>14.76</v>
      </c>
      <c r="F6715" t="n">
        <v>1</v>
      </c>
      <c r="G6715" t="n">
        <v>5</v>
      </c>
      <c r="H6715" s="5">
        <f>HYPERLINK("https://api.qogita.com/variants/link/0667559816683/", "View Product")</f>
        <v/>
      </c>
    </row>
    <row r="6716">
      <c r="A6716" t="inlineStr">
        <is>
          <t>0667559817208</t>
        </is>
      </c>
      <c r="B6716" t="inlineStr">
        <is>
          <t>Victoria's Secret Love Spell Starlit Fragrance Body Mist Spray 8.4 Oz</t>
        </is>
      </c>
      <c r="C6716" t="inlineStr">
        <is>
          <t>Eau De Parfum</t>
        </is>
      </c>
      <c r="D6716" t="inlineStr">
        <is>
          <t>Victoria's Secret</t>
        </is>
      </c>
      <c r="E6716" t="n">
        <v>14.82</v>
      </c>
      <c r="F6716" t="n">
        <v>1</v>
      </c>
      <c r="G6716" t="n">
        <v>10</v>
      </c>
      <c r="H6716" s="5">
        <f>HYPERLINK("https://api.qogita.com/variants/link/0667559817208/", "View Product")</f>
        <v/>
      </c>
    </row>
    <row r="6717">
      <c r="A6717" t="inlineStr">
        <is>
          <t>0667560239280</t>
        </is>
      </c>
      <c r="B6717" t="inlineStr">
        <is>
          <t>Dreamy Petals Victoria's Secret Fragrance Mist 8.4 Fl Oz</t>
        </is>
      </c>
      <c r="C6717" t="inlineStr">
        <is>
          <t>Eau De Toilette</t>
        </is>
      </c>
      <c r="D6717" t="inlineStr">
        <is>
          <t>Victoria's Secret</t>
        </is>
      </c>
      <c r="E6717" t="n">
        <v>12.53</v>
      </c>
      <c r="F6717" t="n">
        <v>1</v>
      </c>
      <c r="G6717" t="n">
        <v>14</v>
      </c>
      <c r="H6717" s="5">
        <f>HYPERLINK("https://api.qogita.com/variants/link/0667560239280/", "View Product")</f>
        <v/>
      </c>
    </row>
    <row r="6718">
      <c r="A6718" t="inlineStr">
        <is>
          <t>0667560239297</t>
        </is>
      </c>
      <c r="B6718" t="inlineStr">
        <is>
          <t>Victoria's Secret Sunlit Nectar Body Mist Spray</t>
        </is>
      </c>
      <c r="C6718" t="inlineStr">
        <is>
          <t>Body Care Sets</t>
        </is>
      </c>
      <c r="D6718" t="inlineStr">
        <is>
          <t>Victoria's Secret</t>
        </is>
      </c>
      <c r="E6718" t="n">
        <v>11.71</v>
      </c>
      <c r="F6718" t="n">
        <v>1</v>
      </c>
      <c r="G6718" t="n">
        <v>3</v>
      </c>
      <c r="H6718" s="5">
        <f>HYPERLINK("https://api.qogita.com/variants/link/0667560239297/", "View Product")</f>
        <v/>
      </c>
    </row>
    <row r="6719">
      <c r="A6719" t="inlineStr">
        <is>
          <t>0669259001031</t>
        </is>
      </c>
      <c r="B6719" t="inlineStr">
        <is>
          <t>Little Green Conditioning Detangler 240ml</t>
        </is>
      </c>
      <c r="C6719" t="inlineStr">
        <is>
          <t>Leave-In Conditioner</t>
        </is>
      </c>
      <c r="D6719" t="inlineStr">
        <is>
          <t>Little Green</t>
        </is>
      </c>
      <c r="E6719" t="n">
        <v>6.6</v>
      </c>
      <c r="F6719" t="n">
        <v>1</v>
      </c>
      <c r="G6719" t="n">
        <v>9</v>
      </c>
      <c r="H6719" s="5">
        <f>HYPERLINK("https://api.qogita.com/variants/link/0669259001031/", "View Product")</f>
        <v/>
      </c>
    </row>
    <row r="6720">
      <c r="A6720" t="inlineStr">
        <is>
          <t>0669259001086</t>
        </is>
      </c>
      <c r="B6720" t="inlineStr">
        <is>
          <t>Little Green Baby Shampoo &amp; Body Wash 2oz</t>
        </is>
      </c>
      <c r="C6720" t="inlineStr">
        <is>
          <t>Baby Shampoo</t>
        </is>
      </c>
      <c r="D6720" t="inlineStr">
        <is>
          <t>Little Green</t>
        </is>
      </c>
      <c r="E6720" t="n">
        <v>2.79</v>
      </c>
      <c r="F6720" t="n">
        <v>1</v>
      </c>
      <c r="G6720" t="n">
        <v>14</v>
      </c>
      <c r="H6720" s="5">
        <f>HYPERLINK("https://api.qogita.com/variants/link/0669259001086/", "View Product")</f>
        <v/>
      </c>
    </row>
    <row r="6721">
      <c r="A6721" t="inlineStr">
        <is>
          <t>0669259001260</t>
        </is>
      </c>
      <c r="B6721" t="inlineStr">
        <is>
          <t>Little Green Kids Lice Guard Shampoo 240ml</t>
        </is>
      </c>
      <c r="C6721" t="inlineStr">
        <is>
          <t>Shampoo</t>
        </is>
      </c>
      <c r="D6721" t="inlineStr">
        <is>
          <t>Little Green</t>
        </is>
      </c>
      <c r="E6721" t="n">
        <v>8.140000000000001</v>
      </c>
      <c r="F6721" t="n">
        <v>1</v>
      </c>
      <c r="G6721" t="n">
        <v>5</v>
      </c>
      <c r="H6721" s="5">
        <f>HYPERLINK("https://api.qogita.com/variants/link/0669259001260/", "View Product")</f>
        <v/>
      </c>
    </row>
    <row r="6722">
      <c r="A6722" t="inlineStr">
        <is>
          <t>0669259003356</t>
        </is>
      </c>
      <c r="B6722" t="inlineStr">
        <is>
          <t>Ecru New York Smoothing Blow Dry Spray Heat Protection for Hair Frizz</t>
        </is>
      </c>
      <c r="C6722" t="inlineStr">
        <is>
          <t>Heat Protection</t>
        </is>
      </c>
      <c r="D6722" t="inlineStr">
        <is>
          <t>Ecru New York</t>
        </is>
      </c>
      <c r="E6722" t="n">
        <v>14.54</v>
      </c>
      <c r="F6722" t="n">
        <v>1</v>
      </c>
      <c r="G6722" t="n">
        <v>6</v>
      </c>
      <c r="H6722" s="5">
        <f>HYPERLINK("https://api.qogita.com/variants/link/0669259003356/", "View Product")</f>
        <v/>
      </c>
    </row>
    <row r="6723">
      <c r="A6723" t="inlineStr">
        <is>
          <t>0669259003516</t>
        </is>
      </c>
      <c r="B6723" t="inlineStr">
        <is>
          <t>Ecru New York Marine Thickening Balm 5 Oz Hair Thickener and Strengthener</t>
        </is>
      </c>
      <c r="C6723" t="inlineStr">
        <is>
          <t>Hair Tonic</t>
        </is>
      </c>
      <c r="D6723" t="inlineStr">
        <is>
          <t>Ecru New York</t>
        </is>
      </c>
      <c r="E6723" t="n">
        <v>14.06</v>
      </c>
      <c r="F6723" t="n">
        <v>1</v>
      </c>
      <c r="G6723" t="n">
        <v>25</v>
      </c>
      <c r="H6723" s="5">
        <f>HYPERLINK("https://api.qogita.com/variants/link/0669259003516/", "View Product")</f>
        <v/>
      </c>
    </row>
    <row r="6724">
      <c r="A6724" t="inlineStr">
        <is>
          <t>0669316222034</t>
        </is>
      </c>
      <c r="B6724" t="inlineStr">
        <is>
          <t>American Crew All-In-One Face Balm SPF15 170ml</t>
        </is>
      </c>
      <c r="C6724" t="inlineStr">
        <is>
          <t>Face Sun Protection</t>
        </is>
      </c>
      <c r="D6724" t="inlineStr">
        <is>
          <t>American Crew</t>
        </is>
      </c>
      <c r="E6724" t="n">
        <v>12.31</v>
      </c>
      <c r="F6724" t="n">
        <v>1</v>
      </c>
      <c r="G6724" t="n">
        <v>4</v>
      </c>
      <c r="H6724" s="5">
        <f>HYPERLINK("https://api.qogita.com/variants/link/0669316222034/", "View Product")</f>
        <v/>
      </c>
    </row>
    <row r="6725">
      <c r="A6725" t="inlineStr">
        <is>
          <t>0669316223062</t>
        </is>
      </c>
      <c r="B6725" t="inlineStr">
        <is>
          <t>American Crew Haircare Tea Tree 3-in-1 Shampoo Conditioner &amp; Body Wash 1000ml</t>
        </is>
      </c>
      <c r="C6725" t="inlineStr">
        <is>
          <t>Shampoo</t>
        </is>
      </c>
      <c r="D6725" t="inlineStr">
        <is>
          <t>American Crew</t>
        </is>
      </c>
      <c r="E6725" t="n">
        <v>15.43</v>
      </c>
      <c r="F6725" t="n">
        <v>1</v>
      </c>
      <c r="G6725" t="n">
        <v>6</v>
      </c>
      <c r="H6725" s="5">
        <f>HYPERLINK("https://api.qogita.com/variants/link/0669316223062/", "View Product")</f>
        <v/>
      </c>
    </row>
    <row r="6726">
      <c r="A6726" t="inlineStr">
        <is>
          <t>0669316406168</t>
        </is>
      </c>
      <c r="B6726" t="inlineStr">
        <is>
          <t>American Crew Skincare Precision Shave Gel 5.1 Ounce</t>
        </is>
      </c>
      <c r="C6726" t="inlineStr">
        <is>
          <t>Shaving</t>
        </is>
      </c>
      <c r="D6726" t="inlineStr">
        <is>
          <t>American Crew</t>
        </is>
      </c>
      <c r="E6726" t="n">
        <v>5.58</v>
      </c>
      <c r="F6726" t="n">
        <v>1</v>
      </c>
      <c r="G6726" t="n">
        <v>43</v>
      </c>
      <c r="H6726" s="5">
        <f>HYPERLINK("https://api.qogita.com/variants/link/0669316406168/", "View Product")</f>
        <v/>
      </c>
    </row>
    <row r="6727">
      <c r="A6727" t="inlineStr">
        <is>
          <t>0669316434673</t>
        </is>
      </c>
      <c r="B6727" t="inlineStr">
        <is>
          <t>American Crew Beard Balm Clear 60g</t>
        </is>
      </c>
      <c r="C6727" t="inlineStr">
        <is>
          <t>Beard Care Accessories</t>
        </is>
      </c>
      <c r="D6727" t="inlineStr">
        <is>
          <t>American Crew</t>
        </is>
      </c>
      <c r="E6727" t="n">
        <v>7.91</v>
      </c>
      <c r="F6727" t="n">
        <v>1</v>
      </c>
      <c r="G6727" t="n">
        <v>11</v>
      </c>
      <c r="H6727" s="5">
        <f>HYPERLINK("https://api.qogita.com/variants/link/0669316434673/", "View Product")</f>
        <v/>
      </c>
    </row>
    <row r="6728">
      <c r="A6728" t="inlineStr">
        <is>
          <t>0669316457054</t>
        </is>
      </c>
      <c r="B6728" t="inlineStr">
        <is>
          <t>American Crew Style Fiber Grooming Foam 200ml</t>
        </is>
      </c>
      <c r="C6728" t="inlineStr">
        <is>
          <t>Mousse</t>
        </is>
      </c>
      <c r="D6728" t="inlineStr">
        <is>
          <t>American Crew</t>
        </is>
      </c>
      <c r="E6728" t="n">
        <v>12.17</v>
      </c>
      <c r="F6728" t="n">
        <v>1</v>
      </c>
      <c r="G6728" t="n">
        <v>3</v>
      </c>
      <c r="H6728" s="5">
        <f>HYPERLINK("https://api.qogita.com/variants/link/0669316457054/", "View Product")</f>
        <v/>
      </c>
    </row>
    <row r="6729">
      <c r="A6729" t="inlineStr">
        <is>
          <t>0679602101080</t>
        </is>
      </c>
      <c r="B6729" t="inlineStr">
        <is>
          <t>PINO SILVESTRE Italian Citrus EDT spray 75ml</t>
        </is>
      </c>
      <c r="C6729" t="inlineStr">
        <is>
          <t>Eau De Toilette</t>
        </is>
      </c>
      <c r="D6729" t="inlineStr">
        <is>
          <t>Pino Silvestre</t>
        </is>
      </c>
      <c r="E6729" t="n">
        <v>10.27</v>
      </c>
      <c r="F6729" t="n">
        <v>1</v>
      </c>
      <c r="G6729" t="n">
        <v>2</v>
      </c>
      <c r="H6729" s="5">
        <f>HYPERLINK("https://api.qogita.com/variants/link/0679602101080/", "View Product")</f>
        <v/>
      </c>
    </row>
    <row r="6730">
      <c r="A6730" t="inlineStr">
        <is>
          <t>0679602132107</t>
        </is>
      </c>
      <c r="B6730" t="inlineStr">
        <is>
          <t>Police To Be My Avatar Eau De Toilette Spray 75ml</t>
        </is>
      </c>
      <c r="C6730" t="inlineStr">
        <is>
          <t>Eau De Toilette</t>
        </is>
      </c>
      <c r="D6730" t="inlineStr">
        <is>
          <t>Police</t>
        </is>
      </c>
      <c r="E6730" t="n">
        <v>13.2</v>
      </c>
      <c r="F6730" t="n">
        <v>1</v>
      </c>
      <c r="G6730" t="n">
        <v>2</v>
      </c>
      <c r="H6730" s="5">
        <f>HYPERLINK("https://api.qogita.com/variants/link/0679602132107/", "View Product")</f>
        <v/>
      </c>
    </row>
    <row r="6731">
      <c r="A6731" t="inlineStr">
        <is>
          <t>0679602132114</t>
        </is>
      </c>
      <c r="B6731" t="inlineStr">
        <is>
          <t>Police To Be My Avatar for Man 125ml Eau de Toilette EDT</t>
        </is>
      </c>
      <c r="C6731" t="inlineStr">
        <is>
          <t>Eau De Toilette</t>
        </is>
      </c>
      <c r="D6731" t="inlineStr">
        <is>
          <t>Police</t>
        </is>
      </c>
      <c r="E6731" t="n">
        <v>15.36</v>
      </c>
      <c r="F6731" t="n">
        <v>1</v>
      </c>
      <c r="G6731" t="n">
        <v>3</v>
      </c>
      <c r="H6731" s="5">
        <f>HYPERLINK("https://api.qogita.com/variants/link/0679602132114/", "View Product")</f>
        <v/>
      </c>
    </row>
    <row r="6732">
      <c r="A6732" t="inlineStr">
        <is>
          <t>0679602132121</t>
        </is>
      </c>
      <c r="B6732" t="inlineStr">
        <is>
          <t>Police To Be My Avatar For Man Eau De Toilette 40ml</t>
        </is>
      </c>
      <c r="C6732" t="inlineStr">
        <is>
          <t>Eau De Toilette</t>
        </is>
      </c>
      <c r="D6732" t="inlineStr">
        <is>
          <t>Police</t>
        </is>
      </c>
      <c r="E6732" t="n">
        <v>8.43</v>
      </c>
      <c r="F6732" t="n">
        <v>1</v>
      </c>
      <c r="G6732" t="n">
        <v>25</v>
      </c>
      <c r="H6732" s="5">
        <f>HYPERLINK("https://api.qogita.com/variants/link/0679602132121/", "View Product")</f>
        <v/>
      </c>
    </row>
    <row r="6733">
      <c r="A6733" t="inlineStr">
        <is>
          <t>0679602144117</t>
        </is>
      </c>
      <c r="B6733" t="inlineStr">
        <is>
          <t>Police Potion Arsenic Eau De Parfum</t>
        </is>
      </c>
      <c r="C6733" t="inlineStr">
        <is>
          <t>Eau De Parfum</t>
        </is>
      </c>
      <c r="D6733" t="inlineStr">
        <is>
          <t>Police</t>
        </is>
      </c>
      <c r="E6733" t="n">
        <v>15.34</v>
      </c>
      <c r="F6733" t="n">
        <v>1</v>
      </c>
      <c r="G6733" t="n">
        <v>14</v>
      </c>
      <c r="H6733" s="5">
        <f>HYPERLINK("https://api.qogita.com/variants/link/0679602144117/", "View Product")</f>
        <v/>
      </c>
    </row>
    <row r="6734">
      <c r="A6734" t="inlineStr">
        <is>
          <t>0679602145121</t>
        </is>
      </c>
      <c r="B6734" t="inlineStr">
        <is>
          <t>Police To Be Green Eau de Toilette 40ml</t>
        </is>
      </c>
      <c r="C6734" t="inlineStr">
        <is>
          <t>Eau De Toilette</t>
        </is>
      </c>
      <c r="D6734" t="inlineStr">
        <is>
          <t>Police</t>
        </is>
      </c>
      <c r="E6734" t="n">
        <v>9.119999999999999</v>
      </c>
      <c r="F6734" t="n">
        <v>1</v>
      </c>
      <c r="G6734" t="n">
        <v>15</v>
      </c>
      <c r="H6734" s="5">
        <f>HYPERLINK("https://api.qogita.com/variants/link/0679602145121/", "View Product")</f>
        <v/>
      </c>
    </row>
    <row r="6735">
      <c r="A6735" t="inlineStr">
        <is>
          <t>0679602148122</t>
        </is>
      </c>
      <c r="B6735" t="inlineStr">
        <is>
          <t>Police Potion Power Eau De Parfum 30ml</t>
        </is>
      </c>
      <c r="C6735" t="inlineStr">
        <is>
          <t>Eau De Parfum</t>
        </is>
      </c>
      <c r="D6735" t="inlineStr">
        <is>
          <t>Police</t>
        </is>
      </c>
      <c r="E6735" t="n">
        <v>7.92</v>
      </c>
      <c r="F6735" t="n">
        <v>1</v>
      </c>
      <c r="G6735" t="n">
        <v>7</v>
      </c>
      <c r="H6735" s="5">
        <f>HYPERLINK("https://api.qogita.com/variants/link/0679602148122/", "View Product")</f>
        <v/>
      </c>
    </row>
    <row r="6736">
      <c r="A6736" t="inlineStr">
        <is>
          <t>0679602152112</t>
        </is>
      </c>
      <c r="B6736" t="inlineStr">
        <is>
          <t>To Be Free To Dare Man EDT Vaporizer 125ml</t>
        </is>
      </c>
      <c r="C6736" t="inlineStr">
        <is>
          <t>Eau De Toilette</t>
        </is>
      </c>
      <c r="D6736" t="inlineStr">
        <is>
          <t>Police</t>
        </is>
      </c>
      <c r="E6736" t="n">
        <v>15.72</v>
      </c>
      <c r="F6736" t="n">
        <v>1</v>
      </c>
      <c r="G6736" t="n">
        <v>15</v>
      </c>
      <c r="H6736" s="5">
        <f>HYPERLINK("https://api.qogita.com/variants/link/0679602152112/", "View Product")</f>
        <v/>
      </c>
    </row>
    <row r="6737">
      <c r="A6737" t="inlineStr">
        <is>
          <t>0679602153119</t>
        </is>
      </c>
      <c r="B6737" t="inlineStr">
        <is>
          <t>To Be Free To Dare Women Eau De Toilette 125ml</t>
        </is>
      </c>
      <c r="C6737" t="inlineStr">
        <is>
          <t>Eau De Toilette</t>
        </is>
      </c>
      <c r="D6737" t="inlineStr">
        <is>
          <t>Police</t>
        </is>
      </c>
      <c r="E6737" t="n">
        <v>14.01</v>
      </c>
      <c r="F6737" t="n">
        <v>1</v>
      </c>
      <c r="G6737" t="n">
        <v>6</v>
      </c>
      <c r="H6737" s="5">
        <f>HYPERLINK("https://api.qogita.com/variants/link/0679602153119/", "View Product")</f>
        <v/>
      </c>
    </row>
    <row r="6738">
      <c r="A6738" t="inlineStr">
        <is>
          <t>0679602159104</t>
        </is>
      </c>
      <c r="B6738" t="inlineStr">
        <is>
          <t>Police To Be Born Shine Eau De Parfum 75ml</t>
        </is>
      </c>
      <c r="C6738" t="inlineStr">
        <is>
          <t>Eau De Parfum</t>
        </is>
      </c>
      <c r="D6738" t="inlineStr">
        <is>
          <t>Police</t>
        </is>
      </c>
      <c r="E6738" t="n">
        <v>12.86</v>
      </c>
      <c r="F6738" t="n">
        <v>1</v>
      </c>
      <c r="G6738" t="n">
        <v>3</v>
      </c>
      <c r="H6738" s="5">
        <f>HYPERLINK("https://api.qogita.com/variants/link/0679602159104/", "View Product")</f>
        <v/>
      </c>
    </row>
    <row r="6739">
      <c r="A6739" t="inlineStr">
        <is>
          <t>0679602160117</t>
        </is>
      </c>
      <c r="B6739" t="inlineStr">
        <is>
          <t>Police To Be Tattooart Man Eau De Toilette Spray 125ml</t>
        </is>
      </c>
      <c r="C6739" t="inlineStr">
        <is>
          <t>Eau De Toilette</t>
        </is>
      </c>
      <c r="D6739" t="inlineStr">
        <is>
          <t>Police</t>
        </is>
      </c>
      <c r="E6739" t="n">
        <v>14.46</v>
      </c>
      <c r="F6739" t="n">
        <v>1</v>
      </c>
      <c r="G6739" t="n">
        <v>5</v>
      </c>
      <c r="H6739" s="5">
        <f>HYPERLINK("https://api.qogita.com/variants/link/0679602160117/", "View Product")</f>
        <v/>
      </c>
    </row>
    <row r="6740">
      <c r="A6740" t="inlineStr">
        <is>
          <t>0679602161107</t>
        </is>
      </c>
      <c r="B6740" t="inlineStr">
        <is>
          <t>Police Dark Pour for Women Eau de Toilette 100ml</t>
        </is>
      </c>
      <c r="C6740" t="inlineStr">
        <is>
          <t>Eau De Toilette</t>
        </is>
      </c>
      <c r="D6740" t="inlineStr">
        <is>
          <t>Police</t>
        </is>
      </c>
      <c r="E6740" t="n">
        <v>9.470000000000001</v>
      </c>
      <c r="F6740" t="n">
        <v>1</v>
      </c>
      <c r="G6740" t="n">
        <v>32</v>
      </c>
      <c r="H6740" s="5">
        <f>HYPERLINK("https://api.qogita.com/variants/link/0679602161107/", "View Product")</f>
        <v/>
      </c>
    </row>
    <row r="6741">
      <c r="A6741" t="inlineStr">
        <is>
          <t>0679602161114</t>
        </is>
      </c>
      <c r="B6741" t="inlineStr">
        <is>
          <t>Police to Be Tattooart Eau de Parfum for Women 125ml Floral</t>
        </is>
      </c>
      <c r="C6741" t="inlineStr">
        <is>
          <t>Eau De Parfum</t>
        </is>
      </c>
      <c r="D6741" t="inlineStr">
        <is>
          <t>Police</t>
        </is>
      </c>
      <c r="E6741" t="n">
        <v>15.3</v>
      </c>
      <c r="F6741" t="n">
        <v>1</v>
      </c>
      <c r="G6741" t="n">
        <v>41</v>
      </c>
      <c r="H6741" s="5">
        <f>HYPERLINK("https://api.qogita.com/variants/link/0679602161114/", "View Product")</f>
        <v/>
      </c>
    </row>
    <row r="6742">
      <c r="A6742" t="inlineStr">
        <is>
          <t>0679602161121</t>
        </is>
      </c>
      <c r="B6742" t="inlineStr">
        <is>
          <t>Police To Be Tattooart Eau De Parfum for Women</t>
        </is>
      </c>
      <c r="C6742" t="inlineStr">
        <is>
          <t>Eau De Parfum</t>
        </is>
      </c>
      <c r="D6742" t="inlineStr">
        <is>
          <t>Police</t>
        </is>
      </c>
      <c r="E6742" t="n">
        <v>9.73</v>
      </c>
      <c r="F6742" t="n">
        <v>1</v>
      </c>
      <c r="G6742" t="n">
        <v>28</v>
      </c>
      <c r="H6742" s="5">
        <f>HYPERLINK("https://api.qogita.com/variants/link/0679602161121/", "View Product")</f>
        <v/>
      </c>
    </row>
    <row r="6743">
      <c r="A6743" t="inlineStr">
        <is>
          <t>0679602174114</t>
        </is>
      </c>
      <c r="B6743" t="inlineStr">
        <is>
          <t>Police To Be Exotic Jungle Eau De Parfum 125ml</t>
        </is>
      </c>
      <c r="C6743" t="inlineStr">
        <is>
          <t>Eau De Parfum</t>
        </is>
      </c>
      <c r="D6743" t="inlineStr">
        <is>
          <t>Police</t>
        </is>
      </c>
      <c r="E6743" t="n">
        <v>15.3</v>
      </c>
      <c r="F6743" t="n">
        <v>1</v>
      </c>
      <c r="G6743" t="n">
        <v>8</v>
      </c>
      <c r="H6743" s="5">
        <f>HYPERLINK("https://api.qogita.com/variants/link/0679602174114/", "View Product")</f>
        <v/>
      </c>
    </row>
    <row r="6744">
      <c r="A6744" t="inlineStr">
        <is>
          <t>0679602210829</t>
        </is>
      </c>
      <c r="B6744" t="inlineStr">
        <is>
          <t>Pino Silvestre EDT Spray 2.5 oz Cologne</t>
        </is>
      </c>
      <c r="C6744" t="inlineStr">
        <is>
          <t>Eau De Toilette</t>
        </is>
      </c>
      <c r="D6744" t="inlineStr">
        <is>
          <t>Pino Silvestre</t>
        </is>
      </c>
      <c r="E6744" t="n">
        <v>7.45</v>
      </c>
      <c r="F6744" t="n">
        <v>1</v>
      </c>
      <c r="G6744" t="n">
        <v>2</v>
      </c>
      <c r="H6744" s="5">
        <f>HYPERLINK("https://api.qogita.com/variants/link/0679602210829/", "View Product")</f>
        <v/>
      </c>
    </row>
    <row r="6745">
      <c r="A6745" t="inlineStr">
        <is>
          <t>0679602271103</t>
        </is>
      </c>
      <c r="B6745" t="inlineStr">
        <is>
          <t>Police Cosmopolitan 100ml Eau De Toilette Spray</t>
        </is>
      </c>
      <c r="C6745" t="inlineStr">
        <is>
          <t>Eau De Toilette</t>
        </is>
      </c>
      <c r="D6745" t="inlineStr">
        <is>
          <t>Police</t>
        </is>
      </c>
      <c r="E6745" t="n">
        <v>9.529999999999999</v>
      </c>
      <c r="F6745" t="n">
        <v>1</v>
      </c>
      <c r="G6745" t="n">
        <v>20</v>
      </c>
      <c r="H6745" s="5">
        <f>HYPERLINK("https://api.qogita.com/variants/link/0679602271103/", "View Product")</f>
        <v/>
      </c>
    </row>
    <row r="6746">
      <c r="A6746" t="inlineStr">
        <is>
          <t>0679602281744</t>
        </is>
      </c>
      <c r="B6746" t="inlineStr">
        <is>
          <t>Pino Silvestre Original Bath &amp; Shower Gel 275ml</t>
        </is>
      </c>
      <c r="C6746" t="inlineStr">
        <is>
          <t>Shower Gel</t>
        </is>
      </c>
      <c r="D6746" t="inlineStr">
        <is>
          <t>Pino Silvestre</t>
        </is>
      </c>
      <c r="E6746" t="n">
        <v>2.02</v>
      </c>
      <c r="F6746" t="n">
        <v>1</v>
      </c>
      <c r="G6746" t="n">
        <v>60</v>
      </c>
      <c r="H6746" s="5">
        <f>HYPERLINK("https://api.qogita.com/variants/link/0679602281744/", "View Product")</f>
        <v/>
      </c>
    </row>
    <row r="6747">
      <c r="A6747" t="inlineStr">
        <is>
          <t>0679602412421</t>
        </is>
      </c>
      <c r="B6747" t="inlineStr">
        <is>
          <t>Police To Be King Eau De Toilette Spray 40ml Men's Fragrance</t>
        </is>
      </c>
      <c r="C6747" t="inlineStr">
        <is>
          <t>Eau De Toilette</t>
        </is>
      </c>
      <c r="D6747" t="inlineStr">
        <is>
          <t>Police</t>
        </is>
      </c>
      <c r="E6747" t="n">
        <v>9.710000000000001</v>
      </c>
      <c r="F6747" t="n">
        <v>1</v>
      </c>
      <c r="G6747" t="n">
        <v>41</v>
      </c>
      <c r="H6747" s="5">
        <f>HYPERLINK("https://api.qogita.com/variants/link/0679602412421/", "View Product")</f>
        <v/>
      </c>
    </row>
    <row r="6748">
      <c r="A6748" t="inlineStr">
        <is>
          <t>0679602480734</t>
        </is>
      </c>
      <c r="B6748" t="inlineStr">
        <is>
          <t>The Merchant Of Venice Accordi Di Profumo Neroli Marocco Eau De Parfum 30 Ml</t>
        </is>
      </c>
      <c r="C6748" t="inlineStr">
        <is>
          <t>Eau De Parfum</t>
        </is>
      </c>
      <c r="D6748" t="inlineStr">
        <is>
          <t>The Merchant Of Venice</t>
        </is>
      </c>
      <c r="E6748" t="n">
        <v>29.13</v>
      </c>
      <c r="F6748" t="n">
        <v>1</v>
      </c>
      <c r="G6748" t="n">
        <v>4</v>
      </c>
      <c r="H6748" s="5">
        <f>HYPERLINK("https://api.qogita.com/variants/link/0679602480734/", "View Product")</f>
        <v/>
      </c>
    </row>
    <row r="6749">
      <c r="A6749" t="inlineStr">
        <is>
          <t>0679602481182</t>
        </is>
      </c>
      <c r="B6749" t="inlineStr">
        <is>
          <t>Tmov Craquele Eau de Parfum Vapo 100ml</t>
        </is>
      </c>
      <c r="C6749" t="inlineStr">
        <is>
          <t>Eau De Parfum</t>
        </is>
      </c>
      <c r="D6749" t="inlineStr">
        <is>
          <t>The Merchant Of Venice</t>
        </is>
      </c>
      <c r="E6749" t="n">
        <v>119.32</v>
      </c>
      <c r="F6749" t="n">
        <v>1</v>
      </c>
      <c r="G6749" t="n">
        <v>19</v>
      </c>
      <c r="H6749" s="5">
        <f>HYPERLINK("https://api.qogita.com/variants/link/0679602481182/", "View Product")</f>
        <v/>
      </c>
    </row>
    <row r="6750">
      <c r="A6750" t="inlineStr">
        <is>
          <t>0679602481625</t>
        </is>
      </c>
      <c r="B6750" t="inlineStr">
        <is>
          <t>The Merchant of Venice Suave Petals Eau de Parfum 50ml</t>
        </is>
      </c>
      <c r="C6750" t="inlineStr">
        <is>
          <t>Eau De Parfum</t>
        </is>
      </c>
      <c r="D6750" t="inlineStr">
        <is>
          <t>The Merchant Of Venice</t>
        </is>
      </c>
      <c r="E6750" t="n">
        <v>42.47</v>
      </c>
      <c r="F6750" t="n">
        <v>1</v>
      </c>
      <c r="G6750" t="n">
        <v>2</v>
      </c>
      <c r="H6750" s="5">
        <f>HYPERLINK("https://api.qogita.com/variants/link/0679602481625/", "View Product")</f>
        <v/>
      </c>
    </row>
    <row r="6751">
      <c r="A6751" t="inlineStr">
        <is>
          <t>0679602511216</t>
        </is>
      </c>
      <c r="B6751" t="inlineStr">
        <is>
          <t>Police To Be The Queen Eau De Parfum Spray for Her 125ml</t>
        </is>
      </c>
      <c r="C6751" t="inlineStr">
        <is>
          <t>Eau De Parfum</t>
        </is>
      </c>
      <c r="D6751" t="inlineStr">
        <is>
          <t>Police</t>
        </is>
      </c>
      <c r="E6751" t="n">
        <v>15.37</v>
      </c>
      <c r="F6751" t="n">
        <v>1</v>
      </c>
      <c r="G6751" t="n">
        <v>33</v>
      </c>
      <c r="H6751" s="5">
        <f>HYPERLINK("https://api.qogita.com/variants/link/0679602511216/", "View Product")</f>
        <v/>
      </c>
    </row>
    <row r="6752">
      <c r="A6752" t="inlineStr">
        <is>
          <t>0679602611121</t>
        </is>
      </c>
      <c r="B6752" t="inlineStr">
        <is>
          <t>Police To Be Woman Eau De Parfum 125ml</t>
        </is>
      </c>
      <c r="C6752" t="inlineStr">
        <is>
          <t>Eau De Parfum</t>
        </is>
      </c>
      <c r="D6752" t="inlineStr">
        <is>
          <t>Police</t>
        </is>
      </c>
      <c r="E6752" t="n">
        <v>14.59</v>
      </c>
      <c r="F6752" t="n">
        <v>1</v>
      </c>
      <c r="G6752" t="n">
        <v>26</v>
      </c>
      <c r="H6752" s="5">
        <f>HYPERLINK("https://api.qogita.com/variants/link/0679602611121/", "View Product")</f>
        <v/>
      </c>
    </row>
    <row r="6753">
      <c r="A6753" t="inlineStr">
        <is>
          <t>0679602651226</t>
        </is>
      </c>
      <c r="B6753" t="inlineStr">
        <is>
          <t>Pino Silvestre Acqua di Pino Cologne Eau de Toilette 125ml</t>
        </is>
      </c>
      <c r="C6753" t="inlineStr">
        <is>
          <t>Eau De Toilette</t>
        </is>
      </c>
      <c r="D6753" t="inlineStr">
        <is>
          <t>Pino Silvestre</t>
        </is>
      </c>
      <c r="E6753" t="n">
        <v>13.87</v>
      </c>
      <c r="F6753" t="n">
        <v>1</v>
      </c>
      <c r="G6753" t="n">
        <v>25</v>
      </c>
      <c r="H6753" s="5">
        <f>HYPERLINK("https://api.qogita.com/variants/link/0679602651226/", "View Product")</f>
        <v/>
      </c>
    </row>
    <row r="6754">
      <c r="A6754" t="inlineStr">
        <is>
          <t>0679602681186</t>
        </is>
      </c>
      <c r="B6754" t="inlineStr">
        <is>
          <t>Monotheme Venezia Zagara Body Spray For Women - 300ml</t>
        </is>
      </c>
      <c r="C6754" t="inlineStr">
        <is>
          <t>Eau De Toilette</t>
        </is>
      </c>
      <c r="D6754" t="inlineStr">
        <is>
          <t>Monotheme</t>
        </is>
      </c>
      <c r="E6754" t="n">
        <v>3.94</v>
      </c>
      <c r="F6754" t="n">
        <v>1</v>
      </c>
      <c r="G6754" t="n">
        <v>15</v>
      </c>
      <c r="H6754" s="5">
        <f>HYPERLINK("https://api.qogita.com/variants/link/0679602681186/", "View Product")</f>
        <v/>
      </c>
    </row>
    <row r="6755">
      <c r="A6755" t="inlineStr">
        <is>
          <t>0679602681193</t>
        </is>
      </c>
      <c r="B6755" t="inlineStr">
        <is>
          <t>Monotheme Bergamot Scented Water 300 Milliliters</t>
        </is>
      </c>
      <c r="C6755" t="inlineStr">
        <is>
          <t>Eau De Cologne</t>
        </is>
      </c>
      <c r="D6755" t="inlineStr">
        <is>
          <t>Monotheme</t>
        </is>
      </c>
      <c r="E6755" t="n">
        <v>3.94</v>
      </c>
      <c r="F6755" t="n">
        <v>1</v>
      </c>
      <c r="G6755" t="n">
        <v>16</v>
      </c>
      <c r="H6755" s="5">
        <f>HYPERLINK("https://api.qogita.com/variants/link/0679602681193/", "View Product")</f>
        <v/>
      </c>
    </row>
    <row r="6756">
      <c r="A6756" t="inlineStr">
        <is>
          <t>0679602771214</t>
        </is>
      </c>
      <c r="B6756" t="inlineStr">
        <is>
          <t>Police To Be Camouflage Eau De Toilette for Men 125ml</t>
        </is>
      </c>
      <c r="C6756" t="inlineStr">
        <is>
          <t>Eau De Toilette</t>
        </is>
      </c>
      <c r="D6756" t="inlineStr">
        <is>
          <t>Police</t>
        </is>
      </c>
      <c r="E6756" t="n">
        <v>14.67</v>
      </c>
      <c r="F6756" t="n">
        <v>1</v>
      </c>
      <c r="G6756" t="n">
        <v>13</v>
      </c>
      <c r="H6756" s="5">
        <f>HYPERLINK("https://api.qogita.com/variants/link/0679602771214/", "View Product")</f>
        <v/>
      </c>
    </row>
    <row r="6757">
      <c r="A6757" t="inlineStr">
        <is>
          <t>0679602841115</t>
        </is>
      </c>
      <c r="B6757" t="inlineStr">
        <is>
          <t>Monotheme Natural Yuzu Eau De Toilette 100ml Vegan Spray</t>
        </is>
      </c>
      <c r="C6757" t="inlineStr">
        <is>
          <t>Eau De Toilette</t>
        </is>
      </c>
      <c r="D6757" t="inlineStr">
        <is>
          <t>Monotheme</t>
        </is>
      </c>
      <c r="E6757" t="n">
        <v>11.99</v>
      </c>
      <c r="F6757" t="n">
        <v>1</v>
      </c>
      <c r="G6757" t="n">
        <v>14</v>
      </c>
      <c r="H6757" s="5">
        <f>HYPERLINK("https://api.qogita.com/variants/link/0679602841115/", "View Product")</f>
        <v/>
      </c>
    </row>
    <row r="6758">
      <c r="A6758" t="inlineStr">
        <is>
          <t>0679602841139</t>
        </is>
      </c>
      <c r="B6758" t="inlineStr">
        <is>
          <t>Monotheme Natural Cocoa Beans Eau De Toilette 100ml Vaporizer Natural Spray</t>
        </is>
      </c>
      <c r="C6758" t="inlineStr">
        <is>
          <t>Eau De Toilette</t>
        </is>
      </c>
      <c r="D6758" t="inlineStr">
        <is>
          <t>Monotheme</t>
        </is>
      </c>
      <c r="E6758" t="n">
        <v>12.14</v>
      </c>
      <c r="F6758" t="n">
        <v>1</v>
      </c>
      <c r="G6758" t="n">
        <v>15</v>
      </c>
      <c r="H6758" s="5">
        <f>HYPERLINK("https://api.qogita.com/variants/link/0679602841139/", "View Product")</f>
        <v/>
      </c>
    </row>
    <row r="6759">
      <c r="A6759" t="inlineStr">
        <is>
          <t>0679602861083</t>
        </is>
      </c>
      <c r="B6759" t="inlineStr">
        <is>
          <t>Police To Be Good Vibes Eau de Toilette Spray for Women 2.5 Oz</t>
        </is>
      </c>
      <c r="C6759" t="inlineStr">
        <is>
          <t>Eau De Toilette</t>
        </is>
      </c>
      <c r="D6759" t="inlineStr">
        <is>
          <t>Police</t>
        </is>
      </c>
      <c r="E6759" t="n">
        <v>10.17</v>
      </c>
      <c r="F6759" t="n">
        <v>1</v>
      </c>
      <c r="G6759" t="n">
        <v>12</v>
      </c>
      <c r="H6759" s="5">
        <f>HYPERLINK("https://api.qogita.com/variants/link/0679602861083/", "View Product")</f>
        <v/>
      </c>
    </row>
    <row r="6760">
      <c r="A6760" t="inlineStr">
        <is>
          <t>0679602942522</t>
        </is>
      </c>
      <c r="B6760" t="inlineStr">
        <is>
          <t>Replay Tank for Him Eau de Toilette 30ml</t>
        </is>
      </c>
      <c r="C6760" t="inlineStr">
        <is>
          <t>Eau De Toilette</t>
        </is>
      </c>
      <c r="D6760" t="inlineStr">
        <is>
          <t>Replay</t>
        </is>
      </c>
      <c r="E6760" t="n">
        <v>7.74</v>
      </c>
      <c r="F6760" t="n">
        <v>1</v>
      </c>
      <c r="G6760" t="n">
        <v>3</v>
      </c>
      <c r="H6760" s="5">
        <f>HYPERLINK("https://api.qogita.com/variants/link/0679602942522/", "View Product")</f>
        <v/>
      </c>
    </row>
    <row r="6761">
      <c r="A6761" t="inlineStr">
        <is>
          <t>0681619813511</t>
        </is>
      </c>
      <c r="B6761" t="inlineStr">
        <is>
          <t>Thebalm Jour Aloha</t>
        </is>
      </c>
      <c r="C6761" t="inlineStr">
        <is>
          <t>Bronzer</t>
        </is>
      </c>
      <c r="D6761" t="inlineStr">
        <is>
          <t>Thebalm</t>
        </is>
      </c>
      <c r="E6761" t="n">
        <v>4.81</v>
      </c>
      <c r="F6761" t="n">
        <v>1</v>
      </c>
      <c r="G6761" t="n">
        <v>2</v>
      </c>
      <c r="H6761" s="5">
        <f>HYPERLINK("https://api.qogita.com/variants/link/0681619813511/", "View Product")</f>
        <v/>
      </c>
    </row>
    <row r="6762">
      <c r="A6762" t="inlineStr">
        <is>
          <t>0681619813573</t>
        </is>
      </c>
      <c r="B6762" t="inlineStr">
        <is>
          <t>Thebalm Jour Ni Hao</t>
        </is>
      </c>
      <c r="C6762" t="inlineStr">
        <is>
          <t>Blush</t>
        </is>
      </c>
      <c r="D6762" t="inlineStr">
        <is>
          <t>Thebalm</t>
        </is>
      </c>
      <c r="E6762" t="n">
        <v>6.07</v>
      </c>
      <c r="F6762" t="n">
        <v>1</v>
      </c>
      <c r="G6762" t="n">
        <v>2</v>
      </c>
      <c r="H6762" s="5">
        <f>HYPERLINK("https://api.qogita.com/variants/link/0681619813573/", "View Product")</f>
        <v/>
      </c>
    </row>
    <row r="6763">
      <c r="A6763" t="inlineStr">
        <is>
          <t>0685428000117</t>
        </is>
      </c>
      <c r="B6763" t="inlineStr">
        <is>
          <t>Bumble and Bumble Thickening Plumping Mask 200ml</t>
        </is>
      </c>
      <c r="C6763" t="inlineStr">
        <is>
          <t>Hair Masks</t>
        </is>
      </c>
      <c r="D6763" t="inlineStr">
        <is>
          <t>Bumble And Bumble</t>
        </is>
      </c>
      <c r="E6763" t="n">
        <v>32.64</v>
      </c>
      <c r="F6763" t="n">
        <v>1</v>
      </c>
      <c r="G6763" t="n">
        <v>19</v>
      </c>
      <c r="H6763" s="5">
        <f>HYPERLINK("https://api.qogita.com/variants/link/0685428000117/", "View Product")</f>
        <v/>
      </c>
    </row>
    <row r="6764">
      <c r="A6764" t="inlineStr">
        <is>
          <t>0685428005129</t>
        </is>
      </c>
      <c r="B6764" t="inlineStr">
        <is>
          <t>Bumble &amp; Bumble Tonic Lotion 250ml</t>
        </is>
      </c>
      <c r="C6764" t="inlineStr">
        <is>
          <t>Hair Tonic</t>
        </is>
      </c>
      <c r="D6764" t="inlineStr">
        <is>
          <t>Bumble And Bumble</t>
        </is>
      </c>
      <c r="E6764" t="n">
        <v>16.96</v>
      </c>
      <c r="F6764" t="n">
        <v>1</v>
      </c>
      <c r="G6764" t="n">
        <v>3</v>
      </c>
      <c r="H6764" s="5">
        <f>HYPERLINK("https://api.qogita.com/variants/link/0685428005129/", "View Product")</f>
        <v/>
      </c>
    </row>
    <row r="6765">
      <c r="A6765" t="inlineStr">
        <is>
          <t>0685428013919</t>
        </is>
      </c>
      <c r="B6765" t="inlineStr">
        <is>
          <t>Bumble &amp; Bumble Hairdresser's Invisible Oil 100ml</t>
        </is>
      </c>
      <c r="C6765" t="inlineStr">
        <is>
          <t>Hair Oil &amp; Hair Serum</t>
        </is>
      </c>
      <c r="D6765" t="inlineStr">
        <is>
          <t>Bumble And Bumble</t>
        </is>
      </c>
      <c r="E6765" t="n">
        <v>34.29</v>
      </c>
      <c r="F6765" t="n">
        <v>1</v>
      </c>
      <c r="G6765" t="n">
        <v>15</v>
      </c>
      <c r="H6765" s="5">
        <f>HYPERLINK("https://api.qogita.com/variants/link/0685428013919/", "View Product")</f>
        <v/>
      </c>
    </row>
    <row r="6766">
      <c r="A6766" t="inlineStr">
        <is>
          <t>0685428019461</t>
        </is>
      </c>
      <c r="B6766" t="inlineStr">
        <is>
          <t>BB Hairdresser's Invisible Oil Conditioner 60ml</t>
        </is>
      </c>
      <c r="C6766" t="inlineStr">
        <is>
          <t>Conditioner</t>
        </is>
      </c>
      <c r="D6766" t="inlineStr">
        <is>
          <t>Bumble And Bumble</t>
        </is>
      </c>
      <c r="E6766" t="n">
        <v>11.44</v>
      </c>
      <c r="F6766" t="n">
        <v>1</v>
      </c>
      <c r="G6766" t="n">
        <v>4</v>
      </c>
      <c r="H6766" s="5">
        <f>HYPERLINK("https://api.qogita.com/variants/link/0685428019461/", "View Product")</f>
        <v/>
      </c>
    </row>
    <row r="6767">
      <c r="A6767" t="inlineStr">
        <is>
          <t>0685428026193</t>
        </is>
      </c>
      <c r="B6767" t="inlineStr">
        <is>
          <t>Bumble &amp; Bumble Full Form Soft Mousse</t>
        </is>
      </c>
      <c r="C6767" t="inlineStr">
        <is>
          <t>Mousse</t>
        </is>
      </c>
      <c r="D6767" t="inlineStr">
        <is>
          <t>Bumble And Bumble</t>
        </is>
      </c>
      <c r="E6767" t="n">
        <v>23.23</v>
      </c>
      <c r="F6767" t="n">
        <v>1</v>
      </c>
      <c r="G6767" t="n">
        <v>5</v>
      </c>
      <c r="H6767" s="5">
        <f>HYPERLINK("https://api.qogita.com/variants/link/0685428026193/", "View Product")</f>
        <v/>
      </c>
    </row>
    <row r="6768">
      <c r="A6768" t="inlineStr">
        <is>
          <t>0685428027824</t>
        </is>
      </c>
      <c r="B6768" t="inlineStr">
        <is>
          <t>Bumble and Bumble Curl Reactivator 250ml</t>
        </is>
      </c>
      <c r="C6768" t="inlineStr">
        <is>
          <t>Leave-In Conditioner</t>
        </is>
      </c>
      <c r="D6768" t="inlineStr">
        <is>
          <t>Bumble And Bumble</t>
        </is>
      </c>
      <c r="E6768" t="n">
        <v>21.3</v>
      </c>
      <c r="F6768" t="n">
        <v>1</v>
      </c>
      <c r="G6768" t="n">
        <v>10</v>
      </c>
      <c r="H6768" s="5">
        <f>HYPERLINK("https://api.qogita.com/variants/link/0685428027824/", "View Product")</f>
        <v/>
      </c>
    </row>
    <row r="6769">
      <c r="A6769" t="inlineStr">
        <is>
          <t>0685428027855</t>
        </is>
      </c>
      <c r="B6769" t="inlineStr">
        <is>
          <t>Bumble and Bumble Anti-Humidity Gel-Oil 150ml</t>
        </is>
      </c>
      <c r="C6769" t="inlineStr">
        <is>
          <t>Gel</t>
        </is>
      </c>
      <c r="D6769" t="inlineStr">
        <is>
          <t>Bumble And Bumble</t>
        </is>
      </c>
      <c r="E6769" t="n">
        <v>26.17</v>
      </c>
      <c r="F6769" t="n">
        <v>1</v>
      </c>
      <c r="G6769" t="n">
        <v>14</v>
      </c>
      <c r="H6769" s="5">
        <f>HYPERLINK("https://api.qogita.com/variants/link/0685428027855/", "View Product")</f>
        <v/>
      </c>
    </row>
    <row r="6770">
      <c r="A6770" t="inlineStr">
        <is>
          <t>0685428029439</t>
        </is>
      </c>
      <c r="B6770" t="inlineStr">
        <is>
          <t>Bumble and Bumble Seaweed Shampoo 250ml</t>
        </is>
      </c>
      <c r="C6770" t="inlineStr">
        <is>
          <t>Shampoo</t>
        </is>
      </c>
      <c r="D6770" t="inlineStr">
        <is>
          <t>Bumble And Bumble</t>
        </is>
      </c>
      <c r="E6770" t="n">
        <v>23.74</v>
      </c>
      <c r="F6770" t="n">
        <v>1</v>
      </c>
      <c r="G6770" t="n">
        <v>2</v>
      </c>
      <c r="H6770" s="5">
        <f>HYPERLINK("https://api.qogita.com/variants/link/0685428029439/", "View Product")</f>
        <v/>
      </c>
    </row>
    <row r="6771">
      <c r="A6771" t="inlineStr">
        <is>
          <t>0685428031012</t>
        </is>
      </c>
      <c r="B6771" t="inlineStr">
        <is>
          <t>Bumble and Bumble Thickening Volume Conditioner 250ml New Formula</t>
        </is>
      </c>
      <c r="C6771" t="inlineStr">
        <is>
          <t>Conditioner</t>
        </is>
      </c>
      <c r="D6771" t="inlineStr">
        <is>
          <t>Bumble And Bumble</t>
        </is>
      </c>
      <c r="E6771" t="n">
        <v>23.23</v>
      </c>
      <c r="F6771" t="n">
        <v>1</v>
      </c>
      <c r="G6771" t="n">
        <v>5</v>
      </c>
      <c r="H6771" s="5">
        <f>HYPERLINK("https://api.qogita.com/variants/link/0685428031012/", "View Product")</f>
        <v/>
      </c>
    </row>
    <row r="6772">
      <c r="A6772" t="inlineStr">
        <is>
          <t>0685428032668</t>
        </is>
      </c>
      <c r="B6772" t="inlineStr">
        <is>
          <t>Bumble And Bumble Hairdressers Invisible Oil Set - A Premium Hair Care Set For Smooth And Nourished Hair</t>
        </is>
      </c>
      <c r="C6772" t="inlineStr">
        <is>
          <t>Hair Care Sets</t>
        </is>
      </c>
      <c r="D6772" t="inlineStr">
        <is>
          <t>Bumble And Bumble</t>
        </is>
      </c>
      <c r="E6772" t="n">
        <v>41.07</v>
      </c>
      <c r="F6772" t="n">
        <v>1</v>
      </c>
      <c r="G6772" t="n">
        <v>41</v>
      </c>
      <c r="H6772" s="5">
        <f>HYPERLINK("https://api.qogita.com/variants/link/0685428032668/", "View Product")</f>
        <v/>
      </c>
    </row>
    <row r="6773">
      <c r="A6773" t="inlineStr">
        <is>
          <t>0685428032682</t>
        </is>
      </c>
      <c r="B6773" t="inlineStr">
        <is>
          <t>Bumble And Bumble Repair Power Trio - Hair Care Set</t>
        </is>
      </c>
      <c r="C6773" t="inlineStr">
        <is>
          <t>Hair Care Sets</t>
        </is>
      </c>
      <c r="D6773" t="inlineStr">
        <is>
          <t>Bumble And Bumble</t>
        </is>
      </c>
      <c r="E6773" t="n">
        <v>41.07</v>
      </c>
      <c r="F6773" t="n">
        <v>1</v>
      </c>
      <c r="G6773" t="n">
        <v>41</v>
      </c>
      <c r="H6773" s="5">
        <f>HYPERLINK("https://api.qogita.com/variants/link/0685428032682/", "View Product")</f>
        <v/>
      </c>
    </row>
    <row r="6774">
      <c r="A6774" t="inlineStr">
        <is>
          <t>0689304044097</t>
        </is>
      </c>
      <c r="B6774" t="inlineStr">
        <is>
          <t>Anastasia Beverly Hills Brow Definer Dark Brown 1 Count</t>
        </is>
      </c>
      <c r="C6774" t="inlineStr">
        <is>
          <t>Eyebrow Pencil</t>
        </is>
      </c>
      <c r="D6774" t="inlineStr">
        <is>
          <t>Anastasia Beverly Hills</t>
        </is>
      </c>
      <c r="E6774" t="n">
        <v>26.98</v>
      </c>
      <c r="F6774" t="n">
        <v>1</v>
      </c>
      <c r="G6774" t="n">
        <v>2</v>
      </c>
      <c r="H6774" s="5">
        <f>HYPERLINK("https://api.qogita.com/variants/link/0689304044097/", "View Product")</f>
        <v/>
      </c>
    </row>
    <row r="6775">
      <c r="A6775" t="inlineStr">
        <is>
          <t>0689304044127</t>
        </is>
      </c>
      <c r="B6775" t="inlineStr">
        <is>
          <t>Anastasia Beverly Hills Brow Definer Strawburn 1 Count</t>
        </is>
      </c>
      <c r="C6775" t="inlineStr">
        <is>
          <t>Eyebrow Pencil</t>
        </is>
      </c>
      <c r="D6775" t="inlineStr">
        <is>
          <t>Anastasia Beverly Hills</t>
        </is>
      </c>
      <c r="E6775" t="n">
        <v>22.97</v>
      </c>
      <c r="F6775" t="n">
        <v>1</v>
      </c>
      <c r="G6775" t="n">
        <v>2</v>
      </c>
      <c r="H6775" s="5">
        <f>HYPERLINK("https://api.qogita.com/variants/link/0689304044127/", "View Product")</f>
        <v/>
      </c>
    </row>
    <row r="6776">
      <c r="A6776" t="inlineStr">
        <is>
          <t>0689304055147</t>
        </is>
      </c>
      <c r="B6776" t="inlineStr">
        <is>
          <t>Anastasia Beverly Hills Brow Powder Duo Dark Brown 1 Count</t>
        </is>
      </c>
      <c r="C6776" t="inlineStr">
        <is>
          <t>Eyebrow Powder</t>
        </is>
      </c>
      <c r="D6776" t="inlineStr">
        <is>
          <t>Anastasia Beverly Hills</t>
        </is>
      </c>
      <c r="E6776" t="n">
        <v>26.22</v>
      </c>
      <c r="F6776" t="n">
        <v>1</v>
      </c>
      <c r="G6776" t="n">
        <v>3</v>
      </c>
      <c r="H6776" s="5">
        <f>HYPERLINK("https://api.qogita.com/variants/link/0689304055147/", "View Product")</f>
        <v/>
      </c>
    </row>
    <row r="6777">
      <c r="A6777" t="inlineStr">
        <is>
          <t>0689304181914</t>
        </is>
      </c>
      <c r="B6777" t="inlineStr">
        <is>
          <t>Anastasia Beverly Hills Tropical Getaway Face Palette</t>
        </is>
      </c>
      <c r="C6777" t="inlineStr">
        <is>
          <t>Complexion Sets &amp; Pallets</t>
        </is>
      </c>
      <c r="D6777" t="inlineStr">
        <is>
          <t>Anastasia Beverly Hills</t>
        </is>
      </c>
      <c r="E6777" t="n">
        <v>41.38</v>
      </c>
      <c r="F6777" t="n">
        <v>1</v>
      </c>
      <c r="G6777" t="n">
        <v>5</v>
      </c>
      <c r="H6777" s="5">
        <f>HYPERLINK("https://api.qogita.com/variants/link/0689304181914/", "View Product")</f>
        <v/>
      </c>
    </row>
    <row r="6778">
      <c r="A6778" t="inlineStr">
        <is>
          <t>0689304186476</t>
        </is>
      </c>
      <c r="B6778" t="inlineStr">
        <is>
          <t>Anastasia Beverly Hills Eyeshadow Palette Primrose</t>
        </is>
      </c>
      <c r="C6778" t="inlineStr">
        <is>
          <t>Eyeshadow</t>
        </is>
      </c>
      <c r="D6778" t="inlineStr">
        <is>
          <t>Anastasia Beverly Hills</t>
        </is>
      </c>
      <c r="E6778" t="n">
        <v>43.06</v>
      </c>
      <c r="F6778" t="n">
        <v>1</v>
      </c>
      <c r="G6778" t="n">
        <v>3</v>
      </c>
      <c r="H6778" s="5">
        <f>HYPERLINK("https://api.qogita.com/variants/link/0689304186476/", "View Product")</f>
        <v/>
      </c>
    </row>
    <row r="6779">
      <c r="A6779" t="inlineStr">
        <is>
          <t>0689304191937</t>
        </is>
      </c>
      <c r="B6779" t="inlineStr">
        <is>
          <t>Anastasia Beverly Hills Pro Pencil Eyebrow Pencil 2.4g Base 3</t>
        </is>
      </c>
      <c r="C6779" t="inlineStr">
        <is>
          <t>Eyebrow Pencil</t>
        </is>
      </c>
      <c r="D6779" t="inlineStr">
        <is>
          <t>Anastasia Beverly Hills</t>
        </is>
      </c>
      <c r="E6779" t="n">
        <v>18.31</v>
      </c>
      <c r="F6779" t="n">
        <v>1</v>
      </c>
      <c r="G6779" t="n">
        <v>2</v>
      </c>
      <c r="H6779" s="5">
        <f>HYPERLINK("https://api.qogita.com/variants/link/0689304191937/", "View Product")</f>
        <v/>
      </c>
    </row>
    <row r="6780">
      <c r="A6780" t="inlineStr">
        <is>
          <t>0689304280167</t>
        </is>
      </c>
      <c r="B6780" t="inlineStr">
        <is>
          <t>Anastasia Beverly Hills Brushes #7B 1 Count</t>
        </is>
      </c>
      <c r="C6780" t="inlineStr">
        <is>
          <t>Brush Sets</t>
        </is>
      </c>
      <c r="D6780" t="inlineStr">
        <is>
          <t>Anastasia Beverly Hills</t>
        </is>
      </c>
      <c r="E6780" t="n">
        <v>22.8</v>
      </c>
      <c r="F6780" t="n">
        <v>1</v>
      </c>
      <c r="G6780" t="n">
        <v>3</v>
      </c>
      <c r="H6780" s="5">
        <f>HYPERLINK("https://api.qogita.com/variants/link/0689304280167/", "View Product")</f>
        <v/>
      </c>
    </row>
    <row r="6781">
      <c r="A6781" t="inlineStr">
        <is>
          <t>0689304321914</t>
        </is>
      </c>
      <c r="B6781" t="inlineStr">
        <is>
          <t>Anastasia Beverly Hills Lip Primer</t>
        </is>
      </c>
      <c r="C6781" t="inlineStr">
        <is>
          <t>Lip Primer</t>
        </is>
      </c>
      <c r="D6781" t="inlineStr">
        <is>
          <t>Anastasia Beverly Hills</t>
        </is>
      </c>
      <c r="E6781" t="n">
        <v>20.54</v>
      </c>
      <c r="F6781" t="n">
        <v>1</v>
      </c>
      <c r="G6781" t="n">
        <v>2</v>
      </c>
      <c r="H6781" s="5">
        <f>HYPERLINK("https://api.qogita.com/variants/link/0689304321914/", "View Product")</f>
        <v/>
      </c>
    </row>
    <row r="6782">
      <c r="A6782" t="inlineStr">
        <is>
          <t>0689304360159</t>
        </is>
      </c>
      <c r="B6782" t="inlineStr">
        <is>
          <t>Anastasia Beverly Hills Luminous Foundation 240N 30ml</t>
        </is>
      </c>
      <c r="C6782" t="inlineStr">
        <is>
          <t>Foundation</t>
        </is>
      </c>
      <c r="D6782" t="inlineStr">
        <is>
          <t>Anastasia Beverly Hills</t>
        </is>
      </c>
      <c r="E6782" t="n">
        <v>30.23</v>
      </c>
      <c r="F6782" t="n">
        <v>1</v>
      </c>
      <c r="G6782" t="n">
        <v>3</v>
      </c>
      <c r="H6782" s="5">
        <f>HYPERLINK("https://api.qogita.com/variants/link/0689304360159/", "View Product")</f>
        <v/>
      </c>
    </row>
    <row r="6783">
      <c r="A6783" t="inlineStr">
        <is>
          <t>0689304360340</t>
        </is>
      </c>
      <c r="B6783" t="inlineStr">
        <is>
          <t>Anastasia Beverly Hills Luminous 220n Foundation 30ml</t>
        </is>
      </c>
      <c r="C6783" t="inlineStr">
        <is>
          <t>Foundation</t>
        </is>
      </c>
      <c r="D6783" t="inlineStr">
        <is>
          <t>Anastasia Beverly Hills</t>
        </is>
      </c>
      <c r="E6783" t="n">
        <v>38.32</v>
      </c>
      <c r="F6783" t="n">
        <v>1</v>
      </c>
      <c r="G6783" t="n">
        <v>9</v>
      </c>
      <c r="H6783" s="5">
        <f>HYPERLINK("https://api.qogita.com/variants/link/0689304360340/", "View Product")</f>
        <v/>
      </c>
    </row>
    <row r="6784">
      <c r="A6784" t="inlineStr">
        <is>
          <t>0690251009008</t>
        </is>
      </c>
      <c r="B6784" t="inlineStr">
        <is>
          <t>Jo Malone London Nectarine Blossom &amp; Honey Cologne Spray 30ml</t>
        </is>
      </c>
      <c r="C6784" t="inlineStr">
        <is>
          <t>Eau De Cologne</t>
        </is>
      </c>
      <c r="D6784" t="inlineStr">
        <is>
          <t>Jo Malone London</t>
        </is>
      </c>
      <c r="E6784" t="n">
        <v>47.44</v>
      </c>
      <c r="F6784" t="n">
        <v>1</v>
      </c>
      <c r="G6784" t="n">
        <v>27</v>
      </c>
      <c r="H6784" s="5">
        <f>HYPERLINK("https://api.qogita.com/variants/link/0690251009008/", "View Product")</f>
        <v/>
      </c>
    </row>
    <row r="6785">
      <c r="A6785" t="inlineStr">
        <is>
          <t>0690251028412</t>
        </is>
      </c>
      <c r="B6785" t="inlineStr">
        <is>
          <t>Jo Malone Peony &amp; Blush Suede Cologne 100ml</t>
        </is>
      </c>
      <c r="C6785" t="inlineStr">
        <is>
          <t>Eau De Cologne</t>
        </is>
      </c>
      <c r="D6785" t="inlineStr">
        <is>
          <t>Jo Malone London</t>
        </is>
      </c>
      <c r="E6785" t="n">
        <v>83.3</v>
      </c>
      <c r="F6785" t="n">
        <v>1</v>
      </c>
      <c r="G6785" t="n">
        <v>5</v>
      </c>
      <c r="H6785" s="5">
        <f>HYPERLINK("https://api.qogita.com/variants/link/0690251028412/", "View Product")</f>
        <v/>
      </c>
    </row>
    <row r="6786">
      <c r="A6786" t="inlineStr">
        <is>
          <t>0690251040339</t>
        </is>
      </c>
      <c r="B6786" t="inlineStr">
        <is>
          <t>Jo Malone Wood Sage &amp; Sea Salt Body Cream 175ml</t>
        </is>
      </c>
      <c r="C6786" t="inlineStr">
        <is>
          <t>Body Butter</t>
        </is>
      </c>
      <c r="D6786" t="inlineStr">
        <is>
          <t>Jo Malone London</t>
        </is>
      </c>
      <c r="E6786" t="n">
        <v>68.23999999999999</v>
      </c>
      <c r="F6786" t="n">
        <v>1</v>
      </c>
      <c r="G6786" t="n">
        <v>2</v>
      </c>
      <c r="H6786" s="5">
        <f>HYPERLINK("https://api.qogita.com/variants/link/0690251040339/", "View Product")</f>
        <v/>
      </c>
    </row>
    <row r="6787">
      <c r="A6787" t="inlineStr">
        <is>
          <t>0690251042302</t>
        </is>
      </c>
      <c r="B6787" t="inlineStr">
        <is>
          <t>Jo Malone Mimosa &amp; Cardamom Eau De Cologne  Spray 30ml</t>
        </is>
      </c>
      <c r="C6787" t="inlineStr">
        <is>
          <t>Eau De Cologne</t>
        </is>
      </c>
      <c r="D6787" t="inlineStr">
        <is>
          <t>Jo Malone London</t>
        </is>
      </c>
      <c r="E6787" t="n">
        <v>44.4</v>
      </c>
      <c r="F6787" t="n">
        <v>1</v>
      </c>
      <c r="G6787" t="n">
        <v>3</v>
      </c>
      <c r="H6787" s="5">
        <f>HYPERLINK("https://api.qogita.com/variants/link/0690251042302/", "View Product")</f>
        <v/>
      </c>
    </row>
    <row r="6788">
      <c r="A6788" t="inlineStr">
        <is>
          <t>0690251042319</t>
        </is>
      </c>
      <c r="B6788" t="inlineStr">
        <is>
          <t>Jo Malone Mimosa &amp; Cardamom Eau de Cologne Spray 100ml Fresh</t>
        </is>
      </c>
      <c r="C6788" t="inlineStr">
        <is>
          <t>Eau De Cologne</t>
        </is>
      </c>
      <c r="D6788" t="inlineStr">
        <is>
          <t>Jo Malone London</t>
        </is>
      </c>
      <c r="E6788" t="n">
        <v>93.79000000000001</v>
      </c>
      <c r="F6788" t="n">
        <v>1</v>
      </c>
      <c r="G6788" t="n">
        <v>8</v>
      </c>
      <c r="H6788" s="5">
        <f>HYPERLINK("https://api.qogita.com/variants/link/0690251042319/", "View Product")</f>
        <v/>
      </c>
    </row>
    <row r="6789">
      <c r="A6789" t="inlineStr">
        <is>
          <t>0690251052936</t>
        </is>
      </c>
      <c r="B6789" t="inlineStr">
        <is>
          <t>Jo Malone Wild Bluebell Body &amp; Hand Wash 250ml</t>
        </is>
      </c>
      <c r="C6789" t="inlineStr">
        <is>
          <t>Shower Gel</t>
        </is>
      </c>
      <c r="D6789" t="inlineStr">
        <is>
          <t>Jo Malone London</t>
        </is>
      </c>
      <c r="E6789" t="n">
        <v>42.06</v>
      </c>
      <c r="F6789" t="n">
        <v>1</v>
      </c>
      <c r="G6789" t="n">
        <v>9</v>
      </c>
      <c r="H6789" s="5">
        <f>HYPERLINK("https://api.qogita.com/variants/link/0690251052936/", "View Product")</f>
        <v/>
      </c>
    </row>
    <row r="6790">
      <c r="A6790" t="inlineStr">
        <is>
          <t>0690251052943</t>
        </is>
      </c>
      <c r="B6790" t="inlineStr">
        <is>
          <t>Jo Malone Wood Sage &amp; Sea Salt Body &amp; Hand Wash 250ml</t>
        </is>
      </c>
      <c r="C6790" t="inlineStr">
        <is>
          <t>Shower Gel</t>
        </is>
      </c>
      <c r="D6790" t="inlineStr">
        <is>
          <t>Jo Malone London</t>
        </is>
      </c>
      <c r="E6790" t="n">
        <v>36.88</v>
      </c>
      <c r="F6790" t="n">
        <v>1</v>
      </c>
      <c r="G6790" t="n">
        <v>9</v>
      </c>
      <c r="H6790" s="5">
        <f>HYPERLINK("https://api.qogita.com/variants/link/0690251052943/", "View Product")</f>
        <v/>
      </c>
    </row>
    <row r="6791">
      <c r="A6791" t="inlineStr">
        <is>
          <t>0690251057009</t>
        </is>
      </c>
      <c r="B6791" t="inlineStr">
        <is>
          <t>Jo Malone Cologne 30ml</t>
        </is>
      </c>
      <c r="C6791" t="inlineStr">
        <is>
          <t>Eau De Cologne</t>
        </is>
      </c>
      <c r="D6791" t="inlineStr">
        <is>
          <t>Jo Malone London</t>
        </is>
      </c>
      <c r="E6791" t="n">
        <v>56.96</v>
      </c>
      <c r="F6791" t="n">
        <v>1</v>
      </c>
      <c r="G6791" t="n">
        <v>2</v>
      </c>
      <c r="H6791" s="5">
        <f>HYPERLINK("https://api.qogita.com/variants/link/0690251057009/", "View Product")</f>
        <v/>
      </c>
    </row>
    <row r="6792">
      <c r="A6792" t="inlineStr">
        <is>
          <t>0690251084890</t>
        </is>
      </c>
      <c r="B6792" t="inlineStr">
        <is>
          <t>Jo Malone Wild Bluebell Cologne 50ml</t>
        </is>
      </c>
      <c r="C6792" t="inlineStr">
        <is>
          <t>Eau De Cologne</t>
        </is>
      </c>
      <c r="D6792" t="inlineStr">
        <is>
          <t>Jo Malone London</t>
        </is>
      </c>
      <c r="E6792" t="n">
        <v>70.78</v>
      </c>
      <c r="F6792" t="n">
        <v>1</v>
      </c>
      <c r="G6792" t="n">
        <v>7</v>
      </c>
      <c r="H6792" s="5">
        <f>HYPERLINK("https://api.qogita.com/variants/link/0690251084890/", "View Product")</f>
        <v/>
      </c>
    </row>
    <row r="6793">
      <c r="A6793" t="inlineStr">
        <is>
          <t>0690251084920</t>
        </is>
      </c>
      <c r="B6793" t="inlineStr">
        <is>
          <t>Pomegranate Noir by Jo Malone Eau de Cologne Spray 50ml</t>
        </is>
      </c>
      <c r="C6793" t="inlineStr">
        <is>
          <t>Eau De Cologne</t>
        </is>
      </c>
      <c r="D6793" t="inlineStr">
        <is>
          <t>Jo Malone London</t>
        </is>
      </c>
      <c r="E6793" t="n">
        <v>76.45999999999999</v>
      </c>
      <c r="F6793" t="n">
        <v>1</v>
      </c>
      <c r="G6793" t="n">
        <v>2</v>
      </c>
      <c r="H6793" s="5">
        <f>HYPERLINK("https://api.qogita.com/variants/link/0690251084920/", "View Product")</f>
        <v/>
      </c>
    </row>
    <row r="6794">
      <c r="A6794" t="inlineStr">
        <is>
          <t>0690251122189</t>
        </is>
      </c>
      <c r="B6794" t="inlineStr">
        <is>
          <t>Jo Malone Myrrh &amp; Tonka Cologne Intense 50ml</t>
        </is>
      </c>
      <c r="C6794" t="inlineStr">
        <is>
          <t>Eau De Cologne</t>
        </is>
      </c>
      <c r="D6794" t="inlineStr">
        <is>
          <t>Jo Malone London</t>
        </is>
      </c>
      <c r="E6794" t="n">
        <v>88.65000000000001</v>
      </c>
      <c r="F6794" t="n">
        <v>1</v>
      </c>
      <c r="G6794" t="n">
        <v>3</v>
      </c>
      <c r="H6794" s="5">
        <f>HYPERLINK("https://api.qogita.com/variants/link/0690251122189/", "View Product")</f>
        <v/>
      </c>
    </row>
    <row r="6795">
      <c r="A6795" t="inlineStr">
        <is>
          <t>0690251122264</t>
        </is>
      </c>
      <c r="B6795" t="inlineStr">
        <is>
          <t>Jo Malone London Oud &amp; Bergamot Cologne Intense Unisex Fragrance 100ml</t>
        </is>
      </c>
      <c r="C6795" t="inlineStr">
        <is>
          <t>Eau De Cologne</t>
        </is>
      </c>
      <c r="D6795" t="inlineStr">
        <is>
          <t>Jo Malone London</t>
        </is>
      </c>
      <c r="E6795" t="n">
        <v>129.18</v>
      </c>
      <c r="F6795" t="n">
        <v>1</v>
      </c>
      <c r="G6795" t="n">
        <v>2</v>
      </c>
      <c r="H6795" s="5">
        <f>HYPERLINK("https://api.qogita.com/variants/link/0690251122264/", "View Product")</f>
        <v/>
      </c>
    </row>
    <row r="6796">
      <c r="A6796" t="inlineStr">
        <is>
          <t>0690251122288</t>
        </is>
      </c>
      <c r="B6796" t="inlineStr">
        <is>
          <t>Velvet Rose &amp; Oud by Jo Malone Eau De Cologne Intense Spray 100ml Floral Wood</t>
        </is>
      </c>
      <c r="C6796" t="inlineStr">
        <is>
          <t>Eau De Cologne</t>
        </is>
      </c>
      <c r="D6796" t="inlineStr">
        <is>
          <t>Jo Malone London</t>
        </is>
      </c>
      <c r="E6796" t="n">
        <v>120.19</v>
      </c>
      <c r="F6796" t="n">
        <v>1</v>
      </c>
      <c r="G6796" t="n">
        <v>6</v>
      </c>
      <c r="H6796" s="5">
        <f>HYPERLINK("https://api.qogita.com/variants/link/0690251122288/", "View Product")</f>
        <v/>
      </c>
    </row>
    <row r="6797">
      <c r="A6797" t="inlineStr">
        <is>
          <t>0690251131648</t>
        </is>
      </c>
      <c r="B6797" t="inlineStr">
        <is>
          <t>Jo Malone Body Hand Wash Myrrh Tonka 250ml Brand New No Box</t>
        </is>
      </c>
      <c r="C6797" t="inlineStr">
        <is>
          <t>Shower Gel</t>
        </is>
      </c>
      <c r="D6797" t="inlineStr">
        <is>
          <t>Jo Malone London</t>
        </is>
      </c>
      <c r="E6797" t="n">
        <v>50.19</v>
      </c>
      <c r="F6797" t="n">
        <v>1</v>
      </c>
      <c r="G6797" t="n">
        <v>4</v>
      </c>
      <c r="H6797" s="5">
        <f>HYPERLINK("https://api.qogita.com/variants/link/0690251131648/", "View Product")</f>
        <v/>
      </c>
    </row>
    <row r="6798">
      <c r="A6798" t="inlineStr">
        <is>
          <t>0697045016877</t>
        </is>
      </c>
      <c r="B6798" t="inlineStr">
        <is>
          <t>Ahava Unstoppable Radiance Gift Set with Crystal Osmoter Smoothing Lotion</t>
        </is>
      </c>
      <c r="C6798" t="inlineStr">
        <is>
          <t>Facial Care Sets</t>
        </is>
      </c>
      <c r="D6798" t="inlineStr">
        <is>
          <t>Ahava</t>
        </is>
      </c>
      <c r="E6798" t="n">
        <v>15.14</v>
      </c>
      <c r="F6798" t="n">
        <v>1</v>
      </c>
      <c r="G6798" t="n">
        <v>5</v>
      </c>
      <c r="H6798" s="5">
        <f>HYPERLINK("https://api.qogita.com/variants/link/0697045016877/", "View Product")</f>
        <v/>
      </c>
    </row>
    <row r="6799">
      <c r="A6799" t="inlineStr">
        <is>
          <t>0697045150137</t>
        </is>
      </c>
      <c r="B6799" t="inlineStr">
        <is>
          <t>AHAVA Dead Sea Water Mineral Foot Cream 3.4 Fl Oz</t>
        </is>
      </c>
      <c r="C6799" t="inlineStr">
        <is>
          <t>Foot Cream</t>
        </is>
      </c>
      <c r="D6799" t="inlineStr">
        <is>
          <t>Ahava</t>
        </is>
      </c>
      <c r="E6799" t="n">
        <v>11.81</v>
      </c>
      <c r="F6799" t="n">
        <v>1</v>
      </c>
      <c r="G6799" t="n">
        <v>3</v>
      </c>
      <c r="H6799" s="5">
        <f>HYPERLINK("https://api.qogita.com/variants/link/0697045150137/", "View Product")</f>
        <v/>
      </c>
    </row>
    <row r="6800">
      <c r="A6800" t="inlineStr">
        <is>
          <t>0697045153060</t>
        </is>
      </c>
      <c r="B6800" t="inlineStr">
        <is>
          <t>AHAVA Dead Sea Soap Bar for Body and Face Purifying Mud 3.4 Ounce</t>
        </is>
      </c>
      <c r="C6800" t="inlineStr">
        <is>
          <t>Soap</t>
        </is>
      </c>
      <c r="D6800" t="inlineStr">
        <is>
          <t>Ahava</t>
        </is>
      </c>
      <c r="E6800" t="n">
        <v>9.68</v>
      </c>
      <c r="F6800" t="n">
        <v>1</v>
      </c>
      <c r="G6800" t="n">
        <v>3</v>
      </c>
      <c r="H6800" s="5">
        <f>HYPERLINK("https://api.qogita.com/variants/link/0697045153060/", "View Product")</f>
        <v/>
      </c>
    </row>
    <row r="6801">
      <c r="A6801" t="inlineStr">
        <is>
          <t>0697045154395</t>
        </is>
      </c>
      <c r="B6801" t="inlineStr">
        <is>
          <t>AHAVA Extreme Night Treatment Exclusive Moisturizer Neck Chest Cream Smoothes Skin Reduces Wrinkles Enriched with Patented Extreme Complex Dead Sea Osmoter Peptides Resveratrol 1 Fl.Oz</t>
        </is>
      </c>
      <c r="C6801" t="inlineStr">
        <is>
          <t>Neck &amp; Decollete</t>
        </is>
      </c>
      <c r="D6801" t="inlineStr">
        <is>
          <t>Ahava</t>
        </is>
      </c>
      <c r="E6801" t="n">
        <v>52.15</v>
      </c>
      <c r="F6801" t="n">
        <v>1</v>
      </c>
      <c r="G6801" t="n">
        <v>3</v>
      </c>
      <c r="H6801" s="5">
        <f>HYPERLINK("https://api.qogita.com/variants/link/0697045154395/", "View Product")</f>
        <v/>
      </c>
    </row>
    <row r="6802">
      <c r="A6802" t="inlineStr">
        <is>
          <t>0697045157518</t>
        </is>
      </c>
      <c r="B6802" t="inlineStr">
        <is>
          <t>AHAVA Gentle Cleansing Foam 200ml</t>
        </is>
      </c>
      <c r="C6802" t="inlineStr">
        <is>
          <t>Cleansing Foam</t>
        </is>
      </c>
      <c r="D6802" t="inlineStr">
        <is>
          <t>Ahava</t>
        </is>
      </c>
      <c r="E6802" t="n">
        <v>21.56</v>
      </c>
      <c r="F6802" t="n">
        <v>1</v>
      </c>
      <c r="G6802" t="n">
        <v>4</v>
      </c>
      <c r="H6802" s="5">
        <f>HYPERLINK("https://api.qogita.com/variants/link/0697045157518/", "View Product")</f>
        <v/>
      </c>
    </row>
    <row r="6803">
      <c r="A6803" t="inlineStr">
        <is>
          <t>0697045157846</t>
        </is>
      </c>
      <c r="B6803" t="inlineStr">
        <is>
          <t>AHAVA Extreme Firming Neck &amp; Decollete Cream 75ml</t>
        </is>
      </c>
      <c r="C6803" t="inlineStr">
        <is>
          <t>Neck &amp; Decollete</t>
        </is>
      </c>
      <c r="D6803" t="inlineStr">
        <is>
          <t>Ahava</t>
        </is>
      </c>
      <c r="E6803" t="n">
        <v>38.44</v>
      </c>
      <c r="F6803" t="n">
        <v>1</v>
      </c>
      <c r="G6803" t="n">
        <v>2</v>
      </c>
      <c r="H6803" s="5">
        <f>HYPERLINK("https://api.qogita.com/variants/link/0697045157846/", "View Product")</f>
        <v/>
      </c>
    </row>
    <row r="6804">
      <c r="A6804" t="inlineStr">
        <is>
          <t>0697045159208</t>
        </is>
      </c>
      <c r="B6804" t="inlineStr">
        <is>
          <t>AHAVA Dead Sea Water Mineral Conditioner 13.5 fl oz</t>
        </is>
      </c>
      <c r="C6804" t="inlineStr">
        <is>
          <t>Conditioner</t>
        </is>
      </c>
      <c r="D6804" t="inlineStr">
        <is>
          <t>Ahava</t>
        </is>
      </c>
      <c r="E6804" t="n">
        <v>20.01</v>
      </c>
      <c r="F6804" t="n">
        <v>1</v>
      </c>
      <c r="G6804" t="n">
        <v>5</v>
      </c>
      <c r="H6804" s="5">
        <f>HYPERLINK("https://api.qogita.com/variants/link/0697045159208/", "View Product")</f>
        <v/>
      </c>
    </row>
    <row r="6805">
      <c r="A6805" t="inlineStr">
        <is>
          <t>0697045159543</t>
        </is>
      </c>
      <c r="B6805" t="inlineStr">
        <is>
          <t>Ahava Advanced Deep Wrinkle Lotion 50ml</t>
        </is>
      </c>
      <c r="C6805" t="inlineStr">
        <is>
          <t>Anti-Aging Facial Care</t>
        </is>
      </c>
      <c r="D6805" t="inlineStr">
        <is>
          <t>Ahava</t>
        </is>
      </c>
      <c r="E6805" t="n">
        <v>55</v>
      </c>
      <c r="F6805" t="n">
        <v>1</v>
      </c>
      <c r="G6805" t="n">
        <v>2</v>
      </c>
      <c r="H6805" s="5">
        <f>HYPERLINK("https://api.qogita.com/variants/link/0697045159543/", "View Product")</f>
        <v/>
      </c>
    </row>
    <row r="6806">
      <c r="A6806" t="inlineStr">
        <is>
          <t>0697045162901</t>
        </is>
      </c>
      <c r="B6806" t="inlineStr">
        <is>
          <t>AHAVA Hydrate Protecting Moisturizing Lotion SPF 50 50ml</t>
        </is>
      </c>
      <c r="C6806" t="inlineStr">
        <is>
          <t>Face Sun Protection</t>
        </is>
      </c>
      <c r="D6806" t="inlineStr">
        <is>
          <t>Ahava</t>
        </is>
      </c>
      <c r="E6806" t="n">
        <v>30.33</v>
      </c>
      <c r="F6806" t="n">
        <v>1</v>
      </c>
      <c r="G6806" t="n">
        <v>3</v>
      </c>
      <c r="H6806" s="5">
        <f>HYPERLINK("https://api.qogita.com/variants/link/0697045162901/", "View Product")</f>
        <v/>
      </c>
    </row>
    <row r="6807">
      <c r="A6807" t="inlineStr">
        <is>
          <t>0697045163625</t>
        </is>
      </c>
      <c r="B6807" t="inlineStr">
        <is>
          <t>AHAVA Apple of Sodom Advanced Smoothing Eye Cream 15ml</t>
        </is>
      </c>
      <c r="C6807" t="inlineStr">
        <is>
          <t>Eye Cream</t>
        </is>
      </c>
      <c r="D6807" t="inlineStr">
        <is>
          <t>Ahava</t>
        </is>
      </c>
      <c r="E6807" t="n">
        <v>48.19</v>
      </c>
      <c r="F6807" t="n">
        <v>1</v>
      </c>
      <c r="G6807" t="n">
        <v>3</v>
      </c>
      <c r="H6807" s="5">
        <f>HYPERLINK("https://api.qogita.com/variants/link/0697045163625/", "View Product")</f>
        <v/>
      </c>
    </row>
    <row r="6808">
      <c r="A6808" t="inlineStr">
        <is>
          <t>0697045163731</t>
        </is>
      </c>
      <c r="B6808" t="inlineStr">
        <is>
          <t>Ahava Osmoter Skin Responsive Eye Night Cream 15ml</t>
        </is>
      </c>
      <c r="C6808" t="inlineStr">
        <is>
          <t>Night Cream</t>
        </is>
      </c>
      <c r="D6808" t="inlineStr">
        <is>
          <t>Ahava</t>
        </is>
      </c>
      <c r="E6808" t="n">
        <v>35.71</v>
      </c>
      <c r="F6808" t="n">
        <v>1</v>
      </c>
      <c r="G6808" t="n">
        <v>3</v>
      </c>
      <c r="H6808" s="5">
        <f>HYPERLINK("https://api.qogita.com/variants/link/0697045163731/", "View Product")</f>
        <v/>
      </c>
    </row>
    <row r="6809">
      <c r="A6809" t="inlineStr">
        <is>
          <t>0701197405240</t>
        </is>
      </c>
      <c r="B6809" t="inlineStr">
        <is>
          <t>Unum Rosa Nigra Extrait De Parfum 100ml Unisex</t>
        </is>
      </c>
      <c r="C6809" t="inlineStr">
        <is>
          <t>Extrait De Parfum</t>
        </is>
      </c>
      <c r="D6809" t="inlineStr">
        <is>
          <t>Filippo Sorcinelli</t>
        </is>
      </c>
      <c r="E6809" t="n">
        <v>112.09</v>
      </c>
      <c r="F6809" t="n">
        <v>1</v>
      </c>
      <c r="G6809" t="n">
        <v>4</v>
      </c>
      <c r="H6809" s="5">
        <f>HYPERLINK("https://api.qogita.com/variants/link/0701197405240/", "View Product")</f>
        <v/>
      </c>
    </row>
    <row r="6810">
      <c r="A6810" t="inlineStr">
        <is>
          <t>0703694143861</t>
        </is>
      </c>
      <c r="B6810" t="inlineStr">
        <is>
          <t>Dapper Dan Hair &amp; Body Shampoo 1000ml</t>
        </is>
      </c>
      <c r="C6810" t="inlineStr">
        <is>
          <t>Shampoo</t>
        </is>
      </c>
      <c r="D6810" t="inlineStr">
        <is>
          <t>Dapper Dan</t>
        </is>
      </c>
      <c r="E6810" t="n">
        <v>19.43</v>
      </c>
      <c r="F6810" t="n">
        <v>1</v>
      </c>
      <c r="G6810" t="n">
        <v>12</v>
      </c>
      <c r="H6810" s="5">
        <f>HYPERLINK("https://api.qogita.com/variants/link/0703694143861/", "View Product")</f>
        <v/>
      </c>
    </row>
    <row r="6811">
      <c r="A6811" t="inlineStr">
        <is>
          <t>0711367105818</t>
        </is>
      </c>
      <c r="B6811" t="inlineStr">
        <is>
          <t>Annick Goutal Nuit et Confidences Eau de Parfum 50ml</t>
        </is>
      </c>
      <c r="C6811" t="inlineStr">
        <is>
          <t>Eau De Parfum</t>
        </is>
      </c>
      <c r="D6811" t="inlineStr">
        <is>
          <t>Annick Goutal</t>
        </is>
      </c>
      <c r="E6811" t="n">
        <v>48.85</v>
      </c>
      <c r="F6811" t="n">
        <v>1</v>
      </c>
      <c r="G6811" t="n">
        <v>21</v>
      </c>
      <c r="H6811" s="5">
        <f>HYPERLINK("https://api.qogita.com/variants/link/0711367105818/", "View Product")</f>
        <v/>
      </c>
    </row>
    <row r="6812">
      <c r="A6812" t="inlineStr">
        <is>
          <t>0711367106624</t>
        </is>
      </c>
      <c r="B6812" t="inlineStr">
        <is>
          <t>Goutal Paris Rose Splendide Eau de Toilette</t>
        </is>
      </c>
      <c r="C6812" t="inlineStr">
        <is>
          <t>Eau De Toilette</t>
        </is>
      </c>
      <c r="D6812" t="inlineStr">
        <is>
          <t>Goutal Paris</t>
        </is>
      </c>
      <c r="E6812" t="n">
        <v>84.02</v>
      </c>
      <c r="F6812" t="n">
        <v>1</v>
      </c>
      <c r="G6812" t="n">
        <v>4</v>
      </c>
      <c r="H6812" s="5">
        <f>HYPERLINK("https://api.qogita.com/variants/link/0711367106624/", "View Product")</f>
        <v/>
      </c>
    </row>
    <row r="6813">
      <c r="A6813" t="inlineStr">
        <is>
          <t>0711367106907</t>
        </is>
      </c>
      <c r="B6813" t="inlineStr">
        <is>
          <t>Goutal 235895 Nuit Etoilee Eau De Parfum Spray 3.4 oz</t>
        </is>
      </c>
      <c r="C6813" t="inlineStr">
        <is>
          <t>Eau De Parfum</t>
        </is>
      </c>
      <c r="D6813" t="inlineStr">
        <is>
          <t>Annick Goutal</t>
        </is>
      </c>
      <c r="E6813" t="n">
        <v>134.98</v>
      </c>
      <c r="F6813" t="n">
        <v>1</v>
      </c>
      <c r="G6813" t="n">
        <v>2</v>
      </c>
      <c r="H6813" s="5">
        <f>HYPERLINK("https://api.qogita.com/variants/link/0711367106907/", "View Product")</f>
        <v/>
      </c>
    </row>
    <row r="6814">
      <c r="A6814" t="inlineStr">
        <is>
          <t>0711367108680</t>
        </is>
      </c>
      <c r="B6814" t="inlineStr">
        <is>
          <t>Annick Goutal Folie D'un Soir Eau de Parfum 50ml</t>
        </is>
      </c>
      <c r="C6814" t="inlineStr">
        <is>
          <t>Eau De Parfum</t>
        </is>
      </c>
      <c r="D6814" t="inlineStr">
        <is>
          <t>Annick Goutal</t>
        </is>
      </c>
      <c r="E6814" t="n">
        <v>44.41</v>
      </c>
      <c r="F6814" t="n">
        <v>1</v>
      </c>
      <c r="G6814" t="n">
        <v>11</v>
      </c>
      <c r="H6814" s="5">
        <f>HYPERLINK("https://api.qogita.com/variants/link/0711367108680/", "View Product")</f>
        <v/>
      </c>
    </row>
    <row r="6815">
      <c r="A6815" t="inlineStr">
        <is>
          <t>0711367109328</t>
        </is>
      </c>
      <c r="B6815" t="inlineStr">
        <is>
          <t>Annick Goutal Petite Cherie EDT Women's Perfume 100ml</t>
        </is>
      </c>
      <c r="C6815" t="inlineStr">
        <is>
          <t>Eau De Toilette</t>
        </is>
      </c>
      <c r="D6815" t="inlineStr">
        <is>
          <t>Annick Goutal</t>
        </is>
      </c>
      <c r="E6815" t="n">
        <v>86.73</v>
      </c>
      <c r="F6815" t="n">
        <v>1</v>
      </c>
      <c r="G6815" t="n">
        <v>5</v>
      </c>
      <c r="H6815" s="5">
        <f>HYPERLINK("https://api.qogita.com/variants/link/0711367109328/", "View Product")</f>
        <v/>
      </c>
    </row>
    <row r="6816">
      <c r="A6816" t="inlineStr">
        <is>
          <t>0711367109472</t>
        </is>
      </c>
      <c r="B6816" t="inlineStr">
        <is>
          <t>Annick Goutal Ce Soir ou Jamais EDP Spray 100ml</t>
        </is>
      </c>
      <c r="C6816" t="inlineStr">
        <is>
          <t>Eau De Parfum</t>
        </is>
      </c>
      <c r="D6816" t="inlineStr">
        <is>
          <t>Annick Goutal</t>
        </is>
      </c>
      <c r="E6816" t="n">
        <v>93.59</v>
      </c>
      <c r="F6816" t="n">
        <v>1</v>
      </c>
      <c r="G6816" t="n">
        <v>2</v>
      </c>
      <c r="H6816" s="5">
        <f>HYPERLINK("https://api.qogita.com/variants/link/0711367109472/", "View Product")</f>
        <v/>
      </c>
    </row>
    <row r="6817">
      <c r="A6817" t="inlineStr">
        <is>
          <t>0715706021456</t>
        </is>
      </c>
      <c r="B6817" t="inlineStr">
        <is>
          <t>Dapper Dan Grooming Tonic 250ml</t>
        </is>
      </c>
      <c r="C6817" t="inlineStr">
        <is>
          <t>Hair Tonic</t>
        </is>
      </c>
      <c r="D6817" t="inlineStr">
        <is>
          <t>Dapper Dan</t>
        </is>
      </c>
      <c r="E6817" t="n">
        <v>10.31</v>
      </c>
      <c r="F6817" t="n">
        <v>1</v>
      </c>
      <c r="G6817" t="n">
        <v>14</v>
      </c>
      <c r="H6817" s="5">
        <f>HYPERLINK("https://api.qogita.com/variants/link/0715706021456/", "View Product")</f>
        <v/>
      </c>
    </row>
    <row r="6818">
      <c r="A6818" t="inlineStr">
        <is>
          <t>0716170107721</t>
        </is>
      </c>
      <c r="B6818" t="inlineStr">
        <is>
          <t>BBr Corr 14 Light Med Peach Light to Medium Peach 1 Count</t>
        </is>
      </c>
      <c r="C6818" t="inlineStr">
        <is>
          <t>Blush</t>
        </is>
      </c>
      <c r="D6818" t="inlineStr">
        <is>
          <t>Bobbi Brown</t>
        </is>
      </c>
      <c r="E6818" t="n">
        <v>31.27</v>
      </c>
      <c r="F6818" t="n">
        <v>1</v>
      </c>
      <c r="G6818" t="n">
        <v>3</v>
      </c>
      <c r="H6818" s="5">
        <f>HYPERLINK("https://api.qogita.com/variants/link/0716170107721/", "View Product")</f>
        <v/>
      </c>
    </row>
    <row r="6819">
      <c r="A6819" t="inlineStr">
        <is>
          <t>0716170124322</t>
        </is>
      </c>
      <c r="B6819" t="inlineStr">
        <is>
          <t>Bobbi Brown Skin Foundation Stick Foundation 4.0 Nat 9g</t>
        </is>
      </c>
      <c r="C6819" t="inlineStr">
        <is>
          <t>Foundation</t>
        </is>
      </c>
      <c r="D6819" t="inlineStr">
        <is>
          <t>Bobbi Brown</t>
        </is>
      </c>
      <c r="E6819" t="n">
        <v>36.34</v>
      </c>
      <c r="F6819" t="n">
        <v>1</v>
      </c>
      <c r="G6819" t="n">
        <v>2</v>
      </c>
      <c r="H6819" s="5">
        <f>HYPERLINK("https://api.qogita.com/variants/link/0716170124322/", "View Product")</f>
        <v/>
      </c>
    </row>
    <row r="6820">
      <c r="A6820" t="inlineStr">
        <is>
          <t>0716170141336</t>
        </is>
      </c>
      <c r="B6820" t="inlineStr">
        <is>
          <t>BBr Lip Pencil 07 Rose</t>
        </is>
      </c>
      <c r="C6820" t="inlineStr">
        <is>
          <t>Lip Liner</t>
        </is>
      </c>
      <c r="D6820" t="inlineStr">
        <is>
          <t>Bobbi Brown</t>
        </is>
      </c>
      <c r="E6820" t="n">
        <v>24.4</v>
      </c>
      <c r="F6820" t="n">
        <v>1</v>
      </c>
      <c r="G6820" t="n">
        <v>5</v>
      </c>
      <c r="H6820" s="5">
        <f>HYPERLINK("https://api.qogita.com/variants/link/0716170141336/", "View Product")</f>
        <v/>
      </c>
    </row>
    <row r="6821">
      <c r="A6821" t="inlineStr">
        <is>
          <t>0716170141602</t>
        </is>
      </c>
      <c r="B6821" t="inlineStr">
        <is>
          <t>Bobbi Brown Lip Pencil with Sharpener 34 Red 1.15g</t>
        </is>
      </c>
      <c r="C6821" t="inlineStr">
        <is>
          <t>Lip Liner</t>
        </is>
      </c>
      <c r="D6821" t="inlineStr">
        <is>
          <t>Bobbi Brown</t>
        </is>
      </c>
      <c r="E6821" t="n">
        <v>20.42</v>
      </c>
      <c r="F6821" t="n">
        <v>1</v>
      </c>
      <c r="G6821" t="n">
        <v>4</v>
      </c>
      <c r="H6821" s="5">
        <f>HYPERLINK("https://api.qogita.com/variants/link/0716170141602/", "View Product")</f>
        <v/>
      </c>
    </row>
    <row r="6822">
      <c r="A6822" t="inlineStr">
        <is>
          <t>0716170148076</t>
        </is>
      </c>
      <c r="B6822" t="inlineStr">
        <is>
          <t>Bobbi Brown Long-Wear Cream Shadow Stick Dusty Mauve 1.6g</t>
        </is>
      </c>
      <c r="C6822" t="inlineStr">
        <is>
          <t>Eyeshadow</t>
        </is>
      </c>
      <c r="D6822" t="inlineStr">
        <is>
          <t>Bobbi Brown</t>
        </is>
      </c>
      <c r="E6822" t="n">
        <v>30.16</v>
      </c>
      <c r="F6822" t="n">
        <v>1</v>
      </c>
      <c r="G6822" t="n">
        <v>2</v>
      </c>
      <c r="H6822" s="5">
        <f>HYPERLINK("https://api.qogita.com/variants/link/0716170148076/", "View Product")</f>
        <v/>
      </c>
    </row>
    <row r="6823">
      <c r="A6823" t="inlineStr">
        <is>
          <t>0716170186283</t>
        </is>
      </c>
      <c r="B6823" t="inlineStr">
        <is>
          <t>Crushed Lipstick Color Cranberry 3g</t>
        </is>
      </c>
      <c r="C6823" t="inlineStr">
        <is>
          <t>Lipstick</t>
        </is>
      </c>
      <c r="D6823" t="inlineStr">
        <is>
          <t>Bobbi Brown</t>
        </is>
      </c>
      <c r="E6823" t="n">
        <v>29.47</v>
      </c>
      <c r="F6823" t="n">
        <v>1</v>
      </c>
      <c r="G6823" t="n">
        <v>2</v>
      </c>
      <c r="H6823" s="5">
        <f>HYPERLINK("https://api.qogita.com/variants/link/0716170186283/", "View Product")</f>
        <v/>
      </c>
    </row>
    <row r="6824">
      <c r="A6824" t="inlineStr">
        <is>
          <t>0716170194264</t>
        </is>
      </c>
      <c r="B6824" t="inlineStr">
        <is>
          <t>Bobbi Brown Extra Illumiating Moisture Balm Bare Glow 30ml</t>
        </is>
      </c>
      <c r="C6824" t="inlineStr">
        <is>
          <t>Primer</t>
        </is>
      </c>
      <c r="D6824" t="inlineStr">
        <is>
          <t>Bobbi Brown</t>
        </is>
      </c>
      <c r="E6824" t="n">
        <v>57.41</v>
      </c>
      <c r="F6824" t="n">
        <v>1</v>
      </c>
      <c r="G6824" t="n">
        <v>7</v>
      </c>
      <c r="H6824" s="5">
        <f>HYPERLINK("https://api.qogita.com/variants/link/0716170194264/", "View Product")</f>
        <v/>
      </c>
    </row>
    <row r="6825">
      <c r="A6825" t="inlineStr">
        <is>
          <t>0716170218946</t>
        </is>
      </c>
      <c r="B6825" t="inlineStr">
        <is>
          <t>Bobbi Brown Crushed Lip Color No. 26 Sazan Nude 3g</t>
        </is>
      </c>
      <c r="C6825" t="inlineStr">
        <is>
          <t>Lipstick</t>
        </is>
      </c>
      <c r="D6825" t="inlineStr">
        <is>
          <t>Bobbi Brown</t>
        </is>
      </c>
      <c r="E6825" t="n">
        <v>24.87</v>
      </c>
      <c r="F6825" t="n">
        <v>1</v>
      </c>
      <c r="G6825" t="n">
        <v>3</v>
      </c>
      <c r="H6825" s="5">
        <f>HYPERLINK("https://api.qogita.com/variants/link/0716170218946/", "View Product")</f>
        <v/>
      </c>
    </row>
    <row r="6826">
      <c r="A6826" t="inlineStr">
        <is>
          <t>0716170226149</t>
        </is>
      </c>
      <c r="B6826" t="inlineStr">
        <is>
          <t>Bobbi Brown Skin Foundation Stick Cool Beige 9g</t>
        </is>
      </c>
      <c r="C6826" t="inlineStr">
        <is>
          <t>Foundation</t>
        </is>
      </c>
      <c r="D6826" t="inlineStr">
        <is>
          <t>Bobbi Brown</t>
        </is>
      </c>
      <c r="E6826" t="n">
        <v>36.34</v>
      </c>
      <c r="F6826" t="n">
        <v>1</v>
      </c>
      <c r="G6826" t="n">
        <v>2</v>
      </c>
      <c r="H6826" s="5">
        <f>HYPERLINK("https://api.qogita.com/variants/link/0716170226149/", "View Product")</f>
        <v/>
      </c>
    </row>
    <row r="6827">
      <c r="A6827" t="inlineStr">
        <is>
          <t>0716170226934</t>
        </is>
      </c>
      <c r="B6827" t="inlineStr">
        <is>
          <t>Bobbi Brown Longwear Weightless Foundation Choose Your Shade Authentic New in Box</t>
        </is>
      </c>
      <c r="C6827" t="inlineStr">
        <is>
          <t>Foundation</t>
        </is>
      </c>
      <c r="D6827" t="inlineStr">
        <is>
          <t>Bobbi Brown</t>
        </is>
      </c>
      <c r="E6827" t="n">
        <v>36.34</v>
      </c>
      <c r="F6827" t="n">
        <v>1</v>
      </c>
      <c r="G6827" t="n">
        <v>3</v>
      </c>
      <c r="H6827" s="5">
        <f>HYPERLINK("https://api.qogita.com/variants/link/0716170226934/", "View Product")</f>
        <v/>
      </c>
    </row>
    <row r="6828">
      <c r="A6828" t="inlineStr">
        <is>
          <t>0716170228921</t>
        </is>
      </c>
      <c r="B6828" t="inlineStr">
        <is>
          <t>Bobbi Brown Crushed Oil Infused Gloss Free Spirit</t>
        </is>
      </c>
      <c r="C6828" t="inlineStr">
        <is>
          <t>Lip Gloss</t>
        </is>
      </c>
      <c r="D6828" t="inlineStr">
        <is>
          <t>Bobbi Brown</t>
        </is>
      </c>
      <c r="E6828" t="n">
        <v>24.87</v>
      </c>
      <c r="F6828" t="n">
        <v>1</v>
      </c>
      <c r="G6828" t="n">
        <v>5</v>
      </c>
      <c r="H6828" s="5">
        <f>HYPERLINK("https://api.qogita.com/variants/link/0716170228921/", "View Product")</f>
        <v/>
      </c>
    </row>
    <row r="6829">
      <c r="A6829" t="inlineStr">
        <is>
          <t>0716170228938</t>
        </is>
      </c>
      <c r="B6829" t="inlineStr">
        <is>
          <t>Bobbi Brown Crushed Oil-Infused Lip Gloss New Romantic</t>
        </is>
      </c>
      <c r="C6829" t="inlineStr">
        <is>
          <t>Lip Gloss</t>
        </is>
      </c>
      <c r="D6829" t="inlineStr">
        <is>
          <t>Bobbi Brown</t>
        </is>
      </c>
      <c r="E6829" t="n">
        <v>25.36</v>
      </c>
      <c r="F6829" t="n">
        <v>1</v>
      </c>
      <c r="G6829" t="n">
        <v>6</v>
      </c>
      <c r="H6829" s="5">
        <f>HYPERLINK("https://api.qogita.com/variants/link/0716170228938/", "View Product")</f>
        <v/>
      </c>
    </row>
    <row r="6830">
      <c r="A6830" t="inlineStr">
        <is>
          <t>0716170229249</t>
        </is>
      </c>
      <c r="B6830" t="inlineStr">
        <is>
          <t>Bobbi Brown Intensive Serum Foundation Broad Spectrum SPF 40 C-004 Alabaster 1 Fl Oz 30ml</t>
        </is>
      </c>
      <c r="C6830" t="inlineStr">
        <is>
          <t>Foundation</t>
        </is>
      </c>
      <c r="D6830" t="inlineStr">
        <is>
          <t>Bobbi Brown</t>
        </is>
      </c>
      <c r="E6830" t="n">
        <v>52.91</v>
      </c>
      <c r="F6830" t="n">
        <v>1</v>
      </c>
      <c r="G6830" t="n">
        <v>5</v>
      </c>
      <c r="H6830" s="5">
        <f>HYPERLINK("https://api.qogita.com/variants/link/0716170229249/", "View Product")</f>
        <v/>
      </c>
    </row>
    <row r="6831">
      <c r="A6831" t="inlineStr">
        <is>
          <t>0716170237862</t>
        </is>
      </c>
      <c r="B6831" t="inlineStr">
        <is>
          <t>Bobbi Brown Crushed Lip Color Buff 3.4g</t>
        </is>
      </c>
      <c r="C6831" t="inlineStr">
        <is>
          <t>Lipstick</t>
        </is>
      </c>
      <c r="D6831" t="inlineStr">
        <is>
          <t>Bobbi Brown</t>
        </is>
      </c>
      <c r="E6831" t="n">
        <v>28.71</v>
      </c>
      <c r="F6831" t="n">
        <v>1</v>
      </c>
      <c r="G6831" t="n">
        <v>5</v>
      </c>
      <c r="H6831" s="5">
        <f>HYPERLINK("https://api.qogita.com/variants/link/0716170237862/", "View Product")</f>
        <v/>
      </c>
    </row>
    <row r="6832">
      <c r="A6832" t="inlineStr">
        <is>
          <t>0716170237886</t>
        </is>
      </c>
      <c r="B6832" t="inlineStr">
        <is>
          <t>Bobbi Brown Brownie Crushed Lip Color 3.4 grams Brownie</t>
        </is>
      </c>
      <c r="C6832" t="inlineStr">
        <is>
          <t>Lipstick</t>
        </is>
      </c>
      <c r="D6832" t="inlineStr">
        <is>
          <t>Bobbi Brown</t>
        </is>
      </c>
      <c r="E6832" t="n">
        <v>28.71</v>
      </c>
      <c r="F6832" t="n">
        <v>1</v>
      </c>
      <c r="G6832" t="n">
        <v>2</v>
      </c>
      <c r="H6832" s="5">
        <f>HYPERLINK("https://api.qogita.com/variants/link/0716170237886/", "View Product")</f>
        <v/>
      </c>
    </row>
    <row r="6833">
      <c r="A6833" t="inlineStr">
        <is>
          <t>0716170237909</t>
        </is>
      </c>
      <c r="B6833" t="inlineStr">
        <is>
          <t>Bobbi Brown Crushed Lip Colour Italian Rose 3.4g</t>
        </is>
      </c>
      <c r="C6833" t="inlineStr">
        <is>
          <t>Lipstick</t>
        </is>
      </c>
      <c r="D6833" t="inlineStr">
        <is>
          <t>Bobbi Brown</t>
        </is>
      </c>
      <c r="E6833" t="n">
        <v>29.13</v>
      </c>
      <c r="F6833" t="n">
        <v>1</v>
      </c>
      <c r="G6833" t="n">
        <v>9</v>
      </c>
      <c r="H6833" s="5">
        <f>HYPERLINK("https://api.qogita.com/variants/link/0716170237909/", "View Product")</f>
        <v/>
      </c>
    </row>
    <row r="6834">
      <c r="A6834" t="inlineStr">
        <is>
          <t>0716170258942</t>
        </is>
      </c>
      <c r="B6834" t="inlineStr">
        <is>
          <t>Skin Corrector Stick Peach 3g</t>
        </is>
      </c>
      <c r="C6834" t="inlineStr">
        <is>
          <t>Color Corrector</t>
        </is>
      </c>
      <c r="D6834" t="inlineStr">
        <is>
          <t>Bobbi Brown</t>
        </is>
      </c>
      <c r="E6834" t="n">
        <v>27.42</v>
      </c>
      <c r="F6834" t="n">
        <v>1</v>
      </c>
      <c r="G6834" t="n">
        <v>2</v>
      </c>
      <c r="H6834" s="5">
        <f>HYPERLINK("https://api.qogita.com/variants/link/0716170258942/", "View Product")</f>
        <v/>
      </c>
    </row>
    <row r="6835">
      <c r="A6835" t="inlineStr">
        <is>
          <t>0716170259024</t>
        </is>
      </c>
      <c r="B6835" t="inlineStr">
        <is>
          <t>Skin Corrector Stick 3g Shade Very Deep Bisque</t>
        </is>
      </c>
      <c r="C6835" t="inlineStr">
        <is>
          <t>Concealer</t>
        </is>
      </c>
      <c r="D6835" t="inlineStr">
        <is>
          <t>Bobbi Brown</t>
        </is>
      </c>
      <c r="E6835" t="n">
        <v>27.42</v>
      </c>
      <c r="F6835" t="n">
        <v>1</v>
      </c>
      <c r="G6835" t="n">
        <v>4</v>
      </c>
      <c r="H6835" s="5">
        <f>HYPERLINK("https://api.qogita.com/variants/link/0716170259024/", "View Product")</f>
        <v/>
      </c>
    </row>
    <row r="6836">
      <c r="A6836" t="inlineStr">
        <is>
          <t>0716170260358</t>
        </is>
      </c>
      <c r="B6836" t="inlineStr">
        <is>
          <t>Bobbi Brown Luxe Lipstick Soft Berry 3.5g</t>
        </is>
      </c>
      <c r="C6836" t="inlineStr">
        <is>
          <t>Lipstick</t>
        </is>
      </c>
      <c r="D6836" t="inlineStr">
        <is>
          <t>Bobbi Brown</t>
        </is>
      </c>
      <c r="E6836" t="n">
        <v>29.32</v>
      </c>
      <c r="F6836" t="n">
        <v>1</v>
      </c>
      <c r="G6836" t="n">
        <v>5</v>
      </c>
      <c r="H6836" s="5">
        <f>HYPERLINK("https://api.qogita.com/variants/link/0716170260358/", "View Product")</f>
        <v/>
      </c>
    </row>
    <row r="6837">
      <c r="A6837" t="inlineStr">
        <is>
          <t>0716170260631</t>
        </is>
      </c>
      <c r="B6837" t="inlineStr">
        <is>
          <t>Bobbi Brown Luxe Lipstick Your Majesty 3.5g</t>
        </is>
      </c>
      <c r="C6837" t="inlineStr">
        <is>
          <t>Lipstick</t>
        </is>
      </c>
      <c r="D6837" t="inlineStr">
        <is>
          <t>Bobbi Brown</t>
        </is>
      </c>
      <c r="E6837" t="n">
        <v>29.32</v>
      </c>
      <c r="F6837" t="n">
        <v>1</v>
      </c>
      <c r="G6837" t="n">
        <v>2</v>
      </c>
      <c r="H6837" s="5">
        <f>HYPERLINK("https://api.qogita.com/variants/link/0716170260631/", "View Product")</f>
        <v/>
      </c>
    </row>
    <row r="6838">
      <c r="A6838" t="inlineStr">
        <is>
          <t>0716170260648</t>
        </is>
      </c>
      <c r="B6838" t="inlineStr">
        <is>
          <t>Luxe Lipstick 3.5 g Shade Cranberry</t>
        </is>
      </c>
      <c r="C6838" t="inlineStr">
        <is>
          <t>Lipstick</t>
        </is>
      </c>
      <c r="D6838" t="inlineStr">
        <is>
          <t>Bobbi Brown</t>
        </is>
      </c>
      <c r="E6838" t="n">
        <v>29.32</v>
      </c>
      <c r="F6838" t="n">
        <v>1</v>
      </c>
      <c r="G6838" t="n">
        <v>4</v>
      </c>
      <c r="H6838" s="5">
        <f>HYPERLINK("https://api.qogita.com/variants/link/0716170260648/", "View Product")</f>
        <v/>
      </c>
    </row>
    <row r="6839">
      <c r="A6839" t="inlineStr">
        <is>
          <t>0716170273846</t>
        </is>
      </c>
      <c r="B6839" t="inlineStr">
        <is>
          <t>Bobbi Brown Skin Full Cover Concealer Warm Beige</t>
        </is>
      </c>
      <c r="C6839" t="inlineStr">
        <is>
          <t>Concealer</t>
        </is>
      </c>
      <c r="D6839" t="inlineStr">
        <is>
          <t>Bobbi Brown</t>
        </is>
      </c>
      <c r="E6839" t="n">
        <v>27.42</v>
      </c>
      <c r="F6839" t="n">
        <v>1</v>
      </c>
      <c r="G6839" t="n">
        <v>2</v>
      </c>
      <c r="H6839" s="5">
        <f>HYPERLINK("https://api.qogita.com/variants/link/0716170273846/", "View Product")</f>
        <v/>
      </c>
    </row>
    <row r="6840">
      <c r="A6840" t="inlineStr">
        <is>
          <t>0716170282145</t>
        </is>
      </c>
      <c r="B6840" t="inlineStr">
        <is>
          <t>Bobbi Brown Vitamin Enriched Smoothing Serum for Women 1 oz</t>
        </is>
      </c>
      <c r="C6840" t="inlineStr">
        <is>
          <t>Vitamin Serum</t>
        </is>
      </c>
      <c r="D6840" t="inlineStr">
        <is>
          <t>Bobbi Brown</t>
        </is>
      </c>
      <c r="E6840" t="n">
        <v>59.64</v>
      </c>
      <c r="F6840" t="n">
        <v>1</v>
      </c>
      <c r="G6840" t="n">
        <v>5</v>
      </c>
      <c r="H6840" s="5">
        <f>HYPERLINK("https://api.qogita.com/variants/link/0716170282145/", "View Product")</f>
        <v/>
      </c>
    </row>
    <row r="6841">
      <c r="A6841" t="inlineStr">
        <is>
          <t>0716170284675</t>
        </is>
      </c>
      <c r="B6841" t="inlineStr">
        <is>
          <t>Bobbi Brown Vitamin Enriched Hydrating Skin Tint SPF 15 with Hyaluronic Acid Fair 2</t>
        </is>
      </c>
      <c r="C6841" t="inlineStr">
        <is>
          <t>Bb Cream &amp; Cc Cream</t>
        </is>
      </c>
      <c r="D6841" t="inlineStr">
        <is>
          <t>Bobbi Brown</t>
        </is>
      </c>
      <c r="E6841" t="n">
        <v>31.71</v>
      </c>
      <c r="F6841" t="n">
        <v>1</v>
      </c>
      <c r="G6841" t="n">
        <v>2</v>
      </c>
      <c r="H6841" s="5">
        <f>HYPERLINK("https://api.qogita.com/variants/link/0716170284675/", "View Product")</f>
        <v/>
      </c>
    </row>
    <row r="6842">
      <c r="A6842" t="inlineStr">
        <is>
          <t>0716170284750</t>
        </is>
      </c>
      <c r="B6842" t="inlineStr">
        <is>
          <t>Bobbi Brown Vitamin Enriched Skin Tinted Moisturizer SPF 15 Medium Cool for Women 1.7 oz</t>
        </is>
      </c>
      <c r="C6842" t="inlineStr">
        <is>
          <t>Bb Cream &amp; Cc Cream</t>
        </is>
      </c>
      <c r="D6842" t="inlineStr">
        <is>
          <t>Bobbi Brown</t>
        </is>
      </c>
      <c r="E6842" t="n">
        <v>31.88</v>
      </c>
      <c r="F6842" t="n">
        <v>1</v>
      </c>
      <c r="G6842" t="n">
        <v>5</v>
      </c>
      <c r="H6842" s="5">
        <f>HYPERLINK("https://api.qogita.com/variants/link/0716170284750/", "View Product")</f>
        <v/>
      </c>
    </row>
    <row r="6843">
      <c r="A6843" t="inlineStr">
        <is>
          <t>0716170284781</t>
        </is>
      </c>
      <c r="B6843" t="inlineStr">
        <is>
          <t>Bobbi Brown Vitamin Enriched Skin Tint SPF 15 50ml - Deep</t>
        </is>
      </c>
      <c r="C6843" t="inlineStr">
        <is>
          <t>Bb Cream &amp; Cc Cream</t>
        </is>
      </c>
      <c r="D6843" t="inlineStr">
        <is>
          <t>Bobbi Brown</t>
        </is>
      </c>
      <c r="E6843" t="n">
        <v>35.54</v>
      </c>
      <c r="F6843" t="n">
        <v>1</v>
      </c>
      <c r="G6843" t="n">
        <v>3</v>
      </c>
      <c r="H6843" s="5">
        <f>HYPERLINK("https://api.qogita.com/variants/link/0716170284781/", "View Product")</f>
        <v/>
      </c>
    </row>
    <row r="6844">
      <c r="A6844" t="inlineStr">
        <is>
          <t>0716170289267</t>
        </is>
      </c>
      <c r="B6844" t="inlineStr">
        <is>
          <t>Bobbi Brown Long-Wear Cream Shadow Stick 0.05oz Full Size NIB</t>
        </is>
      </c>
      <c r="C6844" t="inlineStr">
        <is>
          <t>Eyeshadow</t>
        </is>
      </c>
      <c r="D6844" t="inlineStr">
        <is>
          <t>Bobbi Brown</t>
        </is>
      </c>
      <c r="E6844" t="n">
        <v>30.16</v>
      </c>
      <c r="F6844" t="n">
        <v>1</v>
      </c>
      <c r="G6844" t="n">
        <v>7</v>
      </c>
      <c r="H6844" s="5">
        <f>HYPERLINK("https://api.qogita.com/variants/link/0716170289267/", "View Product")</f>
        <v/>
      </c>
    </row>
    <row r="6845">
      <c r="A6845" t="inlineStr">
        <is>
          <t>0716170289274</t>
        </is>
      </c>
      <c r="B6845" t="inlineStr">
        <is>
          <t>Bobbi Brown Long Wear Cream Shadow Stick Mica Shimmer For Women 0.05 oz Eye Shadow</t>
        </is>
      </c>
      <c r="C6845" t="inlineStr">
        <is>
          <t>Eyeshadow</t>
        </is>
      </c>
      <c r="D6845" t="inlineStr">
        <is>
          <t>Bobbi Brown</t>
        </is>
      </c>
      <c r="E6845" t="n">
        <v>30.16</v>
      </c>
      <c r="F6845" t="n">
        <v>1</v>
      </c>
      <c r="G6845" t="n">
        <v>5</v>
      </c>
      <c r="H6845" s="5">
        <f>HYPERLINK("https://api.qogita.com/variants/link/0716170289274/", "View Product")</f>
        <v/>
      </c>
    </row>
    <row r="6846">
      <c r="A6846" t="inlineStr">
        <is>
          <t>0716170292496</t>
        </is>
      </c>
      <c r="B6846" t="inlineStr">
        <is>
          <t>Bobbi Brown Soothing Cleansing Oil</t>
        </is>
      </c>
      <c r="C6846" t="inlineStr">
        <is>
          <t>Cleansing Oil</t>
        </is>
      </c>
      <c r="D6846" t="inlineStr">
        <is>
          <t>Bobbi Brown</t>
        </is>
      </c>
      <c r="E6846" t="n">
        <v>27.89</v>
      </c>
      <c r="F6846" t="n">
        <v>1</v>
      </c>
      <c r="G6846" t="n">
        <v>3</v>
      </c>
      <c r="H6846" s="5">
        <f>HYPERLINK("https://api.qogita.com/variants/link/0716170292496/", "View Product")</f>
        <v/>
      </c>
    </row>
    <row r="6847">
      <c r="A6847" t="inlineStr">
        <is>
          <t>0716170294285</t>
        </is>
      </c>
      <c r="B6847" t="inlineStr">
        <is>
          <t>Bobbi Brown Sheer Finish Pressed Powder</t>
        </is>
      </c>
      <c r="C6847" t="inlineStr">
        <is>
          <t>Powder</t>
        </is>
      </c>
      <c r="D6847" t="inlineStr">
        <is>
          <t>Bobbi Brown</t>
        </is>
      </c>
      <c r="E6847" t="n">
        <v>38.13</v>
      </c>
      <c r="F6847" t="n">
        <v>1</v>
      </c>
      <c r="G6847" t="n">
        <v>3</v>
      </c>
      <c r="H6847" s="5">
        <f>HYPERLINK("https://api.qogita.com/variants/link/0716170294285/", "View Product")</f>
        <v/>
      </c>
    </row>
    <row r="6848">
      <c r="A6848" t="inlineStr">
        <is>
          <t>0716170296104</t>
        </is>
      </c>
      <c r="B6848" t="inlineStr">
        <is>
          <t>Luxe Lipstick 3.5 g Shade Italian Rose</t>
        </is>
      </c>
      <c r="C6848" t="inlineStr">
        <is>
          <t>Lipstick</t>
        </is>
      </c>
      <c r="D6848" t="inlineStr">
        <is>
          <t>Bobbi Brown</t>
        </is>
      </c>
      <c r="E6848" t="n">
        <v>29.32</v>
      </c>
      <c r="F6848" t="n">
        <v>1</v>
      </c>
      <c r="G6848" t="n">
        <v>3</v>
      </c>
      <c r="H6848" s="5">
        <f>HYPERLINK("https://api.qogita.com/variants/link/0716170296104/", "View Product")</f>
        <v/>
      </c>
    </row>
    <row r="6849">
      <c r="A6849" t="inlineStr">
        <is>
          <t>0716170303710</t>
        </is>
      </c>
      <c r="B6849" t="inlineStr">
        <is>
          <t>Bobbi Brown Vitamin Enriched Pressed Finishing Powder Yellow</t>
        </is>
      </c>
      <c r="C6849" t="inlineStr">
        <is>
          <t>Powder</t>
        </is>
      </c>
      <c r="D6849" t="inlineStr">
        <is>
          <t>Bobbi Brown</t>
        </is>
      </c>
      <c r="E6849" t="n">
        <v>33.13</v>
      </c>
      <c r="F6849" t="n">
        <v>1</v>
      </c>
      <c r="G6849" t="n">
        <v>2</v>
      </c>
      <c r="H6849" s="5">
        <f>HYPERLINK("https://api.qogita.com/variants/link/0716170303710/", "View Product")</f>
        <v/>
      </c>
    </row>
    <row r="6850">
      <c r="A6850" t="inlineStr">
        <is>
          <t>0716170308852</t>
        </is>
      </c>
      <c r="B6850" t="inlineStr">
        <is>
          <t>Bobbi Brown Luxe Matte Lipstick Claret 04</t>
        </is>
      </c>
      <c r="C6850" t="inlineStr">
        <is>
          <t>Lipstick</t>
        </is>
      </c>
      <c r="D6850" t="inlineStr">
        <is>
          <t>Bobbi Brown</t>
        </is>
      </c>
      <c r="E6850" t="n">
        <v>29.32</v>
      </c>
      <c r="F6850" t="n">
        <v>1</v>
      </c>
      <c r="G6850" t="n">
        <v>5</v>
      </c>
      <c r="H6850" s="5">
        <f>HYPERLINK("https://api.qogita.com/variants/link/0716170308852/", "View Product")</f>
        <v/>
      </c>
    </row>
    <row r="6851">
      <c r="A6851" t="inlineStr">
        <is>
          <t>0716170308883</t>
        </is>
      </c>
      <c r="B6851" t="inlineStr">
        <is>
          <t>Luxe Matte Lipstick 3.5 g Shade Golden Hour</t>
        </is>
      </c>
      <c r="C6851" t="inlineStr">
        <is>
          <t>Lipstick</t>
        </is>
      </c>
      <c r="D6851" t="inlineStr">
        <is>
          <t>Bobbi Brown</t>
        </is>
      </c>
      <c r="E6851" t="n">
        <v>29.32</v>
      </c>
      <c r="F6851" t="n">
        <v>1</v>
      </c>
      <c r="G6851" t="n">
        <v>5</v>
      </c>
      <c r="H6851" s="5">
        <f>HYPERLINK("https://api.qogita.com/variants/link/0716170308883/", "View Product")</f>
        <v/>
      </c>
    </row>
    <row r="6852">
      <c r="A6852" t="inlineStr">
        <is>
          <t>0716170310855</t>
        </is>
      </c>
      <c r="B6852" t="inlineStr">
        <is>
          <t>Bobbi Brown Luxe Matte Lipstick Sunset Rose 139</t>
        </is>
      </c>
      <c r="C6852" t="inlineStr">
        <is>
          <t>Lipstick</t>
        </is>
      </c>
      <c r="D6852" t="inlineStr">
        <is>
          <t>Bobbi Brown</t>
        </is>
      </c>
      <c r="E6852" t="n">
        <v>31.44</v>
      </c>
      <c r="F6852" t="n">
        <v>1</v>
      </c>
      <c r="G6852" t="n">
        <v>4</v>
      </c>
      <c r="H6852" s="5">
        <f>HYPERLINK("https://api.qogita.com/variants/link/0716170310855/", "View Product")</f>
        <v/>
      </c>
    </row>
    <row r="6853">
      <c r="A6853" t="inlineStr">
        <is>
          <t>0716170311142</t>
        </is>
      </c>
      <c r="B6853" t="inlineStr">
        <is>
          <t>Bobbi Brown Cream Shadow Stick Golden Light</t>
        </is>
      </c>
      <c r="C6853" t="inlineStr">
        <is>
          <t>Eyeshadow</t>
        </is>
      </c>
      <c r="D6853" t="inlineStr">
        <is>
          <t>Bobbi Brown</t>
        </is>
      </c>
      <c r="E6853" t="n">
        <v>25.76</v>
      </c>
      <c r="F6853" t="n">
        <v>1</v>
      </c>
      <c r="G6853" t="n">
        <v>4</v>
      </c>
      <c r="H6853" s="5">
        <f>HYPERLINK("https://api.qogita.com/variants/link/0716170311142/", "View Product")</f>
        <v/>
      </c>
    </row>
    <row r="6854">
      <c r="A6854" t="inlineStr">
        <is>
          <t>0716170311197</t>
        </is>
      </c>
      <c r="B6854" t="inlineStr">
        <is>
          <t>Bobbi Brown Cream Shadow Stick Bronze</t>
        </is>
      </c>
      <c r="C6854" t="inlineStr">
        <is>
          <t>Eyeshadow</t>
        </is>
      </c>
      <c r="D6854" t="inlineStr">
        <is>
          <t>Bobbi Brown</t>
        </is>
      </c>
      <c r="E6854" t="n">
        <v>30.16</v>
      </c>
      <c r="F6854" t="n">
        <v>1</v>
      </c>
      <c r="G6854" t="n">
        <v>3</v>
      </c>
      <c r="H6854" s="5">
        <f>HYPERLINK("https://api.qogita.com/variants/link/0716170311197/", "View Product")</f>
        <v/>
      </c>
    </row>
    <row r="6855">
      <c r="A6855" t="inlineStr">
        <is>
          <t>0716170313450</t>
        </is>
      </c>
      <c r="B6855" t="inlineStr">
        <is>
          <t>Bobbi Brown Blush</t>
        </is>
      </c>
      <c r="C6855" t="inlineStr">
        <is>
          <t>Blush</t>
        </is>
      </c>
      <c r="D6855" t="inlineStr">
        <is>
          <t>Bobbi Brown</t>
        </is>
      </c>
      <c r="E6855" t="n">
        <v>27.42</v>
      </c>
      <c r="F6855" t="n">
        <v>1</v>
      </c>
      <c r="G6855" t="n">
        <v>4</v>
      </c>
      <c r="H6855" s="5">
        <f>HYPERLINK("https://api.qogita.com/variants/link/0716170313450/", "View Product")</f>
        <v/>
      </c>
    </row>
    <row r="6856">
      <c r="A6856" t="inlineStr">
        <is>
          <t>0716170318578</t>
        </is>
      </c>
      <c r="B6856" t="inlineStr">
        <is>
          <t>Bobbi Brown Skin Concealer Stick 3 G Ivory</t>
        </is>
      </c>
      <c r="C6856" t="inlineStr">
        <is>
          <t>Concealer</t>
        </is>
      </c>
      <c r="D6856" t="inlineStr">
        <is>
          <t>Bobbi Brown</t>
        </is>
      </c>
      <c r="E6856" t="n">
        <v>27.42</v>
      </c>
      <c r="F6856" t="n">
        <v>1</v>
      </c>
      <c r="G6856" t="n">
        <v>3</v>
      </c>
      <c r="H6856" s="5">
        <f>HYPERLINK("https://api.qogita.com/variants/link/0716170318578/", "View Product")</f>
        <v/>
      </c>
    </row>
    <row r="6857">
      <c r="A6857" t="inlineStr">
        <is>
          <t>0716170318592</t>
        </is>
      </c>
      <c r="B6857" t="inlineStr">
        <is>
          <t>Bobbi Brown Skin Concealer Stick 3 G Cool Sand</t>
        </is>
      </c>
      <c r="C6857" t="inlineStr">
        <is>
          <t>Concealer</t>
        </is>
      </c>
      <c r="D6857" t="inlineStr">
        <is>
          <t>Bobbi Brown</t>
        </is>
      </c>
      <c r="E6857" t="n">
        <v>26.58</v>
      </c>
      <c r="F6857" t="n">
        <v>1</v>
      </c>
      <c r="G6857" t="n">
        <v>4</v>
      </c>
      <c r="H6857" s="5">
        <f>HYPERLINK("https://api.qogita.com/variants/link/0716170318592/", "View Product")</f>
        <v/>
      </c>
    </row>
    <row r="6858">
      <c r="A6858" t="inlineStr">
        <is>
          <t>0716170319834</t>
        </is>
      </c>
      <c r="B6858" t="inlineStr">
        <is>
          <t>Bobbi Brown Blush Desert Pink Matte .12 oz / 3.5g</t>
        </is>
      </c>
      <c r="C6858" t="inlineStr">
        <is>
          <t>Blush</t>
        </is>
      </c>
      <c r="D6858" t="inlineStr">
        <is>
          <t>Bobbi Brown</t>
        </is>
      </c>
      <c r="E6858" t="n">
        <v>27.42</v>
      </c>
      <c r="F6858" t="n">
        <v>1</v>
      </c>
      <c r="G6858" t="n">
        <v>3</v>
      </c>
      <c r="H6858" s="5">
        <f>HYPERLINK("https://api.qogita.com/variants/link/0716170319834/", "View Product")</f>
        <v/>
      </c>
    </row>
    <row r="6859">
      <c r="A6859" t="inlineStr">
        <is>
          <t>0716170319872</t>
        </is>
      </c>
      <c r="B6859" t="inlineStr">
        <is>
          <t>Bobbi Brown Red Matte Tawny Full Size 0.12 Ounces 3.5g</t>
        </is>
      </c>
      <c r="C6859" t="inlineStr">
        <is>
          <t>Lipstick</t>
        </is>
      </c>
      <c r="D6859" t="inlineStr">
        <is>
          <t>Bobbi Brown</t>
        </is>
      </c>
      <c r="E6859" t="n">
        <v>26.94</v>
      </c>
      <c r="F6859" t="n">
        <v>1</v>
      </c>
      <c r="G6859" t="n">
        <v>4</v>
      </c>
      <c r="H6859" s="5">
        <f>HYPERLINK("https://api.qogita.com/variants/link/0716170319872/", "View Product")</f>
        <v/>
      </c>
    </row>
    <row r="6860">
      <c r="A6860" t="inlineStr">
        <is>
          <t>0716170336138</t>
        </is>
      </c>
      <c r="B6860" t="inlineStr">
        <is>
          <t>Bobbi Brown Extra Plump Lip Serum - 6 Grams</t>
        </is>
      </c>
      <c r="C6860" t="inlineStr">
        <is>
          <t>Lip Plumper</t>
        </is>
      </c>
      <c r="D6860" t="inlineStr">
        <is>
          <t>Bobbi Brown</t>
        </is>
      </c>
      <c r="E6860" t="n">
        <v>29.85</v>
      </c>
      <c r="F6860" t="n">
        <v>1</v>
      </c>
      <c r="G6860" t="n">
        <v>9</v>
      </c>
      <c r="H6860" s="5">
        <f>HYPERLINK("https://api.qogita.com/variants/link/0716170336138/", "View Product")</f>
        <v/>
      </c>
    </row>
    <row r="6861">
      <c r="A6861" t="inlineStr">
        <is>
          <t>0717334238688</t>
        </is>
      </c>
      <c r="B6861" t="inlineStr">
        <is>
          <t>Origins Plantscription Retinol Night Moisturizer with Alpine Flower 30ml</t>
        </is>
      </c>
      <c r="C6861" t="inlineStr">
        <is>
          <t>Night Cream</t>
        </is>
      </c>
      <c r="D6861" t="inlineStr">
        <is>
          <t>Origins</t>
        </is>
      </c>
      <c r="E6861" t="n">
        <v>54.51</v>
      </c>
      <c r="F6861" t="n">
        <v>1</v>
      </c>
      <c r="G6861" t="n">
        <v>7</v>
      </c>
      <c r="H6861" s="5">
        <f>HYPERLINK("https://api.qogita.com/variants/link/0717334238688/", "View Product")</f>
        <v/>
      </c>
    </row>
    <row r="6862">
      <c r="A6862" t="inlineStr">
        <is>
          <t>0717334254688</t>
        </is>
      </c>
      <c r="B6862" t="inlineStr">
        <is>
          <t>Origins Ginger Burst Savory Hand &amp; Body Wash 200ml</t>
        </is>
      </c>
      <c r="C6862" t="inlineStr">
        <is>
          <t>Shower Gel</t>
        </is>
      </c>
      <c r="D6862" t="inlineStr">
        <is>
          <t>Origins</t>
        </is>
      </c>
      <c r="E6862" t="n">
        <v>18.35</v>
      </c>
      <c r="F6862" t="n">
        <v>1</v>
      </c>
      <c r="G6862" t="n">
        <v>8</v>
      </c>
      <c r="H6862" s="5">
        <f>HYPERLINK("https://api.qogita.com/variants/link/0717334254688/", "View Product")</f>
        <v/>
      </c>
    </row>
    <row r="6863">
      <c r="A6863" t="inlineStr">
        <is>
          <t>0717334256163</t>
        </is>
      </c>
      <c r="B6863" t="inlineStr">
        <is>
          <t>Origins Dr. Andrew Mega-Mushroom Soothing Hydra-Mist with Reishi &amp; Snow Mushroom 100ml</t>
        </is>
      </c>
      <c r="C6863" t="inlineStr">
        <is>
          <t>Facial Spray</t>
        </is>
      </c>
      <c r="D6863" t="inlineStr">
        <is>
          <t>Origins</t>
        </is>
      </c>
      <c r="E6863" t="n">
        <v>17.77</v>
      </c>
      <c r="F6863" t="n">
        <v>1</v>
      </c>
      <c r="G6863" t="n">
        <v>6</v>
      </c>
      <c r="H6863" s="5">
        <f>HYPERLINK("https://api.qogita.com/variants/link/0717334256163/", "View Product")</f>
        <v/>
      </c>
    </row>
    <row r="6864">
      <c r="A6864" t="inlineStr">
        <is>
          <t>0717334265882</t>
        </is>
      </c>
      <c r="B6864" t="inlineStr">
        <is>
          <t>Origins Clear Improvement Blackhead Clearing Mask-To-Scrub - 75ml</t>
        </is>
      </c>
      <c r="C6864" t="inlineStr">
        <is>
          <t>Blackhead Masks</t>
        </is>
      </c>
      <c r="D6864" t="inlineStr">
        <is>
          <t>Origins</t>
        </is>
      </c>
      <c r="E6864" t="n">
        <v>21.63</v>
      </c>
      <c r="F6864" t="n">
        <v>1</v>
      </c>
      <c r="G6864" t="n">
        <v>2</v>
      </c>
      <c r="H6864" s="5">
        <f>HYPERLINK("https://api.qogita.com/variants/link/0717334265882/", "View Product")</f>
        <v/>
      </c>
    </row>
    <row r="6865">
      <c r="A6865" t="inlineStr">
        <is>
          <t>0717334266292</t>
        </is>
      </c>
      <c r="B6865" t="inlineStr">
        <is>
          <t>Origins Plantscription Active Wrinkle Correction Serum 30ml</t>
        </is>
      </c>
      <c r="C6865" t="inlineStr">
        <is>
          <t>Anti-Aging Serum</t>
        </is>
      </c>
      <c r="D6865" t="inlineStr">
        <is>
          <t>Origins</t>
        </is>
      </c>
      <c r="E6865" t="n">
        <v>45.02</v>
      </c>
      <c r="F6865" t="n">
        <v>1</v>
      </c>
      <c r="G6865" t="n">
        <v>3</v>
      </c>
      <c r="H6865" s="5">
        <f>HYPERLINK("https://api.qogita.com/variants/link/0717334266292/", "View Product")</f>
        <v/>
      </c>
    </row>
    <row r="6866">
      <c r="A6866" t="inlineStr">
        <is>
          <t>0719346020480</t>
        </is>
      </c>
      <c r="B6866" t="inlineStr">
        <is>
          <t>Halston For Women 3.4 Oz Cologne Spray</t>
        </is>
      </c>
      <c r="C6866" t="inlineStr">
        <is>
          <t>Eau De Cologne</t>
        </is>
      </c>
      <c r="D6866" t="inlineStr">
        <is>
          <t>Halston</t>
        </is>
      </c>
      <c r="E6866" t="n">
        <v>15.43</v>
      </c>
      <c r="F6866" t="n">
        <v>1</v>
      </c>
      <c r="G6866" t="n">
        <v>61</v>
      </c>
      <c r="H6866" s="5">
        <f>HYPERLINK("https://api.qogita.com/variants/link/0719346020480/", "View Product")</f>
        <v/>
      </c>
    </row>
    <row r="6867">
      <c r="A6867" t="inlineStr">
        <is>
          <t>0719346021814</t>
        </is>
      </c>
      <c r="B6867" t="inlineStr">
        <is>
          <t>Geoffrey Beene Beene Gray Flannel Eau De Toilette Spray 120ml</t>
        </is>
      </c>
      <c r="C6867" t="inlineStr">
        <is>
          <t>Eau De Toilette</t>
        </is>
      </c>
      <c r="D6867" t="inlineStr">
        <is>
          <t>Geoffrey Beene</t>
        </is>
      </c>
      <c r="E6867" t="n">
        <v>12.14</v>
      </c>
      <c r="F6867" t="n">
        <v>1</v>
      </c>
      <c r="G6867" t="n">
        <v>24</v>
      </c>
      <c r="H6867" s="5">
        <f>HYPERLINK("https://api.qogita.com/variants/link/0719346021814/", "View Product")</f>
        <v/>
      </c>
    </row>
    <row r="6868">
      <c r="A6868" t="inlineStr">
        <is>
          <t>0719346065382</t>
        </is>
      </c>
      <c r="B6868" t="inlineStr">
        <is>
          <t>Fantasy Edp Vaporizer 30ml</t>
        </is>
      </c>
      <c r="C6868" t="inlineStr">
        <is>
          <t>Eau De Parfum</t>
        </is>
      </c>
      <c r="D6868" t="inlineStr">
        <is>
          <t>Britney Spears</t>
        </is>
      </c>
      <c r="E6868" t="n">
        <v>8.199999999999999</v>
      </c>
      <c r="F6868" t="n">
        <v>1</v>
      </c>
      <c r="G6868" t="n">
        <v>2</v>
      </c>
      <c r="H6868" s="5">
        <f>HYPERLINK("https://api.qogita.com/variants/link/0719346065382/", "View Product")</f>
        <v/>
      </c>
    </row>
    <row r="6869">
      <c r="A6869" t="inlineStr">
        <is>
          <t>0719346065405</t>
        </is>
      </c>
      <c r="B6869" t="inlineStr">
        <is>
          <t>Britney Spears Fantasy Eau De Parfum Women's Perfume Spray Fruity</t>
        </is>
      </c>
      <c r="C6869" t="inlineStr">
        <is>
          <t>Eau De Parfum</t>
        </is>
      </c>
      <c r="D6869" t="inlineStr">
        <is>
          <t>Britney Spears</t>
        </is>
      </c>
      <c r="E6869" t="n">
        <v>14.84</v>
      </c>
      <c r="F6869" t="n">
        <v>1</v>
      </c>
      <c r="G6869" t="n">
        <v>1615</v>
      </c>
      <c r="H6869" s="5">
        <f>HYPERLINK("https://api.qogita.com/variants/link/0719346065405/", "View Product")</f>
        <v/>
      </c>
    </row>
    <row r="6870">
      <c r="A6870" t="inlineStr">
        <is>
          <t>0719346117708</t>
        </is>
      </c>
      <c r="B6870" t="inlineStr">
        <is>
          <t>Britney Spears Believe 30ml Eau de Parfum Spray for Women</t>
        </is>
      </c>
      <c r="C6870" t="inlineStr">
        <is>
          <t>Eau De Parfum</t>
        </is>
      </c>
      <c r="D6870" t="inlineStr">
        <is>
          <t>Britney Spears</t>
        </is>
      </c>
      <c r="E6870" t="n">
        <v>9.199999999999999</v>
      </c>
      <c r="F6870" t="n">
        <v>1</v>
      </c>
      <c r="G6870" t="n">
        <v>5</v>
      </c>
      <c r="H6870" s="5">
        <f>HYPERLINK("https://api.qogita.com/variants/link/0719346117708/", "View Product")</f>
        <v/>
      </c>
    </row>
    <row r="6871">
      <c r="A6871" t="inlineStr">
        <is>
          <t>0719346128070</t>
        </is>
      </c>
      <c r="B6871" t="inlineStr">
        <is>
          <t>Juicy Couture Eau De Toilette 100ml</t>
        </is>
      </c>
      <c r="C6871" t="inlineStr">
        <is>
          <t>Eau De Toilette</t>
        </is>
      </c>
      <c r="D6871" t="inlineStr">
        <is>
          <t>Juicy Couture</t>
        </is>
      </c>
      <c r="E6871" t="n">
        <v>20.89</v>
      </c>
      <c r="F6871" t="n">
        <v>1</v>
      </c>
      <c r="G6871" t="n">
        <v>20</v>
      </c>
      <c r="H6871" s="5">
        <f>HYPERLINK("https://api.qogita.com/variants/link/0719346128070/", "View Product")</f>
        <v/>
      </c>
    </row>
    <row r="6872">
      <c r="A6872" t="inlineStr">
        <is>
          <t>0719346158657</t>
        </is>
      </c>
      <c r="B6872" t="inlineStr">
        <is>
          <t>Juicy Couture Couture La La 100ml EDP</t>
        </is>
      </c>
      <c r="C6872" t="inlineStr">
        <is>
          <t>Eau De Parfum</t>
        </is>
      </c>
      <c r="D6872" t="inlineStr">
        <is>
          <t>Juicy Couture</t>
        </is>
      </c>
      <c r="E6872" t="n">
        <v>17.58</v>
      </c>
      <c r="F6872" t="n">
        <v>1</v>
      </c>
      <c r="G6872" t="n">
        <v>7</v>
      </c>
      <c r="H6872" s="5">
        <f>HYPERLINK("https://api.qogita.com/variants/link/0719346158657/", "View Product")</f>
        <v/>
      </c>
    </row>
    <row r="6873">
      <c r="A6873" t="inlineStr">
        <is>
          <t>0719346180726</t>
        </is>
      </c>
      <c r="B6873" t="inlineStr">
        <is>
          <t>Liz Claiborne Curve Black Cologne Spray for Men 4.2 Ounce</t>
        </is>
      </c>
      <c r="C6873" t="inlineStr">
        <is>
          <t>Eau De Cologne</t>
        </is>
      </c>
      <c r="D6873" t="inlineStr">
        <is>
          <t>Liz Claiborne</t>
        </is>
      </c>
      <c r="E6873" t="n">
        <v>20.79</v>
      </c>
      <c r="F6873" t="n">
        <v>1</v>
      </c>
      <c r="G6873" t="n">
        <v>3</v>
      </c>
      <c r="H6873" s="5">
        <f>HYPERLINK("https://api.qogita.com/variants/link/0719346180726/", "View Product")</f>
        <v/>
      </c>
    </row>
    <row r="6874">
      <c r="A6874" t="inlineStr">
        <is>
          <t>0719346192149</t>
        </is>
      </c>
      <c r="B6874" t="inlineStr">
        <is>
          <t>Juicy Couture I Am Juicy Couture Eau de Parfum Women 30ml</t>
        </is>
      </c>
      <c r="C6874" t="inlineStr">
        <is>
          <t>Eau De Parfum</t>
        </is>
      </c>
      <c r="D6874" t="inlineStr">
        <is>
          <t>Juicy Couture</t>
        </is>
      </c>
      <c r="E6874" t="n">
        <v>16.88</v>
      </c>
      <c r="F6874" t="n">
        <v>1</v>
      </c>
      <c r="G6874" t="n">
        <v>6</v>
      </c>
      <c r="H6874" s="5">
        <f>HYPERLINK("https://api.qogita.com/variants/link/0719346192149/", "View Product")</f>
        <v/>
      </c>
    </row>
    <row r="6875">
      <c r="A6875" t="inlineStr">
        <is>
          <t>0719346212939</t>
        </is>
      </c>
      <c r="B6875" t="inlineStr">
        <is>
          <t>Juicy Couture I Love Juicy Couture Eau de Parfum Spray 30ml</t>
        </is>
      </c>
      <c r="C6875" t="inlineStr">
        <is>
          <t>Eau De Parfum</t>
        </is>
      </c>
      <c r="D6875" t="inlineStr">
        <is>
          <t>Juicy Couture</t>
        </is>
      </c>
      <c r="E6875" t="n">
        <v>17.92</v>
      </c>
      <c r="F6875" t="n">
        <v>1</v>
      </c>
      <c r="G6875" t="n">
        <v>14</v>
      </c>
      <c r="H6875" s="5">
        <f>HYPERLINK("https://api.qogita.com/variants/link/0719346212939/", "View Product")</f>
        <v/>
      </c>
    </row>
    <row r="6876">
      <c r="A6876" t="inlineStr">
        <is>
          <t>0719346218405</t>
        </is>
      </c>
      <c r="B6876" t="inlineStr">
        <is>
          <t>Christina Aguilera Signature Eau De Parfum 50ml Floral Fruity Exotic Scent</t>
        </is>
      </c>
      <c r="C6876" t="inlineStr">
        <is>
          <t>Eau De Parfum</t>
        </is>
      </c>
      <c r="D6876" t="inlineStr">
        <is>
          <t>Christina Aguilera</t>
        </is>
      </c>
      <c r="E6876" t="n">
        <v>11.96</v>
      </c>
      <c r="F6876" t="n">
        <v>1</v>
      </c>
      <c r="G6876" t="n">
        <v>7</v>
      </c>
      <c r="H6876" s="5">
        <f>HYPERLINK("https://api.qogita.com/variants/link/0719346218405/", "View Product")</f>
        <v/>
      </c>
    </row>
    <row r="6877">
      <c r="A6877" t="inlineStr">
        <is>
          <t>0719346245708</t>
        </is>
      </c>
      <c r="B6877" t="inlineStr">
        <is>
          <t>John Varvatos Nick Jonas JVxNJ Silver Edition Eau de Toilette Spray 125ml</t>
        </is>
      </c>
      <c r="C6877" t="inlineStr">
        <is>
          <t>Eau De Toilette</t>
        </is>
      </c>
      <c r="D6877" t="inlineStr">
        <is>
          <t>John Varvatos</t>
        </is>
      </c>
      <c r="E6877" t="n">
        <v>28.71</v>
      </c>
      <c r="F6877" t="n">
        <v>1</v>
      </c>
      <c r="G6877" t="n">
        <v>3</v>
      </c>
      <c r="H6877" s="5">
        <f>HYPERLINK("https://api.qogita.com/variants/link/0719346245708/", "View Product")</f>
        <v/>
      </c>
    </row>
    <row r="6878">
      <c r="A6878" t="inlineStr">
        <is>
          <t>0719346256537</t>
        </is>
      </c>
      <c r="B6878" t="inlineStr">
        <is>
          <t>Christina Aguilera Unforgettable Eau De Parfum 75ml</t>
        </is>
      </c>
      <c r="C6878" t="inlineStr">
        <is>
          <t>Eau De Parfum</t>
        </is>
      </c>
      <c r="D6878" t="inlineStr">
        <is>
          <t>Christina Aguilera</t>
        </is>
      </c>
      <c r="E6878" t="n">
        <v>16.31</v>
      </c>
      <c r="F6878" t="n">
        <v>1</v>
      </c>
      <c r="G6878" t="n">
        <v>4</v>
      </c>
      <c r="H6878" s="5">
        <f>HYPERLINK("https://api.qogita.com/variants/link/0719346256537/", "View Product")</f>
        <v/>
      </c>
    </row>
    <row r="6879">
      <c r="A6879" t="inlineStr">
        <is>
          <t>0719346262170</t>
        </is>
      </c>
      <c r="B6879" t="inlineStr">
        <is>
          <t>Britney Spears Jungle Fantasy Eau De Toilette Spray 100ml Floral Fragrance</t>
        </is>
      </c>
      <c r="C6879" t="inlineStr">
        <is>
          <t>Eau De Toilette</t>
        </is>
      </c>
      <c r="D6879" t="inlineStr">
        <is>
          <t>Britney Spears</t>
        </is>
      </c>
      <c r="E6879" t="n">
        <v>15.01</v>
      </c>
      <c r="F6879" t="n">
        <v>1</v>
      </c>
      <c r="G6879" t="n">
        <v>14</v>
      </c>
      <c r="H6879" s="5">
        <f>HYPERLINK("https://api.qogita.com/variants/link/0719346262170/", "View Product")</f>
        <v/>
      </c>
    </row>
    <row r="6880">
      <c r="A6880" t="inlineStr">
        <is>
          <t>0719346450607</t>
        </is>
      </c>
      <c r="B6880" t="inlineStr">
        <is>
          <t>Elizabeth Taylor Diamonds &amp; Rubies Floral EDT 100ml</t>
        </is>
      </c>
      <c r="C6880" t="inlineStr">
        <is>
          <t>Eau De Toilette</t>
        </is>
      </c>
      <c r="D6880" t="inlineStr">
        <is>
          <t>Elizabeth Taylor</t>
        </is>
      </c>
      <c r="E6880" t="n">
        <v>10.25</v>
      </c>
      <c r="F6880" t="n">
        <v>1</v>
      </c>
      <c r="G6880" t="n">
        <v>24</v>
      </c>
      <c r="H6880" s="5">
        <f>HYPERLINK("https://api.qogita.com/variants/link/0719346450607/", "View Product")</f>
        <v/>
      </c>
    </row>
    <row r="6881">
      <c r="A6881" t="inlineStr">
        <is>
          <t>0719346567442</t>
        </is>
      </c>
      <c r="B6881" t="inlineStr">
        <is>
          <t>Britney Spears Circus Fantasy Eau De Parfum for Women 100ml</t>
        </is>
      </c>
      <c r="C6881" t="inlineStr">
        <is>
          <t>Eau De Parfum</t>
        </is>
      </c>
      <c r="D6881" t="inlineStr">
        <is>
          <t>Britney Spears</t>
        </is>
      </c>
      <c r="E6881" t="n">
        <v>12.34</v>
      </c>
      <c r="F6881" t="n">
        <v>1</v>
      </c>
      <c r="G6881" t="n">
        <v>22</v>
      </c>
      <c r="H6881" s="5">
        <f>HYPERLINK("https://api.qogita.com/variants/link/0719346567442/", "View Product")</f>
        <v/>
      </c>
    </row>
    <row r="6882">
      <c r="A6882" t="inlineStr">
        <is>
          <t>0719346628389</t>
        </is>
      </c>
      <c r="B6882" t="inlineStr">
        <is>
          <t>Juicy Couture Viva La Juicy Rosé Eau de Parfum Spray 30ml Fruity</t>
        </is>
      </c>
      <c r="C6882" t="inlineStr">
        <is>
          <t>Eau De Parfum</t>
        </is>
      </c>
      <c r="D6882" t="inlineStr">
        <is>
          <t>Juicy Couture</t>
        </is>
      </c>
      <c r="E6882" t="n">
        <v>21.94</v>
      </c>
      <c r="F6882" t="n">
        <v>1</v>
      </c>
      <c r="G6882" t="n">
        <v>5</v>
      </c>
      <c r="H6882" s="5">
        <f>HYPERLINK("https://api.qogita.com/variants/link/0719346628389/", "View Product")</f>
        <v/>
      </c>
    </row>
    <row r="6883">
      <c r="A6883" t="inlineStr">
        <is>
          <t>0719346635035</t>
        </is>
      </c>
      <c r="B6883" t="inlineStr">
        <is>
          <t>Britney Spears Midnight Fantasy Fine Fragrance Mist Oriental 236ml</t>
        </is>
      </c>
      <c r="C6883" t="inlineStr">
        <is>
          <t>Eau De Toilette</t>
        </is>
      </c>
      <c r="D6883" t="inlineStr">
        <is>
          <t>Britney Spears</t>
        </is>
      </c>
      <c r="E6883" t="n">
        <v>6.08</v>
      </c>
      <c r="F6883" t="n">
        <v>1</v>
      </c>
      <c r="G6883" t="n">
        <v>20</v>
      </c>
      <c r="H6883" s="5">
        <f>HYPERLINK("https://api.qogita.com/variants/link/0719346635035/", "View Product")</f>
        <v/>
      </c>
    </row>
    <row r="6884">
      <c r="A6884" t="inlineStr">
        <is>
          <t>0719346639323</t>
        </is>
      </c>
      <c r="B6884" t="inlineStr">
        <is>
          <t>Juicy Couture Peace Love EDP Spray 100ml</t>
        </is>
      </c>
      <c r="C6884" t="inlineStr">
        <is>
          <t>Eau De Parfum</t>
        </is>
      </c>
      <c r="D6884" t="inlineStr">
        <is>
          <t>Juicy Couture</t>
        </is>
      </c>
      <c r="E6884" t="n">
        <v>23.35</v>
      </c>
      <c r="F6884" t="n">
        <v>1</v>
      </c>
      <c r="G6884" t="n">
        <v>26</v>
      </c>
      <c r="H6884" s="5">
        <f>HYPERLINK("https://api.qogita.com/variants/link/0719346639323/", "View Product")</f>
        <v/>
      </c>
    </row>
    <row r="6885">
      <c r="A6885" t="inlineStr">
        <is>
          <t>0719346654517</t>
        </is>
      </c>
      <c r="B6885" t="inlineStr">
        <is>
          <t>John Varvatos XX Artisan Eau de Toilette Spray 125ml for Men</t>
        </is>
      </c>
      <c r="C6885" t="inlineStr">
        <is>
          <t>Eau De Toilette</t>
        </is>
      </c>
      <c r="D6885" t="inlineStr">
        <is>
          <t>John Varvatos</t>
        </is>
      </c>
      <c r="E6885" t="n">
        <v>29.56</v>
      </c>
      <c r="F6885" t="n">
        <v>1</v>
      </c>
      <c r="G6885" t="n">
        <v>16</v>
      </c>
      <c r="H6885" s="5">
        <f>HYPERLINK("https://api.qogita.com/variants/link/0719346654517/", "View Product")</f>
        <v/>
      </c>
    </row>
    <row r="6886">
      <c r="A6886" t="inlineStr">
        <is>
          <t>0719346700795</t>
        </is>
      </c>
      <c r="B6886" t="inlineStr">
        <is>
          <t>John Varvatos XX Indigo 125ml EDT Spray</t>
        </is>
      </c>
      <c r="C6886" t="inlineStr">
        <is>
          <t>Eau De Toilette</t>
        </is>
      </c>
      <c r="D6886" t="inlineStr">
        <is>
          <t>John Varvatos</t>
        </is>
      </c>
      <c r="E6886" t="n">
        <v>27.79</v>
      </c>
      <c r="F6886" t="n">
        <v>1</v>
      </c>
      <c r="G6886" t="n">
        <v>3</v>
      </c>
      <c r="H6886" s="5">
        <f>HYPERLINK("https://api.qogita.com/variants/link/0719346700795/", "View Product")</f>
        <v/>
      </c>
    </row>
    <row r="6887">
      <c r="A6887" t="inlineStr">
        <is>
          <t>0719346700801</t>
        </is>
      </c>
      <c r="B6887" t="inlineStr">
        <is>
          <t>John Varvatos XX Indigo Eau De Toilette 75ml</t>
        </is>
      </c>
      <c r="C6887" t="inlineStr">
        <is>
          <t>Eau De Toilette</t>
        </is>
      </c>
      <c r="D6887" t="inlineStr">
        <is>
          <t>John Varvatos</t>
        </is>
      </c>
      <c r="E6887" t="n">
        <v>23.63</v>
      </c>
      <c r="F6887" t="n">
        <v>1</v>
      </c>
      <c r="G6887" t="n">
        <v>7</v>
      </c>
      <c r="H6887" s="5">
        <f>HYPERLINK("https://api.qogita.com/variants/link/0719346700801/", "View Product")</f>
        <v/>
      </c>
    </row>
    <row r="6888">
      <c r="A6888" t="inlineStr">
        <is>
          <t>0719346701648</t>
        </is>
      </c>
      <c r="B6888" t="inlineStr">
        <is>
          <t>Giorgio Beverly Hills G Eau De Parfum 90ml</t>
        </is>
      </c>
      <c r="C6888" t="inlineStr">
        <is>
          <t>Eau De Parfum</t>
        </is>
      </c>
      <c r="D6888" t="inlineStr">
        <is>
          <t>Giorgio Beverly Hills</t>
        </is>
      </c>
      <c r="E6888" t="n">
        <v>12.08</v>
      </c>
      <c r="F6888" t="n">
        <v>1</v>
      </c>
      <c r="G6888" t="n">
        <v>22</v>
      </c>
      <c r="H6888" s="5">
        <f>HYPERLINK("https://api.qogita.com/variants/link/0719346701648/", "View Product")</f>
        <v/>
      </c>
    </row>
    <row r="6889">
      <c r="A6889" t="inlineStr">
        <is>
          <t>0724120147062</t>
        </is>
      </c>
      <c r="B6889" t="inlineStr">
        <is>
          <t>Thameen Riviere Extrait De Parfum - 100ml</t>
        </is>
      </c>
      <c r="C6889" t="inlineStr">
        <is>
          <t>Extrait De Parfum</t>
        </is>
      </c>
      <c r="D6889" t="inlineStr">
        <is>
          <t>Thameen</t>
        </is>
      </c>
      <c r="E6889" t="n">
        <v>147.33</v>
      </c>
      <c r="F6889" t="n">
        <v>1</v>
      </c>
      <c r="G6889" t="n">
        <v>5</v>
      </c>
      <c r="H6889" s="5">
        <f>HYPERLINK("https://api.qogita.com/variants/link/0724120147062/", "View Product")</f>
        <v/>
      </c>
    </row>
    <row r="6890">
      <c r="A6890" t="inlineStr">
        <is>
          <t>0730870263112</t>
        </is>
      </c>
      <c r="B6890" t="inlineStr">
        <is>
          <t>Escada Sentiment Eau De Toilette 75ml Spray For Her</t>
        </is>
      </c>
      <c r="C6890" t="inlineStr">
        <is>
          <t>Eau De Toilette</t>
        </is>
      </c>
      <c r="D6890" t="inlineStr">
        <is>
          <t>Escada</t>
        </is>
      </c>
      <c r="E6890" t="n">
        <v>30.75</v>
      </c>
      <c r="F6890" t="n">
        <v>1</v>
      </c>
      <c r="G6890" t="n">
        <v>25</v>
      </c>
      <c r="H6890" s="5">
        <f>HYPERLINK("https://api.qogita.com/variants/link/0730870263112/", "View Product")</f>
        <v/>
      </c>
    </row>
    <row r="6891">
      <c r="A6891" t="inlineStr">
        <is>
          <t>0731509213591</t>
        </is>
      </c>
      <c r="B6891" t="inlineStr">
        <is>
          <t>Kiss Super Stick 5-Day Extended Wear Strip Lash Adhesive - 4.8 G Black</t>
        </is>
      </c>
      <c r="C6891" t="inlineStr">
        <is>
          <t>False Eyelashes</t>
        </is>
      </c>
      <c r="D6891" t="inlineStr">
        <is>
          <t>Kiss</t>
        </is>
      </c>
      <c r="E6891" t="n">
        <v>7.42</v>
      </c>
      <c r="F6891" t="n">
        <v>1</v>
      </c>
      <c r="G6891" t="n">
        <v>43</v>
      </c>
      <c r="H6891" s="5">
        <f>HYPERLINK("https://api.qogita.com/variants/link/0731509213591/", "View Product")</f>
        <v/>
      </c>
    </row>
    <row r="6892">
      <c r="A6892" t="inlineStr">
        <is>
          <t>0731509556162</t>
        </is>
      </c>
      <c r="B6892" t="inlineStr">
        <is>
          <t>KISS Strip Lash Adhesive with Aloe Clear</t>
        </is>
      </c>
      <c r="C6892" t="inlineStr">
        <is>
          <t>False Eyelashes</t>
        </is>
      </c>
      <c r="D6892" t="inlineStr">
        <is>
          <t>Kiss</t>
        </is>
      </c>
      <c r="E6892" t="n">
        <v>5.35</v>
      </c>
      <c r="F6892" t="n">
        <v>1</v>
      </c>
      <c r="G6892" t="n">
        <v>41</v>
      </c>
      <c r="H6892" s="5">
        <f>HYPERLINK("https://api.qogita.com/variants/link/0731509556162/", "View Product")</f>
        <v/>
      </c>
    </row>
    <row r="6893">
      <c r="A6893" t="inlineStr">
        <is>
          <t>0731509606638</t>
        </is>
      </c>
      <c r="B6893" t="inlineStr">
        <is>
          <t>KISS Gel Fantasy Collection Glue-On Manicure Kit Fanciful Medium Length Square Fake Nails 24 Count</t>
        </is>
      </c>
      <c r="C6893" t="inlineStr">
        <is>
          <t>Artificial Nails &amp; Nail Decoration</t>
        </is>
      </c>
      <c r="D6893" t="inlineStr">
        <is>
          <t>Kiss</t>
        </is>
      </c>
      <c r="E6893" t="n">
        <v>8.56</v>
      </c>
      <c r="F6893" t="n">
        <v>1</v>
      </c>
      <c r="G6893" t="n">
        <v>5</v>
      </c>
      <c r="H6893" s="5">
        <f>HYPERLINK("https://api.qogita.com/variants/link/0731509606638/", "View Product")</f>
        <v/>
      </c>
    </row>
    <row r="6894">
      <c r="A6894" t="inlineStr">
        <is>
          <t>0731509606744</t>
        </is>
      </c>
      <c r="B6894" t="inlineStr">
        <is>
          <t>KISS Gel Fantasy Nails Ribbons Pink</t>
        </is>
      </c>
      <c r="C6894" t="inlineStr">
        <is>
          <t>Artificial Nails &amp; Nail Decoration</t>
        </is>
      </c>
      <c r="D6894" t="inlineStr">
        <is>
          <t>Kiss</t>
        </is>
      </c>
      <c r="E6894" t="n">
        <v>8.75</v>
      </c>
      <c r="F6894" t="n">
        <v>1</v>
      </c>
      <c r="G6894" t="n">
        <v>23</v>
      </c>
      <c r="H6894" s="5">
        <f>HYPERLINK("https://api.qogita.com/variants/link/0731509606744/", "View Product")</f>
        <v/>
      </c>
    </row>
    <row r="6895">
      <c r="A6895" t="inlineStr">
        <is>
          <t>0731509642681</t>
        </is>
      </c>
      <c r="B6895" t="inlineStr">
        <is>
          <t>KISS Salon Acrylic French Nude Collection Cashmere Medium Length Fake Nails 28 Count</t>
        </is>
      </c>
      <c r="C6895" t="inlineStr">
        <is>
          <t>Artificial Nails &amp; Nail Decoration</t>
        </is>
      </c>
      <c r="D6895" t="inlineStr">
        <is>
          <t>Kiss</t>
        </is>
      </c>
      <c r="E6895" t="n">
        <v>8.75</v>
      </c>
      <c r="F6895" t="n">
        <v>1</v>
      </c>
      <c r="G6895" t="n">
        <v>23</v>
      </c>
      <c r="H6895" s="5">
        <f>HYPERLINK("https://api.qogita.com/variants/link/0731509642681/", "View Product")</f>
        <v/>
      </c>
    </row>
    <row r="6896">
      <c r="A6896" t="inlineStr">
        <is>
          <t>0731509659207</t>
        </is>
      </c>
      <c r="B6896" t="inlineStr">
        <is>
          <t>KISS Blooming Lash Fake Eyelashes Style 'Lily' with Tapered End Technology and Multi-Angle Technology</t>
        </is>
      </c>
      <c r="C6896" t="inlineStr">
        <is>
          <t>False Eyelashes</t>
        </is>
      </c>
      <c r="D6896" t="inlineStr">
        <is>
          <t>Kiss</t>
        </is>
      </c>
      <c r="E6896" t="n">
        <v>7.17</v>
      </c>
      <c r="F6896" t="n">
        <v>1</v>
      </c>
      <c r="G6896" t="n">
        <v>21</v>
      </c>
      <c r="H6896" s="5">
        <f>HYPERLINK("https://api.qogita.com/variants/link/0731509659207/", "View Product")</f>
        <v/>
      </c>
    </row>
    <row r="6897">
      <c r="A6897" t="inlineStr">
        <is>
          <t>0731509659917</t>
        </is>
      </c>
      <c r="B6897" t="inlineStr">
        <is>
          <t>Kiss Nail Glue with Brush 5g Transparent</t>
        </is>
      </c>
      <c r="C6897" t="inlineStr">
        <is>
          <t>Artificial Nails &amp; Nail Decoration</t>
        </is>
      </c>
      <c r="D6897" t="inlineStr">
        <is>
          <t>Kiss</t>
        </is>
      </c>
      <c r="E6897" t="n">
        <v>4.66</v>
      </c>
      <c r="F6897" t="n">
        <v>1</v>
      </c>
      <c r="G6897" t="n">
        <v>17</v>
      </c>
      <c r="H6897" s="5">
        <f>HYPERLINK("https://api.qogita.com/variants/link/0731509659917/", "View Product")</f>
        <v/>
      </c>
    </row>
    <row r="6898">
      <c r="A6898" t="inlineStr">
        <is>
          <t>0731509659948</t>
        </is>
      </c>
      <c r="B6898" t="inlineStr">
        <is>
          <t>Kiss Nail Glue with Dosing Syringe 3g Transparent</t>
        </is>
      </c>
      <c r="C6898" t="inlineStr">
        <is>
          <t>Artificial Nails &amp; Nail Decoration</t>
        </is>
      </c>
      <c r="D6898" t="inlineStr">
        <is>
          <t>Kiss</t>
        </is>
      </c>
      <c r="E6898" t="n">
        <v>3.98</v>
      </c>
      <c r="F6898" t="n">
        <v>1</v>
      </c>
      <c r="G6898" t="n">
        <v>9</v>
      </c>
      <c r="H6898" s="5">
        <f>HYPERLINK("https://api.qogita.com/variants/link/0731509659948/", "View Product")</f>
        <v/>
      </c>
    </row>
    <row r="6899">
      <c r="A6899" t="inlineStr">
        <is>
          <t>0731509659962</t>
        </is>
      </c>
      <c r="B6899" t="inlineStr">
        <is>
          <t>Kiss Salon Flexi-Fit Patented Technology Self-Adhesive Nails 28 Pieces - NEW OVP</t>
        </is>
      </c>
      <c r="C6899" t="inlineStr">
        <is>
          <t>Artificial Nails &amp; Nail Decoration</t>
        </is>
      </c>
      <c r="D6899" t="inlineStr">
        <is>
          <t>Kiss</t>
        </is>
      </c>
      <c r="E6899" t="n">
        <v>6.24</v>
      </c>
      <c r="F6899" t="n">
        <v>1</v>
      </c>
      <c r="G6899" t="n">
        <v>19</v>
      </c>
      <c r="H6899" s="5">
        <f>HYPERLINK("https://api.qogita.com/variants/link/0731509659962/", "View Product")</f>
        <v/>
      </c>
    </row>
    <row r="6900">
      <c r="A6900" t="inlineStr">
        <is>
          <t>0731509690965</t>
        </is>
      </c>
      <c r="B6900" t="inlineStr">
        <is>
          <t>KISS Quick Soak-Off Removal System for Fake Nails and Nail Polish with 10 Reusable Caps and 20 Disposable Foam Pads and Manicure Stick</t>
        </is>
      </c>
      <c r="C6900" t="inlineStr">
        <is>
          <t>Manicure Sets</t>
        </is>
      </c>
      <c r="D6900" t="inlineStr">
        <is>
          <t>Kiss</t>
        </is>
      </c>
      <c r="E6900" t="n">
        <v>7.68</v>
      </c>
      <c r="F6900" t="n">
        <v>1</v>
      </c>
      <c r="G6900" t="n">
        <v>5</v>
      </c>
      <c r="H6900" s="5">
        <f>HYPERLINK("https://api.qogita.com/variants/link/0731509690965/", "View Product")</f>
        <v/>
      </c>
    </row>
    <row r="6901">
      <c r="A6901" t="inlineStr">
        <is>
          <t>0731509798449</t>
        </is>
      </c>
      <c r="B6901" t="inlineStr">
        <is>
          <t>KISS Falscara DIY Eyelash Extension Bond and Seal Infused with Biotin and Vitamin E - White</t>
        </is>
      </c>
      <c r="C6901" t="inlineStr">
        <is>
          <t>False Eyelashes</t>
        </is>
      </c>
      <c r="D6901" t="inlineStr">
        <is>
          <t>Kiss</t>
        </is>
      </c>
      <c r="E6901" t="n">
        <v>12.83</v>
      </c>
      <c r="F6901" t="n">
        <v>1</v>
      </c>
      <c r="G6901" t="n">
        <v>2</v>
      </c>
      <c r="H6901" s="5">
        <f>HYPERLINK("https://api.qogita.com/variants/link/0731509798449/", "View Product")</f>
        <v/>
      </c>
    </row>
    <row r="6902">
      <c r="A6902" t="inlineStr">
        <is>
          <t>0731509798456</t>
        </is>
      </c>
      <c r="B6902" t="inlineStr">
        <is>
          <t>KISS Falscara Eyelash Remover</t>
        </is>
      </c>
      <c r="C6902" t="inlineStr">
        <is>
          <t>Eye Makeup Remover</t>
        </is>
      </c>
      <c r="D6902" t="inlineStr">
        <is>
          <t>Kiss</t>
        </is>
      </c>
      <c r="E6902" t="n">
        <v>7.93</v>
      </c>
      <c r="F6902" t="n">
        <v>1</v>
      </c>
      <c r="G6902" t="n">
        <v>26</v>
      </c>
      <c r="H6902" s="5">
        <f>HYPERLINK("https://api.qogita.com/variants/link/0731509798456/", "View Product")</f>
        <v/>
      </c>
    </row>
    <row r="6903">
      <c r="A6903" t="inlineStr">
        <is>
          <t>0731509798531</t>
        </is>
      </c>
      <c r="B6903" t="inlineStr">
        <is>
          <t>KISS Lash Couture LuXtensions Collection 3D DIY Faux Lash Extensions Kit with Lash Clusters, Adhesive, Precision Tweezer, Spoolie Mascara Wand, and Remover</t>
        </is>
      </c>
      <c r="C6903" t="inlineStr">
        <is>
          <t>False Eyelashes</t>
        </is>
      </c>
      <c r="D6903" t="inlineStr">
        <is>
          <t>Kiss</t>
        </is>
      </c>
      <c r="E6903" t="n">
        <v>15.72</v>
      </c>
      <c r="F6903" t="n">
        <v>1</v>
      </c>
      <c r="G6903" t="n">
        <v>22</v>
      </c>
      <c r="H6903" s="5">
        <f>HYPERLINK("https://api.qogita.com/variants/link/0731509798531/", "View Product")</f>
        <v/>
      </c>
    </row>
    <row r="6904">
      <c r="A6904" t="inlineStr">
        <is>
          <t>0731509806083</t>
        </is>
      </c>
      <c r="B6904" t="inlineStr">
        <is>
          <t>KISS Magnetic Lash Collection Magnetic Eyeliner Black Smudge Proof Biotin Infused with Precision Tip Brush</t>
        </is>
      </c>
      <c r="C6904" t="inlineStr">
        <is>
          <t>Eyeliner</t>
        </is>
      </c>
      <c r="D6904" t="inlineStr">
        <is>
          <t>Kiss</t>
        </is>
      </c>
      <c r="E6904" t="n">
        <v>8.720000000000001</v>
      </c>
      <c r="F6904" t="n">
        <v>1</v>
      </c>
      <c r="G6904" t="n">
        <v>9</v>
      </c>
      <c r="H6904" s="5">
        <f>HYPERLINK("https://api.qogita.com/variants/link/0731509806083/", "View Product")</f>
        <v/>
      </c>
    </row>
    <row r="6905">
      <c r="A6905" t="inlineStr">
        <is>
          <t>0731509815078</t>
        </is>
      </c>
      <c r="B6905" t="inlineStr">
        <is>
          <t>Nail file with a grain size of 100/180</t>
        </is>
      </c>
      <c r="C6905" t="inlineStr">
        <is>
          <t>Nail Clippers &amp; Tools</t>
        </is>
      </c>
      <c r="D6905" t="inlineStr">
        <is>
          <t>Kiss</t>
        </is>
      </c>
      <c r="E6905" t="n">
        <v>3.78</v>
      </c>
      <c r="F6905" t="n">
        <v>1</v>
      </c>
      <c r="G6905" t="n">
        <v>5</v>
      </c>
      <c r="H6905" s="5">
        <f>HYPERLINK("https://api.qogita.com/variants/link/0731509815078/", "View Product")</f>
        <v/>
      </c>
    </row>
    <row r="6906">
      <c r="A6906" t="inlineStr">
        <is>
          <t>0731509835939</t>
        </is>
      </c>
      <c r="B6906" t="inlineStr">
        <is>
          <t>KISS Voguish Fantasy Chillout Long Length Gel Nail Kit with Adhesive Tabs, Glue, Manicure Stick, and Mini File - 28 Nails</t>
        </is>
      </c>
      <c r="C6906" t="inlineStr">
        <is>
          <t>Artificial Nails &amp; Nail Decoration</t>
        </is>
      </c>
      <c r="D6906" t="inlineStr">
        <is>
          <t>Kiss</t>
        </is>
      </c>
      <c r="E6906" t="n">
        <v>9.18</v>
      </c>
      <c r="F6906" t="n">
        <v>1</v>
      </c>
      <c r="G6906" t="n">
        <v>4</v>
      </c>
      <c r="H6906" s="5">
        <f>HYPERLINK("https://api.qogita.com/variants/link/0731509835939/", "View Product")</f>
        <v/>
      </c>
    </row>
    <row r="6907">
      <c r="A6907" t="inlineStr">
        <is>
          <t>0731509836523</t>
        </is>
      </c>
      <c r="B6907" t="inlineStr">
        <is>
          <t>KISS Impress Nails Before Sunset</t>
        </is>
      </c>
      <c r="C6907" t="inlineStr">
        <is>
          <t>Artificial Nails &amp; Nail Decoration</t>
        </is>
      </c>
      <c r="D6907" t="inlineStr">
        <is>
          <t>Kiss</t>
        </is>
      </c>
      <c r="E6907" t="n">
        <v>8.279999999999999</v>
      </c>
      <c r="F6907" t="n">
        <v>1</v>
      </c>
      <c r="G6907" t="n">
        <v>11</v>
      </c>
      <c r="H6907" s="5">
        <f>HYPERLINK("https://api.qogita.com/variants/link/0731509836523/", "View Product")</f>
        <v/>
      </c>
    </row>
    <row r="6908">
      <c r="A6908" t="inlineStr">
        <is>
          <t>0731509836554</t>
        </is>
      </c>
      <c r="B6908" t="inlineStr">
        <is>
          <t>KISS Impress Nails Midnight Drive</t>
        </is>
      </c>
      <c r="C6908" t="inlineStr">
        <is>
          <t>Artificial Nails &amp; Nail Decoration</t>
        </is>
      </c>
      <c r="D6908" t="inlineStr">
        <is>
          <t>Kiss</t>
        </is>
      </c>
      <c r="E6908" t="n">
        <v>8.279999999999999</v>
      </c>
      <c r="F6908" t="n">
        <v>1</v>
      </c>
      <c r="G6908" t="n">
        <v>6</v>
      </c>
      <c r="H6908" s="5">
        <f>HYPERLINK("https://api.qogita.com/variants/link/0731509836554/", "View Product")</f>
        <v/>
      </c>
    </row>
    <row r="6909">
      <c r="A6909" t="inlineStr">
        <is>
          <t>0731509837421</t>
        </is>
      </c>
      <c r="B6909" t="inlineStr">
        <is>
          <t>KISS imPRESS Color Gel Nail Kit Pretty Pink with PureFit Technology - Includes Prep Pad Mini File Cuticle Stick and 30 Fake Nails</t>
        </is>
      </c>
      <c r="C6909" t="inlineStr">
        <is>
          <t>Artificial Nails &amp; Nail Decoration</t>
        </is>
      </c>
      <c r="D6909" t="inlineStr">
        <is>
          <t>Kiss</t>
        </is>
      </c>
      <c r="E6909" t="n">
        <v>8.460000000000001</v>
      </c>
      <c r="F6909" t="n">
        <v>1</v>
      </c>
      <c r="G6909" t="n">
        <v>14</v>
      </c>
      <c r="H6909" s="5">
        <f>HYPERLINK("https://api.qogita.com/variants/link/0731509837421/", "View Product")</f>
        <v/>
      </c>
    </row>
    <row r="6910">
      <c r="A6910" t="inlineStr">
        <is>
          <t>0731509837506</t>
        </is>
      </c>
      <c r="B6910" t="inlineStr">
        <is>
          <t>KISS Impress Color Platonic Pink</t>
        </is>
      </c>
      <c r="C6910" t="inlineStr">
        <is>
          <t>Artificial Nails &amp; Nail Decoration</t>
        </is>
      </c>
      <c r="D6910" t="inlineStr">
        <is>
          <t>Kiss</t>
        </is>
      </c>
      <c r="E6910" t="n">
        <v>8.460000000000001</v>
      </c>
      <c r="F6910" t="n">
        <v>1</v>
      </c>
      <c r="G6910" t="n">
        <v>24</v>
      </c>
      <c r="H6910" s="5">
        <f>HYPERLINK("https://api.qogita.com/variants/link/0731509837506/", "View Product")</f>
        <v/>
      </c>
    </row>
    <row r="6911">
      <c r="A6911" t="inlineStr">
        <is>
          <t>0731509837568</t>
        </is>
      </c>
      <c r="B6911" t="inlineStr">
        <is>
          <t>KISS Impress Color Grey Press-On Nails</t>
        </is>
      </c>
      <c r="C6911" t="inlineStr">
        <is>
          <t>Artificial Nails &amp; Nail Decoration</t>
        </is>
      </c>
      <c r="D6911" t="inlineStr">
        <is>
          <t>Kiss</t>
        </is>
      </c>
      <c r="E6911" t="n">
        <v>8.460000000000001</v>
      </c>
      <c r="F6911" t="n">
        <v>1</v>
      </c>
      <c r="G6911" t="n">
        <v>10</v>
      </c>
      <c r="H6911" s="5">
        <f>HYPERLINK("https://api.qogita.com/variants/link/0731509837568/", "View Product")</f>
        <v/>
      </c>
    </row>
    <row r="6912">
      <c r="A6912" t="inlineStr">
        <is>
          <t>0731509837735</t>
        </is>
      </c>
      <c r="B6912" t="inlineStr">
        <is>
          <t>KISS imPRESS Press-On Manicure Rain Check Short Length Square with PureFit Technology - 30 Fake Nails</t>
        </is>
      </c>
      <c r="C6912" t="inlineStr">
        <is>
          <t>Artificial Nails &amp; Nail Decoration</t>
        </is>
      </c>
      <c r="D6912" t="inlineStr">
        <is>
          <t>Kiss</t>
        </is>
      </c>
      <c r="E6912" t="n">
        <v>8.460000000000001</v>
      </c>
      <c r="F6912" t="n">
        <v>1</v>
      </c>
      <c r="G6912" t="n">
        <v>6</v>
      </c>
      <c r="H6912" s="5">
        <f>HYPERLINK("https://api.qogita.com/variants/link/0731509837735/", "View Product")</f>
        <v/>
      </c>
    </row>
    <row r="6913">
      <c r="A6913" t="inlineStr">
        <is>
          <t>0731509837872</t>
        </is>
      </c>
      <c r="B6913" t="inlineStr">
        <is>
          <t>imPRESS Press-on Manicure Dew Drop</t>
        </is>
      </c>
      <c r="C6913" t="inlineStr">
        <is>
          <t>Artificial Nails &amp; Nail Decoration</t>
        </is>
      </c>
      <c r="D6913" t="inlineStr">
        <is>
          <t>Kiss</t>
        </is>
      </c>
      <c r="E6913" t="n">
        <v>8.279999999999999</v>
      </c>
      <c r="F6913" t="n">
        <v>1</v>
      </c>
      <c r="G6913" t="n">
        <v>8</v>
      </c>
      <c r="H6913" s="5">
        <f>HYPERLINK("https://api.qogita.com/variants/link/0731509837872/", "View Product")</f>
        <v/>
      </c>
    </row>
    <row r="6914">
      <c r="A6914" t="inlineStr">
        <is>
          <t>0731509838336</t>
        </is>
      </c>
      <c r="B6914" t="inlineStr">
        <is>
          <t>Kiss Falscara Wisps Multipack 01</t>
        </is>
      </c>
      <c r="C6914" t="inlineStr">
        <is>
          <t>False Eyelashes</t>
        </is>
      </c>
      <c r="D6914" t="inlineStr">
        <is>
          <t>Kiss</t>
        </is>
      </c>
      <c r="E6914" t="n">
        <v>9.640000000000001</v>
      </c>
      <c r="F6914" t="n">
        <v>1</v>
      </c>
      <c r="G6914" t="n">
        <v>11</v>
      </c>
      <c r="H6914" s="5">
        <f>HYPERLINK("https://api.qogita.com/variants/link/0731509838336/", "View Product")</f>
        <v/>
      </c>
    </row>
    <row r="6915">
      <c r="A6915" t="inlineStr">
        <is>
          <t>0731509856927</t>
        </is>
      </c>
      <c r="B6915" t="inlineStr">
        <is>
          <t>KISS Gel Fantasy 28 Set Long Ready to Wear Nails Dreams - Glue-On Nails</t>
        </is>
      </c>
      <c r="C6915" t="inlineStr">
        <is>
          <t>Artificial Nails &amp; Nail Decoration</t>
        </is>
      </c>
      <c r="D6915" t="inlineStr">
        <is>
          <t>Kiss</t>
        </is>
      </c>
      <c r="E6915" t="n">
        <v>9.01</v>
      </c>
      <c r="F6915" t="n">
        <v>1</v>
      </c>
      <c r="G6915" t="n">
        <v>14</v>
      </c>
      <c r="H6915" s="5">
        <f>HYPERLINK("https://api.qogita.com/variants/link/0731509856927/", "View Product")</f>
        <v/>
      </c>
    </row>
    <row r="6916">
      <c r="A6916" t="inlineStr">
        <is>
          <t>0731509865851</t>
        </is>
      </c>
      <c r="B6916" t="inlineStr">
        <is>
          <t>Kiss Classy Premium X-Long Length Nails 30 Count</t>
        </is>
      </c>
      <c r="C6916" t="inlineStr">
        <is>
          <t>Artificial Nails &amp; Nail Decoration</t>
        </is>
      </c>
      <c r="D6916" t="inlineStr">
        <is>
          <t>Kiss</t>
        </is>
      </c>
      <c r="E6916" t="n">
        <v>11.85</v>
      </c>
      <c r="F6916" t="n">
        <v>1</v>
      </c>
      <c r="G6916" t="n">
        <v>25</v>
      </c>
      <c r="H6916" s="5">
        <f>HYPERLINK("https://api.qogita.com/variants/link/0731509865851/", "View Product")</f>
        <v/>
      </c>
    </row>
    <row r="6917">
      <c r="A6917" t="inlineStr">
        <is>
          <t>0731509867350</t>
        </is>
      </c>
      <c r="B6917" t="inlineStr">
        <is>
          <t>KISS imPRESS Color Press-On Nails Polish-Free Manicure Set Serendipity 30 Fake Nails</t>
        </is>
      </c>
      <c r="C6917" t="inlineStr">
        <is>
          <t>Artificial Nails &amp; Nail Decoration</t>
        </is>
      </c>
      <c r="D6917" t="inlineStr">
        <is>
          <t>Impress</t>
        </is>
      </c>
      <c r="E6917" t="n">
        <v>8.460000000000001</v>
      </c>
      <c r="F6917" t="n">
        <v>1</v>
      </c>
      <c r="G6917" t="n">
        <v>9</v>
      </c>
      <c r="H6917" s="5">
        <f>HYPERLINK("https://api.qogita.com/variants/link/0731509867350/", "View Product")</f>
        <v/>
      </c>
    </row>
    <row r="6918">
      <c r="A6918" t="inlineStr">
        <is>
          <t>0731509867367</t>
        </is>
      </c>
      <c r="B6918" t="inlineStr">
        <is>
          <t>Kiss ImPress Press-On Manicure Color Nails Coffin Shape Pink Dream</t>
        </is>
      </c>
      <c r="C6918" t="inlineStr">
        <is>
          <t>Artificial Nails &amp; Nail Decoration</t>
        </is>
      </c>
      <c r="D6918" t="inlineStr">
        <is>
          <t>Impress</t>
        </is>
      </c>
      <c r="E6918" t="n">
        <v>8.460000000000001</v>
      </c>
      <c r="F6918" t="n">
        <v>1</v>
      </c>
      <c r="G6918" t="n">
        <v>12</v>
      </c>
      <c r="H6918" s="5">
        <f>HYPERLINK("https://api.qogita.com/variants/link/0731509867367/", "View Product")</f>
        <v/>
      </c>
    </row>
    <row r="6919">
      <c r="A6919" t="inlineStr">
        <is>
          <t>0731509867404</t>
        </is>
      </c>
      <c r="B6919" t="inlineStr">
        <is>
          <t>Kiss ImPress Press-On Manicure Color Nails Pure Fit - Multiple Colors Available</t>
        </is>
      </c>
      <c r="C6919" t="inlineStr">
        <is>
          <t>Artificial Nails &amp; Nail Decoration</t>
        </is>
      </c>
      <c r="D6919" t="inlineStr">
        <is>
          <t>Kiss</t>
        </is>
      </c>
      <c r="E6919" t="n">
        <v>8.460000000000001</v>
      </c>
      <c r="F6919" t="n">
        <v>1</v>
      </c>
      <c r="G6919" t="n">
        <v>7</v>
      </c>
      <c r="H6919" s="5">
        <f>HYPERLINK("https://api.qogita.com/variants/link/0731509867404/", "View Product")</f>
        <v/>
      </c>
    </row>
    <row r="6920">
      <c r="A6920" t="inlineStr">
        <is>
          <t>0731509867411</t>
        </is>
      </c>
      <c r="B6920" t="inlineStr">
        <is>
          <t>Kiss imPress Pure Fit Nails</t>
        </is>
      </c>
      <c r="C6920" t="inlineStr">
        <is>
          <t>Artificial Nails &amp; Nail Decoration</t>
        </is>
      </c>
      <c r="D6920" t="inlineStr">
        <is>
          <t>Kiss</t>
        </is>
      </c>
      <c r="E6920" t="n">
        <v>8.460000000000001</v>
      </c>
      <c r="F6920" t="n">
        <v>1</v>
      </c>
      <c r="G6920" t="n">
        <v>7</v>
      </c>
      <c r="H6920" s="5">
        <f>HYPERLINK("https://api.qogita.com/variants/link/0731509867411/", "View Product")</f>
        <v/>
      </c>
    </row>
    <row r="6921">
      <c r="A6921" t="inlineStr">
        <is>
          <t>0731509867640</t>
        </is>
      </c>
      <c r="B6921" t="inlineStr">
        <is>
          <t>Kiss ImPress Press-On Manicure Short Length Nails Lavender Whisper</t>
        </is>
      </c>
      <c r="C6921" t="inlineStr">
        <is>
          <t>Artificial Nails &amp; Nail Decoration</t>
        </is>
      </c>
      <c r="D6921" t="inlineStr">
        <is>
          <t>Kiss</t>
        </is>
      </c>
      <c r="E6921" t="n">
        <v>8.460000000000001</v>
      </c>
      <c r="F6921" t="n">
        <v>1</v>
      </c>
      <c r="G6921" t="n">
        <v>15</v>
      </c>
      <c r="H6921" s="5">
        <f>HYPERLINK("https://api.qogita.com/variants/link/0731509867640/", "View Product")</f>
        <v/>
      </c>
    </row>
    <row r="6922">
      <c r="A6922" t="inlineStr">
        <is>
          <t>0731509867985</t>
        </is>
      </c>
      <c r="B6922" t="inlineStr">
        <is>
          <t>KISS Voguish Fantasy Medium Glue-On Nails Disco Ball Multi Colored 28 Piece Set</t>
        </is>
      </c>
      <c r="C6922" t="inlineStr">
        <is>
          <t>Artificial Nails &amp; Nail Decoration</t>
        </is>
      </c>
      <c r="D6922" t="inlineStr">
        <is>
          <t>Kiss</t>
        </is>
      </c>
      <c r="E6922" t="n">
        <v>9.01</v>
      </c>
      <c r="F6922" t="n">
        <v>1</v>
      </c>
      <c r="G6922" t="n">
        <v>5</v>
      </c>
      <c r="H6922" s="5">
        <f>HYPERLINK("https://api.qogita.com/variants/link/0731509867985/", "View Product")</f>
        <v/>
      </c>
    </row>
    <row r="6923">
      <c r="A6923" t="inlineStr">
        <is>
          <t>0731509872897</t>
        </is>
      </c>
      <c r="B6923" t="inlineStr">
        <is>
          <t>Self-adhesive nails imPRESS Nails Crystal Blossom 30 pieces</t>
        </is>
      </c>
      <c r="C6923" t="inlineStr">
        <is>
          <t>Artificial Nails &amp; Nail Decoration</t>
        </is>
      </c>
      <c r="D6923" t="inlineStr">
        <is>
          <t>Kiss</t>
        </is>
      </c>
      <c r="E6923" t="n">
        <v>8.460000000000001</v>
      </c>
      <c r="F6923" t="n">
        <v>1</v>
      </c>
      <c r="G6923" t="n">
        <v>8</v>
      </c>
      <c r="H6923" s="5">
        <f>HYPERLINK("https://api.qogita.com/variants/link/0731509872897/", "View Product")</f>
        <v/>
      </c>
    </row>
    <row r="6924">
      <c r="A6924" t="inlineStr">
        <is>
          <t>0731509887358</t>
        </is>
      </c>
      <c r="B6924" t="inlineStr">
        <is>
          <t>KISS Gel Fantasy Allure Medium Nails Glue-On Sculpted 28 Piece Set - How Dazzling</t>
        </is>
      </c>
      <c r="C6924" t="inlineStr">
        <is>
          <t>Artificial Nails &amp; Nail Decoration</t>
        </is>
      </c>
      <c r="D6924" t="inlineStr">
        <is>
          <t>Kiss</t>
        </is>
      </c>
      <c r="E6924" t="n">
        <v>10.95</v>
      </c>
      <c r="F6924" t="n">
        <v>1</v>
      </c>
      <c r="G6924" t="n">
        <v>5</v>
      </c>
      <c r="H6924" s="5">
        <f>HYPERLINK("https://api.qogita.com/variants/link/0731509887358/", "View Product")</f>
        <v/>
      </c>
    </row>
    <row r="6925">
      <c r="A6925" t="inlineStr">
        <is>
          <t>0731509908800</t>
        </is>
      </c>
      <c r="B6925" t="inlineStr">
        <is>
          <t>KISS My Lash But Bolder 3D Volume False Eyelashes 'Slim Thicc' 1 Pair</t>
        </is>
      </c>
      <c r="C6925" t="inlineStr">
        <is>
          <t>False Eyelashes</t>
        </is>
      </c>
      <c r="D6925" t="inlineStr">
        <is>
          <t>Kiss</t>
        </is>
      </c>
      <c r="E6925" t="n">
        <v>7.93</v>
      </c>
      <c r="F6925" t="n">
        <v>1</v>
      </c>
      <c r="G6925" t="n">
        <v>6</v>
      </c>
      <c r="H6925" s="5">
        <f>HYPERLINK("https://api.qogita.com/variants/link/0731509908800/", "View Product")</f>
        <v/>
      </c>
    </row>
    <row r="6926">
      <c r="A6926" t="inlineStr">
        <is>
          <t>0731509908879</t>
        </is>
      </c>
      <c r="B6926" t="inlineStr">
        <is>
          <t>KISS imPRESS Press-On Falsies Eyelash Clusters Kit Voluminous Black</t>
        </is>
      </c>
      <c r="C6926" t="inlineStr">
        <is>
          <t>False Eyelashes</t>
        </is>
      </c>
      <c r="D6926" t="inlineStr">
        <is>
          <t>Kiss</t>
        </is>
      </c>
      <c r="E6926" t="n">
        <v>16.05</v>
      </c>
      <c r="F6926" t="n">
        <v>1</v>
      </c>
      <c r="G6926" t="n">
        <v>66</v>
      </c>
      <c r="H6926" s="5">
        <f>HYPERLINK("https://api.qogita.com/variants/link/0731509908879/", "View Product")</f>
        <v/>
      </c>
    </row>
    <row r="6927">
      <c r="A6927" t="inlineStr">
        <is>
          <t>0731509910384</t>
        </is>
      </c>
      <c r="B6927" t="inlineStr">
        <is>
          <t>KISS imPRESS False Eyelashes Lash Clusters Classy Natural 10mm-12mm Contact Lens Friendly Easy to Apply Reusable Strip Lashes</t>
        </is>
      </c>
      <c r="C6927" t="inlineStr">
        <is>
          <t>False Eyelashes</t>
        </is>
      </c>
      <c r="D6927" t="inlineStr">
        <is>
          <t>Impress</t>
        </is>
      </c>
      <c r="E6927" t="n">
        <v>8.449999999999999</v>
      </c>
      <c r="F6927" t="n">
        <v>1</v>
      </c>
      <c r="G6927" t="n">
        <v>51</v>
      </c>
      <c r="H6927" s="5">
        <f>HYPERLINK("https://api.qogita.com/variants/link/0731509910384/", "View Product")</f>
        <v/>
      </c>
    </row>
    <row r="6928">
      <c r="A6928" t="inlineStr">
        <is>
          <t>0731509912234</t>
        </is>
      </c>
      <c r="B6928" t="inlineStr">
        <is>
          <t>KISS Falscara Eyelash Wisp Multi Shorty Black</t>
        </is>
      </c>
      <c r="C6928" t="inlineStr">
        <is>
          <t>False Eyelashes</t>
        </is>
      </c>
      <c r="D6928" t="inlineStr">
        <is>
          <t>Kiss</t>
        </is>
      </c>
      <c r="E6928" t="n">
        <v>9.83</v>
      </c>
      <c r="F6928" t="n">
        <v>1</v>
      </c>
      <c r="G6928" t="n">
        <v>11</v>
      </c>
      <c r="H6928" s="5">
        <f>HYPERLINK("https://api.qogita.com/variants/link/0731509912234/", "View Product")</f>
        <v/>
      </c>
    </row>
    <row r="6929">
      <c r="A6929" t="inlineStr">
        <is>
          <t>0731509914108</t>
        </is>
      </c>
      <c r="B6929" t="inlineStr">
        <is>
          <t>KISS imPRESS No Glue Mani Press-On Nails Color FX Levels Dark Pink Short Size Squoval Shape Includes 30 Nails Prep Pad Instructions Sheet 1 Manicure Stick 1 Mini File</t>
        </is>
      </c>
      <c r="C6929" t="inlineStr">
        <is>
          <t>Artificial Nails &amp; Nail Decoration</t>
        </is>
      </c>
      <c r="D6929" t="inlineStr">
        <is>
          <t>Impress</t>
        </is>
      </c>
      <c r="E6929" t="n">
        <v>11.85</v>
      </c>
      <c r="F6929" t="n">
        <v>1</v>
      </c>
      <c r="G6929" t="n">
        <v>6</v>
      </c>
      <c r="H6929" s="5">
        <f>HYPERLINK("https://api.qogita.com/variants/link/0731509914108/", "View Product")</f>
        <v/>
      </c>
    </row>
    <row r="6930">
      <c r="A6930" t="inlineStr">
        <is>
          <t>0731509914351</t>
        </is>
      </c>
      <c r="B6930" t="inlineStr">
        <is>
          <t>Kiss Color Fx By Impress Better Things Adhesive Nails - 30 Pieces</t>
        </is>
      </c>
      <c r="C6930" t="inlineStr">
        <is>
          <t>Artificial Nails &amp; Nail Decoration</t>
        </is>
      </c>
      <c r="D6930" t="inlineStr">
        <is>
          <t>Kiss</t>
        </is>
      </c>
      <c r="E6930" t="n">
        <v>11.85</v>
      </c>
      <c r="F6930" t="n">
        <v>1</v>
      </c>
      <c r="G6930" t="n">
        <v>5</v>
      </c>
      <c r="H6930" s="5">
        <f>HYPERLINK("https://api.qogita.com/variants/link/0731509914351/", "View Product")</f>
        <v/>
      </c>
    </row>
    <row r="6931">
      <c r="A6931" t="inlineStr">
        <is>
          <t>0731509915501</t>
        </is>
      </c>
      <c r="B6931" t="inlineStr">
        <is>
          <t>KISS imPRESS No Glue Mani Press-On Nails Color FX Dimension Light Neutral Short Size Squoval Shape Includes 30 Nails Prep Pad Instructions Sheet 1 Manicure Stick 1 Mini File</t>
        </is>
      </c>
      <c r="C6931" t="inlineStr">
        <is>
          <t>Artificial Nails &amp; Nail Decoration</t>
        </is>
      </c>
      <c r="D6931" t="inlineStr">
        <is>
          <t>Impress</t>
        </is>
      </c>
      <c r="E6931" t="n">
        <v>11.85</v>
      </c>
      <c r="F6931" t="n">
        <v>1</v>
      </c>
      <c r="G6931" t="n">
        <v>9</v>
      </c>
      <c r="H6931" s="5">
        <f>HYPERLINK("https://api.qogita.com/variants/link/0731509915501/", "View Product")</f>
        <v/>
      </c>
    </row>
    <row r="6932">
      <c r="A6932" t="inlineStr">
        <is>
          <t>0731509918908</t>
        </is>
      </c>
      <c r="B6932" t="inlineStr">
        <is>
          <t>Kiss Bare-But-Better Gel Nails - 28 Pieces</t>
        </is>
      </c>
      <c r="C6932" t="inlineStr">
        <is>
          <t>Nail Sets</t>
        </is>
      </c>
      <c r="D6932" t="inlineStr">
        <is>
          <t>Kiss</t>
        </is>
      </c>
      <c r="E6932" t="n">
        <v>9.289999999999999</v>
      </c>
      <c r="F6932" t="n">
        <v>1</v>
      </c>
      <c r="G6932" t="n">
        <v>2</v>
      </c>
      <c r="H6932" s="5">
        <f>HYPERLINK("https://api.qogita.com/variants/link/0731509918908/", "View Product")</f>
        <v/>
      </c>
    </row>
    <row r="6933">
      <c r="A6933" t="inlineStr">
        <is>
          <t>0731509918939</t>
        </is>
      </c>
      <c r="B6933" t="inlineStr">
        <is>
          <t>Kiss Classy Press-On Nails with Nail Glue</t>
        </is>
      </c>
      <c r="C6933" t="inlineStr">
        <is>
          <t>Artificial Nails &amp; Nail Decoration</t>
        </is>
      </c>
      <c r="D6933" t="inlineStr">
        <is>
          <t>Kiss</t>
        </is>
      </c>
      <c r="E6933" t="n">
        <v>9.289999999999999</v>
      </c>
      <c r="F6933" t="n">
        <v>1</v>
      </c>
      <c r="G6933" t="n">
        <v>18</v>
      </c>
      <c r="H6933" s="5">
        <f>HYPERLINK("https://api.qogita.com/variants/link/0731509918939/", "View Product")</f>
        <v/>
      </c>
    </row>
    <row r="6934">
      <c r="A6934" t="inlineStr">
        <is>
          <t>0731509926927</t>
        </is>
      </c>
      <c r="B6934" t="inlineStr">
        <is>
          <t>KISS Lash Couture Rebel Collection False Eyelashes 1 Pair</t>
        </is>
      </c>
      <c r="C6934" t="inlineStr">
        <is>
          <t>False Eyelashes</t>
        </is>
      </c>
      <c r="D6934" t="inlineStr">
        <is>
          <t>Kiss</t>
        </is>
      </c>
      <c r="E6934" t="n">
        <v>8.529999999999999</v>
      </c>
      <c r="F6934" t="n">
        <v>1</v>
      </c>
      <c r="G6934" t="n">
        <v>8</v>
      </c>
      <c r="H6934" s="5">
        <f>HYPERLINK("https://api.qogita.com/variants/link/0731509926927/", "View Product")</f>
        <v/>
      </c>
    </row>
    <row r="6935">
      <c r="A6935" t="inlineStr">
        <is>
          <t>0731509933895</t>
        </is>
      </c>
      <c r="B6935" t="inlineStr">
        <is>
          <t>Kiss Self-Adhesive Nails Impress Color Fx Around You - 30 Pieces</t>
        </is>
      </c>
      <c r="C6935" t="inlineStr">
        <is>
          <t>Artificial Nails &amp; Nail Decoration</t>
        </is>
      </c>
      <c r="D6935" t="inlineStr">
        <is>
          <t>Kiss</t>
        </is>
      </c>
      <c r="E6935" t="n">
        <v>11.85</v>
      </c>
      <c r="F6935" t="n">
        <v>1</v>
      </c>
      <c r="G6935" t="n">
        <v>13</v>
      </c>
      <c r="H6935" s="5">
        <f>HYPERLINK("https://api.qogita.com/variants/link/0731509933895/", "View Product")</f>
        <v/>
      </c>
    </row>
    <row r="6936">
      <c r="A6936" t="inlineStr">
        <is>
          <t>0731509934496</t>
        </is>
      </c>
      <c r="B6936" t="inlineStr">
        <is>
          <t>Kiss Gel Fantasy Magnetic Gel Nails - 28 Pieces</t>
        </is>
      </c>
      <c r="C6936" t="inlineStr">
        <is>
          <t>Artificial Nails &amp; Nail Decoration</t>
        </is>
      </c>
      <c r="D6936" t="inlineStr">
        <is>
          <t>Kiss</t>
        </is>
      </c>
      <c r="E6936" t="n">
        <v>10.4</v>
      </c>
      <c r="F6936" t="n">
        <v>1</v>
      </c>
      <c r="G6936" t="n">
        <v>6</v>
      </c>
      <c r="H6936" s="5">
        <f>HYPERLINK("https://api.qogita.com/variants/link/0731509934496/", "View Product")</f>
        <v/>
      </c>
    </row>
    <row r="6937">
      <c r="A6937" t="inlineStr">
        <is>
          <t>0731509937886</t>
        </is>
      </c>
      <c r="B6937" t="inlineStr">
        <is>
          <t>Kiss Self-Adhesive Nails Impress Color Fx Reconnect - 30 Pieces</t>
        </is>
      </c>
      <c r="C6937" t="inlineStr">
        <is>
          <t>Artificial Nails &amp; Nail Decoration</t>
        </is>
      </c>
      <c r="D6937" t="inlineStr">
        <is>
          <t>Kiss</t>
        </is>
      </c>
      <c r="E6937" t="n">
        <v>11.85</v>
      </c>
      <c r="F6937" t="n">
        <v>1</v>
      </c>
      <c r="G6937" t="n">
        <v>11</v>
      </c>
      <c r="H6937" s="5">
        <f>HYPERLINK("https://api.qogita.com/variants/link/0731509937886/", "View Product")</f>
        <v/>
      </c>
    </row>
    <row r="6938">
      <c r="A6938" t="inlineStr">
        <is>
          <t>0731509942156</t>
        </is>
      </c>
      <c r="B6938" t="inlineStr">
        <is>
          <t>Kiss Gel Fantasy Magnetic Set Us Free 28 Pcs - Perfect For Stunning Gel Nails</t>
        </is>
      </c>
      <c r="C6938" t="inlineStr">
        <is>
          <t>Nail Sets</t>
        </is>
      </c>
      <c r="D6938" t="inlineStr">
        <is>
          <t>Kiss</t>
        </is>
      </c>
      <c r="E6938" t="n">
        <v>10.4</v>
      </c>
      <c r="F6938" t="n">
        <v>1</v>
      </c>
      <c r="G6938" t="n">
        <v>10</v>
      </c>
      <c r="H6938" s="5">
        <f>HYPERLINK("https://api.qogita.com/variants/link/0731509942156/", "View Product")</f>
        <v/>
      </c>
    </row>
    <row r="6939">
      <c r="A6939" t="inlineStr">
        <is>
          <t>0731509947113</t>
        </is>
      </c>
      <c r="B6939" t="inlineStr">
        <is>
          <t>Kiss Impress Color Nails Take A Chance - 30 Pieces</t>
        </is>
      </c>
      <c r="C6939" t="inlineStr">
        <is>
          <t>Artificial Nails &amp; Nail Decoration</t>
        </is>
      </c>
      <c r="D6939" t="inlineStr">
        <is>
          <t>Kiss</t>
        </is>
      </c>
      <c r="E6939" t="n">
        <v>8.460000000000001</v>
      </c>
      <c r="F6939" t="n">
        <v>1</v>
      </c>
      <c r="G6939" t="n">
        <v>7</v>
      </c>
      <c r="H6939" s="5">
        <f>HYPERLINK("https://api.qogita.com/variants/link/0731509947113/", "View Product")</f>
        <v/>
      </c>
    </row>
    <row r="6940">
      <c r="A6940" t="inlineStr">
        <is>
          <t>0731509949698</t>
        </is>
      </c>
      <c r="B6940" t="inlineStr">
        <is>
          <t>Kiss Bare-But-Better Premium Gel Nails - 30 Pieces</t>
        </is>
      </c>
      <c r="C6940" t="inlineStr">
        <is>
          <t>Nail Sets</t>
        </is>
      </c>
      <c r="D6940" t="inlineStr">
        <is>
          <t>Kiss</t>
        </is>
      </c>
      <c r="E6940" t="n">
        <v>11.85</v>
      </c>
      <c r="F6940" t="n">
        <v>1</v>
      </c>
      <c r="G6940" t="n">
        <v>6</v>
      </c>
      <c r="H6940" s="5">
        <f>HYPERLINK("https://api.qogita.com/variants/link/0731509949698/", "View Product")</f>
        <v/>
      </c>
    </row>
    <row r="6941">
      <c r="A6941" t="inlineStr">
        <is>
          <t>0731509959710</t>
        </is>
      </c>
      <c r="B6941" t="inlineStr">
        <is>
          <t>Kiss Impress Press On Falsies 02 False Eyelashes</t>
        </is>
      </c>
      <c r="C6941" t="inlineStr">
        <is>
          <t>False Eyelashes</t>
        </is>
      </c>
      <c r="D6941" t="inlineStr">
        <is>
          <t>Kiss</t>
        </is>
      </c>
      <c r="E6941" t="n">
        <v>7.93</v>
      </c>
      <c r="F6941" t="n">
        <v>1</v>
      </c>
      <c r="G6941" t="n">
        <v>6</v>
      </c>
      <c r="H6941" s="5">
        <f>HYPERLINK("https://api.qogita.com/variants/link/0731509959710/", "View Product")</f>
        <v/>
      </c>
    </row>
    <row r="6942">
      <c r="A6942" t="inlineStr">
        <is>
          <t>0731509967241</t>
        </is>
      </c>
      <c r="B6942" t="inlineStr">
        <is>
          <t>Eyelash Curlers</t>
        </is>
      </c>
      <c r="C6942" t="inlineStr">
        <is>
          <t>Eyelash Curlers</t>
        </is>
      </c>
      <c r="D6942" t="inlineStr">
        <is>
          <t>Kiss</t>
        </is>
      </c>
      <c r="E6942" t="n">
        <v>5.06</v>
      </c>
      <c r="F6942" t="n">
        <v>1</v>
      </c>
      <c r="G6942" t="n">
        <v>17</v>
      </c>
      <c r="H6942" s="5">
        <f>HYPERLINK("https://api.qogita.com/variants/link/0731509967241/", "View Product")</f>
        <v/>
      </c>
    </row>
    <row r="6943">
      <c r="A6943" t="inlineStr">
        <is>
          <t>0731509974836</t>
        </is>
      </c>
      <c r="B6943" t="inlineStr">
        <is>
          <t>KISS My Lash But Better Collection So Real Natural Volume Fake Lashes with Flexi-Wisp Band and Adhesive - 1 Pair</t>
        </is>
      </c>
      <c r="C6943" t="inlineStr">
        <is>
          <t>False Eyelashes</t>
        </is>
      </c>
      <c r="D6943" t="inlineStr">
        <is>
          <t>Kiss</t>
        </is>
      </c>
      <c r="E6943" t="n">
        <v>7.15</v>
      </c>
      <c r="F6943" t="n">
        <v>1</v>
      </c>
      <c r="G6943" t="n">
        <v>14</v>
      </c>
      <c r="H6943" s="5">
        <f>HYPERLINK("https://api.qogita.com/variants/link/0731509974836/", "View Product")</f>
        <v/>
      </c>
    </row>
    <row r="6944">
      <c r="A6944" t="inlineStr">
        <is>
          <t>0732068047283</t>
        </is>
      </c>
      <c r="B6944" t="inlineStr">
        <is>
          <t>Dapper Dan Super Hold Ultra Matte Clay 100ml</t>
        </is>
      </c>
      <c r="C6944" t="inlineStr">
        <is>
          <t>Wax</t>
        </is>
      </c>
      <c r="D6944" t="inlineStr">
        <is>
          <t>Dapper Dan</t>
        </is>
      </c>
      <c r="E6944" t="n">
        <v>8.890000000000001</v>
      </c>
      <c r="F6944" t="n">
        <v>1</v>
      </c>
      <c r="G6944" t="n">
        <v>5</v>
      </c>
      <c r="H6944" s="5">
        <f>HYPERLINK("https://api.qogita.com/variants/link/0732068047283/", "View Product")</f>
        <v/>
      </c>
    </row>
    <row r="6945">
      <c r="A6945" t="inlineStr">
        <is>
          <t>0736150068347</t>
        </is>
      </c>
      <c r="B6945" t="inlineStr">
        <is>
          <t>Laura Mercier Eye Basics - Buff</t>
        </is>
      </c>
      <c r="C6945" t="inlineStr">
        <is>
          <t>Eyeshadow Primer</t>
        </is>
      </c>
      <c r="D6945" t="inlineStr">
        <is>
          <t>Laura Mercier</t>
        </is>
      </c>
      <c r="E6945" t="n">
        <v>17.69</v>
      </c>
      <c r="F6945" t="n">
        <v>1</v>
      </c>
      <c r="G6945" t="n">
        <v>6</v>
      </c>
      <c r="H6945" s="5">
        <f>HYPERLINK("https://api.qogita.com/variants/link/0736150068347/", "View Product")</f>
        <v/>
      </c>
    </row>
    <row r="6946">
      <c r="A6946" t="inlineStr">
        <is>
          <t>0736150069610</t>
        </is>
      </c>
      <c r="B6946" t="inlineStr">
        <is>
          <t>Laura Mercier Matte Eye Colour Ginger</t>
        </is>
      </c>
      <c r="C6946" t="inlineStr">
        <is>
          <t>Eyeshadow</t>
        </is>
      </c>
      <c r="D6946" t="inlineStr">
        <is>
          <t>Laura Mercier</t>
        </is>
      </c>
      <c r="E6946" t="n">
        <v>19.85</v>
      </c>
      <c r="F6946" t="n">
        <v>1</v>
      </c>
      <c r="G6946" t="n">
        <v>7</v>
      </c>
      <c r="H6946" s="5">
        <f>HYPERLINK("https://api.qogita.com/variants/link/0736150069610/", "View Product")</f>
        <v/>
      </c>
    </row>
    <row r="6947">
      <c r="A6947" t="inlineStr">
        <is>
          <t>0736150117885</t>
        </is>
      </c>
      <c r="B6947" t="inlineStr">
        <is>
          <t>Laura Mercier Smooth Finish Foundation Powder Compact 3 30g</t>
        </is>
      </c>
      <c r="C6947" t="inlineStr">
        <is>
          <t>Foundation</t>
        </is>
      </c>
      <c r="D6947" t="inlineStr">
        <is>
          <t>Laura Mercier</t>
        </is>
      </c>
      <c r="E6947" t="n">
        <v>34.31</v>
      </c>
      <c r="F6947" t="n">
        <v>1</v>
      </c>
      <c r="G6947" t="n">
        <v>6</v>
      </c>
      <c r="H6947" s="5">
        <f>HYPERLINK("https://api.qogita.com/variants/link/0736150117885/", "View Product")</f>
        <v/>
      </c>
    </row>
    <row r="6948">
      <c r="A6948" t="inlineStr">
        <is>
          <t>0736150137302</t>
        </is>
      </c>
      <c r="B6948" t="inlineStr">
        <is>
          <t>Laura Mercier Eye Brow Pencil Soft Brunette 1g</t>
        </is>
      </c>
      <c r="C6948" t="inlineStr">
        <is>
          <t>Eyebrow Pencil</t>
        </is>
      </c>
      <c r="D6948" t="inlineStr">
        <is>
          <t>Laura Mercier</t>
        </is>
      </c>
      <c r="E6948" t="n">
        <v>19.97</v>
      </c>
      <c r="F6948" t="n">
        <v>1</v>
      </c>
      <c r="G6948" t="n">
        <v>12</v>
      </c>
      <c r="H6948" s="5">
        <f>HYPERLINK("https://api.qogita.com/variants/link/0736150137302/", "View Product")</f>
        <v/>
      </c>
    </row>
    <row r="6949">
      <c r="A6949" t="inlineStr">
        <is>
          <t>0736150160553</t>
        </is>
      </c>
      <c r="B6949" t="inlineStr">
        <is>
          <t>Laura Mercier Eye Color Large Flat Head Smooth Perfect Application Brush</t>
        </is>
      </c>
      <c r="C6949" t="inlineStr">
        <is>
          <t>Eyeshadow Brushes</t>
        </is>
      </c>
      <c r="D6949" t="inlineStr">
        <is>
          <t>Laura Mercier</t>
        </is>
      </c>
      <c r="E6949" t="n">
        <v>19.49</v>
      </c>
      <c r="F6949" t="n">
        <v>1</v>
      </c>
      <c r="G6949" t="n">
        <v>5</v>
      </c>
      <c r="H6949" s="5">
        <f>HYPERLINK("https://api.qogita.com/variants/link/0736150160553/", "View Product")</f>
        <v/>
      </c>
    </row>
    <row r="6950">
      <c r="A6950" t="inlineStr">
        <is>
          <t>0736150160881</t>
        </is>
      </c>
      <c r="B6950" t="inlineStr">
        <is>
          <t>NEW Laura Mercier Secret Camouflage Brush Long Handled Womens Make Up</t>
        </is>
      </c>
      <c r="C6950" t="inlineStr">
        <is>
          <t>Concealer Brushes</t>
        </is>
      </c>
      <c r="D6950" t="inlineStr">
        <is>
          <t>Laura Mercier</t>
        </is>
      </c>
      <c r="E6950" t="n">
        <v>15.93</v>
      </c>
      <c r="F6950" t="n">
        <v>1</v>
      </c>
      <c r="G6950" t="n">
        <v>5</v>
      </c>
      <c r="H6950" s="5">
        <f>HYPERLINK("https://api.qogita.com/variants/link/0736150160881/", "View Product")</f>
        <v/>
      </c>
    </row>
    <row r="6951">
      <c r="A6951" t="inlineStr">
        <is>
          <t>0736150166548</t>
        </is>
      </c>
      <c r="B6951" t="inlineStr">
        <is>
          <t>Laura Mercier Flawless Lumiere Radiance-Perfecting Foundation 1C0 Cameo 30ml</t>
        </is>
      </c>
      <c r="C6951" t="inlineStr">
        <is>
          <t>Foundation</t>
        </is>
      </c>
      <c r="D6951" t="inlineStr">
        <is>
          <t>Laura Mercier</t>
        </is>
      </c>
      <c r="E6951" t="n">
        <v>43.05</v>
      </c>
      <c r="F6951" t="n">
        <v>1</v>
      </c>
      <c r="G6951" t="n">
        <v>3</v>
      </c>
      <c r="H6951" s="5">
        <f>HYPERLINK("https://api.qogita.com/variants/link/0736150166548/", "View Product")</f>
        <v/>
      </c>
    </row>
    <row r="6952">
      <c r="A6952" t="inlineStr">
        <is>
          <t>0736150166647</t>
        </is>
      </c>
      <c r="B6952" t="inlineStr">
        <is>
          <t>Laura Mercier Flawless Lumière Radiance Perfecting Liquid Foundation 30ml 2C1 Ecru</t>
        </is>
      </c>
      <c r="C6952" t="inlineStr">
        <is>
          <t>Foundation</t>
        </is>
      </c>
      <c r="D6952" t="inlineStr">
        <is>
          <t>Laura Mercier</t>
        </is>
      </c>
      <c r="E6952" t="n">
        <v>38.97</v>
      </c>
      <c r="F6952" t="n">
        <v>1</v>
      </c>
      <c r="G6952" t="n">
        <v>8</v>
      </c>
      <c r="H6952" s="5">
        <f>HYPERLINK("https://api.qogita.com/variants/link/0736150166647/", "View Product")</f>
        <v/>
      </c>
    </row>
    <row r="6953">
      <c r="A6953" t="inlineStr">
        <is>
          <t>0736150166821</t>
        </is>
      </c>
      <c r="B6953" t="inlineStr">
        <is>
          <t>Laura Mercier Flawless Lumiere 3N1.5 Latte Foundation 30ml</t>
        </is>
      </c>
      <c r="C6953" t="inlineStr">
        <is>
          <t>Foundation</t>
        </is>
      </c>
      <c r="D6953" t="inlineStr">
        <is>
          <t>Laura Mercier</t>
        </is>
      </c>
      <c r="E6953" t="n">
        <v>35.65</v>
      </c>
      <c r="F6953" t="n">
        <v>1</v>
      </c>
      <c r="G6953" t="n">
        <v>6</v>
      </c>
      <c r="H6953" s="5">
        <f>HYPERLINK("https://api.qogita.com/variants/link/0736150166821/", "View Product")</f>
        <v/>
      </c>
    </row>
    <row r="6954">
      <c r="A6954" t="inlineStr">
        <is>
          <t>0736150183644</t>
        </is>
      </c>
      <c r="B6954" t="inlineStr">
        <is>
          <t>Laura Mercier Soft Petal Lipstick #322 Camille</t>
        </is>
      </c>
      <c r="C6954" t="inlineStr">
        <is>
          <t>Lipstick</t>
        </is>
      </c>
      <c r="D6954" t="inlineStr">
        <is>
          <t>Laura Mercier</t>
        </is>
      </c>
      <c r="E6954" t="n">
        <v>24.61</v>
      </c>
      <c r="F6954" t="n">
        <v>1</v>
      </c>
      <c r="G6954" t="n">
        <v>4</v>
      </c>
      <c r="H6954" s="5">
        <f>HYPERLINK("https://api.qogita.com/variants/link/0736150183644/", "View Product")</f>
        <v/>
      </c>
    </row>
    <row r="6955">
      <c r="A6955" t="inlineStr">
        <is>
          <t>0736150183743</t>
        </is>
      </c>
      <c r="B6955" t="inlineStr">
        <is>
          <t>Laura Mercier Leonie Lipstick Crayon 2g</t>
        </is>
      </c>
      <c r="C6955" t="inlineStr">
        <is>
          <t>Lipstick</t>
        </is>
      </c>
      <c r="D6955" t="inlineStr">
        <is>
          <t>Laura Mercier</t>
        </is>
      </c>
      <c r="E6955" t="n">
        <v>21.28</v>
      </c>
      <c r="F6955" t="n">
        <v>1</v>
      </c>
      <c r="G6955" t="n">
        <v>4</v>
      </c>
      <c r="H6955" s="5">
        <f>HYPERLINK("https://api.qogita.com/variants/link/0736150183743/", "View Product")</f>
        <v/>
      </c>
    </row>
    <row r="6956">
      <c r="A6956" t="inlineStr">
        <is>
          <t>0736658473308</t>
        </is>
      </c>
      <c r="B6956" t="inlineStr">
        <is>
          <t>Wet Brush Original Detangler Hair Brush Silver Groovy Disco Ultra-Soft IntelliFlex Bristles 1 Count</t>
        </is>
      </c>
      <c r="C6956" t="inlineStr">
        <is>
          <t>Detanglers</t>
        </is>
      </c>
      <c r="D6956" t="inlineStr">
        <is>
          <t>Wet Brush</t>
        </is>
      </c>
      <c r="E6956" t="n">
        <v>8.23</v>
      </c>
      <c r="F6956" t="n">
        <v>1</v>
      </c>
      <c r="G6956" t="n">
        <v>76</v>
      </c>
      <c r="H6956" s="5">
        <f>HYPERLINK("https://api.qogita.com/variants/link/0736658473308/", "View Product")</f>
        <v/>
      </c>
    </row>
    <row r="6957">
      <c r="A6957" t="inlineStr">
        <is>
          <t>0736658473544</t>
        </is>
      </c>
      <c r="B6957" t="inlineStr">
        <is>
          <t>Wet Brush Original Detangler Hair Brush Pink Glitter Waves Ultra-Soft IntelliFlex Bristles 1 Count</t>
        </is>
      </c>
      <c r="C6957" t="inlineStr">
        <is>
          <t>Detanglers</t>
        </is>
      </c>
      <c r="D6957" t="inlineStr">
        <is>
          <t>Wet Brush</t>
        </is>
      </c>
      <c r="E6957" t="n">
        <v>8.23</v>
      </c>
      <c r="F6957" t="n">
        <v>1</v>
      </c>
      <c r="G6957" t="n">
        <v>2</v>
      </c>
      <c r="H6957" s="5">
        <f>HYPERLINK("https://api.qogita.com/variants/link/0736658473544/", "View Product")</f>
        <v/>
      </c>
    </row>
    <row r="6958">
      <c r="A6958" t="inlineStr">
        <is>
          <t>0736658480702</t>
        </is>
      </c>
      <c r="B6958" t="inlineStr">
        <is>
          <t>Wet Brush Speed Dry Hair Brush Pink Purple Feel Good Ombre Vented Design Soft HeatFlex Bristles Blow Dry Safe Ergonomic Handle Manages Tangles Pain-Free Hair Accessories 1 Count</t>
        </is>
      </c>
      <c r="C6958" t="inlineStr">
        <is>
          <t>Detanglers</t>
        </is>
      </c>
      <c r="D6958" t="inlineStr">
        <is>
          <t>Wet Brush</t>
        </is>
      </c>
      <c r="E6958" t="n">
        <v>8.23</v>
      </c>
      <c r="F6958" t="n">
        <v>1</v>
      </c>
      <c r="G6958" t="n">
        <v>34</v>
      </c>
      <c r="H6958" s="5">
        <f>HYPERLINK("https://api.qogita.com/variants/link/0736658480702/", "View Product")</f>
        <v/>
      </c>
    </row>
    <row r="6959">
      <c r="A6959" t="inlineStr">
        <is>
          <t>0736658480733</t>
        </is>
      </c>
      <c r="B6959" t="inlineStr">
        <is>
          <t>Wet Brush Speed Dry Hair Brush Seafoam Coral Feel Good Ombre Vented Design Soft HeatFlex Bristles Blow Dry Safe Ergonomic Handle Manages Tangles Pain-Free Hair Accessories 1 Count</t>
        </is>
      </c>
      <c r="C6959" t="inlineStr">
        <is>
          <t>Detanglers</t>
        </is>
      </c>
      <c r="D6959" t="inlineStr">
        <is>
          <t>Wet Brush</t>
        </is>
      </c>
      <c r="E6959" t="n">
        <v>8.23</v>
      </c>
      <c r="F6959" t="n">
        <v>1</v>
      </c>
      <c r="G6959" t="n">
        <v>43</v>
      </c>
      <c r="H6959" s="5">
        <f>HYPERLINK("https://api.qogita.com/variants/link/0736658480733/", "View Product")</f>
        <v/>
      </c>
    </row>
    <row r="6960">
      <c r="A6960" t="inlineStr">
        <is>
          <t>0736658494815</t>
        </is>
      </c>
      <c r="B6960" t="inlineStr">
        <is>
          <t>WetBrush Go Green Speed Dry Detangler with HeatFlex Bristles for Safe Use with a Hairdryer Vented to Allow Moisture to be Removed From Hair Quickly for Fast Drying Time Pink</t>
        </is>
      </c>
      <c r="C6960" t="inlineStr">
        <is>
          <t>Detanglers</t>
        </is>
      </c>
      <c r="D6960" t="inlineStr">
        <is>
          <t>Wet Brush</t>
        </is>
      </c>
      <c r="E6960" t="n">
        <v>10.44</v>
      </c>
      <c r="F6960" t="n">
        <v>1</v>
      </c>
      <c r="G6960" t="n">
        <v>59</v>
      </c>
      <c r="H6960" s="5">
        <f>HYPERLINK("https://api.qogita.com/variants/link/0736658494815/", "View Product")</f>
        <v/>
      </c>
    </row>
    <row r="6961">
      <c r="A6961" t="inlineStr">
        <is>
          <t>0736658498257</t>
        </is>
      </c>
      <c r="B6961" t="inlineStr">
        <is>
          <t>WetBrush Original Detangler Hairbrush with Ultra Soft Intelliflex Bristles Justice League Supergirl and Wonderwoman DC Comics Range</t>
        </is>
      </c>
      <c r="C6961" t="inlineStr">
        <is>
          <t>Detanglers</t>
        </is>
      </c>
      <c r="D6961" t="inlineStr">
        <is>
          <t>Wet Brush</t>
        </is>
      </c>
      <c r="E6961" t="n">
        <v>8.23</v>
      </c>
      <c r="F6961" t="n">
        <v>1</v>
      </c>
      <c r="G6961" t="n">
        <v>20</v>
      </c>
      <c r="H6961" s="5">
        <f>HYPERLINK("https://api.qogita.com/variants/link/0736658498257/", "View Product")</f>
        <v/>
      </c>
    </row>
    <row r="6962">
      <c r="A6962" t="inlineStr">
        <is>
          <t>0736658538212</t>
        </is>
      </c>
      <c r="B6962" t="inlineStr">
        <is>
          <t>Wet Brush Original Detangler Brush Color Wash Splatter Ultra-Soft IntelliFlex Bristles - All Hair Types - Pain-Free Comb for Men Women Boys and Girls</t>
        </is>
      </c>
      <c r="C6962" t="inlineStr">
        <is>
          <t>Detanglers</t>
        </is>
      </c>
      <c r="D6962" t="inlineStr">
        <is>
          <t>Wet Brush</t>
        </is>
      </c>
      <c r="E6962" t="n">
        <v>8.23</v>
      </c>
      <c r="F6962" t="n">
        <v>1</v>
      </c>
      <c r="G6962" t="n">
        <v>63</v>
      </c>
      <c r="H6962" s="5">
        <f>HYPERLINK("https://api.qogita.com/variants/link/0736658538212/", "View Product")</f>
        <v/>
      </c>
    </row>
    <row r="6963">
      <c r="A6963" t="inlineStr">
        <is>
          <t>0736658538397</t>
        </is>
      </c>
      <c r="B6963" t="inlineStr">
        <is>
          <t>WetBrush Custom Care Treatment Brush for Even Product Distribution and Reduced Shedding and Breakage - Purple</t>
        </is>
      </c>
      <c r="C6963" t="inlineStr">
        <is>
          <t>Detanglers</t>
        </is>
      </c>
      <c r="D6963" t="inlineStr">
        <is>
          <t>Wet Brush</t>
        </is>
      </c>
      <c r="E6963" t="n">
        <v>11.56</v>
      </c>
      <c r="F6963" t="n">
        <v>1</v>
      </c>
      <c r="G6963" t="n">
        <v>58</v>
      </c>
      <c r="H6963" s="5">
        <f>HYPERLINK("https://api.qogita.com/variants/link/0736658538397/", "View Product")</f>
        <v/>
      </c>
    </row>
    <row r="6964">
      <c r="A6964" t="inlineStr">
        <is>
          <t>0736658538427</t>
        </is>
      </c>
      <c r="B6964" t="inlineStr">
        <is>
          <t>WetBrush Custom Care Thin Hair Detangler with Soft Bristles for Gentle Detangling - Purple</t>
        </is>
      </c>
      <c r="C6964" t="inlineStr">
        <is>
          <t>Detanglers</t>
        </is>
      </c>
      <c r="D6964" t="inlineStr">
        <is>
          <t>Wet Brush</t>
        </is>
      </c>
      <c r="E6964" t="n">
        <v>7.71</v>
      </c>
      <c r="F6964" t="n">
        <v>1</v>
      </c>
      <c r="G6964" t="n">
        <v>64</v>
      </c>
      <c r="H6964" s="5">
        <f>HYPERLINK("https://api.qogita.com/variants/link/0736658538427/", "View Product")</f>
        <v/>
      </c>
    </row>
    <row r="6965">
      <c r="A6965" t="inlineStr">
        <is>
          <t>0736658543872</t>
        </is>
      </c>
      <c r="B6965" t="inlineStr">
        <is>
          <t>WetBrush Original Detangler Hair Brush with Ultra Soft Intelliflex Bristles for All Hair Types Disney Ultimate Princess Collection Cinderella</t>
        </is>
      </c>
      <c r="C6965" t="inlineStr">
        <is>
          <t>Detanglers</t>
        </is>
      </c>
      <c r="D6965" t="inlineStr">
        <is>
          <t>Wet Brush</t>
        </is>
      </c>
      <c r="E6965" t="n">
        <v>8.23</v>
      </c>
      <c r="F6965" t="n">
        <v>1</v>
      </c>
      <c r="G6965" t="n">
        <v>82</v>
      </c>
      <c r="H6965" s="5">
        <f>HYPERLINK("https://api.qogita.com/variants/link/0736658543872/", "View Product")</f>
        <v/>
      </c>
    </row>
    <row r="6966">
      <c r="A6966" t="inlineStr">
        <is>
          <t>0736658544022</t>
        </is>
      </c>
      <c r="B6966" t="inlineStr">
        <is>
          <t>WetBrush Original Detangler Hair Brush with Ultra Soft Intelliflex Bristles for All Hair Types Disney Ultimate Princess Collection Belle</t>
        </is>
      </c>
      <c r="C6966" t="inlineStr">
        <is>
          <t>Detanglers</t>
        </is>
      </c>
      <c r="D6966" t="inlineStr">
        <is>
          <t>Wet Brush</t>
        </is>
      </c>
      <c r="E6966" t="n">
        <v>8.23</v>
      </c>
      <c r="F6966" t="n">
        <v>1</v>
      </c>
      <c r="G6966" t="n">
        <v>87</v>
      </c>
      <c r="H6966" s="5">
        <f>HYPERLINK("https://api.qogita.com/variants/link/0736658544022/", "View Product")</f>
        <v/>
      </c>
    </row>
    <row r="6967">
      <c r="A6967" t="inlineStr">
        <is>
          <t>0736658546941</t>
        </is>
      </c>
      <c r="B6967" t="inlineStr">
        <is>
          <t>WetBrush Original Detangler Hair Brush with Ultra Soft Intelliflex Bristles Metallic Marble Collection Silver Marble Silver</t>
        </is>
      </c>
      <c r="C6967" t="inlineStr">
        <is>
          <t>Detanglers</t>
        </is>
      </c>
      <c r="D6967" t="inlineStr">
        <is>
          <t>Wet Brush</t>
        </is>
      </c>
      <c r="E6967" t="n">
        <v>8.23</v>
      </c>
      <c r="F6967" t="n">
        <v>1</v>
      </c>
      <c r="G6967" t="n">
        <v>57</v>
      </c>
      <c r="H6967" s="5">
        <f>HYPERLINK("https://api.qogita.com/variants/link/0736658546941/", "View Product")</f>
        <v/>
      </c>
    </row>
    <row r="6968">
      <c r="A6968" t="inlineStr">
        <is>
          <t>0736658557152</t>
        </is>
      </c>
      <c r="B6968" t="inlineStr">
        <is>
          <t>Wetbrush Charcoal Infused Paddle Detangler Ultrasoft Bristles Minimizes Pain</t>
        </is>
      </c>
      <c r="C6968" t="inlineStr">
        <is>
          <t>Detanglers</t>
        </is>
      </c>
      <c r="D6968" t="inlineStr">
        <is>
          <t>Wet Brush</t>
        </is>
      </c>
      <c r="E6968" t="n">
        <v>9.09</v>
      </c>
      <c r="F6968" t="n">
        <v>1</v>
      </c>
      <c r="G6968" t="n">
        <v>54</v>
      </c>
      <c r="H6968" s="5">
        <f>HYPERLINK("https://api.qogita.com/variants/link/0736658557152/", "View Product")</f>
        <v/>
      </c>
    </row>
    <row r="6969">
      <c r="A6969" t="inlineStr">
        <is>
          <t>0736658588286</t>
        </is>
      </c>
      <c r="B6969" t="inlineStr">
        <is>
          <t>Wet Brush Go Green Oil Infused Shine Brush Tea Tree for Unisex 1 Pc Hair Brush Green Treatment and Shine</t>
        </is>
      </c>
      <c r="C6969" t="inlineStr">
        <is>
          <t>Flat &amp; Paddle Brushes</t>
        </is>
      </c>
      <c r="D6969" t="inlineStr">
        <is>
          <t>Wet Brush</t>
        </is>
      </c>
      <c r="E6969" t="n">
        <v>10.23</v>
      </c>
      <c r="F6969" t="n">
        <v>1</v>
      </c>
      <c r="G6969" t="n">
        <v>13</v>
      </c>
      <c r="H6969" s="5">
        <f>HYPERLINK("https://api.qogita.com/variants/link/0736658588286/", "View Product")</f>
        <v/>
      </c>
    </row>
    <row r="6970">
      <c r="A6970" t="inlineStr">
        <is>
          <t>0736658598155</t>
        </is>
      </c>
      <c r="B6970" t="inlineStr">
        <is>
          <t>Wet Brush Shower Detangler Brush Pink Glitter for Unisex</t>
        </is>
      </c>
      <c r="C6970" t="inlineStr">
        <is>
          <t>Detanglers</t>
        </is>
      </c>
      <c r="D6970" t="inlineStr">
        <is>
          <t>Wet Brush</t>
        </is>
      </c>
      <c r="E6970" t="n">
        <v>4.26</v>
      </c>
      <c r="F6970" t="n">
        <v>1</v>
      </c>
      <c r="G6970" t="n">
        <v>3</v>
      </c>
      <c r="H6970" s="5">
        <f>HYPERLINK("https://api.qogita.com/variants/link/0736658598155/", "View Product")</f>
        <v/>
      </c>
    </row>
    <row r="6971">
      <c r="A6971" t="inlineStr">
        <is>
          <t>0736658795585</t>
        </is>
      </c>
      <c r="B6971" t="inlineStr">
        <is>
          <t>Wetbrush Safari Detangler Zebra 100g - Single</t>
        </is>
      </c>
      <c r="C6971" t="inlineStr">
        <is>
          <t>Detanglers</t>
        </is>
      </c>
      <c r="D6971" t="inlineStr">
        <is>
          <t>Wetbrush</t>
        </is>
      </c>
      <c r="E6971" t="n">
        <v>9.57</v>
      </c>
      <c r="F6971" t="n">
        <v>1</v>
      </c>
      <c r="G6971" t="n">
        <v>17</v>
      </c>
      <c r="H6971" s="5">
        <f>HYPERLINK("https://api.qogita.com/variants/link/0736658795585/", "View Product")</f>
        <v/>
      </c>
    </row>
    <row r="6972">
      <c r="A6972" t="inlineStr">
        <is>
          <t>0736658946819</t>
        </is>
      </c>
      <c r="B6972" t="inlineStr">
        <is>
          <t>Wetbrush Mini Detangler Black 70g</t>
        </is>
      </c>
      <c r="C6972" t="inlineStr">
        <is>
          <t>Detanglers</t>
        </is>
      </c>
      <c r="D6972" t="inlineStr">
        <is>
          <t>Wetbrush</t>
        </is>
      </c>
      <c r="E6972" t="n">
        <v>4.95</v>
      </c>
      <c r="F6972" t="n">
        <v>1</v>
      </c>
      <c r="G6972" t="n">
        <v>57</v>
      </c>
      <c r="H6972" s="5">
        <f>HYPERLINK("https://api.qogita.com/variants/link/0736658946819/", "View Product")</f>
        <v/>
      </c>
    </row>
    <row r="6973">
      <c r="A6973" t="inlineStr">
        <is>
          <t>0736658952940</t>
        </is>
      </c>
      <c r="B6973" t="inlineStr">
        <is>
          <t>Wet Brush Original Detangler Hair Brush Hipster Chevron for All Hair Types</t>
        </is>
      </c>
      <c r="C6973" t="inlineStr">
        <is>
          <t>Detanglers</t>
        </is>
      </c>
      <c r="D6973" t="inlineStr">
        <is>
          <t>Lifeproof</t>
        </is>
      </c>
      <c r="E6973" t="n">
        <v>8.23</v>
      </c>
      <c r="F6973" t="n">
        <v>1</v>
      </c>
      <c r="G6973" t="n">
        <v>72</v>
      </c>
      <c r="H6973" s="5">
        <f>HYPERLINK("https://api.qogita.com/variants/link/0736658952940/", "View Product")</f>
        <v/>
      </c>
    </row>
    <row r="6974">
      <c r="A6974" t="inlineStr">
        <is>
          <t>0736658953152</t>
        </is>
      </c>
      <c r="B6974" t="inlineStr">
        <is>
          <t>Wet Brush Paddle Detangler Brush - Purple</t>
        </is>
      </c>
      <c r="C6974" t="inlineStr">
        <is>
          <t>Flat &amp; Paddle Brushes</t>
        </is>
      </c>
      <c r="D6974" t="inlineStr">
        <is>
          <t>Wet Brush</t>
        </is>
      </c>
      <c r="E6974" t="n">
        <v>5.81</v>
      </c>
      <c r="F6974" t="n">
        <v>1</v>
      </c>
      <c r="G6974" t="n">
        <v>4</v>
      </c>
      <c r="H6974" s="5">
        <f>HYPERLINK("https://api.qogita.com/variants/link/0736658953152/", "View Product")</f>
        <v/>
      </c>
    </row>
    <row r="6975">
      <c r="A6975" t="inlineStr">
        <is>
          <t>0736658953336</t>
        </is>
      </c>
      <c r="B6975" t="inlineStr">
        <is>
          <t>Wet Brush Shine Enhancer Brush with Soft Intelliflex and Natural Boar Bristles Pink</t>
        </is>
      </c>
      <c r="C6975" t="inlineStr">
        <is>
          <t>Flat &amp; Paddle Brushes</t>
        </is>
      </c>
      <c r="D6975" t="inlineStr">
        <is>
          <t>Wet Brush</t>
        </is>
      </c>
      <c r="E6975" t="n">
        <v>8.23</v>
      </c>
      <c r="F6975" t="n">
        <v>1</v>
      </c>
      <c r="G6975" t="n">
        <v>44</v>
      </c>
      <c r="H6975" s="5">
        <f>HYPERLINK("https://api.qogita.com/variants/link/0736658953336/", "View Product")</f>
        <v/>
      </c>
    </row>
    <row r="6976">
      <c r="A6976" t="inlineStr">
        <is>
          <t>0736658953817</t>
        </is>
      </c>
      <c r="B6976" t="inlineStr">
        <is>
          <t>WetBrush Mini Detangler UltraSoft Bristles Travel Perfect Brush Suitable for All Hairtypes Pink</t>
        </is>
      </c>
      <c r="C6976" t="inlineStr">
        <is>
          <t>Detanglers</t>
        </is>
      </c>
      <c r="D6976" t="inlineStr">
        <is>
          <t>Wet Brush</t>
        </is>
      </c>
      <c r="E6976" t="n">
        <v>4.95</v>
      </c>
      <c r="F6976" t="n">
        <v>1</v>
      </c>
      <c r="G6976" t="n">
        <v>63</v>
      </c>
      <c r="H6976" s="5">
        <f>HYPERLINK("https://api.qogita.com/variants/link/0736658953817/", "View Product")</f>
        <v/>
      </c>
    </row>
    <row r="6977">
      <c r="A6977" t="inlineStr">
        <is>
          <t>0737052041285</t>
        </is>
      </c>
      <c r="B6977" t="inlineStr">
        <is>
          <t>Hugo Boss Femme 50ml - Eau De Parfum - Women's Perfume</t>
        </is>
      </c>
      <c r="C6977" t="inlineStr">
        <is>
          <t>Eau De Parfum</t>
        </is>
      </c>
      <c r="D6977" t="inlineStr">
        <is>
          <t>Hugo Boss</t>
        </is>
      </c>
      <c r="E6977" t="n">
        <v>25.44</v>
      </c>
      <c r="F6977" t="n">
        <v>1</v>
      </c>
      <c r="G6977" t="n">
        <v>40</v>
      </c>
      <c r="H6977" s="5">
        <f>HYPERLINK("https://api.qogita.com/variants/link/0737052041285/", "View Product")</f>
        <v/>
      </c>
    </row>
    <row r="6978">
      <c r="A6978" t="inlineStr">
        <is>
          <t>0737052130934</t>
        </is>
      </c>
      <c r="B6978" t="inlineStr">
        <is>
          <t>Boss Hugo XY Male Eau de Toilette Spray 100ml</t>
        </is>
      </c>
      <c r="C6978" t="inlineStr">
        <is>
          <t>Eau De Toilette</t>
        </is>
      </c>
      <c r="D6978" t="inlineStr">
        <is>
          <t>Hugo Boss</t>
        </is>
      </c>
      <c r="E6978" t="n">
        <v>21.59</v>
      </c>
      <c r="F6978" t="n">
        <v>1</v>
      </c>
      <c r="G6978" t="n">
        <v>27</v>
      </c>
      <c r="H6978" s="5">
        <f>HYPERLINK("https://api.qogita.com/variants/link/0737052130934/", "View Product")</f>
        <v/>
      </c>
    </row>
    <row r="6979">
      <c r="A6979" t="inlineStr">
        <is>
          <t>0737052238050</t>
        </is>
      </c>
      <c r="B6979" t="inlineStr">
        <is>
          <t>BOSS Woman Eau de Toilette 30ml Fruity</t>
        </is>
      </c>
      <c r="C6979" t="inlineStr">
        <is>
          <t>Eau De Toilette</t>
        </is>
      </c>
      <c r="D6979" t="inlineStr">
        <is>
          <t>Hugo Boss</t>
        </is>
      </c>
      <c r="E6979" t="n">
        <v>14.1</v>
      </c>
      <c r="F6979" t="n">
        <v>1</v>
      </c>
      <c r="G6979" t="n">
        <v>22</v>
      </c>
      <c r="H6979" s="5">
        <f>HYPERLINK("https://api.qogita.com/variants/link/0737052238050/", "View Product")</f>
        <v/>
      </c>
    </row>
    <row r="6980">
      <c r="A6980" t="inlineStr">
        <is>
          <t>0737052320441</t>
        </is>
      </c>
      <c r="B6980" t="inlineStr">
        <is>
          <t>Hugo Deodorant Stick 75ml</t>
        </is>
      </c>
      <c r="C6980" t="inlineStr">
        <is>
          <t>Deodorant &amp; Anti-Perspirant</t>
        </is>
      </c>
      <c r="D6980" t="inlineStr">
        <is>
          <t>Hugo</t>
        </is>
      </c>
      <c r="E6980" t="n">
        <v>8.640000000000001</v>
      </c>
      <c r="F6980" t="n">
        <v>1</v>
      </c>
      <c r="G6980" t="n">
        <v>842</v>
      </c>
      <c r="H6980" s="5">
        <f>HYPERLINK("https://api.qogita.com/variants/link/0737052320441/", "View Product")</f>
        <v/>
      </c>
    </row>
    <row r="6981">
      <c r="A6981" t="inlineStr">
        <is>
          <t>0737052351001</t>
        </is>
      </c>
      <c r="B6981" t="inlineStr">
        <is>
          <t>Hugo Boss Boss Bottled Eau de Toilette Spray 30ml</t>
        </is>
      </c>
      <c r="C6981" t="inlineStr">
        <is>
          <t>Eau De Toilette</t>
        </is>
      </c>
      <c r="D6981" t="inlineStr">
        <is>
          <t>Hugo Boss</t>
        </is>
      </c>
      <c r="E6981" t="n">
        <v>23.06</v>
      </c>
      <c r="F6981" t="n">
        <v>1</v>
      </c>
      <c r="G6981" t="n">
        <v>5</v>
      </c>
      <c r="H6981" s="5">
        <f>HYPERLINK("https://api.qogita.com/variants/link/0737052351001/", "View Product")</f>
        <v/>
      </c>
    </row>
    <row r="6982">
      <c r="A6982" t="inlineStr">
        <is>
          <t>0737052352060</t>
        </is>
      </c>
      <c r="B6982" t="inlineStr">
        <is>
          <t>Boss Bottled Night Eau De Toilette Spray 100ml</t>
        </is>
      </c>
      <c r="C6982" t="inlineStr">
        <is>
          <t>Eau De Toilette</t>
        </is>
      </c>
      <c r="D6982" t="inlineStr">
        <is>
          <t>Hugo Boss</t>
        </is>
      </c>
      <c r="E6982" t="n">
        <v>32.8</v>
      </c>
      <c r="F6982" t="n">
        <v>1</v>
      </c>
      <c r="G6982" t="n">
        <v>242</v>
      </c>
      <c r="H6982" s="5">
        <f>HYPERLINK("https://api.qogita.com/variants/link/0737052352060/", "View Product")</f>
        <v/>
      </c>
    </row>
    <row r="6983">
      <c r="A6983" t="inlineStr">
        <is>
          <t>0737052432953</t>
        </is>
      </c>
      <c r="B6983" t="inlineStr">
        <is>
          <t>Avril Lavigne Wild Rose Deodorant Spray 150ml</t>
        </is>
      </c>
      <c r="C6983" t="inlineStr">
        <is>
          <t>Deodorant &amp; Anti-Perspirant</t>
        </is>
      </c>
      <c r="D6983" t="inlineStr">
        <is>
          <t>Avril Lavigne</t>
        </is>
      </c>
      <c r="E6983" t="n">
        <v>4.71</v>
      </c>
      <c r="F6983" t="n">
        <v>1</v>
      </c>
      <c r="G6983" t="n">
        <v>21</v>
      </c>
      <c r="H6983" s="5">
        <f>HYPERLINK("https://api.qogita.com/variants/link/0737052432953/", "View Product")</f>
        <v/>
      </c>
    </row>
    <row r="6984">
      <c r="A6984" t="inlineStr">
        <is>
          <t>0737052435640</t>
        </is>
      </c>
      <c r="B6984" t="inlineStr">
        <is>
          <t>Puma Jam Woman Shower Gel 150ml</t>
        </is>
      </c>
      <c r="C6984" t="inlineStr">
        <is>
          <t>Shower Gel</t>
        </is>
      </c>
      <c r="D6984" t="inlineStr">
        <is>
          <t>Puma</t>
        </is>
      </c>
      <c r="E6984" t="n">
        <v>3.13</v>
      </c>
      <c r="F6984" t="n">
        <v>1</v>
      </c>
      <c r="G6984" t="n">
        <v>64</v>
      </c>
      <c r="H6984" s="5">
        <f>HYPERLINK("https://api.qogita.com/variants/link/0737052435640/", "View Product")</f>
        <v/>
      </c>
    </row>
    <row r="6985">
      <c r="A6985" t="inlineStr">
        <is>
          <t>0737052681733</t>
        </is>
      </c>
      <c r="B6985" t="inlineStr">
        <is>
          <t>Mexx Man Eau de Toilette Spray 30ml</t>
        </is>
      </c>
      <c r="C6985" t="inlineStr">
        <is>
          <t>Eau De Toilette</t>
        </is>
      </c>
      <c r="D6985" t="inlineStr">
        <is>
          <t>Mexx</t>
        </is>
      </c>
      <c r="E6985" t="n">
        <v>6.51</v>
      </c>
      <c r="F6985" t="n">
        <v>1</v>
      </c>
      <c r="G6985" t="n">
        <v>14</v>
      </c>
      <c r="H6985" s="5">
        <f>HYPERLINK("https://api.qogita.com/variants/link/0737052681733/", "View Product")</f>
        <v/>
      </c>
    </row>
    <row r="6986">
      <c r="A6986" t="inlineStr">
        <is>
          <t>0737052682471</t>
        </is>
      </c>
      <c r="B6986" t="inlineStr">
        <is>
          <t>Mexx Woman Eau De Parfum Spray 40ml</t>
        </is>
      </c>
      <c r="C6986" t="inlineStr">
        <is>
          <t>Eau De Parfum</t>
        </is>
      </c>
      <c r="D6986" t="inlineStr">
        <is>
          <t>Mexx</t>
        </is>
      </c>
      <c r="E6986" t="n">
        <v>13.85</v>
      </c>
      <c r="F6986" t="n">
        <v>1</v>
      </c>
      <c r="G6986" t="n">
        <v>8</v>
      </c>
      <c r="H6986" s="5">
        <f>HYPERLINK("https://api.qogita.com/variants/link/0737052682471/", "View Product")</f>
        <v/>
      </c>
    </row>
    <row r="6987">
      <c r="A6987" t="inlineStr">
        <is>
          <t>0737052802770</t>
        </is>
      </c>
      <c r="B6987" t="inlineStr">
        <is>
          <t>Hugo Boss Ma Vie Eau de Parfum 50ml</t>
        </is>
      </c>
      <c r="C6987" t="inlineStr">
        <is>
          <t>Eau De Parfum</t>
        </is>
      </c>
      <c r="D6987" t="inlineStr">
        <is>
          <t>Hugo Boss</t>
        </is>
      </c>
      <c r="E6987" t="n">
        <v>25.02</v>
      </c>
      <c r="F6987" t="n">
        <v>1</v>
      </c>
      <c r="G6987" t="n">
        <v>256</v>
      </c>
      <c r="H6987" s="5">
        <f>HYPERLINK("https://api.qogita.com/variants/link/0737052802770/", "View Product")</f>
        <v/>
      </c>
    </row>
    <row r="6988">
      <c r="A6988" t="inlineStr">
        <is>
          <t>0737052893877</t>
        </is>
      </c>
      <c r="B6988" t="inlineStr">
        <is>
          <t>Hugo Boss Hugo Woman Eau De Parfum Spray 50ml</t>
        </is>
      </c>
      <c r="C6988" t="inlineStr">
        <is>
          <t>Eau De Parfum</t>
        </is>
      </c>
      <c r="D6988" t="inlineStr">
        <is>
          <t>Hugo Boss</t>
        </is>
      </c>
      <c r="E6988" t="n">
        <v>23.06</v>
      </c>
      <c r="F6988" t="n">
        <v>1</v>
      </c>
      <c r="G6988" t="n">
        <v>404</v>
      </c>
      <c r="H6988" s="5">
        <f>HYPERLINK("https://api.qogita.com/variants/link/0737052893877/", "View Product")</f>
        <v/>
      </c>
    </row>
    <row r="6989">
      <c r="A6989" t="inlineStr">
        <is>
          <t>0737052904757</t>
        </is>
      </c>
      <c r="B6989" t="inlineStr">
        <is>
          <t>Bruno Banani Absolute Woman Eau De Cologne Spray 40ml</t>
        </is>
      </c>
      <c r="C6989" t="inlineStr">
        <is>
          <t>Eau De Cologne</t>
        </is>
      </c>
      <c r="D6989" t="inlineStr">
        <is>
          <t>Bruno Banani</t>
        </is>
      </c>
      <c r="E6989" t="n">
        <v>8.550000000000001</v>
      </c>
      <c r="F6989" t="n">
        <v>1</v>
      </c>
      <c r="G6989" t="n">
        <v>5</v>
      </c>
      <c r="H6989" s="5">
        <f>HYPERLINK("https://api.qogita.com/variants/link/0737052904757/", "View Product")</f>
        <v/>
      </c>
    </row>
    <row r="6990">
      <c r="A6990" t="inlineStr">
        <is>
          <t>0737052925028</t>
        </is>
      </c>
      <c r="B6990" t="inlineStr">
        <is>
          <t>Gucci Bamboo Eau de Parfum for Women 30ml</t>
        </is>
      </c>
      <c r="C6990" t="inlineStr">
        <is>
          <t>Eau De Parfum</t>
        </is>
      </c>
      <c r="D6990" t="inlineStr">
        <is>
          <t>Gucci</t>
        </is>
      </c>
      <c r="E6990" t="n">
        <v>46.89</v>
      </c>
      <c r="F6990" t="n">
        <v>1</v>
      </c>
      <c r="G6990" t="n">
        <v>5</v>
      </c>
      <c r="H6990" s="5">
        <f>HYPERLINK("https://api.qogita.com/variants/link/0737052925028/", "View Product")</f>
        <v/>
      </c>
    </row>
    <row r="6991">
      <c r="A6991" t="inlineStr">
        <is>
          <t>0737052925127</t>
        </is>
      </c>
      <c r="B6991" t="inlineStr">
        <is>
          <t>Gucci Bamboo EDP Spray 75ml</t>
        </is>
      </c>
      <c r="C6991" t="inlineStr">
        <is>
          <t>Eau De Parfum</t>
        </is>
      </c>
      <c r="D6991" t="inlineStr">
        <is>
          <t>Gucci</t>
        </is>
      </c>
      <c r="E6991" t="n">
        <v>53.25</v>
      </c>
      <c r="F6991" t="n">
        <v>1</v>
      </c>
      <c r="G6991" t="n">
        <v>4</v>
      </c>
      <c r="H6991" s="5">
        <f>HYPERLINK("https://api.qogita.com/variants/link/0737052925127/", "View Product")</f>
        <v/>
      </c>
    </row>
    <row r="6992">
      <c r="A6992" t="inlineStr">
        <is>
          <t>0737052992785</t>
        </is>
      </c>
      <c r="B6992" t="inlineStr">
        <is>
          <t>Hugo Boss The Scent Deodorant Mens Gents Spray 150ml</t>
        </is>
      </c>
      <c r="C6992" t="inlineStr">
        <is>
          <t>Deodorant &amp; Anti-Perspirant</t>
        </is>
      </c>
      <c r="D6992" t="inlineStr">
        <is>
          <t>Hugo Boss</t>
        </is>
      </c>
      <c r="E6992" t="n">
        <v>9.65</v>
      </c>
      <c r="F6992" t="n">
        <v>1</v>
      </c>
      <c r="G6992" t="n">
        <v>250</v>
      </c>
      <c r="H6992" s="5">
        <f>HYPERLINK("https://api.qogita.com/variants/link/0737052992785/", "View Product")</f>
        <v/>
      </c>
    </row>
    <row r="6993">
      <c r="A6993" t="inlineStr">
        <is>
          <t>0738623011782</t>
        </is>
      </c>
      <c r="B6993" t="inlineStr">
        <is>
          <t>Denman D7 Compact Popper Hairbrush D007ebsr</t>
        </is>
      </c>
      <c r="C6993" t="inlineStr">
        <is>
          <t>Round Brushes</t>
        </is>
      </c>
      <c r="D6993" t="inlineStr">
        <is>
          <t>Denman</t>
        </is>
      </c>
      <c r="E6993" t="n">
        <v>4.88</v>
      </c>
      <c r="F6993" t="n">
        <v>1</v>
      </c>
      <c r="G6993" t="n">
        <v>2</v>
      </c>
      <c r="H6993" s="5">
        <f>HYPERLINK("https://api.qogita.com/variants/link/0738623011782/", "View Product")</f>
        <v/>
      </c>
    </row>
    <row r="6994">
      <c r="A6994" t="inlineStr">
        <is>
          <t>0738678001035</t>
        </is>
      </c>
      <c r="B6994" t="inlineStr">
        <is>
          <t>American Crew Daily Moisturizing Conditioner Vegan and Silicone Free 450ml</t>
        </is>
      </c>
      <c r="C6994" t="inlineStr">
        <is>
          <t>Conditioner</t>
        </is>
      </c>
      <c r="D6994" t="inlineStr">
        <is>
          <t>American Crew</t>
        </is>
      </c>
      <c r="E6994" t="n">
        <v>10.31</v>
      </c>
      <c r="F6994" t="n">
        <v>1</v>
      </c>
      <c r="G6994" t="n">
        <v>7</v>
      </c>
      <c r="H6994" s="5">
        <f>HYPERLINK("https://api.qogita.com/variants/link/0738678001035/", "View Product")</f>
        <v/>
      </c>
    </row>
    <row r="6995">
      <c r="A6995" t="inlineStr">
        <is>
          <t>0738678001066</t>
        </is>
      </c>
      <c r="B6995" t="inlineStr">
        <is>
          <t>American Crew Daily Deep Moisturizing Shampoo Vegan and Silicone Free 450ml</t>
        </is>
      </c>
      <c r="C6995" t="inlineStr">
        <is>
          <t>Shampoo</t>
        </is>
      </c>
      <c r="D6995" t="inlineStr">
        <is>
          <t>American Crew</t>
        </is>
      </c>
      <c r="E6995" t="n">
        <v>9.35</v>
      </c>
      <c r="F6995" t="n">
        <v>1</v>
      </c>
      <c r="G6995" t="n">
        <v>4</v>
      </c>
      <c r="H6995" s="5">
        <f>HYPERLINK("https://api.qogita.com/variants/link/0738678001066/", "View Product")</f>
        <v/>
      </c>
    </row>
    <row r="6996">
      <c r="A6996" t="inlineStr">
        <is>
          <t>0738678001097</t>
        </is>
      </c>
      <c r="B6996" t="inlineStr">
        <is>
          <t>American Crew Detox Shampoo For Men 33.8oz</t>
        </is>
      </c>
      <c r="C6996" t="inlineStr">
        <is>
          <t>Shampoo</t>
        </is>
      </c>
      <c r="D6996" t="inlineStr">
        <is>
          <t>American Crew</t>
        </is>
      </c>
      <c r="E6996" t="n">
        <v>18.4</v>
      </c>
      <c r="F6996" t="n">
        <v>1</v>
      </c>
      <c r="G6996" t="n">
        <v>2</v>
      </c>
      <c r="H6996" s="5">
        <f>HYPERLINK("https://api.qogita.com/variants/link/0738678001097/", "View Product")</f>
        <v/>
      </c>
    </row>
    <row r="6997">
      <c r="A6997" t="inlineStr">
        <is>
          <t>0738678001325</t>
        </is>
      </c>
      <c r="B6997" t="inlineStr">
        <is>
          <t>American Crew Daily Moisturizing Conditioner 250ml</t>
        </is>
      </c>
      <c r="C6997" t="inlineStr">
        <is>
          <t>Conditioner</t>
        </is>
      </c>
      <c r="D6997" t="inlineStr">
        <is>
          <t>American Crew</t>
        </is>
      </c>
      <c r="E6997" t="n">
        <v>7.08</v>
      </c>
      <c r="F6997" t="n">
        <v>1</v>
      </c>
      <c r="G6997" t="n">
        <v>18</v>
      </c>
      <c r="H6997" s="5">
        <f>HYPERLINK("https://api.qogita.com/variants/link/0738678001325/", "View Product")</f>
        <v/>
      </c>
    </row>
    <row r="6998">
      <c r="A6998" t="inlineStr">
        <is>
          <t>0738678002674</t>
        </is>
      </c>
      <c r="B6998" t="inlineStr">
        <is>
          <t>American Crew Defining Paste Medium Hold Low Shine Hair Styling Wax for Men 85g</t>
        </is>
      </c>
      <c r="C6998" t="inlineStr">
        <is>
          <t>Wax</t>
        </is>
      </c>
      <c r="D6998" t="inlineStr">
        <is>
          <t>American Crew</t>
        </is>
      </c>
      <c r="E6998" t="n">
        <v>9.199999999999999</v>
      </c>
      <c r="F6998" t="n">
        <v>1</v>
      </c>
      <c r="G6998" t="n">
        <v>40</v>
      </c>
      <c r="H6998" s="5">
        <f>HYPERLINK("https://api.qogita.com/variants/link/0738678002674/", "View Product")</f>
        <v/>
      </c>
    </row>
    <row r="6999">
      <c r="A6999" t="inlineStr">
        <is>
          <t>0738678002728</t>
        </is>
      </c>
      <c r="B6999" t="inlineStr">
        <is>
          <t>American Crew Molding Clay 85ml 3oz</t>
        </is>
      </c>
      <c r="C6999" t="inlineStr">
        <is>
          <t>Wax</t>
        </is>
      </c>
      <c r="D6999" t="inlineStr">
        <is>
          <t>American Crew</t>
        </is>
      </c>
      <c r="E6999" t="n">
        <v>9.23</v>
      </c>
      <c r="F6999" t="n">
        <v>1</v>
      </c>
      <c r="G6999" t="n">
        <v>3</v>
      </c>
      <c r="H6999" s="5">
        <f>HYPERLINK("https://api.qogita.com/variants/link/0738678002728/", "View Product")</f>
        <v/>
      </c>
    </row>
    <row r="7000">
      <c r="A7000" t="inlineStr">
        <is>
          <t>0738678002742</t>
        </is>
      </c>
      <c r="B7000" t="inlineStr">
        <is>
          <t>American Crew Heavy Hold Pomade 85g - Styling Product for Men with Extreme Hold and High Shine - Water-Based</t>
        </is>
      </c>
      <c r="C7000" t="inlineStr">
        <is>
          <t>Gel</t>
        </is>
      </c>
      <c r="D7000" t="inlineStr">
        <is>
          <t>American Crew</t>
        </is>
      </c>
      <c r="E7000" t="n">
        <v>8.859999999999999</v>
      </c>
      <c r="F7000" t="n">
        <v>1</v>
      </c>
      <c r="G7000" t="n">
        <v>52</v>
      </c>
      <c r="H7000" s="5">
        <f>HYPERLINK("https://api.qogita.com/variants/link/0738678002742/", "View Product")</f>
        <v/>
      </c>
    </row>
    <row r="7001">
      <c r="A7001" t="inlineStr">
        <is>
          <t>0738678002759</t>
        </is>
      </c>
      <c r="B7001" t="inlineStr">
        <is>
          <t>American Crew Texturizing Matte Clay with Medium Hold and Low Shine 85g</t>
        </is>
      </c>
      <c r="C7001" t="inlineStr">
        <is>
          <t>Wax</t>
        </is>
      </c>
      <c r="D7001" t="inlineStr">
        <is>
          <t>American Crew</t>
        </is>
      </c>
      <c r="E7001" t="n">
        <v>9.970000000000001</v>
      </c>
      <c r="F7001" t="n">
        <v>1</v>
      </c>
      <c r="G7001" t="n">
        <v>19</v>
      </c>
      <c r="H7001" s="5">
        <f>HYPERLINK("https://api.qogita.com/variants/link/0738678002759/", "View Product")</f>
        <v/>
      </c>
    </row>
    <row r="7002">
      <c r="A7002" t="inlineStr">
        <is>
          <t>0738678002766</t>
        </is>
      </c>
      <c r="B7002" t="inlineStr">
        <is>
          <t>American Crew Grooming Cream 85g Coconut</t>
        </is>
      </c>
      <c r="C7002" t="inlineStr">
        <is>
          <t>Styling Creams</t>
        </is>
      </c>
      <c r="D7002" t="inlineStr">
        <is>
          <t>American Crew</t>
        </is>
      </c>
      <c r="E7002" t="n">
        <v>8.27</v>
      </c>
      <c r="F7002" t="n">
        <v>1</v>
      </c>
      <c r="G7002" t="n">
        <v>50</v>
      </c>
      <c r="H7002" s="5">
        <f>HYPERLINK("https://api.qogita.com/variants/link/0738678002766/", "View Product")</f>
        <v/>
      </c>
    </row>
    <row r="7003">
      <c r="A7003" t="inlineStr">
        <is>
          <t>0738678003305</t>
        </is>
      </c>
      <c r="B7003" t="inlineStr">
        <is>
          <t>American Crew 3-IN-1 Ginger + Tea Shampoo, Conditioner and Body Wash 33.8 Fl Oz</t>
        </is>
      </c>
      <c r="C7003" t="inlineStr">
        <is>
          <t>Shampoo</t>
        </is>
      </c>
      <c r="D7003" t="inlineStr">
        <is>
          <t>American Crew</t>
        </is>
      </c>
      <c r="E7003" t="n">
        <v>18.22</v>
      </c>
      <c r="F7003" t="n">
        <v>1</v>
      </c>
      <c r="G7003" t="n">
        <v>5</v>
      </c>
      <c r="H7003" s="5">
        <f>HYPERLINK("https://api.qogita.com/variants/link/0738678003305/", "View Product")</f>
        <v/>
      </c>
    </row>
    <row r="7004">
      <c r="A7004" t="inlineStr">
        <is>
          <t>0738678003381</t>
        </is>
      </c>
      <c r="B7004" t="inlineStr">
        <is>
          <t>American Crew 3-IN-1 Chamomile Pine Shampoo Conditioner and Body Wash 8.4 Fl Oz</t>
        </is>
      </c>
      <c r="C7004" t="inlineStr">
        <is>
          <t>Shampoo</t>
        </is>
      </c>
      <c r="D7004" t="inlineStr">
        <is>
          <t>American Crew</t>
        </is>
      </c>
      <c r="E7004" t="n">
        <v>6.37</v>
      </c>
      <c r="F7004" t="n">
        <v>1</v>
      </c>
      <c r="G7004" t="n">
        <v>5</v>
      </c>
      <c r="H7004" s="5">
        <f>HYPERLINK("https://api.qogita.com/variants/link/0738678003381/", "View Product")</f>
        <v/>
      </c>
    </row>
    <row r="7005">
      <c r="A7005" t="inlineStr">
        <is>
          <t>0738678003398</t>
        </is>
      </c>
      <c r="B7005" t="inlineStr">
        <is>
          <t>American Crew 3-IN-1 Ginger + Tea Shampoo, Conditioner and Body Wash 8.4 Fl Oz</t>
        </is>
      </c>
      <c r="C7005" t="inlineStr">
        <is>
          <t>Shampoo</t>
        </is>
      </c>
      <c r="D7005" t="inlineStr">
        <is>
          <t>American Crew</t>
        </is>
      </c>
      <c r="E7005" t="n">
        <v>7.04</v>
      </c>
      <c r="F7005" t="n">
        <v>1</v>
      </c>
      <c r="G7005" t="n">
        <v>3</v>
      </c>
      <c r="H7005" s="5">
        <f>HYPERLINK("https://api.qogita.com/variants/link/0738678003398/", "View Product")</f>
        <v/>
      </c>
    </row>
    <row r="7006">
      <c r="A7006" t="inlineStr">
        <is>
          <t>0741021005642</t>
        </is>
      </c>
      <c r="B7006" t="inlineStr">
        <is>
          <t>Daily Concepts Daily Jade Facial Roller for Brighter Glowing Skin 150g</t>
        </is>
      </c>
      <c r="C7006" t="inlineStr">
        <is>
          <t>Facial Massage</t>
        </is>
      </c>
      <c r="D7006" t="inlineStr">
        <is>
          <t>Daily Concepts</t>
        </is>
      </c>
      <c r="E7006" t="n">
        <v>8.5</v>
      </c>
      <c r="F7006" t="n">
        <v>1</v>
      </c>
      <c r="G7006" t="n">
        <v>7</v>
      </c>
      <c r="H7006" s="5">
        <f>HYPERLINK("https://api.qogita.com/variants/link/0741021005642/", "View Product")</f>
        <v/>
      </c>
    </row>
    <row r="7007">
      <c r="A7007" t="inlineStr">
        <is>
          <t>0741021007240</t>
        </is>
      </c>
      <c r="B7007" t="inlineStr">
        <is>
          <t>Daily Concepts Daily Opal Facial Roller Helps Flush Lymphatic System, Increase Circulation, Reduce Puffiness and Spread Positivity Vegan 150g</t>
        </is>
      </c>
      <c r="C7007" t="inlineStr">
        <is>
          <t>Facial Massage</t>
        </is>
      </c>
      <c r="D7007" t="inlineStr">
        <is>
          <t>Daily Concepts</t>
        </is>
      </c>
      <c r="E7007" t="n">
        <v>14.96</v>
      </c>
      <c r="F7007" t="n">
        <v>1</v>
      </c>
      <c r="G7007" t="n">
        <v>5</v>
      </c>
      <c r="H7007" s="5">
        <f>HYPERLINK("https://api.qogita.com/variants/link/0741021007240/", "View Product")</f>
        <v/>
      </c>
    </row>
    <row r="7008">
      <c r="A7008" t="inlineStr">
        <is>
          <t>0742271477142</t>
        </is>
      </c>
      <c r="B7008" t="inlineStr">
        <is>
          <t>Q+A Ginger Root Daily Moisturiser - Calming Face Moisturiser</t>
        </is>
      </c>
      <c r="C7008" t="inlineStr">
        <is>
          <t>Day Cream</t>
        </is>
      </c>
      <c r="D7008" t="inlineStr">
        <is>
          <t>Q+A</t>
        </is>
      </c>
      <c r="E7008" t="n">
        <v>6.95</v>
      </c>
      <c r="F7008" t="n">
        <v>1</v>
      </c>
      <c r="G7008" t="n">
        <v>5</v>
      </c>
      <c r="H7008" s="5">
        <f>HYPERLINK("https://api.qogita.com/variants/link/0742271477142/", "View Product")</f>
        <v/>
      </c>
    </row>
    <row r="7009">
      <c r="A7009" t="inlineStr">
        <is>
          <t>0746935352769</t>
        </is>
      </c>
      <c r="B7009" t="inlineStr">
        <is>
          <t>Delhicious Min-tea Moisture Body Balm 100% Natural Moisturizer for Dry Skin Vegan &amp; Plastic Free 70g</t>
        </is>
      </c>
      <c r="C7009" t="inlineStr">
        <is>
          <t>Body Butter</t>
        </is>
      </c>
      <c r="D7009" t="inlineStr">
        <is>
          <t>Delhicious</t>
        </is>
      </c>
      <c r="E7009" t="n">
        <v>13.41</v>
      </c>
      <c r="F7009" t="n">
        <v>1</v>
      </c>
      <c r="G7009" t="n">
        <v>5</v>
      </c>
      <c r="H7009" s="5">
        <f>HYPERLINK("https://api.qogita.com/variants/link/0746935352769/", "View Product")</f>
        <v/>
      </c>
    </row>
    <row r="7010">
      <c r="A7010" t="inlineStr">
        <is>
          <t>0747930006459</t>
        </is>
      </c>
      <c r="B7010" t="inlineStr">
        <is>
          <t>La Mer Cream of the Sea 250ml</t>
        </is>
      </c>
      <c r="C7010" t="inlineStr">
        <is>
          <t>Face Cream</t>
        </is>
      </c>
      <c r="D7010" t="inlineStr">
        <is>
          <t>La Mer</t>
        </is>
      </c>
      <c r="E7010" t="n">
        <v>1048.97</v>
      </c>
      <c r="F7010" t="n">
        <v>1</v>
      </c>
      <c r="G7010" t="n">
        <v>2</v>
      </c>
      <c r="H7010" s="5">
        <f>HYPERLINK("https://api.qogita.com/variants/link/0747930006459/", "View Product")</f>
        <v/>
      </c>
    </row>
    <row r="7011">
      <c r="A7011" t="inlineStr">
        <is>
          <t>0747930025771</t>
        </is>
      </c>
      <c r="B7011" t="inlineStr">
        <is>
          <t>La Mer Eye Contour Balm 15ml</t>
        </is>
      </c>
      <c r="C7011" t="inlineStr">
        <is>
          <t>Eye Cream</t>
        </is>
      </c>
      <c r="D7011" t="inlineStr">
        <is>
          <t>La Mer</t>
        </is>
      </c>
      <c r="E7011" t="n">
        <v>175.26</v>
      </c>
      <c r="F7011" t="n">
        <v>1</v>
      </c>
      <c r="G7011" t="n">
        <v>14</v>
      </c>
      <c r="H7011" s="5">
        <f>HYPERLINK("https://api.qogita.com/variants/link/0747930025771/", "View Product")</f>
        <v/>
      </c>
    </row>
    <row r="7012">
      <c r="A7012" t="inlineStr">
        <is>
          <t>0747930066989</t>
        </is>
      </c>
      <c r="B7012" t="inlineStr">
        <is>
          <t>La Mer Powder Brush 2g</t>
        </is>
      </c>
      <c r="C7012" t="inlineStr">
        <is>
          <t>Powder Brushes</t>
        </is>
      </c>
      <c r="D7012" t="inlineStr">
        <is>
          <t>La Mer</t>
        </is>
      </c>
      <c r="E7012" t="n">
        <v>59.5</v>
      </c>
      <c r="F7012" t="n">
        <v>1</v>
      </c>
      <c r="G7012" t="n">
        <v>1</v>
      </c>
      <c r="H7012" s="5">
        <f>HYPERLINK("https://api.qogita.com/variants/link/0747930066989/", "View Product")</f>
        <v/>
      </c>
    </row>
    <row r="7013">
      <c r="A7013" t="inlineStr">
        <is>
          <t>0747930096689</t>
        </is>
      </c>
      <c r="B7013" t="inlineStr">
        <is>
          <t>La Mer The Lifting Firming Serum 30ml</t>
        </is>
      </c>
      <c r="C7013" t="inlineStr">
        <is>
          <t>Anti-Aging Serum</t>
        </is>
      </c>
      <c r="D7013" t="inlineStr">
        <is>
          <t>La Mer</t>
        </is>
      </c>
      <c r="E7013" t="n">
        <v>287.81</v>
      </c>
      <c r="F7013" t="n">
        <v>1</v>
      </c>
      <c r="G7013" t="n">
        <v>2</v>
      </c>
      <c r="H7013" s="5">
        <f>HYPERLINK("https://api.qogita.com/variants/link/0747930096689/", "View Product")</f>
        <v/>
      </c>
    </row>
    <row r="7014">
      <c r="A7014" t="inlineStr">
        <is>
          <t>0747930096795</t>
        </is>
      </c>
      <c r="B7014" t="inlineStr">
        <is>
          <t>LA MER The Concentrate Serum 30ml</t>
        </is>
      </c>
      <c r="C7014" t="inlineStr">
        <is>
          <t>Hydrating Serum</t>
        </is>
      </c>
      <c r="D7014" t="inlineStr">
        <is>
          <t>La Mer</t>
        </is>
      </c>
      <c r="E7014" t="n">
        <v>303.14</v>
      </c>
      <c r="F7014" t="n">
        <v>1</v>
      </c>
      <c r="G7014" t="n">
        <v>2</v>
      </c>
      <c r="H7014" s="5">
        <f>HYPERLINK("https://api.qogita.com/variants/link/0747930096795/", "View Product")</f>
        <v/>
      </c>
    </row>
    <row r="7015">
      <c r="A7015" t="inlineStr">
        <is>
          <t>0747930098928</t>
        </is>
      </c>
      <c r="B7015" t="inlineStr">
        <is>
          <t>Wella Professionals True Grey Light Pearl Mist 60ml</t>
        </is>
      </c>
      <c r="C7015" t="inlineStr">
        <is>
          <t>Uv Protection</t>
        </is>
      </c>
      <c r="D7015" t="inlineStr">
        <is>
          <t>La Mer</t>
        </is>
      </c>
      <c r="E7015" t="n">
        <v>68.56999999999999</v>
      </c>
      <c r="F7015" t="n">
        <v>1</v>
      </c>
      <c r="G7015" t="n">
        <v>18</v>
      </c>
      <c r="H7015" s="5">
        <f>HYPERLINK("https://api.qogita.com/variants/link/0747930098928/", "View Product")</f>
        <v/>
      </c>
    </row>
    <row r="7016">
      <c r="A7016" t="inlineStr">
        <is>
          <t>0747930139850</t>
        </is>
      </c>
      <c r="B7016" t="inlineStr">
        <is>
          <t>La Mer The Moisturizing Soft Cream 30ml</t>
        </is>
      </c>
      <c r="C7016" t="inlineStr">
        <is>
          <t>Face Cream</t>
        </is>
      </c>
      <c r="D7016" t="inlineStr">
        <is>
          <t>La Mer</t>
        </is>
      </c>
      <c r="E7016" t="n">
        <v>150.32</v>
      </c>
      <c r="F7016" t="n">
        <v>1</v>
      </c>
      <c r="G7016" t="n">
        <v>3</v>
      </c>
      <c r="H7016" s="5">
        <f>HYPERLINK("https://api.qogita.com/variants/link/0747930139850/", "View Product")</f>
        <v/>
      </c>
    </row>
    <row r="7017">
      <c r="A7017" t="inlineStr">
        <is>
          <t>0747930145288</t>
        </is>
      </c>
      <c r="B7017" t="inlineStr">
        <is>
          <t>LA MER Limited Edition Smoothing Moisture Collection</t>
        </is>
      </c>
      <c r="C7017" t="inlineStr">
        <is>
          <t>Facial Care Sets</t>
        </is>
      </c>
      <c r="D7017" t="inlineStr">
        <is>
          <t>La Mer</t>
        </is>
      </c>
      <c r="E7017" t="n">
        <v>281.55</v>
      </c>
      <c r="F7017" t="n">
        <v>1</v>
      </c>
      <c r="G7017" t="n">
        <v>2</v>
      </c>
      <c r="H7017" s="5">
        <f>HYPERLINK("https://api.qogita.com/variants/link/0747930145288/", "View Product")</f>
        <v/>
      </c>
    </row>
    <row r="7018">
      <c r="A7018" t="inlineStr">
        <is>
          <t>0750258322521</t>
        </is>
      </c>
      <c r="B7018" t="inlineStr">
        <is>
          <t>The Base Foundation Powerful 35ml</t>
        </is>
      </c>
      <c r="C7018" t="inlineStr">
        <is>
          <t>Foundation</t>
        </is>
      </c>
      <c r="D7018" t="inlineStr">
        <is>
          <t>Big</t>
        </is>
      </c>
      <c r="E7018" t="n">
        <v>22.71</v>
      </c>
      <c r="F7018" t="n">
        <v>1</v>
      </c>
      <c r="G7018" t="n">
        <v>7</v>
      </c>
      <c r="H7018" s="5">
        <f>HYPERLINK("https://api.qogita.com/variants/link/0750258322521/", "View Product")</f>
        <v/>
      </c>
    </row>
    <row r="7019">
      <c r="A7019" t="inlineStr">
        <is>
          <t>0750258322545</t>
        </is>
      </c>
      <c r="B7019" t="inlineStr">
        <is>
          <t>THE BASE Foundation Brave 35ml</t>
        </is>
      </c>
      <c r="C7019" t="inlineStr">
        <is>
          <t>Foundation</t>
        </is>
      </c>
      <c r="D7019" t="inlineStr">
        <is>
          <t>Base Of Sweden</t>
        </is>
      </c>
      <c r="E7019" t="n">
        <v>21.56</v>
      </c>
      <c r="F7019" t="n">
        <v>1</v>
      </c>
      <c r="G7019" t="n">
        <v>8</v>
      </c>
      <c r="H7019" s="5">
        <f>HYPERLINK("https://api.qogita.com/variants/link/0750258322545/", "View Product")</f>
        <v/>
      </c>
    </row>
    <row r="7020">
      <c r="A7020" t="inlineStr">
        <is>
          <t>0752110710095</t>
        </is>
      </c>
      <c r="B7020" t="inlineStr">
        <is>
          <t>Olivia Garden Classic Pro Thermal 1 1/4 Inch</t>
        </is>
      </c>
      <c r="C7020" t="inlineStr">
        <is>
          <t>Round Brushes</t>
        </is>
      </c>
      <c r="D7020" t="inlineStr">
        <is>
          <t>Olivia Garden</t>
        </is>
      </c>
      <c r="E7020" t="n">
        <v>8.449999999999999</v>
      </c>
      <c r="F7020" t="n">
        <v>1</v>
      </c>
      <c r="G7020" t="n">
        <v>13</v>
      </c>
      <c r="H7020" s="5">
        <f>HYPERLINK("https://api.qogita.com/variants/link/0752110710095/", "View Product")</f>
        <v/>
      </c>
    </row>
    <row r="7021">
      <c r="A7021" t="inlineStr">
        <is>
          <t>0752110710118</t>
        </is>
      </c>
      <c r="B7021" t="inlineStr">
        <is>
          <t>Olivia Garden Classic Pro Thermal 2 1/4 Inch</t>
        </is>
      </c>
      <c r="C7021" t="inlineStr">
        <is>
          <t>Round Brushes</t>
        </is>
      </c>
      <c r="D7021" t="inlineStr">
        <is>
          <t>Olivia Garden</t>
        </is>
      </c>
      <c r="E7021" t="n">
        <v>10.27</v>
      </c>
      <c r="F7021" t="n">
        <v>1</v>
      </c>
      <c r="G7021" t="n">
        <v>4</v>
      </c>
      <c r="H7021" s="5">
        <f>HYPERLINK("https://api.qogita.com/variants/link/0752110710118/", "View Product")</f>
        <v/>
      </c>
    </row>
    <row r="7022">
      <c r="A7022" t="inlineStr">
        <is>
          <t>0752110710132</t>
        </is>
      </c>
      <c r="B7022" t="inlineStr">
        <is>
          <t>Olivia Garden Pro Thermal T63 Mega Hairbrush 63/85mm</t>
        </is>
      </c>
      <c r="C7022" t="inlineStr">
        <is>
          <t>Round Brushes</t>
        </is>
      </c>
      <c r="D7022" t="inlineStr">
        <is>
          <t>Olivia Garden</t>
        </is>
      </c>
      <c r="E7022" t="n">
        <v>13.08</v>
      </c>
      <c r="F7022" t="n">
        <v>1</v>
      </c>
      <c r="G7022" t="n">
        <v>3</v>
      </c>
      <c r="H7022" s="5">
        <f>HYPERLINK("https://api.qogita.com/variants/link/0752110710132/", "View Product")</f>
        <v/>
      </c>
    </row>
    <row r="7023">
      <c r="A7023" t="inlineStr">
        <is>
          <t>0752110716967</t>
        </is>
      </c>
      <c r="B7023" t="inlineStr">
        <is>
          <t>Olivia Garden Nanothermic Ceramic Ion Flex Scalp-Hugging Vented Hair Brush</t>
        </is>
      </c>
      <c r="C7023" t="inlineStr">
        <is>
          <t>Round Brushes</t>
        </is>
      </c>
      <c r="D7023" t="inlineStr">
        <is>
          <t>Olivia Garden</t>
        </is>
      </c>
      <c r="E7023" t="n">
        <v>10.48</v>
      </c>
      <c r="F7023" t="n">
        <v>1</v>
      </c>
      <c r="G7023" t="n">
        <v>3</v>
      </c>
      <c r="H7023" s="5">
        <f>HYPERLINK("https://api.qogita.com/variants/link/0752110716967/", "View Product")</f>
        <v/>
      </c>
    </row>
    <row r="7024">
      <c r="A7024" t="inlineStr">
        <is>
          <t>0752110717414</t>
        </is>
      </c>
      <c r="B7024" t="inlineStr">
        <is>
          <t>Olivia Garden iDetangle Medium Hair Brush</t>
        </is>
      </c>
      <c r="C7024" t="inlineStr">
        <is>
          <t>Detanglers</t>
        </is>
      </c>
      <c r="D7024" t="inlineStr">
        <is>
          <t>Olivia Garden</t>
        </is>
      </c>
      <c r="E7024" t="n">
        <v>8.18</v>
      </c>
      <c r="F7024" t="n">
        <v>1</v>
      </c>
      <c r="G7024" t="n">
        <v>81</v>
      </c>
      <c r="H7024" s="5">
        <f>HYPERLINK("https://api.qogita.com/variants/link/0752110717414/", "View Product")</f>
        <v/>
      </c>
    </row>
    <row r="7025">
      <c r="A7025" t="inlineStr">
        <is>
          <t>0752110720223</t>
        </is>
      </c>
      <c r="B7025" t="inlineStr">
        <is>
          <t>Olivia Garden Bamboo Touch Brush Eco-conscious Bamboo Detangle Hair Brush Size L</t>
        </is>
      </c>
      <c r="C7025" t="inlineStr">
        <is>
          <t>Detanglers</t>
        </is>
      </c>
      <c r="D7025" t="inlineStr">
        <is>
          <t>Olivia Garden</t>
        </is>
      </c>
      <c r="E7025" t="n">
        <v>7.13</v>
      </c>
      <c r="F7025" t="n">
        <v>1</v>
      </c>
      <c r="G7025" t="n">
        <v>5</v>
      </c>
      <c r="H7025" s="5">
        <f>HYPERLINK("https://api.qogita.com/variants/link/0752110720223/", "View Product")</f>
        <v/>
      </c>
    </row>
    <row r="7026">
      <c r="A7026" t="inlineStr">
        <is>
          <t>0752110720278</t>
        </is>
      </c>
      <c r="B7026" t="inlineStr">
        <is>
          <t>Olivia Garden Bamboo Touch Comb Eco-conscious Bamboo Hair Comb with Handle for Thin Hair</t>
        </is>
      </c>
      <c r="C7026" t="inlineStr">
        <is>
          <t>Combs</t>
        </is>
      </c>
      <c r="D7026" t="inlineStr">
        <is>
          <t>Olivia Garden</t>
        </is>
      </c>
      <c r="E7026" t="n">
        <v>2.65</v>
      </c>
      <c r="F7026" t="n">
        <v>1</v>
      </c>
      <c r="G7026" t="n">
        <v>2</v>
      </c>
      <c r="H7026" s="5">
        <f>HYPERLINK("https://api.qogita.com/variants/link/0752110720278/", "View Product")</f>
        <v/>
      </c>
    </row>
    <row r="7027">
      <c r="A7027" t="inlineStr">
        <is>
          <t>0752110725006</t>
        </is>
      </c>
      <c r="B7027" t="inlineStr">
        <is>
          <t>Olivia Garden OG Barber Brushes with Comfortable Ball Point Tips Ergonomic</t>
        </is>
      </c>
      <c r="C7027" t="inlineStr">
        <is>
          <t>Round Brushes</t>
        </is>
      </c>
      <c r="D7027" t="inlineStr">
        <is>
          <t>Olivia Garden</t>
        </is>
      </c>
      <c r="E7027" t="n">
        <v>5.99</v>
      </c>
      <c r="F7027" t="n">
        <v>1</v>
      </c>
      <c r="G7027" t="n">
        <v>3</v>
      </c>
      <c r="H7027" s="5">
        <f>HYPERLINK("https://api.qogita.com/variants/link/0752110725006/", "View Product")</f>
        <v/>
      </c>
    </row>
    <row r="7028">
      <c r="A7028" t="inlineStr">
        <is>
          <t>0761828223889</t>
        </is>
      </c>
      <c r="B7028" t="inlineStr">
        <is>
          <t>Umbro Body Wash Action Green</t>
        </is>
      </c>
      <c r="C7028" t="inlineStr">
        <is>
          <t>Shower Gel</t>
        </is>
      </c>
      <c r="D7028" t="inlineStr">
        <is>
          <t>Umbro</t>
        </is>
      </c>
      <c r="E7028" t="n">
        <v>2.56</v>
      </c>
      <c r="F7028" t="n">
        <v>1</v>
      </c>
      <c r="G7028" t="n">
        <v>5</v>
      </c>
      <c r="H7028" s="5">
        <f>HYPERLINK("https://api.qogita.com/variants/link/0761828223889/", "View Product")</f>
        <v/>
      </c>
    </row>
    <row r="7029">
      <c r="A7029" t="inlineStr">
        <is>
          <t>0761828223919</t>
        </is>
      </c>
      <c r="B7029" t="inlineStr">
        <is>
          <t>Umbro Power Red Body Wash</t>
        </is>
      </c>
      <c r="C7029" t="inlineStr">
        <is>
          <t>Shower Gel</t>
        </is>
      </c>
      <c r="D7029" t="inlineStr">
        <is>
          <t>Umbro</t>
        </is>
      </c>
      <c r="E7029" t="n">
        <v>2.56</v>
      </c>
      <c r="F7029" t="n">
        <v>1</v>
      </c>
      <c r="G7029" t="n">
        <v>13</v>
      </c>
      <c r="H7029" s="5">
        <f>HYPERLINK("https://api.qogita.com/variants/link/0761828223919/", "View Product")</f>
        <v/>
      </c>
    </row>
    <row r="7030">
      <c r="A7030" t="inlineStr">
        <is>
          <t>0773602001149</t>
        </is>
      </c>
      <c r="B7030" t="inlineStr">
        <is>
          <t>Mac Small Eyeshadow Cranberry Parallel Import 152</t>
        </is>
      </c>
      <c r="C7030" t="inlineStr">
        <is>
          <t>Eyeshadow</t>
        </is>
      </c>
      <c r="D7030" t="inlineStr">
        <is>
          <t>Mac</t>
        </is>
      </c>
      <c r="E7030" t="n">
        <v>13.67</v>
      </c>
      <c r="F7030" t="n">
        <v>1</v>
      </c>
      <c r="G7030" t="n">
        <v>5</v>
      </c>
      <c r="H7030" s="5">
        <f>HYPERLINK("https://api.qogita.com/variants/link/0773602001149/", "View Product")</f>
        <v/>
      </c>
    </row>
    <row r="7031">
      <c r="A7031" t="inlineStr">
        <is>
          <t>0773602077717</t>
        </is>
      </c>
      <c r="B7031" t="inlineStr">
        <is>
          <t>MAC Eye Shadow Pro Palette Refill Pan Expensive Pink Veluxe</t>
        </is>
      </c>
      <c r="C7031" t="inlineStr">
        <is>
          <t>Eyeshadow</t>
        </is>
      </c>
      <c r="D7031" t="inlineStr">
        <is>
          <t>Mac</t>
        </is>
      </c>
      <c r="E7031" t="n">
        <v>10.04</v>
      </c>
      <c r="F7031" t="n">
        <v>1</v>
      </c>
      <c r="G7031" t="n">
        <v>5</v>
      </c>
      <c r="H7031" s="5">
        <f>HYPERLINK("https://api.qogita.com/variants/link/0773602077717/", "View Product")</f>
        <v/>
      </c>
    </row>
    <row r="7032">
      <c r="A7032" t="inlineStr">
        <is>
          <t>0773602102358</t>
        </is>
      </c>
      <c r="B7032" t="inlineStr">
        <is>
          <t>MAC Pro Palette Eye Shadow Refill Pan 1.3g All That Glitters</t>
        </is>
      </c>
      <c r="C7032" t="inlineStr">
        <is>
          <t>Eyeshadow</t>
        </is>
      </c>
      <c r="D7032" t="inlineStr">
        <is>
          <t>Mac</t>
        </is>
      </c>
      <c r="E7032" t="n">
        <v>11.42</v>
      </c>
      <c r="F7032" t="n">
        <v>1</v>
      </c>
      <c r="G7032" t="n">
        <v>9</v>
      </c>
      <c r="H7032" s="5">
        <f>HYPERLINK("https://api.qogita.com/variants/link/0773602102358/", "View Product")</f>
        <v/>
      </c>
    </row>
    <row r="7033">
      <c r="A7033" t="inlineStr">
        <is>
          <t>0773602102822</t>
        </is>
      </c>
      <c r="B7033" t="inlineStr">
        <is>
          <t>MAC Fast Response Eye Cream Beauty 0.5 Ounce</t>
        </is>
      </c>
      <c r="C7033" t="inlineStr">
        <is>
          <t>Eye Cream</t>
        </is>
      </c>
      <c r="D7033" t="inlineStr">
        <is>
          <t>Mac</t>
        </is>
      </c>
      <c r="E7033" t="n">
        <v>27.29</v>
      </c>
      <c r="F7033" t="n">
        <v>1</v>
      </c>
      <c r="G7033" t="n">
        <v>5</v>
      </c>
      <c r="H7033" s="5">
        <f>HYPERLINK("https://api.qogita.com/variants/link/0773602102822/", "View Product")</f>
        <v/>
      </c>
    </row>
    <row r="7034">
      <c r="A7034" t="inlineStr">
        <is>
          <t>0773602125777</t>
        </is>
      </c>
      <c r="B7034" t="inlineStr">
        <is>
          <t>Mac False Eyelashes 7 Lash 2g</t>
        </is>
      </c>
      <c r="C7034" t="inlineStr">
        <is>
          <t>False Eyelashes</t>
        </is>
      </c>
      <c r="D7034" t="inlineStr">
        <is>
          <t>Mac</t>
        </is>
      </c>
      <c r="E7034" t="n">
        <v>11.1</v>
      </c>
      <c r="F7034" t="n">
        <v>1</v>
      </c>
      <c r="G7034" t="n">
        <v>2</v>
      </c>
      <c r="H7034" s="5">
        <f>HYPERLINK("https://api.qogita.com/variants/link/0773602125777/", "View Product")</f>
        <v/>
      </c>
    </row>
    <row r="7035">
      <c r="A7035" t="inlineStr">
        <is>
          <t>0773602207091</t>
        </is>
      </c>
      <c r="B7035" t="inlineStr">
        <is>
          <t>M.A.C Pro Longwear Concealer NC15 9ml</t>
        </is>
      </c>
      <c r="C7035" t="inlineStr">
        <is>
          <t>Concealer</t>
        </is>
      </c>
      <c r="D7035" t="inlineStr">
        <is>
          <t>Mac</t>
        </is>
      </c>
      <c r="E7035" t="n">
        <v>22.87</v>
      </c>
      <c r="F7035" t="n">
        <v>1</v>
      </c>
      <c r="G7035" t="n">
        <v>16</v>
      </c>
      <c r="H7035" s="5">
        <f>HYPERLINK("https://api.qogita.com/variants/link/0773602207091/", "View Product")</f>
        <v/>
      </c>
    </row>
    <row r="7036">
      <c r="A7036" t="inlineStr">
        <is>
          <t>0773602207145</t>
        </is>
      </c>
      <c r="B7036" t="inlineStr">
        <is>
          <t>MAC Pro Longwear Concealer</t>
        </is>
      </c>
      <c r="C7036" t="inlineStr">
        <is>
          <t>Concealer</t>
        </is>
      </c>
      <c r="D7036" t="inlineStr">
        <is>
          <t>Mac</t>
        </is>
      </c>
      <c r="E7036" t="n">
        <v>18.35</v>
      </c>
      <c r="F7036" t="n">
        <v>1</v>
      </c>
      <c r="G7036" t="n">
        <v>15</v>
      </c>
      <c r="H7036" s="5">
        <f>HYPERLINK("https://api.qogita.com/variants/link/0773602207145/", "View Product")</f>
        <v/>
      </c>
    </row>
    <row r="7037">
      <c r="A7037" t="inlineStr">
        <is>
          <t>0773602215300</t>
        </is>
      </c>
      <c r="B7037" t="inlineStr">
        <is>
          <t>MAC Pigment Glitter Eye Shadow Various Colors and Sizes - Set or Single - You Choose</t>
        </is>
      </c>
      <c r="C7037" t="inlineStr">
        <is>
          <t>Eyeshadow</t>
        </is>
      </c>
      <c r="D7037" t="inlineStr">
        <is>
          <t>Mac</t>
        </is>
      </c>
      <c r="E7037" t="n">
        <v>18.15</v>
      </c>
      <c r="F7037" t="n">
        <v>1</v>
      </c>
      <c r="G7037" t="n">
        <v>5</v>
      </c>
      <c r="H7037" s="5">
        <f>HYPERLINK("https://api.qogita.com/variants/link/0773602215300/", "View Product")</f>
        <v/>
      </c>
    </row>
    <row r="7038">
      <c r="A7038" t="inlineStr">
        <is>
          <t>0773602218356</t>
        </is>
      </c>
      <c r="B7038" t="inlineStr">
        <is>
          <t>Mac Cosmetics Half Lash Curler For Shorter Harder-To-Reach Eyelashes</t>
        </is>
      </c>
      <c r="C7038" t="inlineStr">
        <is>
          <t>Eyelash Curlers</t>
        </is>
      </c>
      <c r="D7038" t="inlineStr">
        <is>
          <t>MAC Cosmetics</t>
        </is>
      </c>
      <c r="E7038" t="n">
        <v>16.46</v>
      </c>
      <c r="F7038" t="n">
        <v>1</v>
      </c>
      <c r="G7038" t="n">
        <v>2</v>
      </c>
      <c r="H7038" s="5">
        <f>HYPERLINK("https://api.qogita.com/variants/link/0773602218356/", "View Product")</f>
        <v/>
      </c>
    </row>
    <row r="7039">
      <c r="A7039" t="inlineStr">
        <is>
          <t>0773602298563</t>
        </is>
      </c>
      <c r="B7039" t="inlineStr">
        <is>
          <t>MAC Extra Dimension Skinfinish Powder Oh Darling Highlighter Women 0.31 oz</t>
        </is>
      </c>
      <c r="C7039" t="inlineStr">
        <is>
          <t>Highlighter</t>
        </is>
      </c>
      <c r="D7039" t="inlineStr">
        <is>
          <t>Mac</t>
        </is>
      </c>
      <c r="E7039" t="n">
        <v>30.28</v>
      </c>
      <c r="F7039" t="n">
        <v>1</v>
      </c>
      <c r="G7039" t="n">
        <v>11</v>
      </c>
      <c r="H7039" s="5">
        <f>HYPERLINK("https://api.qogita.com/variants/link/0773602298563/", "View Product")</f>
        <v/>
      </c>
    </row>
    <row r="7040">
      <c r="A7040" t="inlineStr">
        <is>
          <t>0773602323210</t>
        </is>
      </c>
      <c r="B7040" t="inlineStr">
        <is>
          <t>MAC Prep + Prime Natural Radiance</t>
        </is>
      </c>
      <c r="C7040" t="inlineStr">
        <is>
          <t>Primer</t>
        </is>
      </c>
      <c r="D7040" t="inlineStr">
        <is>
          <t>Mac</t>
        </is>
      </c>
      <c r="E7040" t="n">
        <v>31.1</v>
      </c>
      <c r="F7040" t="n">
        <v>1</v>
      </c>
      <c r="G7040" t="n">
        <v>5</v>
      </c>
      <c r="H7040" s="5">
        <f>HYPERLINK("https://api.qogita.com/variants/link/0773602323210/", "View Product")</f>
        <v/>
      </c>
    </row>
    <row r="7041">
      <c r="A7041" t="inlineStr">
        <is>
          <t>0773602336456</t>
        </is>
      </c>
      <c r="B7041" t="inlineStr">
        <is>
          <t>MAC Cream Colour Base 32g - Shade Hush</t>
        </is>
      </c>
      <c r="C7041" t="inlineStr">
        <is>
          <t>Highlighter</t>
        </is>
      </c>
      <c r="D7041" t="inlineStr">
        <is>
          <t>Mac</t>
        </is>
      </c>
      <c r="E7041" t="n">
        <v>22.52</v>
      </c>
      <c r="F7041" t="n">
        <v>1</v>
      </c>
      <c r="G7041" t="n">
        <v>4</v>
      </c>
      <c r="H7041" s="5">
        <f>HYPERLINK("https://api.qogita.com/variants/link/0773602336456/", "View Product")</f>
        <v/>
      </c>
    </row>
    <row r="7042">
      <c r="A7042" t="inlineStr">
        <is>
          <t>0773602336463</t>
        </is>
      </c>
      <c r="B7042" t="inlineStr">
        <is>
          <t>Mac Pro Expansions Cream Colour Base 0.11oz</t>
        </is>
      </c>
      <c r="C7042" t="inlineStr">
        <is>
          <t>Foundation</t>
        </is>
      </c>
      <c r="D7042" t="inlineStr">
        <is>
          <t>Mac</t>
        </is>
      </c>
      <c r="E7042" t="n">
        <v>20.04</v>
      </c>
      <c r="F7042" t="n">
        <v>1</v>
      </c>
      <c r="G7042" t="n">
        <v>9</v>
      </c>
      <c r="H7042" s="5">
        <f>HYPERLINK("https://api.qogita.com/variants/link/0773602336463/", "View Product")</f>
        <v/>
      </c>
    </row>
    <row r="7043">
      <c r="A7043" t="inlineStr">
        <is>
          <t>0773602337897</t>
        </is>
      </c>
      <c r="B7043" t="inlineStr">
        <is>
          <t>Mineralize Blush Warm Soul 3.2g</t>
        </is>
      </c>
      <c r="C7043" t="inlineStr">
        <is>
          <t>Blush</t>
        </is>
      </c>
      <c r="D7043" t="inlineStr">
        <is>
          <t>Mac</t>
        </is>
      </c>
      <c r="E7043" t="n">
        <v>24.76</v>
      </c>
      <c r="F7043" t="n">
        <v>1</v>
      </c>
      <c r="G7043" t="n">
        <v>27</v>
      </c>
      <c r="H7043" s="5">
        <f>HYPERLINK("https://api.qogita.com/variants/link/0773602337897/", "View Product")</f>
        <v/>
      </c>
    </row>
    <row r="7044">
      <c r="A7044" t="inlineStr">
        <is>
          <t>0773602339013</t>
        </is>
      </c>
      <c r="B7044" t="inlineStr">
        <is>
          <t>MAC Mineralize Skinfinish Lightscapade</t>
        </is>
      </c>
      <c r="C7044" t="inlineStr">
        <is>
          <t>Highlighter</t>
        </is>
      </c>
      <c r="D7044" t="inlineStr">
        <is>
          <t>MAC Cosmetics</t>
        </is>
      </c>
      <c r="E7044" t="n">
        <v>29.2</v>
      </c>
      <c r="F7044" t="n">
        <v>1</v>
      </c>
      <c r="G7044" t="n">
        <v>2</v>
      </c>
      <c r="H7044" s="5">
        <f>HYPERLINK("https://api.qogita.com/variants/link/0773602339013/", "View Product")</f>
        <v/>
      </c>
    </row>
    <row r="7045">
      <c r="A7045" t="inlineStr">
        <is>
          <t>0773602344314</t>
        </is>
      </c>
      <c r="B7045" t="inlineStr">
        <is>
          <t>MAC Lip Pencil Red 1.45g</t>
        </is>
      </c>
      <c r="C7045" t="inlineStr">
        <is>
          <t>Lip Liner</t>
        </is>
      </c>
      <c r="D7045" t="inlineStr">
        <is>
          <t>Mac</t>
        </is>
      </c>
      <c r="E7045" t="n">
        <v>15.7</v>
      </c>
      <c r="F7045" t="n">
        <v>1</v>
      </c>
      <c r="G7045" t="n">
        <v>13</v>
      </c>
      <c r="H7045" s="5">
        <f>HYPERLINK("https://api.qogita.com/variants/link/0773602344314/", "View Product")</f>
        <v/>
      </c>
    </row>
    <row r="7046">
      <c r="A7046" t="inlineStr">
        <is>
          <t>0773602367238</t>
        </is>
      </c>
      <c r="B7046" t="inlineStr">
        <is>
          <t>MAC Studio Waterweight SPF 30/PA++ Foundation Shade NC44 30ml</t>
        </is>
      </c>
      <c r="C7046" t="inlineStr">
        <is>
          <t>Foundation</t>
        </is>
      </c>
      <c r="D7046" t="inlineStr">
        <is>
          <t>Mac</t>
        </is>
      </c>
      <c r="E7046" t="n">
        <v>25.69</v>
      </c>
      <c r="F7046" t="n">
        <v>1</v>
      </c>
      <c r="G7046" t="n">
        <v>10</v>
      </c>
      <c r="H7046" s="5">
        <f>HYPERLINK("https://api.qogita.com/variants/link/0773602367238/", "View Product")</f>
        <v/>
      </c>
    </row>
    <row r="7047">
      <c r="A7047" t="inlineStr">
        <is>
          <t>0773602367313</t>
        </is>
      </c>
      <c r="B7047" t="inlineStr">
        <is>
          <t>MAC Studio Waterweight SPF 30/PA++ Foundation Beige 30ml</t>
        </is>
      </c>
      <c r="C7047" t="inlineStr">
        <is>
          <t>Foundation</t>
        </is>
      </c>
      <c r="D7047" t="inlineStr">
        <is>
          <t>Mac</t>
        </is>
      </c>
      <c r="E7047" t="n">
        <v>29.46</v>
      </c>
      <c r="F7047" t="n">
        <v>1</v>
      </c>
      <c r="G7047" t="n">
        <v>7</v>
      </c>
      <c r="H7047" s="5">
        <f>HYPERLINK("https://api.qogita.com/variants/link/0773602367313/", "View Product")</f>
        <v/>
      </c>
    </row>
    <row r="7048">
      <c r="A7048" t="inlineStr">
        <is>
          <t>0773602373154</t>
        </is>
      </c>
      <c r="B7048" t="inlineStr">
        <is>
          <t>MAC Studio Waterweight SPF 30/PA++ Foundation</t>
        </is>
      </c>
      <c r="C7048" t="inlineStr">
        <is>
          <t>Foundation</t>
        </is>
      </c>
      <c r="D7048" t="inlineStr">
        <is>
          <t>Mac</t>
        </is>
      </c>
      <c r="E7048" t="n">
        <v>25.69</v>
      </c>
      <c r="F7048" t="n">
        <v>1</v>
      </c>
      <c r="G7048" t="n">
        <v>8</v>
      </c>
      <c r="H7048" s="5">
        <f>HYPERLINK("https://api.qogita.com/variants/link/0773602373154/", "View Product")</f>
        <v/>
      </c>
    </row>
    <row r="7049">
      <c r="A7049" t="inlineStr">
        <is>
          <t>0773602376094</t>
        </is>
      </c>
      <c r="B7049" t="inlineStr">
        <is>
          <t>MAC Retro Matte Liquid Lipcolour Fashion Legacy 5ml</t>
        </is>
      </c>
      <c r="C7049" t="inlineStr">
        <is>
          <t>Lipstick</t>
        </is>
      </c>
      <c r="D7049" t="inlineStr">
        <is>
          <t>Mac</t>
        </is>
      </c>
      <c r="E7049" t="n">
        <v>22.37</v>
      </c>
      <c r="F7049" t="n">
        <v>1</v>
      </c>
      <c r="G7049" t="n">
        <v>8</v>
      </c>
      <c r="H7049" s="5">
        <f>HYPERLINK("https://api.qogita.com/variants/link/0773602376094/", "View Product")</f>
        <v/>
      </c>
    </row>
    <row r="7050">
      <c r="A7050" t="inlineStr">
        <is>
          <t>0773602376117</t>
        </is>
      </c>
      <c r="B7050" t="inlineStr">
        <is>
          <t>Retro Matte Liquid Lipcolour by M.A.C High Drama 5ml</t>
        </is>
      </c>
      <c r="C7050" t="inlineStr">
        <is>
          <t>Lipstick</t>
        </is>
      </c>
      <c r="D7050" t="inlineStr">
        <is>
          <t>MAC Cosmetics</t>
        </is>
      </c>
      <c r="E7050" t="n">
        <v>16.45</v>
      </c>
      <c r="F7050" t="n">
        <v>1</v>
      </c>
      <c r="G7050" t="n">
        <v>2</v>
      </c>
      <c r="H7050" s="5">
        <f>HYPERLINK("https://api.qogita.com/variants/link/0773602376117/", "View Product")</f>
        <v/>
      </c>
    </row>
    <row r="7051">
      <c r="A7051" t="inlineStr">
        <is>
          <t>0773602399529</t>
        </is>
      </c>
      <c r="B7051" t="inlineStr">
        <is>
          <t>Mac 170 Rounded Slant Brush</t>
        </is>
      </c>
      <c r="C7051" t="inlineStr">
        <is>
          <t>Foundation Brushes</t>
        </is>
      </c>
      <c r="D7051" t="inlineStr">
        <is>
          <t>MAC Cosmetics</t>
        </is>
      </c>
      <c r="E7051" t="n">
        <v>30.93</v>
      </c>
      <c r="F7051" t="n">
        <v>1</v>
      </c>
      <c r="G7051" t="n">
        <v>10</v>
      </c>
      <c r="H7051" s="5">
        <f>HYPERLINK("https://api.qogita.com/variants/link/0773602399529/", "View Product")</f>
        <v/>
      </c>
    </row>
    <row r="7052">
      <c r="A7052" t="inlineStr">
        <is>
          <t>0773602411450</t>
        </is>
      </c>
      <c r="B7052" t="inlineStr">
        <is>
          <t>MAC Cosmetics Lipglass 303 Nymphette 0.10 oz - Authentic</t>
        </is>
      </c>
      <c r="C7052" t="inlineStr">
        <is>
          <t>Lip Gloss</t>
        </is>
      </c>
      <c r="D7052" t="inlineStr">
        <is>
          <t>Mac</t>
        </is>
      </c>
      <c r="E7052" t="n">
        <v>17.14</v>
      </c>
      <c r="F7052" t="n">
        <v>1</v>
      </c>
      <c r="G7052" t="n">
        <v>8</v>
      </c>
      <c r="H7052" s="5">
        <f>HYPERLINK("https://api.qogita.com/variants/link/0773602411450/", "View Product")</f>
        <v/>
      </c>
    </row>
    <row r="7053">
      <c r="A7053" t="inlineStr">
        <is>
          <t>0773602411528</t>
        </is>
      </c>
      <c r="B7053" t="inlineStr">
        <is>
          <t>MAC Lipglass Please Me 3.1ml</t>
        </is>
      </c>
      <c r="C7053" t="inlineStr">
        <is>
          <t>Lip Gloss</t>
        </is>
      </c>
      <c r="D7053" t="inlineStr">
        <is>
          <t>Mac</t>
        </is>
      </c>
      <c r="E7053" t="n">
        <v>16.84</v>
      </c>
      <c r="F7053" t="n">
        <v>1</v>
      </c>
      <c r="G7053" t="n">
        <v>2</v>
      </c>
      <c r="H7053" s="5">
        <f>HYPERLINK("https://api.qogita.com/variants/link/0773602411528/", "View Product")</f>
        <v/>
      </c>
    </row>
    <row r="7054">
      <c r="A7054" t="inlineStr">
        <is>
          <t>0773602420667</t>
        </is>
      </c>
      <c r="B7054" t="inlineStr">
        <is>
          <t>Mac Eye Shadow Sandstone Matte</t>
        </is>
      </c>
      <c r="C7054" t="inlineStr">
        <is>
          <t>Eyeshadow</t>
        </is>
      </c>
      <c r="D7054" t="inlineStr">
        <is>
          <t>Mac</t>
        </is>
      </c>
      <c r="E7054" t="n">
        <v>13.46</v>
      </c>
      <c r="F7054" t="n">
        <v>1</v>
      </c>
      <c r="G7054" t="n">
        <v>11</v>
      </c>
      <c r="H7054" s="5">
        <f>HYPERLINK("https://api.qogita.com/variants/link/0773602420667/", "View Product")</f>
        <v/>
      </c>
    </row>
    <row r="7055">
      <c r="A7055" t="inlineStr">
        <is>
          <t>0773602421763</t>
        </is>
      </c>
      <c r="B7055" t="inlineStr">
        <is>
          <t>Studio Finish SPF35 Concealer 5ml NW55</t>
        </is>
      </c>
      <c r="C7055" t="inlineStr">
        <is>
          <t>Concealer</t>
        </is>
      </c>
      <c r="D7055" t="inlineStr">
        <is>
          <t>Mac</t>
        </is>
      </c>
      <c r="E7055" t="n">
        <v>17.34</v>
      </c>
      <c r="F7055" t="n">
        <v>1</v>
      </c>
      <c r="G7055" t="n">
        <v>6</v>
      </c>
      <c r="H7055" s="5">
        <f>HYPERLINK("https://api.qogita.com/variants/link/0773602421763/", "View Product")</f>
        <v/>
      </c>
    </row>
    <row r="7056">
      <c r="A7056" t="inlineStr">
        <is>
          <t>0773602441037</t>
        </is>
      </c>
      <c r="B7056" t="inlineStr">
        <is>
          <t>Mac Eye Shadow Fard A Paupieres In The Shadows Frost 1.5g</t>
        </is>
      </c>
      <c r="C7056" t="inlineStr">
        <is>
          <t>Eyeshadow</t>
        </is>
      </c>
      <c r="D7056" t="inlineStr">
        <is>
          <t>MAC Cosmetics</t>
        </is>
      </c>
      <c r="E7056" t="n">
        <v>15.14</v>
      </c>
      <c r="F7056" t="n">
        <v>1</v>
      </c>
      <c r="G7056" t="n">
        <v>5</v>
      </c>
      <c r="H7056" s="5">
        <f>HYPERLINK("https://api.qogita.com/variants/link/0773602441037/", "View Product")</f>
        <v/>
      </c>
    </row>
    <row r="7057">
      <c r="A7057" t="inlineStr">
        <is>
          <t>0773602447312</t>
        </is>
      </c>
      <c r="B7057" t="inlineStr">
        <is>
          <t>Extra Dimension Blush Wrapped Candy</t>
        </is>
      </c>
      <c r="C7057" t="inlineStr">
        <is>
          <t>Blush</t>
        </is>
      </c>
      <c r="D7057" t="inlineStr">
        <is>
          <t>Mac</t>
        </is>
      </c>
      <c r="E7057" t="n">
        <v>20.46</v>
      </c>
      <c r="F7057" t="n">
        <v>1</v>
      </c>
      <c r="G7057" t="n">
        <v>3</v>
      </c>
      <c r="H7057" s="5">
        <f>HYPERLINK("https://api.qogita.com/variants/link/0773602447312/", "View Product")</f>
        <v/>
      </c>
    </row>
    <row r="7058">
      <c r="A7058" t="inlineStr">
        <is>
          <t>0773602455942</t>
        </is>
      </c>
      <c r="B7058" t="inlineStr">
        <is>
          <t>Prep + Prime by M.A.C Fix+ Mattifying Mist 100ml</t>
        </is>
      </c>
      <c r="C7058" t="inlineStr">
        <is>
          <t>Setting Spray</t>
        </is>
      </c>
      <c r="D7058" t="inlineStr">
        <is>
          <t>Mac</t>
        </is>
      </c>
      <c r="E7058" t="n">
        <v>21.05</v>
      </c>
      <c r="F7058" t="n">
        <v>1</v>
      </c>
      <c r="G7058" t="n">
        <v>74</v>
      </c>
      <c r="H7058" s="5">
        <f>HYPERLINK("https://api.qogita.com/variants/link/0773602455942/", "View Product")</f>
        <v/>
      </c>
    </row>
    <row r="7059">
      <c r="A7059" t="inlineStr">
        <is>
          <t>0773602458134</t>
        </is>
      </c>
      <c r="B7059" t="inlineStr">
        <is>
          <t>MAC Mineralize Blush Cheek and Cheerful BNIB Colour Craft Collection</t>
        </is>
      </c>
      <c r="C7059" t="inlineStr">
        <is>
          <t>Blush</t>
        </is>
      </c>
      <c r="D7059" t="inlineStr">
        <is>
          <t>Mac</t>
        </is>
      </c>
      <c r="E7059" t="n">
        <v>22.32</v>
      </c>
      <c r="F7059" t="n">
        <v>1</v>
      </c>
      <c r="G7059" t="n">
        <v>7</v>
      </c>
      <c r="H7059" s="5">
        <f>HYPERLINK("https://api.qogita.com/variants/link/0773602458134/", "View Product")</f>
        <v/>
      </c>
    </row>
    <row r="7060">
      <c r="A7060" t="inlineStr">
        <is>
          <t>0773602458240</t>
        </is>
      </c>
      <c r="B7060" t="inlineStr">
        <is>
          <t>MAC Mineralize Blush Flirting With Danger</t>
        </is>
      </c>
      <c r="C7060" t="inlineStr">
        <is>
          <t>Blush</t>
        </is>
      </c>
      <c r="D7060" t="inlineStr">
        <is>
          <t>MAC Cosmetics</t>
        </is>
      </c>
      <c r="E7060" t="n">
        <v>20.46</v>
      </c>
      <c r="F7060" t="n">
        <v>1</v>
      </c>
      <c r="G7060" t="n">
        <v>4</v>
      </c>
      <c r="H7060" s="5">
        <f>HYPERLINK("https://api.qogita.com/variants/link/0773602458240/", "View Product")</f>
        <v/>
      </c>
    </row>
    <row r="7061">
      <c r="A7061" t="inlineStr">
        <is>
          <t>0773602470341</t>
        </is>
      </c>
      <c r="B7061" t="inlineStr">
        <is>
          <t>MAC 187S Duo Fibre Face Brush</t>
        </is>
      </c>
      <c r="C7061" t="inlineStr">
        <is>
          <t>Foundation Brushes</t>
        </is>
      </c>
      <c r="D7061" t="inlineStr">
        <is>
          <t>Mac</t>
        </is>
      </c>
      <c r="E7061" t="n">
        <v>31.78</v>
      </c>
      <c r="F7061" t="n">
        <v>1</v>
      </c>
      <c r="G7061" t="n">
        <v>8</v>
      </c>
      <c r="H7061" s="5">
        <f>HYPERLINK("https://api.qogita.com/variants/link/0773602470341/", "View Product")</f>
        <v/>
      </c>
    </row>
    <row r="7062">
      <c r="A7062" t="inlineStr">
        <is>
          <t>0773602471157</t>
        </is>
      </c>
      <c r="B7062" t="inlineStr">
        <is>
          <t>MAC 224S Tapered Blending Brush Made in France</t>
        </is>
      </c>
      <c r="C7062" t="inlineStr">
        <is>
          <t>Eyeshadow Brushes</t>
        </is>
      </c>
      <c r="D7062" t="inlineStr">
        <is>
          <t>Mac</t>
        </is>
      </c>
      <c r="E7062" t="n">
        <v>21.97</v>
      </c>
      <c r="F7062" t="n">
        <v>1</v>
      </c>
      <c r="G7062" t="n">
        <v>5</v>
      </c>
      <c r="H7062" s="5">
        <f>HYPERLINK("https://api.qogita.com/variants/link/0773602471157/", "View Product")</f>
        <v/>
      </c>
    </row>
    <row r="7063">
      <c r="A7063" t="inlineStr">
        <is>
          <t>0773602526895</t>
        </is>
      </c>
      <c r="B7063" t="inlineStr">
        <is>
          <t>Mac Studio Fix 24 Hour Smooth Wear Concealer NW40 7ml</t>
        </is>
      </c>
      <c r="C7063" t="inlineStr">
        <is>
          <t>Concealer</t>
        </is>
      </c>
      <c r="D7063" t="inlineStr">
        <is>
          <t>Mac</t>
        </is>
      </c>
      <c r="E7063" t="n">
        <v>17.5</v>
      </c>
      <c r="F7063" t="n">
        <v>1</v>
      </c>
      <c r="G7063" t="n">
        <v>8</v>
      </c>
      <c r="H7063" s="5">
        <f>HYPERLINK("https://api.qogita.com/variants/link/0773602526895/", "View Product")</f>
        <v/>
      </c>
    </row>
    <row r="7064">
      <c r="A7064" t="inlineStr">
        <is>
          <t>0773602531677</t>
        </is>
      </c>
      <c r="B7064" t="inlineStr">
        <is>
          <t>MAC Studio Fix 24-Hour Smooth Wear Concealer - NW10 7ml concealer</t>
        </is>
      </c>
      <c r="C7064" t="inlineStr">
        <is>
          <t>Concealer</t>
        </is>
      </c>
      <c r="D7064" t="inlineStr">
        <is>
          <t>Mac</t>
        </is>
      </c>
      <c r="E7064" t="n">
        <v>16.14</v>
      </c>
      <c r="F7064" t="n">
        <v>1</v>
      </c>
      <c r="G7064" t="n">
        <v>5</v>
      </c>
      <c r="H7064" s="5">
        <f>HYPERLINK("https://api.qogita.com/variants/link/0773602531677/", "View Product")</f>
        <v/>
      </c>
    </row>
    <row r="7065">
      <c r="A7065" t="inlineStr">
        <is>
          <t>0773602531684</t>
        </is>
      </c>
      <c r="B7065" t="inlineStr">
        <is>
          <t>MAC Studio Fix 24 Hour Smooth Wear Concealer NW22 7ml</t>
        </is>
      </c>
      <c r="C7065" t="inlineStr">
        <is>
          <t>Concealer</t>
        </is>
      </c>
      <c r="D7065" t="inlineStr">
        <is>
          <t>Mac</t>
        </is>
      </c>
      <c r="E7065" t="n">
        <v>19.04</v>
      </c>
      <c r="F7065" t="n">
        <v>1</v>
      </c>
      <c r="G7065" t="n">
        <v>9</v>
      </c>
      <c r="H7065" s="5">
        <f>HYPERLINK("https://api.qogita.com/variants/link/0773602531684/", "View Product")</f>
        <v/>
      </c>
    </row>
    <row r="7066">
      <c r="A7066" t="inlineStr">
        <is>
          <t>0773602531769</t>
        </is>
      </c>
      <c r="B7066" t="inlineStr">
        <is>
          <t>MAC Studio Fix 24HR Smooth Wear Concealer for Dark Circles NW55 - New in Box</t>
        </is>
      </c>
      <c r="C7066" t="inlineStr">
        <is>
          <t>Concealer</t>
        </is>
      </c>
      <c r="D7066" t="inlineStr">
        <is>
          <t>Mac</t>
        </is>
      </c>
      <c r="E7066" t="n">
        <v>15.78</v>
      </c>
      <c r="F7066" t="n">
        <v>1</v>
      </c>
      <c r="G7066" t="n">
        <v>8</v>
      </c>
      <c r="H7066" s="5">
        <f>HYPERLINK("https://api.qogita.com/variants/link/0773602531769/", "View Product")</f>
        <v/>
      </c>
    </row>
    <row r="7067">
      <c r="A7067" t="inlineStr">
        <is>
          <t>0773602560059</t>
        </is>
      </c>
      <c r="B7067" t="inlineStr">
        <is>
          <t>Mac Eye Brows Big Boost Fiber Gel Brunette 0.14oz</t>
        </is>
      </c>
      <c r="C7067" t="inlineStr">
        <is>
          <t>Eyebrow Gel</t>
        </is>
      </c>
      <c r="D7067" t="inlineStr">
        <is>
          <t>Mac</t>
        </is>
      </c>
      <c r="E7067" t="n">
        <v>20.95</v>
      </c>
      <c r="F7067" t="n">
        <v>1</v>
      </c>
      <c r="G7067" t="n">
        <v>2</v>
      </c>
      <c r="H7067" s="5">
        <f>HYPERLINK("https://api.qogita.com/variants/link/0773602560059/", "View Product")</f>
        <v/>
      </c>
    </row>
    <row r="7068">
      <c r="A7068" t="inlineStr">
        <is>
          <t>0773602567669</t>
        </is>
      </c>
      <c r="B7068" t="inlineStr">
        <is>
          <t>M.A.C. Dazzleshadow Extreme Eyeshadow INCINERATED 0.05 oz 1.5 g</t>
        </is>
      </c>
      <c r="C7068" t="inlineStr">
        <is>
          <t>Eyeshadow</t>
        </is>
      </c>
      <c r="D7068" t="inlineStr">
        <is>
          <t>Mac</t>
        </is>
      </c>
      <c r="E7068" t="n">
        <v>14.86</v>
      </c>
      <c r="F7068" t="n">
        <v>1</v>
      </c>
      <c r="G7068" t="n">
        <v>3</v>
      </c>
      <c r="H7068" s="5">
        <f>HYPERLINK("https://api.qogita.com/variants/link/0773602567669/", "View Product")</f>
        <v/>
      </c>
    </row>
    <row r="7069">
      <c r="A7069" t="inlineStr">
        <is>
          <t>0773602567690</t>
        </is>
      </c>
      <c r="B7069" t="inlineStr">
        <is>
          <t>MAC Cosmetics Dazzle Shadow Extreme Illuminaughty</t>
        </is>
      </c>
      <c r="C7069" t="inlineStr">
        <is>
          <t>Eyeshadow</t>
        </is>
      </c>
      <c r="D7069" t="inlineStr">
        <is>
          <t>Mac</t>
        </is>
      </c>
      <c r="E7069" t="n">
        <v>14.05</v>
      </c>
      <c r="F7069" t="n">
        <v>1</v>
      </c>
      <c r="G7069" t="n">
        <v>5</v>
      </c>
      <c r="H7069" s="5">
        <f>HYPERLINK("https://api.qogita.com/variants/link/0773602567690/", "View Product")</f>
        <v/>
      </c>
    </row>
    <row r="7070">
      <c r="A7070" t="inlineStr">
        <is>
          <t>0773602568420</t>
        </is>
      </c>
      <c r="B7070" t="inlineStr">
        <is>
          <t>MAC Studio Radiance Moisturizing and Illuminating Silky Face Primer 30ml</t>
        </is>
      </c>
      <c r="C7070" t="inlineStr">
        <is>
          <t>Primer</t>
        </is>
      </c>
      <c r="D7070" t="inlineStr">
        <is>
          <t>Mac</t>
        </is>
      </c>
      <c r="E7070" t="n">
        <v>25.38</v>
      </c>
      <c r="F7070" t="n">
        <v>1</v>
      </c>
      <c r="G7070" t="n">
        <v>8</v>
      </c>
      <c r="H7070" s="5">
        <f>HYPERLINK("https://api.qogita.com/variants/link/0773602568420/", "View Product")</f>
        <v/>
      </c>
    </row>
    <row r="7071">
      <c r="A7071" t="inlineStr">
        <is>
          <t>0773602568536</t>
        </is>
      </c>
      <c r="B7071" t="inlineStr">
        <is>
          <t>Mac Cosmetics Pro Longwear Paint Pot Eyeshadow - 5 Grams</t>
        </is>
      </c>
      <c r="C7071" t="inlineStr">
        <is>
          <t>Eyeshadow</t>
        </is>
      </c>
      <c r="D7071" t="inlineStr">
        <is>
          <t>MAC Cosmetics</t>
        </is>
      </c>
      <c r="E7071" t="n">
        <v>20.31</v>
      </c>
      <c r="F7071" t="n">
        <v>1</v>
      </c>
      <c r="G7071" t="n">
        <v>5</v>
      </c>
      <c r="H7071" s="5">
        <f>HYPERLINK("https://api.qogita.com/variants/link/0773602568536/", "View Product")</f>
        <v/>
      </c>
    </row>
    <row r="7072">
      <c r="A7072" t="inlineStr">
        <is>
          <t>0773602572502</t>
        </is>
      </c>
      <c r="B7072" t="inlineStr">
        <is>
          <t>Mac Cosmetics Face Pro Conceal And Correct Palette - 6 Grams</t>
        </is>
      </c>
      <c r="C7072" t="inlineStr">
        <is>
          <t>Concealer</t>
        </is>
      </c>
      <c r="D7072" t="inlineStr">
        <is>
          <t>MAC Cosmetics</t>
        </is>
      </c>
      <c r="E7072" t="n">
        <v>26.55</v>
      </c>
      <c r="F7072" t="n">
        <v>1</v>
      </c>
      <c r="G7072" t="n">
        <v>5</v>
      </c>
      <c r="H7072" s="5">
        <f>HYPERLINK("https://api.qogita.com/variants/link/0773602572502/", "View Product")</f>
        <v/>
      </c>
    </row>
    <row r="7073">
      <c r="A7073" t="inlineStr">
        <is>
          <t>0773602572618</t>
        </is>
      </c>
      <c r="B7073" t="inlineStr">
        <is>
          <t>MAC Eye Shadow Singles Full Size - Choose Your Shade</t>
        </is>
      </c>
      <c r="C7073" t="inlineStr">
        <is>
          <t>Eyeshadow</t>
        </is>
      </c>
      <c r="D7073" t="inlineStr">
        <is>
          <t>Mac</t>
        </is>
      </c>
      <c r="E7073" t="n">
        <v>14.54</v>
      </c>
      <c r="F7073" t="n">
        <v>1</v>
      </c>
      <c r="G7073" t="n">
        <v>2</v>
      </c>
      <c r="H7073" s="5">
        <f>HYPERLINK("https://api.qogita.com/variants/link/0773602572618/", "View Product")</f>
        <v/>
      </c>
    </row>
    <row r="7074">
      <c r="A7074" t="inlineStr">
        <is>
          <t>0773602572687</t>
        </is>
      </c>
      <c r="B7074" t="inlineStr">
        <is>
          <t>MAC Small Eyeshadow Motif 1.5g</t>
        </is>
      </c>
      <c r="C7074" t="inlineStr">
        <is>
          <t>Eyeshadow</t>
        </is>
      </c>
      <c r="D7074" t="inlineStr">
        <is>
          <t>Mac</t>
        </is>
      </c>
      <c r="E7074" t="n">
        <v>14.18</v>
      </c>
      <c r="F7074" t="n">
        <v>1</v>
      </c>
      <c r="G7074" t="n">
        <v>2</v>
      </c>
      <c r="H7074" s="5">
        <f>HYPERLINK("https://api.qogita.com/variants/link/0773602572687/", "View Product")</f>
        <v/>
      </c>
    </row>
    <row r="7075">
      <c r="A7075" t="inlineStr">
        <is>
          <t>0773602577057</t>
        </is>
      </c>
      <c r="B7075" t="inlineStr">
        <is>
          <t>Mac Cosmetics Frost Lipstick Angel 3g</t>
        </is>
      </c>
      <c r="C7075" t="inlineStr">
        <is>
          <t>Lipstick</t>
        </is>
      </c>
      <c r="D7075" t="inlineStr">
        <is>
          <t>Mac</t>
        </is>
      </c>
      <c r="E7075" t="n">
        <v>17.14</v>
      </c>
      <c r="F7075" t="n">
        <v>1</v>
      </c>
      <c r="G7075" t="n">
        <v>31</v>
      </c>
      <c r="H7075" s="5">
        <f>HYPERLINK("https://api.qogita.com/variants/link/0773602577057/", "View Product")</f>
        <v/>
      </c>
    </row>
    <row r="7076">
      <c r="A7076" t="inlineStr">
        <is>
          <t>0773602577071</t>
        </is>
      </c>
      <c r="B7076" t="inlineStr">
        <is>
          <t>MAC Lipstick Bombshell Frost 3g/0.1oz</t>
        </is>
      </c>
      <c r="C7076" t="inlineStr">
        <is>
          <t>Lipstick</t>
        </is>
      </c>
      <c r="D7076" t="inlineStr">
        <is>
          <t>Mac</t>
        </is>
      </c>
      <c r="E7076" t="n">
        <v>17.14</v>
      </c>
      <c r="F7076" t="n">
        <v>1</v>
      </c>
      <c r="G7076" t="n">
        <v>6</v>
      </c>
      <c r="H7076" s="5">
        <f>HYPERLINK("https://api.qogita.com/variants/link/0773602577071/", "View Product")</f>
        <v/>
      </c>
    </row>
    <row r="7077">
      <c r="A7077" t="inlineStr">
        <is>
          <t>0773602579938</t>
        </is>
      </c>
      <c r="B7077" t="inlineStr">
        <is>
          <t>MAC Powder Kiss Liquid Lipcolor 995 Fashion Sweetie for Women 0.17oz Lipstick</t>
        </is>
      </c>
      <c r="C7077" t="inlineStr">
        <is>
          <t>Lipstick</t>
        </is>
      </c>
      <c r="D7077" t="inlineStr">
        <is>
          <t>Mac</t>
        </is>
      </c>
      <c r="E7077" t="n">
        <v>18.28</v>
      </c>
      <c r="F7077" t="n">
        <v>1</v>
      </c>
      <c r="G7077" t="n">
        <v>6</v>
      </c>
      <c r="H7077" s="5">
        <f>HYPERLINK("https://api.qogita.com/variants/link/0773602579938/", "View Product")</f>
        <v/>
      </c>
    </row>
    <row r="7078">
      <c r="A7078" t="inlineStr">
        <is>
          <t>0773602579952</t>
        </is>
      </c>
      <c r="B7078" t="inlineStr">
        <is>
          <t>MAC Powder Kiss Liquid Lipcolour Shade 982 Marrakesh Mere Full Size 5ml 0.17oz</t>
        </is>
      </c>
      <c r="C7078" t="inlineStr">
        <is>
          <t>Lipstick</t>
        </is>
      </c>
      <c r="D7078" t="inlineStr">
        <is>
          <t>Mac</t>
        </is>
      </c>
      <c r="E7078" t="n">
        <v>18.79</v>
      </c>
      <c r="F7078" t="n">
        <v>1</v>
      </c>
      <c r="G7078" t="n">
        <v>6</v>
      </c>
      <c r="H7078" s="5">
        <f>HYPERLINK("https://api.qogita.com/variants/link/0773602579952/", "View Product")</f>
        <v/>
      </c>
    </row>
    <row r="7079">
      <c r="A7079" t="inlineStr">
        <is>
          <t>0773602579969</t>
        </is>
      </c>
      <c r="B7079" t="inlineStr">
        <is>
          <t>Mac Powder Kiss Liquid Lipcolour 981 Haute Pants 0.17oz/5.0ml - New With Box</t>
        </is>
      </c>
      <c r="C7079" t="inlineStr">
        <is>
          <t>Lipstick</t>
        </is>
      </c>
      <c r="D7079" t="inlineStr">
        <is>
          <t>Mac</t>
        </is>
      </c>
      <c r="E7079" t="n">
        <v>18.28</v>
      </c>
      <c r="F7079" t="n">
        <v>1</v>
      </c>
      <c r="G7079" t="n">
        <v>4</v>
      </c>
      <c r="H7079" s="5">
        <f>HYPERLINK("https://api.qogita.com/variants/link/0773602579969/", "View Product")</f>
        <v/>
      </c>
    </row>
    <row r="7080">
      <c r="A7080" t="inlineStr">
        <is>
          <t>0773602579983</t>
        </is>
      </c>
      <c r="B7080" t="inlineStr">
        <is>
          <t>MAC Powder Kiss Liquid Lipcolour #979 Impulsive 5ml/0.17oz Lip Color</t>
        </is>
      </c>
      <c r="C7080" t="inlineStr">
        <is>
          <t>Lipstick</t>
        </is>
      </c>
      <c r="D7080" t="inlineStr">
        <is>
          <t>Mac</t>
        </is>
      </c>
      <c r="E7080" t="n">
        <v>18.28</v>
      </c>
      <c r="F7080" t="n">
        <v>1</v>
      </c>
      <c r="G7080" t="n">
        <v>8</v>
      </c>
      <c r="H7080" s="5">
        <f>HYPERLINK("https://api.qogita.com/variants/link/0773602579983/", "View Product")</f>
        <v/>
      </c>
    </row>
    <row r="7081">
      <c r="A7081" t="inlineStr">
        <is>
          <t>0773602581108</t>
        </is>
      </c>
      <c r="B7081" t="inlineStr">
        <is>
          <t>MAC Powder Kiss Eyeshadow So Haute Right Now 0.05oz/1.5g - New in Box</t>
        </is>
      </c>
      <c r="C7081" t="inlineStr">
        <is>
          <t>Eyeshadow</t>
        </is>
      </c>
      <c r="D7081" t="inlineStr">
        <is>
          <t>Mac</t>
        </is>
      </c>
      <c r="E7081" t="n">
        <v>14.47</v>
      </c>
      <c r="F7081" t="n">
        <v>1</v>
      </c>
      <c r="G7081" t="n">
        <v>11</v>
      </c>
      <c r="H7081" s="5">
        <f>HYPERLINK("https://api.qogita.com/variants/link/0773602581108/", "View Product")</f>
        <v/>
      </c>
    </row>
    <row r="7082">
      <c r="A7082" t="inlineStr">
        <is>
          <t>0773602583157</t>
        </is>
      </c>
      <c r="B7082" t="inlineStr">
        <is>
          <t>Mac Cosmetics Studio Fix Tech Cream-To-Powder Foundation - 10 Grams</t>
        </is>
      </c>
      <c r="C7082" t="inlineStr">
        <is>
          <t>Foundation</t>
        </is>
      </c>
      <c r="D7082" t="inlineStr">
        <is>
          <t>MAC Cosmetics</t>
        </is>
      </c>
      <c r="E7082" t="n">
        <v>22.75</v>
      </c>
      <c r="F7082" t="n">
        <v>1</v>
      </c>
      <c r="G7082" t="n">
        <v>6</v>
      </c>
      <c r="H7082" s="5">
        <f>HYPERLINK("https://api.qogita.com/variants/link/0773602583157/", "View Product")</f>
        <v/>
      </c>
    </row>
    <row r="7083">
      <c r="A7083" t="inlineStr">
        <is>
          <t>0773602583232</t>
        </is>
      </c>
      <c r="B7083" t="inlineStr">
        <is>
          <t>Mac Cosmetics Studio Fix Tech Cream-To-Powder Foundation - 10 Grams</t>
        </is>
      </c>
      <c r="C7083" t="inlineStr">
        <is>
          <t>Foundation</t>
        </is>
      </c>
      <c r="D7083" t="inlineStr">
        <is>
          <t>MAC Cosmetics</t>
        </is>
      </c>
      <c r="E7083" t="n">
        <v>22.83</v>
      </c>
      <c r="F7083" t="n">
        <v>1</v>
      </c>
      <c r="G7083" t="n">
        <v>5</v>
      </c>
      <c r="H7083" s="5">
        <f>HYPERLINK("https://api.qogita.com/variants/link/0773602583232/", "View Product")</f>
        <v/>
      </c>
    </row>
    <row r="7084">
      <c r="A7084" t="inlineStr">
        <is>
          <t>0773602583249</t>
        </is>
      </c>
      <c r="B7084" t="inlineStr">
        <is>
          <t>Mac Cosmetics Studio Fix Tech Cream-To-Powder Foundation - 10 Grams</t>
        </is>
      </c>
      <c r="C7084" t="inlineStr">
        <is>
          <t>Foundation</t>
        </is>
      </c>
      <c r="D7084" t="inlineStr">
        <is>
          <t>MAC Cosmetics</t>
        </is>
      </c>
      <c r="E7084" t="n">
        <v>22.83</v>
      </c>
      <c r="F7084" t="n">
        <v>1</v>
      </c>
      <c r="G7084" t="n">
        <v>5</v>
      </c>
      <c r="H7084" s="5">
        <f>HYPERLINK("https://api.qogita.com/variants/link/0773602583249/", "View Product")</f>
        <v/>
      </c>
    </row>
    <row r="7085">
      <c r="A7085" t="inlineStr">
        <is>
          <t>0773602588503</t>
        </is>
      </c>
      <c r="B7085" t="inlineStr">
        <is>
          <t>MAC Cosmetics Powder Kiss Soft Matte Eye Shadow in Such A Tulle</t>
        </is>
      </c>
      <c r="C7085" t="inlineStr">
        <is>
          <t>Eyeshadow</t>
        </is>
      </c>
      <c r="D7085" t="inlineStr">
        <is>
          <t>Mac</t>
        </is>
      </c>
      <c r="E7085" t="n">
        <v>17.14</v>
      </c>
      <c r="F7085" t="n">
        <v>1</v>
      </c>
      <c r="G7085" t="n">
        <v>4</v>
      </c>
      <c r="H7085" s="5">
        <f>HYPERLINK("https://api.qogita.com/variants/link/0773602588503/", "View Product")</f>
        <v/>
      </c>
    </row>
    <row r="7086">
      <c r="A7086" t="inlineStr">
        <is>
          <t>0773602588510</t>
        </is>
      </c>
      <c r="B7086" t="inlineStr">
        <is>
          <t>MAC Powder Kiss Soft Matte Eye Shadow Per-Suede Me 0.05oz/1.5g</t>
        </is>
      </c>
      <c r="C7086" t="inlineStr">
        <is>
          <t>Eyeshadow</t>
        </is>
      </c>
      <c r="D7086" t="inlineStr">
        <is>
          <t>Mac</t>
        </is>
      </c>
      <c r="E7086" t="n">
        <v>17.14</v>
      </c>
      <c r="F7086" t="n">
        <v>1</v>
      </c>
      <c r="G7086" t="n">
        <v>3</v>
      </c>
      <c r="H7086" s="5">
        <f>HYPERLINK("https://api.qogita.com/variants/link/0773602588510/", "View Product")</f>
        <v/>
      </c>
    </row>
    <row r="7087">
      <c r="A7087" t="inlineStr">
        <is>
          <t>0773602588817</t>
        </is>
      </c>
      <c r="B7087" t="inlineStr">
        <is>
          <t>Mac Cosmetics Powder Kiss Lipstick Kinda Soarta 3g</t>
        </is>
      </c>
      <c r="C7087" t="inlineStr">
        <is>
          <t>Lipstick</t>
        </is>
      </c>
      <c r="D7087" t="inlineStr">
        <is>
          <t>MAC Cosmetics</t>
        </is>
      </c>
      <c r="E7087" t="n">
        <v>16.49</v>
      </c>
      <c r="F7087" t="n">
        <v>1</v>
      </c>
      <c r="G7087" t="n">
        <v>14</v>
      </c>
      <c r="H7087" s="5">
        <f>HYPERLINK("https://api.qogita.com/variants/link/0773602588817/", "View Product")</f>
        <v/>
      </c>
    </row>
    <row r="7088">
      <c r="A7088" t="inlineStr">
        <is>
          <t>0773602593040</t>
        </is>
      </c>
      <c r="B7088" t="inlineStr">
        <is>
          <t>Mac Stack Mascara Black 12ml</t>
        </is>
      </c>
      <c r="C7088" t="inlineStr">
        <is>
          <t>Mascara</t>
        </is>
      </c>
      <c r="D7088" t="inlineStr">
        <is>
          <t>Mac</t>
        </is>
      </c>
      <c r="E7088" t="n">
        <v>23.48</v>
      </c>
      <c r="F7088" t="n">
        <v>1</v>
      </c>
      <c r="G7088" t="n">
        <v>21</v>
      </c>
      <c r="H7088" s="5">
        <f>HYPERLINK("https://api.qogita.com/variants/link/0773602593040/", "View Product")</f>
        <v/>
      </c>
    </row>
    <row r="7089">
      <c r="A7089" t="inlineStr">
        <is>
          <t>0773602593057</t>
        </is>
      </c>
      <c r="B7089" t="inlineStr">
        <is>
          <t>Mac Eye Mascara Macstack - Black</t>
        </is>
      </c>
      <c r="C7089" t="inlineStr">
        <is>
          <t>Mascara</t>
        </is>
      </c>
      <c r="D7089" t="inlineStr">
        <is>
          <t>Mac</t>
        </is>
      </c>
      <c r="E7089" t="n">
        <v>23.48</v>
      </c>
      <c r="F7089" t="n">
        <v>1</v>
      </c>
      <c r="G7089" t="n">
        <v>7</v>
      </c>
      <c r="H7089" s="5">
        <f>HYPERLINK("https://api.qogita.com/variants/link/0773602593057/", "View Product")</f>
        <v/>
      </c>
    </row>
    <row r="7090">
      <c r="A7090" t="inlineStr">
        <is>
          <t>0773602594467</t>
        </is>
      </c>
      <c r="B7090" t="inlineStr">
        <is>
          <t>MAC Colour Excess Gel Pencil Eye Liner Nude Ink 0.35g</t>
        </is>
      </c>
      <c r="C7090" t="inlineStr">
        <is>
          <t>Eyeliner</t>
        </is>
      </c>
      <c r="D7090" t="inlineStr">
        <is>
          <t>Mac</t>
        </is>
      </c>
      <c r="E7090" t="n">
        <v>15.66</v>
      </c>
      <c r="F7090" t="n">
        <v>1</v>
      </c>
      <c r="G7090" t="n">
        <v>10</v>
      </c>
      <c r="H7090" s="5">
        <f>HYPERLINK("https://api.qogita.com/variants/link/0773602594467/", "View Product")</f>
        <v/>
      </c>
    </row>
    <row r="7091">
      <c r="A7091" t="inlineStr">
        <is>
          <t>0773602606115</t>
        </is>
      </c>
      <c r="B7091" t="inlineStr">
        <is>
          <t>81 Charmer False Lashes</t>
        </is>
      </c>
      <c r="C7091" t="inlineStr">
        <is>
          <t>False Eyelashes</t>
        </is>
      </c>
      <c r="D7091" t="inlineStr">
        <is>
          <t>Mac</t>
        </is>
      </c>
      <c r="E7091" t="n">
        <v>10.67</v>
      </c>
      <c r="F7091" t="n">
        <v>1</v>
      </c>
      <c r="G7091" t="n">
        <v>2</v>
      </c>
      <c r="H7091" s="5">
        <f>HYPERLINK("https://api.qogita.com/variants/link/0773602606115/", "View Product")</f>
        <v/>
      </c>
    </row>
    <row r="7092">
      <c r="A7092" t="inlineStr">
        <is>
          <t>0773602606122</t>
        </is>
      </c>
      <c r="B7092" t="inlineStr">
        <is>
          <t>MAC 88 Stunner Lash</t>
        </is>
      </c>
      <c r="C7092" t="inlineStr">
        <is>
          <t>False Eyelashes</t>
        </is>
      </c>
      <c r="D7092" t="inlineStr">
        <is>
          <t>Mac</t>
        </is>
      </c>
      <c r="E7092" t="n">
        <v>10.89</v>
      </c>
      <c r="F7092" t="n">
        <v>1</v>
      </c>
      <c r="G7092" t="n">
        <v>6</v>
      </c>
      <c r="H7092" s="5">
        <f>HYPERLINK("https://api.qogita.com/variants/link/0773602606122/", "View Product")</f>
        <v/>
      </c>
    </row>
    <row r="7093">
      <c r="A7093" t="inlineStr">
        <is>
          <t>0773602609789</t>
        </is>
      </c>
      <c r="B7093" t="inlineStr">
        <is>
          <t>MAC Lustreglass Sheer Shine Lipstick - Thanks Its MAC Lipstick 0.1 oz</t>
        </is>
      </c>
      <c r="C7093" t="inlineStr">
        <is>
          <t>Lipstick</t>
        </is>
      </c>
      <c r="D7093" t="inlineStr">
        <is>
          <t>Mac</t>
        </is>
      </c>
      <c r="E7093" t="n">
        <v>19.04</v>
      </c>
      <c r="F7093" t="n">
        <v>1</v>
      </c>
      <c r="G7093" t="n">
        <v>25</v>
      </c>
      <c r="H7093" s="5">
        <f>HYPERLINK("https://api.qogita.com/variants/link/0773602609789/", "View Product")</f>
        <v/>
      </c>
    </row>
    <row r="7094">
      <c r="A7094" t="inlineStr">
        <is>
          <t>0773602610730</t>
        </is>
      </c>
      <c r="B7094" t="inlineStr">
        <is>
          <t>MAC Studio Radiance Face and Body Radiant Sheer Foundation W4 50ml</t>
        </is>
      </c>
      <c r="C7094" t="inlineStr">
        <is>
          <t>Foundation</t>
        </is>
      </c>
      <c r="D7094" t="inlineStr">
        <is>
          <t>Mac</t>
        </is>
      </c>
      <c r="E7094" t="n">
        <v>31.1</v>
      </c>
      <c r="F7094" t="n">
        <v>1</v>
      </c>
      <c r="G7094" t="n">
        <v>5</v>
      </c>
      <c r="H7094" s="5">
        <f>HYPERLINK("https://api.qogita.com/variants/link/0773602610730/", "View Product")</f>
        <v/>
      </c>
    </row>
    <row r="7095">
      <c r="A7095" t="inlineStr">
        <is>
          <t>0773602610761</t>
        </is>
      </c>
      <c r="B7095" t="inlineStr">
        <is>
          <t>MAC Studio Radiance Sheer Face &amp; Body Foundation in W7 50ml</t>
        </is>
      </c>
      <c r="C7095" t="inlineStr">
        <is>
          <t>Foundation</t>
        </is>
      </c>
      <c r="D7095" t="inlineStr">
        <is>
          <t>Mac</t>
        </is>
      </c>
      <c r="E7095" t="n">
        <v>24.95</v>
      </c>
      <c r="F7095" t="n">
        <v>1</v>
      </c>
      <c r="G7095" t="n">
        <v>5</v>
      </c>
      <c r="H7095" s="5">
        <f>HYPERLINK("https://api.qogita.com/variants/link/0773602610761/", "View Product")</f>
        <v/>
      </c>
    </row>
    <row r="7096">
      <c r="A7096" t="inlineStr">
        <is>
          <t>0773602642984</t>
        </is>
      </c>
      <c r="B7096" t="inlineStr">
        <is>
          <t>Mac Studio Fix Fluid Spf 15 - Mattifying Makeup 30 Ml Nw15</t>
        </is>
      </c>
      <c r="C7096" t="inlineStr">
        <is>
          <t>Foundation</t>
        </is>
      </c>
      <c r="D7096" t="inlineStr">
        <is>
          <t>Mac</t>
        </is>
      </c>
      <c r="E7096" t="n">
        <v>29.63</v>
      </c>
      <c r="F7096" t="n">
        <v>1</v>
      </c>
      <c r="G7096" t="n">
        <v>4</v>
      </c>
      <c r="H7096" s="5">
        <f>HYPERLINK("https://api.qogita.com/variants/link/0773602642984/", "View Product")</f>
        <v/>
      </c>
    </row>
    <row r="7097">
      <c r="A7097" t="inlineStr">
        <is>
          <t>0773602643127</t>
        </is>
      </c>
      <c r="B7097" t="inlineStr">
        <is>
          <t>Mac Studio Fix Fluid Spf 15 24hr Matte Foundation Oil Control - 30 Ml</t>
        </is>
      </c>
      <c r="C7097" t="inlineStr">
        <is>
          <t>Foundation</t>
        </is>
      </c>
      <c r="D7097" t="inlineStr">
        <is>
          <t>Mac</t>
        </is>
      </c>
      <c r="E7097" t="n">
        <v>24.16</v>
      </c>
      <c r="F7097" t="n">
        <v>1</v>
      </c>
      <c r="G7097" t="n">
        <v>2</v>
      </c>
      <c r="H7097" s="5">
        <f>HYPERLINK("https://api.qogita.com/variants/link/0773602643127/", "View Product")</f>
        <v/>
      </c>
    </row>
    <row r="7098">
      <c r="A7098" t="inlineStr">
        <is>
          <t>0773602643134</t>
        </is>
      </c>
      <c r="B7098" t="inlineStr">
        <is>
          <t>MAC Studio Fix Fluid SPF 15 24Hr Matte Foundation Plus Oil Control NW22 for Women 1 oz</t>
        </is>
      </c>
      <c r="C7098" t="inlineStr">
        <is>
          <t>Foundation</t>
        </is>
      </c>
      <c r="D7098" t="inlineStr">
        <is>
          <t>Mac</t>
        </is>
      </c>
      <c r="E7098" t="n">
        <v>24.59</v>
      </c>
      <c r="F7098" t="n">
        <v>1</v>
      </c>
      <c r="G7098" t="n">
        <v>2</v>
      </c>
      <c r="H7098" s="5">
        <f>HYPERLINK("https://api.qogita.com/variants/link/0773602643134/", "View Product")</f>
        <v/>
      </c>
    </row>
    <row r="7099">
      <c r="A7099" t="inlineStr">
        <is>
          <t>0773602643219</t>
        </is>
      </c>
      <c r="B7099" t="inlineStr">
        <is>
          <t>Mac Studio Fix Fluid Spf 15 - Mattifying Makeup 30 Ml Nw13</t>
        </is>
      </c>
      <c r="C7099" t="inlineStr">
        <is>
          <t>Foundation</t>
        </is>
      </c>
      <c r="D7099" t="inlineStr">
        <is>
          <t>Mac</t>
        </is>
      </c>
      <c r="E7099" t="n">
        <v>29.63</v>
      </c>
      <c r="F7099" t="n">
        <v>1</v>
      </c>
      <c r="G7099" t="n">
        <v>13</v>
      </c>
      <c r="H7099" s="5">
        <f>HYPERLINK("https://api.qogita.com/variants/link/0773602643219/", "View Product")</f>
        <v/>
      </c>
    </row>
    <row r="7100">
      <c r="A7100" t="inlineStr">
        <is>
          <t>0773602643448</t>
        </is>
      </c>
      <c r="B7100" t="inlineStr">
        <is>
          <t>MAC Studio Radiance Serum-Driven Foundation 1.0 fl oz - New in Box</t>
        </is>
      </c>
      <c r="C7100" t="inlineStr">
        <is>
          <t>Foundation</t>
        </is>
      </c>
      <c r="D7100" t="inlineStr">
        <is>
          <t>Mac</t>
        </is>
      </c>
      <c r="E7100" t="n">
        <v>29.63</v>
      </c>
      <c r="F7100" t="n">
        <v>1</v>
      </c>
      <c r="G7100" t="n">
        <v>3</v>
      </c>
      <c r="H7100" s="5">
        <f>HYPERLINK("https://api.qogita.com/variants/link/0773602643448/", "View Product")</f>
        <v/>
      </c>
    </row>
    <row r="7101">
      <c r="A7101" t="inlineStr">
        <is>
          <t>0773602643479</t>
        </is>
      </c>
      <c r="B7101" t="inlineStr">
        <is>
          <t>M.A.C Cosmetics Studio Fix Fluid Broad Spectrum SPF 15 Foundation NW57 Rich Mahogany 1 fl oz 30 mL</t>
        </is>
      </c>
      <c r="C7101" t="inlineStr">
        <is>
          <t>Foundation</t>
        </is>
      </c>
      <c r="D7101" t="inlineStr">
        <is>
          <t>Mac</t>
        </is>
      </c>
      <c r="E7101" t="n">
        <v>23.16</v>
      </c>
      <c r="F7101" t="n">
        <v>1</v>
      </c>
      <c r="G7101" t="n">
        <v>5</v>
      </c>
      <c r="H7101" s="5">
        <f>HYPERLINK("https://api.qogita.com/variants/link/0773602643479/", "View Product")</f>
        <v/>
      </c>
    </row>
    <row r="7102">
      <c r="A7102" t="inlineStr">
        <is>
          <t>0773602643530</t>
        </is>
      </c>
      <c r="B7102" t="inlineStr">
        <is>
          <t>Mac Studio Fix Fluid Spf 15 - Mattifying Makeup 30 Ml C45</t>
        </is>
      </c>
      <c r="C7102" t="inlineStr">
        <is>
          <t>Foundation</t>
        </is>
      </c>
      <c r="D7102" t="inlineStr">
        <is>
          <t>Mac</t>
        </is>
      </c>
      <c r="E7102" t="n">
        <v>23.63</v>
      </c>
      <c r="F7102" t="n">
        <v>1</v>
      </c>
      <c r="G7102" t="n">
        <v>3</v>
      </c>
      <c r="H7102" s="5">
        <f>HYPERLINK("https://api.qogita.com/variants/link/0773602643530/", "View Product")</f>
        <v/>
      </c>
    </row>
    <row r="7103">
      <c r="A7103" t="inlineStr">
        <is>
          <t>0773602646036</t>
        </is>
      </c>
      <c r="B7103" t="inlineStr">
        <is>
          <t>MAC Locked Kiss Ink Lipcolor Bodacious for Women 0.14 oz Lipstick 62 Bodacious</t>
        </is>
      </c>
      <c r="C7103" t="inlineStr">
        <is>
          <t>Lipstick</t>
        </is>
      </c>
      <c r="D7103" t="inlineStr">
        <is>
          <t>Mac</t>
        </is>
      </c>
      <c r="E7103" t="n">
        <v>23.48</v>
      </c>
      <c r="F7103" t="n">
        <v>1</v>
      </c>
      <c r="G7103" t="n">
        <v>2</v>
      </c>
      <c r="H7103" s="5">
        <f>HYPERLINK("https://api.qogita.com/variants/link/0773602646036/", "View Product")</f>
        <v/>
      </c>
    </row>
    <row r="7104">
      <c r="A7104" t="inlineStr">
        <is>
          <t>0773602646050</t>
        </is>
      </c>
      <c r="B7104" t="inlineStr">
        <is>
          <t>MAC Locked Kiss Ink Lipcolor Vicious for Women 0.14 oz Lipstick</t>
        </is>
      </c>
      <c r="C7104" t="inlineStr">
        <is>
          <t>Lipstick</t>
        </is>
      </c>
      <c r="D7104" t="inlineStr">
        <is>
          <t>Mac</t>
        </is>
      </c>
      <c r="E7104" t="n">
        <v>20.37</v>
      </c>
      <c r="F7104" t="n">
        <v>1</v>
      </c>
      <c r="G7104" t="n">
        <v>4</v>
      </c>
      <c r="H7104" s="5">
        <f>HYPERLINK("https://api.qogita.com/variants/link/0773602646050/", "View Product")</f>
        <v/>
      </c>
    </row>
    <row r="7105">
      <c r="A7105" t="inlineStr">
        <is>
          <t>0773602646159</t>
        </is>
      </c>
      <c r="B7105" t="inlineStr">
        <is>
          <t>M•A•C Locked Kiss Tint 24 Hour Lip Color 85 Poncy 0.14 oz</t>
        </is>
      </c>
      <c r="C7105" t="inlineStr">
        <is>
          <t>Lipstick</t>
        </is>
      </c>
      <c r="D7105" t="inlineStr">
        <is>
          <t>Mac</t>
        </is>
      </c>
      <c r="E7105" t="n">
        <v>19.69</v>
      </c>
      <c r="F7105" t="n">
        <v>1</v>
      </c>
      <c r="G7105" t="n">
        <v>7</v>
      </c>
      <c r="H7105" s="5">
        <f>HYPERLINK("https://api.qogita.com/variants/link/0773602646159/", "View Product")</f>
        <v/>
      </c>
    </row>
    <row r="7106">
      <c r="A7106" t="inlineStr">
        <is>
          <t>0773602648733</t>
        </is>
      </c>
      <c r="B7106" t="inlineStr">
        <is>
          <t>M.A.C. Limited Edition Connect In Colour Eye Shadow Palette: Unfiltered Nudes 12.2g</t>
        </is>
      </c>
      <c r="C7106" t="inlineStr">
        <is>
          <t>Eye Sets &amp; Pallets</t>
        </is>
      </c>
      <c r="D7106" t="inlineStr">
        <is>
          <t>MAC Cosmetics</t>
        </is>
      </c>
      <c r="E7106" t="n">
        <v>38.09</v>
      </c>
      <c r="F7106" t="n">
        <v>1</v>
      </c>
      <c r="G7106" t="n">
        <v>32</v>
      </c>
      <c r="H7106" s="5">
        <f>HYPERLINK("https://api.qogita.com/variants/link/0773602648733/", "View Product")</f>
        <v/>
      </c>
    </row>
    <row r="7107">
      <c r="A7107" t="inlineStr">
        <is>
          <t>0773602656738</t>
        </is>
      </c>
      <c r="B7107" t="inlineStr">
        <is>
          <t>MAC Studio Radiance Serum Powered Foundation NC35</t>
        </is>
      </c>
      <c r="C7107" t="inlineStr">
        <is>
          <t>Foundation</t>
        </is>
      </c>
      <c r="D7107" t="inlineStr">
        <is>
          <t>Mac</t>
        </is>
      </c>
      <c r="E7107" t="n">
        <v>27.27</v>
      </c>
      <c r="F7107" t="n">
        <v>1</v>
      </c>
      <c r="G7107" t="n">
        <v>2</v>
      </c>
      <c r="H7107" s="5">
        <f>HYPERLINK("https://api.qogita.com/variants/link/0773602656738/", "View Product")</f>
        <v/>
      </c>
    </row>
    <row r="7108">
      <c r="A7108" t="inlineStr">
        <is>
          <t>0773602656912</t>
        </is>
      </c>
      <c r="B7108" t="inlineStr">
        <is>
          <t>MAC Studio Radiance Serum Powered Foundation NW35</t>
        </is>
      </c>
      <c r="C7108" t="inlineStr">
        <is>
          <t>Foundation</t>
        </is>
      </c>
      <c r="D7108" t="inlineStr">
        <is>
          <t>MAC Cosmetics</t>
        </is>
      </c>
      <c r="E7108" t="n">
        <v>33.01</v>
      </c>
      <c r="F7108" t="n">
        <v>1</v>
      </c>
      <c r="G7108" t="n">
        <v>5</v>
      </c>
      <c r="H7108" s="5">
        <f>HYPERLINK("https://api.qogita.com/variants/link/0773602656912/", "View Product")</f>
        <v/>
      </c>
    </row>
    <row r="7109">
      <c r="A7109" t="inlineStr">
        <is>
          <t>0773602672141</t>
        </is>
      </c>
      <c r="B7109" t="inlineStr">
        <is>
          <t>Brightening Tinted Cream Strobe Dewy Skin Tint 30 ml Shade Light 2</t>
        </is>
      </c>
      <c r="C7109" t="inlineStr">
        <is>
          <t>Bb Cream &amp; Cc Cream</t>
        </is>
      </c>
      <c r="D7109" t="inlineStr">
        <is>
          <t>Mac</t>
        </is>
      </c>
      <c r="E7109" t="n">
        <v>24.26</v>
      </c>
      <c r="F7109" t="n">
        <v>1</v>
      </c>
      <c r="G7109" t="n">
        <v>2</v>
      </c>
      <c r="H7109" s="5">
        <f>HYPERLINK("https://api.qogita.com/variants/link/0773602672141/", "View Product")</f>
        <v/>
      </c>
    </row>
    <row r="7110">
      <c r="A7110" t="inlineStr">
        <is>
          <t>0773602672219</t>
        </is>
      </c>
      <c r="B7110" t="inlineStr">
        <is>
          <t>Strobe Dewy Skin Tint DARK DEEP</t>
        </is>
      </c>
      <c r="C7110" t="inlineStr">
        <is>
          <t>Foundation</t>
        </is>
      </c>
      <c r="D7110" t="inlineStr">
        <is>
          <t>Stroopwafels</t>
        </is>
      </c>
      <c r="E7110" t="n">
        <v>21.14</v>
      </c>
      <c r="F7110" t="n">
        <v>1</v>
      </c>
      <c r="G7110" t="n">
        <v>11</v>
      </c>
      <c r="H7110" s="5">
        <f>HYPERLINK("https://api.qogita.com/variants/link/0773602672219/", "View Product")</f>
        <v/>
      </c>
    </row>
    <row r="7111">
      <c r="A7111" t="inlineStr">
        <is>
          <t>0773602672318</t>
        </is>
      </c>
      <c r="B7111" t="inlineStr">
        <is>
          <t>MAC Studio Fix Pro Set + Blur Weightless Loose Powder Medium Deep 0.22oz 6.5g</t>
        </is>
      </c>
      <c r="C7111" t="inlineStr">
        <is>
          <t>Powder</t>
        </is>
      </c>
      <c r="D7111" t="inlineStr">
        <is>
          <t>Mac</t>
        </is>
      </c>
      <c r="E7111" t="n">
        <v>27.65</v>
      </c>
      <c r="F7111" t="n">
        <v>1</v>
      </c>
      <c r="G7111" t="n">
        <v>3</v>
      </c>
      <c r="H7111" s="5">
        <f>HYPERLINK("https://api.qogita.com/variants/link/0773602672318/", "View Product")</f>
        <v/>
      </c>
    </row>
    <row r="7112">
      <c r="A7112" t="inlineStr">
        <is>
          <t>0773602672424</t>
        </is>
      </c>
      <c r="B7112" t="inlineStr">
        <is>
          <t>MAC Powder Kiss Velvet Blur Slim Stick Lipstick Over The Taupe 2GM/.07oz</t>
        </is>
      </c>
      <c r="C7112" t="inlineStr">
        <is>
          <t>Lipstick</t>
        </is>
      </c>
      <c r="D7112" t="inlineStr">
        <is>
          <t>Mac</t>
        </is>
      </c>
      <c r="E7112" t="n">
        <v>22.1</v>
      </c>
      <c r="F7112" t="n">
        <v>1</v>
      </c>
      <c r="G7112" t="n">
        <v>4</v>
      </c>
      <c r="H7112" s="5">
        <f>HYPERLINK("https://api.qogita.com/variants/link/0773602672424/", "View Product")</f>
        <v/>
      </c>
    </row>
    <row r="7113">
      <c r="A7113" t="inlineStr">
        <is>
          <t>0773602672547</t>
        </is>
      </c>
      <c r="B7113" t="inlineStr">
        <is>
          <t>MAC Dubonnet Buzz Powder Kiss Velvet Blur Slim Stick Lipstick</t>
        </is>
      </c>
      <c r="C7113" t="inlineStr">
        <is>
          <t>Lipstick</t>
        </is>
      </c>
      <c r="D7113" t="inlineStr">
        <is>
          <t>Mac</t>
        </is>
      </c>
      <c r="E7113" t="n">
        <v>18.65</v>
      </c>
      <c r="F7113" t="n">
        <v>1</v>
      </c>
      <c r="G7113" t="n">
        <v>8</v>
      </c>
      <c r="H7113" s="5">
        <f>HYPERLINK("https://api.qogita.com/variants/link/0773602672547/", "View Product")</f>
        <v/>
      </c>
    </row>
    <row r="7114">
      <c r="A7114" t="inlineStr">
        <is>
          <t>0773602679287</t>
        </is>
      </c>
      <c r="B7114" t="inlineStr">
        <is>
          <t>MAC Locked Kiss 24 Hour Poncy for Women 0.06 oz Lipstick</t>
        </is>
      </c>
      <c r="C7114" t="inlineStr">
        <is>
          <t>Lipstick</t>
        </is>
      </c>
      <c r="D7114" t="inlineStr">
        <is>
          <t>Mac</t>
        </is>
      </c>
      <c r="E7114" t="n">
        <v>18.87</v>
      </c>
      <c r="F7114" t="n">
        <v>1</v>
      </c>
      <c r="G7114" t="n">
        <v>2</v>
      </c>
      <c r="H7114" s="5">
        <f>HYPERLINK("https://api.qogita.com/variants/link/0773602679287/", "View Product")</f>
        <v/>
      </c>
    </row>
    <row r="7115">
      <c r="A7115" t="inlineStr">
        <is>
          <t>0773602679300</t>
        </is>
      </c>
      <c r="B7115" t="inlineStr">
        <is>
          <t>MAC Locked Kiss 24H 68 Teaser Lipstick</t>
        </is>
      </c>
      <c r="C7115" t="inlineStr">
        <is>
          <t>Lipstick</t>
        </is>
      </c>
      <c r="D7115" t="inlineStr">
        <is>
          <t>Mac</t>
        </is>
      </c>
      <c r="E7115" t="n">
        <v>23.48</v>
      </c>
      <c r="F7115" t="n">
        <v>1</v>
      </c>
      <c r="G7115" t="n">
        <v>3</v>
      </c>
      <c r="H7115" s="5">
        <f>HYPERLINK("https://api.qogita.com/variants/link/0773602679300/", "View Product")</f>
        <v/>
      </c>
    </row>
    <row r="7116">
      <c r="A7116" t="inlineStr">
        <is>
          <t>0773602679317</t>
        </is>
      </c>
      <c r="B7116" t="inlineStr">
        <is>
          <t>MAC Locked Kiss 24HR Lipstick Sophistry</t>
        </is>
      </c>
      <c r="C7116" t="inlineStr">
        <is>
          <t>Lipstick</t>
        </is>
      </c>
      <c r="D7116" t="inlineStr">
        <is>
          <t>Mac</t>
        </is>
      </c>
      <c r="E7116" t="n">
        <v>18.87</v>
      </c>
      <c r="F7116" t="n">
        <v>1</v>
      </c>
      <c r="G7116" t="n">
        <v>2</v>
      </c>
      <c r="H7116" s="5">
        <f>HYPERLINK("https://api.qogita.com/variants/link/0773602679317/", "View Product")</f>
        <v/>
      </c>
    </row>
    <row r="7117">
      <c r="A7117" t="inlineStr">
        <is>
          <t>0773602679393</t>
        </is>
      </c>
      <c r="B7117" t="inlineStr">
        <is>
          <t>Mac Locked Kiss Lipstick - 2 Grams</t>
        </is>
      </c>
      <c r="C7117" t="inlineStr">
        <is>
          <t>Lipstick</t>
        </is>
      </c>
      <c r="D7117" t="inlineStr">
        <is>
          <t>Mac</t>
        </is>
      </c>
      <c r="E7117" t="n">
        <v>19.51</v>
      </c>
      <c r="F7117" t="n">
        <v>1</v>
      </c>
      <c r="G7117" t="n">
        <v>5</v>
      </c>
      <c r="H7117" s="5">
        <f>HYPERLINK("https://api.qogita.com/variants/link/0773602679393/", "View Product")</f>
        <v/>
      </c>
    </row>
    <row r="7118">
      <c r="A7118" t="inlineStr">
        <is>
          <t>0773602679577</t>
        </is>
      </c>
      <c r="B7118" t="inlineStr">
        <is>
          <t>New in Box Mac Cosmetics Locked Kiss 24 Hour Lipstick 79 Coy</t>
        </is>
      </c>
      <c r="C7118" t="inlineStr">
        <is>
          <t>Lipstick</t>
        </is>
      </c>
      <c r="D7118" t="inlineStr">
        <is>
          <t>Mac</t>
        </is>
      </c>
      <c r="E7118" t="n">
        <v>23.48</v>
      </c>
      <c r="F7118" t="n">
        <v>1</v>
      </c>
      <c r="G7118" t="n">
        <v>10</v>
      </c>
      <c r="H7118" s="5">
        <f>HYPERLINK("https://api.qogita.com/variants/link/0773602679577/", "View Product")</f>
        <v/>
      </c>
    </row>
    <row r="7119">
      <c r="A7119" t="inlineStr">
        <is>
          <t>0773602684571</t>
        </is>
      </c>
      <c r="B7119" t="inlineStr">
        <is>
          <t>Mac Studio Fix Every Wear All Over Face Pen NW15</t>
        </is>
      </c>
      <c r="C7119" t="inlineStr">
        <is>
          <t>Foundation</t>
        </is>
      </c>
      <c r="D7119" t="inlineStr">
        <is>
          <t>Mac</t>
        </is>
      </c>
      <c r="E7119" t="n">
        <v>20.92</v>
      </c>
      <c r="F7119" t="n">
        <v>1</v>
      </c>
      <c r="G7119" t="n">
        <v>6</v>
      </c>
      <c r="H7119" s="5">
        <f>HYPERLINK("https://api.qogita.com/variants/link/0773602684571/", "View Product")</f>
        <v/>
      </c>
    </row>
    <row r="7120">
      <c r="A7120" t="inlineStr">
        <is>
          <t>0773602684618</t>
        </is>
      </c>
      <c r="B7120" t="inlineStr">
        <is>
          <t>Mac Studio Fix Every Wear All Over Face Pen NW35</t>
        </is>
      </c>
      <c r="C7120" t="inlineStr">
        <is>
          <t>Foundation</t>
        </is>
      </c>
      <c r="D7120" t="inlineStr">
        <is>
          <t>Mac</t>
        </is>
      </c>
      <c r="E7120" t="n">
        <v>20.95</v>
      </c>
      <c r="F7120" t="n">
        <v>1</v>
      </c>
      <c r="G7120" t="n">
        <v>5</v>
      </c>
      <c r="H7120" s="5">
        <f>HYPERLINK("https://api.qogita.com/variants/link/0773602684618/", "View Product")</f>
        <v/>
      </c>
    </row>
    <row r="7121">
      <c r="A7121" t="inlineStr">
        <is>
          <t>0773602684632</t>
        </is>
      </c>
      <c r="B7121" t="inlineStr">
        <is>
          <t>MAC Studio Fix Every-Wear All-Over Face Pen N18 12ml</t>
        </is>
      </c>
      <c r="C7121" t="inlineStr">
        <is>
          <t>Concealer</t>
        </is>
      </c>
      <c r="D7121" t="inlineStr">
        <is>
          <t>Mac</t>
        </is>
      </c>
      <c r="E7121" t="n">
        <v>25.48</v>
      </c>
      <c r="F7121" t="n">
        <v>1</v>
      </c>
      <c r="G7121" t="n">
        <v>6</v>
      </c>
      <c r="H7121" s="5">
        <f>HYPERLINK("https://api.qogita.com/variants/link/0773602684632/", "View Product")</f>
        <v/>
      </c>
    </row>
    <row r="7122">
      <c r="A7122" t="inlineStr">
        <is>
          <t>0773602684762</t>
        </is>
      </c>
      <c r="B7122" t="inlineStr">
        <is>
          <t>Mac Studio Fix Every Wear All Over Face Pen NC13</t>
        </is>
      </c>
      <c r="C7122" t="inlineStr">
        <is>
          <t>Foundation</t>
        </is>
      </c>
      <c r="D7122" t="inlineStr">
        <is>
          <t>Mac</t>
        </is>
      </c>
      <c r="E7122" t="n">
        <v>25.48</v>
      </c>
      <c r="F7122" t="n">
        <v>1</v>
      </c>
      <c r="G7122" t="n">
        <v>6</v>
      </c>
      <c r="H7122" s="5">
        <f>HYPERLINK("https://api.qogita.com/variants/link/0773602684762/", "View Product")</f>
        <v/>
      </c>
    </row>
    <row r="7123">
      <c r="A7123" t="inlineStr">
        <is>
          <t>0773602684892</t>
        </is>
      </c>
      <c r="B7123" t="inlineStr">
        <is>
          <t>Macximal Silky Matte Lipstick Taupe</t>
        </is>
      </c>
      <c r="C7123" t="inlineStr">
        <is>
          <t>Lipstick</t>
        </is>
      </c>
      <c r="D7123" t="inlineStr">
        <is>
          <t>Mac</t>
        </is>
      </c>
      <c r="E7123" t="n">
        <v>15.74</v>
      </c>
      <c r="F7123" t="n">
        <v>1</v>
      </c>
      <c r="G7123" t="n">
        <v>5</v>
      </c>
      <c r="H7123" s="5">
        <f>HYPERLINK("https://api.qogita.com/variants/link/0773602684892/", "View Product")</f>
        <v/>
      </c>
    </row>
    <row r="7124">
      <c r="A7124" t="inlineStr">
        <is>
          <t>0773602685042</t>
        </is>
      </c>
      <c r="B7124" t="inlineStr">
        <is>
          <t>MAC MAXIMAL Silky Matte Lipstick Cafe Mocha 0.1 Ounces</t>
        </is>
      </c>
      <c r="C7124" t="inlineStr">
        <is>
          <t>Lipstick</t>
        </is>
      </c>
      <c r="D7124" t="inlineStr">
        <is>
          <t>Mac</t>
        </is>
      </c>
      <c r="E7124" t="n">
        <v>17.79</v>
      </c>
      <c r="F7124" t="n">
        <v>1</v>
      </c>
      <c r="G7124" t="n">
        <v>5</v>
      </c>
      <c r="H7124" s="5">
        <f>HYPERLINK("https://api.qogita.com/variants/link/0773602685042/", "View Product")</f>
        <v/>
      </c>
    </row>
    <row r="7125">
      <c r="A7125" t="inlineStr">
        <is>
          <t>0773602685097</t>
        </is>
      </c>
      <c r="B7125" t="inlineStr">
        <is>
          <t>M.A.C Ximal Matte Lipstick 692 Mixed Media Matte 0.12 oz 3.5g</t>
        </is>
      </c>
      <c r="C7125" t="inlineStr">
        <is>
          <t>Lipstick</t>
        </is>
      </c>
      <c r="D7125" t="inlineStr">
        <is>
          <t>Mac</t>
        </is>
      </c>
      <c r="E7125" t="n">
        <v>14.71</v>
      </c>
      <c r="F7125" t="n">
        <v>1</v>
      </c>
      <c r="G7125" t="n">
        <v>9</v>
      </c>
      <c r="H7125" s="5">
        <f>HYPERLINK("https://api.qogita.com/variants/link/0773602685097/", "View Product")</f>
        <v/>
      </c>
    </row>
    <row r="7126">
      <c r="A7126" t="inlineStr">
        <is>
          <t>0773602685165</t>
        </is>
      </c>
      <c r="B7126" t="inlineStr">
        <is>
          <t>MAC Macximal Matte Lipstick 606 Kinda Sexy 3.5g / 0.12oz</t>
        </is>
      </c>
      <c r="C7126" t="inlineStr">
        <is>
          <t>Lipstick</t>
        </is>
      </c>
      <c r="D7126" t="inlineStr">
        <is>
          <t>Mac</t>
        </is>
      </c>
      <c r="E7126" t="n">
        <v>17.79</v>
      </c>
      <c r="F7126" t="n">
        <v>1</v>
      </c>
      <c r="G7126" t="n">
        <v>23</v>
      </c>
      <c r="H7126" s="5">
        <f>HYPERLINK("https://api.qogita.com/variants/link/0773602685165/", "View Product")</f>
        <v/>
      </c>
    </row>
    <row r="7127">
      <c r="A7127" t="inlineStr">
        <is>
          <t>0773602691715</t>
        </is>
      </c>
      <c r="B7127" t="inlineStr">
        <is>
          <t>Mac Cosmetics Glow Play Blush Cream Rouge - 7 Grams</t>
        </is>
      </c>
      <c r="C7127" t="inlineStr">
        <is>
          <t>Blush</t>
        </is>
      </c>
      <c r="D7127" t="inlineStr">
        <is>
          <t>MAC Cosmetics</t>
        </is>
      </c>
      <c r="E7127" t="n">
        <v>24.76</v>
      </c>
      <c r="F7127" t="n">
        <v>1</v>
      </c>
      <c r="G7127" t="n">
        <v>16</v>
      </c>
      <c r="H7127" s="5">
        <f>HYPERLINK("https://api.qogita.com/variants/link/0773602691715/", "View Product")</f>
        <v/>
      </c>
    </row>
    <row r="7128">
      <c r="A7128" t="inlineStr">
        <is>
          <t>0773602693948</t>
        </is>
      </c>
      <c r="B7128" t="inlineStr">
        <is>
          <t>MAC Pro Brow Definer 1mm Tip Brow Pencil Hickory 0.001 Ounces</t>
        </is>
      </c>
      <c r="C7128" t="inlineStr">
        <is>
          <t>Eyebrow Pencil</t>
        </is>
      </c>
      <c r="D7128" t="inlineStr">
        <is>
          <t>Mac</t>
        </is>
      </c>
      <c r="E7128" t="n">
        <v>16.57</v>
      </c>
      <c r="F7128" t="n">
        <v>1</v>
      </c>
      <c r="G7128" t="n">
        <v>9</v>
      </c>
      <c r="H7128" s="5">
        <f>HYPERLINK("https://api.qogita.com/variants/link/0773602693948/", "View Product")</f>
        <v/>
      </c>
    </row>
    <row r="7129">
      <c r="A7129" t="inlineStr">
        <is>
          <t>0773602694044</t>
        </is>
      </c>
      <c r="B7129" t="inlineStr">
        <is>
          <t>Mac Cosmetics Pro Brow Definer Eyebrow Pencil 003 G</t>
        </is>
      </c>
      <c r="C7129" t="inlineStr">
        <is>
          <t>Eyebrow Pencil</t>
        </is>
      </c>
      <c r="D7129" t="inlineStr">
        <is>
          <t>Mac</t>
        </is>
      </c>
      <c r="E7129" t="n">
        <v>19.53</v>
      </c>
      <c r="F7129" t="n">
        <v>1</v>
      </c>
      <c r="G7129" t="n">
        <v>7</v>
      </c>
      <c r="H7129" s="5">
        <f>HYPERLINK("https://api.qogita.com/variants/link/0773602694044/", "View Product")</f>
        <v/>
      </c>
    </row>
    <row r="7130">
      <c r="A7130" t="inlineStr">
        <is>
          <t>0773602719167</t>
        </is>
      </c>
      <c r="B7130" t="inlineStr">
        <is>
          <t>Mac Holy Grail Mini Hyper Real Skin Kit</t>
        </is>
      </c>
      <c r="C7130" t="inlineStr">
        <is>
          <t>Facial Care Sets</t>
        </is>
      </c>
      <c r="D7130" t="inlineStr">
        <is>
          <t>Mac</t>
        </is>
      </c>
      <c r="E7130" t="n">
        <v>35.96</v>
      </c>
      <c r="F7130" t="n">
        <v>1</v>
      </c>
      <c r="G7130" t="n">
        <v>4</v>
      </c>
      <c r="H7130" s="5">
        <f>HYPERLINK("https://api.qogita.com/variants/link/0773602719167/", "View Product")</f>
        <v/>
      </c>
    </row>
    <row r="7131">
      <c r="A7131" t="inlineStr">
        <is>
          <t>0773602720873</t>
        </is>
      </c>
      <c r="B7131" t="inlineStr">
        <is>
          <t>MAC Cosmetics Fixt MAGIC RADIANCE All-day Moisturizing Spray 100ml</t>
        </is>
      </c>
      <c r="C7131" t="inlineStr">
        <is>
          <t>Setting Spray</t>
        </is>
      </c>
      <c r="D7131" t="inlineStr">
        <is>
          <t>Mac</t>
        </is>
      </c>
      <c r="E7131" t="n">
        <v>22.86</v>
      </c>
      <c r="F7131" t="n">
        <v>1</v>
      </c>
      <c r="G7131" t="n">
        <v>5</v>
      </c>
      <c r="H7131" s="5">
        <f>HYPERLINK("https://api.qogita.com/variants/link/0773602720873/", "View Product")</f>
        <v/>
      </c>
    </row>
    <row r="7132">
      <c r="A7132" t="inlineStr">
        <is>
          <t>0773602726097</t>
        </is>
      </c>
      <c r="B7132" t="inlineStr">
        <is>
          <t>Mac Lipglass Lip Gloss Liquid Lurex 0.1 Ounces</t>
        </is>
      </c>
      <c r="C7132" t="inlineStr">
        <is>
          <t>Lip Gloss</t>
        </is>
      </c>
      <c r="D7132" t="inlineStr">
        <is>
          <t>Mac</t>
        </is>
      </c>
      <c r="E7132" t="n">
        <v>18.34</v>
      </c>
      <c r="F7132" t="n">
        <v>1</v>
      </c>
      <c r="G7132" t="n">
        <v>29</v>
      </c>
      <c r="H7132" s="5">
        <f>HYPERLINK("https://api.qogita.com/variants/link/0773602726097/", "View Product")</f>
        <v/>
      </c>
    </row>
    <row r="7133">
      <c r="A7133" t="inlineStr">
        <is>
          <t>0783320402692</t>
        </is>
      </c>
      <c r="B7133" t="inlineStr">
        <is>
          <t>Bvlgari Omnia Coral Eau De Toilette Spray 2oz 65ml for Women</t>
        </is>
      </c>
      <c r="C7133" t="inlineStr">
        <is>
          <t>Eau De Toilette</t>
        </is>
      </c>
      <c r="D7133" t="inlineStr">
        <is>
          <t>Bvlgari</t>
        </is>
      </c>
      <c r="E7133" t="n">
        <v>64.45999999999999</v>
      </c>
      <c r="F7133" t="n">
        <v>1</v>
      </c>
      <c r="G7133" t="n">
        <v>41</v>
      </c>
      <c r="H7133" s="5">
        <f>HYPERLINK("https://api.qogita.com/variants/link/0783320402692/", "View Product")</f>
        <v/>
      </c>
    </row>
    <row r="7134">
      <c r="A7134" t="inlineStr">
        <is>
          <t>0783320402739</t>
        </is>
      </c>
      <c r="B7134" t="inlineStr">
        <is>
          <t>Bvlgari BLV Pour Homme Eau De Toilette Spray 3.4 Ounce</t>
        </is>
      </c>
      <c r="C7134" t="inlineStr">
        <is>
          <t>Eau De Toilette</t>
        </is>
      </c>
      <c r="D7134" t="inlineStr">
        <is>
          <t>Bvlgari</t>
        </is>
      </c>
      <c r="E7134" t="n">
        <v>87.83</v>
      </c>
      <c r="F7134" t="n">
        <v>1</v>
      </c>
      <c r="G7134" t="n">
        <v>108</v>
      </c>
      <c r="H7134" s="5">
        <f>HYPERLINK("https://api.qogita.com/variants/link/0783320402739/", "View Product")</f>
        <v/>
      </c>
    </row>
    <row r="7135">
      <c r="A7135" t="inlineStr">
        <is>
          <t>0783320404702</t>
        </is>
      </c>
      <c r="B7135" t="inlineStr">
        <is>
          <t>Bvlgari Rose Goldea Blossom Delight for Women Eau De Parfume Spray 2.5 Ounce</t>
        </is>
      </c>
      <c r="C7135" t="inlineStr">
        <is>
          <t>Eau De Parfum</t>
        </is>
      </c>
      <c r="D7135" t="inlineStr">
        <is>
          <t>Bvlgari</t>
        </is>
      </c>
      <c r="E7135" t="n">
        <v>80.43000000000001</v>
      </c>
      <c r="F7135" t="n">
        <v>1</v>
      </c>
      <c r="G7135" t="n">
        <v>2</v>
      </c>
      <c r="H7135" s="5">
        <f>HYPERLINK("https://api.qogita.com/variants/link/0783320404702/", "View Product")</f>
        <v/>
      </c>
    </row>
    <row r="7136">
      <c r="A7136" t="inlineStr">
        <is>
          <t>0783320411182</t>
        </is>
      </c>
      <c r="B7136" t="inlineStr">
        <is>
          <t>Bulgari Splendida Patchouli Tentation Eau De Parfum 30ml</t>
        </is>
      </c>
      <c r="C7136" t="inlineStr">
        <is>
          <t>Eau De Parfum</t>
        </is>
      </c>
      <c r="D7136" t="inlineStr">
        <is>
          <t>BULGARI</t>
        </is>
      </c>
      <c r="E7136" t="n">
        <v>30.9</v>
      </c>
      <c r="F7136" t="n">
        <v>1</v>
      </c>
      <c r="G7136" t="n">
        <v>22</v>
      </c>
      <c r="H7136" s="5">
        <f>HYPERLINK("https://api.qogita.com/variants/link/0783320411182/", "View Product")</f>
        <v/>
      </c>
    </row>
    <row r="7137">
      <c r="A7137" t="inlineStr">
        <is>
          <t>0783320411953</t>
        </is>
      </c>
      <c r="B7137" t="inlineStr">
        <is>
          <t>Bvlgari Man Glacial Essence Eau De Parfum Spray 60ml</t>
        </is>
      </c>
      <c r="C7137" t="inlineStr">
        <is>
          <t>Eau De Parfum</t>
        </is>
      </c>
      <c r="D7137" t="inlineStr">
        <is>
          <t>Bvlgari</t>
        </is>
      </c>
      <c r="E7137" t="n">
        <v>56.83</v>
      </c>
      <c r="F7137" t="n">
        <v>1</v>
      </c>
      <c r="G7137" t="n">
        <v>14</v>
      </c>
      <c r="H7137" s="5">
        <f>HYPERLINK("https://api.qogita.com/variants/link/0783320411953/", "View Product")</f>
        <v/>
      </c>
    </row>
    <row r="7138">
      <c r="A7138" t="inlineStr">
        <is>
          <t>0783320413841</t>
        </is>
      </c>
      <c r="B7138" t="inlineStr">
        <is>
          <t>Bulgari Man in Black Eau de Parfum Spray 60ml</t>
        </is>
      </c>
      <c r="C7138" t="inlineStr">
        <is>
          <t>Eau De Parfum</t>
        </is>
      </c>
      <c r="D7138" t="inlineStr">
        <is>
          <t>BULGARI</t>
        </is>
      </c>
      <c r="E7138" t="n">
        <v>57.03</v>
      </c>
      <c r="F7138" t="n">
        <v>1</v>
      </c>
      <c r="G7138" t="n">
        <v>154</v>
      </c>
      <c r="H7138" s="5">
        <f>HYPERLINK("https://api.qogita.com/variants/link/0783320413841/", "View Product")</f>
        <v/>
      </c>
    </row>
    <row r="7139">
      <c r="A7139" t="inlineStr">
        <is>
          <t>0783320417023</t>
        </is>
      </c>
      <c r="B7139" t="inlineStr">
        <is>
          <t>Bvlgari Rose Goldea Blossom Delight Eau De Toilette Spray 2.5 oz for Women</t>
        </is>
      </c>
      <c r="C7139" t="inlineStr">
        <is>
          <t>Eau De Toilette</t>
        </is>
      </c>
      <c r="D7139" t="inlineStr">
        <is>
          <t>Bvlgari</t>
        </is>
      </c>
      <c r="E7139" t="n">
        <v>75.08</v>
      </c>
      <c r="F7139" t="n">
        <v>1</v>
      </c>
      <c r="G7139" t="n">
        <v>3</v>
      </c>
      <c r="H7139" s="5">
        <f>HYPERLINK("https://api.qogita.com/variants/link/0783320417023/", "View Product")</f>
        <v/>
      </c>
    </row>
    <row r="7140">
      <c r="A7140" t="inlineStr">
        <is>
          <t>0783320420580</t>
        </is>
      </c>
      <c r="B7140" t="inlineStr">
        <is>
          <t>Omnia Crystalline Eau de Toilette Volume 30 ml</t>
        </is>
      </c>
      <c r="C7140" t="inlineStr">
        <is>
          <t>Eau De Toilette</t>
        </is>
      </c>
      <c r="D7140" t="inlineStr">
        <is>
          <t>Bvlgari</t>
        </is>
      </c>
      <c r="E7140" t="n">
        <v>46.33</v>
      </c>
      <c r="F7140" t="n">
        <v>1</v>
      </c>
      <c r="G7140" t="n">
        <v>23</v>
      </c>
      <c r="H7140" s="5">
        <f>HYPERLINK("https://api.qogita.com/variants/link/0783320420580/", "View Product")</f>
        <v/>
      </c>
    </row>
    <row r="7141">
      <c r="A7141" t="inlineStr">
        <is>
          <t>0783320420634</t>
        </is>
      </c>
      <c r="B7141" t="inlineStr">
        <is>
          <t>Bulgari Omnia Amethyste Eau de Toilette 30ml for Women</t>
        </is>
      </c>
      <c r="C7141" t="inlineStr">
        <is>
          <t>Eau De Toilette</t>
        </is>
      </c>
      <c r="D7141" t="inlineStr">
        <is>
          <t>Bvlgari</t>
        </is>
      </c>
      <c r="E7141" t="n">
        <v>52.71</v>
      </c>
      <c r="F7141" t="n">
        <v>1</v>
      </c>
      <c r="G7141" t="n">
        <v>11</v>
      </c>
      <c r="H7141" s="5">
        <f>HYPERLINK("https://api.qogita.com/variants/link/0783320420634/", "View Product")</f>
        <v/>
      </c>
    </row>
    <row r="7142">
      <c r="A7142" t="inlineStr">
        <is>
          <t>0783320420672</t>
        </is>
      </c>
      <c r="B7142" t="inlineStr">
        <is>
          <t>Omnia Coral Eau de Toilette Volume 100 ml</t>
        </is>
      </c>
      <c r="C7142" t="inlineStr">
        <is>
          <t>Eau De Toilette</t>
        </is>
      </c>
      <c r="D7142" t="inlineStr">
        <is>
          <t>Bvlgari</t>
        </is>
      </c>
      <c r="E7142" t="n">
        <v>83.91</v>
      </c>
      <c r="F7142" t="n">
        <v>1</v>
      </c>
      <c r="G7142" t="n">
        <v>12</v>
      </c>
      <c r="H7142" s="5">
        <f>HYPERLINK("https://api.qogita.com/variants/link/0783320420672/", "View Product")</f>
        <v/>
      </c>
    </row>
    <row r="7143">
      <c r="A7143" t="inlineStr">
        <is>
          <t>0783320421297</t>
        </is>
      </c>
      <c r="B7143" t="inlineStr">
        <is>
          <t>Bvlgari Pour Homme - Eau De Parfum</t>
        </is>
      </c>
      <c r="C7143" t="inlineStr">
        <is>
          <t>Eau De Parfum</t>
        </is>
      </c>
      <c r="D7143" t="inlineStr">
        <is>
          <t>Bvlgari</t>
        </is>
      </c>
      <c r="E7143" t="n">
        <v>82.53</v>
      </c>
      <c r="F7143" t="n">
        <v>1</v>
      </c>
      <c r="G7143" t="n">
        <v>21</v>
      </c>
      <c r="H7143" s="5">
        <f>HYPERLINK("https://api.qogita.com/variants/link/0783320421297/", "View Product")</f>
        <v/>
      </c>
    </row>
    <row r="7144">
      <c r="A7144" t="inlineStr">
        <is>
          <t>0783320421549</t>
        </is>
      </c>
      <c r="B7144" t="inlineStr">
        <is>
          <t>Bvlgari Man In Black Parfum 60ml</t>
        </is>
      </c>
      <c r="C7144" t="inlineStr">
        <is>
          <t>Eau De Parfum</t>
        </is>
      </c>
      <c r="D7144" t="inlineStr">
        <is>
          <t>Bvlgari</t>
        </is>
      </c>
      <c r="E7144" t="n">
        <v>68.36</v>
      </c>
      <c r="F7144" t="n">
        <v>1</v>
      </c>
      <c r="G7144" t="n">
        <v>4</v>
      </c>
      <c r="H7144" s="5">
        <f>HYPERLINK("https://api.qogita.com/variants/link/0783320421549/", "View Product")</f>
        <v/>
      </c>
    </row>
    <row r="7145">
      <c r="A7145" t="inlineStr">
        <is>
          <t>0783320421778</t>
        </is>
      </c>
      <c r="B7145" t="inlineStr">
        <is>
          <t>Bvlgari Le Gemme Yasep Eau De Parfum 125ml</t>
        </is>
      </c>
      <c r="C7145" t="inlineStr">
        <is>
          <t>Eau De Parfum</t>
        </is>
      </c>
      <c r="D7145" t="inlineStr">
        <is>
          <t>Bvlgari</t>
        </is>
      </c>
      <c r="E7145" t="n">
        <v>342.45</v>
      </c>
      <c r="F7145" t="n">
        <v>1</v>
      </c>
      <c r="G7145" t="n">
        <v>4</v>
      </c>
      <c r="H7145" s="5">
        <f>HYPERLINK("https://api.qogita.com/variants/link/0783320421778/", "View Product")</f>
        <v/>
      </c>
    </row>
    <row r="7146">
      <c r="A7146" t="inlineStr">
        <is>
          <t>0783320461019</t>
        </is>
      </c>
      <c r="B7146" t="inlineStr">
        <is>
          <t>Wood Essence by Bulgari Eau de Parfum for Men 60ml</t>
        </is>
      </c>
      <c r="C7146" t="inlineStr">
        <is>
          <t>Eau De Parfum</t>
        </is>
      </c>
      <c r="D7146" t="inlineStr">
        <is>
          <t>Bvlgari</t>
        </is>
      </c>
      <c r="E7146" t="n">
        <v>53.4</v>
      </c>
      <c r="F7146" t="n">
        <v>1</v>
      </c>
      <c r="G7146" t="n">
        <v>10</v>
      </c>
      <c r="H7146" s="5">
        <f>HYPERLINK("https://api.qogita.com/variants/link/0783320461019/", "View Product")</f>
        <v/>
      </c>
    </row>
    <row r="7147">
      <c r="A7147" t="inlineStr">
        <is>
          <t>0784089051367</t>
        </is>
      </c>
      <c r="B7147" t="inlineStr">
        <is>
          <t>D.S. &amp; Durga Amber Kiso Eau De Parfume Spray 3.4 Ounces 100ml</t>
        </is>
      </c>
      <c r="C7147" t="inlineStr">
        <is>
          <t>Eau De Parfum</t>
        </is>
      </c>
      <c r="D7147" t="inlineStr">
        <is>
          <t>D.S. &amp; Durga</t>
        </is>
      </c>
      <c r="E7147" t="n">
        <v>160.68</v>
      </c>
      <c r="F7147" t="n">
        <v>1</v>
      </c>
      <c r="G7147" t="n">
        <v>8</v>
      </c>
      <c r="H7147" s="5">
        <f>HYPERLINK("https://api.qogita.com/variants/link/0784089051367/", "View Product")</f>
        <v/>
      </c>
    </row>
    <row r="7148">
      <c r="A7148" t="inlineStr">
        <is>
          <t>0785364100015</t>
        </is>
      </c>
      <c r="B7148" t="inlineStr">
        <is>
          <t>Mario Badescu A.H.A. Botanical Body Soap - For All Skin Types 236ml</t>
        </is>
      </c>
      <c r="C7148" t="inlineStr">
        <is>
          <t>Soap</t>
        </is>
      </c>
      <c r="D7148" t="inlineStr">
        <is>
          <t>Mario Badescu</t>
        </is>
      </c>
      <c r="E7148" t="n">
        <v>7.74</v>
      </c>
      <c r="F7148" t="n">
        <v>1</v>
      </c>
      <c r="G7148" t="n">
        <v>2</v>
      </c>
      <c r="H7148" s="5">
        <f>HYPERLINK("https://api.qogita.com/variants/link/0785364100015/", "View Product")</f>
        <v/>
      </c>
    </row>
    <row r="7149">
      <c r="A7149" t="inlineStr">
        <is>
          <t>0785364104587</t>
        </is>
      </c>
      <c r="B7149" t="inlineStr">
        <is>
          <t>Coconut Body Scrub 170g</t>
        </is>
      </c>
      <c r="C7149" t="inlineStr">
        <is>
          <t>Body Scrub &amp; Peeling</t>
        </is>
      </c>
      <c r="D7149" t="inlineStr">
        <is>
          <t>Mario Badescu</t>
        </is>
      </c>
      <c r="E7149" t="n">
        <v>11.99</v>
      </c>
      <c r="F7149" t="n">
        <v>1</v>
      </c>
      <c r="G7149" t="n">
        <v>3</v>
      </c>
      <c r="H7149" s="5">
        <f>HYPERLINK("https://api.qogita.com/variants/link/0785364104587/", "View Product")</f>
        <v/>
      </c>
    </row>
    <row r="7150">
      <c r="A7150" t="inlineStr">
        <is>
          <t>0785364134416</t>
        </is>
      </c>
      <c r="B7150" t="inlineStr">
        <is>
          <t>Mario Badescu Lip Balm</t>
        </is>
      </c>
      <c r="C7150" t="inlineStr">
        <is>
          <t>Lip Balm</t>
        </is>
      </c>
      <c r="D7150" t="inlineStr">
        <is>
          <t>Mario Badescu</t>
        </is>
      </c>
      <c r="E7150" t="n">
        <v>7.21</v>
      </c>
      <c r="F7150" t="n">
        <v>1</v>
      </c>
      <c r="G7150" t="n">
        <v>3</v>
      </c>
      <c r="H7150" s="5">
        <f>HYPERLINK("https://api.qogita.com/variants/link/0785364134416/", "View Product")</f>
        <v/>
      </c>
    </row>
    <row r="7151">
      <c r="A7151" t="inlineStr">
        <is>
          <t>0785364134485</t>
        </is>
      </c>
      <c r="B7151" t="inlineStr">
        <is>
          <t>Mario Badescu Mint Lip Balm 10g</t>
        </is>
      </c>
      <c r="C7151" t="inlineStr">
        <is>
          <t>Lip Balm</t>
        </is>
      </c>
      <c r="D7151" t="inlineStr">
        <is>
          <t>Mario Badescu</t>
        </is>
      </c>
      <c r="E7151" t="n">
        <v>6.95</v>
      </c>
      <c r="F7151" t="n">
        <v>1</v>
      </c>
      <c r="G7151" t="n">
        <v>2</v>
      </c>
      <c r="H7151" s="5">
        <f>HYPERLINK("https://api.qogita.com/variants/link/0785364134485/", "View Product")</f>
        <v/>
      </c>
    </row>
    <row r="7152">
      <c r="A7152" t="inlineStr">
        <is>
          <t>0785364600270</t>
        </is>
      </c>
      <c r="B7152" t="inlineStr">
        <is>
          <t>Mario Badescu Hyaluronic Dew Drops Hydrating Gel-Serum for Glass-like Glow 1 FL OZ</t>
        </is>
      </c>
      <c r="C7152" t="inlineStr">
        <is>
          <t>Hyaluronic Acid Serum</t>
        </is>
      </c>
      <c r="D7152" t="inlineStr">
        <is>
          <t>Mario Badescu</t>
        </is>
      </c>
      <c r="E7152" t="n">
        <v>22.24</v>
      </c>
      <c r="F7152" t="n">
        <v>1</v>
      </c>
      <c r="G7152" t="n">
        <v>2</v>
      </c>
      <c r="H7152" s="5">
        <f>HYPERLINK("https://api.qogita.com/variants/link/0785364600270/", "View Product")</f>
        <v/>
      </c>
    </row>
    <row r="7153">
      <c r="A7153" t="inlineStr">
        <is>
          <t>0785364604285</t>
        </is>
      </c>
      <c r="B7153" t="inlineStr">
        <is>
          <t>Mario Badescu Clarifying Serum with Azelaic Acid 29ml</t>
        </is>
      </c>
      <c r="C7153" t="inlineStr">
        <is>
          <t>Hydrating Serum</t>
        </is>
      </c>
      <c r="D7153" t="inlineStr">
        <is>
          <t>Mario Badescu</t>
        </is>
      </c>
      <c r="E7153" t="n">
        <v>11.71</v>
      </c>
      <c r="F7153" t="n">
        <v>1</v>
      </c>
      <c r="G7153" t="n">
        <v>3</v>
      </c>
      <c r="H7153" s="5">
        <f>HYPERLINK("https://api.qogita.com/variants/link/0785364604285/", "View Product")</f>
        <v/>
      </c>
    </row>
    <row r="7154">
      <c r="A7154" t="inlineStr">
        <is>
          <t>0787211000363</t>
        </is>
      </c>
      <c r="B7154" t="inlineStr">
        <is>
          <t>Badedas Original Indulgent Bubble Bath Gel 750ml</t>
        </is>
      </c>
      <c r="C7154" t="inlineStr">
        <is>
          <t>Bath Foam</t>
        </is>
      </c>
      <c r="D7154" t="inlineStr">
        <is>
          <t>Badedas</t>
        </is>
      </c>
      <c r="E7154" t="n">
        <v>12.91</v>
      </c>
      <c r="F7154" t="n">
        <v>1</v>
      </c>
      <c r="G7154" t="n">
        <v>5</v>
      </c>
      <c r="H7154" s="5">
        <f>HYPERLINK("https://api.qogita.com/variants/link/0787211000363/", "View Product")</f>
        <v/>
      </c>
    </row>
    <row r="7155">
      <c r="A7155" t="inlineStr">
        <is>
          <t>0791511878102</t>
        </is>
      </c>
      <c r="B7155" t="inlineStr">
        <is>
          <t>D.S. &amp; Durga Radio Bombay 50ml Eau de Parfum Spray</t>
        </is>
      </c>
      <c r="C7155" t="inlineStr">
        <is>
          <t>Eau De Parfum</t>
        </is>
      </c>
      <c r="D7155" t="inlineStr">
        <is>
          <t>D.S. &amp; Durga</t>
        </is>
      </c>
      <c r="E7155" t="n">
        <v>112.54</v>
      </c>
      <c r="F7155" t="n">
        <v>1</v>
      </c>
      <c r="G7155" t="n">
        <v>10</v>
      </c>
      <c r="H7155" s="5">
        <f>HYPERLINK("https://api.qogita.com/variants/link/0791511878102/", "View Product")</f>
        <v/>
      </c>
    </row>
    <row r="7156">
      <c r="A7156" t="inlineStr">
        <is>
          <t>0794995000908</t>
        </is>
      </c>
      <c r="B7156" t="inlineStr">
        <is>
          <t>Cleansing Facial Soap with Salicylic Acid &amp; Shea Butter (Exfoliating Cleansing Bar) 100 g</t>
        </is>
      </c>
      <c r="C7156" t="inlineStr">
        <is>
          <t>Facial Soap</t>
        </is>
      </c>
      <c r="D7156" t="inlineStr">
        <is>
          <t>Carbon Theory</t>
        </is>
      </c>
      <c r="E7156" t="n">
        <v>6.64</v>
      </c>
      <c r="F7156" t="n">
        <v>1</v>
      </c>
      <c r="G7156" t="n">
        <v>4</v>
      </c>
      <c r="H7156" s="5">
        <f>HYPERLINK("https://api.qogita.com/variants/link/0794995000908/", "View Product")</f>
        <v/>
      </c>
    </row>
    <row r="7157">
      <c r="A7157" t="inlineStr">
        <is>
          <t>0794995028988</t>
        </is>
      </c>
      <c r="B7157" t="inlineStr">
        <is>
          <t>Carbon Theory Supacylic Acne Patches Hypa Dart Microdart Spot Matches - 9 Pieces</t>
        </is>
      </c>
      <c r="C7157" t="inlineStr">
        <is>
          <t>Pimple &amp; Blackhead Treatments</t>
        </is>
      </c>
      <c r="D7157" t="inlineStr">
        <is>
          <t>Carbon Theory</t>
        </is>
      </c>
      <c r="E7157" t="n">
        <v>8.199999999999999</v>
      </c>
      <c r="F7157" t="n">
        <v>1</v>
      </c>
      <c r="G7157" t="n">
        <v>5</v>
      </c>
      <c r="H7157" s="5">
        <f>HYPERLINK("https://api.qogita.com/variants/link/0794995028988/", "View Product")</f>
        <v/>
      </c>
    </row>
    <row r="7158">
      <c r="A7158" t="inlineStr">
        <is>
          <t>0794995029046</t>
        </is>
      </c>
      <c r="B7158" t="inlineStr">
        <is>
          <t>Carbon Theory Hypa Dry Salicylic Acid Drying Lotion - 30 Ml</t>
        </is>
      </c>
      <c r="C7158" t="inlineStr">
        <is>
          <t>Pimple &amp; Blackhead Treatments</t>
        </is>
      </c>
      <c r="D7158" t="inlineStr">
        <is>
          <t>Carbon Theory</t>
        </is>
      </c>
      <c r="E7158" t="n">
        <v>9.91</v>
      </c>
      <c r="F7158" t="n">
        <v>1</v>
      </c>
      <c r="G7158" t="n">
        <v>4</v>
      </c>
      <c r="H7158" s="5">
        <f>HYPERLINK("https://api.qogita.com/variants/link/0794995029046/", "View Product")</f>
        <v/>
      </c>
    </row>
    <row r="7159">
      <c r="A7159" t="inlineStr">
        <is>
          <t>0800897142919</t>
        </is>
      </c>
      <c r="B7159" t="inlineStr">
        <is>
          <t>NYX Professional Makeup Soft Matte Lip Cream Monte Carlo 10</t>
        </is>
      </c>
      <c r="C7159" t="inlineStr">
        <is>
          <t>Lipstick</t>
        </is>
      </c>
      <c r="D7159" t="inlineStr">
        <is>
          <t>NYX Professional Makeup</t>
        </is>
      </c>
      <c r="E7159" t="n">
        <v>4.95</v>
      </c>
      <c r="F7159" t="n">
        <v>1</v>
      </c>
      <c r="G7159" t="n">
        <v>2</v>
      </c>
      <c r="H7159" s="5">
        <f>HYPERLINK("https://api.qogita.com/variants/link/0800897142919/", "View Product")</f>
        <v/>
      </c>
    </row>
    <row r="7160">
      <c r="A7160" t="inlineStr">
        <is>
          <t>0800897168551</t>
        </is>
      </c>
      <c r="B7160" t="inlineStr">
        <is>
          <t>Nyx Can´t Stop Won´t Stop Full Coverage Contour Concealer Fair 3.5ml</t>
        </is>
      </c>
      <c r="C7160" t="inlineStr">
        <is>
          <t>Concealer</t>
        </is>
      </c>
      <c r="D7160" t="inlineStr">
        <is>
          <t>NYX Professional Makeup</t>
        </is>
      </c>
      <c r="E7160" t="n">
        <v>9.51</v>
      </c>
      <c r="F7160" t="n">
        <v>1</v>
      </c>
      <c r="G7160" t="n">
        <v>3</v>
      </c>
      <c r="H7160" s="5">
        <f>HYPERLINK("https://api.qogita.com/variants/link/0800897168551/", "View Product")</f>
        <v/>
      </c>
    </row>
    <row r="7161">
      <c r="A7161" t="inlineStr">
        <is>
          <t>0800897207656</t>
        </is>
      </c>
      <c r="B7161" t="inlineStr">
        <is>
          <t>NYX Epic Wear Eyeliner Stick/Epic Smoke Liner - Choose Your Shade - Free Postage</t>
        </is>
      </c>
      <c r="C7161" t="inlineStr">
        <is>
          <t>Eyeliner</t>
        </is>
      </c>
      <c r="D7161" t="inlineStr">
        <is>
          <t>NYX</t>
        </is>
      </c>
      <c r="E7161" t="n">
        <v>6.76</v>
      </c>
      <c r="F7161" t="n">
        <v>1</v>
      </c>
      <c r="G7161" t="n">
        <v>3</v>
      </c>
      <c r="H7161" s="5">
        <f>HYPERLINK("https://api.qogita.com/variants/link/0800897207656/", "View Product")</f>
        <v/>
      </c>
    </row>
    <row r="7162">
      <c r="A7162" t="inlineStr">
        <is>
          <t>0800897215354</t>
        </is>
      </c>
      <c r="B7162" t="inlineStr">
        <is>
          <t>NYX Professional Makeup Jumbo Lash Vegan False Eyelashes Wispy Flutter Up to 12HR Wear Reusable</t>
        </is>
      </c>
      <c r="C7162" t="inlineStr">
        <is>
          <t>False Eyelashes</t>
        </is>
      </c>
      <c r="D7162" t="inlineStr">
        <is>
          <t>NYX Professional Makeup</t>
        </is>
      </c>
      <c r="E7162" t="n">
        <v>7.23</v>
      </c>
      <c r="F7162" t="n">
        <v>1</v>
      </c>
      <c r="G7162" t="n">
        <v>2</v>
      </c>
      <c r="H7162" s="5">
        <f>HYPERLINK("https://api.qogita.com/variants/link/0800897215354/", "View Product")</f>
        <v/>
      </c>
    </row>
    <row r="7163">
      <c r="A7163" t="inlineStr">
        <is>
          <t>0800897216856</t>
        </is>
      </c>
      <c r="B7163" t="inlineStr">
        <is>
          <t>NYX Professional Makeup Epic Smoke Liner Green</t>
        </is>
      </c>
      <c r="C7163" t="inlineStr">
        <is>
          <t>Eyeliner</t>
        </is>
      </c>
      <c r="D7163" t="inlineStr">
        <is>
          <t>Maybelline</t>
        </is>
      </c>
      <c r="E7163" t="n">
        <v>7.3</v>
      </c>
      <c r="F7163" t="n">
        <v>1</v>
      </c>
      <c r="G7163" t="n">
        <v>2</v>
      </c>
      <c r="H7163" s="5">
        <f>HYPERLINK("https://api.qogita.com/variants/link/0800897216856/", "View Product")</f>
        <v/>
      </c>
    </row>
    <row r="7164">
      <c r="A7164" t="inlineStr">
        <is>
          <t>0800897243562</t>
        </is>
      </c>
      <c r="B7164" t="inlineStr">
        <is>
          <t>NYX Professional Makeup Multi-Use Highlighter Stick with Jojoba Oil 2.7g Blueberry Muffin</t>
        </is>
      </c>
      <c r="C7164" t="inlineStr">
        <is>
          <t>Highlighter</t>
        </is>
      </c>
      <c r="D7164" t="inlineStr">
        <is>
          <t>NYX</t>
        </is>
      </c>
      <c r="E7164" t="n">
        <v>7.23</v>
      </c>
      <c r="F7164" t="n">
        <v>1</v>
      </c>
      <c r="G7164" t="n">
        <v>2</v>
      </c>
      <c r="H7164" s="5">
        <f>HYPERLINK("https://api.qogita.com/variants/link/0800897243562/", "View Product")</f>
        <v/>
      </c>
    </row>
    <row r="7165">
      <c r="A7165" t="inlineStr">
        <is>
          <t>0800897245115</t>
        </is>
      </c>
      <c r="B7165" t="inlineStr">
        <is>
          <t>NYX PROFESSIONAL MAKEUP Vivid Rich Mechanical Eye Pencil Retractable Eyeliner Spicy Pearl Bronze Shimmer 10 Spicy Pearl 1 Count</t>
        </is>
      </c>
      <c r="C7165" t="inlineStr">
        <is>
          <t>Eye Pencil</t>
        </is>
      </c>
      <c r="D7165" t="inlineStr">
        <is>
          <t>NYX Professional Makeup</t>
        </is>
      </c>
      <c r="E7165" t="n">
        <v>4.7</v>
      </c>
      <c r="F7165" t="n">
        <v>1</v>
      </c>
      <c r="G7165" t="n">
        <v>3</v>
      </c>
      <c r="H7165" s="5">
        <f>HYPERLINK("https://api.qogita.com/variants/link/0800897245115/", "View Product")</f>
        <v/>
      </c>
    </row>
    <row r="7166">
      <c r="A7166" t="inlineStr">
        <is>
          <t>0800897249540</t>
        </is>
      </c>
      <c r="B7166" t="inlineStr">
        <is>
          <t>NYX PROFESSIONAL MAKEUP Fat Oil Slick Click Lightweight Buildable Pigmented Vegan Lip Balm Going Viral 04</t>
        </is>
      </c>
      <c r="C7166" t="inlineStr">
        <is>
          <t>Lip Balm</t>
        </is>
      </c>
      <c r="D7166" t="inlineStr">
        <is>
          <t>NYX Professional Makeup</t>
        </is>
      </c>
      <c r="E7166" t="n">
        <v>5.29</v>
      </c>
      <c r="F7166" t="n">
        <v>1</v>
      </c>
      <c r="G7166" t="n">
        <v>2</v>
      </c>
      <c r="H7166" s="5">
        <f>HYPERLINK("https://api.qogita.com/variants/link/0800897249540/", "View Product")</f>
        <v/>
      </c>
    </row>
    <row r="7167">
      <c r="A7167" t="inlineStr">
        <is>
          <t>0800897249960</t>
        </is>
      </c>
      <c r="B7167" t="inlineStr">
        <is>
          <t>Nyx Professional Makeup Jumbo Lash Vegan False Eyelashes Up To 12hr Wear</t>
        </is>
      </c>
      <c r="C7167" t="inlineStr">
        <is>
          <t>False Eyelashes</t>
        </is>
      </c>
      <c r="D7167" t="inlineStr">
        <is>
          <t>NYX Professional Makeup</t>
        </is>
      </c>
      <c r="E7167" t="n">
        <v>7.57</v>
      </c>
      <c r="F7167" t="n">
        <v>1</v>
      </c>
      <c r="G7167" t="n">
        <v>2</v>
      </c>
      <c r="H7167" s="5">
        <f>HYPERLINK("https://api.qogita.com/variants/link/0800897249960/", "View Product")</f>
        <v/>
      </c>
    </row>
    <row r="7168">
      <c r="A7168" t="inlineStr">
        <is>
          <t>0800897250072</t>
        </is>
      </c>
      <c r="B7168" t="inlineStr">
        <is>
          <t>NYX PROFESSIONAL MAKEUP Fat Oil Slick Click Lightweight Buildable Pigmented Vegan Lip Balm In A Mood 11</t>
        </is>
      </c>
      <c r="C7168" t="inlineStr">
        <is>
          <t>Lip Balm</t>
        </is>
      </c>
      <c r="D7168" t="inlineStr">
        <is>
          <t>NYX Professional Makeup</t>
        </is>
      </c>
      <c r="E7168" t="n">
        <v>5.24</v>
      </c>
      <c r="F7168" t="n">
        <v>1</v>
      </c>
      <c r="G7168" t="n">
        <v>5</v>
      </c>
      <c r="H7168" s="5">
        <f>HYPERLINK("https://api.qogita.com/variants/link/0800897250072/", "View Product")</f>
        <v/>
      </c>
    </row>
    <row r="7169">
      <c r="A7169" t="inlineStr">
        <is>
          <t>0800897255428</t>
        </is>
      </c>
      <c r="B7169" t="inlineStr">
        <is>
          <t>NYX PROFESSIONAL MAKEUP Butter Gloss Bling Lip Gloss Non Sticky and Shiny Vegan Lip Makeup</t>
        </is>
      </c>
      <c r="C7169" t="inlineStr">
        <is>
          <t>Lip Gloss</t>
        </is>
      </c>
      <c r="D7169" t="inlineStr">
        <is>
          <t>NYX Professional Makeup</t>
        </is>
      </c>
      <c r="E7169" t="n">
        <v>7.02</v>
      </c>
      <c r="F7169" t="n">
        <v>1</v>
      </c>
      <c r="G7169" t="n">
        <v>4</v>
      </c>
      <c r="H7169" s="5">
        <f>HYPERLINK("https://api.qogita.com/variants/link/0800897255428/", "View Product")</f>
        <v/>
      </c>
    </row>
    <row r="7170">
      <c r="A7170" t="inlineStr">
        <is>
          <t>0800897266721</t>
        </is>
      </c>
      <c r="B7170" t="inlineStr">
        <is>
          <t>Duck Plump Lip Liner #11-Touch Up Taupe 0.33 Grams</t>
        </is>
      </c>
      <c r="C7170" t="inlineStr">
        <is>
          <t>Lip Liner</t>
        </is>
      </c>
      <c r="D7170" t="inlineStr">
        <is>
          <t>Duc Plump</t>
        </is>
      </c>
      <c r="E7170" t="n">
        <v>5.31</v>
      </c>
      <c r="F7170" t="n">
        <v>1</v>
      </c>
      <c r="G7170" t="n">
        <v>2</v>
      </c>
      <c r="H7170" s="5">
        <f>HYPERLINK("https://api.qogita.com/variants/link/0800897266721/", "View Product")</f>
        <v/>
      </c>
    </row>
    <row r="7171">
      <c r="A7171" t="inlineStr">
        <is>
          <t>0800897266837</t>
        </is>
      </c>
      <c r="B7171" t="inlineStr">
        <is>
          <t>Nyx Professional Makeup Buttermelt Glaze Soft Glow Skin Tint with SPF 30</t>
        </is>
      </c>
      <c r="C7171" t="inlineStr">
        <is>
          <t>Foundation</t>
        </is>
      </c>
      <c r="D7171" t="inlineStr">
        <is>
          <t>NYX Professional Makeup</t>
        </is>
      </c>
      <c r="E7171" t="n">
        <v>11.76</v>
      </c>
      <c r="F7171" t="n">
        <v>1</v>
      </c>
      <c r="G7171" t="n">
        <v>3</v>
      </c>
      <c r="H7171" s="5">
        <f>HYPERLINK("https://api.qogita.com/variants/link/0800897266837/", "View Product")</f>
        <v/>
      </c>
    </row>
    <row r="7172">
      <c r="A7172" t="inlineStr">
        <is>
          <t>0800897266844</t>
        </is>
      </c>
      <c r="B7172" t="inlineStr">
        <is>
          <t>Nyx Professional Makeup Buttermelt Glaze Soft Glow Skin Tint with SPF 30</t>
        </is>
      </c>
      <c r="C7172" t="inlineStr">
        <is>
          <t>Foundation</t>
        </is>
      </c>
      <c r="D7172" t="inlineStr">
        <is>
          <t>NYX Professional Makeup</t>
        </is>
      </c>
      <c r="E7172" t="n">
        <v>11.76</v>
      </c>
      <c r="F7172" t="n">
        <v>1</v>
      </c>
      <c r="G7172" t="n">
        <v>3</v>
      </c>
      <c r="H7172" s="5">
        <f>HYPERLINK("https://api.qogita.com/variants/link/0800897266844/", "View Product")</f>
        <v/>
      </c>
    </row>
    <row r="7173">
      <c r="A7173" t="inlineStr">
        <is>
          <t>0810014320410</t>
        </is>
      </c>
      <c r="B7173" t="inlineStr">
        <is>
          <t>Strivectin Re-Quench Water Cream 1.7 oz</t>
        </is>
      </c>
      <c r="C7173" t="inlineStr">
        <is>
          <t>Face Cream</t>
        </is>
      </c>
      <c r="D7173" t="inlineStr">
        <is>
          <t>Strivectin</t>
        </is>
      </c>
      <c r="E7173" t="n">
        <v>21.61</v>
      </c>
      <c r="F7173" t="n">
        <v>1</v>
      </c>
      <c r="G7173" t="n">
        <v>30</v>
      </c>
      <c r="H7173" s="5">
        <f>HYPERLINK("https://api.qogita.com/variants/link/0810014320410/", "View Product")</f>
        <v/>
      </c>
    </row>
    <row r="7174">
      <c r="A7174" t="inlineStr">
        <is>
          <t>0810014320472</t>
        </is>
      </c>
      <c r="B7174" t="inlineStr">
        <is>
          <t>Strivectin Crepe Control Tightening Body Cream 6.7 oz</t>
        </is>
      </c>
      <c r="C7174" t="inlineStr">
        <is>
          <t>Body Lotion</t>
        </is>
      </c>
      <c r="D7174" t="inlineStr">
        <is>
          <t>Strivectin</t>
        </is>
      </c>
      <c r="E7174" t="n">
        <v>27.59</v>
      </c>
      <c r="F7174" t="n">
        <v>1</v>
      </c>
      <c r="G7174" t="n">
        <v>9</v>
      </c>
      <c r="H7174" s="5">
        <f>HYPERLINK("https://api.qogita.com/variants/link/0810014320472/", "View Product")</f>
        <v/>
      </c>
    </row>
    <row r="7175">
      <c r="A7175" t="inlineStr">
        <is>
          <t>0810014321370</t>
        </is>
      </c>
      <c r="B7175" t="inlineStr">
        <is>
          <t>StriVectin Wrinkle Recode Moisture Rich Barrier Cream</t>
        </is>
      </c>
      <c r="C7175" t="inlineStr">
        <is>
          <t>Anti-Aging Facial Care</t>
        </is>
      </c>
      <c r="D7175" t="inlineStr">
        <is>
          <t>Strivectin</t>
        </is>
      </c>
      <c r="E7175" t="n">
        <v>41.49</v>
      </c>
      <c r="F7175" t="n">
        <v>1</v>
      </c>
      <c r="G7175" t="n">
        <v>20</v>
      </c>
      <c r="H7175" s="5">
        <f>HYPERLINK("https://api.qogita.com/variants/link/0810014321370/", "View Product")</f>
        <v/>
      </c>
    </row>
    <row r="7176">
      <c r="A7176" t="inlineStr">
        <is>
          <t>0810014322902</t>
        </is>
      </c>
      <c r="B7176" t="inlineStr">
        <is>
          <t>StriVectin Super-B Barrier Strengthening Oil with Vitamin B3 and Prebiotics 30ml</t>
        </is>
      </c>
      <c r="C7176" t="inlineStr">
        <is>
          <t>Facial Oil</t>
        </is>
      </c>
      <c r="D7176" t="inlineStr">
        <is>
          <t>Strivectin</t>
        </is>
      </c>
      <c r="E7176" t="n">
        <v>22.55</v>
      </c>
      <c r="F7176" t="n">
        <v>1</v>
      </c>
      <c r="G7176" t="n">
        <v>10</v>
      </c>
      <c r="H7176" s="5">
        <f>HYPERLINK("https://api.qogita.com/variants/link/0810014322902/", "View Product")</f>
        <v/>
      </c>
    </row>
    <row r="7177">
      <c r="A7177" t="inlineStr">
        <is>
          <t>0810014323008</t>
        </is>
      </c>
      <c r="B7177" t="inlineStr">
        <is>
          <t>StriVectin Advanced Retinol Intensive Night Moisturizer 50ml</t>
        </is>
      </c>
      <c r="C7177" t="inlineStr">
        <is>
          <t>Night Cream</t>
        </is>
      </c>
      <c r="D7177" t="inlineStr">
        <is>
          <t>Strivectin</t>
        </is>
      </c>
      <c r="E7177" t="n">
        <v>46.09</v>
      </c>
      <c r="F7177" t="n">
        <v>1</v>
      </c>
      <c r="G7177" t="n">
        <v>33</v>
      </c>
      <c r="H7177" s="5">
        <f>HYPERLINK("https://api.qogita.com/variants/link/0810014323008/", "View Product")</f>
        <v/>
      </c>
    </row>
    <row r="7178">
      <c r="A7178" t="inlineStr">
        <is>
          <t>0810014323619</t>
        </is>
      </c>
      <c r="B7178" t="inlineStr">
        <is>
          <t>StriVectin Contour Restore Tightening and Firming Moisturizing Face Cream 1.7 oz</t>
        </is>
      </c>
      <c r="C7178" t="inlineStr">
        <is>
          <t>Face Cream</t>
        </is>
      </c>
      <c r="D7178" t="inlineStr">
        <is>
          <t>Strivectin</t>
        </is>
      </c>
      <c r="E7178" t="n">
        <v>36.47</v>
      </c>
      <c r="F7178" t="n">
        <v>1</v>
      </c>
      <c r="G7178" t="n">
        <v>42</v>
      </c>
      <c r="H7178" s="5">
        <f>HYPERLINK("https://api.qogita.com/variants/link/0810014323619/", "View Product")</f>
        <v/>
      </c>
    </row>
    <row r="7179">
      <c r="A7179" t="inlineStr">
        <is>
          <t>0810014328607</t>
        </is>
      </c>
      <c r="B7179" t="inlineStr">
        <is>
          <t>StriVectin SD Advanced Plus Intensive Moisturizer for Wrinkles &amp; Stretchmarks, For Face &amp; Body, Collagen Boosting with Peptides &amp; Hyaluronic Acid 60ml</t>
        </is>
      </c>
      <c r="C7179" t="inlineStr">
        <is>
          <t>Anti-Aging Facial Care</t>
        </is>
      </c>
      <c r="D7179" t="inlineStr">
        <is>
          <t>Strivectin</t>
        </is>
      </c>
      <c r="E7179" t="n">
        <v>31.03</v>
      </c>
      <c r="F7179" t="n">
        <v>1</v>
      </c>
      <c r="G7179" t="n">
        <v>27</v>
      </c>
      <c r="H7179" s="5">
        <f>HYPERLINK("https://api.qogita.com/variants/link/0810014328607/", "View Product")</f>
        <v/>
      </c>
    </row>
    <row r="7180">
      <c r="A7180" t="inlineStr">
        <is>
          <t>0810023672203</t>
        </is>
      </c>
      <c r="B7180" t="inlineStr">
        <is>
          <t>Kylie Minogue Darling Eau De Parfum Spray 30ml</t>
        </is>
      </c>
      <c r="C7180" t="inlineStr">
        <is>
          <t>Eau De Parfum</t>
        </is>
      </c>
      <c r="D7180" t="inlineStr">
        <is>
          <t>Kylie Minogue</t>
        </is>
      </c>
      <c r="E7180" t="n">
        <v>9.039999999999999</v>
      </c>
      <c r="F7180" t="n">
        <v>1</v>
      </c>
      <c r="G7180" t="n">
        <v>18</v>
      </c>
      <c r="H7180" s="5">
        <f>HYPERLINK("https://api.qogita.com/variants/link/0810023672203/", "View Product")</f>
        <v/>
      </c>
    </row>
    <row r="7181">
      <c r="A7181" t="inlineStr">
        <is>
          <t>0810101501555</t>
        </is>
      </c>
      <c r="B7181" t="inlineStr">
        <is>
          <t>Nicki Minaj Pink Friday Eau De Parfum 100ml Spray</t>
        </is>
      </c>
      <c r="C7181" t="inlineStr">
        <is>
          <t>Eau De Parfum</t>
        </is>
      </c>
      <c r="D7181" t="inlineStr">
        <is>
          <t>Nicki Minaj</t>
        </is>
      </c>
      <c r="E7181" t="n">
        <v>23.06</v>
      </c>
      <c r="F7181" t="n">
        <v>1</v>
      </c>
      <c r="G7181" t="n">
        <v>23</v>
      </c>
      <c r="H7181" s="5">
        <f>HYPERLINK("https://api.qogita.com/variants/link/0810101501555/", "View Product")</f>
        <v/>
      </c>
    </row>
    <row r="7182">
      <c r="A7182" t="inlineStr">
        <is>
          <t>0810101501586</t>
        </is>
      </c>
      <c r="B7182" t="inlineStr">
        <is>
          <t>Nicki Minaj Minajesty Eau de Parfum Fruity Floral Fragrance Women's Perfume</t>
        </is>
      </c>
      <c r="C7182" t="inlineStr">
        <is>
          <t>Eau De Parfum</t>
        </is>
      </c>
      <c r="D7182" t="inlineStr">
        <is>
          <t>Nicki Minaj</t>
        </is>
      </c>
      <c r="E7182" t="n">
        <v>21.38</v>
      </c>
      <c r="F7182" t="n">
        <v>1</v>
      </c>
      <c r="G7182" t="n">
        <v>5</v>
      </c>
      <c r="H7182" s="5">
        <f>HYPERLINK("https://api.qogita.com/variants/link/0810101501586/", "View Product")</f>
        <v/>
      </c>
    </row>
    <row r="7183">
      <c r="A7183" t="inlineStr">
        <is>
          <t>0810101501685</t>
        </is>
      </c>
      <c r="B7183" t="inlineStr">
        <is>
          <t>Ariana Grande God Is A Woman Perfume - 96 Grams</t>
        </is>
      </c>
      <c r="C7183" t="inlineStr">
        <is>
          <t>Eau De Parfum</t>
        </is>
      </c>
      <c r="D7183" t="inlineStr">
        <is>
          <t>Ariana Grande</t>
        </is>
      </c>
      <c r="E7183" t="n">
        <v>58.18</v>
      </c>
      <c r="F7183" t="n">
        <v>1</v>
      </c>
      <c r="G7183" t="n">
        <v>14</v>
      </c>
      <c r="H7183" s="5">
        <f>HYPERLINK("https://api.qogita.com/variants/link/0810101501685/", "View Product")</f>
        <v/>
      </c>
    </row>
    <row r="7184">
      <c r="A7184" t="inlineStr">
        <is>
          <t>0810122100355</t>
        </is>
      </c>
      <c r="B7184" t="inlineStr">
        <is>
          <t>D.S. &amp; Durga Deep Dark Vanilla Eau de Parfum 50ml</t>
        </is>
      </c>
      <c r="C7184" t="inlineStr">
        <is>
          <t>Eau De Parfum</t>
        </is>
      </c>
      <c r="D7184" t="inlineStr">
        <is>
          <t>D.S. &amp; Durga</t>
        </is>
      </c>
      <c r="E7184" t="n">
        <v>112.54</v>
      </c>
      <c r="F7184" t="n">
        <v>1</v>
      </c>
      <c r="G7184" t="n">
        <v>5</v>
      </c>
      <c r="H7184" s="5">
        <f>HYPERLINK("https://api.qogita.com/variants/link/0810122100355/", "View Product")</f>
        <v/>
      </c>
    </row>
    <row r="7185">
      <c r="A7185" t="inlineStr">
        <is>
          <t>0810122102793</t>
        </is>
      </c>
      <c r="B7185" t="inlineStr">
        <is>
          <t>D.S. &amp; Durga Black Magenta Eau De Parfum 50ml 1.7 Fl Oz</t>
        </is>
      </c>
      <c r="C7185" t="inlineStr">
        <is>
          <t>Eau De Parfum</t>
        </is>
      </c>
      <c r="D7185" t="inlineStr">
        <is>
          <t>D.S. &amp; Durga</t>
        </is>
      </c>
      <c r="E7185" t="n">
        <v>112.54</v>
      </c>
      <c r="F7185" t="n">
        <v>1</v>
      </c>
      <c r="G7185" t="n">
        <v>4</v>
      </c>
      <c r="H7185" s="5">
        <f>HYPERLINK("https://api.qogita.com/variants/link/0810122102793/", "View Product")</f>
        <v/>
      </c>
    </row>
    <row r="7186">
      <c r="A7186" t="inlineStr">
        <is>
          <t>0810135731027</t>
        </is>
      </c>
      <c r="B7186" t="inlineStr">
        <is>
          <t>Mielle Rosemary Mint Scalp and Hair Strengthening Oil - Promotes Hair Growth</t>
        </is>
      </c>
      <c r="C7186" t="inlineStr">
        <is>
          <t>Hair Oil &amp; Hair Serum</t>
        </is>
      </c>
      <c r="D7186" t="inlineStr">
        <is>
          <t>Mielle</t>
        </is>
      </c>
      <c r="E7186" t="n">
        <v>12.1</v>
      </c>
      <c r="F7186" t="n">
        <v>1</v>
      </c>
      <c r="G7186" t="n">
        <v>3</v>
      </c>
      <c r="H7186" s="5">
        <f>HYPERLINK("https://api.qogita.com/variants/link/0810135731027/", "View Product")</f>
        <v/>
      </c>
    </row>
    <row r="7187">
      <c r="A7187" t="inlineStr">
        <is>
          <t>0810876032674</t>
        </is>
      </c>
      <c r="B7187" t="inlineStr">
        <is>
          <t>Sergio Tacchini I Love Italy Edt 30ml/50ml/100ml Eau De Toilette For Men New</t>
        </is>
      </c>
      <c r="C7187" t="inlineStr">
        <is>
          <t>Eau De Toilette</t>
        </is>
      </c>
      <c r="D7187" t="inlineStr">
        <is>
          <t>Sergio Tacchini</t>
        </is>
      </c>
      <c r="E7187" t="n">
        <v>5.4</v>
      </c>
      <c r="F7187" t="n">
        <v>1</v>
      </c>
      <c r="G7187" t="n">
        <v>638</v>
      </c>
      <c r="H7187" s="5">
        <f>HYPERLINK("https://api.qogita.com/variants/link/0810876032674/", "View Product")</f>
        <v/>
      </c>
    </row>
    <row r="7188">
      <c r="A7188" t="inlineStr">
        <is>
          <t>0810876033527</t>
        </is>
      </c>
      <c r="B7188" t="inlineStr">
        <is>
          <t>Sergio Tacchini Club Eau De Toilette 100 Ml, Spray For Men</t>
        </is>
      </c>
      <c r="C7188" t="inlineStr">
        <is>
          <t>Eau De Toilette</t>
        </is>
      </c>
      <c r="D7188" t="inlineStr">
        <is>
          <t>Sergio Tacchini</t>
        </is>
      </c>
      <c r="E7188" t="n">
        <v>8.56</v>
      </c>
      <c r="F7188" t="n">
        <v>1</v>
      </c>
      <c r="G7188" t="n">
        <v>6</v>
      </c>
      <c r="H7188" s="5">
        <f>HYPERLINK("https://api.qogita.com/variants/link/0810876033527/", "View Product")</f>
        <v/>
      </c>
    </row>
    <row r="7189">
      <c r="A7189" t="inlineStr">
        <is>
          <t>0810876033565</t>
        </is>
      </c>
      <c r="B7189" t="inlineStr">
        <is>
          <t>Sergio Tacchini Uomo Eau De Toilette 100ml for Men</t>
        </is>
      </c>
      <c r="C7189" t="inlineStr">
        <is>
          <t>Eau De Toilette</t>
        </is>
      </c>
      <c r="D7189" t="inlineStr">
        <is>
          <t>Sergio Tacchini</t>
        </is>
      </c>
      <c r="E7189" t="n">
        <v>7.94</v>
      </c>
      <c r="F7189" t="n">
        <v>1</v>
      </c>
      <c r="G7189" t="n">
        <v>5</v>
      </c>
      <c r="H7189" s="5">
        <f>HYPERLINK("https://api.qogita.com/variants/link/0810876033565/", "View Product")</f>
        <v/>
      </c>
    </row>
    <row r="7190">
      <c r="A7190" t="inlineStr">
        <is>
          <t>0810876037006</t>
        </is>
      </c>
      <c r="B7190" t="inlineStr">
        <is>
          <t>Lamborghini Prestigio Man Eau De Toilette 125ml</t>
        </is>
      </c>
      <c r="C7190" t="inlineStr">
        <is>
          <t>Eau De Toilette</t>
        </is>
      </c>
      <c r="D7190" t="inlineStr">
        <is>
          <t>Lamborghini</t>
        </is>
      </c>
      <c r="E7190" t="n">
        <v>9.119999999999999</v>
      </c>
      <c r="F7190" t="n">
        <v>1</v>
      </c>
      <c r="G7190" t="n">
        <v>30</v>
      </c>
      <c r="H7190" s="5">
        <f>HYPERLINK("https://api.qogita.com/variants/link/0810876037006/", "View Product")</f>
        <v/>
      </c>
    </row>
    <row r="7191">
      <c r="A7191" t="inlineStr">
        <is>
          <t>0810876037013</t>
        </is>
      </c>
      <c r="B7191" t="inlineStr">
        <is>
          <t>Tonino Lamborghini Prestigio EDT Spray Perfume 75ml</t>
        </is>
      </c>
      <c r="C7191" t="inlineStr">
        <is>
          <t>Eau De Toilette</t>
        </is>
      </c>
      <c r="D7191" t="inlineStr">
        <is>
          <t>Tonino Lamborghini</t>
        </is>
      </c>
      <c r="E7191" t="n">
        <v>6.22</v>
      </c>
      <c r="F7191" t="n">
        <v>1</v>
      </c>
      <c r="G7191" t="n">
        <v>4</v>
      </c>
      <c r="H7191" s="5">
        <f>HYPERLINK("https://api.qogita.com/variants/link/0810876037013/", "View Product")</f>
        <v/>
      </c>
    </row>
    <row r="7192">
      <c r="A7192" t="inlineStr">
        <is>
          <t>0810876037136</t>
        </is>
      </c>
      <c r="B7192" t="inlineStr">
        <is>
          <t>Tonino Lamborghini Intenso Eau De Toilette Spray 75ml / 2.5fl oz for Men</t>
        </is>
      </c>
      <c r="C7192" t="inlineStr">
        <is>
          <t>Eau De Toilette</t>
        </is>
      </c>
      <c r="D7192" t="inlineStr">
        <is>
          <t>Tonino Lamborghini</t>
        </is>
      </c>
      <c r="E7192" t="n">
        <v>6.76</v>
      </c>
      <c r="F7192" t="n">
        <v>1</v>
      </c>
      <c r="G7192" t="n">
        <v>5</v>
      </c>
      <c r="H7192" s="5">
        <f>HYPERLINK("https://api.qogita.com/variants/link/0810876037136/", "View Product")</f>
        <v/>
      </c>
    </row>
    <row r="7193">
      <c r="A7193" t="inlineStr">
        <is>
          <t>0810876037259</t>
        </is>
      </c>
      <c r="B7193" t="inlineStr">
        <is>
          <t>Lamborghini Classico Eau De Toilette 75ml</t>
        </is>
      </c>
      <c r="C7193" t="inlineStr">
        <is>
          <t>Eau De Toilette</t>
        </is>
      </c>
      <c r="D7193" t="inlineStr">
        <is>
          <t>Tonino Lamborghini</t>
        </is>
      </c>
      <c r="E7193" t="n">
        <v>7.1</v>
      </c>
      <c r="F7193" t="n">
        <v>1</v>
      </c>
      <c r="G7193" t="n">
        <v>18</v>
      </c>
      <c r="H7193" s="5">
        <f>HYPERLINK("https://api.qogita.com/variants/link/0810876037259/", "View Product")</f>
        <v/>
      </c>
    </row>
    <row r="7194">
      <c r="A7194" t="inlineStr">
        <is>
          <t>0810876037303</t>
        </is>
      </c>
      <c r="B7194" t="inlineStr">
        <is>
          <t>Man Eau De Toilette 125 Milliliters</t>
        </is>
      </c>
      <c r="C7194" t="inlineStr">
        <is>
          <t>Eau De Toilette</t>
        </is>
      </c>
      <c r="D7194" t="inlineStr">
        <is>
          <t>Lamborghini</t>
        </is>
      </c>
      <c r="E7194" t="n">
        <v>8.869999999999999</v>
      </c>
      <c r="F7194" t="n">
        <v>1</v>
      </c>
      <c r="G7194" t="n">
        <v>2</v>
      </c>
      <c r="H7194" s="5">
        <f>HYPERLINK("https://api.qogita.com/variants/link/0810876037303/", "View Product")</f>
        <v/>
      </c>
    </row>
    <row r="7195">
      <c r="A7195" t="inlineStr">
        <is>
          <t>0810876037983</t>
        </is>
      </c>
      <c r="B7195" t="inlineStr">
        <is>
          <t>Tonino Lamborghini Intenso 200ml Eau De Toilette Men's Perfume</t>
        </is>
      </c>
      <c r="C7195" t="inlineStr">
        <is>
          <t>Eau De Toilette</t>
        </is>
      </c>
      <c r="D7195" t="inlineStr">
        <is>
          <t>Tonino Lamborghini</t>
        </is>
      </c>
      <c r="E7195" t="n">
        <v>12.28</v>
      </c>
      <c r="F7195" t="n">
        <v>1</v>
      </c>
      <c r="G7195" t="n">
        <v>14</v>
      </c>
      <c r="H7195" s="5">
        <f>HYPERLINK("https://api.qogita.com/variants/link/0810876037983/", "View Product")</f>
        <v/>
      </c>
    </row>
    <row r="7196">
      <c r="A7196" t="inlineStr">
        <is>
          <t>0810876038003</t>
        </is>
      </c>
      <c r="B7196" t="inlineStr">
        <is>
          <t>Tonino Lamborghini Millennials EDT Spray 40ml</t>
        </is>
      </c>
      <c r="C7196" t="inlineStr">
        <is>
          <t>Eau De Toilette</t>
        </is>
      </c>
      <c r="D7196" t="inlineStr">
        <is>
          <t>Lamborghini</t>
        </is>
      </c>
      <c r="E7196" t="n">
        <v>5.5</v>
      </c>
      <c r="F7196" t="n">
        <v>1</v>
      </c>
      <c r="G7196" t="n">
        <v>2</v>
      </c>
      <c r="H7196" s="5">
        <f>HYPERLINK("https://api.qogita.com/variants/link/0810876038003/", "View Product")</f>
        <v/>
      </c>
    </row>
    <row r="7197">
      <c r="A7197" t="inlineStr">
        <is>
          <t>0810876038096</t>
        </is>
      </c>
      <c r="B7197" t="inlineStr">
        <is>
          <t>Lamborghini Millennials After Shave 75ml</t>
        </is>
      </c>
      <c r="C7197" t="inlineStr">
        <is>
          <t>Aftershave</t>
        </is>
      </c>
      <c r="D7197" t="inlineStr">
        <is>
          <t>Lamborghini</t>
        </is>
      </c>
      <c r="E7197" t="n">
        <v>7.53</v>
      </c>
      <c r="F7197" t="n">
        <v>1</v>
      </c>
      <c r="G7197" t="n">
        <v>7</v>
      </c>
      <c r="H7197" s="5">
        <f>HYPERLINK("https://api.qogita.com/variants/link/0810876038096/", "View Product")</f>
        <v/>
      </c>
    </row>
    <row r="7198">
      <c r="A7198" t="inlineStr">
        <is>
          <t>0810876038195</t>
        </is>
      </c>
      <c r="B7198" t="inlineStr">
        <is>
          <t>Tonino Lamborghini Millennials Dynamico - Aftershave</t>
        </is>
      </c>
      <c r="C7198" t="inlineStr">
        <is>
          <t>Aftershave</t>
        </is>
      </c>
      <c r="D7198" t="inlineStr">
        <is>
          <t>Tonino Lamborghini</t>
        </is>
      </c>
      <c r="E7198" t="n">
        <v>7.57</v>
      </c>
      <c r="F7198" t="n">
        <v>1</v>
      </c>
      <c r="G7198" t="n">
        <v>10</v>
      </c>
      <c r="H7198" s="5">
        <f>HYPERLINK("https://api.qogita.com/variants/link/0810876038195/", "View Product")</f>
        <v/>
      </c>
    </row>
    <row r="7199">
      <c r="A7199" t="inlineStr">
        <is>
          <t>0810876038607</t>
        </is>
      </c>
      <c r="B7199" t="inlineStr">
        <is>
          <t>Liu Jo Lovely Me Edp</t>
        </is>
      </c>
      <c r="C7199" t="inlineStr">
        <is>
          <t>Eau De Parfum</t>
        </is>
      </c>
      <c r="D7199" t="inlineStr">
        <is>
          <t>Liu Jo</t>
        </is>
      </c>
      <c r="E7199" t="n">
        <v>14</v>
      </c>
      <c r="F7199" t="n">
        <v>1</v>
      </c>
      <c r="G7199" t="n">
        <v>7</v>
      </c>
      <c r="H7199" s="5">
        <f>HYPERLINK("https://api.qogita.com/variants/link/0810876038607/", "View Product")</f>
        <v/>
      </c>
    </row>
    <row r="7200">
      <c r="A7200" t="inlineStr">
        <is>
          <t>0810876039956</t>
        </is>
      </c>
      <c r="B7200" t="inlineStr">
        <is>
          <t>Liu Jo Lovely U Eau de Parfum Spray 100ml</t>
        </is>
      </c>
      <c r="C7200" t="inlineStr">
        <is>
          <t>Eau De Parfum</t>
        </is>
      </c>
      <c r="D7200" t="inlineStr">
        <is>
          <t>Liu Jo</t>
        </is>
      </c>
      <c r="E7200" t="n">
        <v>13.97</v>
      </c>
      <c r="F7200" t="n">
        <v>1</v>
      </c>
      <c r="G7200" t="n">
        <v>2</v>
      </c>
      <c r="H7200" s="5">
        <f>HYPERLINK("https://api.qogita.com/variants/link/0810876039956/", "View Product")</f>
        <v/>
      </c>
    </row>
    <row r="7201">
      <c r="A7201" t="inlineStr">
        <is>
          <t>0810907027105</t>
        </is>
      </c>
      <c r="B7201" t="inlineStr">
        <is>
          <t>StriVectin Wrinkle Recode Line Transforming Melting Serum</t>
        </is>
      </c>
      <c r="C7201" t="inlineStr">
        <is>
          <t>Anti-Aging Serum</t>
        </is>
      </c>
      <c r="D7201" t="inlineStr">
        <is>
          <t>Strivectin</t>
        </is>
      </c>
      <c r="E7201" t="n">
        <v>32.77</v>
      </c>
      <c r="F7201" t="n">
        <v>1</v>
      </c>
      <c r="G7201" t="n">
        <v>14</v>
      </c>
      <c r="H7201" s="5">
        <f>HYPERLINK("https://api.qogita.com/variants/link/0810907027105/", "View Product")</f>
        <v/>
      </c>
    </row>
    <row r="7202">
      <c r="A7202" t="inlineStr">
        <is>
          <t>0810907028263</t>
        </is>
      </c>
      <c r="B7202" t="inlineStr">
        <is>
          <t>StriVectin S.T.A.R.Light Retinol Night Oil for Face</t>
        </is>
      </c>
      <c r="C7202" t="inlineStr">
        <is>
          <t>Facial Oil</t>
        </is>
      </c>
      <c r="D7202" t="inlineStr">
        <is>
          <t>Strivectin</t>
        </is>
      </c>
      <c r="E7202" t="n">
        <v>40.11</v>
      </c>
      <c r="F7202" t="n">
        <v>1</v>
      </c>
      <c r="G7202" t="n">
        <v>36</v>
      </c>
      <c r="H7202" s="5">
        <f>HYPERLINK("https://api.qogita.com/variants/link/0810907028263/", "View Product")</f>
        <v/>
      </c>
    </row>
    <row r="7203">
      <c r="A7203" t="inlineStr">
        <is>
          <t>0810912032040</t>
        </is>
      </c>
      <c r="B7203" t="inlineStr">
        <is>
          <t>Sol de Janeiro Brazilian Bum Bum Cream 75ml</t>
        </is>
      </c>
      <c r="C7203" t="inlineStr">
        <is>
          <t>Body Butter</t>
        </is>
      </c>
      <c r="D7203" t="inlineStr">
        <is>
          <t>Sol De Janeiro</t>
        </is>
      </c>
      <c r="E7203" t="n">
        <v>20.16</v>
      </c>
      <c r="F7203" t="n">
        <v>1</v>
      </c>
      <c r="G7203" t="n">
        <v>3</v>
      </c>
      <c r="H7203" s="5">
        <f>HYPERLINK("https://api.qogita.com/variants/link/0810912032040/", "View Product")</f>
        <v/>
      </c>
    </row>
    <row r="7204">
      <c r="A7204" t="inlineStr">
        <is>
          <t>0810912033191</t>
        </is>
      </c>
      <c r="B7204" t="inlineStr">
        <is>
          <t>Sol de Janeiro Bum Bum Firmeza Body Oil</t>
        </is>
      </c>
      <c r="C7204" t="inlineStr">
        <is>
          <t>Body Oil</t>
        </is>
      </c>
      <c r="D7204" t="inlineStr">
        <is>
          <t>Sol De Janeiro</t>
        </is>
      </c>
      <c r="E7204" t="n">
        <v>45.53</v>
      </c>
      <c r="F7204" t="n">
        <v>1</v>
      </c>
      <c r="G7204" t="n">
        <v>8</v>
      </c>
      <c r="H7204" s="5">
        <f>HYPERLINK("https://api.qogita.com/variants/link/0810912033191/", "View Product")</f>
        <v/>
      </c>
    </row>
    <row r="7205">
      <c r="A7205" t="inlineStr">
        <is>
          <t>0811079030054</t>
        </is>
      </c>
      <c r="B7205" t="inlineStr">
        <is>
          <t>Foligain Triple Action Hair Loss System for Men with 10% Trioxidil</t>
        </is>
      </c>
      <c r="C7205" t="inlineStr">
        <is>
          <t>Hair Tonic</t>
        </is>
      </c>
      <c r="D7205" t="inlineStr">
        <is>
          <t>Foligain</t>
        </is>
      </c>
      <c r="E7205" t="n">
        <v>41.21</v>
      </c>
      <c r="F7205" t="n">
        <v>1</v>
      </c>
      <c r="G7205" t="n">
        <v>9</v>
      </c>
      <c r="H7205" s="5">
        <f>HYPERLINK("https://api.qogita.com/variants/link/0811079030054/", "View Product")</f>
        <v/>
      </c>
    </row>
    <row r="7206">
      <c r="A7206" t="inlineStr">
        <is>
          <t>0811913018026</t>
        </is>
      </c>
      <c r="B7206" t="inlineStr">
        <is>
          <t>ORIBE Curl Gelee For Shine and Definition 8.5 Fl Oz</t>
        </is>
      </c>
      <c r="C7206" t="inlineStr">
        <is>
          <t>Gel</t>
        </is>
      </c>
      <c r="D7206" t="inlineStr">
        <is>
          <t>Oribe</t>
        </is>
      </c>
      <c r="E7206" t="n">
        <v>44</v>
      </c>
      <c r="F7206" t="n">
        <v>1</v>
      </c>
      <c r="G7206" t="n">
        <v>4</v>
      </c>
      <c r="H7206" s="5">
        <f>HYPERLINK("https://api.qogita.com/variants/link/0811913018026/", "View Product")</f>
        <v/>
      </c>
    </row>
    <row r="7207">
      <c r="A7207" t="inlineStr">
        <is>
          <t>0811913018224</t>
        </is>
      </c>
      <c r="B7207" t="inlineStr">
        <is>
          <t>Oribe Bright Blonde Shampoo for Beautiful Color 8.5 Fl Oz</t>
        </is>
      </c>
      <c r="C7207" t="inlineStr">
        <is>
          <t>Shampoo</t>
        </is>
      </c>
      <c r="D7207" t="inlineStr">
        <is>
          <t>Oribe</t>
        </is>
      </c>
      <c r="E7207" t="n">
        <v>47.08</v>
      </c>
      <c r="F7207" t="n">
        <v>1</v>
      </c>
      <c r="G7207" t="n">
        <v>3</v>
      </c>
      <c r="H7207" s="5">
        <f>HYPERLINK("https://api.qogita.com/variants/link/0811913018224/", "View Product")</f>
        <v/>
      </c>
    </row>
    <row r="7208">
      <c r="A7208" t="inlineStr">
        <is>
          <t>0811913018279</t>
        </is>
      </c>
      <c r="B7208" t="inlineStr">
        <is>
          <t>Conditioner for Beautiful Color 200ml</t>
        </is>
      </c>
      <c r="C7208" t="inlineStr">
        <is>
          <t>Conditioner</t>
        </is>
      </c>
      <c r="D7208" t="inlineStr">
        <is>
          <t>Oribe</t>
        </is>
      </c>
      <c r="E7208" t="n">
        <v>50.21</v>
      </c>
      <c r="F7208" t="n">
        <v>1</v>
      </c>
      <c r="G7208" t="n">
        <v>14</v>
      </c>
      <c r="H7208" s="5">
        <f>HYPERLINK("https://api.qogita.com/variants/link/0811913018279/", "View Product")</f>
        <v/>
      </c>
    </row>
    <row r="7209">
      <c r="A7209" t="inlineStr">
        <is>
          <t>0811913018408</t>
        </is>
      </c>
      <c r="B7209" t="inlineStr">
        <is>
          <t>Oribe Gel Radiance Magic and Hold Serum for Unisex 5oz</t>
        </is>
      </c>
      <c r="C7209" t="inlineStr">
        <is>
          <t>Gel</t>
        </is>
      </c>
      <c r="D7209" t="inlineStr">
        <is>
          <t>Oribe</t>
        </is>
      </c>
      <c r="E7209" t="n">
        <v>61.42</v>
      </c>
      <c r="F7209" t="n">
        <v>1</v>
      </c>
      <c r="G7209" t="n">
        <v>10</v>
      </c>
      <c r="H7209" s="5">
        <f>HYPERLINK("https://api.qogita.com/variants/link/0811913018408/", "View Product")</f>
        <v/>
      </c>
    </row>
    <row r="7210">
      <c r="A7210" t="inlineStr">
        <is>
          <t>0811913019634</t>
        </is>
      </c>
      <c r="B7210" t="inlineStr">
        <is>
          <t>Bright Blonde Conditioner for Beautiful Color 200ml</t>
        </is>
      </c>
      <c r="C7210" t="inlineStr">
        <is>
          <t>Conditioner</t>
        </is>
      </c>
      <c r="D7210" t="inlineStr">
        <is>
          <t>Oribe</t>
        </is>
      </c>
      <c r="E7210" t="n">
        <v>50.02</v>
      </c>
      <c r="F7210" t="n">
        <v>1</v>
      </c>
      <c r="G7210" t="n">
        <v>18</v>
      </c>
      <c r="H7210" s="5">
        <f>HYPERLINK("https://api.qogita.com/variants/link/0811913019634/", "View Product")</f>
        <v/>
      </c>
    </row>
    <row r="7211">
      <c r="A7211" t="inlineStr">
        <is>
          <t>0812256021674</t>
        </is>
      </c>
      <c r="B7211" t="inlineStr">
        <is>
          <t>Ariana Grande Ari Body Mist 236ml</t>
        </is>
      </c>
      <c r="C7211" t="inlineStr">
        <is>
          <t>Eau De Parfum</t>
        </is>
      </c>
      <c r="D7211" t="inlineStr">
        <is>
          <t>Ariana Grande</t>
        </is>
      </c>
      <c r="E7211" t="n">
        <v>8.6</v>
      </c>
      <c r="F7211" t="n">
        <v>1</v>
      </c>
      <c r="G7211" t="n">
        <v>279</v>
      </c>
      <c r="H7211" s="5">
        <f>HYPERLINK("https://api.qogita.com/variants/link/0812256021674/", "View Product")</f>
        <v/>
      </c>
    </row>
    <row r="7212">
      <c r="A7212" t="inlineStr">
        <is>
          <t>0812256021711</t>
        </is>
      </c>
      <c r="B7212" t="inlineStr">
        <is>
          <t>Ariana Grande Sweet Like Candy for Women 3.4 oz Eau de parfum Spray 100ml</t>
        </is>
      </c>
      <c r="C7212" t="inlineStr">
        <is>
          <t>Eau De Parfum</t>
        </is>
      </c>
      <c r="D7212" t="inlineStr">
        <is>
          <t>Ariana Grande</t>
        </is>
      </c>
      <c r="E7212" t="n">
        <v>33.96</v>
      </c>
      <c r="F7212" t="n">
        <v>1</v>
      </c>
      <c r="G7212" t="n">
        <v>14</v>
      </c>
      <c r="H7212" s="5">
        <f>HYPERLINK("https://api.qogita.com/variants/link/0812256021711/", "View Product")</f>
        <v/>
      </c>
    </row>
    <row r="7213">
      <c r="A7213" t="inlineStr">
        <is>
          <t>0812256022381</t>
        </is>
      </c>
      <c r="B7213" t="inlineStr">
        <is>
          <t>Ariana Grande Sweet Like Candy Body Mist 236ml</t>
        </is>
      </c>
      <c r="C7213" t="inlineStr">
        <is>
          <t>Eau De Toilette</t>
        </is>
      </c>
      <c r="D7213" t="inlineStr">
        <is>
          <t>Ariana Grande</t>
        </is>
      </c>
      <c r="E7213" t="n">
        <v>8.6</v>
      </c>
      <c r="F7213" t="n">
        <v>1</v>
      </c>
      <c r="G7213" t="n">
        <v>122</v>
      </c>
      <c r="H7213" s="5">
        <f>HYPERLINK("https://api.qogita.com/variants/link/0812256022381/", "View Product")</f>
        <v/>
      </c>
    </row>
    <row r="7214">
      <c r="A7214" t="inlineStr">
        <is>
          <t>0812256024194</t>
        </is>
      </c>
      <c r="B7214" t="inlineStr">
        <is>
          <t>Ariana Grande Cloud Body Mist 236ml</t>
        </is>
      </c>
      <c r="C7214" t="inlineStr">
        <is>
          <t>Eau De Parfum</t>
        </is>
      </c>
      <c r="D7214" t="inlineStr">
        <is>
          <t>Ariana Grande</t>
        </is>
      </c>
      <c r="E7214" t="n">
        <v>10.4</v>
      </c>
      <c r="F7214" t="n">
        <v>1</v>
      </c>
      <c r="G7214" t="n">
        <v>524</v>
      </c>
      <c r="H7214" s="5">
        <f>HYPERLINK("https://api.qogita.com/variants/link/0812256024194/", "View Product")</f>
        <v/>
      </c>
    </row>
    <row r="7215">
      <c r="A7215" t="inlineStr">
        <is>
          <t>0812256024293</t>
        </is>
      </c>
      <c r="B7215" t="inlineStr">
        <is>
          <t>Ariana Grande Thank U Next 30ml Eau De Parfum Spray</t>
        </is>
      </c>
      <c r="C7215" t="inlineStr">
        <is>
          <t>Eau De Parfum</t>
        </is>
      </c>
      <c r="D7215" t="inlineStr">
        <is>
          <t>Ariana Grande</t>
        </is>
      </c>
      <c r="E7215" t="n">
        <v>20.08</v>
      </c>
      <c r="F7215" t="n">
        <v>1</v>
      </c>
      <c r="G7215" t="n">
        <v>32</v>
      </c>
      <c r="H7215" s="5">
        <f>HYPERLINK("https://api.qogita.com/variants/link/0812256024293/", "View Product")</f>
        <v/>
      </c>
    </row>
    <row r="7216">
      <c r="A7216" t="inlineStr">
        <is>
          <t>0812256025481</t>
        </is>
      </c>
      <c r="B7216" t="inlineStr">
        <is>
          <t>Ariana Grande R.E.M Eau De Parfum 30ml</t>
        </is>
      </c>
      <c r="C7216" t="inlineStr">
        <is>
          <t>Eau De Parfum</t>
        </is>
      </c>
      <c r="D7216" t="inlineStr">
        <is>
          <t>Ariana Grande</t>
        </is>
      </c>
      <c r="E7216" t="n">
        <v>25.17</v>
      </c>
      <c r="F7216" t="n">
        <v>1</v>
      </c>
      <c r="G7216" t="n">
        <v>2</v>
      </c>
      <c r="H7216" s="5">
        <f>HYPERLINK("https://api.qogita.com/variants/link/0812256025481/", "View Product")</f>
        <v/>
      </c>
    </row>
    <row r="7217">
      <c r="A7217" t="inlineStr">
        <is>
          <t>0812256028611</t>
        </is>
      </c>
      <c r="B7217" t="inlineStr">
        <is>
          <t>Ariana Grande Cloud 2.0 Intense Eau De Parfum Ulta Exclusive 3.4oz</t>
        </is>
      </c>
      <c r="C7217" t="inlineStr">
        <is>
          <t>Eau De Parfum</t>
        </is>
      </c>
      <c r="D7217" t="inlineStr">
        <is>
          <t>Ariana Grande</t>
        </is>
      </c>
      <c r="E7217" t="n">
        <v>42.71</v>
      </c>
      <c r="F7217" t="n">
        <v>1</v>
      </c>
      <c r="G7217" t="n">
        <v>83</v>
      </c>
      <c r="H7217" s="5">
        <f>HYPERLINK("https://api.qogita.com/variants/link/0812256028611/", "View Product")</f>
        <v/>
      </c>
    </row>
    <row r="7218">
      <c r="A7218" t="inlineStr">
        <is>
          <t>0815305025869</t>
        </is>
      </c>
      <c r="B7218" t="inlineStr">
        <is>
          <t>Living Proof Curl Shampoo 355ml</t>
        </is>
      </c>
      <c r="C7218" t="inlineStr">
        <is>
          <t>Shampoo</t>
        </is>
      </c>
      <c r="D7218" t="inlineStr">
        <is>
          <t>Living Proof</t>
        </is>
      </c>
      <c r="E7218" t="n">
        <v>30.59</v>
      </c>
      <c r="F7218" t="n">
        <v>1</v>
      </c>
      <c r="G7218" t="n">
        <v>5</v>
      </c>
      <c r="H7218" s="5">
        <f>HYPERLINK("https://api.qogita.com/variants/link/0815305025869/", "View Product")</f>
        <v/>
      </c>
    </row>
    <row r="7219">
      <c r="A7219" t="inlineStr">
        <is>
          <t>0815305025944</t>
        </is>
      </c>
      <c r="B7219" t="inlineStr">
        <is>
          <t>Living Proof Curl Enhancer 200ml</t>
        </is>
      </c>
      <c r="C7219" t="inlineStr">
        <is>
          <t>Hair Care Sets</t>
        </is>
      </c>
      <c r="D7219" t="inlineStr">
        <is>
          <t>Living Proof</t>
        </is>
      </c>
      <c r="E7219" t="n">
        <v>32.38</v>
      </c>
      <c r="F7219" t="n">
        <v>1</v>
      </c>
      <c r="G7219" t="n">
        <v>4</v>
      </c>
      <c r="H7219" s="5">
        <f>HYPERLINK("https://api.qogita.com/variants/link/0815305025944/", "View Product")</f>
        <v/>
      </c>
    </row>
    <row r="7220">
      <c r="A7220" t="inlineStr">
        <is>
          <t>0815305026767</t>
        </is>
      </c>
      <c r="B7220" t="inlineStr">
        <is>
          <t>Living Proof Scalp Care Dry Scalp Treatment</t>
        </is>
      </c>
      <c r="C7220" t="inlineStr">
        <is>
          <t>Scalp Care</t>
        </is>
      </c>
      <c r="D7220" t="inlineStr">
        <is>
          <t>Living Proof</t>
        </is>
      </c>
      <c r="E7220" t="n">
        <v>32.38</v>
      </c>
      <c r="F7220" t="n">
        <v>1</v>
      </c>
      <c r="G7220" t="n">
        <v>5</v>
      </c>
      <c r="H7220" s="5">
        <f>HYPERLINK("https://api.qogita.com/variants/link/0815305026767/", "View Product")</f>
        <v/>
      </c>
    </row>
    <row r="7221">
      <c r="A7221" t="inlineStr">
        <is>
          <t>0815305028280</t>
        </is>
      </c>
      <c r="B7221" t="inlineStr">
        <is>
          <t>Living Proof Curl Haircare Shampoo &amp; Conditioner 100ml</t>
        </is>
      </c>
      <c r="C7221" t="inlineStr">
        <is>
          <t>Hair Care Sets</t>
        </is>
      </c>
      <c r="D7221" t="inlineStr">
        <is>
          <t>Living Proof</t>
        </is>
      </c>
      <c r="E7221" t="n">
        <v>15.32</v>
      </c>
      <c r="F7221" t="n">
        <v>1</v>
      </c>
      <c r="G7221" t="n">
        <v>5</v>
      </c>
      <c r="H7221" s="5">
        <f>HYPERLINK("https://api.qogita.com/variants/link/0815305028280/", "View Product")</f>
        <v/>
      </c>
    </row>
    <row r="7222">
      <c r="A7222" t="inlineStr">
        <is>
          <t>0815305028327</t>
        </is>
      </c>
      <c r="B7222" t="inlineStr">
        <is>
          <t>Living Proof Curl Definer Conditioning Styler for Bouncy Shiny Frizz-Free Curls 100ml</t>
        </is>
      </c>
      <c r="C7222" t="inlineStr">
        <is>
          <t>Leave-In Conditioner</t>
        </is>
      </c>
      <c r="D7222" t="inlineStr">
        <is>
          <t>Living Proof</t>
        </is>
      </c>
      <c r="E7222" t="n">
        <v>17.12</v>
      </c>
      <c r="F7222" t="n">
        <v>1</v>
      </c>
      <c r="G7222" t="n">
        <v>5</v>
      </c>
      <c r="H7222" s="5">
        <f>HYPERLINK("https://api.qogita.com/variants/link/0815305028327/", "View Product")</f>
        <v/>
      </c>
    </row>
    <row r="7223">
      <c r="A7223" t="inlineStr">
        <is>
          <t>0815305029508</t>
        </is>
      </c>
      <c r="B7223" t="inlineStr">
        <is>
          <t>Living Proof Perfect Hair Day Dry Shampoo 90ml</t>
        </is>
      </c>
      <c r="C7223" t="inlineStr">
        <is>
          <t>Dry Shampoo</t>
        </is>
      </c>
      <c r="D7223" t="inlineStr">
        <is>
          <t>Living Proof</t>
        </is>
      </c>
      <c r="E7223" t="n">
        <v>15.32</v>
      </c>
      <c r="F7223" t="n">
        <v>1</v>
      </c>
      <c r="G7223" t="n">
        <v>3</v>
      </c>
      <c r="H7223" s="5">
        <f>HYPERLINK("https://api.qogita.com/variants/link/0815305029508/", "View Product")</f>
        <v/>
      </c>
    </row>
    <row r="7224">
      <c r="A7224" t="inlineStr">
        <is>
          <t>0815857010443</t>
        </is>
      </c>
      <c r="B7224" t="inlineStr">
        <is>
          <t>Macadamia Natural Oil Professional Weightless Moisture Shampoo 300ml/10oz</t>
        </is>
      </c>
      <c r="C7224" t="inlineStr">
        <is>
          <t>Shampoo</t>
        </is>
      </c>
      <c r="D7224" t="inlineStr">
        <is>
          <t>Macadamia Professional</t>
        </is>
      </c>
      <c r="E7224" t="n">
        <v>11.64</v>
      </c>
      <c r="F7224" t="n">
        <v>1</v>
      </c>
      <c r="G7224" t="n">
        <v>21</v>
      </c>
      <c r="H7224" s="5">
        <f>HYPERLINK("https://api.qogita.com/variants/link/0815857010443/", "View Product")</f>
        <v/>
      </c>
    </row>
    <row r="7225">
      <c r="A7225" t="inlineStr">
        <is>
          <t>0815857010450</t>
        </is>
      </c>
      <c r="B7225" t="inlineStr">
        <is>
          <t>Macadamia Professional Weightless Moisture Conditioner 300ml</t>
        </is>
      </c>
      <c r="C7225" t="inlineStr">
        <is>
          <t>Conditioner</t>
        </is>
      </c>
      <c r="D7225" t="inlineStr">
        <is>
          <t>Macadamia</t>
        </is>
      </c>
      <c r="E7225" t="n">
        <v>11.41</v>
      </c>
      <c r="F7225" t="n">
        <v>1</v>
      </c>
      <c r="G7225" t="n">
        <v>21</v>
      </c>
      <c r="H7225" s="5">
        <f>HYPERLINK("https://api.qogita.com/variants/link/0815857010450/", "View Product")</f>
        <v/>
      </c>
    </row>
    <row r="7226">
      <c r="A7226" t="inlineStr">
        <is>
          <t>0815857010474</t>
        </is>
      </c>
      <c r="B7226" t="inlineStr">
        <is>
          <t>Nourishing Moisture Macadamia Shampoo 10 Oz for Unisex</t>
        </is>
      </c>
      <c r="C7226" t="inlineStr">
        <is>
          <t>Shampoo</t>
        </is>
      </c>
      <c r="D7226" t="inlineStr">
        <is>
          <t>Macadamia Professional</t>
        </is>
      </c>
      <c r="E7226" t="n">
        <v>11.42</v>
      </c>
      <c r="F7226" t="n">
        <v>1</v>
      </c>
      <c r="G7226" t="n">
        <v>17</v>
      </c>
      <c r="H7226" s="5">
        <f>HYPERLINK("https://api.qogita.com/variants/link/0815857010474/", "View Product")</f>
        <v/>
      </c>
    </row>
    <row r="7227">
      <c r="A7227" t="inlineStr">
        <is>
          <t>0815857017329</t>
        </is>
      </c>
      <c r="B7227" t="inlineStr">
        <is>
          <t>Macadamia Oil Nourishing Repair Oil Treatment for Unisex 0.9 oz</t>
        </is>
      </c>
      <c r="C7227" t="inlineStr">
        <is>
          <t>Hair Oil &amp; Hair Serum</t>
        </is>
      </c>
      <c r="D7227" t="inlineStr">
        <is>
          <t>Macadamia Natural Oil</t>
        </is>
      </c>
      <c r="E7227" t="n">
        <v>9.210000000000001</v>
      </c>
      <c r="F7227" t="n">
        <v>1</v>
      </c>
      <c r="G7227" t="n">
        <v>2</v>
      </c>
      <c r="H7227" s="5">
        <f>HYPERLINK("https://api.qogita.com/variants/link/0815857017329/", "View Product")</f>
        <v/>
      </c>
    </row>
    <row r="7228">
      <c r="A7228" t="inlineStr">
        <is>
          <t>0816378020423</t>
        </is>
      </c>
      <c r="B7228" t="inlineStr">
        <is>
          <t>Revite High-Performance Hair Stimulating Conditioner 205ml</t>
        </is>
      </c>
      <c r="C7228" t="inlineStr">
        <is>
          <t>Conditioner</t>
        </is>
      </c>
      <c r="D7228" t="inlineStr">
        <is>
          <t>Ds Laboratories</t>
        </is>
      </c>
      <c r="E7228" t="n">
        <v>25.94</v>
      </c>
      <c r="F7228" t="n">
        <v>1</v>
      </c>
      <c r="G7228" t="n">
        <v>3</v>
      </c>
      <c r="H7228" s="5">
        <f>HYPERLINK("https://api.qogita.com/variants/link/0816378020423/", "View Product")</f>
        <v/>
      </c>
    </row>
    <row r="7229">
      <c r="A7229" t="inlineStr">
        <is>
          <t>0816378020720</t>
        </is>
      </c>
      <c r="B7229" t="inlineStr">
        <is>
          <t>DS LABORATORIES Revita Tablets Hair Growth Supplement 30 Day Supply</t>
        </is>
      </c>
      <c r="C7229" t="inlineStr">
        <is>
          <t>Beautiful Hair</t>
        </is>
      </c>
      <c r="D7229" t="inlineStr">
        <is>
          <t>Ds Laboratories</t>
        </is>
      </c>
      <c r="E7229" t="n">
        <v>25.02</v>
      </c>
      <c r="F7229" t="n">
        <v>1</v>
      </c>
      <c r="G7229" t="n">
        <v>7</v>
      </c>
      <c r="H7229" s="5">
        <f>HYPERLINK("https://api.qogita.com/variants/link/0816378020720/", "View Product")</f>
        <v/>
      </c>
    </row>
    <row r="7230">
      <c r="A7230" t="inlineStr">
        <is>
          <t>0816378021956</t>
        </is>
      </c>
      <c r="B7230" t="inlineStr">
        <is>
          <t>DS Laboratories Revita Stimulating Shampoo for Hair Growth 925ml</t>
        </is>
      </c>
      <c r="C7230" t="inlineStr">
        <is>
          <t>Shampoo</t>
        </is>
      </c>
      <c r="D7230" t="inlineStr">
        <is>
          <t>Ds Laboratories</t>
        </is>
      </c>
      <c r="E7230" t="n">
        <v>75.84</v>
      </c>
      <c r="F7230" t="n">
        <v>1</v>
      </c>
      <c r="G7230" t="n">
        <v>5</v>
      </c>
      <c r="H7230" s="5">
        <f>HYPERLINK("https://api.qogita.com/variants/link/0816378021956/", "View Product")</f>
        <v/>
      </c>
    </row>
    <row r="7231">
      <c r="A7231" t="inlineStr">
        <is>
          <t>0816378022489</t>
        </is>
      </c>
      <c r="B7231" t="inlineStr">
        <is>
          <t>DS LABORATORIES Revita Thickening Hair Pomade with Biotin, Caffeine and Beeswax Hair Styling Cream</t>
        </is>
      </c>
      <c r="C7231" t="inlineStr">
        <is>
          <t>Styling Creams</t>
        </is>
      </c>
      <c r="D7231" t="inlineStr">
        <is>
          <t>Ds Laboratories</t>
        </is>
      </c>
      <c r="E7231" t="n">
        <v>26.11</v>
      </c>
      <c r="F7231" t="n">
        <v>1</v>
      </c>
      <c r="G7231" t="n">
        <v>5</v>
      </c>
      <c r="H7231" s="5">
        <f>HYPERLINK("https://api.qogita.com/variants/link/0816378022489/", "View Product")</f>
        <v/>
      </c>
    </row>
    <row r="7232">
      <c r="A7232" t="inlineStr">
        <is>
          <t>0816454020422</t>
        </is>
      </c>
      <c r="B7232" t="inlineStr">
        <is>
          <t>Below The Belt Men's Groin Deodorant Anti-Chafing Cream Ballers Duo Gift Set</t>
        </is>
      </c>
      <c r="C7232" t="inlineStr">
        <is>
          <t>Intimate Care</t>
        </is>
      </c>
      <c r="D7232" t="inlineStr">
        <is>
          <t>Below The Belt Grooming</t>
        </is>
      </c>
      <c r="E7232" t="n">
        <v>15.15</v>
      </c>
      <c r="F7232" t="n">
        <v>1</v>
      </c>
      <c r="G7232" t="n">
        <v>23</v>
      </c>
      <c r="H7232" s="5">
        <f>HYPERLINK("https://api.qogita.com/variants/link/0816454020422/", "View Product")</f>
        <v/>
      </c>
    </row>
    <row r="7233">
      <c r="A7233" t="inlineStr">
        <is>
          <t>0816657028454</t>
        </is>
      </c>
      <c r="B7233" t="inlineStr">
        <is>
          <t>Fenty Beauty Stunna Matte Lip Paint Longwear Fluid 4ml Shade Unveil</t>
        </is>
      </c>
      <c r="C7233" t="inlineStr">
        <is>
          <t>Lipstick</t>
        </is>
      </c>
      <c r="D7233" t="inlineStr">
        <is>
          <t>Fenty Beauty by Rihanna</t>
        </is>
      </c>
      <c r="E7233" t="n">
        <v>22.1</v>
      </c>
      <c r="F7233" t="n">
        <v>1</v>
      </c>
      <c r="G7233" t="n">
        <v>5</v>
      </c>
      <c r="H7233" s="5">
        <f>HYPERLINK("https://api.qogita.com/variants/link/0816657028454/", "View Product")</f>
        <v/>
      </c>
    </row>
    <row r="7234">
      <c r="A7234" t="inlineStr">
        <is>
          <t>0818423020273</t>
        </is>
      </c>
      <c r="B7234" t="inlineStr">
        <is>
          <t>Foligain Color Rescue Supplement for Graying Hair 60 Capsules</t>
        </is>
      </c>
      <c r="C7234" t="inlineStr">
        <is>
          <t>Beautiful Hair</t>
        </is>
      </c>
      <c r="D7234" t="inlineStr">
        <is>
          <t>Foligain</t>
        </is>
      </c>
      <c r="E7234" t="n">
        <v>31.54</v>
      </c>
      <c r="F7234" t="n">
        <v>1</v>
      </c>
      <c r="G7234" t="n">
        <v>4</v>
      </c>
      <c r="H7234" s="5">
        <f>HYPERLINK("https://api.qogita.com/variants/link/0818423020273/", "View Product")</f>
        <v/>
      </c>
    </row>
    <row r="7235">
      <c r="A7235" t="inlineStr">
        <is>
          <t>0818423020303</t>
        </is>
      </c>
      <c r="B7235" t="inlineStr">
        <is>
          <t>Foligain Men's 2% Trioxidil Conditioner 236ml</t>
        </is>
      </c>
      <c r="C7235" t="inlineStr">
        <is>
          <t>Conditioner</t>
        </is>
      </c>
      <c r="D7235" t="inlineStr">
        <is>
          <t>Foligain</t>
        </is>
      </c>
      <c r="E7235" t="n">
        <v>22.86</v>
      </c>
      <c r="F7235" t="n">
        <v>1</v>
      </c>
      <c r="G7235" t="n">
        <v>6</v>
      </c>
      <c r="H7235" s="5">
        <f>HYPERLINK("https://api.qogita.com/variants/link/0818423020303/", "View Product")</f>
        <v/>
      </c>
    </row>
    <row r="7236">
      <c r="A7236" t="inlineStr">
        <is>
          <t>0818423029207</t>
        </is>
      </c>
      <c r="B7236" t="inlineStr">
        <is>
          <t>Foligain Hair and Scalp Roller for Thinning Hair for Men and Women</t>
        </is>
      </c>
      <c r="C7236" t="inlineStr">
        <is>
          <t>Scalp Care</t>
        </is>
      </c>
      <c r="D7236" t="inlineStr">
        <is>
          <t>Foligain</t>
        </is>
      </c>
      <c r="E7236" t="n">
        <v>16.95</v>
      </c>
      <c r="F7236" t="n">
        <v>1</v>
      </c>
      <c r="G7236" t="n">
        <v>9</v>
      </c>
      <c r="H7236" s="5">
        <f>HYPERLINK("https://api.qogita.com/variants/link/0818423029207/", "View Product")</f>
        <v/>
      </c>
    </row>
    <row r="7237">
      <c r="A7237" t="inlineStr">
        <is>
          <t>0818625023836</t>
        </is>
      </c>
      <c r="B7237" t="inlineStr">
        <is>
          <t>Medik8 Hydr8 B5 Intense Moisturizing Serum 30ml</t>
        </is>
      </c>
      <c r="C7237" t="inlineStr">
        <is>
          <t>Hydrating Serum</t>
        </is>
      </c>
      <c r="D7237" t="inlineStr">
        <is>
          <t>Medik8</t>
        </is>
      </c>
      <c r="E7237" t="n">
        <v>61.1</v>
      </c>
      <c r="F7237" t="n">
        <v>1</v>
      </c>
      <c r="G7237" t="n">
        <v>3</v>
      </c>
      <c r="H7237" s="5">
        <f>HYPERLINK("https://api.qogita.com/variants/link/0818625023836/", "View Product")</f>
        <v/>
      </c>
    </row>
    <row r="7238">
      <c r="A7238" t="inlineStr">
        <is>
          <t>0818625024314</t>
        </is>
      </c>
      <c r="B7238" t="inlineStr">
        <is>
          <t>Medik8 Retinol 6 TR+ Intense Serum 15ml</t>
        </is>
      </c>
      <c r="C7238" t="inlineStr">
        <is>
          <t>Anti-Aging Serum</t>
        </is>
      </c>
      <c r="D7238" t="inlineStr">
        <is>
          <t>Medik8</t>
        </is>
      </c>
      <c r="E7238" t="n">
        <v>44.28</v>
      </c>
      <c r="F7238" t="n">
        <v>1</v>
      </c>
      <c r="G7238" t="n">
        <v>14</v>
      </c>
      <c r="H7238" s="5">
        <f>HYPERLINK("https://api.qogita.com/variants/link/0818625024314/", "View Product")</f>
        <v/>
      </c>
    </row>
    <row r="7239">
      <c r="A7239" t="inlineStr">
        <is>
          <t>0818625024420</t>
        </is>
      </c>
      <c r="B7239" t="inlineStr">
        <is>
          <t>Medik8 Advanced Day Total Perfect Anti-Aging Moisturizer SPF 30 50ml</t>
        </is>
      </c>
      <c r="C7239" t="inlineStr">
        <is>
          <t>Day Cream</t>
        </is>
      </c>
      <c r="D7239" t="inlineStr">
        <is>
          <t>Medik8</t>
        </is>
      </c>
      <c r="E7239" t="n">
        <v>60.15</v>
      </c>
      <c r="F7239" t="n">
        <v>1</v>
      </c>
      <c r="G7239" t="n">
        <v>7</v>
      </c>
      <c r="H7239" s="5">
        <f>HYPERLINK("https://api.qogita.com/variants/link/0818625024420/", "View Product")</f>
        <v/>
      </c>
    </row>
    <row r="7240">
      <c r="A7240" t="inlineStr">
        <is>
          <t>0818625024499</t>
        </is>
      </c>
      <c r="B7240" t="inlineStr">
        <is>
          <t>Medik8 Copper PCA Peptides Mineral Antioxidant Peptide Serum 30ml</t>
        </is>
      </c>
      <c r="C7240" t="inlineStr">
        <is>
          <t>Anti-Aging Serum</t>
        </is>
      </c>
      <c r="D7240" t="inlineStr">
        <is>
          <t>Medik8</t>
        </is>
      </c>
      <c r="E7240" t="n">
        <v>63.96</v>
      </c>
      <c r="F7240" t="n">
        <v>1</v>
      </c>
      <c r="G7240" t="n">
        <v>5</v>
      </c>
      <c r="H7240" s="5">
        <f>HYPERLINK("https://api.qogita.com/variants/link/0818625024499/", "View Product")</f>
        <v/>
      </c>
    </row>
    <row r="7241">
      <c r="A7241" t="inlineStr">
        <is>
          <t>0818625024512</t>
        </is>
      </c>
      <c r="B7241" t="inlineStr">
        <is>
          <t>Medik8 Crystal Retinal 10 Night Serum</t>
        </is>
      </c>
      <c r="C7241" t="inlineStr">
        <is>
          <t>Anti-Aging Serum</t>
        </is>
      </c>
      <c r="D7241" t="inlineStr">
        <is>
          <t>Medik8</t>
        </is>
      </c>
      <c r="E7241" t="n">
        <v>85.84999999999999</v>
      </c>
      <c r="F7241" t="n">
        <v>1</v>
      </c>
      <c r="G7241" t="n">
        <v>7</v>
      </c>
      <c r="H7241" s="5">
        <f>HYPERLINK("https://api.qogita.com/variants/link/0818625024512/", "View Product")</f>
        <v/>
      </c>
    </row>
    <row r="7242">
      <c r="A7242" t="inlineStr">
        <is>
          <t>0818625024789</t>
        </is>
      </c>
      <c r="B7242" t="inlineStr">
        <is>
          <t>Medik8 Nourishing Body Cream 250ml</t>
        </is>
      </c>
      <c r="C7242" t="inlineStr">
        <is>
          <t>Body Lotion</t>
        </is>
      </c>
      <c r="D7242" t="inlineStr">
        <is>
          <t>Medik8</t>
        </is>
      </c>
      <c r="E7242" t="n">
        <v>112.7</v>
      </c>
      <c r="F7242" t="n">
        <v>1</v>
      </c>
      <c r="G7242" t="n">
        <v>7</v>
      </c>
      <c r="H7242" s="5">
        <f>HYPERLINK("https://api.qogita.com/variants/link/0818625024789/", "View Product")</f>
        <v/>
      </c>
    </row>
    <row r="7243">
      <c r="A7243" t="inlineStr">
        <is>
          <t>0818625025144</t>
        </is>
      </c>
      <c r="B7243" t="inlineStr">
        <is>
          <t>Medik8 Oxy-R Peptide High-Strength Oxyresveratrol Brightening Peptide Serum 2x10ml</t>
        </is>
      </c>
      <c r="C7243" t="inlineStr">
        <is>
          <t>Glow Serum</t>
        </is>
      </c>
      <c r="D7243" t="inlineStr">
        <is>
          <t>Medik8</t>
        </is>
      </c>
      <c r="E7243" t="n">
        <v>67.66</v>
      </c>
      <c r="F7243" t="n">
        <v>1</v>
      </c>
      <c r="G7243" t="n">
        <v>5</v>
      </c>
      <c r="H7243" s="5">
        <f>HYPERLINK("https://api.qogita.com/variants/link/0818625025144/", "View Product")</f>
        <v/>
      </c>
    </row>
    <row r="7244">
      <c r="A7244" t="inlineStr">
        <is>
          <t>0837015000554</t>
        </is>
      </c>
      <c r="B7244" t="inlineStr">
        <is>
          <t>Fred Hayman Hollywood for Men 3.4oz EDT Spray</t>
        </is>
      </c>
      <c r="C7244" t="inlineStr">
        <is>
          <t>Eau De Toilette</t>
        </is>
      </c>
      <c r="D7244" t="inlineStr">
        <is>
          <t>Fred Hayman</t>
        </is>
      </c>
      <c r="E7244" t="n">
        <v>12.47</v>
      </c>
      <c r="F7244" t="n">
        <v>1</v>
      </c>
      <c r="G7244" t="n">
        <v>5</v>
      </c>
      <c r="H7244" s="5">
        <f>HYPERLINK("https://api.qogita.com/variants/link/0837015000554/", "View Product")</f>
        <v/>
      </c>
    </row>
    <row r="7245">
      <c r="A7245" t="inlineStr">
        <is>
          <t>0837524000045</t>
        </is>
      </c>
      <c r="B7245" t="inlineStr">
        <is>
          <t>Nesti Dante Il Frutteto Red Grapes &amp; Blueberry Soap</t>
        </is>
      </c>
      <c r="C7245" t="inlineStr">
        <is>
          <t>Soap</t>
        </is>
      </c>
      <c r="D7245" t="inlineStr">
        <is>
          <t>Nesti Dante</t>
        </is>
      </c>
      <c r="E7245" t="n">
        <v>3.38</v>
      </c>
      <c r="F7245" t="n">
        <v>1</v>
      </c>
      <c r="G7245" t="n">
        <v>5</v>
      </c>
      <c r="H7245" s="5">
        <f>HYPERLINK("https://api.qogita.com/variants/link/0837524000045/", "View Product")</f>
        <v/>
      </c>
    </row>
    <row r="7246">
      <c r="A7246" t="inlineStr">
        <is>
          <t>0837524001165</t>
        </is>
      </c>
      <c r="B7246" t="inlineStr">
        <is>
          <t>Nesti Dante Chic Animalier White Soap 250g</t>
        </is>
      </c>
      <c r="C7246" t="inlineStr">
        <is>
          <t>Soap</t>
        </is>
      </c>
      <c r="D7246" t="inlineStr">
        <is>
          <t>Nesti Dante</t>
        </is>
      </c>
      <c r="E7246" t="n">
        <v>3.68</v>
      </c>
      <c r="F7246" t="n">
        <v>1</v>
      </c>
      <c r="G7246" t="n">
        <v>5</v>
      </c>
      <c r="H7246" s="5">
        <f>HYPERLINK("https://api.qogita.com/variants/link/0837524001165/", "View Product")</f>
        <v/>
      </c>
    </row>
    <row r="7247">
      <c r="A7247" t="inlineStr">
        <is>
          <t>0837524002452</t>
        </is>
      </c>
      <c r="B7247" t="inlineStr">
        <is>
          <t>Nesti Dante Il Frutteto Medlar &amp; Jujube Soap 250g</t>
        </is>
      </c>
      <c r="C7247" t="inlineStr">
        <is>
          <t>Soap</t>
        </is>
      </c>
      <c r="D7247" t="inlineStr">
        <is>
          <t>Nesti Dante</t>
        </is>
      </c>
      <c r="E7247" t="n">
        <v>3.38</v>
      </c>
      <c r="F7247" t="n">
        <v>1</v>
      </c>
      <c r="G7247" t="n">
        <v>5</v>
      </c>
      <c r="H7247" s="5">
        <f>HYPERLINK("https://api.qogita.com/variants/link/0837524002452/", "View Product")</f>
        <v/>
      </c>
    </row>
    <row r="7248">
      <c r="A7248" t="inlineStr">
        <is>
          <t>0839174001359</t>
        </is>
      </c>
      <c r="B7248" t="inlineStr">
        <is>
          <t>Nudestix Nude Plumping Lip Gloss Act 02 New</t>
        </is>
      </c>
      <c r="C7248" t="inlineStr">
        <is>
          <t>Lip Gloss</t>
        </is>
      </c>
      <c r="D7248" t="inlineStr">
        <is>
          <t>Nudestix</t>
        </is>
      </c>
      <c r="E7248" t="n">
        <v>14.79</v>
      </c>
      <c r="F7248" t="n">
        <v>1</v>
      </c>
      <c r="G7248" t="n">
        <v>9</v>
      </c>
      <c r="H7248" s="5">
        <f>HYPERLINK("https://api.qogita.com/variants/link/0839174001359/", "View Product")</f>
        <v/>
      </c>
    </row>
    <row r="7249">
      <c r="A7249" t="inlineStr">
        <is>
          <t>0839174001830</t>
        </is>
      </c>
      <c r="B7249" t="inlineStr">
        <is>
          <t>Nudestix Tinted Cover Foundation Nude 2 - NIB</t>
        </is>
      </c>
      <c r="C7249" t="inlineStr">
        <is>
          <t>Foundation</t>
        </is>
      </c>
      <c r="D7249" t="inlineStr">
        <is>
          <t>Nudestix</t>
        </is>
      </c>
      <c r="E7249" t="n">
        <v>19.65</v>
      </c>
      <c r="F7249" t="n">
        <v>1</v>
      </c>
      <c r="G7249" t="n">
        <v>11</v>
      </c>
      <c r="H7249" s="5">
        <f>HYPERLINK("https://api.qogita.com/variants/link/0839174001830/", "View Product")</f>
        <v/>
      </c>
    </row>
    <row r="7250">
      <c r="A7250" t="inlineStr">
        <is>
          <t>0839174001878</t>
        </is>
      </c>
      <c r="B7250" t="inlineStr">
        <is>
          <t>Nudestix Tinted Cover Foundation Nude 4 - NIB</t>
        </is>
      </c>
      <c r="C7250" t="inlineStr">
        <is>
          <t>Foundation</t>
        </is>
      </c>
      <c r="D7250" t="inlineStr">
        <is>
          <t>Nudestix</t>
        </is>
      </c>
      <c r="E7250" t="n">
        <v>19.65</v>
      </c>
      <c r="F7250" t="n">
        <v>1</v>
      </c>
      <c r="G7250" t="n">
        <v>9</v>
      </c>
      <c r="H7250" s="5">
        <f>HYPERLINK("https://api.qogita.com/variants/link/0839174001878/", "View Product")</f>
        <v/>
      </c>
    </row>
    <row r="7251">
      <c r="A7251" t="inlineStr">
        <is>
          <t>0839174005623</t>
        </is>
      </c>
      <c r="B7251" t="inlineStr">
        <is>
          <t>NUDESTIX Nudeskin Citrus Clean Balm and Makeup Melt Orange Apple 2.03oz - New in Box</t>
        </is>
      </c>
      <c r="C7251" t="inlineStr">
        <is>
          <t>Makeup Remover</t>
        </is>
      </c>
      <c r="D7251" t="inlineStr">
        <is>
          <t>Nudestix</t>
        </is>
      </c>
      <c r="E7251" t="n">
        <v>17.39</v>
      </c>
      <c r="F7251" t="n">
        <v>1</v>
      </c>
      <c r="G7251" t="n">
        <v>12</v>
      </c>
      <c r="H7251" s="5">
        <f>HYPERLINK("https://api.qogita.com/variants/link/0839174005623/", "View Product")</f>
        <v/>
      </c>
    </row>
    <row r="7252">
      <c r="A7252" t="inlineStr">
        <is>
          <t>0839174005654</t>
        </is>
      </c>
      <c r="B7252" t="inlineStr">
        <is>
          <t>NUDESTIX Nudeskin 5% Citrus Fruit and Glycolic Glow Toner 3oz - New</t>
        </is>
      </c>
      <c r="C7252" t="inlineStr">
        <is>
          <t>Facial Care Sets</t>
        </is>
      </c>
      <c r="D7252" t="inlineStr">
        <is>
          <t>Nudestix</t>
        </is>
      </c>
      <c r="E7252" t="n">
        <v>14.22</v>
      </c>
      <c r="F7252" t="n">
        <v>1</v>
      </c>
      <c r="G7252" t="n">
        <v>8</v>
      </c>
      <c r="H7252" s="5">
        <f>HYPERLINK("https://api.qogita.com/variants/link/0839174005654/", "View Product")</f>
        <v/>
      </c>
    </row>
    <row r="7253">
      <c r="A7253" t="inlineStr">
        <is>
          <t>0839174005807</t>
        </is>
      </c>
      <c r="B7253" t="inlineStr">
        <is>
          <t>Magnetic Luminous Copper Foil Eye Color Pencil</t>
        </is>
      </c>
      <c r="C7253" t="inlineStr">
        <is>
          <t>Eye Pencil</t>
        </is>
      </c>
      <c r="D7253" t="inlineStr">
        <is>
          <t>Nudestix</t>
        </is>
      </c>
      <c r="E7253" t="n">
        <v>13.94</v>
      </c>
      <c r="F7253" t="n">
        <v>1</v>
      </c>
      <c r="G7253" t="n">
        <v>10</v>
      </c>
      <c r="H7253" s="5">
        <f>HYPERLINK("https://api.qogita.com/variants/link/0839174005807/", "View Product")</f>
        <v/>
      </c>
    </row>
    <row r="7254">
      <c r="A7254" t="inlineStr">
        <is>
          <t>0839174011105</t>
        </is>
      </c>
      <c r="B7254" t="inlineStr">
        <is>
          <t>Intense Matte Lip + Cheek Pencil Purity</t>
        </is>
      </c>
      <c r="C7254" t="inlineStr">
        <is>
          <t>Blush</t>
        </is>
      </c>
      <c r="D7254" t="inlineStr">
        <is>
          <t>Nudestix</t>
        </is>
      </c>
      <c r="E7254" t="n">
        <v>13.94</v>
      </c>
      <c r="F7254" t="n">
        <v>1</v>
      </c>
      <c r="G7254" t="n">
        <v>5</v>
      </c>
      <c r="H7254" s="5">
        <f>HYPERLINK("https://api.qogita.com/variants/link/0839174011105/", "View Product")</f>
        <v/>
      </c>
    </row>
    <row r="7255">
      <c r="A7255" t="inlineStr">
        <is>
          <t>0839174011600</t>
        </is>
      </c>
      <c r="B7255" t="inlineStr">
        <is>
          <t>Intense Matte Lip + Cheek Pencil Stiletto</t>
        </is>
      </c>
      <c r="C7255" t="inlineStr">
        <is>
          <t>Lipstick</t>
        </is>
      </c>
      <c r="D7255" t="inlineStr">
        <is>
          <t>Nudestix</t>
        </is>
      </c>
      <c r="E7255" t="n">
        <v>14.1</v>
      </c>
      <c r="F7255" t="n">
        <v>1</v>
      </c>
      <c r="G7255" t="n">
        <v>6</v>
      </c>
      <c r="H7255" s="5">
        <f>HYPERLINK("https://api.qogita.com/variants/link/0839174011600/", "View Product")</f>
        <v/>
      </c>
    </row>
    <row r="7256">
      <c r="A7256" t="inlineStr">
        <is>
          <t>0839174012737</t>
        </is>
      </c>
      <c r="B7256" t="inlineStr">
        <is>
          <t>Nudestix NudeFix Cream Concealer Lightweight Liquid Natural Finish Makeup Hydrating Brightening Under Eye Dark Circle Corrector Reduces Redness and Blemishes Shade Nude 2 0.34 fl oz 10 ml</t>
        </is>
      </c>
      <c r="C7256" t="inlineStr">
        <is>
          <t>Concealer</t>
        </is>
      </c>
      <c r="D7256" t="inlineStr">
        <is>
          <t>Nudestix</t>
        </is>
      </c>
      <c r="E7256" t="n">
        <v>15.07</v>
      </c>
      <c r="F7256" t="n">
        <v>1</v>
      </c>
      <c r="G7256" t="n">
        <v>5</v>
      </c>
      <c r="H7256" s="5">
        <f>HYPERLINK("https://api.qogita.com/variants/link/0839174012737/", "View Product")</f>
        <v/>
      </c>
    </row>
    <row r="7257">
      <c r="A7257" t="inlineStr">
        <is>
          <t>0839174012744</t>
        </is>
      </c>
      <c r="B7257" t="inlineStr">
        <is>
          <t>Nudestix NudeFix Cream Concealer Lightweight Liquid Natural Finish Makeup Hydrating Brightening Under Eye Dark Circle Corrector Reduces Redness and Blemishes Shade Nude 3 0.34 fl oz 10ml</t>
        </is>
      </c>
      <c r="C7257" t="inlineStr">
        <is>
          <t>Concealer</t>
        </is>
      </c>
      <c r="D7257" t="inlineStr">
        <is>
          <t>Nudestix</t>
        </is>
      </c>
      <c r="E7257" t="n">
        <v>15.07</v>
      </c>
      <c r="F7257" t="n">
        <v>1</v>
      </c>
      <c r="G7257" t="n">
        <v>4</v>
      </c>
      <c r="H7257" s="5">
        <f>HYPERLINK("https://api.qogita.com/variants/link/0839174012744/", "View Product")</f>
        <v/>
      </c>
    </row>
    <row r="7258">
      <c r="A7258" t="inlineStr">
        <is>
          <t>0839174012782</t>
        </is>
      </c>
      <c r="B7258" t="inlineStr">
        <is>
          <t>Nudestix NudeFix Cream Concealer Lightweight Liquid Natural Finish Makeup Hydrating Brightening Under Eye Dark Circle Corrector Reduces Redness and Blemishes Shade Nude 5.5 0.34 fl oz</t>
        </is>
      </c>
      <c r="C7258" t="inlineStr">
        <is>
          <t>Concealer</t>
        </is>
      </c>
      <c r="D7258" t="inlineStr">
        <is>
          <t>Nudestix</t>
        </is>
      </c>
      <c r="E7258" t="n">
        <v>15.07</v>
      </c>
      <c r="F7258" t="n">
        <v>1</v>
      </c>
      <c r="G7258" t="n">
        <v>16</v>
      </c>
      <c r="H7258" s="5">
        <f>HYPERLINK("https://api.qogita.com/variants/link/0839174012782/", "View Product")</f>
        <v/>
      </c>
    </row>
    <row r="7259">
      <c r="A7259" t="inlineStr">
        <is>
          <t>0839174012843</t>
        </is>
      </c>
      <c r="B7259" t="inlineStr">
        <is>
          <t>Nudestix NudeFix Cream Concealer Lightweight Liquid Natural Finish Makeup Hydrating Brightening Under Eye Dark Circle Corrector Reduces Redness and Blemishes Shade Nude 10 0.34 fl oz 10ml</t>
        </is>
      </c>
      <c r="C7259" t="inlineStr">
        <is>
          <t>Concealer</t>
        </is>
      </c>
      <c r="D7259" t="inlineStr">
        <is>
          <t>Nudestix</t>
        </is>
      </c>
      <c r="E7259" t="n">
        <v>15.07</v>
      </c>
      <c r="F7259" t="n">
        <v>1</v>
      </c>
      <c r="G7259" t="n">
        <v>14</v>
      </c>
      <c r="H7259" s="5">
        <f>HYPERLINK("https://api.qogita.com/variants/link/0839174012843/", "View Product")</f>
        <v/>
      </c>
    </row>
    <row r="7260">
      <c r="A7260" t="inlineStr">
        <is>
          <t>0840026645164</t>
        </is>
      </c>
      <c r="B7260" t="inlineStr">
        <is>
          <t>Fenty Beauty Slip Shine Sheer Shiny Lipstick - 2.8 G</t>
        </is>
      </c>
      <c r="C7260" t="inlineStr">
        <is>
          <t>Lipstick</t>
        </is>
      </c>
      <c r="D7260" t="inlineStr">
        <is>
          <t>Fenty Beauty by Rihanna</t>
        </is>
      </c>
      <c r="E7260" t="n">
        <v>17.71</v>
      </c>
      <c r="F7260" t="n">
        <v>1</v>
      </c>
      <c r="G7260" t="n">
        <v>9</v>
      </c>
      <c r="H7260" s="5">
        <f>HYPERLINK("https://api.qogita.com/variants/link/0840026645164/", "View Product")</f>
        <v/>
      </c>
    </row>
    <row r="7261">
      <c r="A7261" t="inlineStr">
        <is>
          <t>0840026648738</t>
        </is>
      </c>
      <c r="B7261" t="inlineStr">
        <is>
          <t>Fenty Beauty Bright Fix Eye Brightener Concealer 0.34oz</t>
        </is>
      </c>
      <c r="C7261" t="inlineStr">
        <is>
          <t>Concealer</t>
        </is>
      </c>
      <c r="D7261" t="inlineStr">
        <is>
          <t>Fenty Beauty by Rihanna</t>
        </is>
      </c>
      <c r="E7261" t="n">
        <v>26.73</v>
      </c>
      <c r="F7261" t="n">
        <v>1</v>
      </c>
      <c r="G7261" t="n">
        <v>18</v>
      </c>
      <c r="H7261" s="5">
        <f>HYPERLINK("https://api.qogita.com/variants/link/0840026648738/", "View Product")</f>
        <v/>
      </c>
    </row>
    <row r="7262">
      <c r="A7262" t="inlineStr">
        <is>
          <t>0840026648752</t>
        </is>
      </c>
      <c r="B7262" t="inlineStr">
        <is>
          <t>Fenty Beauty by Rihanna Bright Fix Eye Brightener #05 Butter Soft Yellow</t>
        </is>
      </c>
      <c r="C7262" t="inlineStr">
        <is>
          <t>Concealer</t>
        </is>
      </c>
      <c r="D7262" t="inlineStr">
        <is>
          <t>Fenty Beauty by Rihanna</t>
        </is>
      </c>
      <c r="E7262" t="n">
        <v>26.73</v>
      </c>
      <c r="F7262" t="n">
        <v>1</v>
      </c>
      <c r="G7262" t="n">
        <v>21</v>
      </c>
      <c r="H7262" s="5">
        <f>HYPERLINK("https://api.qogita.com/variants/link/0840026648752/", "View Product")</f>
        <v/>
      </c>
    </row>
    <row r="7263">
      <c r="A7263" t="inlineStr">
        <is>
          <t>0840026648783</t>
        </is>
      </c>
      <c r="B7263" t="inlineStr">
        <is>
          <t>Fenty Beauty by Rihanna Bright Fix Eye Brightener - # 08 Deep Melon Cool 10ml</t>
        </is>
      </c>
      <c r="C7263" t="inlineStr">
        <is>
          <t>Concealer</t>
        </is>
      </c>
      <c r="D7263" t="inlineStr">
        <is>
          <t>Fenty Beauty by Rihanna</t>
        </is>
      </c>
      <c r="E7263" t="n">
        <v>26.73</v>
      </c>
      <c r="F7263" t="n">
        <v>1</v>
      </c>
      <c r="G7263" t="n">
        <v>24</v>
      </c>
      <c r="H7263" s="5">
        <f>HYPERLINK("https://api.qogita.com/variants/link/0840026648783/", "View Product")</f>
        <v/>
      </c>
    </row>
    <row r="7264">
      <c r="A7264" t="inlineStr">
        <is>
          <t>0840026654852</t>
        </is>
      </c>
      <c r="B7264" t="inlineStr">
        <is>
          <t>Fenty Beauty Eaze Drop Lit All-Over Glow Enhancer 36 Ml</t>
        </is>
      </c>
      <c r="C7264" t="inlineStr">
        <is>
          <t>Highlighter</t>
        </is>
      </c>
      <c r="D7264" t="inlineStr">
        <is>
          <t>Fenty Beauty by Rihanna</t>
        </is>
      </c>
      <c r="E7264" t="n">
        <v>32.32</v>
      </c>
      <c r="F7264" t="n">
        <v>1</v>
      </c>
      <c r="G7264" t="n">
        <v>21</v>
      </c>
      <c r="H7264" s="5">
        <f>HYPERLINK("https://api.qogita.com/variants/link/0840026654852/", "View Product")</f>
        <v/>
      </c>
    </row>
    <row r="7265">
      <c r="A7265" t="inlineStr">
        <is>
          <t>0840026654869</t>
        </is>
      </c>
      <c r="B7265" t="inlineStr">
        <is>
          <t>Fenty Beauty Eaze Drop Lit All-Over Glow Enhancer 36 Ml</t>
        </is>
      </c>
      <c r="C7265" t="inlineStr">
        <is>
          <t>Highlighter</t>
        </is>
      </c>
      <c r="D7265" t="inlineStr">
        <is>
          <t>Fenty Beauty by Rihanna</t>
        </is>
      </c>
      <c r="E7265" t="n">
        <v>32.32</v>
      </c>
      <c r="F7265" t="n">
        <v>1</v>
      </c>
      <c r="G7265" t="n">
        <v>22</v>
      </c>
      <c r="H7265" s="5">
        <f>HYPERLINK("https://api.qogita.com/variants/link/0840026654869/", "View Product")</f>
        <v/>
      </c>
    </row>
    <row r="7266">
      <c r="A7266" t="inlineStr">
        <is>
          <t>0840026656818</t>
        </is>
      </c>
      <c r="B7266" t="inlineStr">
        <is>
          <t>Fenty Beauty Mattifying Makeup Pro Filt'r Soft Matte Foundation Mini - 12 Ml</t>
        </is>
      </c>
      <c r="C7266" t="inlineStr">
        <is>
          <t>Foundation</t>
        </is>
      </c>
      <c r="D7266" t="inlineStr">
        <is>
          <t>Fenty Beauty by Rihanna</t>
        </is>
      </c>
      <c r="E7266" t="n">
        <v>16.73</v>
      </c>
      <c r="F7266" t="n">
        <v>1</v>
      </c>
      <c r="G7266" t="n">
        <v>18</v>
      </c>
      <c r="H7266" s="5">
        <f>HYPERLINK("https://api.qogita.com/variants/link/0840026656818/", "View Product")</f>
        <v/>
      </c>
    </row>
    <row r="7267">
      <c r="A7267" t="inlineStr">
        <is>
          <t>0840026656849</t>
        </is>
      </c>
      <c r="B7267" t="inlineStr">
        <is>
          <t>Fenty Beauty Mattifying Makeup Pro Filt'r Soft Matte Foundation Mini - 12 Ml</t>
        </is>
      </c>
      <c r="C7267" t="inlineStr">
        <is>
          <t>Foundation</t>
        </is>
      </c>
      <c r="D7267" t="inlineStr">
        <is>
          <t>Fenty Beauty by Rihanna</t>
        </is>
      </c>
      <c r="E7267" t="n">
        <v>16.73</v>
      </c>
      <c r="F7267" t="n">
        <v>1</v>
      </c>
      <c r="G7267" t="n">
        <v>18</v>
      </c>
      <c r="H7267" s="5">
        <f>HYPERLINK("https://api.qogita.com/variants/link/0840026656849/", "View Product")</f>
        <v/>
      </c>
    </row>
    <row r="7268">
      <c r="A7268" t="inlineStr">
        <is>
          <t>0840026656900</t>
        </is>
      </c>
      <c r="B7268" t="inlineStr">
        <is>
          <t>Fenty Beauty Mattifying Makeup Pro Filt'r Soft Matte Foundation Mini - 12 Ml</t>
        </is>
      </c>
      <c r="C7268" t="inlineStr">
        <is>
          <t>Foundation</t>
        </is>
      </c>
      <c r="D7268" t="inlineStr">
        <is>
          <t>Fenty Beauty by Rihanna</t>
        </is>
      </c>
      <c r="E7268" t="n">
        <v>16.73</v>
      </c>
      <c r="F7268" t="n">
        <v>1</v>
      </c>
      <c r="G7268" t="n">
        <v>20</v>
      </c>
      <c r="H7268" s="5">
        <f>HYPERLINK("https://api.qogita.com/variants/link/0840026656900/", "View Product")</f>
        <v/>
      </c>
    </row>
    <row r="7269">
      <c r="A7269" t="inlineStr">
        <is>
          <t>0840026656917</t>
        </is>
      </c>
      <c r="B7269" t="inlineStr">
        <is>
          <t>Fenty Beauty Pro Filt'r Soft Matte Foundation Mini - 12 Ml</t>
        </is>
      </c>
      <c r="C7269" t="inlineStr">
        <is>
          <t>Foundation</t>
        </is>
      </c>
      <c r="D7269" t="inlineStr">
        <is>
          <t>Fenty Beauty by Rihanna</t>
        </is>
      </c>
      <c r="E7269" t="n">
        <v>16.73</v>
      </c>
      <c r="F7269" t="n">
        <v>1</v>
      </c>
      <c r="G7269" t="n">
        <v>19</v>
      </c>
      <c r="H7269" s="5">
        <f>HYPERLINK("https://api.qogita.com/variants/link/0840026656917/", "View Product")</f>
        <v/>
      </c>
    </row>
    <row r="7270">
      <c r="A7270" t="inlineStr">
        <is>
          <t>0840026656924</t>
        </is>
      </c>
      <c r="B7270" t="inlineStr">
        <is>
          <t>Fenty Beauty Mattifying Makeup Pro Filt'r Soft Matte Foundation Mini - 12 Ml</t>
        </is>
      </c>
      <c r="C7270" t="inlineStr">
        <is>
          <t>Foundation</t>
        </is>
      </c>
      <c r="D7270" t="inlineStr">
        <is>
          <t>Fenty Beauty by Rihanna</t>
        </is>
      </c>
      <c r="E7270" t="n">
        <v>16.73</v>
      </c>
      <c r="F7270" t="n">
        <v>1</v>
      </c>
      <c r="G7270" t="n">
        <v>19</v>
      </c>
      <c r="H7270" s="5">
        <f>HYPERLINK("https://api.qogita.com/variants/link/0840026656924/", "View Product")</f>
        <v/>
      </c>
    </row>
    <row r="7271">
      <c r="A7271" t="inlineStr">
        <is>
          <t>0840026656993</t>
        </is>
      </c>
      <c r="B7271" t="inlineStr">
        <is>
          <t>Fenty Beauty Mattifying Makeup Pro Filt'r Soft Matte Foundation Mini - 12 Ml</t>
        </is>
      </c>
      <c r="C7271" t="inlineStr">
        <is>
          <t>Foundation</t>
        </is>
      </c>
      <c r="D7271" t="inlineStr">
        <is>
          <t>Fenty Beauty by Rihanna</t>
        </is>
      </c>
      <c r="E7271" t="n">
        <v>16.73</v>
      </c>
      <c r="F7271" t="n">
        <v>1</v>
      </c>
      <c r="G7271" t="n">
        <v>14</v>
      </c>
      <c r="H7271" s="5">
        <f>HYPERLINK("https://api.qogita.com/variants/link/0840026656993/", "View Product")</f>
        <v/>
      </c>
    </row>
    <row r="7272">
      <c r="A7272" t="inlineStr">
        <is>
          <t>0840026657013</t>
        </is>
      </c>
      <c r="B7272" t="inlineStr">
        <is>
          <t>Fenty Beauty Mattifying Makeup Pro Filt'r Soft Matte Foundation Mini - 12 Ml</t>
        </is>
      </c>
      <c r="C7272" t="inlineStr">
        <is>
          <t>Foundation</t>
        </is>
      </c>
      <c r="D7272" t="inlineStr">
        <is>
          <t>Fenty Beauty by Rihanna</t>
        </is>
      </c>
      <c r="E7272" t="n">
        <v>16.73</v>
      </c>
      <c r="F7272" t="n">
        <v>1</v>
      </c>
      <c r="G7272" t="n">
        <v>14</v>
      </c>
      <c r="H7272" s="5">
        <f>HYPERLINK("https://api.qogita.com/variants/link/0840026657013/", "View Product")</f>
        <v/>
      </c>
    </row>
    <row r="7273">
      <c r="A7273" t="inlineStr">
        <is>
          <t>0840026661102</t>
        </is>
      </c>
      <c r="B7273" t="inlineStr">
        <is>
          <t>Fenty Beauty Rihannabday Matte Black Refillable Lipstick Case</t>
        </is>
      </c>
      <c r="C7273" t="inlineStr">
        <is>
          <t>Lipstick</t>
        </is>
      </c>
      <c r="D7273" t="inlineStr">
        <is>
          <t>Fenty Beauty by Rihanna</t>
        </is>
      </c>
      <c r="E7273" t="n">
        <v>19</v>
      </c>
      <c r="F7273" t="n">
        <v>1</v>
      </c>
      <c r="G7273" t="n">
        <v>27</v>
      </c>
      <c r="H7273" s="5">
        <f>HYPERLINK("https://api.qogita.com/variants/link/0840026661102/", "View Product")</f>
        <v/>
      </c>
    </row>
    <row r="7274">
      <c r="A7274" t="inlineStr">
        <is>
          <t>0840026663939</t>
        </is>
      </c>
      <c r="B7274" t="inlineStr">
        <is>
          <t>Fenty Beauty Match Stix Shimmer Skinstick Sinamon</t>
        </is>
      </c>
      <c r="C7274" t="inlineStr">
        <is>
          <t>Color Corrector</t>
        </is>
      </c>
      <c r="D7274" t="inlineStr">
        <is>
          <t>Fenty Beauty by Rihanna</t>
        </is>
      </c>
      <c r="E7274" t="n">
        <v>23.93</v>
      </c>
      <c r="F7274" t="n">
        <v>1</v>
      </c>
      <c r="G7274" t="n">
        <v>9</v>
      </c>
      <c r="H7274" s="5">
        <f>HYPERLINK("https://api.qogita.com/variants/link/0840026663939/", "View Product")</f>
        <v/>
      </c>
    </row>
    <row r="7275">
      <c r="A7275" t="inlineStr">
        <is>
          <t>0840026663946</t>
        </is>
      </c>
      <c r="B7275" t="inlineStr">
        <is>
          <t>Match Stix Shimmer Skinstick Confetti Iridescent Opal</t>
        </is>
      </c>
      <c r="C7275" t="inlineStr">
        <is>
          <t>Color Corrector</t>
        </is>
      </c>
      <c r="D7275" t="inlineStr">
        <is>
          <t>Fenty Beauty by Rihanna</t>
        </is>
      </c>
      <c r="E7275" t="n">
        <v>23.97</v>
      </c>
      <c r="F7275" t="n">
        <v>1</v>
      </c>
      <c r="G7275" t="n">
        <v>4</v>
      </c>
      <c r="H7275" s="5">
        <f>HYPERLINK("https://api.qogita.com/variants/link/0840026663946/", "View Product")</f>
        <v/>
      </c>
    </row>
    <row r="7276">
      <c r="A7276" t="inlineStr">
        <is>
          <t>0840026666442</t>
        </is>
      </c>
      <c r="B7276" t="inlineStr">
        <is>
          <t>Fenty Beauty Eaze Drop Blur + Smooth Tint Stick 9 G</t>
        </is>
      </c>
      <c r="C7276" t="inlineStr">
        <is>
          <t>Foundation</t>
        </is>
      </c>
      <c r="D7276" t="inlineStr">
        <is>
          <t>Fenty Beauty by Rihanna</t>
        </is>
      </c>
      <c r="E7276" t="n">
        <v>31.46</v>
      </c>
      <c r="F7276" t="n">
        <v>1</v>
      </c>
      <c r="G7276" t="n">
        <v>23</v>
      </c>
      <c r="H7276" s="5">
        <f>HYPERLINK("https://api.qogita.com/variants/link/0840026666442/", "View Product")</f>
        <v/>
      </c>
    </row>
    <row r="7277">
      <c r="A7277" t="inlineStr">
        <is>
          <t>0840026666565</t>
        </is>
      </c>
      <c r="B7277" t="inlineStr">
        <is>
          <t>Fenty Beauty Eaze Drop Blur + Smooth Tint Stick 9 G</t>
        </is>
      </c>
      <c r="C7277" t="inlineStr">
        <is>
          <t>Foundation</t>
        </is>
      </c>
      <c r="D7277" t="inlineStr">
        <is>
          <t>Fenty Beauty by Rihanna</t>
        </is>
      </c>
      <c r="E7277" t="n">
        <v>31.46</v>
      </c>
      <c r="F7277" t="n">
        <v>1</v>
      </c>
      <c r="G7277" t="n">
        <v>26</v>
      </c>
      <c r="H7277" s="5">
        <f>HYPERLINK("https://api.qogita.com/variants/link/0840026666565/", "View Product")</f>
        <v/>
      </c>
    </row>
    <row r="7278">
      <c r="A7278" t="inlineStr">
        <is>
          <t>0840026666589</t>
        </is>
      </c>
      <c r="B7278" t="inlineStr">
        <is>
          <t>Fenty Beauty Eaze Drop Blur + Smooth Tint Stick - 9 G</t>
        </is>
      </c>
      <c r="C7278" t="inlineStr">
        <is>
          <t>Foundation</t>
        </is>
      </c>
      <c r="D7278" t="inlineStr">
        <is>
          <t>Fenty Beauty by Rihanna</t>
        </is>
      </c>
      <c r="E7278" t="n">
        <v>31.46</v>
      </c>
      <c r="F7278" t="n">
        <v>1</v>
      </c>
      <c r="G7278" t="n">
        <v>27</v>
      </c>
      <c r="H7278" s="5">
        <f>HYPERLINK("https://api.qogita.com/variants/link/0840026666589/", "View Product")</f>
        <v/>
      </c>
    </row>
    <row r="7279">
      <c r="A7279" t="inlineStr">
        <is>
          <t>0840026666596</t>
        </is>
      </c>
      <c r="B7279" t="inlineStr">
        <is>
          <t>Fenty Beauty Eaze Drop Blur + Smooth Tint Stick 9 G</t>
        </is>
      </c>
      <c r="C7279" t="inlineStr">
        <is>
          <t>Foundation</t>
        </is>
      </c>
      <c r="D7279" t="inlineStr">
        <is>
          <t>Fenty Beauty by Rihanna</t>
        </is>
      </c>
      <c r="E7279" t="n">
        <v>31.46</v>
      </c>
      <c r="F7279" t="n">
        <v>1</v>
      </c>
      <c r="G7279" t="n">
        <v>23</v>
      </c>
      <c r="H7279" s="5">
        <f>HYPERLINK("https://api.qogita.com/variants/link/0840026666596/", "View Product")</f>
        <v/>
      </c>
    </row>
    <row r="7280">
      <c r="A7280" t="inlineStr">
        <is>
          <t>0840026666763</t>
        </is>
      </c>
      <c r="B7280" t="inlineStr">
        <is>
          <t>Fenty Beauty Demi`Glow Highlighter 4.5 G</t>
        </is>
      </c>
      <c r="C7280" t="inlineStr">
        <is>
          <t>Highlighter</t>
        </is>
      </c>
      <c r="D7280" t="inlineStr">
        <is>
          <t>Fenty Beauty by Rihanna</t>
        </is>
      </c>
      <c r="E7280" t="n">
        <v>38.02</v>
      </c>
      <c r="F7280" t="n">
        <v>1</v>
      </c>
      <c r="G7280" t="n">
        <v>15</v>
      </c>
      <c r="H7280" s="5">
        <f>HYPERLINK("https://api.qogita.com/variants/link/0840026666763/", "View Product")</f>
        <v/>
      </c>
    </row>
    <row r="7281">
      <c r="A7281" t="inlineStr">
        <is>
          <t>0840026666794</t>
        </is>
      </c>
      <c r="B7281" t="inlineStr">
        <is>
          <t>Fenty Beauty Demi`Glow Highlighter - 4.5 G</t>
        </is>
      </c>
      <c r="C7281" t="inlineStr">
        <is>
          <t>Highlighter</t>
        </is>
      </c>
      <c r="D7281" t="inlineStr">
        <is>
          <t>Fenty Beauty by Rihanna</t>
        </is>
      </c>
      <c r="E7281" t="n">
        <v>38.02</v>
      </c>
      <c r="F7281" t="n">
        <v>1</v>
      </c>
      <c r="G7281" t="n">
        <v>19</v>
      </c>
      <c r="H7281" s="5">
        <f>HYPERLINK("https://api.qogita.com/variants/link/0840026666794/", "View Product")</f>
        <v/>
      </c>
    </row>
    <row r="7282">
      <c r="A7282" t="inlineStr">
        <is>
          <t>0840026670883</t>
        </is>
      </c>
      <c r="B7282" t="inlineStr">
        <is>
          <t>Fenty Beauty Demi Glow Highlighter - 4.5 G</t>
        </is>
      </c>
      <c r="C7282" t="inlineStr">
        <is>
          <t>Highlighter</t>
        </is>
      </c>
      <c r="D7282" t="inlineStr">
        <is>
          <t>Fenty Beauty by Rihanna</t>
        </is>
      </c>
      <c r="E7282" t="n">
        <v>38.02</v>
      </c>
      <c r="F7282" t="n">
        <v>1</v>
      </c>
      <c r="G7282" t="n">
        <v>22</v>
      </c>
      <c r="H7282" s="5">
        <f>HYPERLINK("https://api.qogita.com/variants/link/0840026670883/", "View Product")</f>
        <v/>
      </c>
    </row>
    <row r="7283">
      <c r="A7283" t="inlineStr">
        <is>
          <t>0840035216539</t>
        </is>
      </c>
      <c r="B7283" t="inlineStr">
        <is>
          <t>Oribe Straight Away Smoothing Blowout Cream 150ml</t>
        </is>
      </c>
      <c r="C7283" t="inlineStr">
        <is>
          <t>Styling Creams</t>
        </is>
      </c>
      <c r="D7283" t="inlineStr">
        <is>
          <t>Oribe</t>
        </is>
      </c>
      <c r="E7283" t="n">
        <v>48.66</v>
      </c>
      <c r="F7283" t="n">
        <v>1</v>
      </c>
      <c r="G7283" t="n">
        <v>4</v>
      </c>
      <c r="H7283" s="5">
        <f>HYPERLINK("https://api.qogita.com/variants/link/0840035216539/", "View Product")</f>
        <v/>
      </c>
    </row>
    <row r="7284">
      <c r="A7284" t="inlineStr">
        <is>
          <t>0840216930315</t>
        </is>
      </c>
      <c r="B7284" t="inlineStr">
        <is>
          <t>Living Proof No Frizz Conditioner Smooths Frizz Silicone Free Paraben Free Vegan</t>
        </is>
      </c>
      <c r="C7284" t="inlineStr">
        <is>
          <t>Conditioner</t>
        </is>
      </c>
      <c r="D7284" t="inlineStr">
        <is>
          <t>Living Proof</t>
        </is>
      </c>
      <c r="E7284" t="n">
        <v>28.8</v>
      </c>
      <c r="F7284" t="n">
        <v>1</v>
      </c>
      <c r="G7284" t="n">
        <v>5</v>
      </c>
      <c r="H7284" s="5">
        <f>HYPERLINK("https://api.qogita.com/variants/link/0840216930315/", "View Product")</f>
        <v/>
      </c>
    </row>
    <row r="7285">
      <c r="A7285" t="inlineStr">
        <is>
          <t>0840216930339</t>
        </is>
      </c>
      <c r="B7285" t="inlineStr">
        <is>
          <t>Living Proof No Frizz Conditioner 60ml for All Hair Types</t>
        </is>
      </c>
      <c r="C7285" t="inlineStr">
        <is>
          <t>Conditioner</t>
        </is>
      </c>
      <c r="D7285" t="inlineStr">
        <is>
          <t>Living Proof</t>
        </is>
      </c>
      <c r="E7285" t="n">
        <v>14.43</v>
      </c>
      <c r="F7285" t="n">
        <v>1</v>
      </c>
      <c r="G7285" t="n">
        <v>3</v>
      </c>
      <c r="H7285" s="5">
        <f>HYPERLINK("https://api.qogita.com/variants/link/0840216930339/", "View Product")</f>
        <v/>
      </c>
    </row>
    <row r="7286">
      <c r="A7286" t="inlineStr">
        <is>
          <t>0840216930636</t>
        </is>
      </c>
      <c r="B7286" t="inlineStr">
        <is>
          <t>Living Proof PhD Conditioner Travel Size 60ml</t>
        </is>
      </c>
      <c r="C7286" t="inlineStr">
        <is>
          <t>Conditioner</t>
        </is>
      </c>
      <c r="D7286" t="inlineStr">
        <is>
          <t>Living Proof</t>
        </is>
      </c>
      <c r="E7286" t="n">
        <v>14.43</v>
      </c>
      <c r="F7286" t="n">
        <v>1</v>
      </c>
      <c r="G7286" t="n">
        <v>5</v>
      </c>
      <c r="H7286" s="5">
        <f>HYPERLINK("https://api.qogita.com/variants/link/0840216930636/", "View Product")</f>
        <v/>
      </c>
    </row>
    <row r="7287">
      <c r="A7287" t="inlineStr">
        <is>
          <t>0840216931084</t>
        </is>
      </c>
      <c r="B7287" t="inlineStr">
        <is>
          <t>Living Proof No Frizz Vanishing Oil for Smooth and Shiny 50ml</t>
        </is>
      </c>
      <c r="C7287" t="inlineStr">
        <is>
          <t>Hair Oil &amp; Hair Serum</t>
        </is>
      </c>
      <c r="D7287" t="inlineStr">
        <is>
          <t>Living Proof</t>
        </is>
      </c>
      <c r="E7287" t="n">
        <v>27.9</v>
      </c>
      <c r="F7287" t="n">
        <v>1</v>
      </c>
      <c r="G7287" t="n">
        <v>5</v>
      </c>
      <c r="H7287" s="5">
        <f>HYPERLINK("https://api.qogita.com/variants/link/0840216931084/", "View Product")</f>
        <v/>
      </c>
    </row>
    <row r="7288">
      <c r="A7288" t="inlineStr">
        <is>
          <t>0840356501369</t>
        </is>
      </c>
      <c r="B7288" t="inlineStr">
        <is>
          <t>Strivectin Rejuvenating Skin Cream Peptide Plump Collagen Cushion Cream 50 Ml</t>
        </is>
      </c>
      <c r="C7288" t="inlineStr">
        <is>
          <t>Face Cream</t>
        </is>
      </c>
      <c r="D7288" t="inlineStr">
        <is>
          <t>Strivectin</t>
        </is>
      </c>
      <c r="E7288" t="n">
        <v>32.46</v>
      </c>
      <c r="F7288" t="n">
        <v>1</v>
      </c>
      <c r="G7288" t="n">
        <v>6</v>
      </c>
      <c r="H7288" s="5">
        <f>HYPERLINK("https://api.qogita.com/variants/link/0840356501369/", "View Product")</f>
        <v/>
      </c>
    </row>
    <row r="7289">
      <c r="A7289" t="inlineStr">
        <is>
          <t>0840797116221</t>
        </is>
      </c>
      <c r="B7289" t="inlineStr">
        <is>
          <t>Wildbloom by Banana Republic Eau de Parfum Spray 100ml</t>
        </is>
      </c>
      <c r="C7289" t="inlineStr">
        <is>
          <t>Eau De Parfum</t>
        </is>
      </c>
      <c r="D7289" t="inlineStr">
        <is>
          <t>Banana Republic</t>
        </is>
      </c>
      <c r="E7289" t="n">
        <v>16.28</v>
      </c>
      <c r="F7289" t="n">
        <v>1</v>
      </c>
      <c r="G7289" t="n">
        <v>2</v>
      </c>
      <c r="H7289" s="5">
        <f>HYPERLINK("https://api.qogita.com/variants/link/0840797116221/", "View Product")</f>
        <v/>
      </c>
    </row>
    <row r="7290">
      <c r="A7290" t="inlineStr">
        <is>
          <t>0840797116283</t>
        </is>
      </c>
      <c r="B7290" t="inlineStr">
        <is>
          <t>Color Wow Extra Shine Gloss Spray Anti-Frizz Hair Spray 162ml</t>
        </is>
      </c>
      <c r="C7290" t="inlineStr">
        <is>
          <t>Hairspray</t>
        </is>
      </c>
      <c r="D7290" t="inlineStr">
        <is>
          <t>Color Wow</t>
        </is>
      </c>
      <c r="E7290" t="n">
        <v>17.81</v>
      </c>
      <c r="F7290" t="n">
        <v>1</v>
      </c>
      <c r="G7290" t="n">
        <v>7</v>
      </c>
      <c r="H7290" s="5">
        <f>HYPERLINK("https://api.qogita.com/variants/link/0840797116283/", "View Product")</f>
        <v/>
      </c>
    </row>
    <row r="7291">
      <c r="A7291" t="inlineStr">
        <is>
          <t>0840797116429</t>
        </is>
      </c>
      <c r="B7291" t="inlineStr">
        <is>
          <t>Banana Republic Black Platinum Eau De Parfum Unisex Fragrance 75ml Spray</t>
        </is>
      </c>
      <c r="C7291" t="inlineStr">
        <is>
          <t>Eau De Parfum</t>
        </is>
      </c>
      <c r="D7291" t="inlineStr">
        <is>
          <t>Banana Republic</t>
        </is>
      </c>
      <c r="E7291" t="n">
        <v>17.6</v>
      </c>
      <c r="F7291" t="n">
        <v>1</v>
      </c>
      <c r="G7291" t="n">
        <v>4</v>
      </c>
      <c r="H7291" s="5">
        <f>HYPERLINK("https://api.qogita.com/variants/link/0840797116429/", "View Product")</f>
        <v/>
      </c>
    </row>
    <row r="7292">
      <c r="A7292" t="inlineStr">
        <is>
          <t>0840797116481</t>
        </is>
      </c>
      <c r="B7292" t="inlineStr">
        <is>
          <t>BANANA REPUBLIC 17 Oud Mosaic Eau De Parfum for Women 75ml Spray</t>
        </is>
      </c>
      <c r="C7292" t="inlineStr">
        <is>
          <t>Eau De Parfum</t>
        </is>
      </c>
      <c r="D7292" t="inlineStr">
        <is>
          <t>Banana Republic</t>
        </is>
      </c>
      <c r="E7292" t="n">
        <v>21.79</v>
      </c>
      <c r="F7292" t="n">
        <v>1</v>
      </c>
      <c r="G7292" t="n">
        <v>5</v>
      </c>
      <c r="H7292" s="5">
        <f>HYPERLINK("https://api.qogita.com/variants/link/0840797116481/", "View Product")</f>
        <v/>
      </c>
    </row>
    <row r="7293">
      <c r="A7293" t="inlineStr">
        <is>
          <t>0840797126282</t>
        </is>
      </c>
      <c r="B7293" t="inlineStr">
        <is>
          <t>BANANA REPUBLIC Peony and Peppercorn Eau De Parfum for Women 75ml Spray</t>
        </is>
      </c>
      <c r="C7293" t="inlineStr">
        <is>
          <t>Eau De Parfum</t>
        </is>
      </c>
      <c r="D7293" t="inlineStr">
        <is>
          <t>Banana Republic</t>
        </is>
      </c>
      <c r="E7293" t="n">
        <v>19.52</v>
      </c>
      <c r="F7293" t="n">
        <v>1</v>
      </c>
      <c r="G7293" t="n">
        <v>22</v>
      </c>
      <c r="H7293" s="5">
        <f>HYPERLINK("https://api.qogita.com/variants/link/0840797126282/", "View Product")</f>
        <v/>
      </c>
    </row>
    <row r="7294">
      <c r="A7294" t="inlineStr">
        <is>
          <t>0840797134096</t>
        </is>
      </c>
      <c r="B7294" t="inlineStr">
        <is>
          <t>Banana Republic Classic Green Unisex EDP Spray 4.2 oz</t>
        </is>
      </c>
      <c r="C7294" t="inlineStr">
        <is>
          <t>Eau De Parfum</t>
        </is>
      </c>
      <c r="D7294" t="inlineStr">
        <is>
          <t>Banana Republic</t>
        </is>
      </c>
      <c r="E7294" t="n">
        <v>16.54</v>
      </c>
      <c r="F7294" t="n">
        <v>1</v>
      </c>
      <c r="G7294" t="n">
        <v>11</v>
      </c>
      <c r="H7294" s="5">
        <f>HYPERLINK("https://api.qogita.com/variants/link/0840797134096/", "View Product")</f>
        <v/>
      </c>
    </row>
    <row r="7295">
      <c r="A7295" t="inlineStr">
        <is>
          <t>0840797134119</t>
        </is>
      </c>
      <c r="B7295" t="inlineStr">
        <is>
          <t>Banana Republic Classic Citrus Unisex EDP Spray 4.2 oz</t>
        </is>
      </c>
      <c r="C7295" t="inlineStr">
        <is>
          <t>Eau De Parfum</t>
        </is>
      </c>
      <c r="D7295" t="inlineStr">
        <is>
          <t>Banana Republic</t>
        </is>
      </c>
      <c r="E7295" t="n">
        <v>15.86</v>
      </c>
      <c r="F7295" t="n">
        <v>1</v>
      </c>
      <c r="G7295" t="n">
        <v>46</v>
      </c>
      <c r="H7295" s="5">
        <f>HYPERLINK("https://api.qogita.com/variants/link/0840797134119/", "View Product")</f>
        <v/>
      </c>
    </row>
    <row r="7296">
      <c r="A7296" t="inlineStr">
        <is>
          <t>0841317000020</t>
        </is>
      </c>
      <c r="B7296" t="inlineStr">
        <is>
          <t>Histoires De Parfums 1826 Women EDP 120ml</t>
        </is>
      </c>
      <c r="C7296" t="inlineStr">
        <is>
          <t>Eau De Parfum</t>
        </is>
      </c>
      <c r="D7296" t="inlineStr">
        <is>
          <t>Histoires De Parfums</t>
        </is>
      </c>
      <c r="E7296" t="n">
        <v>82.06</v>
      </c>
      <c r="F7296" t="n">
        <v>1</v>
      </c>
      <c r="G7296" t="n">
        <v>2</v>
      </c>
      <c r="H7296" s="5">
        <f>HYPERLINK("https://api.qogita.com/variants/link/0841317000020/", "View Product")</f>
        <v/>
      </c>
    </row>
    <row r="7297">
      <c r="A7297" t="inlineStr">
        <is>
          <t>0841317000181</t>
        </is>
      </c>
      <c r="B7297" t="inlineStr">
        <is>
          <t>Histoire De Parfums Hist De Parf 1899 Eau De Parfum Vapo 120ml</t>
        </is>
      </c>
      <c r="C7297" t="inlineStr">
        <is>
          <t>Eau De Parfum</t>
        </is>
      </c>
      <c r="D7297" t="inlineStr">
        <is>
          <t>Histoires De Parfums</t>
        </is>
      </c>
      <c r="E7297" t="n">
        <v>98.61</v>
      </c>
      <c r="F7297" t="n">
        <v>1</v>
      </c>
      <c r="G7297" t="n">
        <v>4</v>
      </c>
      <c r="H7297" s="5">
        <f>HYPERLINK("https://api.qogita.com/variants/link/0841317000181/", "View Product")</f>
        <v/>
      </c>
    </row>
    <row r="7298">
      <c r="A7298" t="inlineStr">
        <is>
          <t>0841317000266</t>
        </is>
      </c>
      <c r="B7298" t="inlineStr">
        <is>
          <t>Histoires De Parfums 1472 Eau de Parfum Spray 4 oz</t>
        </is>
      </c>
      <c r="C7298" t="inlineStr">
        <is>
          <t>Eau De Parfum</t>
        </is>
      </c>
      <c r="D7298" t="inlineStr">
        <is>
          <t>Histoires De Parfums</t>
        </is>
      </c>
      <c r="E7298" t="n">
        <v>67.09999999999999</v>
      </c>
      <c r="F7298" t="n">
        <v>1</v>
      </c>
      <c r="G7298" t="n">
        <v>3</v>
      </c>
      <c r="H7298" s="5">
        <f>HYPERLINK("https://api.qogita.com/variants/link/0841317000266/", "View Product")</f>
        <v/>
      </c>
    </row>
    <row r="7299">
      <c r="A7299" t="inlineStr">
        <is>
          <t>0841317001027</t>
        </is>
      </c>
      <c r="B7299" t="inlineStr">
        <is>
          <t>Histoires De Parfums 1826 Woman EDP 60ml</t>
        </is>
      </c>
      <c r="C7299" t="inlineStr">
        <is>
          <t>Eau De Parfum</t>
        </is>
      </c>
      <c r="D7299" t="inlineStr">
        <is>
          <t>Histoire De Parfums</t>
        </is>
      </c>
      <c r="E7299" t="n">
        <v>48.18</v>
      </c>
      <c r="F7299" t="n">
        <v>1</v>
      </c>
      <c r="G7299" t="n">
        <v>18</v>
      </c>
      <c r="H7299" s="5">
        <f>HYPERLINK("https://api.qogita.com/variants/link/0841317001027/", "View Product")</f>
        <v/>
      </c>
    </row>
    <row r="7300">
      <c r="A7300" t="inlineStr">
        <is>
          <t>0841317001102</t>
        </is>
      </c>
      <c r="B7300" t="inlineStr">
        <is>
          <t>Histoires De Parfums 1740 Eau De Parfum 60ml</t>
        </is>
      </c>
      <c r="C7300" t="inlineStr">
        <is>
          <t>Eau De Parfum</t>
        </is>
      </c>
      <c r="D7300" t="inlineStr">
        <is>
          <t>Histoire De Parfums</t>
        </is>
      </c>
      <c r="E7300" t="n">
        <v>53.76</v>
      </c>
      <c r="F7300" t="n">
        <v>1</v>
      </c>
      <c r="G7300" t="n">
        <v>8</v>
      </c>
      <c r="H7300" s="5">
        <f>HYPERLINK("https://api.qogita.com/variants/link/0841317001102/", "View Product")</f>
        <v/>
      </c>
    </row>
    <row r="7301">
      <c r="A7301" t="inlineStr">
        <is>
          <t>0841317001164</t>
        </is>
      </c>
      <c r="B7301" t="inlineStr">
        <is>
          <t>Histoires De Parfums Novels 1889 Moulin Rouge 60ml</t>
        </is>
      </c>
      <c r="C7301" t="inlineStr">
        <is>
          <t>Eau De Parfum</t>
        </is>
      </c>
      <c r="D7301" t="inlineStr">
        <is>
          <t>Histoires De Parfums</t>
        </is>
      </c>
      <c r="E7301" t="n">
        <v>62.68</v>
      </c>
      <c r="F7301" t="n">
        <v>1</v>
      </c>
      <c r="G7301" t="n">
        <v>14</v>
      </c>
      <c r="H7301" s="5">
        <f>HYPERLINK("https://api.qogita.com/variants/link/0841317001164/", "View Product")</f>
        <v/>
      </c>
    </row>
    <row r="7302">
      <c r="A7302" t="inlineStr">
        <is>
          <t>0841317002529</t>
        </is>
      </c>
      <c r="B7302" t="inlineStr">
        <is>
          <t>Histoires De Parfums This Is Not A Blue Bottle 1.1 Unisex EDP 60ml</t>
        </is>
      </c>
      <c r="C7302" t="inlineStr">
        <is>
          <t>Eau De Parfum</t>
        </is>
      </c>
      <c r="D7302" t="inlineStr">
        <is>
          <t>Histoire De Parfums</t>
        </is>
      </c>
      <c r="E7302" t="n">
        <v>53.76</v>
      </c>
      <c r="F7302" t="n">
        <v>1</v>
      </c>
      <c r="G7302" t="n">
        <v>11</v>
      </c>
      <c r="H7302" s="5">
        <f>HYPERLINK("https://api.qogita.com/variants/link/0841317002529/", "View Product")</f>
        <v/>
      </c>
    </row>
    <row r="7303">
      <c r="A7303" t="inlineStr">
        <is>
          <t>0841317002574</t>
        </is>
      </c>
      <c r="B7303" t="inlineStr">
        <is>
          <t>Histoires De Parfums This Is Not A Blue Bottle 1.2 Unisex EDP 60ml</t>
        </is>
      </c>
      <c r="C7303" t="inlineStr">
        <is>
          <t>Eau De Parfum</t>
        </is>
      </c>
      <c r="D7303" t="inlineStr">
        <is>
          <t>Histoire De Parfums</t>
        </is>
      </c>
      <c r="E7303" t="n">
        <v>52.57</v>
      </c>
      <c r="F7303" t="n">
        <v>1</v>
      </c>
      <c r="G7303" t="n">
        <v>5</v>
      </c>
      <c r="H7303" s="5">
        <f>HYPERLINK("https://api.qogita.com/variants/link/0841317002574/", "View Product")</f>
        <v/>
      </c>
    </row>
    <row r="7304">
      <c r="A7304" t="inlineStr">
        <is>
          <t>0841317003380</t>
        </is>
      </c>
      <c r="B7304" t="inlineStr">
        <is>
          <t>Histoires de Parfums Edition Rare Rosam 15ml</t>
        </is>
      </c>
      <c r="C7304" t="inlineStr">
        <is>
          <t>Eau De Parfum</t>
        </is>
      </c>
      <c r="D7304" t="inlineStr">
        <is>
          <t>Histoires De Parfums</t>
        </is>
      </c>
      <c r="E7304" t="n">
        <v>24.39</v>
      </c>
      <c r="F7304" t="n">
        <v>1</v>
      </c>
      <c r="G7304" t="n">
        <v>22</v>
      </c>
      <c r="H7304" s="5">
        <f>HYPERLINK("https://api.qogita.com/variants/link/0841317003380/", "View Product")</f>
        <v/>
      </c>
    </row>
    <row r="7305">
      <c r="A7305" t="inlineStr">
        <is>
          <t>0843445024602</t>
        </is>
      </c>
      <c r="B7305" t="inlineStr">
        <is>
          <t>Plumbeauty Rose Quartz Facial Roller</t>
        </is>
      </c>
      <c r="C7305" t="inlineStr">
        <is>
          <t>Facial Massage</t>
        </is>
      </c>
      <c r="D7305" t="inlineStr">
        <is>
          <t>Plum Beauty</t>
        </is>
      </c>
      <c r="E7305" t="n">
        <v>14.8</v>
      </c>
      <c r="F7305" t="n">
        <v>1</v>
      </c>
      <c r="G7305" t="n">
        <v>3</v>
      </c>
      <c r="H7305" s="5">
        <f>HYPERLINK("https://api.qogita.com/variants/link/0843445024602/", "View Product")</f>
        <v/>
      </c>
    </row>
    <row r="7306">
      <c r="A7306" t="inlineStr">
        <is>
          <t>0843445026200</t>
        </is>
      </c>
      <c r="B7306" t="inlineStr">
        <is>
          <t>Plumbeauty Cooling Facial Roller</t>
        </is>
      </c>
      <c r="C7306" t="inlineStr">
        <is>
          <t>Facial Massage</t>
        </is>
      </c>
      <c r="D7306" t="inlineStr">
        <is>
          <t>Plum Beauty</t>
        </is>
      </c>
      <c r="E7306" t="n">
        <v>11.12</v>
      </c>
      <c r="F7306" t="n">
        <v>1</v>
      </c>
      <c r="G7306" t="n">
        <v>2</v>
      </c>
      <c r="H7306" s="5">
        <f>HYPERLINK("https://api.qogita.com/variants/link/0843445026200/", "View Product")</f>
        <v/>
      </c>
    </row>
    <row r="7307">
      <c r="A7307" t="inlineStr">
        <is>
          <t>0843445027252</t>
        </is>
      </c>
      <c r="B7307" t="inlineStr">
        <is>
          <t>Plumbeauty Facial Shaping Razors - 3 Pieces</t>
        </is>
      </c>
      <c r="C7307" t="inlineStr">
        <is>
          <t>Tweezers</t>
        </is>
      </c>
      <c r="D7307" t="inlineStr">
        <is>
          <t>Plum Beauty</t>
        </is>
      </c>
      <c r="E7307" t="n">
        <v>7.95</v>
      </c>
      <c r="F7307" t="n">
        <v>1</v>
      </c>
      <c r="G7307" t="n">
        <v>4</v>
      </c>
      <c r="H7307" s="5">
        <f>HYPERLINK("https://api.qogita.com/variants/link/0843445027252/", "View Product")</f>
        <v/>
      </c>
    </row>
    <row r="7308">
      <c r="A7308" t="inlineStr">
        <is>
          <t>0844061000612</t>
        </is>
      </c>
      <c r="B7308" t="inlineStr">
        <is>
          <t>Perry Ellis 360 for Men 3.4 Fl Oz</t>
        </is>
      </c>
      <c r="C7308" t="inlineStr">
        <is>
          <t>Eau De Toilette</t>
        </is>
      </c>
      <c r="D7308" t="inlineStr">
        <is>
          <t>Perry Ellis</t>
        </is>
      </c>
      <c r="E7308" t="n">
        <v>22.31</v>
      </c>
      <c r="F7308" t="n">
        <v>1</v>
      </c>
      <c r="G7308" t="n">
        <v>17</v>
      </c>
      <c r="H7308" s="5">
        <f>HYPERLINK("https://api.qogita.com/variants/link/0844061000612/", "View Product")</f>
        <v/>
      </c>
    </row>
    <row r="7309">
      <c r="A7309" t="inlineStr">
        <is>
          <t>0844061002302</t>
        </is>
      </c>
      <c r="B7309" t="inlineStr">
        <is>
          <t>Perry Ellis 360 Red for Men Eau De Toilette Spray Cologne Fragrance 200ml 6.8oz</t>
        </is>
      </c>
      <c r="C7309" t="inlineStr">
        <is>
          <t>Eau De Toilette</t>
        </is>
      </c>
      <c r="D7309" t="inlineStr">
        <is>
          <t>Perry Ellis</t>
        </is>
      </c>
      <c r="E7309" t="n">
        <v>35.03</v>
      </c>
      <c r="F7309" t="n">
        <v>1</v>
      </c>
      <c r="G7309" t="n">
        <v>14</v>
      </c>
      <c r="H7309" s="5">
        <f>HYPERLINK("https://api.qogita.com/variants/link/0844061002302/", "View Product")</f>
        <v/>
      </c>
    </row>
    <row r="7310">
      <c r="A7310" t="inlineStr">
        <is>
          <t>0844061005105</t>
        </is>
      </c>
      <c r="B7310" t="inlineStr">
        <is>
          <t>Perry Ellis 360 EDP Spray 3.4oz Pink</t>
        </is>
      </c>
      <c r="C7310" t="inlineStr">
        <is>
          <t>Eau De Parfum</t>
        </is>
      </c>
      <c r="D7310" t="inlineStr">
        <is>
          <t>Perry Ellis</t>
        </is>
      </c>
      <c r="E7310" t="n">
        <v>23.63</v>
      </c>
      <c r="F7310" t="n">
        <v>1</v>
      </c>
      <c r="G7310" t="n">
        <v>22</v>
      </c>
      <c r="H7310" s="5">
        <f>HYPERLINK("https://api.qogita.com/variants/link/0844061005105/", "View Product")</f>
        <v/>
      </c>
    </row>
    <row r="7311">
      <c r="A7311" t="inlineStr">
        <is>
          <t>0850004313008</t>
        </is>
      </c>
      <c r="B7311" t="inlineStr">
        <is>
          <t>Reuzel Wood and Spice Aftershave - Easy and Hassle-Free Application</t>
        </is>
      </c>
      <c r="C7311" t="inlineStr">
        <is>
          <t>Aftershave</t>
        </is>
      </c>
      <c r="D7311" t="inlineStr">
        <is>
          <t>Reuzel</t>
        </is>
      </c>
      <c r="E7311" t="n">
        <v>12.13</v>
      </c>
      <c r="F7311" t="n">
        <v>1</v>
      </c>
      <c r="G7311" t="n">
        <v>9</v>
      </c>
      <c r="H7311" s="5">
        <f>HYPERLINK("https://api.qogita.com/variants/link/0850004313008/", "View Product")</f>
        <v/>
      </c>
    </row>
    <row r="7312">
      <c r="A7312" t="inlineStr">
        <is>
          <t>0850004313886</t>
        </is>
      </c>
      <c r="B7312" t="inlineStr">
        <is>
          <t>Reuzel Fiber Hair Cream for Men Adds Fullness and Structure 100ml</t>
        </is>
      </c>
      <c r="C7312" t="inlineStr">
        <is>
          <t>Styling Creams</t>
        </is>
      </c>
      <c r="D7312" t="inlineStr">
        <is>
          <t>Reuzel</t>
        </is>
      </c>
      <c r="E7312" t="n">
        <v>5.42</v>
      </c>
      <c r="F7312" t="n">
        <v>1</v>
      </c>
      <c r="G7312" t="n">
        <v>7</v>
      </c>
      <c r="H7312" s="5">
        <f>HYPERLINK("https://api.qogita.com/variants/link/0850004313886/", "View Product")</f>
        <v/>
      </c>
    </row>
    <row r="7313">
      <c r="A7313" t="inlineStr">
        <is>
          <t>0850005353324</t>
        </is>
      </c>
      <c r="B7313" t="inlineStr">
        <is>
          <t>Kylie Cosmetics Vitamin C Serum - 20 Ml</t>
        </is>
      </c>
      <c r="C7313" t="inlineStr">
        <is>
          <t>Vitamin Serum</t>
        </is>
      </c>
      <c r="D7313" t="inlineStr">
        <is>
          <t>Kylie Cosmetics</t>
        </is>
      </c>
      <c r="E7313" t="n">
        <v>29.49</v>
      </c>
      <c r="F7313" t="n">
        <v>1</v>
      </c>
      <c r="G7313" t="n">
        <v>2</v>
      </c>
      <c r="H7313" s="5">
        <f>HYPERLINK("https://api.qogita.com/variants/link/0850005353324/", "View Product")</f>
        <v/>
      </c>
    </row>
    <row r="7314">
      <c r="A7314" t="inlineStr">
        <is>
          <t>0850018802451</t>
        </is>
      </c>
      <c r="B7314" t="inlineStr">
        <is>
          <t>Olaplex Bond Maintainance Conditioner Nº5 - 1000ml</t>
        </is>
      </c>
      <c r="C7314" t="inlineStr">
        <is>
          <t>Conditioner</t>
        </is>
      </c>
      <c r="D7314" t="inlineStr">
        <is>
          <t>Olaplex</t>
        </is>
      </c>
      <c r="E7314" t="n">
        <v>49.34</v>
      </c>
      <c r="F7314" t="n">
        <v>1</v>
      </c>
      <c r="G7314" t="n">
        <v>1111</v>
      </c>
      <c r="H7314" s="5">
        <f>HYPERLINK("https://api.qogita.com/variants/link/0850018802451/", "View Product")</f>
        <v/>
      </c>
    </row>
    <row r="7315">
      <c r="A7315" t="inlineStr">
        <is>
          <t>0850018802567</t>
        </is>
      </c>
      <c r="B7315" t="inlineStr">
        <is>
          <t>OLAPLEX No. 4D Clean Volume Detox Dry Shampoo 250ml</t>
        </is>
      </c>
      <c r="C7315" t="inlineStr">
        <is>
          <t>Dry Shampoo</t>
        </is>
      </c>
      <c r="D7315" t="inlineStr">
        <is>
          <t>Olaplex</t>
        </is>
      </c>
      <c r="E7315" t="n">
        <v>17.52</v>
      </c>
      <c r="F7315" t="n">
        <v>1</v>
      </c>
      <c r="G7315" t="n">
        <v>75</v>
      </c>
      <c r="H7315" s="5">
        <f>HYPERLINK("https://api.qogita.com/variants/link/0850018802567/", "View Product")</f>
        <v/>
      </c>
    </row>
    <row r="7316">
      <c r="A7316" t="inlineStr">
        <is>
          <t>0850018802772</t>
        </is>
      </c>
      <c r="B7316" t="inlineStr">
        <is>
          <t>OLAPLEX Blonde Enhancer Toning Shampoo 250ml</t>
        </is>
      </c>
      <c r="C7316" t="inlineStr">
        <is>
          <t>Shampoo</t>
        </is>
      </c>
      <c r="D7316" t="inlineStr">
        <is>
          <t>Olaplex</t>
        </is>
      </c>
      <c r="E7316" t="n">
        <v>16.84</v>
      </c>
      <c r="F7316" t="n">
        <v>1</v>
      </c>
      <c r="G7316" t="n">
        <v>122</v>
      </c>
      <c r="H7316" s="5">
        <f>HYPERLINK("https://api.qogita.com/variants/link/0850018802772/", "View Product")</f>
        <v/>
      </c>
    </row>
    <row r="7317">
      <c r="A7317" t="inlineStr">
        <is>
          <t>0850018802840</t>
        </is>
      </c>
      <c r="B7317" t="inlineStr">
        <is>
          <t>Olaplex No 3 Hair Perfector Treatment for Dry, Damaged Hair</t>
        </is>
      </c>
      <c r="C7317" t="inlineStr">
        <is>
          <t>Hair Masks</t>
        </is>
      </c>
      <c r="D7317" t="inlineStr">
        <is>
          <t>Olaplex</t>
        </is>
      </c>
      <c r="E7317" t="n">
        <v>17.49</v>
      </c>
      <c r="F7317" t="n">
        <v>1</v>
      </c>
      <c r="G7317" t="n">
        <v>45</v>
      </c>
      <c r="H7317" s="5">
        <f>HYPERLINK("https://api.qogita.com/variants/link/0850018802840/", "View Product")</f>
        <v/>
      </c>
    </row>
    <row r="7318">
      <c r="A7318" t="inlineStr">
        <is>
          <t>0850034671215</t>
        </is>
      </c>
      <c r="B7318" t="inlineStr">
        <is>
          <t>Mind Games Scholar's Mate Luxury Perfume with Notes of Cardamom and Bergamot</t>
        </is>
      </c>
      <c r="C7318" t="inlineStr">
        <is>
          <t>Extrait De Parfum</t>
        </is>
      </c>
      <c r="D7318" t="inlineStr">
        <is>
          <t>Mind Games</t>
        </is>
      </c>
      <c r="E7318" t="n">
        <v>183.52</v>
      </c>
      <c r="F7318" t="n">
        <v>1</v>
      </c>
      <c r="G7318" t="n">
        <v>4</v>
      </c>
      <c r="H7318" s="5">
        <f>HYPERLINK("https://api.qogita.com/variants/link/0850034671215/", "View Product")</f>
        <v/>
      </c>
    </row>
    <row r="7319">
      <c r="A7319" t="inlineStr">
        <is>
          <t>0850045076832</t>
        </is>
      </c>
      <c r="B7319" t="inlineStr">
        <is>
          <t>Olaplex No.7 Bonding Oil Deluxe Shine Strengthening UV Protection Heat Protection Frizz Control Detangle 60ml</t>
        </is>
      </c>
      <c r="C7319" t="inlineStr">
        <is>
          <t>Hair Oil &amp; Hair Serum</t>
        </is>
      </c>
      <c r="D7319" t="inlineStr">
        <is>
          <t>Olaplex</t>
        </is>
      </c>
      <c r="E7319" t="n">
        <v>34.24</v>
      </c>
      <c r="F7319" t="n">
        <v>1</v>
      </c>
      <c r="G7319" t="n">
        <v>25</v>
      </c>
      <c r="H7319" s="5">
        <f>HYPERLINK("https://api.qogita.com/variants/link/0850045076832/", "View Product")</f>
        <v/>
      </c>
    </row>
    <row r="7320">
      <c r="A7320" t="inlineStr">
        <is>
          <t>0850049716161</t>
        </is>
      </c>
      <c r="B7320" t="inlineStr">
        <is>
          <t>Michael Kors Pour Homme Eau de Parfum 50ml</t>
        </is>
      </c>
      <c r="C7320" t="inlineStr">
        <is>
          <t>Eau De Parfum</t>
        </is>
      </c>
      <c r="D7320" t="inlineStr">
        <is>
          <t>Michael Kors</t>
        </is>
      </c>
      <c r="E7320" t="n">
        <v>34.9</v>
      </c>
      <c r="F7320" t="n">
        <v>1</v>
      </c>
      <c r="G7320" t="n">
        <v>27</v>
      </c>
      <c r="H7320" s="5">
        <f>HYPERLINK("https://api.qogita.com/variants/link/0850049716161/", "View Product")</f>
        <v/>
      </c>
    </row>
    <row r="7321">
      <c r="A7321" t="inlineStr">
        <is>
          <t>0850049716321</t>
        </is>
      </c>
      <c r="B7321" t="inlineStr">
        <is>
          <t>Michael Kors Pour Femme Eau de Parfum 100ml</t>
        </is>
      </c>
      <c r="C7321" t="inlineStr">
        <is>
          <t>Eau De Parfum</t>
        </is>
      </c>
      <c r="D7321" t="inlineStr">
        <is>
          <t>Michael Kors</t>
        </is>
      </c>
      <c r="E7321" t="n">
        <v>48.76</v>
      </c>
      <c r="F7321" t="n">
        <v>1</v>
      </c>
      <c r="G7321" t="n">
        <v>361</v>
      </c>
      <c r="H7321" s="5">
        <f>HYPERLINK("https://api.qogita.com/variants/link/0850049716321/", "View Product")</f>
        <v/>
      </c>
    </row>
    <row r="7322">
      <c r="A7322" t="inlineStr">
        <is>
          <t>0850050062066</t>
        </is>
      </c>
      <c r="B7322" t="inlineStr">
        <is>
          <t>Bharara Beauty Double Blue Eau De Parfum Spray 100ml</t>
        </is>
      </c>
      <c r="C7322" t="inlineStr">
        <is>
          <t>Eau De Parfum</t>
        </is>
      </c>
      <c r="D7322" t="inlineStr">
        <is>
          <t>Bahrara</t>
        </is>
      </c>
      <c r="E7322" t="n">
        <v>58.63</v>
      </c>
      <c r="F7322" t="n">
        <v>1</v>
      </c>
      <c r="G7322" t="n">
        <v>3</v>
      </c>
      <c r="H7322" s="5">
        <f>HYPERLINK("https://api.qogita.com/variants/link/0850050062066/", "View Product")</f>
        <v/>
      </c>
    </row>
    <row r="7323">
      <c r="A7323" t="inlineStr">
        <is>
          <t>0850050174301</t>
        </is>
      </c>
      <c r="B7323" t="inlineStr">
        <is>
          <t>Michael Kors Gorgeous Eau De Parfum Gift Set - 100ml</t>
        </is>
      </c>
      <c r="C7323" t="inlineStr">
        <is>
          <t>Fragrance Sets</t>
        </is>
      </c>
      <c r="D7323" t="inlineStr">
        <is>
          <t>Michael Kors</t>
        </is>
      </c>
      <c r="E7323" t="n">
        <v>50.36</v>
      </c>
      <c r="F7323" t="n">
        <v>1</v>
      </c>
      <c r="G7323" t="n">
        <v>14</v>
      </c>
      <c r="H7323" s="5">
        <f>HYPERLINK("https://api.qogita.com/variants/link/0850050174301/", "View Product")</f>
        <v/>
      </c>
    </row>
    <row r="7324">
      <c r="A7324" t="inlineStr">
        <is>
          <t>0850056933551</t>
        </is>
      </c>
      <c r="B7324" t="inlineStr">
        <is>
          <t>Olaplex Volumizing Shampoo For Fine Hair No. 4 Fine Bond Maintenance</t>
        </is>
      </c>
      <c r="C7324" t="inlineStr">
        <is>
          <t>Shampoo</t>
        </is>
      </c>
      <c r="D7324" t="inlineStr">
        <is>
          <t>Olaplex</t>
        </is>
      </c>
      <c r="E7324" t="n">
        <v>52.54</v>
      </c>
      <c r="F7324" t="n">
        <v>1</v>
      </c>
      <c r="G7324" t="n">
        <v>41</v>
      </c>
      <c r="H7324" s="5">
        <f>HYPERLINK("https://api.qogita.com/variants/link/0850056933551/", "View Product")</f>
        <v/>
      </c>
    </row>
    <row r="7325">
      <c r="A7325" t="inlineStr">
        <is>
          <t>0851325002213</t>
        </is>
      </c>
      <c r="B7325" t="inlineStr">
        <is>
          <t>Macadamia Natural Oil Moisturizing Rinse 1000ml</t>
        </is>
      </c>
      <c r="C7325" t="inlineStr">
        <is>
          <t>Conditioner</t>
        </is>
      </c>
      <c r="D7325" t="inlineStr">
        <is>
          <t>Macadamia</t>
        </is>
      </c>
      <c r="E7325" t="n">
        <v>28.95</v>
      </c>
      <c r="F7325" t="n">
        <v>1</v>
      </c>
      <c r="G7325" t="n">
        <v>14</v>
      </c>
      <c r="H7325" s="5">
        <f>HYPERLINK("https://api.qogita.com/variants/link/0851325002213/", "View Product")</f>
        <v/>
      </c>
    </row>
    <row r="7326">
      <c r="A7326" t="inlineStr">
        <is>
          <t>0852558006467</t>
        </is>
      </c>
      <c r="B7326" t="inlineStr">
        <is>
          <t>Macadamia Natural Oil Smoothing Shampoo 300ml</t>
        </is>
      </c>
      <c r="C7326" t="inlineStr">
        <is>
          <t>Shampoo</t>
        </is>
      </c>
      <c r="D7326" t="inlineStr">
        <is>
          <t>Macadamia</t>
        </is>
      </c>
      <c r="E7326" t="n">
        <v>9.800000000000001</v>
      </c>
      <c r="F7326" t="n">
        <v>1</v>
      </c>
      <c r="G7326" t="n">
        <v>14</v>
      </c>
      <c r="H7326" s="5">
        <f>HYPERLINK("https://api.qogita.com/variants/link/0852558006467/", "View Product")</f>
        <v/>
      </c>
    </row>
    <row r="7327">
      <c r="A7327" t="inlineStr">
        <is>
          <t>0852578006003</t>
        </is>
      </c>
      <c r="B7327" t="inlineStr">
        <is>
          <t>Reuzel Blue Strong Hold Water Soluble Pomade Hair Wax for Men 340g Vanilla</t>
        </is>
      </c>
      <c r="C7327" t="inlineStr">
        <is>
          <t>Wax</t>
        </is>
      </c>
      <c r="D7327" t="inlineStr">
        <is>
          <t>Reuzel</t>
        </is>
      </c>
      <c r="E7327" t="n">
        <v>24.51</v>
      </c>
      <c r="F7327" t="n">
        <v>1</v>
      </c>
      <c r="G7327" t="n">
        <v>3</v>
      </c>
      <c r="H7327" s="5">
        <f>HYPERLINK("https://api.qogita.com/variants/link/0852578006003/", "View Product")</f>
        <v/>
      </c>
    </row>
    <row r="7328">
      <c r="A7328" t="inlineStr">
        <is>
          <t>0852578006058</t>
        </is>
      </c>
      <c r="B7328" t="inlineStr">
        <is>
          <t>Reuzel Grooming Hair Tonic for Volume, Lift, and Texture - Light to Medium Hold</t>
        </is>
      </c>
      <c r="C7328" t="inlineStr">
        <is>
          <t>Hair Tonic</t>
        </is>
      </c>
      <c r="D7328" t="inlineStr">
        <is>
          <t>Reuzel</t>
        </is>
      </c>
      <c r="E7328" t="n">
        <v>14.55</v>
      </c>
      <c r="F7328" t="n">
        <v>1</v>
      </c>
      <c r="G7328" t="n">
        <v>2</v>
      </c>
      <c r="H7328" s="5">
        <f>HYPERLINK("https://api.qogita.com/variants/link/0852578006058/", "View Product")</f>
        <v/>
      </c>
    </row>
    <row r="7329">
      <c r="A7329" t="inlineStr">
        <is>
          <t>0852578006140</t>
        </is>
      </c>
      <c r="B7329" t="inlineStr">
        <is>
          <t>Reuzel Daily Conditioner  1000ml</t>
        </is>
      </c>
      <c r="C7329" t="inlineStr">
        <is>
          <t>Conditioner</t>
        </is>
      </c>
      <c r="D7329" t="inlineStr">
        <is>
          <t>Reuzel</t>
        </is>
      </c>
      <c r="E7329" t="n">
        <v>10.09</v>
      </c>
      <c r="F7329" t="n">
        <v>1</v>
      </c>
      <c r="G7329" t="n">
        <v>13</v>
      </c>
      <c r="H7329" s="5">
        <f>HYPERLINK("https://api.qogita.com/variants/link/0852578006140/", "View Product")</f>
        <v/>
      </c>
    </row>
    <row r="7330">
      <c r="A7330" t="inlineStr">
        <is>
          <t>0852578006843</t>
        </is>
      </c>
      <c r="B7330" t="inlineStr">
        <is>
          <t>Reuzel Clay Matte Pomade Hair Holding Wax for Men 113g Vanilla Mint</t>
        </is>
      </c>
      <c r="C7330" t="inlineStr">
        <is>
          <t>Wax</t>
        </is>
      </c>
      <c r="D7330" t="inlineStr">
        <is>
          <t>Reuzel</t>
        </is>
      </c>
      <c r="E7330" t="n">
        <v>15.24</v>
      </c>
      <c r="F7330" t="n">
        <v>1</v>
      </c>
      <c r="G7330" t="n">
        <v>62</v>
      </c>
      <c r="H7330" s="5">
        <f>HYPERLINK("https://api.qogita.com/variants/link/0852578006843/", "View Product")</f>
        <v/>
      </c>
    </row>
    <row r="7331">
      <c r="A7331" t="inlineStr">
        <is>
          <t>0852968008327</t>
        </is>
      </c>
      <c r="B7331" t="inlineStr">
        <is>
          <t>Reuzel Extreme Hold Matte Pomade 340g</t>
        </is>
      </c>
      <c r="C7331" t="inlineStr">
        <is>
          <t>Wax</t>
        </is>
      </c>
      <c r="D7331" t="inlineStr">
        <is>
          <t>Reuzel</t>
        </is>
      </c>
      <c r="E7331" t="n">
        <v>22.49</v>
      </c>
      <c r="F7331" t="n">
        <v>1</v>
      </c>
      <c r="G7331" t="n">
        <v>15</v>
      </c>
      <c r="H7331" s="5">
        <f>HYPERLINK("https://api.qogita.com/variants/link/0852968008327/", "View Product")</f>
        <v/>
      </c>
    </row>
    <row r="7332">
      <c r="A7332" t="inlineStr">
        <is>
          <t>0855238006009</t>
        </is>
      </c>
      <c r="B7332" t="inlineStr">
        <is>
          <t>Pestle &amp; Mortar Hydrate Lightweight Anti Aging Face Moisturizer 50ml</t>
        </is>
      </c>
      <c r="C7332" t="inlineStr">
        <is>
          <t>Anti-Aging Facial Care</t>
        </is>
      </c>
      <c r="D7332" t="inlineStr">
        <is>
          <t>Pestle &amp; Mortar</t>
        </is>
      </c>
      <c r="E7332" t="n">
        <v>42.6</v>
      </c>
      <c r="F7332" t="n">
        <v>1</v>
      </c>
      <c r="G7332" t="n">
        <v>4</v>
      </c>
      <c r="H7332" s="5">
        <f>HYPERLINK("https://api.qogita.com/variants/link/0855238006009/", "View Product")</f>
        <v/>
      </c>
    </row>
    <row r="7333">
      <c r="A7333" t="inlineStr">
        <is>
          <t>0855717008944</t>
        </is>
      </c>
      <c r="B7333" t="inlineStr">
        <is>
          <t>Pestle &amp; Mortar The Treatment Icons Skin Care Gift Set</t>
        </is>
      </c>
      <c r="C7333" t="inlineStr">
        <is>
          <t>Facial Care Sets</t>
        </is>
      </c>
      <c r="D7333" t="inlineStr">
        <is>
          <t>Pestle &amp; Mortar</t>
        </is>
      </c>
      <c r="E7333" t="n">
        <v>86.23999999999999</v>
      </c>
      <c r="F7333" t="n">
        <v>1</v>
      </c>
      <c r="G7333" t="n">
        <v>2</v>
      </c>
      <c r="H7333" s="5">
        <f>HYPERLINK("https://api.qogita.com/variants/link/0855717008944/", "View Product")</f>
        <v/>
      </c>
    </row>
    <row r="7334">
      <c r="A7334" t="inlineStr">
        <is>
          <t>0856857007194</t>
        </is>
      </c>
      <c r="B7334" t="inlineStr">
        <is>
          <t>Tonino Lamborghini Essenza I0095161 Eau de Toilette Spray 120ml</t>
        </is>
      </c>
      <c r="C7334" t="inlineStr">
        <is>
          <t>Eau De Toilette</t>
        </is>
      </c>
      <c r="D7334" t="inlineStr">
        <is>
          <t>Tonino Lamborghini</t>
        </is>
      </c>
      <c r="E7334" t="n">
        <v>12.2</v>
      </c>
      <c r="F7334" t="n">
        <v>1</v>
      </c>
      <c r="G7334" t="n">
        <v>5</v>
      </c>
      <c r="H7334" s="5">
        <f>HYPERLINK("https://api.qogita.com/variants/link/0856857007194/", "View Product")</f>
        <v/>
      </c>
    </row>
    <row r="7335">
      <c r="A7335" t="inlineStr">
        <is>
          <t>0857154002295</t>
        </is>
      </c>
      <c r="B7335" t="inlineStr">
        <is>
          <t>Layrite Original Pomade 120g Medium Hold Water Soluble Medium Shine</t>
        </is>
      </c>
      <c r="C7335" t="inlineStr">
        <is>
          <t>Gel</t>
        </is>
      </c>
      <c r="D7335" t="inlineStr">
        <is>
          <t>Layrite</t>
        </is>
      </c>
      <c r="E7335" t="n">
        <v>12.58</v>
      </c>
      <c r="F7335" t="n">
        <v>1</v>
      </c>
      <c r="G7335" t="n">
        <v>32</v>
      </c>
      <c r="H7335" s="5">
        <f>HYPERLINK("https://api.qogita.com/variants/link/0857154002295/", "View Product")</f>
        <v/>
      </c>
    </row>
    <row r="7336">
      <c r="A7336" t="inlineStr">
        <is>
          <t>0857154002363</t>
        </is>
      </c>
      <c r="B7336" t="inlineStr">
        <is>
          <t>Layrite Original Pomade 42g Medium Hold Water Soluble Medium Shine</t>
        </is>
      </c>
      <c r="C7336" t="inlineStr">
        <is>
          <t>Gel</t>
        </is>
      </c>
      <c r="D7336" t="inlineStr">
        <is>
          <t>Layrite</t>
        </is>
      </c>
      <c r="E7336" t="n">
        <v>6.32</v>
      </c>
      <c r="F7336" t="n">
        <v>1</v>
      </c>
      <c r="G7336" t="n">
        <v>15</v>
      </c>
      <c r="H7336" s="5">
        <f>HYPERLINK("https://api.qogita.com/variants/link/0857154002363/", "View Product")</f>
        <v/>
      </c>
    </row>
    <row r="7337">
      <c r="A7337" t="inlineStr">
        <is>
          <t>0857154002370</t>
        </is>
      </c>
      <c r="B7337" t="inlineStr">
        <is>
          <t>Layrite Superhold Pomade 42g Strong Hold Water Soluble Medium Shine</t>
        </is>
      </c>
      <c r="C7337" t="inlineStr">
        <is>
          <t>Gel</t>
        </is>
      </c>
      <c r="D7337" t="inlineStr">
        <is>
          <t>Layrite</t>
        </is>
      </c>
      <c r="E7337" t="n">
        <v>6.86</v>
      </c>
      <c r="F7337" t="n">
        <v>1</v>
      </c>
      <c r="G7337" t="n">
        <v>18</v>
      </c>
      <c r="H7337" s="5">
        <f>HYPERLINK("https://api.qogita.com/variants/link/0857154002370/", "View Product")</f>
        <v/>
      </c>
    </row>
    <row r="7338">
      <c r="A7338" t="inlineStr">
        <is>
          <t>0858511000701</t>
        </is>
      </c>
      <c r="B7338" t="inlineStr">
        <is>
          <t>K18 Damage Shield Protective Conditioner 8.5oz</t>
        </is>
      </c>
      <c r="C7338" t="inlineStr">
        <is>
          <t>Conditioner</t>
        </is>
      </c>
      <c r="D7338" t="inlineStr">
        <is>
          <t>K18</t>
        </is>
      </c>
      <c r="E7338" t="n">
        <v>26.72</v>
      </c>
      <c r="F7338" t="n">
        <v>1</v>
      </c>
      <c r="G7338" t="n">
        <v>37</v>
      </c>
      <c r="H7338" s="5">
        <f>HYPERLINK("https://api.qogita.com/variants/link/0858511000701/", "View Product")</f>
        <v/>
      </c>
    </row>
    <row r="7339">
      <c r="A7339" t="inlineStr">
        <is>
          <t>0858511001098</t>
        </is>
      </c>
      <c r="B7339" t="inlineStr">
        <is>
          <t>K18 Biomimetic Hairscience Leave-In Molecular Repair Hair Mask 5ml 1g</t>
        </is>
      </c>
      <c r="C7339" t="inlineStr">
        <is>
          <t>Hair Masks</t>
        </is>
      </c>
      <c r="D7339" t="inlineStr">
        <is>
          <t>K18</t>
        </is>
      </c>
      <c r="E7339" t="n">
        <v>6.85</v>
      </c>
      <c r="F7339" t="n">
        <v>1</v>
      </c>
      <c r="G7339" t="n">
        <v>70</v>
      </c>
      <c r="H7339" s="5">
        <f>HYPERLINK("https://api.qogita.com/variants/link/0858511001098/", "View Product")</f>
        <v/>
      </c>
    </row>
    <row r="7340">
      <c r="A7340" t="inlineStr">
        <is>
          <t>0859764003563</t>
        </is>
      </c>
      <c r="B7340" t="inlineStr">
        <is>
          <t>Living Proof Perfect Hair Day 5-in-1 Styling Treatment 118ml Unscented</t>
        </is>
      </c>
      <c r="C7340" t="inlineStr">
        <is>
          <t>Styling Creams</t>
        </is>
      </c>
      <c r="D7340" t="inlineStr">
        <is>
          <t>Living Proof</t>
        </is>
      </c>
      <c r="E7340" t="n">
        <v>27.9</v>
      </c>
      <c r="F7340" t="n">
        <v>1</v>
      </c>
      <c r="G7340" t="n">
        <v>5</v>
      </c>
      <c r="H7340" s="5">
        <f>HYPERLINK("https://api.qogita.com/variants/link/0859764003563/", "View Product")</f>
        <v/>
      </c>
    </row>
    <row r="7341">
      <c r="A7341" t="inlineStr">
        <is>
          <t>0859847006726</t>
        </is>
      </c>
      <c r="B7341" t="inlineStr">
        <is>
          <t>Reuzel Fiber Gel for Men Alcohol Free Formula Subtle Sugary Rum Fragrance Non Sticky and Flake Free Adds Fullness and Structure to the Hair Firm Holding Power Easy to Wash Away 100ml</t>
        </is>
      </c>
      <c r="C7341" t="inlineStr">
        <is>
          <t>Gel</t>
        </is>
      </c>
      <c r="D7341" t="inlineStr">
        <is>
          <t>Reuzel</t>
        </is>
      </c>
      <c r="E7341" t="n">
        <v>8.390000000000001</v>
      </c>
      <c r="F7341" t="n">
        <v>1</v>
      </c>
      <c r="G7341" t="n">
        <v>10</v>
      </c>
      <c r="H7341" s="5">
        <f>HYPERLINK("https://api.qogita.com/variants/link/0859847006726/", "View Product")</f>
        <v/>
      </c>
    </row>
    <row r="7342">
      <c r="A7342" t="inlineStr">
        <is>
          <t>0869519000051</t>
        </is>
      </c>
      <c r="B7342" t="inlineStr">
        <is>
          <t>Reuzel Red Water Soluble High Sheen Pomade No Dry Formula Keeps High Shine and Strong Hold All Day without Flaking Easy Rinse Out Subtle Vanilla Cola Fragrance Vegan Formula 35g</t>
        </is>
      </c>
      <c r="C7342" t="inlineStr">
        <is>
          <t>Gel</t>
        </is>
      </c>
      <c r="D7342" t="inlineStr">
        <is>
          <t>Reuzel</t>
        </is>
      </c>
      <c r="E7342" t="n">
        <v>3.8</v>
      </c>
      <c r="F7342" t="n">
        <v>1</v>
      </c>
      <c r="G7342" t="n">
        <v>48</v>
      </c>
      <c r="H7342" s="5">
        <f>HYPERLINK("https://api.qogita.com/variants/link/0869519000051/", "View Product")</f>
        <v/>
      </c>
    </row>
    <row r="7343">
      <c r="A7343" t="inlineStr">
        <is>
          <t>0873509015130</t>
        </is>
      </c>
      <c r="B7343" t="inlineStr">
        <is>
          <t>Caviar Anti-Aging Replenishing Moisture Shampoo 250ml</t>
        </is>
      </c>
      <c r="C7343" t="inlineStr">
        <is>
          <t>Shampoo</t>
        </is>
      </c>
      <c r="D7343" t="inlineStr">
        <is>
          <t>Alterna</t>
        </is>
      </c>
      <c r="E7343" t="n">
        <v>17.81</v>
      </c>
      <c r="F7343" t="n">
        <v>1</v>
      </c>
      <c r="G7343" t="n">
        <v>53</v>
      </c>
      <c r="H7343" s="5">
        <f>HYPERLINK("https://api.qogita.com/variants/link/0873509015130/", "View Product")</f>
        <v/>
      </c>
    </row>
    <row r="7344">
      <c r="A7344" t="inlineStr">
        <is>
          <t>0873509027553</t>
        </is>
      </c>
      <c r="B7344" t="inlineStr">
        <is>
          <t>Alterna Caviar Anti-Aging Replenishing Moisture Travel Size CC Cream Hair Protectant and Treatment Cream 0.85 fl. oz.</t>
        </is>
      </c>
      <c r="C7344" t="inlineStr">
        <is>
          <t>Hair Oil &amp; Hair Serum</t>
        </is>
      </c>
      <c r="D7344" t="inlineStr">
        <is>
          <t>Alterna Haircare</t>
        </is>
      </c>
      <c r="E7344" t="n">
        <v>6.65</v>
      </c>
      <c r="F7344" t="n">
        <v>1</v>
      </c>
      <c r="G7344" t="n">
        <v>3</v>
      </c>
      <c r="H7344" s="5">
        <f>HYPERLINK("https://api.qogita.com/variants/link/0873509027553/", "View Product")</f>
        <v/>
      </c>
    </row>
    <row r="7345">
      <c r="A7345" t="inlineStr">
        <is>
          <t>0873509027959</t>
        </is>
      </c>
      <c r="B7345" t="inlineStr">
        <is>
          <t>Alterna Caviar Multiplying Volume Styling Mist</t>
        </is>
      </c>
      <c r="C7345" t="inlineStr">
        <is>
          <t>Styling Sprays</t>
        </is>
      </c>
      <c r="D7345" t="inlineStr">
        <is>
          <t>Alterna</t>
        </is>
      </c>
      <c r="E7345" t="n">
        <v>18.02</v>
      </c>
      <c r="F7345" t="n">
        <v>1</v>
      </c>
      <c r="G7345" t="n">
        <v>157</v>
      </c>
      <c r="H7345" s="5">
        <f>HYPERLINK("https://api.qogita.com/variants/link/0873509027959/", "View Product")</f>
        <v/>
      </c>
    </row>
    <row r="7346">
      <c r="A7346" t="inlineStr">
        <is>
          <t>0873509028048</t>
        </is>
      </c>
      <c r="B7346" t="inlineStr">
        <is>
          <t>Alterna Caviar Multiplying Back Bar Volume Shampoo</t>
        </is>
      </c>
      <c r="C7346" t="inlineStr">
        <is>
          <t>Shampoo</t>
        </is>
      </c>
      <c r="D7346" t="inlineStr">
        <is>
          <t>Alterna</t>
        </is>
      </c>
      <c r="E7346" t="n">
        <v>45.56</v>
      </c>
      <c r="F7346" t="n">
        <v>1</v>
      </c>
      <c r="G7346" t="n">
        <v>10</v>
      </c>
      <c r="H7346" s="5">
        <f>HYPERLINK("https://api.qogita.com/variants/link/0873509028048/", "View Product")</f>
        <v/>
      </c>
    </row>
    <row r="7347">
      <c r="A7347" t="inlineStr">
        <is>
          <t>0873509028819</t>
        </is>
      </c>
      <c r="B7347" t="inlineStr">
        <is>
          <t>Alterna Caviar Professional Styling Rapid Blowout Balm</t>
        </is>
      </c>
      <c r="C7347" t="inlineStr">
        <is>
          <t>Heat Protection</t>
        </is>
      </c>
      <c r="D7347" t="inlineStr">
        <is>
          <t>Alterna</t>
        </is>
      </c>
      <c r="E7347" t="n">
        <v>17.52</v>
      </c>
      <c r="F7347" t="n">
        <v>1</v>
      </c>
      <c r="G7347" t="n">
        <v>7</v>
      </c>
      <c r="H7347" s="5">
        <f>HYPERLINK("https://api.qogita.com/variants/link/0873509028819/", "View Product")</f>
        <v/>
      </c>
    </row>
    <row r="7348">
      <c r="A7348" t="inlineStr">
        <is>
          <t>0873509029472</t>
        </is>
      </c>
      <c r="B7348" t="inlineStr">
        <is>
          <t>Smoothing Hair Balm Caviar Anti-Frizz (Air-Dry Balm) 100 ml</t>
        </is>
      </c>
      <c r="C7348" t="inlineStr">
        <is>
          <t>Leave-In Conditioner</t>
        </is>
      </c>
      <c r="D7348" t="inlineStr">
        <is>
          <t>Alterna</t>
        </is>
      </c>
      <c r="E7348" t="n">
        <v>15.89</v>
      </c>
      <c r="F7348" t="n">
        <v>1</v>
      </c>
      <c r="G7348" t="n">
        <v>11</v>
      </c>
      <c r="H7348" s="5">
        <f>HYPERLINK("https://api.qogita.com/variants/link/0873509029472/", "View Product")</f>
        <v/>
      </c>
    </row>
    <row r="7349">
      <c r="A7349" t="inlineStr">
        <is>
          <t>0873509029731</t>
        </is>
      </c>
      <c r="B7349" t="inlineStr">
        <is>
          <t>Alterna My Hair My Canvas Glow Crazy Shine Hair Masque Booster 1.7 fl oz Vegan Peta Tested</t>
        </is>
      </c>
      <c r="C7349" t="inlineStr">
        <is>
          <t>Hair Masks</t>
        </is>
      </c>
      <c r="D7349" t="inlineStr">
        <is>
          <t>Alterna Haircare</t>
        </is>
      </c>
      <c r="E7349" t="n">
        <v>21.44</v>
      </c>
      <c r="F7349" t="n">
        <v>1</v>
      </c>
      <c r="G7349" t="n">
        <v>2</v>
      </c>
      <c r="H7349" s="5">
        <f>HYPERLINK("https://api.qogita.com/variants/link/0873509029731/", "View Product")</f>
        <v/>
      </c>
    </row>
    <row r="7350">
      <c r="A7350" t="inlineStr">
        <is>
          <t>0873509030188</t>
        </is>
      </c>
      <c r="B7350" t="inlineStr">
        <is>
          <t>Alterna Caviar Clinical Densifying Styling Mousse 145g</t>
        </is>
      </c>
      <c r="C7350" t="inlineStr">
        <is>
          <t>Hair Care Sets</t>
        </is>
      </c>
      <c r="D7350" t="inlineStr">
        <is>
          <t>Alterna Haircare</t>
        </is>
      </c>
      <c r="E7350" t="n">
        <v>15.75</v>
      </c>
      <c r="F7350" t="n">
        <v>1</v>
      </c>
      <c r="G7350" t="n">
        <v>29</v>
      </c>
      <c r="H7350" s="5">
        <f>HYPERLINK("https://api.qogita.com/variants/link/0873509030188/", "View Product")</f>
        <v/>
      </c>
    </row>
    <row r="7351">
      <c r="A7351" t="inlineStr">
        <is>
          <t>0873509030256</t>
        </is>
      </c>
      <c r="B7351" t="inlineStr">
        <is>
          <t>My Hair. My Canvas. More Butter Vegan Hair Masque Curl Masque 6 Ounce</t>
        </is>
      </c>
      <c r="C7351" t="inlineStr">
        <is>
          <t>Hair Masks</t>
        </is>
      </c>
      <c r="D7351" t="inlineStr">
        <is>
          <t>Alterna Haircare</t>
        </is>
      </c>
      <c r="E7351" t="n">
        <v>25.68</v>
      </c>
      <c r="F7351" t="n">
        <v>1</v>
      </c>
      <c r="G7351" t="n">
        <v>14</v>
      </c>
      <c r="H7351" s="5">
        <f>HYPERLINK("https://api.qogita.com/variants/link/0873509030256/", "View Product")</f>
        <v/>
      </c>
    </row>
    <row r="7352">
      <c r="A7352" t="inlineStr">
        <is>
          <t>0873509030423</t>
        </is>
      </c>
      <c r="B7352" t="inlineStr">
        <is>
          <t>Alterna Caviar Anti-Aging Restructuring Bond Repair Shampoo for Unisex 250ml</t>
        </is>
      </c>
      <c r="C7352" t="inlineStr">
        <is>
          <t>Shampoo</t>
        </is>
      </c>
      <c r="D7352" t="inlineStr">
        <is>
          <t>Alterna</t>
        </is>
      </c>
      <c r="E7352" t="n">
        <v>17.81</v>
      </c>
      <c r="F7352" t="n">
        <v>1</v>
      </c>
      <c r="G7352" t="n">
        <v>29</v>
      </c>
      <c r="H7352" s="5">
        <f>HYPERLINK("https://api.qogita.com/variants/link/0873509030423/", "View Product")</f>
        <v/>
      </c>
    </row>
    <row r="7353">
      <c r="A7353" t="inlineStr">
        <is>
          <t>0873509030447</t>
        </is>
      </c>
      <c r="B7353" t="inlineStr">
        <is>
          <t>Alterna Haircare Caviar Anti-Aging Restructuring Bond Repair Conditioner 33.8 oz</t>
        </is>
      </c>
      <c r="C7353" t="inlineStr">
        <is>
          <t>Conditioner</t>
        </is>
      </c>
      <c r="D7353" t="inlineStr">
        <is>
          <t>Alterna</t>
        </is>
      </c>
      <c r="E7353" t="n">
        <v>43.08</v>
      </c>
      <c r="F7353" t="n">
        <v>1</v>
      </c>
      <c r="G7353" t="n">
        <v>72</v>
      </c>
      <c r="H7353" s="5">
        <f>HYPERLINK("https://api.qogita.com/variants/link/0873509030447/", "View Product")</f>
        <v/>
      </c>
    </row>
    <row r="7354">
      <c r="A7354" t="inlineStr">
        <is>
          <t>0873509030454</t>
        </is>
      </c>
      <c r="B7354" t="inlineStr">
        <is>
          <t>Alterna Caviar Restructuring Bond Masque 162</t>
        </is>
      </c>
      <c r="C7354" t="inlineStr">
        <is>
          <t>Hair Masks</t>
        </is>
      </c>
      <c r="D7354" t="inlineStr">
        <is>
          <t>Alterna</t>
        </is>
      </c>
      <c r="E7354" t="n">
        <v>24.78</v>
      </c>
      <c r="F7354" t="n">
        <v>1</v>
      </c>
      <c r="G7354" t="n">
        <v>19</v>
      </c>
      <c r="H7354" s="5">
        <f>HYPERLINK("https://api.qogita.com/variants/link/0873509030454/", "View Product")</f>
        <v/>
      </c>
    </row>
    <row r="7355">
      <c r="A7355" t="inlineStr">
        <is>
          <t>0873509030843</t>
        </is>
      </c>
      <c r="B7355" t="inlineStr">
        <is>
          <t>Alterna Renewing Scalp Treatment Vegan Scrub</t>
        </is>
      </c>
      <c r="C7355" t="inlineStr">
        <is>
          <t>Scalp Care</t>
        </is>
      </c>
      <c r="D7355" t="inlineStr">
        <is>
          <t>Alterna Haircare</t>
        </is>
      </c>
      <c r="E7355" t="n">
        <v>27.72</v>
      </c>
      <c r="F7355" t="n">
        <v>1</v>
      </c>
      <c r="G7355" t="n">
        <v>8</v>
      </c>
      <c r="H7355" s="5">
        <f>HYPERLINK("https://api.qogita.com/variants/link/0873509030843/", "View Product")</f>
        <v/>
      </c>
    </row>
    <row r="7356">
      <c r="A7356" t="inlineStr">
        <is>
          <t>0873509030881</t>
        </is>
      </c>
      <c r="B7356" t="inlineStr">
        <is>
          <t>My Hair. My Canvas. Begin Again Vegan Curl Cleanser Enhancing Shampoo for Curly, Coily, and Textured Hair 6.8 Ounce</t>
        </is>
      </c>
      <c r="C7356" t="inlineStr">
        <is>
          <t>Shampoo</t>
        </is>
      </c>
      <c r="D7356" t="inlineStr">
        <is>
          <t>Alterna Haircare</t>
        </is>
      </c>
      <c r="E7356" t="n">
        <v>18.67</v>
      </c>
      <c r="F7356" t="n">
        <v>1</v>
      </c>
      <c r="G7356" t="n">
        <v>5</v>
      </c>
      <c r="H7356" s="5">
        <f>HYPERLINK("https://api.qogita.com/variants/link/0873509030881/", "View Product")</f>
        <v/>
      </c>
    </row>
    <row r="7357">
      <c r="A7357" t="inlineStr">
        <is>
          <t>0874034007430</t>
        </is>
      </c>
      <c r="B7357" t="inlineStr">
        <is>
          <t>CLEAN RESERVE Sueded Oud Eau de Parfum 3.4 Fl Oz/100mL</t>
        </is>
      </c>
      <c r="C7357" t="inlineStr">
        <is>
          <t>Eau De Parfum</t>
        </is>
      </c>
      <c r="D7357" t="inlineStr">
        <is>
          <t>Clean</t>
        </is>
      </c>
      <c r="E7357" t="n">
        <v>47.79</v>
      </c>
      <c r="F7357" t="n">
        <v>1</v>
      </c>
      <c r="G7357" t="n">
        <v>2</v>
      </c>
      <c r="H7357" s="5">
        <f>HYPERLINK("https://api.qogita.com/variants/link/0874034007430/", "View Product")</f>
        <v/>
      </c>
    </row>
    <row r="7358">
      <c r="A7358" t="inlineStr">
        <is>
          <t>0874034007485</t>
        </is>
      </c>
      <c r="B7358" t="inlineStr">
        <is>
          <t>Clean Reserve Warm Cotton EDP Spray 100ml</t>
        </is>
      </c>
      <c r="C7358" t="inlineStr">
        <is>
          <t>Eau De Parfum</t>
        </is>
      </c>
      <c r="D7358" t="inlineStr">
        <is>
          <t>Clean</t>
        </is>
      </c>
      <c r="E7358" t="n">
        <v>44.55</v>
      </c>
      <c r="F7358" t="n">
        <v>1</v>
      </c>
      <c r="G7358" t="n">
        <v>3</v>
      </c>
      <c r="H7358" s="5">
        <f>HYPERLINK("https://api.qogita.com/variants/link/0874034007485/", "View Product")</f>
        <v/>
      </c>
    </row>
    <row r="7359">
      <c r="A7359" t="inlineStr">
        <is>
          <t>0874034008369</t>
        </is>
      </c>
      <c r="B7359" t="inlineStr">
        <is>
          <t>Clean Sel Santal Eau de Parfum 100ml Black</t>
        </is>
      </c>
      <c r="C7359" t="inlineStr">
        <is>
          <t>Eau De Parfum</t>
        </is>
      </c>
      <c r="D7359" t="inlineStr">
        <is>
          <t>Clean</t>
        </is>
      </c>
      <c r="E7359" t="n">
        <v>48.02</v>
      </c>
      <c r="F7359" t="n">
        <v>1</v>
      </c>
      <c r="G7359" t="n">
        <v>3</v>
      </c>
      <c r="H7359" s="5">
        <f>HYPERLINK("https://api.qogita.com/variants/link/0874034008369/", "View Product")</f>
        <v/>
      </c>
    </row>
    <row r="7360">
      <c r="A7360" t="inlineStr">
        <is>
          <t>0874034010508</t>
        </is>
      </c>
      <c r="B7360" t="inlineStr">
        <is>
          <t>Clean Rain EDP 60ml</t>
        </is>
      </c>
      <c r="C7360" t="inlineStr">
        <is>
          <t>Eau De Parfum</t>
        </is>
      </c>
      <c r="D7360" t="inlineStr">
        <is>
          <t>Clean</t>
        </is>
      </c>
      <c r="E7360" t="n">
        <v>28.31</v>
      </c>
      <c r="F7360" t="n">
        <v>1</v>
      </c>
      <c r="G7360" t="n">
        <v>30</v>
      </c>
      <c r="H7360" s="5">
        <f>HYPERLINK("https://api.qogita.com/variants/link/0874034010508/", "View Product")</f>
        <v/>
      </c>
    </row>
    <row r="7361">
      <c r="A7361" t="inlineStr">
        <is>
          <t>0874034010522</t>
        </is>
      </c>
      <c r="B7361" t="inlineStr">
        <is>
          <t>Clean Fresh Laundry EDP 30ml Black</t>
        </is>
      </c>
      <c r="C7361" t="inlineStr">
        <is>
          <t>Eau De Parfum</t>
        </is>
      </c>
      <c r="D7361" t="inlineStr">
        <is>
          <t>Clean</t>
        </is>
      </c>
      <c r="E7361" t="n">
        <v>20.22</v>
      </c>
      <c r="F7361" t="n">
        <v>1</v>
      </c>
      <c r="G7361" t="n">
        <v>2</v>
      </c>
      <c r="H7361" s="5">
        <f>HYPERLINK("https://api.qogita.com/variants/link/0874034010522/", "View Product")</f>
        <v/>
      </c>
    </row>
    <row r="7362">
      <c r="A7362" t="inlineStr">
        <is>
          <t>0874034010621</t>
        </is>
      </c>
      <c r="B7362" t="inlineStr">
        <is>
          <t>CLEAN CLASSIC Light Eau de Parfum 1 Fl Oz - Shower Fresh</t>
        </is>
      </c>
      <c r="C7362" t="inlineStr">
        <is>
          <t>Eau De Parfum</t>
        </is>
      </c>
      <c r="D7362" t="inlineStr">
        <is>
          <t>Clean</t>
        </is>
      </c>
      <c r="E7362" t="n">
        <v>20.22</v>
      </c>
      <c r="F7362" t="n">
        <v>1</v>
      </c>
      <c r="G7362" t="n">
        <v>5</v>
      </c>
      <c r="H7362" s="5">
        <f>HYPERLINK("https://api.qogita.com/variants/link/0874034010621/", "View Product")</f>
        <v/>
      </c>
    </row>
    <row r="7363">
      <c r="A7363" t="inlineStr">
        <is>
          <t>0874034012373</t>
        </is>
      </c>
      <c r="B7363" t="inlineStr">
        <is>
          <t>Clean Reserve Lush Fleur Eau De Parfum Spray 3.4 Oz for Women</t>
        </is>
      </c>
      <c r="C7363" t="inlineStr">
        <is>
          <t>Eau De Parfum</t>
        </is>
      </c>
      <c r="D7363" t="inlineStr">
        <is>
          <t>Clean</t>
        </is>
      </c>
      <c r="E7363" t="n">
        <v>52.55</v>
      </c>
      <c r="F7363" t="n">
        <v>1</v>
      </c>
      <c r="G7363" t="n">
        <v>2</v>
      </c>
      <c r="H7363" s="5">
        <f>HYPERLINK("https://api.qogita.com/variants/link/0874034012373/", "View Product")</f>
        <v/>
      </c>
    </row>
    <row r="7364">
      <c r="A7364" t="inlineStr">
        <is>
          <t>0874034013592</t>
        </is>
      </c>
      <c r="B7364" t="inlineStr">
        <is>
          <t>Clean Reserve H2eau Golden Citrus Eau De Parfum - 50 Ml</t>
        </is>
      </c>
      <c r="C7364" t="inlineStr">
        <is>
          <t>Eau De Parfum</t>
        </is>
      </c>
      <c r="D7364" t="inlineStr">
        <is>
          <t>Clean</t>
        </is>
      </c>
      <c r="E7364" t="n">
        <v>26.3</v>
      </c>
      <c r="F7364" t="n">
        <v>1</v>
      </c>
      <c r="G7364" t="n">
        <v>3</v>
      </c>
      <c r="H7364" s="5">
        <f>HYPERLINK("https://api.qogita.com/variants/link/0874034013592/", "View Product")</f>
        <v/>
      </c>
    </row>
    <row r="7365">
      <c r="A7365" t="inlineStr">
        <is>
          <t>0874034013752</t>
        </is>
      </c>
      <c r="B7365" t="inlineStr">
        <is>
          <t>Clean Reserve H2eau Collection Nectarine Petal EDP Spray 100ml</t>
        </is>
      </c>
      <c r="C7365" t="inlineStr">
        <is>
          <t>Eau De Parfum</t>
        </is>
      </c>
      <c r="D7365" t="inlineStr">
        <is>
          <t>Clean</t>
        </is>
      </c>
      <c r="E7365" t="n">
        <v>39.12</v>
      </c>
      <c r="F7365" t="n">
        <v>1</v>
      </c>
      <c r="G7365" t="n">
        <v>5</v>
      </c>
      <c r="H7365" s="5">
        <f>HYPERLINK("https://api.qogita.com/variants/link/0874034013752/", "View Product")</f>
        <v/>
      </c>
    </row>
    <row r="7366">
      <c r="A7366" t="inlineStr">
        <is>
          <t>0874034014858</t>
        </is>
      </c>
      <c r="B7366" t="inlineStr">
        <is>
          <t>Clean Sparkling Sugar Edp 30 Ml</t>
        </is>
      </c>
      <c r="C7366" t="inlineStr">
        <is>
          <t>Eau De Parfum</t>
        </is>
      </c>
      <c r="D7366" t="inlineStr">
        <is>
          <t>Clean</t>
        </is>
      </c>
      <c r="E7366" t="n">
        <v>25.73</v>
      </c>
      <c r="F7366" t="n">
        <v>1</v>
      </c>
      <c r="G7366" t="n">
        <v>4</v>
      </c>
      <c r="H7366" s="5">
        <f>HYPERLINK("https://api.qogita.com/variants/link/0874034014858/", "View Product")</f>
        <v/>
      </c>
    </row>
    <row r="7367">
      <c r="A7367" t="inlineStr">
        <is>
          <t>0882381002077</t>
        </is>
      </c>
      <c r="B7367" t="inlineStr">
        <is>
          <t>Darphin Div. Estee Lauder Intral Serum Reformation 30ml</t>
        </is>
      </c>
      <c r="C7367" t="inlineStr">
        <is>
          <t>Anti-Aging Serum</t>
        </is>
      </c>
      <c r="D7367" t="inlineStr">
        <is>
          <t>Darphin</t>
        </is>
      </c>
      <c r="E7367" t="n">
        <v>38.61</v>
      </c>
      <c r="F7367" t="n">
        <v>1</v>
      </c>
      <c r="G7367" t="n">
        <v>7</v>
      </c>
      <c r="H7367" s="5">
        <f>HYPERLINK("https://api.qogita.com/variants/link/0882381002077/", "View Product")</f>
        <v/>
      </c>
    </row>
    <row r="7368">
      <c r="A7368" t="inlineStr">
        <is>
          <t>0882381002084</t>
        </is>
      </c>
      <c r="B7368" t="inlineStr">
        <is>
          <t>Darphin Intral Inner Youth Essentiel Serum 50ml</t>
        </is>
      </c>
      <c r="C7368" t="inlineStr">
        <is>
          <t>Anti-Aging Serum</t>
        </is>
      </c>
      <c r="D7368" t="inlineStr">
        <is>
          <t>Darphin</t>
        </is>
      </c>
      <c r="E7368" t="n">
        <v>48.52</v>
      </c>
      <c r="F7368" t="n">
        <v>1</v>
      </c>
      <c r="G7368" t="n">
        <v>9</v>
      </c>
      <c r="H7368" s="5">
        <f>HYPERLINK("https://api.qogita.com/variants/link/0882381002084/", "View Product")</f>
        <v/>
      </c>
    </row>
    <row r="7369">
      <c r="A7369" t="inlineStr">
        <is>
          <t>0882381074715</t>
        </is>
      </c>
      <c r="B7369" t="inlineStr">
        <is>
          <t>Darphin Essential Oil Elixir Tangerine Aromatic 15ml</t>
        </is>
      </c>
      <c r="C7369" t="inlineStr">
        <is>
          <t>Facial Oil</t>
        </is>
      </c>
      <c r="D7369" t="inlineStr">
        <is>
          <t>Darphin</t>
        </is>
      </c>
      <c r="E7369" t="n">
        <v>27.25</v>
      </c>
      <c r="F7369" t="n">
        <v>1</v>
      </c>
      <c r="G7369" t="n">
        <v>23</v>
      </c>
      <c r="H7369" s="5">
        <f>HYPERLINK("https://api.qogita.com/variants/link/0882381074715/", "View Product")</f>
        <v/>
      </c>
    </row>
    <row r="7370">
      <c r="A7370" t="inlineStr">
        <is>
          <t>0882381104542</t>
        </is>
      </c>
      <c r="B7370" t="inlineStr">
        <is>
          <t>Darphin Stimulskin Plus Absolute Regenerating Infusion Cream 50ml</t>
        </is>
      </c>
      <c r="C7370" t="inlineStr">
        <is>
          <t>Anti-Aging Facial Care</t>
        </is>
      </c>
      <c r="D7370" t="inlineStr">
        <is>
          <t>Darphin</t>
        </is>
      </c>
      <c r="E7370" t="n">
        <v>129.77</v>
      </c>
      <c r="F7370" t="n">
        <v>1</v>
      </c>
      <c r="G7370" t="n">
        <v>4</v>
      </c>
      <c r="H7370" s="5">
        <f>HYPERLINK("https://api.qogita.com/variants/link/0882381104542/", "View Product")</f>
        <v/>
      </c>
    </row>
    <row r="7371">
      <c r="A7371" t="inlineStr">
        <is>
          <t>0882381108625</t>
        </is>
      </c>
      <c r="B7371" t="inlineStr">
        <is>
          <t>Darphin Éclat Sublime Aromatic Cleansing Balm with Rosewood 40ml</t>
        </is>
      </c>
      <c r="C7371" t="inlineStr">
        <is>
          <t>Cleansing Cream</t>
        </is>
      </c>
      <c r="D7371" t="inlineStr">
        <is>
          <t>Darphin</t>
        </is>
      </c>
      <c r="E7371" t="n">
        <v>27.23</v>
      </c>
      <c r="F7371" t="n">
        <v>1</v>
      </c>
      <c r="G7371" t="n">
        <v>16</v>
      </c>
      <c r="H7371" s="5">
        <f>HYPERLINK("https://api.qogita.com/variants/link/0882381108625/", "View Product")</f>
        <v/>
      </c>
    </row>
    <row r="7372">
      <c r="A7372" t="inlineStr">
        <is>
          <t>0882381112592</t>
        </is>
      </c>
      <c r="B7372" t="inlineStr">
        <is>
          <t>Darphin Ideal Resource Anti-Age &amp; Radiance Renewing Pro-Vitamin C and E Oil Concentrate 60 Capsules</t>
        </is>
      </c>
      <c r="C7372" t="inlineStr">
        <is>
          <t>Vitamin Serum</t>
        </is>
      </c>
      <c r="D7372" t="inlineStr">
        <is>
          <t>Darphin</t>
        </is>
      </c>
      <c r="E7372" t="n">
        <v>57.19</v>
      </c>
      <c r="F7372" t="n">
        <v>1</v>
      </c>
      <c r="G7372" t="n">
        <v>5</v>
      </c>
      <c r="H7372" s="5">
        <f>HYPERLINK("https://api.qogita.com/variants/link/0882381112592/", "View Product")</f>
        <v/>
      </c>
    </row>
    <row r="7373">
      <c r="A7373" t="inlineStr">
        <is>
          <t>0883991110886</t>
        </is>
      </c>
      <c r="B7373" t="inlineStr">
        <is>
          <t>Paris Hilton Heiress for Women 8 oz Body Mist Spray</t>
        </is>
      </c>
      <c r="C7373" t="inlineStr">
        <is>
          <t>Eau De Toilette</t>
        </is>
      </c>
      <c r="D7373" t="inlineStr">
        <is>
          <t>Paris Hilton</t>
        </is>
      </c>
      <c r="E7373" t="n">
        <v>6.78</v>
      </c>
      <c r="F7373" t="n">
        <v>1</v>
      </c>
      <c r="G7373" t="n">
        <v>9</v>
      </c>
      <c r="H7373" s="5">
        <f>HYPERLINK("https://api.qogita.com/variants/link/0883991110886/", "View Product")</f>
        <v/>
      </c>
    </row>
    <row r="7374">
      <c r="A7374" t="inlineStr">
        <is>
          <t>0884486336859</t>
        </is>
      </c>
      <c r="B7374" t="inlineStr">
        <is>
          <t>REDKEN Brews Men's 3-In-1 Shampoo Cleanse and Soften Hair and Skin 300ml</t>
        </is>
      </c>
      <c r="C7374" t="inlineStr">
        <is>
          <t>Shampoo</t>
        </is>
      </c>
      <c r="D7374" t="inlineStr">
        <is>
          <t>Redken</t>
        </is>
      </c>
      <c r="E7374" t="n">
        <v>15.23</v>
      </c>
      <c r="F7374" t="n">
        <v>1</v>
      </c>
      <c r="G7374" t="n">
        <v>3</v>
      </c>
      <c r="H7374" s="5">
        <f>HYPERLINK("https://api.qogita.com/variants/link/0884486336859/", "View Product")</f>
        <v/>
      </c>
    </row>
    <row r="7375">
      <c r="A7375" t="inlineStr">
        <is>
          <t>0884486431233</t>
        </is>
      </c>
      <c r="B7375" t="inlineStr">
        <is>
          <t>Redken Deep Clean Dry Shampoo 150ml</t>
        </is>
      </c>
      <c r="C7375" t="inlineStr">
        <is>
          <t>Dry Shampoo</t>
        </is>
      </c>
      <c r="D7375" t="inlineStr">
        <is>
          <t>Redken</t>
        </is>
      </c>
      <c r="E7375" t="n">
        <v>20.29</v>
      </c>
      <c r="F7375" t="n">
        <v>1</v>
      </c>
      <c r="G7375" t="n">
        <v>2</v>
      </c>
      <c r="H7375" s="5">
        <f>HYPERLINK("https://api.qogita.com/variants/link/0884486431233/", "View Product")</f>
        <v/>
      </c>
    </row>
    <row r="7376">
      <c r="A7376" t="inlineStr">
        <is>
          <t>0884486456380</t>
        </is>
      </c>
      <c r="B7376" t="inlineStr">
        <is>
          <t>Redken Acidic Bonding Concentrate Leave-In Treatment for Bond Repair and Heat Protection</t>
        </is>
      </c>
      <c r="C7376" t="inlineStr">
        <is>
          <t>Leave-In Conditioner</t>
        </is>
      </c>
      <c r="D7376" t="inlineStr">
        <is>
          <t>Redken</t>
        </is>
      </c>
      <c r="E7376" t="n">
        <v>28.86</v>
      </c>
      <c r="F7376" t="n">
        <v>1</v>
      </c>
      <c r="G7376" t="n">
        <v>25</v>
      </c>
      <c r="H7376" s="5">
        <f>HYPERLINK("https://api.qogita.com/variants/link/0884486456380/", "View Product")</f>
        <v/>
      </c>
    </row>
    <row r="7377">
      <c r="A7377" t="inlineStr">
        <is>
          <t>0884486464736</t>
        </is>
      </c>
      <c r="B7377" t="inlineStr">
        <is>
          <t>Matrix Biolage ColorBalm Color Depositing Conditioner Clear 300ml</t>
        </is>
      </c>
      <c r="C7377" t="inlineStr">
        <is>
          <t>Conditioner</t>
        </is>
      </c>
      <c r="D7377" t="inlineStr">
        <is>
          <t>Biolage</t>
        </is>
      </c>
      <c r="E7377" t="n">
        <v>5.25</v>
      </c>
      <c r="F7377" t="n">
        <v>1</v>
      </c>
      <c r="G7377" t="n">
        <v>4</v>
      </c>
      <c r="H7377" s="5">
        <f>HYPERLINK("https://api.qogita.com/variants/link/0884486464736/", "View Product")</f>
        <v/>
      </c>
    </row>
    <row r="7378">
      <c r="A7378" t="inlineStr">
        <is>
          <t>0884486494283</t>
        </is>
      </c>
      <c r="B7378" t="inlineStr">
        <is>
          <t>Matrix Controller Hair Styling Gel for Defining and Sculpting 200ml</t>
        </is>
      </c>
      <c r="C7378" t="inlineStr">
        <is>
          <t>Gel</t>
        </is>
      </c>
      <c r="D7378" t="inlineStr">
        <is>
          <t>Matrix</t>
        </is>
      </c>
      <c r="E7378" t="n">
        <v>12.83</v>
      </c>
      <c r="F7378" t="n">
        <v>1</v>
      </c>
      <c r="G7378" t="n">
        <v>32</v>
      </c>
      <c r="H7378" s="5">
        <f>HYPERLINK("https://api.qogita.com/variants/link/0884486494283/", "View Product")</f>
        <v/>
      </c>
    </row>
    <row r="7379">
      <c r="A7379" t="inlineStr">
        <is>
          <t>0884486497864</t>
        </is>
      </c>
      <c r="B7379" t="inlineStr">
        <is>
          <t>Redken Hardwear 16 Super-Strong Sculpting Hair Gel 250ml</t>
        </is>
      </c>
      <c r="C7379" t="inlineStr">
        <is>
          <t>Gel</t>
        </is>
      </c>
      <c r="D7379" t="inlineStr">
        <is>
          <t>Redken</t>
        </is>
      </c>
      <c r="E7379" t="n">
        <v>19.93</v>
      </c>
      <c r="F7379" t="n">
        <v>1</v>
      </c>
      <c r="G7379" t="n">
        <v>10</v>
      </c>
      <c r="H7379" s="5">
        <f>HYPERLINK("https://api.qogita.com/variants/link/0884486497864/", "View Product")</f>
        <v/>
      </c>
    </row>
    <row r="7380">
      <c r="A7380" t="inlineStr">
        <is>
          <t>0884486528674</t>
        </is>
      </c>
      <c r="B7380" t="inlineStr">
        <is>
          <t>Biolage Scalp Sync Purifying Scalp Concentrate - 200 Ml</t>
        </is>
      </c>
      <c r="C7380" t="inlineStr">
        <is>
          <t>Scalp Care</t>
        </is>
      </c>
      <c r="D7380" t="inlineStr">
        <is>
          <t>Biolage</t>
        </is>
      </c>
      <c r="E7380" t="n">
        <v>15.57</v>
      </c>
      <c r="F7380" t="n">
        <v>1</v>
      </c>
      <c r="G7380" t="n">
        <v>3</v>
      </c>
      <c r="H7380" s="5">
        <f>HYPERLINK("https://api.qogita.com/variants/link/0884486528674/", "View Product")</f>
        <v/>
      </c>
    </row>
    <row r="7381">
      <c r="A7381" t="inlineStr">
        <is>
          <t>0887167095847</t>
        </is>
      </c>
      <c r="B7381" t="inlineStr">
        <is>
          <t>Alliage Sport Eau de Parfum Vaporisateur 50ml</t>
        </is>
      </c>
      <c r="C7381" t="inlineStr">
        <is>
          <t>Eau De Parfum</t>
        </is>
      </c>
      <c r="D7381" t="inlineStr">
        <is>
          <t>Estée Lauder</t>
        </is>
      </c>
      <c r="E7381" t="n">
        <v>44.84</v>
      </c>
      <c r="F7381" t="n">
        <v>1</v>
      </c>
      <c r="G7381" t="n">
        <v>32</v>
      </c>
      <c r="H7381" s="5">
        <f>HYPERLINK("https://api.qogita.com/variants/link/0887167095847/", "View Product")</f>
        <v/>
      </c>
    </row>
    <row r="7382">
      <c r="A7382" t="inlineStr">
        <is>
          <t>0887167141230</t>
        </is>
      </c>
      <c r="B7382" t="inlineStr">
        <is>
          <t>Estée Lauder Re-Nutriv Ultimate Diamond Transformative Eye Cream 15ml</t>
        </is>
      </c>
      <c r="C7382" t="inlineStr">
        <is>
          <t>Eye Cream</t>
        </is>
      </c>
      <c r="D7382" t="inlineStr">
        <is>
          <t>Estée Lauder</t>
        </is>
      </c>
      <c r="E7382" t="n">
        <v>171.39</v>
      </c>
      <c r="F7382" t="n">
        <v>1</v>
      </c>
      <c r="G7382" t="n">
        <v>2</v>
      </c>
      <c r="H7382" s="5">
        <f>HYPERLINK("https://api.qogita.com/variants/link/0887167141230/", "View Product")</f>
        <v/>
      </c>
    </row>
    <row r="7383">
      <c r="A7383" t="inlineStr">
        <is>
          <t>0887167142534</t>
        </is>
      </c>
      <c r="B7383" t="inlineStr">
        <is>
          <t>Estée Lauder Women's Nightwear Plus Anti-Oxidant Night Detox Cream for All Skin Types</t>
        </is>
      </c>
      <c r="C7383" t="inlineStr">
        <is>
          <t>Night Cream</t>
        </is>
      </c>
      <c r="D7383" t="inlineStr">
        <is>
          <t>Estée Lauder</t>
        </is>
      </c>
      <c r="E7383" t="n">
        <v>42.33</v>
      </c>
      <c r="F7383" t="n">
        <v>1</v>
      </c>
      <c r="G7383" t="n">
        <v>42</v>
      </c>
      <c r="H7383" s="5">
        <f>HYPERLINK("https://api.qogita.com/variants/link/0887167142534/", "View Product")</f>
        <v/>
      </c>
    </row>
    <row r="7384">
      <c r="A7384" t="inlineStr">
        <is>
          <t>0887167327665</t>
        </is>
      </c>
      <c r="B7384" t="inlineStr">
        <is>
          <t>Estée Lauder Daywear Eye Gel Cream 15ml</t>
        </is>
      </c>
      <c r="C7384" t="inlineStr">
        <is>
          <t>Eye Gel</t>
        </is>
      </c>
      <c r="D7384" t="inlineStr">
        <is>
          <t>Estée Lauder</t>
        </is>
      </c>
      <c r="E7384" t="n">
        <v>21.23</v>
      </c>
      <c r="F7384" t="n">
        <v>1</v>
      </c>
      <c r="G7384" t="n">
        <v>4</v>
      </c>
      <c r="H7384" s="5">
        <f>HYPERLINK("https://api.qogita.com/variants/link/0887167327665/", "View Product")</f>
        <v/>
      </c>
    </row>
    <row r="7385">
      <c r="A7385" t="inlineStr">
        <is>
          <t>0887167371354</t>
        </is>
      </c>
      <c r="B7385" t="inlineStr">
        <is>
          <t>Tom Ford 2N1 Desert Beige 25 30ml</t>
        </is>
      </c>
      <c r="C7385" t="inlineStr">
        <is>
          <t>Eau De Parfum</t>
        </is>
      </c>
      <c r="D7385" t="inlineStr">
        <is>
          <t>Estée Lauder</t>
        </is>
      </c>
      <c r="E7385" t="n">
        <v>32.92</v>
      </c>
      <c r="F7385" t="n">
        <v>1</v>
      </c>
      <c r="G7385" t="n">
        <v>9</v>
      </c>
      <c r="H7385" s="5">
        <f>HYPERLINK("https://api.qogita.com/variants/link/0887167371354/", "View Product")</f>
        <v/>
      </c>
    </row>
    <row r="7386">
      <c r="A7386" t="inlineStr">
        <is>
          <t>0887167381926</t>
        </is>
      </c>
      <c r="B7386" t="inlineStr">
        <is>
          <t>Estee Lauder Nutritious Radiant Energy Intense Moisture Lotion 200ml</t>
        </is>
      </c>
      <c r="C7386" t="inlineStr">
        <is>
          <t>Face Cream</t>
        </is>
      </c>
      <c r="D7386" t="inlineStr">
        <is>
          <t>Estée Lauder</t>
        </is>
      </c>
      <c r="E7386" t="n">
        <v>29.94</v>
      </c>
      <c r="F7386" t="n">
        <v>1</v>
      </c>
      <c r="G7386" t="n">
        <v>7</v>
      </c>
      <c r="H7386" s="5">
        <f>HYPERLINK("https://api.qogita.com/variants/link/0887167381926/", "View Product")</f>
        <v/>
      </c>
    </row>
    <row r="7387">
      <c r="A7387" t="inlineStr">
        <is>
          <t>0887167393905</t>
        </is>
      </c>
      <c r="B7387" t="inlineStr">
        <is>
          <t>Futurist Aqua Brilliance Makeup SPF20 #2C0 Cool Vanilla 30ml</t>
        </is>
      </c>
      <c r="C7387" t="inlineStr">
        <is>
          <t>Foundation</t>
        </is>
      </c>
      <c r="D7387" t="inlineStr">
        <is>
          <t>Estée Lauder</t>
        </is>
      </c>
      <c r="E7387" t="n">
        <v>45.9</v>
      </c>
      <c r="F7387" t="n">
        <v>1</v>
      </c>
      <c r="G7387" t="n">
        <v>5</v>
      </c>
      <c r="H7387" s="5">
        <f>HYPERLINK("https://api.qogita.com/variants/link/0887167393905/", "View Product")</f>
        <v/>
      </c>
    </row>
    <row r="7388">
      <c r="A7388" t="inlineStr">
        <is>
          <t>0887167451810</t>
        </is>
      </c>
      <c r="B7388" t="inlineStr">
        <is>
          <t>Lau Masc Sumpt Rebel 01 Black</t>
        </is>
      </c>
      <c r="C7388" t="inlineStr">
        <is>
          <t>Mascara</t>
        </is>
      </c>
      <c r="D7388" t="inlineStr">
        <is>
          <t>Estée Lauder</t>
        </is>
      </c>
      <c r="E7388" t="n">
        <v>24.27</v>
      </c>
      <c r="F7388" t="n">
        <v>1</v>
      </c>
      <c r="G7388" t="n">
        <v>31</v>
      </c>
      <c r="H7388" s="5">
        <f>HYPERLINK("https://api.qogita.com/variants/link/0887167451810/", "View Product")</f>
        <v/>
      </c>
    </row>
    <row r="7389">
      <c r="A7389" t="inlineStr">
        <is>
          <t>0887167485471</t>
        </is>
      </c>
      <c r="B7389" t="inlineStr">
        <is>
          <t>Estee Lauder Advanced Night Repair Synchronised Recovery Complex 30ml</t>
        </is>
      </c>
      <c r="C7389" t="inlineStr">
        <is>
          <t>Anti-Aging Serum</t>
        </is>
      </c>
      <c r="D7389" t="inlineStr">
        <is>
          <t>Estée Lauder</t>
        </is>
      </c>
      <c r="E7389" t="n">
        <v>58.44</v>
      </c>
      <c r="F7389" t="n">
        <v>1</v>
      </c>
      <c r="G7389" t="n">
        <v>14</v>
      </c>
      <c r="H7389" s="5">
        <f>HYPERLINK("https://api.qogita.com/variants/link/0887167485471/", "View Product")</f>
        <v/>
      </c>
    </row>
    <row r="7390">
      <c r="A7390" t="inlineStr">
        <is>
          <t>0887167500273</t>
        </is>
      </c>
      <c r="B7390" t="inlineStr">
        <is>
          <t>Estee Lauder Double Wear 24h Waterproof Gel Eye Pencil 05 Smoke for Women 0.04</t>
        </is>
      </c>
      <c r="C7390" t="inlineStr">
        <is>
          <t>Eye Pencil</t>
        </is>
      </c>
      <c r="D7390" t="inlineStr">
        <is>
          <t>Estée Lauder</t>
        </is>
      </c>
      <c r="E7390" t="n">
        <v>15.64</v>
      </c>
      <c r="F7390" t="n">
        <v>1</v>
      </c>
      <c r="G7390" t="n">
        <v>11</v>
      </c>
      <c r="H7390" s="5">
        <f>HYPERLINK("https://api.qogita.com/variants/link/0887167500273/", "View Product")</f>
        <v/>
      </c>
    </row>
    <row r="7391">
      <c r="A7391" t="inlineStr">
        <is>
          <t>0887167513082</t>
        </is>
      </c>
      <c r="B7391" t="inlineStr">
        <is>
          <t>Estee Lauder Re-Nutriv Ultimate Lift Regenerating Youth Treatment Lotion 200ml</t>
        </is>
      </c>
      <c r="C7391" t="inlineStr">
        <is>
          <t>Anti-Aging Facial Care</t>
        </is>
      </c>
      <c r="D7391" t="inlineStr">
        <is>
          <t>Estée Lauder</t>
        </is>
      </c>
      <c r="E7391" t="n">
        <v>96.93000000000001</v>
      </c>
      <c r="F7391" t="n">
        <v>1</v>
      </c>
      <c r="G7391" t="n">
        <v>2</v>
      </c>
      <c r="H7391" s="5">
        <f>HYPERLINK("https://api.qogita.com/variants/link/0887167513082/", "View Product")</f>
        <v/>
      </c>
    </row>
    <row r="7392">
      <c r="A7392" t="inlineStr">
        <is>
          <t>0887167558762</t>
        </is>
      </c>
      <c r="B7392" t="inlineStr">
        <is>
          <t>Estee Lauder Futurist Soft Touch Brightening Skincealer No.1n 6ml</t>
        </is>
      </c>
      <c r="C7392" t="inlineStr">
        <is>
          <t>Face Cream</t>
        </is>
      </c>
      <c r="D7392" t="inlineStr">
        <is>
          <t>Estée Lauder</t>
        </is>
      </c>
      <c r="E7392" t="n">
        <v>33.97</v>
      </c>
      <c r="F7392" t="n">
        <v>1</v>
      </c>
      <c r="G7392" t="n">
        <v>4</v>
      </c>
      <c r="H7392" s="5">
        <f>HYPERLINK("https://api.qogita.com/variants/link/0887167558762/", "View Product")</f>
        <v/>
      </c>
    </row>
    <row r="7393">
      <c r="A7393" t="inlineStr">
        <is>
          <t>0887167558823</t>
        </is>
      </c>
      <c r="B7393" t="inlineStr">
        <is>
          <t>Futurist Skintint Serum SPF 20 30ml</t>
        </is>
      </c>
      <c r="C7393" t="inlineStr">
        <is>
          <t>Hydrating Serum</t>
        </is>
      </c>
      <c r="D7393" t="inlineStr">
        <is>
          <t>Estée Lauder</t>
        </is>
      </c>
      <c r="E7393" t="n">
        <v>33.93</v>
      </c>
      <c r="F7393" t="n">
        <v>1</v>
      </c>
      <c r="G7393" t="n">
        <v>10</v>
      </c>
      <c r="H7393" s="5">
        <f>HYPERLINK("https://api.qogita.com/variants/link/0887167558823/", "View Product")</f>
        <v/>
      </c>
    </row>
    <row r="7394">
      <c r="A7394" t="inlineStr">
        <is>
          <t>0887167582873</t>
        </is>
      </c>
      <c r="B7394" t="inlineStr">
        <is>
          <t>Estée Lauder Turbo Lash High Powered Volume + Length Mascara 8ml</t>
        </is>
      </c>
      <c r="C7394" t="inlineStr">
        <is>
          <t>Mascara</t>
        </is>
      </c>
      <c r="D7394" t="inlineStr">
        <is>
          <t>Estée Lauder</t>
        </is>
      </c>
      <c r="E7394" t="n">
        <v>25.92</v>
      </c>
      <c r="F7394" t="n">
        <v>1</v>
      </c>
      <c r="G7394" t="n">
        <v>32</v>
      </c>
      <c r="H7394" s="5">
        <f>HYPERLINK("https://api.qogita.com/variants/link/0887167582873/", "View Product")</f>
        <v/>
      </c>
    </row>
    <row r="7395">
      <c r="A7395" t="inlineStr">
        <is>
          <t>0887167608115</t>
        </is>
      </c>
      <c r="B7395" t="inlineStr">
        <is>
          <t>Estee Lauder Browperfect 3D All-in-One Styler 06 Light Brunette</t>
        </is>
      </c>
      <c r="C7395" t="inlineStr">
        <is>
          <t>Eyebrow Pencil</t>
        </is>
      </c>
      <c r="D7395" t="inlineStr">
        <is>
          <t>Estée Lauder</t>
        </is>
      </c>
      <c r="E7395" t="n">
        <v>20.96</v>
      </c>
      <c r="F7395" t="n">
        <v>1</v>
      </c>
      <c r="G7395" t="n">
        <v>5</v>
      </c>
      <c r="H7395" s="5">
        <f>HYPERLINK("https://api.qogita.com/variants/link/0887167608115/", "View Product")</f>
        <v/>
      </c>
    </row>
    <row r="7396">
      <c r="A7396" t="inlineStr">
        <is>
          <t>0887167612303</t>
        </is>
      </c>
      <c r="B7396" t="inlineStr">
        <is>
          <t>Estee Lauder Futurist Skintint Serum Foundation SPF 20 1N1 Ivory Nude 30ml</t>
        </is>
      </c>
      <c r="C7396" t="inlineStr">
        <is>
          <t>Foundation</t>
        </is>
      </c>
      <c r="D7396" t="inlineStr">
        <is>
          <t>Estée Lauder</t>
        </is>
      </c>
      <c r="E7396" t="n">
        <v>37.62</v>
      </c>
      <c r="F7396" t="n">
        <v>1</v>
      </c>
      <c r="G7396" t="n">
        <v>5</v>
      </c>
      <c r="H7396" s="5">
        <f>HYPERLINK("https://api.qogita.com/variants/link/0887167612303/", "View Product")</f>
        <v/>
      </c>
    </row>
    <row r="7397">
      <c r="A7397" t="inlineStr">
        <is>
          <t>0887167612402</t>
        </is>
      </c>
      <c r="B7397" t="inlineStr">
        <is>
          <t>Estée Lauder Futurist Skin Tint Serum Foundation SPF 20 5N2 Amber Honey</t>
        </is>
      </c>
      <c r="C7397" t="inlineStr">
        <is>
          <t>Foundation</t>
        </is>
      </c>
      <c r="D7397" t="inlineStr">
        <is>
          <t>Estée Lauder</t>
        </is>
      </c>
      <c r="E7397" t="n">
        <v>34.66</v>
      </c>
      <c r="F7397" t="n">
        <v>1</v>
      </c>
      <c r="G7397" t="n">
        <v>3</v>
      </c>
      <c r="H7397" s="5">
        <f>HYPERLINK("https://api.qogita.com/variants/link/0887167612402/", "View Product")</f>
        <v/>
      </c>
    </row>
    <row r="7398">
      <c r="A7398" t="inlineStr">
        <is>
          <t>0887167612563</t>
        </is>
      </c>
      <c r="B7398" t="inlineStr">
        <is>
          <t>Estee Lauder Tu</t>
        </is>
      </c>
      <c r="C7398" t="inlineStr">
        <is>
          <t>Eyebrow Pencil</t>
        </is>
      </c>
      <c r="D7398" t="inlineStr">
        <is>
          <t>Estée Lauder</t>
        </is>
      </c>
      <c r="E7398" t="n">
        <v>19.97</v>
      </c>
      <c r="F7398" t="n">
        <v>1</v>
      </c>
      <c r="G7398" t="n">
        <v>4</v>
      </c>
      <c r="H7398" s="5">
        <f>HYPERLINK("https://api.qogita.com/variants/link/0887167612563/", "View Product")</f>
        <v/>
      </c>
    </row>
    <row r="7399">
      <c r="A7399" t="inlineStr">
        <is>
          <t>0887167616820</t>
        </is>
      </c>
      <c r="B7399" t="inlineStr">
        <is>
          <t>Estee Lauder Double Wear 24H Stay-In-Place Lip Liner 1.2g 333 Persuasive</t>
        </is>
      </c>
      <c r="C7399" t="inlineStr">
        <is>
          <t>Lip Liner</t>
        </is>
      </c>
      <c r="D7399" t="inlineStr">
        <is>
          <t>Estée Lauder</t>
        </is>
      </c>
      <c r="E7399" t="n">
        <v>18.67</v>
      </c>
      <c r="F7399" t="n">
        <v>1</v>
      </c>
      <c r="G7399" t="n">
        <v>2</v>
      </c>
      <c r="H7399" s="5">
        <f>HYPERLINK("https://api.qogita.com/variants/link/0887167616820/", "View Product")</f>
        <v/>
      </c>
    </row>
    <row r="7400">
      <c r="A7400" t="inlineStr">
        <is>
          <t>0887167620841</t>
        </is>
      </c>
      <c r="B7400" t="inlineStr">
        <is>
          <t>Estee Lauder Advanced Night Cleansing Gelee 100ml</t>
        </is>
      </c>
      <c r="C7400" t="inlineStr">
        <is>
          <t>Cleansing Gel</t>
        </is>
      </c>
      <c r="D7400" t="inlineStr">
        <is>
          <t>Estée Lauder</t>
        </is>
      </c>
      <c r="E7400" t="n">
        <v>29.12</v>
      </c>
      <c r="F7400" t="n">
        <v>1</v>
      </c>
      <c r="G7400" t="n">
        <v>14</v>
      </c>
      <c r="H7400" s="5">
        <f>HYPERLINK("https://api.qogita.com/variants/link/0887167620841/", "View Product")</f>
        <v/>
      </c>
    </row>
    <row r="7401">
      <c r="A7401" t="inlineStr">
        <is>
          <t>0887167629370</t>
        </is>
      </c>
      <c r="B7401" t="inlineStr">
        <is>
          <t>Futurist Brightening Corrector (Soft Touch Brightening Skincealer) 6 ml Shade 1C</t>
        </is>
      </c>
      <c r="C7401" t="inlineStr">
        <is>
          <t>Concealer</t>
        </is>
      </c>
      <c r="D7401" t="inlineStr">
        <is>
          <t>Estée Lauder</t>
        </is>
      </c>
      <c r="E7401" t="n">
        <v>25.23</v>
      </c>
      <c r="F7401" t="n">
        <v>1</v>
      </c>
      <c r="G7401" t="n">
        <v>4</v>
      </c>
      <c r="H7401" s="5">
        <f>HYPERLINK("https://api.qogita.com/variants/link/0887167629370/", "View Product")</f>
        <v/>
      </c>
    </row>
    <row r="7402">
      <c r="A7402" t="inlineStr">
        <is>
          <t>0887167629448</t>
        </is>
      </c>
      <c r="B7402" t="inlineStr">
        <is>
          <t>Estee Lauder Tu White 6ml</t>
        </is>
      </c>
      <c r="C7402" t="inlineStr">
        <is>
          <t>Anti-Pigmentation Spot Cream</t>
        </is>
      </c>
      <c r="D7402" t="inlineStr">
        <is>
          <t>Estée Lauder</t>
        </is>
      </c>
      <c r="E7402" t="n">
        <v>27.53</v>
      </c>
      <c r="F7402" t="n">
        <v>1</v>
      </c>
      <c r="G7402" t="n">
        <v>5</v>
      </c>
      <c r="H7402" s="5">
        <f>HYPERLINK("https://api.qogita.com/variants/link/0887167629448/", "View Product")</f>
        <v/>
      </c>
    </row>
    <row r="7403">
      <c r="A7403" t="inlineStr">
        <is>
          <t>0887167672895</t>
        </is>
      </c>
      <c r="B7403" t="inlineStr">
        <is>
          <t>Estee Lauder Revitalizing Supreme+ Bright Radiance Power Soft Cream Moisturizer</t>
        </is>
      </c>
      <c r="C7403" t="inlineStr">
        <is>
          <t>Day Cream</t>
        </is>
      </c>
      <c r="D7403" t="inlineStr">
        <is>
          <t>Estée Lauder</t>
        </is>
      </c>
      <c r="E7403" t="n">
        <v>80.36</v>
      </c>
      <c r="F7403" t="n">
        <v>1</v>
      </c>
      <c r="G7403" t="n">
        <v>7</v>
      </c>
      <c r="H7403" s="5">
        <f>HYPERLINK("https://api.qogita.com/variants/link/0887167672895/", "View Product")</f>
        <v/>
      </c>
    </row>
    <row r="7404">
      <c r="A7404" t="inlineStr">
        <is>
          <t>0887167681415</t>
        </is>
      </c>
      <c r="B7404" t="inlineStr">
        <is>
          <t>Estee Lauder Double Wear Stay-In-Place Concealer 12 Ml</t>
        </is>
      </c>
      <c r="C7404" t="inlineStr">
        <is>
          <t>Concealer</t>
        </is>
      </c>
      <c r="D7404" t="inlineStr">
        <is>
          <t>Estée Lauder</t>
        </is>
      </c>
      <c r="E7404" t="n">
        <v>25.63</v>
      </c>
      <c r="F7404" t="n">
        <v>1</v>
      </c>
      <c r="G7404" t="n">
        <v>2</v>
      </c>
      <c r="H7404" s="5">
        <f>HYPERLINK("https://api.qogita.com/variants/link/0887167681415/", "View Product")</f>
        <v/>
      </c>
    </row>
    <row r="7405">
      <c r="A7405" t="inlineStr">
        <is>
          <t>0887167709904</t>
        </is>
      </c>
      <c r="B7405" t="inlineStr">
        <is>
          <t>Pure Color Explicit Lip Shine Lipstick</t>
        </is>
      </c>
      <c r="C7405" t="inlineStr">
        <is>
          <t>Lipstick</t>
        </is>
      </c>
      <c r="D7405" t="inlineStr">
        <is>
          <t>Estée Lauder</t>
        </is>
      </c>
      <c r="E7405" t="n">
        <v>34.29</v>
      </c>
      <c r="F7405" t="n">
        <v>1</v>
      </c>
      <c r="G7405" t="n">
        <v>8</v>
      </c>
      <c r="H7405" s="5">
        <f>HYPERLINK("https://api.qogita.com/variants/link/0887167709904/", "View Product")</f>
        <v/>
      </c>
    </row>
    <row r="7406">
      <c r="A7406" t="inlineStr">
        <is>
          <t>0887167735262</t>
        </is>
      </c>
      <c r="B7406" t="inlineStr">
        <is>
          <t>Estee Lauder Advanced Night Repair Set with Serum, Eye Gel Cream, and Mascara</t>
        </is>
      </c>
      <c r="C7406" t="inlineStr">
        <is>
          <t>Facial Care Sets</t>
        </is>
      </c>
      <c r="D7406" t="inlineStr">
        <is>
          <t>Estée Lauder</t>
        </is>
      </c>
      <c r="E7406" t="n">
        <v>96.3</v>
      </c>
      <c r="F7406" t="n">
        <v>1</v>
      </c>
      <c r="G7406" t="n">
        <v>7</v>
      </c>
      <c r="H7406" s="5">
        <f>HYPERLINK("https://api.qogita.com/variants/link/0887167735262/", "View Product")</f>
        <v/>
      </c>
    </row>
    <row r="7407">
      <c r="A7407" t="inlineStr">
        <is>
          <t>0887167774810</t>
        </is>
      </c>
      <c r="B7407" t="inlineStr">
        <is>
          <t>Estee Lauder Pure Color Melt-On Glosstick Plumping &amp; Moisturizing Lip Gloss</t>
        </is>
      </c>
      <c r="C7407" t="inlineStr">
        <is>
          <t>Lip Gloss</t>
        </is>
      </c>
      <c r="D7407" t="inlineStr">
        <is>
          <t>Estée Lauder</t>
        </is>
      </c>
      <c r="E7407" t="n">
        <v>27.86</v>
      </c>
      <c r="F7407" t="n">
        <v>1</v>
      </c>
      <c r="G7407" t="n">
        <v>3</v>
      </c>
      <c r="H7407" s="5">
        <f>HYPERLINK("https://api.qogita.com/variants/link/0887167774810/", "View Product")</f>
        <v/>
      </c>
    </row>
    <row r="7408">
      <c r="A7408" t="inlineStr">
        <is>
          <t>0887167774841</t>
        </is>
      </c>
      <c r="B7408" t="inlineStr">
        <is>
          <t>Estee Lauder Pure Color Melt-On Glosstick Plumping &amp; Moisturizing Lip Gloss</t>
        </is>
      </c>
      <c r="C7408" t="inlineStr">
        <is>
          <t>Lip Gloss</t>
        </is>
      </c>
      <c r="D7408" t="inlineStr">
        <is>
          <t>Estée Lauder</t>
        </is>
      </c>
      <c r="E7408" t="n">
        <v>27.86</v>
      </c>
      <c r="F7408" t="n">
        <v>1</v>
      </c>
      <c r="G7408" t="n">
        <v>3</v>
      </c>
      <c r="H7408" s="5">
        <f>HYPERLINK("https://api.qogita.com/variants/link/0887167774841/", "View Product")</f>
        <v/>
      </c>
    </row>
    <row r="7409">
      <c r="A7409" t="inlineStr">
        <is>
          <t>0887167774872</t>
        </is>
      </c>
      <c r="B7409" t="inlineStr">
        <is>
          <t>Este Lauder Pure Color Melton Lip Gloss 890melted Tangerine 18g</t>
        </is>
      </c>
      <c r="C7409" t="inlineStr">
        <is>
          <t>Lip Gloss</t>
        </is>
      </c>
      <c r="D7409" t="inlineStr">
        <is>
          <t>Estée Lauder</t>
        </is>
      </c>
      <c r="E7409" t="n">
        <v>27.86</v>
      </c>
      <c r="F7409" t="n">
        <v>1</v>
      </c>
      <c r="G7409" t="n">
        <v>3</v>
      </c>
      <c r="H7409" s="5">
        <f>HYPERLINK("https://api.qogita.com/variants/link/0887167774872/", "View Product")</f>
        <v/>
      </c>
    </row>
    <row r="7410">
      <c r="A7410" t="inlineStr">
        <is>
          <t>0888066000079</t>
        </is>
      </c>
      <c r="B7410" t="inlineStr">
        <is>
          <t>Tom Ford Black Orchid Eau De Perfume Spray 100ml</t>
        </is>
      </c>
      <c r="C7410" t="inlineStr">
        <is>
          <t>Eau De Parfum</t>
        </is>
      </c>
      <c r="D7410" t="inlineStr">
        <is>
          <t>Tom Ford</t>
        </is>
      </c>
      <c r="E7410" t="n">
        <v>100.7</v>
      </c>
      <c r="F7410" t="n">
        <v>1</v>
      </c>
      <c r="G7410" t="n">
        <v>139</v>
      </c>
      <c r="H7410" s="5">
        <f>HYPERLINK("https://api.qogita.com/variants/link/0888066000079/", "View Product")</f>
        <v/>
      </c>
    </row>
    <row r="7411">
      <c r="A7411" t="inlineStr">
        <is>
          <t>0888066006743</t>
        </is>
      </c>
      <c r="B7411" t="inlineStr">
        <is>
          <t>Grey Vertiver by Tom Ford Eau De Parfum for Women 50ml</t>
        </is>
      </c>
      <c r="C7411" t="inlineStr">
        <is>
          <t>Eau De Parfum</t>
        </is>
      </c>
      <c r="D7411" t="inlineStr">
        <is>
          <t>Tom Ford</t>
        </is>
      </c>
      <c r="E7411" t="n">
        <v>87.2</v>
      </c>
      <c r="F7411" t="n">
        <v>1</v>
      </c>
      <c r="G7411" t="n">
        <v>27</v>
      </c>
      <c r="H7411" s="5">
        <f>HYPERLINK("https://api.qogita.com/variants/link/0888066006743/", "View Product")</f>
        <v/>
      </c>
    </row>
    <row r="7412">
      <c r="A7412" t="inlineStr">
        <is>
          <t>0888066015509</t>
        </is>
      </c>
      <c r="B7412" t="inlineStr">
        <is>
          <t>Tom Ford Noir Eau de Parfum Spray 100ml</t>
        </is>
      </c>
      <c r="C7412" t="inlineStr">
        <is>
          <t>Eau De Parfum</t>
        </is>
      </c>
      <c r="D7412" t="inlineStr">
        <is>
          <t>Tom Ford</t>
        </is>
      </c>
      <c r="E7412" t="n">
        <v>102.03</v>
      </c>
      <c r="F7412" t="n">
        <v>1</v>
      </c>
      <c r="G7412" t="n">
        <v>8</v>
      </c>
      <c r="H7412" s="5">
        <f>HYPERLINK("https://api.qogita.com/variants/link/0888066015509/", "View Product")</f>
        <v/>
      </c>
    </row>
    <row r="7413">
      <c r="A7413" t="inlineStr">
        <is>
          <t>0888066035361</t>
        </is>
      </c>
      <c r="B7413" t="inlineStr">
        <is>
          <t>Noir Extreme by Tom Ford Eau De Parfum for Women 50ml</t>
        </is>
      </c>
      <c r="C7413" t="inlineStr">
        <is>
          <t>Eau De Parfum</t>
        </is>
      </c>
      <c r="D7413" t="inlineStr">
        <is>
          <t>Tom Ford</t>
        </is>
      </c>
      <c r="E7413" t="n">
        <v>87.40000000000001</v>
      </c>
      <c r="F7413" t="n">
        <v>1</v>
      </c>
      <c r="G7413" t="n">
        <v>35</v>
      </c>
      <c r="H7413" s="5">
        <f>HYPERLINK("https://api.qogita.com/variants/link/0888066035361/", "View Product")</f>
        <v/>
      </c>
    </row>
    <row r="7414">
      <c r="A7414" t="inlineStr">
        <is>
          <t>0888066056083</t>
        </is>
      </c>
      <c r="B7414" t="inlineStr">
        <is>
          <t>Tom Ford Body Spray 150ml</t>
        </is>
      </c>
      <c r="C7414" t="inlineStr">
        <is>
          <t>Eau De Toilette</t>
        </is>
      </c>
      <c r="D7414" t="inlineStr">
        <is>
          <t>Tom Ford</t>
        </is>
      </c>
      <c r="E7414" t="n">
        <v>54.49</v>
      </c>
      <c r="F7414" t="n">
        <v>1</v>
      </c>
      <c r="G7414" t="n">
        <v>6</v>
      </c>
      <c r="H7414" s="5">
        <f>HYPERLINK("https://api.qogita.com/variants/link/0888066056083/", "View Product")</f>
        <v/>
      </c>
    </row>
    <row r="7415">
      <c r="A7415" t="inlineStr">
        <is>
          <t>0888066075145</t>
        </is>
      </c>
      <c r="B7415" t="inlineStr">
        <is>
          <t>Tom Ford Ombre Leather Eau de Parfum 100ml</t>
        </is>
      </c>
      <c r="C7415" t="inlineStr">
        <is>
          <t>Eau De Parfum</t>
        </is>
      </c>
      <c r="D7415" t="inlineStr">
        <is>
          <t>Tom Ford</t>
        </is>
      </c>
      <c r="E7415" t="n">
        <v>121.12</v>
      </c>
      <c r="F7415" t="n">
        <v>1</v>
      </c>
      <c r="G7415" t="n">
        <v>11</v>
      </c>
      <c r="H7415" s="5">
        <f>HYPERLINK("https://api.qogita.com/variants/link/0888066075145/", "View Product")</f>
        <v/>
      </c>
    </row>
    <row r="7416">
      <c r="A7416" t="inlineStr">
        <is>
          <t>0888066080699</t>
        </is>
      </c>
      <c r="B7416" t="inlineStr">
        <is>
          <t>Tom Ford Private Blend Tuscan Leather Eau de Parfum Spray 30ml</t>
        </is>
      </c>
      <c r="C7416" t="inlineStr">
        <is>
          <t>Eau De Parfum</t>
        </is>
      </c>
      <c r="D7416" t="inlineStr">
        <is>
          <t>Tom Ford</t>
        </is>
      </c>
      <c r="E7416" t="n">
        <v>115.45</v>
      </c>
      <c r="F7416" t="n">
        <v>1</v>
      </c>
      <c r="G7416" t="n">
        <v>3</v>
      </c>
      <c r="H7416" s="5">
        <f>HYPERLINK("https://api.qogita.com/variants/link/0888066080699/", "View Product")</f>
        <v/>
      </c>
    </row>
    <row r="7417">
      <c r="A7417" t="inlineStr">
        <is>
          <t>0888066090551</t>
        </is>
      </c>
      <c r="B7417" t="inlineStr">
        <is>
          <t>Tom Ford Ombre Leather All Over Body Spray 150ml</t>
        </is>
      </c>
      <c r="C7417" t="inlineStr">
        <is>
          <t>Eau De Toilette</t>
        </is>
      </c>
      <c r="D7417" t="inlineStr">
        <is>
          <t>Tom Ford</t>
        </is>
      </c>
      <c r="E7417" t="n">
        <v>34.63</v>
      </c>
      <c r="F7417" t="n">
        <v>1</v>
      </c>
      <c r="G7417" t="n">
        <v>4</v>
      </c>
      <c r="H7417" s="5">
        <f>HYPERLINK("https://api.qogita.com/variants/link/0888066090551/", "View Product")</f>
        <v/>
      </c>
    </row>
    <row r="7418">
      <c r="A7418" t="inlineStr">
        <is>
          <t>0888066116169</t>
        </is>
      </c>
      <c r="B7418" t="inlineStr">
        <is>
          <t>Private Blanc Tubereuse Nue by Tom Ford Eau de Parfum Spray 50ml</t>
        </is>
      </c>
      <c r="C7418" t="inlineStr">
        <is>
          <t>Eau De Parfum</t>
        </is>
      </c>
      <c r="D7418" t="inlineStr">
        <is>
          <t>Tom Ford</t>
        </is>
      </c>
      <c r="E7418" t="n">
        <v>144.46</v>
      </c>
      <c r="F7418" t="n">
        <v>1</v>
      </c>
      <c r="G7418" t="n">
        <v>3</v>
      </c>
      <c r="H7418" s="5">
        <f>HYPERLINK("https://api.qogita.com/variants/link/0888066116169/", "View Product")</f>
        <v/>
      </c>
    </row>
    <row r="7419">
      <c r="A7419" t="inlineStr">
        <is>
          <t>0888066117111</t>
        </is>
      </c>
      <c r="B7419" t="inlineStr">
        <is>
          <t>Private Blend Rose Prick by Tom Ford All Over Body Spray 150ml</t>
        </is>
      </c>
      <c r="C7419" t="inlineStr">
        <is>
          <t>Eau De Parfum</t>
        </is>
      </c>
      <c r="D7419" t="inlineStr">
        <is>
          <t>Tom Ford</t>
        </is>
      </c>
      <c r="E7419" t="n">
        <v>68.11</v>
      </c>
      <c r="F7419" t="n">
        <v>1</v>
      </c>
      <c r="G7419" t="n">
        <v>8</v>
      </c>
      <c r="H7419" s="5">
        <f>HYPERLINK("https://api.qogita.com/variants/link/0888066117111/", "View Product")</f>
        <v/>
      </c>
    </row>
    <row r="7420">
      <c r="A7420" t="inlineStr">
        <is>
          <t>0888066117135</t>
        </is>
      </c>
      <c r="B7420" t="inlineStr">
        <is>
          <t>Rose Prick by Tom Ford Unisex 1oz EDP Spray</t>
        </is>
      </c>
      <c r="C7420" t="inlineStr">
        <is>
          <t>Eau De Parfum</t>
        </is>
      </c>
      <c r="D7420" t="inlineStr">
        <is>
          <t>Tom Ford</t>
        </is>
      </c>
      <c r="E7420" t="n">
        <v>131.27</v>
      </c>
      <c r="F7420" t="n">
        <v>1</v>
      </c>
      <c r="G7420" t="n">
        <v>3</v>
      </c>
      <c r="H7420" s="5">
        <f>HYPERLINK("https://api.qogita.com/variants/link/0888066117135/", "View Product")</f>
        <v/>
      </c>
    </row>
    <row r="7421">
      <c r="A7421" t="inlineStr">
        <is>
          <t>0888066117678</t>
        </is>
      </c>
      <c r="B7421" t="inlineStr">
        <is>
          <t>Tom Ford Ombre Leather Eau de Parfum Spray 150ml</t>
        </is>
      </c>
      <c r="C7421" t="inlineStr">
        <is>
          <t>Eau De Parfum</t>
        </is>
      </c>
      <c r="D7421" t="inlineStr">
        <is>
          <t>Tom Ford</t>
        </is>
      </c>
      <c r="E7421" t="n">
        <v>151.37</v>
      </c>
      <c r="F7421" t="n">
        <v>1</v>
      </c>
      <c r="G7421" t="n">
        <v>76</v>
      </c>
      <c r="H7421" s="5">
        <f>HYPERLINK("https://api.qogita.com/variants/link/0888066117678/", "View Product")</f>
        <v/>
      </c>
    </row>
    <row r="7422">
      <c r="A7422" t="inlineStr">
        <is>
          <t>0888066130073</t>
        </is>
      </c>
      <c r="B7422" t="inlineStr">
        <is>
          <t>Tom Ford Black Lacquer Eau De Parfum</t>
        </is>
      </c>
      <c r="C7422" t="inlineStr">
        <is>
          <t>Eau De Parfum</t>
        </is>
      </c>
      <c r="D7422" t="inlineStr">
        <is>
          <t>Tom Ford</t>
        </is>
      </c>
      <c r="E7422" t="n">
        <v>245.06</v>
      </c>
      <c r="F7422" t="n">
        <v>1</v>
      </c>
      <c r="G7422" t="n">
        <v>5</v>
      </c>
      <c r="H7422" s="5">
        <f>HYPERLINK("https://api.qogita.com/variants/link/0888066130073/", "View Product")</f>
        <v/>
      </c>
    </row>
    <row r="7423">
      <c r="A7423" t="inlineStr">
        <is>
          <t>0888066130714</t>
        </is>
      </c>
      <c r="B7423" t="inlineStr">
        <is>
          <t>Tom Ford Noir Extreme Eau De Parfum 150ml</t>
        </is>
      </c>
      <c r="C7423" t="inlineStr">
        <is>
          <t>Eau De Parfum</t>
        </is>
      </c>
      <c r="D7423" t="inlineStr">
        <is>
          <t>Tom Ford</t>
        </is>
      </c>
      <c r="E7423" t="n">
        <v>176.98</v>
      </c>
      <c r="F7423" t="n">
        <v>1</v>
      </c>
      <c r="G7423" t="n">
        <v>3</v>
      </c>
      <c r="H7423" s="5">
        <f>HYPERLINK("https://api.qogita.com/variants/link/0888066130714/", "View Product")</f>
        <v/>
      </c>
    </row>
    <row r="7424">
      <c r="A7424" t="inlineStr">
        <is>
          <t>0888066131346</t>
        </is>
      </c>
      <c r="B7424" t="inlineStr">
        <is>
          <t>TOM FORD Ébène Fumé Eau de Parfum Unisex Fragrance 30ml</t>
        </is>
      </c>
      <c r="C7424" t="inlineStr">
        <is>
          <t>Eau De Parfum</t>
        </is>
      </c>
      <c r="D7424" t="inlineStr">
        <is>
          <t>Tom Ford</t>
        </is>
      </c>
      <c r="E7424" t="n">
        <v>116.16</v>
      </c>
      <c r="F7424" t="n">
        <v>1</v>
      </c>
      <c r="G7424" t="n">
        <v>5</v>
      </c>
      <c r="H7424" s="5">
        <f>HYPERLINK("https://api.qogita.com/variants/link/0888066131346/", "View Product")</f>
        <v/>
      </c>
    </row>
    <row r="7425">
      <c r="A7425" t="inlineStr">
        <is>
          <t>0888066133388</t>
        </is>
      </c>
      <c r="B7425" t="inlineStr">
        <is>
          <t>TOM FORD Rose D'Amalfi Eau de Parfum 30ml</t>
        </is>
      </c>
      <c r="C7425" t="inlineStr">
        <is>
          <t>Eau De Parfum</t>
        </is>
      </c>
      <c r="D7425" t="inlineStr">
        <is>
          <t>Tom Ford</t>
        </is>
      </c>
      <c r="E7425" t="n">
        <v>95.62</v>
      </c>
      <c r="F7425" t="n">
        <v>1</v>
      </c>
      <c r="G7425" t="n">
        <v>3</v>
      </c>
      <c r="H7425" s="5">
        <f>HYPERLINK("https://api.qogita.com/variants/link/0888066133388/", "View Product")</f>
        <v/>
      </c>
    </row>
    <row r="7426">
      <c r="A7426" t="inlineStr">
        <is>
          <t>0888066139656</t>
        </is>
      </c>
      <c r="B7426" t="inlineStr">
        <is>
          <t>Tom Ford Vanilla Sex Eau de Parfum 30ml</t>
        </is>
      </c>
      <c r="C7426" t="inlineStr">
        <is>
          <t>Eau De Parfum</t>
        </is>
      </c>
      <c r="D7426" t="inlineStr">
        <is>
          <t>Tom Ford</t>
        </is>
      </c>
      <c r="E7426" t="n">
        <v>149.7</v>
      </c>
      <c r="F7426" t="n">
        <v>1</v>
      </c>
      <c r="G7426" t="n">
        <v>3</v>
      </c>
      <c r="H7426" s="5">
        <f>HYPERLINK("https://api.qogita.com/variants/link/0888066139656/", "View Product")</f>
        <v/>
      </c>
    </row>
    <row r="7427">
      <c r="A7427" t="inlineStr">
        <is>
          <t>0888066140812</t>
        </is>
      </c>
      <c r="B7427" t="inlineStr">
        <is>
          <t>Tom Ford Eye Color Quad 41 Peach Dawn Shimmering Peach Golds Auburn 21 oz 6g</t>
        </is>
      </c>
      <c r="C7427" t="inlineStr">
        <is>
          <t>Eyeshadow</t>
        </is>
      </c>
      <c r="D7427" t="inlineStr">
        <is>
          <t>Tom Ford</t>
        </is>
      </c>
      <c r="E7427" t="n">
        <v>72.11</v>
      </c>
      <c r="F7427" t="n">
        <v>1</v>
      </c>
      <c r="G7427" t="n">
        <v>2</v>
      </c>
      <c r="H7427" s="5">
        <f>HYPERLINK("https://api.qogita.com/variants/link/0888066140812/", "View Product")</f>
        <v/>
      </c>
    </row>
    <row r="7428">
      <c r="A7428" t="inlineStr">
        <is>
          <t>0888066144254</t>
        </is>
      </c>
      <c r="B7428" t="inlineStr">
        <is>
          <t>Tom Ford Oud Minérale Eau de Parfum Spray 100ml Men's Fragrance</t>
        </is>
      </c>
      <c r="C7428" t="inlineStr">
        <is>
          <t>Eau De Parfum</t>
        </is>
      </c>
      <c r="D7428" t="inlineStr">
        <is>
          <t>Tom Ford</t>
        </is>
      </c>
      <c r="E7428" t="n">
        <v>118.37</v>
      </c>
      <c r="F7428" t="n">
        <v>1</v>
      </c>
      <c r="G7428" t="n">
        <v>3</v>
      </c>
      <c r="H7428" s="5">
        <f>HYPERLINK("https://api.qogita.com/variants/link/0888066144254/", "View Product")</f>
        <v/>
      </c>
    </row>
    <row r="7429">
      <c r="A7429" t="inlineStr">
        <is>
          <t>0888066144599</t>
        </is>
      </c>
      <c r="B7429" t="inlineStr">
        <is>
          <t>Tom Ford Cafe Rose for Women 3.4 oz Eau de Parfum Spray</t>
        </is>
      </c>
      <c r="C7429" t="inlineStr">
        <is>
          <t>Eau De Parfum</t>
        </is>
      </c>
      <c r="D7429" t="inlineStr">
        <is>
          <t>Tom Ford</t>
        </is>
      </c>
      <c r="E7429" t="n">
        <v>118.52</v>
      </c>
      <c r="F7429" t="n">
        <v>1</v>
      </c>
      <c r="G7429" t="n">
        <v>7</v>
      </c>
      <c r="H7429" s="5">
        <f>HYPERLINK("https://api.qogita.com/variants/link/0888066144599/", "View Product")</f>
        <v/>
      </c>
    </row>
    <row r="7430">
      <c r="A7430" t="inlineStr">
        <is>
          <t>0888066147392</t>
        </is>
      </c>
      <c r="B7430" t="inlineStr">
        <is>
          <t>Tom Ford Slim Lip Color Shine - Glossy Lipstick</t>
        </is>
      </c>
      <c r="C7430" t="inlineStr">
        <is>
          <t>Lipstick</t>
        </is>
      </c>
      <c r="D7430" t="inlineStr">
        <is>
          <t>Tom Ford</t>
        </is>
      </c>
      <c r="E7430" t="n">
        <v>50.88</v>
      </c>
      <c r="F7430" t="n">
        <v>1</v>
      </c>
      <c r="G7430" t="n">
        <v>4</v>
      </c>
      <c r="H7430" s="5">
        <f>HYPERLINK("https://api.qogita.com/variants/link/0888066147392/", "View Product")</f>
        <v/>
      </c>
    </row>
    <row r="7431">
      <c r="A7431" t="inlineStr">
        <is>
          <t>0888066147415</t>
        </is>
      </c>
      <c r="B7431" t="inlineStr">
        <is>
          <t>Tom Ford Glossy Lipstick Slim Lip Color Shine</t>
        </is>
      </c>
      <c r="C7431" t="inlineStr">
        <is>
          <t>Lipstick</t>
        </is>
      </c>
      <c r="D7431" t="inlineStr">
        <is>
          <t>Tom Ford</t>
        </is>
      </c>
      <c r="E7431" t="n">
        <v>50.88</v>
      </c>
      <c r="F7431" t="n">
        <v>1</v>
      </c>
      <c r="G7431" t="n">
        <v>4</v>
      </c>
      <c r="H7431" s="5">
        <f>HYPERLINK("https://api.qogita.com/variants/link/0888066147415/", "View Product")</f>
        <v/>
      </c>
    </row>
    <row r="7432">
      <c r="A7432" t="inlineStr">
        <is>
          <t>0888066149082</t>
        </is>
      </c>
      <c r="B7432" t="inlineStr">
        <is>
          <t>Tom Ford Café Rose Eau De Parfum for Women 30ml Spray</t>
        </is>
      </c>
      <c r="C7432" t="inlineStr">
        <is>
          <t>Eau De Parfum</t>
        </is>
      </c>
      <c r="D7432" t="inlineStr">
        <is>
          <t>Tom Ford</t>
        </is>
      </c>
      <c r="E7432" t="n">
        <v>66.52</v>
      </c>
      <c r="F7432" t="n">
        <v>1</v>
      </c>
      <c r="G7432" t="n">
        <v>6</v>
      </c>
      <c r="H7432" s="5">
        <f>HYPERLINK("https://api.qogita.com/variants/link/0888066149082/", "View Product")</f>
        <v/>
      </c>
    </row>
    <row r="7433">
      <c r="A7433" t="inlineStr">
        <is>
          <t>0888066150279</t>
        </is>
      </c>
      <c r="B7433" t="inlineStr">
        <is>
          <t>Tom Ford Myrrh Mystery Eau De Parfum 50ml</t>
        </is>
      </c>
      <c r="C7433" t="inlineStr">
        <is>
          <t>Eau De Parfum</t>
        </is>
      </c>
      <c r="D7433" t="inlineStr">
        <is>
          <t>Tom Ford</t>
        </is>
      </c>
      <c r="E7433" t="n">
        <v>246.84</v>
      </c>
      <c r="F7433" t="n">
        <v>1</v>
      </c>
      <c r="G7433" t="n">
        <v>5</v>
      </c>
      <c r="H7433" s="5">
        <f>HYPERLINK("https://api.qogita.com/variants/link/0888066150279/", "View Product")</f>
        <v/>
      </c>
    </row>
    <row r="7434">
      <c r="A7434" t="inlineStr">
        <is>
          <t>0888066151474</t>
        </is>
      </c>
      <c r="B7434" t="inlineStr">
        <is>
          <t>Tom Ford Lip Color Matte Cherry Collection 08 Velvet Cherry Full Size</t>
        </is>
      </c>
      <c r="C7434" t="inlineStr">
        <is>
          <t>Lipstick</t>
        </is>
      </c>
      <c r="D7434" t="inlineStr">
        <is>
          <t>Tom Ford</t>
        </is>
      </c>
      <c r="E7434" t="n">
        <v>36.89</v>
      </c>
      <c r="F7434" t="n">
        <v>1</v>
      </c>
      <c r="G7434" t="n">
        <v>2</v>
      </c>
      <c r="H7434" s="5">
        <f>HYPERLINK("https://api.qogita.com/variants/link/0888066151474/", "View Product")</f>
        <v/>
      </c>
    </row>
    <row r="7435">
      <c r="A7435" t="inlineStr">
        <is>
          <t>0888066152044</t>
        </is>
      </c>
      <c r="B7435" t="inlineStr">
        <is>
          <t>Tom Ford Ombre Leather Eau De Toilette 50 Ml</t>
        </is>
      </c>
      <c r="C7435" t="inlineStr">
        <is>
          <t>Eau De Parfum</t>
        </is>
      </c>
      <c r="D7435" t="inlineStr">
        <is>
          <t>Tom Ford</t>
        </is>
      </c>
      <c r="E7435" t="n">
        <v>68.66</v>
      </c>
      <c r="F7435" t="n">
        <v>1</v>
      </c>
      <c r="G7435" t="n">
        <v>34</v>
      </c>
      <c r="H7435" s="5">
        <f>HYPERLINK("https://api.qogita.com/variants/link/0888066152044/", "View Product")</f>
        <v/>
      </c>
    </row>
    <row r="7436">
      <c r="A7436" t="inlineStr">
        <is>
          <t>0888066164207</t>
        </is>
      </c>
      <c r="B7436" t="inlineStr">
        <is>
          <t>Tom Ford Rose Exposed Eau De Parfum Rose and Leather Fragrance 1.7 Fl Oz</t>
        </is>
      </c>
      <c r="C7436" t="inlineStr">
        <is>
          <t>Eau De Parfum</t>
        </is>
      </c>
      <c r="D7436" t="inlineStr">
        <is>
          <t>Tom Ford</t>
        </is>
      </c>
      <c r="E7436" t="n">
        <v>180.78</v>
      </c>
      <c r="F7436" t="n">
        <v>1</v>
      </c>
      <c r="G7436" t="n">
        <v>3</v>
      </c>
      <c r="H7436" s="5">
        <f>HYPERLINK("https://api.qogita.com/variants/link/0888066164207/", "View Product")</f>
        <v/>
      </c>
    </row>
    <row r="7437">
      <c r="A7437" t="inlineStr">
        <is>
          <t>0888874000063</t>
        </is>
      </c>
      <c r="B7437" t="inlineStr">
        <is>
          <t>Bond No9 Chelsea Flowers Eau De Parfum Spray for Women 100ml</t>
        </is>
      </c>
      <c r="C7437" t="inlineStr">
        <is>
          <t>Eau De Parfum</t>
        </is>
      </c>
      <c r="D7437" t="inlineStr">
        <is>
          <t>Bond No. 9</t>
        </is>
      </c>
      <c r="E7437" t="n">
        <v>122.89</v>
      </c>
      <c r="F7437" t="n">
        <v>1</v>
      </c>
      <c r="G7437" t="n">
        <v>2</v>
      </c>
      <c r="H7437" s="5">
        <f>HYPERLINK("https://api.qogita.com/variants/link/0888874000063/", "View Product")</f>
        <v/>
      </c>
    </row>
    <row r="7438">
      <c r="A7438" t="inlineStr">
        <is>
          <t>0888874002616</t>
        </is>
      </c>
      <c r="B7438" t="inlineStr">
        <is>
          <t>Bond No. 9 Central Park South Eau De Parfum Spray 1.7oz</t>
        </is>
      </c>
      <c r="C7438" t="inlineStr">
        <is>
          <t>Eau De Parfum</t>
        </is>
      </c>
      <c r="D7438" t="inlineStr">
        <is>
          <t>Bond No. 9</t>
        </is>
      </c>
      <c r="E7438" t="n">
        <v>112.66</v>
      </c>
      <c r="F7438" t="n">
        <v>1</v>
      </c>
      <c r="G7438" t="n">
        <v>3</v>
      </c>
      <c r="H7438" s="5">
        <f>HYPERLINK("https://api.qogita.com/variants/link/0888874002616/", "View Product")</f>
        <v/>
      </c>
    </row>
    <row r="7439">
      <c r="A7439" t="inlineStr">
        <is>
          <t>0888874005006</t>
        </is>
      </c>
      <c r="B7439" t="inlineStr">
        <is>
          <t>Bond No.9 Queens Femme Eau de Parfum 100ml</t>
        </is>
      </c>
      <c r="C7439" t="inlineStr">
        <is>
          <t>Eau De Parfum</t>
        </is>
      </c>
      <c r="D7439" t="inlineStr">
        <is>
          <t>Bond No. 9</t>
        </is>
      </c>
      <c r="E7439" t="n">
        <v>149.62</v>
      </c>
      <c r="F7439" t="n">
        <v>1</v>
      </c>
      <c r="G7439" t="n">
        <v>8</v>
      </c>
      <c r="H7439" s="5">
        <f>HYPERLINK("https://api.qogita.com/variants/link/0888874005006/", "View Product")</f>
        <v/>
      </c>
    </row>
    <row r="7440">
      <c r="A7440" t="inlineStr">
        <is>
          <t>0888874005617</t>
        </is>
      </c>
      <c r="B7440" t="inlineStr">
        <is>
          <t>Bond No9 Dubai Collection Garnet Perfume 100ml</t>
        </is>
      </c>
      <c r="C7440" t="inlineStr">
        <is>
          <t>Eau De Parfum</t>
        </is>
      </c>
      <c r="D7440" t="inlineStr">
        <is>
          <t>Bond No. 9</t>
        </is>
      </c>
      <c r="E7440" t="n">
        <v>174.75</v>
      </c>
      <c r="F7440" t="n">
        <v>1</v>
      </c>
      <c r="G7440" t="n">
        <v>4</v>
      </c>
      <c r="H7440" s="5">
        <f>HYPERLINK("https://api.qogita.com/variants/link/0888874005617/", "View Product")</f>
        <v/>
      </c>
    </row>
    <row r="7441">
      <c r="A7441" t="inlineStr">
        <is>
          <t>0888874006065</t>
        </is>
      </c>
      <c r="B7441" t="inlineStr">
        <is>
          <t>Bond No. 9 Governors Island Eau de Parfum 3.4 oz</t>
        </is>
      </c>
      <c r="C7441" t="inlineStr">
        <is>
          <t>Eau De Parfum</t>
        </is>
      </c>
      <c r="D7441" t="inlineStr">
        <is>
          <t>Bond No. 9</t>
        </is>
      </c>
      <c r="E7441" t="n">
        <v>163.52</v>
      </c>
      <c r="F7441" t="n">
        <v>1</v>
      </c>
      <c r="G7441" t="n">
        <v>3</v>
      </c>
      <c r="H7441" s="5">
        <f>HYPERLINK("https://api.qogita.com/variants/link/0888874006065/", "View Product")</f>
        <v/>
      </c>
    </row>
    <row r="7442">
      <c r="A7442" t="inlineStr">
        <is>
          <t>0888874006584</t>
        </is>
      </c>
      <c r="B7442" t="inlineStr">
        <is>
          <t>Bond No9 Greenwich Village Unisex Eau de Parfum 100ml</t>
        </is>
      </c>
      <c r="C7442" t="inlineStr">
        <is>
          <t>Eau De Parfum</t>
        </is>
      </c>
      <c r="D7442" t="inlineStr">
        <is>
          <t>Bond No. 9</t>
        </is>
      </c>
      <c r="E7442" t="n">
        <v>191.86</v>
      </c>
      <c r="F7442" t="n">
        <v>1</v>
      </c>
      <c r="G7442" t="n">
        <v>13</v>
      </c>
      <c r="H7442" s="5">
        <f>HYPERLINK("https://api.qogita.com/variants/link/0888874006584/", "View Product")</f>
        <v/>
      </c>
    </row>
    <row r="7443">
      <c r="A7443" t="inlineStr">
        <is>
          <t>0888874006829</t>
        </is>
      </c>
      <c r="B7443" t="inlineStr">
        <is>
          <t>Bond No9 Gold Coast Femme Eau De Parfum 100ml</t>
        </is>
      </c>
      <c r="C7443" t="inlineStr">
        <is>
          <t>Eau De Parfum</t>
        </is>
      </c>
      <c r="D7443" t="inlineStr">
        <is>
          <t>Bond No. 9</t>
        </is>
      </c>
      <c r="E7443" t="n">
        <v>232.94</v>
      </c>
      <c r="F7443" t="n">
        <v>1</v>
      </c>
      <c r="G7443" t="n">
        <v>2</v>
      </c>
      <c r="H7443" s="5">
        <f>HYPERLINK("https://api.qogita.com/variants/link/0888874006829/", "View Product")</f>
        <v/>
      </c>
    </row>
    <row r="7444">
      <c r="A7444" t="inlineStr">
        <is>
          <t>0888874006836</t>
        </is>
      </c>
      <c r="B7444" t="inlineStr">
        <is>
          <t>Bond No. 9 Fidi Eau De Parfum Spray 100ml</t>
        </is>
      </c>
      <c r="C7444" t="inlineStr">
        <is>
          <t>Eau De Parfum</t>
        </is>
      </c>
      <c r="D7444" t="inlineStr">
        <is>
          <t>Bond No. 9</t>
        </is>
      </c>
      <c r="E7444" t="n">
        <v>161.72</v>
      </c>
      <c r="F7444" t="n">
        <v>1</v>
      </c>
      <c r="G7444" t="n">
        <v>5</v>
      </c>
      <c r="H7444" s="5">
        <f>HYPERLINK("https://api.qogita.com/variants/link/0888874006836/", "View Product")</f>
        <v/>
      </c>
    </row>
    <row r="7445">
      <c r="A7445" t="inlineStr">
        <is>
          <t>0888874007123</t>
        </is>
      </c>
      <c r="B7445" t="inlineStr">
        <is>
          <t>Bond No9 TriBeCa Eau de Parfum Spray 100ml</t>
        </is>
      </c>
      <c r="C7445" t="inlineStr">
        <is>
          <t>Eau De Parfum</t>
        </is>
      </c>
      <c r="D7445" t="inlineStr">
        <is>
          <t>Bond No. 9</t>
        </is>
      </c>
      <c r="E7445" t="n">
        <v>216.94</v>
      </c>
      <c r="F7445" t="n">
        <v>1</v>
      </c>
      <c r="G7445" t="n">
        <v>3</v>
      </c>
      <c r="H7445" s="5">
        <f>HYPERLINK("https://api.qogita.com/variants/link/0888874007123/", "View Product")</f>
        <v/>
      </c>
    </row>
    <row r="7446">
      <c r="A7446" t="inlineStr">
        <is>
          <t>0888874007741</t>
        </is>
      </c>
      <c r="B7446" t="inlineStr">
        <is>
          <t>Bond No. 9 New York NoMad Eau de Parfum Breeze 3.4 Fl Oz Unisex</t>
        </is>
      </c>
      <c r="C7446" t="inlineStr">
        <is>
          <t>Eau De Parfum</t>
        </is>
      </c>
      <c r="D7446" t="inlineStr">
        <is>
          <t>Bond No. 9</t>
        </is>
      </c>
      <c r="E7446" t="n">
        <v>178.2</v>
      </c>
      <c r="F7446" t="n">
        <v>1</v>
      </c>
      <c r="G7446" t="n">
        <v>3</v>
      </c>
      <c r="H7446" s="5">
        <f>HYPERLINK("https://api.qogita.com/variants/link/0888874007741/", "View Product")</f>
        <v/>
      </c>
    </row>
    <row r="7447">
      <c r="A7447" t="inlineStr">
        <is>
          <t>0888874007888</t>
        </is>
      </c>
      <c r="B7447" t="inlineStr">
        <is>
          <t>The Scent of Peace Natural by Bond No. 9 for Men 3.3 Oz EDP Spray 99ml</t>
        </is>
      </c>
      <c r="C7447" t="inlineStr">
        <is>
          <t>Eau De Parfum</t>
        </is>
      </c>
      <c r="D7447" t="inlineStr">
        <is>
          <t>Bond No. 9</t>
        </is>
      </c>
      <c r="E7447" t="n">
        <v>170.67</v>
      </c>
      <c r="F7447" t="n">
        <v>1</v>
      </c>
      <c r="G7447" t="n">
        <v>4</v>
      </c>
      <c r="H7447" s="5">
        <f>HYPERLINK("https://api.qogita.com/variants/link/0888874007888/", "View Product")</f>
        <v/>
      </c>
    </row>
    <row r="7448">
      <c r="A7448" t="inlineStr">
        <is>
          <t>0888874008076</t>
        </is>
      </c>
      <c r="B7448" t="inlineStr">
        <is>
          <t>Bond No.9 New York Forever Eau De Parfum Spray 3.4 Ounce Unisex</t>
        </is>
      </c>
      <c r="C7448" t="inlineStr">
        <is>
          <t>Eau De Parfum</t>
        </is>
      </c>
      <c r="D7448" t="inlineStr">
        <is>
          <t>Bond No. 9</t>
        </is>
      </c>
      <c r="E7448" t="n">
        <v>213.98</v>
      </c>
      <c r="F7448" t="n">
        <v>1</v>
      </c>
      <c r="G7448" t="n">
        <v>3</v>
      </c>
      <c r="H7448" s="5">
        <f>HYPERLINK("https://api.qogita.com/variants/link/0888874008076/", "View Product")</f>
        <v/>
      </c>
    </row>
    <row r="7449">
      <c r="A7449" t="inlineStr">
        <is>
          <t>0890766000099</t>
        </is>
      </c>
      <c r="B7449" t="inlineStr">
        <is>
          <t>Bond No. 9 Shelter Island Eau De Parfum Spray 3.4 Fluid Ounce 100ml</t>
        </is>
      </c>
      <c r="C7449" t="inlineStr">
        <is>
          <t>Eau De Parfum</t>
        </is>
      </c>
      <c r="D7449" t="inlineStr">
        <is>
          <t>Bond No. 9</t>
        </is>
      </c>
      <c r="E7449" t="n">
        <v>164.62</v>
      </c>
      <c r="F7449" t="n">
        <v>1</v>
      </c>
      <c r="G7449" t="n">
        <v>3</v>
      </c>
      <c r="H7449" s="5">
        <f>HYPERLINK("https://api.qogita.com/variants/link/0890766000099/", "View Product")</f>
        <v/>
      </c>
    </row>
    <row r="7450">
      <c r="A7450" t="inlineStr">
        <is>
          <t>0890766341000</t>
        </is>
      </c>
      <c r="B7450" t="inlineStr">
        <is>
          <t>Bond No.9 Astor Place EDP Spray 3.3 oz Fragrance</t>
        </is>
      </c>
      <c r="C7450" t="inlineStr">
        <is>
          <t>Eau De Parfum</t>
        </is>
      </c>
      <c r="D7450" t="inlineStr">
        <is>
          <t>Bond No. 9</t>
        </is>
      </c>
      <c r="E7450" t="n">
        <v>167.24</v>
      </c>
      <c r="F7450" t="n">
        <v>1</v>
      </c>
      <c r="G7450" t="n">
        <v>5</v>
      </c>
      <c r="H7450" s="5">
        <f>HYPERLINK("https://api.qogita.com/variants/link/0890766341000/", "View Product")</f>
        <v/>
      </c>
    </row>
    <row r="7451">
      <c r="A7451" t="inlineStr">
        <is>
          <t>1017692332745</t>
        </is>
      </c>
      <c r="B7451" t="inlineStr">
        <is>
          <t>Intense Stem Cell Serum</t>
        </is>
      </c>
      <c r="C7451" t="inlineStr">
        <is>
          <t>Anti-Aging Serum</t>
        </is>
      </c>
      <c r="D7451" t="inlineStr">
        <is>
          <t>Di Angelo Cosmetics</t>
        </is>
      </c>
      <c r="E7451" t="n">
        <v>47.09</v>
      </c>
      <c r="F7451" t="n">
        <v>1</v>
      </c>
      <c r="G7451" t="n">
        <v>30</v>
      </c>
      <c r="H7451" s="5">
        <f>HYPERLINK("https://api.qogita.com/variants/link/1017692332745/", "View Product")</f>
        <v/>
      </c>
    </row>
    <row r="7452">
      <c r="A7452" t="inlineStr">
        <is>
          <t>2376875625197</t>
        </is>
      </c>
      <c r="B7452" t="inlineStr">
        <is>
          <t>Mary Kay Lash Love Mascara 8 G</t>
        </is>
      </c>
      <c r="C7452" t="inlineStr">
        <is>
          <t>Mascara</t>
        </is>
      </c>
      <c r="D7452" t="inlineStr">
        <is>
          <t>Mary Kay</t>
        </is>
      </c>
      <c r="E7452" t="n">
        <v>21.99</v>
      </c>
      <c r="F7452" t="n">
        <v>1</v>
      </c>
      <c r="G7452" t="n">
        <v>4</v>
      </c>
      <c r="H7452" s="5">
        <f>HYPERLINK("https://api.qogita.com/variants/link/2376875625197/", "View Product")</f>
        <v/>
      </c>
    </row>
    <row r="7453">
      <c r="A7453" t="inlineStr">
        <is>
          <t>2376879017356</t>
        </is>
      </c>
      <c r="B7453" t="inlineStr">
        <is>
          <t>Oriflame The One 5in1 Wonderlash Hidden Gems Mascara - 8 Ml</t>
        </is>
      </c>
      <c r="C7453" t="inlineStr">
        <is>
          <t>Mascara</t>
        </is>
      </c>
      <c r="D7453" t="inlineStr">
        <is>
          <t>Oriflame</t>
        </is>
      </c>
      <c r="E7453" t="n">
        <v>9.630000000000001</v>
      </c>
      <c r="F7453" t="n">
        <v>1</v>
      </c>
      <c r="G7453" t="n">
        <v>32</v>
      </c>
      <c r="H7453" s="5">
        <f>HYPERLINK("https://api.qogita.com/variants/link/2376879017356/", "View Product")</f>
        <v/>
      </c>
    </row>
    <row r="7454">
      <c r="A7454" t="inlineStr">
        <is>
          <t>3014260262709</t>
        </is>
      </c>
      <c r="B7454" t="inlineStr">
        <is>
          <t>Gillette Venus Replacement Heads 4 Pack</t>
        </is>
      </c>
      <c r="C7454" t="inlineStr">
        <is>
          <t>Razors &amp; Hair Removal Tools</t>
        </is>
      </c>
      <c r="D7454" t="inlineStr">
        <is>
          <t>Gillette</t>
        </is>
      </c>
      <c r="E7454" t="n">
        <v>13.35</v>
      </c>
      <c r="F7454" t="n">
        <v>1</v>
      </c>
      <c r="G7454" t="n">
        <v>5</v>
      </c>
      <c r="H7454" s="5">
        <f>HYPERLINK("https://api.qogita.com/variants/link/3014260262709/", "View Product")</f>
        <v/>
      </c>
    </row>
    <row r="7455">
      <c r="A7455" t="inlineStr">
        <is>
          <t>3030050046137</t>
        </is>
      </c>
      <c r="B7455" t="inlineStr">
        <is>
          <t>Babyliss Pro Waver Titanium Tourmaline 25 Mm Curling Iron</t>
        </is>
      </c>
      <c r="C7455" t="inlineStr">
        <is>
          <t>Curling Irons</t>
        </is>
      </c>
      <c r="D7455" t="inlineStr">
        <is>
          <t>Babyliss Pro</t>
        </is>
      </c>
      <c r="E7455" t="n">
        <v>45.81</v>
      </c>
      <c r="F7455" t="n">
        <v>1</v>
      </c>
      <c r="G7455" t="n">
        <v>4</v>
      </c>
      <c r="H7455" s="5">
        <f>HYPERLINK("https://api.qogita.com/variants/link/3030050046137/", "View Product")</f>
        <v/>
      </c>
    </row>
    <row r="7456">
      <c r="A7456" t="inlineStr">
        <is>
          <t>3030050046168</t>
        </is>
      </c>
      <c r="B7456" t="inlineStr">
        <is>
          <t>BaByliss Brush Collection</t>
        </is>
      </c>
      <c r="C7456" t="inlineStr">
        <is>
          <t>Round Brushes</t>
        </is>
      </c>
      <c r="D7456" t="inlineStr">
        <is>
          <t>Babyliss</t>
        </is>
      </c>
      <c r="E7456" t="n">
        <v>11.58</v>
      </c>
      <c r="F7456" t="n">
        <v>1</v>
      </c>
      <c r="G7456" t="n">
        <v>9</v>
      </c>
      <c r="H7456" s="5">
        <f>HYPERLINK("https://api.qogita.com/variants/link/3030050046168/", "View Product")</f>
        <v/>
      </c>
    </row>
    <row r="7457">
      <c r="A7457" t="inlineStr">
        <is>
          <t>3030050046199</t>
        </is>
      </c>
      <c r="B7457" t="inlineStr">
        <is>
          <t>Babyliss Pro Large Paddle Brush Nylon Pin Professional Hair Care</t>
        </is>
      </c>
      <c r="C7457" t="inlineStr">
        <is>
          <t>Flat &amp; Paddle Brushes</t>
        </is>
      </c>
      <c r="D7457" t="inlineStr">
        <is>
          <t>Babyliss Pro</t>
        </is>
      </c>
      <c r="E7457" t="n">
        <v>8.449999999999999</v>
      </c>
      <c r="F7457" t="n">
        <v>1</v>
      </c>
      <c r="G7457" t="n">
        <v>3</v>
      </c>
      <c r="H7457" s="5">
        <f>HYPERLINK("https://api.qogita.com/variants/link/3030050046199/", "View Product")</f>
        <v/>
      </c>
    </row>
    <row r="7458">
      <c r="A7458" t="inlineStr">
        <is>
          <t>3030050052459</t>
        </is>
      </c>
      <c r="B7458" t="inlineStr">
        <is>
          <t>Babyliss Pro Professional Titaniumtourmaline Curling Iron 38 Mm</t>
        </is>
      </c>
      <c r="C7458" t="inlineStr">
        <is>
          <t>Curling Irons</t>
        </is>
      </c>
      <c r="D7458" t="inlineStr">
        <is>
          <t>Babyliss Pro</t>
        </is>
      </c>
      <c r="E7458" t="n">
        <v>52.28</v>
      </c>
      <c r="F7458" t="n">
        <v>1</v>
      </c>
      <c r="G7458" t="n">
        <v>5</v>
      </c>
      <c r="H7458" s="5">
        <f>HYPERLINK("https://api.qogita.com/variants/link/3030050052459/", "View Product")</f>
        <v/>
      </c>
    </row>
    <row r="7459">
      <c r="A7459" t="inlineStr">
        <is>
          <t>3030050059403</t>
        </is>
      </c>
      <c r="B7459" t="inlineStr">
        <is>
          <t>BaByliss Titanium Taper Tongs 32-19mm</t>
        </is>
      </c>
      <c r="C7459" t="inlineStr">
        <is>
          <t>Curling Irons</t>
        </is>
      </c>
      <c r="D7459" t="inlineStr">
        <is>
          <t>Babyliss</t>
        </is>
      </c>
      <c r="E7459" t="n">
        <v>48.31</v>
      </c>
      <c r="F7459" t="n">
        <v>1</v>
      </c>
      <c r="G7459" t="n">
        <v>2</v>
      </c>
      <c r="H7459" s="5">
        <f>HYPERLINK("https://api.qogita.com/variants/link/3030050059403/", "View Product")</f>
        <v/>
      </c>
    </row>
    <row r="7460">
      <c r="A7460" t="inlineStr">
        <is>
          <t>3030050060942</t>
        </is>
      </c>
      <c r="B7460" t="inlineStr">
        <is>
          <t>Babyliss Pro Professional Hot Air Brush 19 Mm 700 W Ceramic Air Styler</t>
        </is>
      </c>
      <c r="C7460" t="inlineStr">
        <is>
          <t>Hot Air Brushes</t>
        </is>
      </c>
      <c r="D7460" t="inlineStr">
        <is>
          <t>Babyliss Pro</t>
        </is>
      </c>
      <c r="E7460" t="n">
        <v>39.94</v>
      </c>
      <c r="F7460" t="n">
        <v>1</v>
      </c>
      <c r="G7460" t="n">
        <v>8</v>
      </c>
      <c r="H7460" s="5">
        <f>HYPERLINK("https://api.qogita.com/variants/link/3030050060942/", "View Product")</f>
        <v/>
      </c>
    </row>
    <row r="7461">
      <c r="A7461" t="inlineStr">
        <is>
          <t>3030050091724</t>
        </is>
      </c>
      <c r="B7461" t="inlineStr">
        <is>
          <t>Babyliss Pro Professional Titaniumtourmaline Curling Iron 32 Mm</t>
        </is>
      </c>
      <c r="C7461" t="inlineStr">
        <is>
          <t>Curling Irons</t>
        </is>
      </c>
      <c r="D7461" t="inlineStr">
        <is>
          <t>Babyliss Pro</t>
        </is>
      </c>
      <c r="E7461" t="n">
        <v>39.33</v>
      </c>
      <c r="F7461" t="n">
        <v>1</v>
      </c>
      <c r="G7461" t="n">
        <v>2</v>
      </c>
      <c r="H7461" s="5">
        <f>HYPERLINK("https://api.qogita.com/variants/link/3030050091724/", "View Product")</f>
        <v/>
      </c>
    </row>
    <row r="7462">
      <c r="A7462" t="inlineStr">
        <is>
          <t>3030050146622</t>
        </is>
      </c>
      <c r="B7462" t="inlineStr">
        <is>
          <t>Babyliss Pro Professional Metal Beard &amp; Hair Razor</t>
        </is>
      </c>
      <c r="C7462" t="inlineStr">
        <is>
          <t>Beard Care Accessories</t>
        </is>
      </c>
      <c r="D7462" t="inlineStr">
        <is>
          <t>Babyliss Pro</t>
        </is>
      </c>
      <c r="E7462" t="n">
        <v>151.92</v>
      </c>
      <c r="F7462" t="n">
        <v>1</v>
      </c>
      <c r="G7462" t="n">
        <v>3</v>
      </c>
      <c r="H7462" s="5">
        <f>HYPERLINK("https://api.qogita.com/variants/link/3030050146622/", "View Product")</f>
        <v/>
      </c>
    </row>
    <row r="7463">
      <c r="A7463" t="inlineStr">
        <is>
          <t>3030050165203</t>
        </is>
      </c>
      <c r="B7463" t="inlineStr">
        <is>
          <t>Babyliss Pro Venezianohq Hair Dryer 2200w Ionic Bab6960ie</t>
        </is>
      </c>
      <c r="C7463" t="inlineStr">
        <is>
          <t>Hair Dryers</t>
        </is>
      </c>
      <c r="D7463" t="inlineStr">
        <is>
          <t>Babyliss Pro</t>
        </is>
      </c>
      <c r="E7463" t="n">
        <v>75.70999999999999</v>
      </c>
      <c r="F7463" t="n">
        <v>1</v>
      </c>
      <c r="G7463" t="n">
        <v>2</v>
      </c>
      <c r="H7463" s="5">
        <f>HYPERLINK("https://api.qogita.com/variants/link/3030050165203/", "View Product")</f>
        <v/>
      </c>
    </row>
    <row r="7464">
      <c r="A7464" t="inlineStr">
        <is>
          <t>3030050191134</t>
        </is>
      </c>
      <c r="B7464" t="inlineStr">
        <is>
          <t>Babyliss Pro Straightening Attachment For Falco Hair Dryer</t>
        </is>
      </c>
      <c r="C7464" t="inlineStr">
        <is>
          <t>Hair Dryers</t>
        </is>
      </c>
      <c r="D7464" t="inlineStr">
        <is>
          <t>Babyliss Pro</t>
        </is>
      </c>
      <c r="E7464" t="n">
        <v>8.960000000000001</v>
      </c>
      <c r="F7464" t="n">
        <v>1</v>
      </c>
      <c r="G7464" t="n">
        <v>4</v>
      </c>
      <c r="H7464" s="5">
        <f>HYPERLINK("https://api.qogita.com/variants/link/3030050191134/", "View Product")</f>
        <v/>
      </c>
    </row>
    <row r="7465">
      <c r="A7465" t="inlineStr">
        <is>
          <t>3030050192995</t>
        </is>
      </c>
      <c r="B7465" t="inlineStr">
        <is>
          <t>Babyliss Hair Straightener St484e</t>
        </is>
      </c>
      <c r="C7465" t="inlineStr">
        <is>
          <t>Hair Straighteners</t>
        </is>
      </c>
      <c r="D7465" t="inlineStr">
        <is>
          <t>Babyliss</t>
        </is>
      </c>
      <c r="E7465" t="n">
        <v>101.52</v>
      </c>
      <c r="F7465" t="n">
        <v>1</v>
      </c>
      <c r="G7465" t="n">
        <v>4</v>
      </c>
      <c r="H7465" s="5">
        <f>HYPERLINK("https://api.qogita.com/variants/link/3030050192995/", "View Product")</f>
        <v/>
      </c>
    </row>
    <row r="7466">
      <c r="A7466" t="inlineStr">
        <is>
          <t>3030050193039</t>
        </is>
      </c>
      <c r="B7466" t="inlineStr">
        <is>
          <t>Babyliss Graphite Precision Hair Clipper with 8 Comb Guides and 40 Cutting Lengths</t>
        </is>
      </c>
      <c r="C7466" t="inlineStr">
        <is>
          <t>Hair Clippers</t>
        </is>
      </c>
      <c r="D7466" t="inlineStr">
        <is>
          <t>Babyliss</t>
        </is>
      </c>
      <c r="E7466" t="n">
        <v>89.01000000000001</v>
      </c>
      <c r="F7466" t="n">
        <v>1</v>
      </c>
      <c r="G7466" t="n">
        <v>3</v>
      </c>
      <c r="H7466" s="5">
        <f>HYPERLINK("https://api.qogita.com/variants/link/3030050193039/", "View Product")</f>
        <v/>
      </c>
    </row>
    <row r="7467">
      <c r="A7467" t="inlineStr">
        <is>
          <t>3030053000044</t>
        </is>
      </c>
      <c r="B7467" t="inlineStr">
        <is>
          <t>Babyliss Pro Professional Round Brush 52 Mm Babcb4e Ceramic Brush</t>
        </is>
      </c>
      <c r="C7467" t="inlineStr">
        <is>
          <t>Round Brushes</t>
        </is>
      </c>
      <c r="D7467" t="inlineStr">
        <is>
          <t>Babyliss Pro</t>
        </is>
      </c>
      <c r="E7467" t="n">
        <v>9.029999999999999</v>
      </c>
      <c r="F7467" t="n">
        <v>1</v>
      </c>
      <c r="G7467" t="n">
        <v>4</v>
      </c>
      <c r="H7467" s="5">
        <f>HYPERLINK("https://api.qogita.com/variants/link/3030053000044/", "View Product")</f>
        <v/>
      </c>
    </row>
    <row r="7468">
      <c r="A7468" t="inlineStr">
        <is>
          <t>3050070000179</t>
        </is>
      </c>
      <c r="B7468" t="inlineStr">
        <is>
          <t>Mont St Michel Parfum Eau De Cologne Fraicheur Intense 250ml</t>
        </is>
      </c>
      <c r="C7468" t="inlineStr">
        <is>
          <t>Pimple &amp; Blackhead Treatments</t>
        </is>
      </c>
      <c r="D7468" t="inlineStr">
        <is>
          <t>Mont St Michel</t>
        </is>
      </c>
      <c r="E7468" t="n">
        <v>5.21</v>
      </c>
      <c r="F7468" t="n">
        <v>1</v>
      </c>
      <c r="G7468" t="n">
        <v>52</v>
      </c>
      <c r="H7468" s="5">
        <f>HYPERLINK("https://api.qogita.com/variants/link/3050070000179/", "View Product")</f>
        <v/>
      </c>
    </row>
    <row r="7469">
      <c r="A7469" t="inlineStr">
        <is>
          <t>3050070004023</t>
        </is>
      </c>
      <c r="B7469" t="inlineStr">
        <is>
          <t>Scorpio Aftershave 100ml Bottle Red</t>
        </is>
      </c>
      <c r="C7469" t="inlineStr">
        <is>
          <t>Aftershave</t>
        </is>
      </c>
      <c r="D7469" t="inlineStr">
        <is>
          <t>Scorpio</t>
        </is>
      </c>
      <c r="E7469" t="n">
        <v>4.88</v>
      </c>
      <c r="F7469" t="n">
        <v>1</v>
      </c>
      <c r="G7469" t="n">
        <v>85</v>
      </c>
      <c r="H7469" s="5">
        <f>HYPERLINK("https://api.qogita.com/variants/link/3050070004023/", "View Product")</f>
        <v/>
      </c>
    </row>
    <row r="7470">
      <c r="A7470" t="inlineStr">
        <is>
          <t>3050070006454</t>
        </is>
      </c>
      <c r="B7470" t="inlineStr">
        <is>
          <t>Mont St Michel Natural Classic Eau de Cologne 250ml Bottle</t>
        </is>
      </c>
      <c r="C7470" t="inlineStr">
        <is>
          <t>Eau De Cologne</t>
        </is>
      </c>
      <c r="D7470" t="inlineStr">
        <is>
          <t>Mont Saint Michel</t>
        </is>
      </c>
      <c r="E7470" t="n">
        <v>5.21</v>
      </c>
      <c r="F7470" t="n">
        <v>1</v>
      </c>
      <c r="G7470" t="n">
        <v>59</v>
      </c>
      <c r="H7470" s="5">
        <f>HYPERLINK("https://api.qogita.com/variants/link/3050070006454/", "View Product")</f>
        <v/>
      </c>
    </row>
    <row r="7471">
      <c r="A7471" t="inlineStr">
        <is>
          <t>3069662026169</t>
        </is>
      </c>
      <c r="B7471" t="inlineStr">
        <is>
          <t>Gerini Imperial Patchouli by Gerini Extrait de Parfum Spray 3.3 oz</t>
        </is>
      </c>
      <c r="C7471" t="inlineStr">
        <is>
          <t>Extrait De Parfum</t>
        </is>
      </c>
      <c r="D7471" t="inlineStr">
        <is>
          <t>Gerini</t>
        </is>
      </c>
      <c r="E7471" t="n">
        <v>29.38</v>
      </c>
      <c r="F7471" t="n">
        <v>1</v>
      </c>
      <c r="G7471" t="n">
        <v>15</v>
      </c>
      <c r="H7471" s="5">
        <f>HYPERLINK("https://api.qogita.com/variants/link/3069662026169/", "View Product")</f>
        <v/>
      </c>
    </row>
    <row r="7472">
      <c r="A7472" t="inlineStr">
        <is>
          <t>3098983943299</t>
        </is>
      </c>
      <c r="B7472" t="inlineStr">
        <is>
          <t>Guaiac 100ml Unisex Extrait De Parfum</t>
        </is>
      </c>
      <c r="C7472" t="inlineStr">
        <is>
          <t>Extrait De Parfum</t>
        </is>
      </c>
      <c r="D7472" t="inlineStr">
        <is>
          <t>Gerini</t>
        </is>
      </c>
      <c r="E7472" t="n">
        <v>29.89</v>
      </c>
      <c r="F7472" t="n">
        <v>1</v>
      </c>
      <c r="G7472" t="n">
        <v>2</v>
      </c>
      <c r="H7472" s="5">
        <f>HYPERLINK("https://api.qogita.com/variants/link/3098983943299/", "View Product")</f>
        <v/>
      </c>
    </row>
    <row r="7473">
      <c r="A7473" t="inlineStr">
        <is>
          <t>3127291150171</t>
        </is>
      </c>
      <c r="B7473" t="inlineStr">
        <is>
          <t>Maison Berger Paris Vanilla Gourmet Catalytic Lamp Refill 500 Ml</t>
        </is>
      </c>
      <c r="C7473" t="inlineStr">
        <is>
          <t>Diffusers</t>
        </is>
      </c>
      <c r="D7473" t="inlineStr">
        <is>
          <t>Maison Berger Paris</t>
        </is>
      </c>
      <c r="E7473" t="n">
        <v>16.84</v>
      </c>
      <c r="F7473" t="n">
        <v>1</v>
      </c>
      <c r="G7473" t="n">
        <v>16</v>
      </c>
      <c r="H7473" s="5">
        <f>HYPERLINK("https://api.qogita.com/variants/link/3127291150171/", "View Product")</f>
        <v/>
      </c>
    </row>
    <row r="7474">
      <c r="A7474" t="inlineStr">
        <is>
          <t>3127291150225</t>
        </is>
      </c>
      <c r="B7474" t="inlineStr">
        <is>
          <t>Maison Berger Paris Amber Powder Catalytic Lamp Refill 500 Ml</t>
        </is>
      </c>
      <c r="C7474" t="inlineStr">
        <is>
          <t>Diffusers</t>
        </is>
      </c>
      <c r="D7474" t="inlineStr">
        <is>
          <t>Maison Berger Paris</t>
        </is>
      </c>
      <c r="E7474" t="n">
        <v>17.27</v>
      </c>
      <c r="F7474" t="n">
        <v>1</v>
      </c>
      <c r="G7474" t="n">
        <v>3</v>
      </c>
      <c r="H7474" s="5">
        <f>HYPERLINK("https://api.qogita.com/variants/link/3127291150225/", "View Product")</f>
        <v/>
      </c>
    </row>
    <row r="7475">
      <c r="A7475" t="inlineStr">
        <is>
          <t>3127291151178</t>
        </is>
      </c>
      <c r="B7475" t="inlineStr">
        <is>
          <t>Maison Berger Paris Fresh Linen Catalytic Lamp Refill 500 Ml</t>
        </is>
      </c>
      <c r="C7475" t="inlineStr">
        <is>
          <t>Diffusers</t>
        </is>
      </c>
      <c r="D7475" t="inlineStr">
        <is>
          <t>Maison Berger Paris</t>
        </is>
      </c>
      <c r="E7475" t="n">
        <v>17.27</v>
      </c>
      <c r="F7475" t="n">
        <v>1</v>
      </c>
      <c r="G7475" t="n">
        <v>27</v>
      </c>
      <c r="H7475" s="5">
        <f>HYPERLINK("https://api.qogita.com/variants/link/3127291151178/", "View Product")</f>
        <v/>
      </c>
    </row>
    <row r="7476">
      <c r="A7476" t="inlineStr">
        <is>
          <t>3127291153615</t>
        </is>
      </c>
      <c r="B7476" t="inlineStr">
        <is>
          <t>Maison Berger Paris Catalytic Lamp Refill Pure White Tea 500 Ml</t>
        </is>
      </c>
      <c r="C7476" t="inlineStr">
        <is>
          <t>Diffusers</t>
        </is>
      </c>
      <c r="D7476" t="inlineStr">
        <is>
          <t>Maison Berger Paris</t>
        </is>
      </c>
      <c r="E7476" t="n">
        <v>17.27</v>
      </c>
      <c r="F7476" t="n">
        <v>1</v>
      </c>
      <c r="G7476" t="n">
        <v>9</v>
      </c>
      <c r="H7476" s="5">
        <f>HYPERLINK("https://api.qogita.com/variants/link/3127291153615/", "View Product")</f>
        <v/>
      </c>
    </row>
    <row r="7477">
      <c r="A7477" t="inlineStr">
        <is>
          <t>3137370207054</t>
        </is>
      </c>
      <c r="B7477" t="inlineStr">
        <is>
          <t>Nina Ricci L'Air Du Temps Eau de Parfum 50ml</t>
        </is>
      </c>
      <c r="C7477" t="inlineStr">
        <is>
          <t>Eau De Parfum</t>
        </is>
      </c>
      <c r="D7477" t="inlineStr">
        <is>
          <t>Nina Ricci</t>
        </is>
      </c>
      <c r="E7477" t="n">
        <v>35.66</v>
      </c>
      <c r="F7477" t="n">
        <v>1</v>
      </c>
      <c r="G7477" t="n">
        <v>153</v>
      </c>
      <c r="H7477" s="5">
        <f>HYPERLINK("https://api.qogita.com/variants/link/3137370207054/", "View Product")</f>
        <v/>
      </c>
    </row>
    <row r="7478">
      <c r="A7478" t="inlineStr">
        <is>
          <t>3137370302131</t>
        </is>
      </c>
      <c r="B7478" t="inlineStr">
        <is>
          <t>Nina Ricci L'Air Du Temps Eau De Parfum</t>
        </is>
      </c>
      <c r="C7478" t="inlineStr">
        <is>
          <t>Eau De Parfum</t>
        </is>
      </c>
      <c r="D7478" t="inlineStr">
        <is>
          <t>Nina Ricci</t>
        </is>
      </c>
      <c r="E7478" t="n">
        <v>51.54</v>
      </c>
      <c r="F7478" t="n">
        <v>1</v>
      </c>
      <c r="G7478" t="n">
        <v>157</v>
      </c>
      <c r="H7478" s="5">
        <f>HYPERLINK("https://api.qogita.com/variants/link/3137370302131/", "View Product")</f>
        <v/>
      </c>
    </row>
    <row r="7479">
      <c r="A7479" t="inlineStr">
        <is>
          <t>3137370321521</t>
        </is>
      </c>
      <c r="B7479" t="inlineStr">
        <is>
          <t>Nina Ricci Luna Eau De Toilette 50ml For Women</t>
        </is>
      </c>
      <c r="C7479" t="inlineStr">
        <is>
          <t>Eau De Toilette</t>
        </is>
      </c>
      <c r="D7479" t="inlineStr">
        <is>
          <t>Nina Ricci</t>
        </is>
      </c>
      <c r="E7479" t="n">
        <v>34.28</v>
      </c>
      <c r="F7479" t="n">
        <v>1</v>
      </c>
      <c r="G7479" t="n">
        <v>50</v>
      </c>
      <c r="H7479" s="5">
        <f>HYPERLINK("https://api.qogita.com/variants/link/3137370321521/", "View Product")</f>
        <v/>
      </c>
    </row>
    <row r="7480">
      <c r="A7480" t="inlineStr">
        <is>
          <t>3137370342021</t>
        </is>
      </c>
      <c r="B7480" t="inlineStr">
        <is>
          <t>Nina Ricci Chant D'Extase Eau De Parfum 50ml For Women</t>
        </is>
      </c>
      <c r="C7480" t="inlineStr">
        <is>
          <t>Eau De Parfum</t>
        </is>
      </c>
      <c r="D7480" t="inlineStr">
        <is>
          <t>Nina Ricci</t>
        </is>
      </c>
      <c r="E7480" t="n">
        <v>27.79</v>
      </c>
      <c r="F7480" t="n">
        <v>1</v>
      </c>
      <c r="G7480" t="n">
        <v>93</v>
      </c>
      <c r="H7480" s="5">
        <f>HYPERLINK("https://api.qogita.com/variants/link/3137370342021/", "View Product")</f>
        <v/>
      </c>
    </row>
    <row r="7481">
      <c r="A7481" t="inlineStr">
        <is>
          <t>3137370342175</t>
        </is>
      </c>
      <c r="B7481" t="inlineStr">
        <is>
          <t>Nina Ricci Chant d'Extase Eau de Parfum Spray 80ml</t>
        </is>
      </c>
      <c r="C7481" t="inlineStr">
        <is>
          <t>Eau De Parfum</t>
        </is>
      </c>
      <c r="D7481" t="inlineStr">
        <is>
          <t>Nina Ricci</t>
        </is>
      </c>
      <c r="E7481" t="n">
        <v>41.95</v>
      </c>
      <c r="F7481" t="n">
        <v>1</v>
      </c>
      <c r="G7481" t="n">
        <v>5</v>
      </c>
      <c r="H7481" s="5">
        <f>HYPERLINK("https://api.qogita.com/variants/link/3137370342175/", "View Product")</f>
        <v/>
      </c>
    </row>
    <row r="7482">
      <c r="A7482" t="inlineStr">
        <is>
          <t>3137370352167</t>
        </is>
      </c>
      <c r="B7482" t="inlineStr">
        <is>
          <t>Nina Rose Eau De Toilette Spray 50ml By Nina</t>
        </is>
      </c>
      <c r="C7482" t="inlineStr">
        <is>
          <t>Eau De Toilette</t>
        </is>
      </c>
      <c r="D7482" t="inlineStr">
        <is>
          <t>Nina Ricci</t>
        </is>
      </c>
      <c r="E7482" t="n">
        <v>27.22</v>
      </c>
      <c r="F7482" t="n">
        <v>1</v>
      </c>
      <c r="G7482" t="n">
        <v>5</v>
      </c>
      <c r="H7482" s="5">
        <f>HYPERLINK("https://api.qogita.com/variants/link/3137370352167/", "View Product")</f>
        <v/>
      </c>
    </row>
    <row r="7483">
      <c r="A7483" t="inlineStr">
        <is>
          <t>3137370354536</t>
        </is>
      </c>
      <c r="B7483" t="inlineStr">
        <is>
          <t>Nina Ricci Extra Rouge Eau de Parfum Spray 50ml</t>
        </is>
      </c>
      <c r="C7483" t="inlineStr">
        <is>
          <t>Eau De Parfum</t>
        </is>
      </c>
      <c r="D7483" t="inlineStr">
        <is>
          <t>Nina Ricci</t>
        </is>
      </c>
      <c r="E7483" t="n">
        <v>34.99</v>
      </c>
      <c r="F7483" t="n">
        <v>1</v>
      </c>
      <c r="G7483" t="n">
        <v>5</v>
      </c>
      <c r="H7483" s="5">
        <f>HYPERLINK("https://api.qogita.com/variants/link/3137370354536/", "View Product")</f>
        <v/>
      </c>
    </row>
    <row r="7484">
      <c r="A7484" t="inlineStr">
        <is>
          <t>3137370357476</t>
        </is>
      </c>
      <c r="B7484" t="inlineStr">
        <is>
          <t>Nina Ricci Nina Eau De Toilette Spray Refillable 80ml Women's Fragrance</t>
        </is>
      </c>
      <c r="C7484" t="inlineStr">
        <is>
          <t>Eau De Toilette</t>
        </is>
      </c>
      <c r="D7484" t="inlineStr">
        <is>
          <t>Nina Ricci</t>
        </is>
      </c>
      <c r="E7484" t="n">
        <v>47.2</v>
      </c>
      <c r="F7484" t="n">
        <v>1</v>
      </c>
      <c r="G7484" t="n">
        <v>96</v>
      </c>
      <c r="H7484" s="5">
        <f>HYPERLINK("https://api.qogita.com/variants/link/3137370357476/", "View Product")</f>
        <v/>
      </c>
    </row>
    <row r="7485">
      <c r="A7485" t="inlineStr">
        <is>
          <t>3137370359494</t>
        </is>
      </c>
      <c r="B7485" t="inlineStr">
        <is>
          <t>Nina Ricci Nina Le Parfum Eau De Parfum Spray 80ml</t>
        </is>
      </c>
      <c r="C7485" t="inlineStr">
        <is>
          <t>Eau De Parfum</t>
        </is>
      </c>
      <c r="D7485" t="inlineStr">
        <is>
          <t>Nina Ricci</t>
        </is>
      </c>
      <c r="E7485" t="n">
        <v>61.4</v>
      </c>
      <c r="F7485" t="n">
        <v>1</v>
      </c>
      <c r="G7485" t="n">
        <v>19</v>
      </c>
      <c r="H7485" s="5">
        <f>HYPERLINK("https://api.qogita.com/variants/link/3137370359494/", "View Product")</f>
        <v/>
      </c>
    </row>
    <row r="7486">
      <c r="A7486" t="inlineStr">
        <is>
          <t>3147755836175</t>
        </is>
      </c>
      <c r="B7486" t="inlineStr">
        <is>
          <t>Lancme Crayon Khl Eyeliner 03 Gris Bleu 18 G</t>
        </is>
      </c>
      <c r="C7486" t="inlineStr">
        <is>
          <t>Eyeliner</t>
        </is>
      </c>
      <c r="D7486" t="inlineStr">
        <is>
          <t>Lancôme</t>
        </is>
      </c>
      <c r="E7486" t="n">
        <v>19.32</v>
      </c>
      <c r="F7486" t="n">
        <v>1</v>
      </c>
      <c r="G7486" t="n">
        <v>10</v>
      </c>
      <c r="H7486" s="5">
        <f>HYPERLINK("https://api.qogita.com/variants/link/3147755836175/", "View Product")</f>
        <v/>
      </c>
    </row>
    <row r="7487">
      <c r="A7487" t="inlineStr">
        <is>
          <t>3147758014709</t>
        </is>
      </c>
      <c r="B7487" t="inlineStr">
        <is>
          <t>Lancme Bocage Gentle Smooth Deodorant Cream 50 Ml</t>
        </is>
      </c>
      <c r="C7487" t="inlineStr">
        <is>
          <t>Deodorant &amp; Anti-Perspirant</t>
        </is>
      </c>
      <c r="D7487" t="inlineStr">
        <is>
          <t>Lancôme</t>
        </is>
      </c>
      <c r="E7487" t="n">
        <v>18.56</v>
      </c>
      <c r="F7487" t="n">
        <v>1</v>
      </c>
      <c r="G7487" t="n">
        <v>156</v>
      </c>
      <c r="H7487" s="5">
        <f>HYPERLINK("https://api.qogita.com/variants/link/3147758014709/", "View Product")</f>
        <v/>
      </c>
    </row>
    <row r="7488">
      <c r="A7488" t="inlineStr">
        <is>
          <t>3147758030334</t>
        </is>
      </c>
      <c r="B7488" t="inlineStr">
        <is>
          <t>Lancme Bifacil Eye Makeup Remover 125 Ml Doubleaction Eye Makeup Remover</t>
        </is>
      </c>
      <c r="C7488" t="inlineStr">
        <is>
          <t>Eye Makeup Remover</t>
        </is>
      </c>
      <c r="D7488" t="inlineStr">
        <is>
          <t>Lancôme</t>
        </is>
      </c>
      <c r="E7488" t="n">
        <v>16.99</v>
      </c>
      <c r="F7488" t="n">
        <v>1</v>
      </c>
      <c r="G7488" t="n">
        <v>35</v>
      </c>
      <c r="H7488" s="5">
        <f>HYPERLINK("https://api.qogita.com/variants/link/3147758030334/", "View Product")</f>
        <v/>
      </c>
    </row>
    <row r="7489">
      <c r="A7489" t="inlineStr">
        <is>
          <t>3147758034912</t>
        </is>
      </c>
      <c r="B7489" t="inlineStr">
        <is>
          <t>Lancome Tresor Eau De Parfum Elegant &amp; Romantic Women's Fragrance with Rose</t>
        </is>
      </c>
      <c r="C7489" t="inlineStr">
        <is>
          <t>Eau De Parfum</t>
        </is>
      </c>
      <c r="D7489" t="inlineStr">
        <is>
          <t>Lancôme</t>
        </is>
      </c>
      <c r="E7489" t="n">
        <v>53.03</v>
      </c>
      <c r="F7489" t="n">
        <v>1</v>
      </c>
      <c r="G7489" t="n">
        <v>100</v>
      </c>
      <c r="H7489" s="5">
        <f>HYPERLINK("https://api.qogita.com/variants/link/3147758034912/", "View Product")</f>
        <v/>
      </c>
    </row>
    <row r="7490">
      <c r="A7490" t="inlineStr">
        <is>
          <t>3178040643451</t>
        </is>
      </c>
      <c r="B7490" t="inlineStr">
        <is>
          <t>Scorpio Black Absolu Men's Deodorant Spray 150ml</t>
        </is>
      </c>
      <c r="C7490" t="inlineStr">
        <is>
          <t>Deodorant &amp; Anti-Perspirant</t>
        </is>
      </c>
      <c r="D7490" t="inlineStr">
        <is>
          <t>Scorpio</t>
        </is>
      </c>
      <c r="E7490" t="n">
        <v>3.74</v>
      </c>
      <c r="F7490" t="n">
        <v>1</v>
      </c>
      <c r="G7490" t="n">
        <v>122</v>
      </c>
      <c r="H7490" s="5">
        <f>HYPERLINK("https://api.qogita.com/variants/link/3178040643451/", "View Product")</f>
        <v/>
      </c>
    </row>
    <row r="7491">
      <c r="A7491" t="inlineStr">
        <is>
          <t>3178040666283</t>
        </is>
      </c>
      <c r="B7491" t="inlineStr">
        <is>
          <t>Mont St Michel Savon Cologne Solid Soap 125g Amber</t>
        </is>
      </c>
      <c r="C7491" t="inlineStr">
        <is>
          <t>Eau De Cologne</t>
        </is>
      </c>
      <c r="D7491" t="inlineStr">
        <is>
          <t>Mont St Michel</t>
        </is>
      </c>
      <c r="E7491" t="n">
        <v>1.78</v>
      </c>
      <c r="F7491" t="n">
        <v>1</v>
      </c>
      <c r="G7491" t="n">
        <v>4</v>
      </c>
      <c r="H7491" s="5">
        <f>HYPERLINK("https://api.qogita.com/variants/link/3178040666283/", "View Product")</f>
        <v/>
      </c>
    </row>
    <row r="7492">
      <c r="A7492" t="inlineStr">
        <is>
          <t>3178040666290</t>
        </is>
      </c>
      <c r="B7492" t="inlineStr">
        <is>
          <t>Mont St Michel Solid Cologne Soap Aromatic Freshness 125g</t>
        </is>
      </c>
      <c r="C7492" t="inlineStr">
        <is>
          <t>Eau De Cologne</t>
        </is>
      </c>
      <c r="D7492" t="inlineStr">
        <is>
          <t>Mont Saint Michel</t>
        </is>
      </c>
      <c r="E7492" t="n">
        <v>1.78</v>
      </c>
      <c r="F7492" t="n">
        <v>1</v>
      </c>
      <c r="G7492" t="n">
        <v>98</v>
      </c>
      <c r="H7492" s="5">
        <f>HYPERLINK("https://api.qogita.com/variants/link/3178040666290/", "View Product")</f>
        <v/>
      </c>
    </row>
    <row r="7493">
      <c r="A7493" t="inlineStr">
        <is>
          <t>3178041316811</t>
        </is>
      </c>
      <c r="B7493" t="inlineStr">
        <is>
          <t>Scorpio Night Collection Eau de Toilette for Men 75ml</t>
        </is>
      </c>
      <c r="C7493" t="inlineStr">
        <is>
          <t>Eau De Toilette</t>
        </is>
      </c>
      <c r="D7493" t="inlineStr">
        <is>
          <t>Scorpio</t>
        </is>
      </c>
      <c r="E7493" t="n">
        <v>10.53</v>
      </c>
      <c r="F7493" t="n">
        <v>1</v>
      </c>
      <c r="G7493" t="n">
        <v>38</v>
      </c>
      <c r="H7493" s="5">
        <f>HYPERLINK("https://api.qogita.com/variants/link/3178041316811/", "View Product")</f>
        <v/>
      </c>
    </row>
    <row r="7494">
      <c r="A7494" t="inlineStr">
        <is>
          <t>3178041316835</t>
        </is>
      </c>
      <c r="B7494" t="inlineStr">
        <is>
          <t>Scorpio Collection Sport Eau de Toilette 75ml</t>
        </is>
      </c>
      <c r="C7494" t="inlineStr">
        <is>
          <t>Eau De Toilette</t>
        </is>
      </c>
      <c r="D7494" t="inlineStr">
        <is>
          <t>Scorpio</t>
        </is>
      </c>
      <c r="E7494" t="n">
        <v>10.53</v>
      </c>
      <c r="F7494" t="n">
        <v>1</v>
      </c>
      <c r="G7494" t="n">
        <v>53</v>
      </c>
      <c r="H7494" s="5">
        <f>HYPERLINK("https://api.qogita.com/variants/link/3178041316835/", "View Product")</f>
        <v/>
      </c>
    </row>
    <row r="7495">
      <c r="A7495" t="inlineStr">
        <is>
          <t>3200202412107</t>
        </is>
      </c>
      <c r="B7495" t="inlineStr">
        <is>
          <t>Moudon Broye Extrait De Parfum Spray</t>
        </is>
      </c>
      <c r="C7495" t="inlineStr">
        <is>
          <t>Extrait De Parfum</t>
        </is>
      </c>
      <c r="D7495" t="inlineStr">
        <is>
          <t>Moudon</t>
        </is>
      </c>
      <c r="E7495" t="n">
        <v>42.93</v>
      </c>
      <c r="F7495" t="n">
        <v>1</v>
      </c>
      <c r="G7495" t="n">
        <v>8</v>
      </c>
      <c r="H7495" s="5">
        <f>HYPERLINK("https://api.qogita.com/variants/link/3200202412107/", "View Product")</f>
        <v/>
      </c>
    </row>
    <row r="7496">
      <c r="A7496" t="inlineStr">
        <is>
          <t>3200202412114</t>
        </is>
      </c>
      <c r="B7496" t="inlineStr">
        <is>
          <t>Moudon Mazan Extrait De Parfum Spray</t>
        </is>
      </c>
      <c r="C7496" t="inlineStr">
        <is>
          <t>Extrait De Parfum</t>
        </is>
      </c>
      <c r="D7496" t="inlineStr">
        <is>
          <t>Moudon</t>
        </is>
      </c>
      <c r="E7496" t="n">
        <v>50.07</v>
      </c>
      <c r="F7496" t="n">
        <v>1</v>
      </c>
      <c r="G7496" t="n">
        <v>7</v>
      </c>
      <c r="H7496" s="5">
        <f>HYPERLINK("https://api.qogita.com/variants/link/3200202412114/", "View Product")</f>
        <v/>
      </c>
    </row>
    <row r="7497">
      <c r="A7497" t="inlineStr">
        <is>
          <t>3253581680568</t>
        </is>
      </c>
      <c r="B7497" t="inlineStr">
        <is>
          <t>L'Occitane Shea Butter Extra Gentle Soap Lavender 250g</t>
        </is>
      </c>
      <c r="C7497" t="inlineStr">
        <is>
          <t>Soap</t>
        </is>
      </c>
      <c r="D7497" t="inlineStr">
        <is>
          <t>L'Occitane</t>
        </is>
      </c>
      <c r="E7497" t="n">
        <v>6.57</v>
      </c>
      <c r="F7497" t="n">
        <v>1</v>
      </c>
      <c r="G7497" t="n">
        <v>86</v>
      </c>
      <c r="H7497" s="5">
        <f>HYPERLINK("https://api.qogita.com/variants/link/3253581680568/", "View Product")</f>
        <v/>
      </c>
    </row>
    <row r="7498">
      <c r="A7498" t="inlineStr">
        <is>
          <t>3253581688847</t>
        </is>
      </c>
      <c r="B7498" t="inlineStr">
        <is>
          <t>L'Occitane Immortelle Divine Eye &amp; Lip Contour Gel 15ml</t>
        </is>
      </c>
      <c r="C7498" t="inlineStr">
        <is>
          <t>Eye Gel</t>
        </is>
      </c>
      <c r="D7498" t="inlineStr">
        <is>
          <t>L'Occitane</t>
        </is>
      </c>
      <c r="E7498" t="n">
        <v>36.06</v>
      </c>
      <c r="F7498" t="n">
        <v>1</v>
      </c>
      <c r="G7498" t="n">
        <v>5</v>
      </c>
      <c r="H7498" s="5">
        <f>HYPERLINK("https://api.qogita.com/variants/link/3253581688847/", "View Product")</f>
        <v/>
      </c>
    </row>
    <row r="7499">
      <c r="A7499" t="inlineStr">
        <is>
          <t>3253581729465</t>
        </is>
      </c>
      <c r="B7499" t="inlineStr">
        <is>
          <t>Artichoke Massage Cream 200ml</t>
        </is>
      </c>
      <c r="C7499" t="inlineStr">
        <is>
          <t>Body Lotion</t>
        </is>
      </c>
      <c r="D7499" t="inlineStr">
        <is>
          <t>L'Occitane</t>
        </is>
      </c>
      <c r="E7499" t="n">
        <v>38.21</v>
      </c>
      <c r="F7499" t="n">
        <v>1</v>
      </c>
      <c r="G7499" t="n">
        <v>5</v>
      </c>
      <c r="H7499" s="5">
        <f>HYPERLINK("https://api.qogita.com/variants/link/3253581729465/", "View Product")</f>
        <v/>
      </c>
    </row>
    <row r="7500">
      <c r="A7500" t="inlineStr">
        <is>
          <t>3253581754030</t>
        </is>
      </c>
      <c r="B7500" t="inlineStr">
        <is>
          <t>L'Occitane Cherry Blossom Shimmering Body Lotion 250ml</t>
        </is>
      </c>
      <c r="C7500" t="inlineStr">
        <is>
          <t>Body Lotion</t>
        </is>
      </c>
      <c r="D7500" t="inlineStr">
        <is>
          <t>L'Occitane</t>
        </is>
      </c>
      <c r="E7500" t="n">
        <v>16.13</v>
      </c>
      <c r="F7500" t="n">
        <v>1</v>
      </c>
      <c r="G7500" t="n">
        <v>22</v>
      </c>
      <c r="H7500" s="5">
        <f>HYPERLINK("https://api.qogita.com/variants/link/3253581754030/", "View Product")</f>
        <v/>
      </c>
    </row>
    <row r="7501">
      <c r="A7501" t="inlineStr">
        <is>
          <t>3253581754481</t>
        </is>
      </c>
      <c r="B7501" t="inlineStr">
        <is>
          <t>L'Occitane Immortelle Precieuse Proactive Youth Skincare Eye Contour 15ml</t>
        </is>
      </c>
      <c r="C7501" t="inlineStr">
        <is>
          <t>Eye Cream</t>
        </is>
      </c>
      <c r="D7501" t="inlineStr">
        <is>
          <t>L'Occitane</t>
        </is>
      </c>
      <c r="E7501" t="n">
        <v>30.24</v>
      </c>
      <c r="F7501" t="n">
        <v>1</v>
      </c>
      <c r="G7501" t="n">
        <v>6</v>
      </c>
      <c r="H7501" s="5">
        <f>HYPERLINK("https://api.qogita.com/variants/link/3253581754481/", "View Product")</f>
        <v/>
      </c>
    </row>
    <row r="7502">
      <c r="A7502" t="inlineStr">
        <is>
          <t>3253581758953</t>
        </is>
      </c>
      <c r="B7502" t="inlineStr">
        <is>
          <t>L'OCCITANE Smoothing and Detoxifying Artichoke Body Scrub 7 oz.</t>
        </is>
      </c>
      <c r="C7502" t="inlineStr">
        <is>
          <t>Body Scrub &amp; Peeling</t>
        </is>
      </c>
      <c r="D7502" t="inlineStr">
        <is>
          <t>L'Occitane</t>
        </is>
      </c>
      <c r="E7502" t="n">
        <v>31.16</v>
      </c>
      <c r="F7502" t="n">
        <v>1</v>
      </c>
      <c r="G7502" t="n">
        <v>21</v>
      </c>
      <c r="H7502" s="5">
        <f>HYPERLINK("https://api.qogita.com/variants/link/3253581758953/", "View Product")</f>
        <v/>
      </c>
    </row>
    <row r="7503">
      <c r="A7503" t="inlineStr">
        <is>
          <t>3253581760598</t>
        </is>
      </c>
      <c r="B7503" t="inlineStr">
        <is>
          <t>L'Occitane Rose Eau De Toilette Spray 75ml</t>
        </is>
      </c>
      <c r="C7503" t="inlineStr">
        <is>
          <t>Eau De Toilette</t>
        </is>
      </c>
      <c r="D7503" t="inlineStr">
        <is>
          <t>L'Occitane</t>
        </is>
      </c>
      <c r="E7503" t="n">
        <v>40.69</v>
      </c>
      <c r="F7503" t="n">
        <v>1</v>
      </c>
      <c r="G7503" t="n">
        <v>6</v>
      </c>
      <c r="H7503" s="5">
        <f>HYPERLINK("https://api.qogita.com/variants/link/3253581760598/", "View Product")</f>
        <v/>
      </c>
    </row>
    <row r="7504">
      <c r="A7504" t="inlineStr">
        <is>
          <t>3253581760734</t>
        </is>
      </c>
      <c r="B7504" t="inlineStr">
        <is>
          <t>L'Occitane Rose Hand Cream 75ml Moisturizing Hand Cream With Rose</t>
        </is>
      </c>
      <c r="C7504" t="inlineStr">
        <is>
          <t>Hand Cream</t>
        </is>
      </c>
      <c r="D7504" t="inlineStr">
        <is>
          <t>L'Occitane</t>
        </is>
      </c>
      <c r="E7504" t="n">
        <v>14.17</v>
      </c>
      <c r="F7504" t="n">
        <v>1</v>
      </c>
      <c r="G7504" t="n">
        <v>13</v>
      </c>
      <c r="H7504" s="5">
        <f>HYPERLINK("https://api.qogita.com/variants/link/3253581760734/", "View Product")</f>
        <v/>
      </c>
    </row>
    <row r="7505">
      <c r="A7505" t="inlineStr">
        <is>
          <t>3253581764329</t>
        </is>
      </c>
      <c r="B7505" t="inlineStr">
        <is>
          <t>L'Occitane Aromachologie Purifying Freshness Shampoo 300ml</t>
        </is>
      </c>
      <c r="C7505" t="inlineStr">
        <is>
          <t>Shampoo</t>
        </is>
      </c>
      <c r="D7505" t="inlineStr">
        <is>
          <t>L'Occitane</t>
        </is>
      </c>
      <c r="E7505" t="n">
        <v>15.01</v>
      </c>
      <c r="F7505" t="n">
        <v>1</v>
      </c>
      <c r="G7505" t="n">
        <v>43</v>
      </c>
      <c r="H7505" s="5">
        <f>HYPERLINK("https://api.qogita.com/variants/link/3253581764329/", "View Product")</f>
        <v/>
      </c>
    </row>
    <row r="7506">
      <c r="A7506" t="inlineStr">
        <is>
          <t>3253581767559</t>
        </is>
      </c>
      <c r="B7506" t="inlineStr">
        <is>
          <t>L'Occitane Lip Balm Stick 45g</t>
        </is>
      </c>
      <c r="C7506" t="inlineStr">
        <is>
          <t>Medicated Treatments</t>
        </is>
      </c>
      <c r="D7506" t="inlineStr">
        <is>
          <t>L'Occitane</t>
        </is>
      </c>
      <c r="E7506" t="n">
        <v>6.22</v>
      </c>
      <c r="F7506" t="n">
        <v>1</v>
      </c>
      <c r="G7506" t="n">
        <v>15</v>
      </c>
      <c r="H7506" s="5">
        <f>HYPERLINK("https://api.qogita.com/variants/link/3253581767559/", "View Product")</f>
        <v/>
      </c>
    </row>
    <row r="7507">
      <c r="A7507" t="inlineStr">
        <is>
          <t>3253581768075</t>
        </is>
      </c>
      <c r="B7507" t="inlineStr">
        <is>
          <t>L'Occitane Gentle &amp; Balance Shampoo 2.50 fl oz</t>
        </is>
      </c>
      <c r="C7507" t="inlineStr">
        <is>
          <t>Shampoo</t>
        </is>
      </c>
      <c r="D7507" t="inlineStr">
        <is>
          <t>L'Occitane</t>
        </is>
      </c>
      <c r="E7507" t="n">
        <v>7.23</v>
      </c>
      <c r="F7507" t="n">
        <v>1</v>
      </c>
      <c r="G7507" t="n">
        <v>8</v>
      </c>
      <c r="H7507" s="5">
        <f>HYPERLINK("https://api.qogita.com/variants/link/3253581768075/", "View Product")</f>
        <v/>
      </c>
    </row>
    <row r="7508">
      <c r="A7508" t="inlineStr">
        <is>
          <t>3253581768594</t>
        </is>
      </c>
      <c r="B7508" t="inlineStr">
        <is>
          <t>L'Occitane Immortelle Divine Serum 1.00 Fl. Oz</t>
        </is>
      </c>
      <c r="C7508" t="inlineStr">
        <is>
          <t>Anti-Aging Serum</t>
        </is>
      </c>
      <c r="D7508" t="inlineStr">
        <is>
          <t>L'Occitane</t>
        </is>
      </c>
      <c r="E7508" t="n">
        <v>66.81999999999999</v>
      </c>
      <c r="F7508" t="n">
        <v>1</v>
      </c>
      <c r="G7508" t="n">
        <v>12</v>
      </c>
      <c r="H7508" s="5">
        <f>HYPERLINK("https://api.qogita.com/variants/link/3253581768594/", "View Product")</f>
        <v/>
      </c>
    </row>
    <row r="7509">
      <c r="A7509" t="inlineStr">
        <is>
          <t>3253581768648</t>
        </is>
      </c>
      <c r="B7509" t="inlineStr">
        <is>
          <t>L'OCCITANE Travel Sized Shea Butter Hand Cream 30ml Nourishing Hand Care</t>
        </is>
      </c>
      <c r="C7509" t="inlineStr">
        <is>
          <t>Hand Cream</t>
        </is>
      </c>
      <c r="D7509" t="inlineStr">
        <is>
          <t>L'Occitane</t>
        </is>
      </c>
      <c r="E7509" t="n">
        <v>7.66</v>
      </c>
      <c r="F7509" t="n">
        <v>1</v>
      </c>
      <c r="G7509" t="n">
        <v>175</v>
      </c>
      <c r="H7509" s="5">
        <f>HYPERLINK("https://api.qogita.com/variants/link/3253581768648/", "View Product")</f>
        <v/>
      </c>
    </row>
    <row r="7510">
      <c r="A7510" t="inlineStr">
        <is>
          <t>3253581770092</t>
        </is>
      </c>
      <c r="B7510" t="inlineStr">
        <is>
          <t>L'Occitane Lavande Blanche Body Milk 250ml</t>
        </is>
      </c>
      <c r="C7510" t="inlineStr">
        <is>
          <t>Body Lotion</t>
        </is>
      </c>
      <c r="D7510" t="inlineStr">
        <is>
          <t>L'Occitane</t>
        </is>
      </c>
      <c r="E7510" t="n">
        <v>16.41</v>
      </c>
      <c r="F7510" t="n">
        <v>1</v>
      </c>
      <c r="G7510" t="n">
        <v>33</v>
      </c>
      <c r="H7510" s="5">
        <f>HYPERLINK("https://api.qogita.com/variants/link/3253581770092/", "View Product")</f>
        <v/>
      </c>
    </row>
    <row r="7511">
      <c r="A7511" t="inlineStr">
        <is>
          <t>3253581775325</t>
        </is>
      </c>
      <c r="B7511" t="inlineStr">
        <is>
          <t>L'Occitane Shea Butter Gift Set 3 Pieces</t>
        </is>
      </c>
      <c r="C7511" t="inlineStr">
        <is>
          <t>Body Care Sets</t>
        </is>
      </c>
      <c r="D7511" t="inlineStr">
        <is>
          <t>L'Occitane</t>
        </is>
      </c>
      <c r="E7511" t="n">
        <v>40.75</v>
      </c>
      <c r="F7511" t="n">
        <v>1</v>
      </c>
      <c r="G7511" t="n">
        <v>48</v>
      </c>
      <c r="H7511" s="5">
        <f>HYPERLINK("https://api.qogita.com/variants/link/3253581775325/", "View Product")</f>
        <v/>
      </c>
    </row>
    <row r="7512">
      <c r="A7512" t="inlineStr">
        <is>
          <t>3253581775400</t>
        </is>
      </c>
      <c r="B7512" t="inlineStr">
        <is>
          <t>L'Occitane Hand Cream Collection Gift Set 3 Pieces</t>
        </is>
      </c>
      <c r="C7512" t="inlineStr">
        <is>
          <t>Hand Care Sets</t>
        </is>
      </c>
      <c r="D7512" t="inlineStr">
        <is>
          <t>L'Occitane</t>
        </is>
      </c>
      <c r="E7512" t="n">
        <v>15.85</v>
      </c>
      <c r="F7512" t="n">
        <v>1</v>
      </c>
      <c r="G7512" t="n">
        <v>25</v>
      </c>
      <c r="H7512" s="5">
        <f>HYPERLINK("https://api.qogita.com/variants/link/3253581775400/", "View Product")</f>
        <v/>
      </c>
    </row>
    <row r="7513">
      <c r="A7513" t="inlineStr">
        <is>
          <t>3253581775417</t>
        </is>
      </c>
      <c r="B7513" t="inlineStr">
        <is>
          <t>L'Occitane L' Occitan Routine Gift Set</t>
        </is>
      </c>
      <c r="C7513" t="inlineStr">
        <is>
          <t>Body Care Sets</t>
        </is>
      </c>
      <c r="D7513" t="inlineStr">
        <is>
          <t>L'Occitane</t>
        </is>
      </c>
      <c r="E7513" t="n">
        <v>15.86</v>
      </c>
      <c r="F7513" t="n">
        <v>1</v>
      </c>
      <c r="G7513" t="n">
        <v>13</v>
      </c>
      <c r="H7513" s="5">
        <f>HYPERLINK("https://api.qogita.com/variants/link/3253581775417/", "View Product")</f>
        <v/>
      </c>
    </row>
    <row r="7514">
      <c r="A7514" t="inlineStr">
        <is>
          <t>3253581779125</t>
        </is>
      </c>
      <c r="B7514" t="inlineStr">
        <is>
          <t>L'Occitane Almond Delightful Body Balm</t>
        </is>
      </c>
      <c r="C7514" t="inlineStr">
        <is>
          <t>Body Butter</t>
        </is>
      </c>
      <c r="D7514" t="inlineStr">
        <is>
          <t>L'Occitane</t>
        </is>
      </c>
      <c r="E7514" t="n">
        <v>22.86</v>
      </c>
      <c r="F7514" t="n">
        <v>1</v>
      </c>
      <c r="G7514" t="n">
        <v>4</v>
      </c>
      <c r="H7514" s="5">
        <f>HYPERLINK("https://api.qogita.com/variants/link/3253581779125/", "View Product")</f>
        <v/>
      </c>
    </row>
    <row r="7515">
      <c r="A7515" t="inlineStr">
        <is>
          <t>3253581871010</t>
        </is>
      </c>
      <c r="B7515" t="inlineStr">
        <is>
          <t>L'Occitane En Provence Almond Body Care Routine Gift Set</t>
        </is>
      </c>
      <c r="C7515" t="inlineStr">
        <is>
          <t>Body Care Sets</t>
        </is>
      </c>
      <c r="D7515" t="inlineStr">
        <is>
          <t>L'Occitane</t>
        </is>
      </c>
      <c r="E7515" t="n">
        <v>39.69</v>
      </c>
      <c r="F7515" t="n">
        <v>1</v>
      </c>
      <c r="G7515" t="n">
        <v>32</v>
      </c>
      <c r="H7515" s="5">
        <f>HYPERLINK("https://api.qogita.com/variants/link/3253581871010/", "View Product")</f>
        <v/>
      </c>
    </row>
    <row r="7516">
      <c r="A7516" t="inlineStr">
        <is>
          <t>3253582010579</t>
        </is>
      </c>
      <c r="B7516" t="inlineStr">
        <is>
          <t>L'OCCITANE Verbena Body Care Collection for Revitalization and Refreshment</t>
        </is>
      </c>
      <c r="C7516" t="inlineStr">
        <is>
          <t>Body Care Sets</t>
        </is>
      </c>
      <c r="D7516" t="inlineStr">
        <is>
          <t>L'Occitane</t>
        </is>
      </c>
      <c r="E7516" t="n">
        <v>31.9</v>
      </c>
      <c r="F7516" t="n">
        <v>1</v>
      </c>
      <c r="G7516" t="n">
        <v>7</v>
      </c>
      <c r="H7516" s="5">
        <f>HYPERLINK("https://api.qogita.com/variants/link/3253582010579/", "View Product")</f>
        <v/>
      </c>
    </row>
    <row r="7517">
      <c r="A7517" t="inlineStr">
        <is>
          <t>3253582010593</t>
        </is>
      </c>
      <c r="B7517" t="inlineStr">
        <is>
          <t>L'Occitane Shea Body Cream, Shower Cream, and Hand Cream Set - Care for Sensitive Skin - Christmas Gift Set for Women</t>
        </is>
      </c>
      <c r="C7517" t="inlineStr">
        <is>
          <t>Body Care Sets</t>
        </is>
      </c>
      <c r="D7517" t="inlineStr">
        <is>
          <t>L'Occitane</t>
        </is>
      </c>
      <c r="E7517" t="n">
        <v>47.3</v>
      </c>
      <c r="F7517" t="n">
        <v>1</v>
      </c>
      <c r="G7517" t="n">
        <v>24</v>
      </c>
      <c r="H7517" s="5">
        <f>HYPERLINK("https://api.qogita.com/variants/link/3253582010593/", "View Product")</f>
        <v/>
      </c>
    </row>
    <row r="7518">
      <c r="A7518" t="inlineStr">
        <is>
          <t>3259550208719</t>
        </is>
      </c>
      <c r="B7518" t="inlineStr">
        <is>
          <t>Clean SOS Blemishes 20ml</t>
        </is>
      </c>
      <c r="C7518" t="inlineStr">
        <is>
          <t>Pimple &amp; Blackhead Treatments</t>
        </is>
      </c>
      <c r="D7518" t="inlineStr">
        <is>
          <t>Eisenberg</t>
        </is>
      </c>
      <c r="E7518" t="n">
        <v>17.25</v>
      </c>
      <c r="F7518" t="n">
        <v>1</v>
      </c>
      <c r="G7518" t="n">
        <v>8</v>
      </c>
      <c r="H7518" s="5">
        <f>HYPERLINK("https://api.qogita.com/variants/link/3259550208719/", "View Product")</f>
        <v/>
      </c>
    </row>
    <row r="7519">
      <c r="A7519" t="inlineStr">
        <is>
          <t>3259550504002</t>
        </is>
      </c>
      <c r="B7519" t="inlineStr">
        <is>
          <t>EISENBERG Paris Trio-Molecular Moisturizing Fluid Cream 50ml</t>
        </is>
      </c>
      <c r="C7519" t="inlineStr">
        <is>
          <t>Face Cream</t>
        </is>
      </c>
      <c r="D7519" t="inlineStr">
        <is>
          <t>Eisenberg</t>
        </is>
      </c>
      <c r="E7519" t="n">
        <v>26.42</v>
      </c>
      <c r="F7519" t="n">
        <v>1</v>
      </c>
      <c r="G7519" t="n">
        <v>10</v>
      </c>
      <c r="H7519" s="5">
        <f>HYPERLINK("https://api.qogita.com/variants/link/3259550504002/", "View Product")</f>
        <v/>
      </c>
    </row>
    <row r="7520">
      <c r="A7520" t="inlineStr">
        <is>
          <t>3259550505979</t>
        </is>
      </c>
      <c r="B7520" t="inlineStr">
        <is>
          <t>Secret Premieres Rides Cream 50ml</t>
        </is>
      </c>
      <c r="C7520" t="inlineStr">
        <is>
          <t>Eau De Parfum</t>
        </is>
      </c>
      <c r="D7520" t="inlineStr">
        <is>
          <t>Eisenberg</t>
        </is>
      </c>
      <c r="E7520" t="n">
        <v>73.72</v>
      </c>
      <c r="F7520" t="n">
        <v>1</v>
      </c>
      <c r="G7520" t="n">
        <v>8</v>
      </c>
      <c r="H7520" s="5">
        <f>HYPERLINK("https://api.qogita.com/variants/link/3259550505979/", "View Product")</f>
        <v/>
      </c>
    </row>
    <row r="7521">
      <c r="A7521" t="inlineStr">
        <is>
          <t>3259550753967</t>
        </is>
      </c>
      <c r="B7521" t="inlineStr">
        <is>
          <t>Face Care by Eisenberg All-Over Moisturising Mask 75ml</t>
        </is>
      </c>
      <c r="C7521" t="inlineStr">
        <is>
          <t>Hydrating Mask</t>
        </is>
      </c>
      <c r="D7521" t="inlineStr">
        <is>
          <t>Eisenberg</t>
        </is>
      </c>
      <c r="E7521" t="n">
        <v>35.17</v>
      </c>
      <c r="F7521" t="n">
        <v>1</v>
      </c>
      <c r="G7521" t="n">
        <v>11</v>
      </c>
      <c r="H7521" s="5">
        <f>HYPERLINK("https://api.qogita.com/variants/link/3259550753967/", "View Product")</f>
        <v/>
      </c>
    </row>
    <row r="7522">
      <c r="A7522" t="inlineStr">
        <is>
          <t>3259551008707</t>
        </is>
      </c>
      <c r="B7522" t="inlineStr">
        <is>
          <t>Clean Airy Foaming Water 100ml</t>
        </is>
      </c>
      <c r="C7522" t="inlineStr">
        <is>
          <t>Cleansing Foam</t>
        </is>
      </c>
      <c r="D7522" t="inlineStr">
        <is>
          <t>Eisenberg</t>
        </is>
      </c>
      <c r="E7522" t="n">
        <v>19.97</v>
      </c>
      <c r="F7522" t="n">
        <v>1</v>
      </c>
      <c r="G7522" t="n">
        <v>13</v>
      </c>
      <c r="H7522" s="5">
        <f>HYPERLINK("https://api.qogita.com/variants/link/3259551008707/", "View Product")</f>
        <v/>
      </c>
    </row>
    <row r="7523">
      <c r="A7523" t="inlineStr">
        <is>
          <t>3259551504216</t>
        </is>
      </c>
      <c r="B7523" t="inlineStr">
        <is>
          <t>Eisenberg Body Slimming Serum 150ml</t>
        </is>
      </c>
      <c r="C7523" t="inlineStr">
        <is>
          <t>Anti-Cellulite</t>
        </is>
      </c>
      <c r="D7523" t="inlineStr">
        <is>
          <t>Eisenberg</t>
        </is>
      </c>
      <c r="E7523" t="n">
        <v>41.4</v>
      </c>
      <c r="F7523" t="n">
        <v>1</v>
      </c>
      <c r="G7523" t="n">
        <v>16</v>
      </c>
      <c r="H7523" s="5">
        <f>HYPERLINK("https://api.qogita.com/variants/link/3259551504216/", "View Product")</f>
        <v/>
      </c>
    </row>
    <row r="7524">
      <c r="A7524" t="inlineStr">
        <is>
          <t>3264680022067</t>
        </is>
      </c>
      <c r="B7524" t="inlineStr">
        <is>
          <t>Very Rose Delicate Makeup Remover Oil 150ml</t>
        </is>
      </c>
      <c r="C7524" t="inlineStr">
        <is>
          <t>Cleansing Oil</t>
        </is>
      </c>
      <c r="D7524" t="inlineStr">
        <is>
          <t>Very Rose</t>
        </is>
      </c>
      <c r="E7524" t="n">
        <v>12.1</v>
      </c>
      <c r="F7524" t="n">
        <v>1</v>
      </c>
      <c r="G7524" t="n">
        <v>57</v>
      </c>
      <c r="H7524" s="5">
        <f>HYPERLINK("https://api.qogita.com/variants/link/3264680022067/", "View Product")</f>
        <v/>
      </c>
    </row>
    <row r="7525">
      <c r="A7525" t="inlineStr">
        <is>
          <t>3282770030174</t>
        </is>
      </c>
      <c r="B7525" t="inlineStr">
        <is>
          <t>Aderma Rhealba Lip Balm 4g Moisturizing Lip Care For Fragile And Dry Lips</t>
        </is>
      </c>
      <c r="C7525" t="inlineStr">
        <is>
          <t>Medicated Treatments</t>
        </is>
      </c>
      <c r="D7525" t="inlineStr">
        <is>
          <t>A-Derma</t>
        </is>
      </c>
      <c r="E7525" t="n">
        <v>6.71</v>
      </c>
      <c r="F7525" t="n">
        <v>1</v>
      </c>
      <c r="G7525" t="n">
        <v>6</v>
      </c>
      <c r="H7525" s="5">
        <f>HYPERLINK("https://api.qogita.com/variants/link/3282770030174/", "View Product")</f>
        <v/>
      </c>
    </row>
    <row r="7526">
      <c r="A7526" t="inlineStr">
        <is>
          <t>3282770050158</t>
        </is>
      </c>
      <c r="B7526" t="inlineStr">
        <is>
          <t>Avne Couvrance Fluid Foundation Corrector Golden 30ml With Spf 20</t>
        </is>
      </c>
      <c r="C7526" t="inlineStr">
        <is>
          <t>Foundation</t>
        </is>
      </c>
      <c r="D7526" t="inlineStr">
        <is>
          <t>Avène</t>
        </is>
      </c>
      <c r="E7526" t="n">
        <v>21.87</v>
      </c>
      <c r="F7526" t="n">
        <v>1</v>
      </c>
      <c r="G7526" t="n">
        <v>8</v>
      </c>
      <c r="H7526" s="5">
        <f>HYPERLINK("https://api.qogita.com/variants/link/3282770050158/", "View Product")</f>
        <v/>
      </c>
    </row>
    <row r="7527">
      <c r="A7527" t="inlineStr">
        <is>
          <t>3282770055085</t>
        </is>
      </c>
      <c r="B7527" t="inlineStr">
        <is>
          <t>Ducray Sensinol Soothing Physio Protective Body Milk - 400ml</t>
        </is>
      </c>
      <c r="C7527" t="inlineStr">
        <is>
          <t>Body Lotion</t>
        </is>
      </c>
      <c r="D7527" t="inlineStr">
        <is>
          <t>Ducray</t>
        </is>
      </c>
      <c r="E7527" t="n">
        <v>20.96</v>
      </c>
      <c r="F7527" t="n">
        <v>1</v>
      </c>
      <c r="G7527" t="n">
        <v>2</v>
      </c>
      <c r="H7527" s="5">
        <f>HYPERLINK("https://api.qogita.com/variants/link/3282770055085/", "View Product")</f>
        <v/>
      </c>
    </row>
    <row r="7528">
      <c r="A7528" t="inlineStr">
        <is>
          <t>3282770100525</t>
        </is>
      </c>
      <c r="B7528" t="inlineStr">
        <is>
          <t>COUVRANCE Fluid Makeup 01 Porcelain 30ml</t>
        </is>
      </c>
      <c r="C7528" t="inlineStr">
        <is>
          <t>Foundation</t>
        </is>
      </c>
      <c r="D7528" t="inlineStr">
        <is>
          <t>Avène</t>
        </is>
      </c>
      <c r="E7528" t="n">
        <v>21.87</v>
      </c>
      <c r="F7528" t="n">
        <v>1</v>
      </c>
      <c r="G7528" t="n">
        <v>5</v>
      </c>
      <c r="H7528" s="5">
        <f>HYPERLINK("https://api.qogita.com/variants/link/3282770100525/", "View Product")</f>
        <v/>
      </c>
    </row>
    <row r="7529">
      <c r="A7529" t="inlineStr">
        <is>
          <t>3282770103427</t>
        </is>
      </c>
      <c r="B7529" t="inlineStr">
        <is>
          <t>Klorane Calendula Bio Cleansing Water For Normal Skin Baby 500ml</t>
        </is>
      </c>
      <c r="C7529" t="inlineStr">
        <is>
          <t>Baby Bath</t>
        </is>
      </c>
      <c r="D7529" t="inlineStr">
        <is>
          <t>Klorane</t>
        </is>
      </c>
      <c r="E7529" t="n">
        <v>11.82</v>
      </c>
      <c r="F7529" t="n">
        <v>1</v>
      </c>
      <c r="G7529" t="n">
        <v>5</v>
      </c>
      <c r="H7529" s="5">
        <f>HYPERLINK("https://api.qogita.com/variants/link/3282770103427/", "View Product")</f>
        <v/>
      </c>
    </row>
    <row r="7530">
      <c r="A7530" t="inlineStr">
        <is>
          <t>3282770111583</t>
        </is>
      </c>
      <c r="B7530" t="inlineStr">
        <is>
          <t>Avne Body Moisturizing Meltin Balm 250ml Ideal For Dry To Very Dry Skin</t>
        </is>
      </c>
      <c r="C7530" t="inlineStr">
        <is>
          <t>Body Butter</t>
        </is>
      </c>
      <c r="D7530" t="inlineStr">
        <is>
          <t>Avène</t>
        </is>
      </c>
      <c r="E7530" t="n">
        <v>24.44</v>
      </c>
      <c r="F7530" t="n">
        <v>1</v>
      </c>
      <c r="G7530" t="n">
        <v>11</v>
      </c>
      <c r="H7530" s="5">
        <f>HYPERLINK("https://api.qogita.com/variants/link/3282770111583/", "View Product")</f>
        <v/>
      </c>
    </row>
    <row r="7531">
      <c r="A7531" t="inlineStr">
        <is>
          <t>3282770114485</t>
        </is>
      </c>
      <c r="B7531" t="inlineStr">
        <is>
          <t>Ren Furterer Okara Blond Brightening Conditioner 150ml For Blond Hair</t>
        </is>
      </c>
      <c r="C7531" t="inlineStr">
        <is>
          <t>Conditioner</t>
        </is>
      </c>
      <c r="D7531" t="inlineStr">
        <is>
          <t>Rene Furterer</t>
        </is>
      </c>
      <c r="E7531" t="n">
        <v>14.56</v>
      </c>
      <c r="F7531" t="n">
        <v>1</v>
      </c>
      <c r="G7531" t="n">
        <v>4</v>
      </c>
      <c r="H7531" s="5">
        <f>HYPERLINK("https://api.qogita.com/variants/link/3282770114485/", "View Product")</f>
        <v/>
      </c>
    </row>
    <row r="7532">
      <c r="A7532" t="inlineStr">
        <is>
          <t>3282770141283</t>
        </is>
      </c>
      <c r="B7532" t="inlineStr">
        <is>
          <t>Klorane Shampoo Chininastella Alpina Bio 400 Ml Strength Thinning Hair Loss Shampoo</t>
        </is>
      </c>
      <c r="C7532" t="inlineStr">
        <is>
          <t>Shampoo</t>
        </is>
      </c>
      <c r="D7532" t="inlineStr">
        <is>
          <t>Klorane</t>
        </is>
      </c>
      <c r="E7532" t="n">
        <v>10.85</v>
      </c>
      <c r="F7532" t="n">
        <v>1</v>
      </c>
      <c r="G7532" t="n">
        <v>14</v>
      </c>
      <c r="H7532" s="5">
        <f>HYPERLINK("https://api.qogita.com/variants/link/3282770141283/", "View Product")</f>
        <v/>
      </c>
    </row>
    <row r="7533">
      <c r="A7533" t="inlineStr">
        <is>
          <t>3282770142327</t>
        </is>
      </c>
      <c r="B7533" t="inlineStr">
        <is>
          <t>Avne Cicalfate Repairing Balm 10ml Regenerating Lip Balm</t>
        </is>
      </c>
      <c r="C7533" t="inlineStr">
        <is>
          <t>Medicated Treatments</t>
        </is>
      </c>
      <c r="D7533" t="inlineStr">
        <is>
          <t>Avène</t>
        </is>
      </c>
      <c r="E7533" t="n">
        <v>7.6</v>
      </c>
      <c r="F7533" t="n">
        <v>1</v>
      </c>
      <c r="G7533" t="n">
        <v>3</v>
      </c>
      <c r="H7533" s="5">
        <f>HYPERLINK("https://api.qogita.com/variants/link/3282770142327/", "View Product")</f>
        <v/>
      </c>
    </row>
    <row r="7534">
      <c r="A7534" t="inlineStr">
        <is>
          <t>3282770143522</t>
        </is>
      </c>
      <c r="B7534" t="inlineStr">
        <is>
          <t>Klorane Conditioner Radiance Color Treated Hair - 200ml</t>
        </is>
      </c>
      <c r="C7534" t="inlineStr">
        <is>
          <t>Conditioner</t>
        </is>
      </c>
      <c r="D7534" t="inlineStr">
        <is>
          <t>Klorane</t>
        </is>
      </c>
      <c r="E7534" t="n">
        <v>13.41</v>
      </c>
      <c r="F7534" t="n">
        <v>1</v>
      </c>
      <c r="G7534" t="n">
        <v>7</v>
      </c>
      <c r="H7534" s="5">
        <f>HYPERLINK("https://api.qogita.com/variants/link/3282770143522/", "View Product")</f>
        <v/>
      </c>
    </row>
    <row r="7535">
      <c r="A7535" t="inlineStr">
        <is>
          <t>3282770144185</t>
        </is>
      </c>
      <c r="B7535" t="inlineStr">
        <is>
          <t>Klorane Nourishing Shower Gel with Organic Cupuaçu Butter and Bamboo Sap 200ml</t>
        </is>
      </c>
      <c r="C7535" t="inlineStr">
        <is>
          <t>Shower Gel</t>
        </is>
      </c>
      <c r="D7535" t="inlineStr">
        <is>
          <t>Klorane</t>
        </is>
      </c>
      <c r="E7535" t="n">
        <v>5.49</v>
      </c>
      <c r="F7535" t="n">
        <v>1</v>
      </c>
      <c r="G7535" t="n">
        <v>2</v>
      </c>
      <c r="H7535" s="5">
        <f>HYPERLINK("https://api.qogita.com/variants/link/3282770144185/", "View Product")</f>
        <v/>
      </c>
    </row>
    <row r="7536">
      <c r="A7536" t="inlineStr">
        <is>
          <t>3282770144819</t>
        </is>
      </c>
      <c r="B7536" t="inlineStr">
        <is>
          <t>Klorane Repairing Mask For Hair With Cupuacu 3 In 1 150ml</t>
        </is>
      </c>
      <c r="C7536" t="inlineStr">
        <is>
          <t>Hair Masks</t>
        </is>
      </c>
      <c r="D7536" t="inlineStr">
        <is>
          <t>Klorane</t>
        </is>
      </c>
      <c r="E7536" t="n">
        <v>18.23</v>
      </c>
      <c r="F7536" t="n">
        <v>1</v>
      </c>
      <c r="G7536" t="n">
        <v>2</v>
      </c>
      <c r="H7536" s="5">
        <f>HYPERLINK("https://api.qogita.com/variants/link/3282770144819/", "View Product")</f>
        <v/>
      </c>
    </row>
    <row r="7537">
      <c r="A7537" t="inlineStr">
        <is>
          <t>3282770145120</t>
        </is>
      </c>
      <c r="B7537" t="inlineStr">
        <is>
          <t>Klorane Centaurea Conditioner 200ml Neutralizing Yellow Tones Bio Cornflower</t>
        </is>
      </c>
      <c r="C7537" t="inlineStr">
        <is>
          <t>Conditioner</t>
        </is>
      </c>
      <c r="D7537" t="inlineStr">
        <is>
          <t>Klorane</t>
        </is>
      </c>
      <c r="E7537" t="n">
        <v>13.1</v>
      </c>
      <c r="F7537" t="n">
        <v>1</v>
      </c>
      <c r="G7537" t="n">
        <v>6</v>
      </c>
      <c r="H7537" s="5">
        <f>HYPERLINK("https://api.qogita.com/variants/link/3282770145120/", "View Product")</f>
        <v/>
      </c>
    </row>
    <row r="7538">
      <c r="A7538" t="inlineStr">
        <is>
          <t>3282770145250</t>
        </is>
      </c>
      <c r="B7538" t="inlineStr">
        <is>
          <t>Klorane Centaurea Shampoo 400ml Antiyellowing Shampoo For White Gray And Platinum Blonde Hair</t>
        </is>
      </c>
      <c r="C7538" t="inlineStr">
        <is>
          <t>Shampoo</t>
        </is>
      </c>
      <c r="D7538" t="inlineStr">
        <is>
          <t>Klorane</t>
        </is>
      </c>
      <c r="E7538" t="n">
        <v>13.6</v>
      </c>
      <c r="F7538" t="n">
        <v>1</v>
      </c>
      <c r="G7538" t="n">
        <v>5</v>
      </c>
      <c r="H7538" s="5">
        <f>HYPERLINK("https://api.qogita.com/variants/link/3282770145250/", "View Product")</f>
        <v/>
      </c>
    </row>
    <row r="7539">
      <c r="A7539" t="inlineStr">
        <is>
          <t>3282770145281</t>
        </is>
      </c>
      <c r="B7539" t="inlineStr">
        <is>
          <t>Klorane Oats Solid Shampoo 80g</t>
        </is>
      </c>
      <c r="C7539" t="inlineStr">
        <is>
          <t>Shampoo</t>
        </is>
      </c>
      <c r="D7539" t="inlineStr">
        <is>
          <t>Klorane</t>
        </is>
      </c>
      <c r="E7539" t="n">
        <v>9.56</v>
      </c>
      <c r="F7539" t="n">
        <v>1</v>
      </c>
      <c r="G7539" t="n">
        <v>3</v>
      </c>
      <c r="H7539" s="5">
        <f>HYPERLINK("https://api.qogita.com/variants/link/3282770145281/", "View Product")</f>
        <v/>
      </c>
    </row>
    <row r="7540">
      <c r="A7540" t="inlineStr">
        <is>
          <t>3282770146097</t>
        </is>
      </c>
      <c r="B7540" t="inlineStr">
        <is>
          <t>Couvrance Compact Cream Makeup Base Arena - 85 Grams</t>
        </is>
      </c>
      <c r="C7540" t="inlineStr">
        <is>
          <t>Foundation</t>
        </is>
      </c>
      <c r="D7540" t="inlineStr">
        <is>
          <t>Couvrance</t>
        </is>
      </c>
      <c r="E7540" t="n">
        <v>24.28</v>
      </c>
      <c r="F7540" t="n">
        <v>1</v>
      </c>
      <c r="G7540" t="n">
        <v>10</v>
      </c>
      <c r="H7540" s="5">
        <f>HYPERLINK("https://api.qogita.com/variants/link/3282770146097/", "View Product")</f>
        <v/>
      </c>
    </row>
    <row r="7541">
      <c r="A7541" t="inlineStr">
        <is>
          <t>3282770146677</t>
        </is>
      </c>
      <c r="B7541" t="inlineStr">
        <is>
          <t>A-Derma Biology Calm Soothing Dermatological Care Face Cream 40ml</t>
        </is>
      </c>
      <c r="C7541" t="inlineStr">
        <is>
          <t>Face Cream</t>
        </is>
      </c>
      <c r="D7541" t="inlineStr">
        <is>
          <t>A-Derma</t>
        </is>
      </c>
      <c r="E7541" t="n">
        <v>14.84</v>
      </c>
      <c r="F7541" t="n">
        <v>1</v>
      </c>
      <c r="G7541" t="n">
        <v>4</v>
      </c>
      <c r="H7541" s="5">
        <f>HYPERLINK("https://api.qogita.com/variants/link/3282770146677/", "View Product")</f>
        <v/>
      </c>
    </row>
    <row r="7542">
      <c r="A7542" t="inlineStr">
        <is>
          <t>3282770147292</t>
        </is>
      </c>
      <c r="B7542" t="inlineStr">
        <is>
          <t>Klorane Shampoo For Linen Fibers 200ml</t>
        </is>
      </c>
      <c r="C7542" t="inlineStr">
        <is>
          <t>Shampoo</t>
        </is>
      </c>
      <c r="D7542" t="inlineStr">
        <is>
          <t>Klorane</t>
        </is>
      </c>
      <c r="E7542" t="n">
        <v>9.970000000000001</v>
      </c>
      <c r="F7542" t="n">
        <v>1</v>
      </c>
      <c r="G7542" t="n">
        <v>15</v>
      </c>
      <c r="H7542" s="5">
        <f>HYPERLINK("https://api.qogita.com/variants/link/3282770147292/", "View Product")</f>
        <v/>
      </c>
    </row>
    <row r="7543">
      <c r="A7543" t="inlineStr">
        <is>
          <t>3282770148305</t>
        </is>
      </c>
      <c r="B7543" t="inlineStr">
        <is>
          <t>Ducray Extra Gentle Dermoprotective Shampoo 100 Ml Ideal For The Whole Family</t>
        </is>
      </c>
      <c r="C7543" t="inlineStr">
        <is>
          <t>Shampoo</t>
        </is>
      </c>
      <c r="D7543" t="inlineStr">
        <is>
          <t>Ducray</t>
        </is>
      </c>
      <c r="E7543" t="n">
        <v>6.02</v>
      </c>
      <c r="F7543" t="n">
        <v>1</v>
      </c>
      <c r="G7543" t="n">
        <v>4</v>
      </c>
      <c r="H7543" s="5">
        <f>HYPERLINK("https://api.qogita.com/variants/link/3282770148305/", "View Product")</f>
        <v/>
      </c>
    </row>
    <row r="7544">
      <c r="A7544" t="inlineStr">
        <is>
          <t>3282770148435</t>
        </is>
      </c>
      <c r="B7544" t="inlineStr">
        <is>
          <t>Ducray Kertyol P.S.O Ultra-Rich Cleansing Gel 400ml For Psoriasis</t>
        </is>
      </c>
      <c r="C7544" t="inlineStr">
        <is>
          <t>Shower Gel</t>
        </is>
      </c>
      <c r="D7544" t="inlineStr">
        <is>
          <t>Ducray</t>
        </is>
      </c>
      <c r="E7544" t="n">
        <v>17.66</v>
      </c>
      <c r="F7544" t="n">
        <v>1</v>
      </c>
      <c r="G7544" t="n">
        <v>5</v>
      </c>
      <c r="H7544" s="5">
        <f>HYPERLINK("https://api.qogita.com/variants/link/3282770148435/", "View Product")</f>
        <v/>
      </c>
    </row>
    <row r="7545">
      <c r="A7545" t="inlineStr">
        <is>
          <t>3282770149272</t>
        </is>
      </c>
      <c r="B7545" t="inlineStr">
        <is>
          <t>Klorane Brightening Blond Hair Shampoo 200ml</t>
        </is>
      </c>
      <c r="C7545" t="inlineStr">
        <is>
          <t>Shampoo</t>
        </is>
      </c>
      <c r="D7545" t="inlineStr">
        <is>
          <t>Klorane</t>
        </is>
      </c>
      <c r="E7545" t="n">
        <v>10.47</v>
      </c>
      <c r="F7545" t="n">
        <v>1</v>
      </c>
      <c r="G7545" t="n">
        <v>38</v>
      </c>
      <c r="H7545" s="5">
        <f>HYPERLINK("https://api.qogita.com/variants/link/3282770149272/", "View Product")</f>
        <v/>
      </c>
    </row>
    <row r="7546">
      <c r="A7546" t="inlineStr">
        <is>
          <t>3282770149487</t>
        </is>
      </c>
      <c r="B7546" t="inlineStr">
        <is>
          <t>Avne Sun Cream Invisible Finish Spf50 50ml For Dry Sensitive Skin</t>
        </is>
      </c>
      <c r="C7546" t="inlineStr">
        <is>
          <t>Face Sun Protection</t>
        </is>
      </c>
      <c r="D7546" t="inlineStr">
        <is>
          <t>Avène</t>
        </is>
      </c>
      <c r="E7546" t="n">
        <v>15.66</v>
      </c>
      <c r="F7546" t="n">
        <v>1</v>
      </c>
      <c r="G7546" t="n">
        <v>3</v>
      </c>
      <c r="H7546" s="5">
        <f>HYPERLINK("https://api.qogita.com/variants/link/3282770149487/", "View Product")</f>
        <v/>
      </c>
    </row>
    <row r="7547">
      <c r="A7547" t="inlineStr">
        <is>
          <t>3282770152265</t>
        </is>
      </c>
      <c r="B7547" t="inlineStr">
        <is>
          <t>Avne Makeup Removing Micellar Gel 200 Ml</t>
        </is>
      </c>
      <c r="C7547" t="inlineStr">
        <is>
          <t>Cleansing Gel</t>
        </is>
      </c>
      <c r="D7547" t="inlineStr">
        <is>
          <t>Avène</t>
        </is>
      </c>
      <c r="E7547" t="n">
        <v>13.08</v>
      </c>
      <c r="F7547" t="n">
        <v>1</v>
      </c>
      <c r="G7547" t="n">
        <v>5</v>
      </c>
      <c r="H7547" s="5">
        <f>HYPERLINK("https://api.qogita.com/variants/link/3282770152265/", "View Product")</f>
        <v/>
      </c>
    </row>
    <row r="7548">
      <c r="A7548" t="inlineStr">
        <is>
          <t>3282770152791</t>
        </is>
      </c>
      <c r="B7548" t="inlineStr">
        <is>
          <t>Pierrefabreavene Body Scrub 210g</t>
        </is>
      </c>
      <c r="C7548" t="inlineStr">
        <is>
          <t>Body Scrub &amp; Peeling</t>
        </is>
      </c>
      <c r="D7548" t="inlineStr">
        <is>
          <t>Avène</t>
        </is>
      </c>
      <c r="E7548" t="n">
        <v>14.35</v>
      </c>
      <c r="F7548" t="n">
        <v>1</v>
      </c>
      <c r="G7548" t="n">
        <v>7</v>
      </c>
      <c r="H7548" s="5">
        <f>HYPERLINK("https://api.qogita.com/variants/link/3282770152791/", "View Product")</f>
        <v/>
      </c>
    </row>
    <row r="7549">
      <c r="A7549" t="inlineStr">
        <is>
          <t>3282770153170</t>
        </is>
      </c>
      <c r="B7549" t="inlineStr">
        <is>
          <t>Avne Hyaluron Active B3 Cell Renewal Cream 50ml Skin Cream For Cell Renewal</t>
        </is>
      </c>
      <c r="C7549" t="inlineStr">
        <is>
          <t>Face Cream</t>
        </is>
      </c>
      <c r="D7549" t="inlineStr">
        <is>
          <t>Avène</t>
        </is>
      </c>
      <c r="E7549" t="n">
        <v>32.92</v>
      </c>
      <c r="F7549" t="n">
        <v>1</v>
      </c>
      <c r="G7549" t="n">
        <v>3</v>
      </c>
      <c r="H7549" s="5">
        <f>HYPERLINK("https://api.qogita.com/variants/link/3282770153170/", "View Product")</f>
        <v/>
      </c>
    </row>
    <row r="7550">
      <c r="A7550" t="inlineStr">
        <is>
          <t>3282770153897</t>
        </is>
      </c>
      <c r="B7550" t="inlineStr">
        <is>
          <t>Klorane Soothing Light Cream 40 Ml</t>
        </is>
      </c>
      <c r="C7550" t="inlineStr">
        <is>
          <t>Face Cream</t>
        </is>
      </c>
      <c r="D7550" t="inlineStr">
        <is>
          <t>Klorane</t>
        </is>
      </c>
      <c r="E7550" t="n">
        <v>18.76</v>
      </c>
      <c r="F7550" t="n">
        <v>1</v>
      </c>
      <c r="G7550" t="n">
        <v>13</v>
      </c>
      <c r="H7550" s="5">
        <f>HYPERLINK("https://api.qogita.com/variants/link/3282770153897/", "View Product")</f>
        <v/>
      </c>
    </row>
    <row r="7551">
      <c r="A7551" t="inlineStr">
        <is>
          <t>3282770154276</t>
        </is>
      </c>
      <c r="B7551" t="inlineStr">
        <is>
          <t>Aderma Moisturizing Hand And Nail Cream 50ml</t>
        </is>
      </c>
      <c r="C7551" t="inlineStr">
        <is>
          <t>Hand Cream</t>
        </is>
      </c>
      <c r="D7551" t="inlineStr">
        <is>
          <t>A-Derma</t>
        </is>
      </c>
      <c r="E7551" t="n">
        <v>8.19</v>
      </c>
      <c r="F7551" t="n">
        <v>1</v>
      </c>
      <c r="G7551" t="n">
        <v>6</v>
      </c>
      <c r="H7551" s="5">
        <f>HYPERLINK("https://api.qogita.com/variants/link/3282770154276/", "View Product")</f>
        <v/>
      </c>
    </row>
    <row r="7552">
      <c r="A7552" t="inlineStr">
        <is>
          <t>3282770205633</t>
        </is>
      </c>
      <c r="B7552" t="inlineStr">
        <is>
          <t>Avne Cicalfate Absorbing Repair Spray 100 Ml Soothing And Drying Repair Spray</t>
        </is>
      </c>
      <c r="C7552" t="inlineStr">
        <is>
          <t>Body Care</t>
        </is>
      </c>
      <c r="D7552" t="inlineStr">
        <is>
          <t>Avène</t>
        </is>
      </c>
      <c r="E7552" t="n">
        <v>12.48</v>
      </c>
      <c r="F7552" t="n">
        <v>1</v>
      </c>
      <c r="G7552" t="n">
        <v>10</v>
      </c>
      <c r="H7552" s="5">
        <f>HYPERLINK("https://api.qogita.com/variants/link/3282770205633/", "View Product")</f>
        <v/>
      </c>
    </row>
    <row r="7553">
      <c r="A7553" t="inlineStr">
        <is>
          <t>3282770206760</t>
        </is>
      </c>
      <c r="B7553" t="inlineStr">
        <is>
          <t>Klorane Junior Shower Gel Raspberry Fragrance 200 Ml 2in1 Body And Hair Wash For Children</t>
        </is>
      </c>
      <c r="C7553" t="inlineStr">
        <is>
          <t>Baby Shower Gel &amp; Soap</t>
        </is>
      </c>
      <c r="D7553" t="inlineStr">
        <is>
          <t>Klorane</t>
        </is>
      </c>
      <c r="E7553" t="n">
        <v>7.51</v>
      </c>
      <c r="F7553" t="n">
        <v>1</v>
      </c>
      <c r="G7553" t="n">
        <v>6</v>
      </c>
      <c r="H7553" s="5">
        <f>HYPERLINK("https://api.qogita.com/variants/link/3282770206760/", "View Product")</f>
        <v/>
      </c>
    </row>
    <row r="7554">
      <c r="A7554" t="inlineStr">
        <is>
          <t>3282770207552</t>
        </is>
      </c>
      <c r="B7554" t="inlineStr">
        <is>
          <t>Klorane Cornflower Water Toning Awakening Serum 50ml With Hyaluronic Acid</t>
        </is>
      </c>
      <c r="C7554" t="inlineStr">
        <is>
          <t>Hyaluronic Acid Serum</t>
        </is>
      </c>
      <c r="D7554" t="inlineStr">
        <is>
          <t>Klorane</t>
        </is>
      </c>
      <c r="E7554" t="n">
        <v>20.6</v>
      </c>
      <c r="F7554" t="n">
        <v>1</v>
      </c>
      <c r="G7554" t="n">
        <v>2</v>
      </c>
      <c r="H7554" s="5">
        <f>HYPERLINK("https://api.qogita.com/variants/link/3282770207552/", "View Product")</f>
        <v/>
      </c>
    </row>
    <row r="7555">
      <c r="A7555" t="inlineStr">
        <is>
          <t>3282770207576</t>
        </is>
      </c>
      <c r="B7555" t="inlineStr">
        <is>
          <t>Avne Sunsistick Ka Spf 50 20g Sunscreen Stick For Sensitive Skin</t>
        </is>
      </c>
      <c r="C7555" t="inlineStr">
        <is>
          <t>Face Sun Protection</t>
        </is>
      </c>
      <c r="D7555" t="inlineStr">
        <is>
          <t>Avène</t>
        </is>
      </c>
      <c r="E7555" t="n">
        <v>15.44</v>
      </c>
      <c r="F7555" t="n">
        <v>1</v>
      </c>
      <c r="G7555" t="n">
        <v>7</v>
      </c>
      <c r="H7555" s="5">
        <f>HYPERLINK("https://api.qogita.com/variants/link/3282770207576/", "View Product")</f>
        <v/>
      </c>
    </row>
    <row r="7556">
      <c r="A7556" t="inlineStr">
        <is>
          <t>3282770207774</t>
        </is>
      </c>
      <c r="B7556" t="inlineStr">
        <is>
          <t>Avne Cleansing Gel For Acne And Problematic Skin Cleanance 400ml</t>
        </is>
      </c>
      <c r="C7556" t="inlineStr">
        <is>
          <t>Cleansing Gel</t>
        </is>
      </c>
      <c r="D7556" t="inlineStr">
        <is>
          <t>Avène</t>
        </is>
      </c>
      <c r="E7556" t="n">
        <v>16.51</v>
      </c>
      <c r="F7556" t="n">
        <v>1</v>
      </c>
      <c r="G7556" t="n">
        <v>3</v>
      </c>
      <c r="H7556" s="5">
        <f>HYPERLINK("https://api.qogita.com/variants/link/3282770207774/", "View Product")</f>
        <v/>
      </c>
    </row>
    <row r="7557">
      <c r="A7557" t="inlineStr">
        <is>
          <t>3282770209396</t>
        </is>
      </c>
      <c r="B7557" t="inlineStr">
        <is>
          <t>Avne Rich Revitalizing Nourishing Cream Les Essentiels 50ml For Very Dry Dehydrated Skin</t>
        </is>
      </c>
      <c r="C7557" t="inlineStr">
        <is>
          <t>Face Cream</t>
        </is>
      </c>
      <c r="D7557" t="inlineStr">
        <is>
          <t>Avène</t>
        </is>
      </c>
      <c r="E7557" t="n">
        <v>22.67</v>
      </c>
      <c r="F7557" t="n">
        <v>1</v>
      </c>
      <c r="G7557" t="n">
        <v>5</v>
      </c>
      <c r="H7557" s="5">
        <f>HYPERLINK("https://api.qogita.com/variants/link/3282770209396/", "View Product")</f>
        <v/>
      </c>
    </row>
    <row r="7558">
      <c r="A7558" t="inlineStr">
        <is>
          <t>3282770388909</t>
        </is>
      </c>
      <c r="B7558" t="inlineStr">
        <is>
          <t>Klorane Soothing Rich Cream 40 Ml For Sensitive And Dry Skin</t>
        </is>
      </c>
      <c r="C7558" t="inlineStr">
        <is>
          <t>Face Cream</t>
        </is>
      </c>
      <c r="D7558" t="inlineStr">
        <is>
          <t>Klorane</t>
        </is>
      </c>
      <c r="E7558" t="n">
        <v>18.77</v>
      </c>
      <c r="F7558" t="n">
        <v>1</v>
      </c>
      <c r="G7558" t="n">
        <v>12</v>
      </c>
      <c r="H7558" s="5">
        <f>HYPERLINK("https://api.qogita.com/variants/link/3282770388909/", "View Product")</f>
        <v/>
      </c>
    </row>
    <row r="7559">
      <c r="A7559" t="inlineStr">
        <is>
          <t>3282770389708</t>
        </is>
      </c>
      <c r="B7559" t="inlineStr">
        <is>
          <t>Klorane Bb Calendula Bio Cleansing Bar 100g Gentle Soap With Organic Calendula</t>
        </is>
      </c>
      <c r="C7559" t="inlineStr">
        <is>
          <t>Soap</t>
        </is>
      </c>
      <c r="D7559" t="inlineStr">
        <is>
          <t>Klorane</t>
        </is>
      </c>
      <c r="E7559" t="n">
        <v>8.92</v>
      </c>
      <c r="F7559" t="n">
        <v>1</v>
      </c>
      <c r="G7559" t="n">
        <v>9</v>
      </c>
      <c r="H7559" s="5">
        <f>HYPERLINK("https://api.qogita.com/variants/link/3282770389708/", "View Product")</f>
        <v/>
      </c>
    </row>
    <row r="7560">
      <c r="A7560" t="inlineStr">
        <is>
          <t>3282770389746</t>
        </is>
      </c>
      <c r="B7560" t="inlineStr">
        <is>
          <t>René Furterer Forticéa Fortifying Ritual Energizing Shampoo with Essential Oils 50ml</t>
        </is>
      </c>
      <c r="C7560" t="inlineStr">
        <is>
          <t>Shampoo</t>
        </is>
      </c>
      <c r="D7560" t="inlineStr">
        <is>
          <t>Rene Furterer</t>
        </is>
      </c>
      <c r="E7560" t="n">
        <v>6.87</v>
      </c>
      <c r="F7560" t="n">
        <v>1</v>
      </c>
      <c r="G7560" t="n">
        <v>4</v>
      </c>
      <c r="H7560" s="5">
        <f>HYPERLINK("https://api.qogita.com/variants/link/3282770389746/", "View Product")</f>
        <v/>
      </c>
    </row>
    <row r="7561">
      <c r="A7561" t="inlineStr">
        <is>
          <t>3282770391145</t>
        </is>
      </c>
      <c r="B7561" t="inlineStr">
        <is>
          <t>BABA BIO moisturizing cream 50 ml</t>
        </is>
      </c>
      <c r="C7561" t="inlineStr">
        <is>
          <t>Face Cream</t>
        </is>
      </c>
      <c r="D7561" t="inlineStr">
        <is>
          <t>Bébé Bio</t>
        </is>
      </c>
      <c r="E7561" t="n">
        <v>8.34</v>
      </c>
      <c r="F7561" t="n">
        <v>1</v>
      </c>
      <c r="G7561" t="n">
        <v>6</v>
      </c>
      <c r="H7561" s="5">
        <f>HYPERLINK("https://api.qogita.com/variants/link/3282770391145/", "View Product")</f>
        <v/>
      </c>
    </row>
    <row r="7562">
      <c r="A7562" t="inlineStr">
        <is>
          <t>3282770392012</t>
        </is>
      </c>
      <c r="B7562" t="inlineStr">
        <is>
          <t>Rene Furterer Color Glow Repairing Glow Mask Conditioner For Colored And Highlighted Hair</t>
        </is>
      </c>
      <c r="C7562" t="inlineStr">
        <is>
          <t>Conditioner</t>
        </is>
      </c>
      <c r="D7562" t="inlineStr">
        <is>
          <t>Rene Furterer</t>
        </is>
      </c>
      <c r="E7562" t="n">
        <v>14.78</v>
      </c>
      <c r="F7562" t="n">
        <v>1</v>
      </c>
      <c r="G7562" t="n">
        <v>4</v>
      </c>
      <c r="H7562" s="5">
        <f>HYPERLINK("https://api.qogita.com/variants/link/3282770392012/", "View Product")</f>
        <v/>
      </c>
    </row>
    <row r="7563">
      <c r="A7563" t="inlineStr">
        <is>
          <t>3282770392180</t>
        </is>
      </c>
      <c r="B7563" t="inlineStr">
        <is>
          <t>Klorane Shampoo Bar Peony Hair Shampoo Bar 80g</t>
        </is>
      </c>
      <c r="C7563" t="inlineStr">
        <is>
          <t>Shampoo</t>
        </is>
      </c>
      <c r="D7563" t="inlineStr">
        <is>
          <t>Klorane</t>
        </is>
      </c>
      <c r="E7563" t="n">
        <v>9.56</v>
      </c>
      <c r="F7563" t="n">
        <v>1</v>
      </c>
      <c r="G7563" t="n">
        <v>5</v>
      </c>
      <c r="H7563" s="5">
        <f>HYPERLINK("https://api.qogita.com/variants/link/3282770392180/", "View Product")</f>
        <v/>
      </c>
    </row>
    <row r="7564">
      <c r="A7564" t="inlineStr">
        <is>
          <t>3282770394993</t>
        </is>
      </c>
      <c r="B7564" t="inlineStr">
        <is>
          <t>Sensinol Soothing Physioprotective Serum 30 Ml</t>
        </is>
      </c>
      <c r="C7564" t="inlineStr">
        <is>
          <t>Hydrating Serum</t>
        </is>
      </c>
      <c r="D7564" t="inlineStr">
        <is>
          <t>Sensinol</t>
        </is>
      </c>
      <c r="E7564" t="n">
        <v>14.73</v>
      </c>
      <c r="F7564" t="n">
        <v>1</v>
      </c>
      <c r="G7564" t="n">
        <v>4</v>
      </c>
      <c r="H7564" s="5">
        <f>HYPERLINK("https://api.qogita.com/variants/link/3282770394993/", "View Product")</f>
        <v/>
      </c>
    </row>
    <row r="7565">
      <c r="A7565" t="inlineStr">
        <is>
          <t>3282770395938</t>
        </is>
      </c>
      <c r="B7565" t="inlineStr">
        <is>
          <t>Avene Intense Protect Solar Spf 50+ Ultra Water-Resistant Fluid 150 Ml</t>
        </is>
      </c>
      <c r="C7565" t="inlineStr">
        <is>
          <t>Face Sun Protection</t>
        </is>
      </c>
      <c r="D7565" t="inlineStr">
        <is>
          <t>Avène</t>
        </is>
      </c>
      <c r="E7565" t="n">
        <v>21.63</v>
      </c>
      <c r="F7565" t="n">
        <v>1</v>
      </c>
      <c r="G7565" t="n">
        <v>5</v>
      </c>
      <c r="H7565" s="5">
        <f>HYPERLINK("https://api.qogita.com/variants/link/3282770395938/", "View Product")</f>
        <v/>
      </c>
    </row>
    <row r="7566">
      <c r="A7566" t="inlineStr">
        <is>
          <t>3282770395952</t>
        </is>
      </c>
      <c r="B7566" t="inlineStr">
        <is>
          <t>Avene Avene Dermabsolu Essential Serum 30 Ml</t>
        </is>
      </c>
      <c r="C7566" t="inlineStr">
        <is>
          <t>Anti-Aging Serum</t>
        </is>
      </c>
      <c r="D7566" t="inlineStr">
        <is>
          <t>Avène</t>
        </is>
      </c>
      <c r="E7566" t="n">
        <v>43.1</v>
      </c>
      <c r="F7566" t="n">
        <v>1</v>
      </c>
      <c r="G7566" t="n">
        <v>2</v>
      </c>
      <c r="H7566" s="5">
        <f>HYPERLINK("https://api.qogita.com/variants/link/3282770395952/", "View Product")</f>
        <v/>
      </c>
    </row>
    <row r="7567">
      <c r="A7567" t="inlineStr">
        <is>
          <t>3282770397437</t>
        </is>
      </c>
      <c r="B7567" t="inlineStr">
        <is>
          <t>Avene Protective Fluid Against Skin Imperfections Spf 50 Anti-Imperfection - 40 Ml</t>
        </is>
      </c>
      <c r="C7567" t="inlineStr">
        <is>
          <t>Face Sun Protection</t>
        </is>
      </c>
      <c r="D7567" t="inlineStr">
        <is>
          <t>Avène</t>
        </is>
      </c>
      <c r="E7567" t="n">
        <v>22.93</v>
      </c>
      <c r="F7567" t="n">
        <v>1</v>
      </c>
      <c r="G7567" t="n">
        <v>2</v>
      </c>
      <c r="H7567" s="5">
        <f>HYPERLINK("https://api.qogita.com/variants/link/3282770397437/", "View Product")</f>
        <v/>
      </c>
    </row>
    <row r="7568">
      <c r="A7568" t="inlineStr">
        <is>
          <t>3282770397697</t>
        </is>
      </c>
      <c r="B7568" t="inlineStr">
        <is>
          <t>Avene Brightening Protective Facial Fluid Spf 50+ Radiance Ultra Fluid 50 Ml</t>
        </is>
      </c>
      <c r="C7568" t="inlineStr">
        <is>
          <t>Face Sun Protection</t>
        </is>
      </c>
      <c r="D7568" t="inlineStr">
        <is>
          <t>Avène</t>
        </is>
      </c>
      <c r="E7568" t="n">
        <v>15.57</v>
      </c>
      <c r="F7568" t="n">
        <v>1</v>
      </c>
      <c r="G7568" t="n">
        <v>8</v>
      </c>
      <c r="H7568" s="5">
        <f>HYPERLINK("https://api.qogita.com/variants/link/3282770397697/", "View Product")</f>
        <v/>
      </c>
    </row>
    <row r="7569">
      <c r="A7569" t="inlineStr">
        <is>
          <t>3282770398472</t>
        </is>
      </c>
      <c r="B7569" t="inlineStr">
        <is>
          <t>Avene Xeracalm Ad Ultra-Rich Cleansing Bar - 100g</t>
        </is>
      </c>
      <c r="C7569" t="inlineStr">
        <is>
          <t>Soap</t>
        </is>
      </c>
      <c r="D7569" t="inlineStr">
        <is>
          <t>Avène</t>
        </is>
      </c>
      <c r="E7569" t="n">
        <v>8.35</v>
      </c>
      <c r="F7569" t="n">
        <v>1</v>
      </c>
      <c r="G7569" t="n">
        <v>10</v>
      </c>
      <c r="H7569" s="5">
        <f>HYPERLINK("https://api.qogita.com/variants/link/3282770398472/", "View Product")</f>
        <v/>
      </c>
    </row>
    <row r="7570">
      <c r="A7570" t="inlineStr">
        <is>
          <t>3282770398625</t>
        </is>
      </c>
      <c r="B7570" t="inlineStr">
        <is>
          <t>A-Derma Soothing Dermatological Bar - 100 Grams</t>
        </is>
      </c>
      <c r="C7570" t="inlineStr">
        <is>
          <t>Neurodermatitis</t>
        </is>
      </c>
      <c r="D7570" t="inlineStr">
        <is>
          <t>A-Derma</t>
        </is>
      </c>
      <c r="E7570" t="n">
        <v>6.49</v>
      </c>
      <c r="F7570" t="n">
        <v>1</v>
      </c>
      <c r="G7570" t="n">
        <v>3</v>
      </c>
      <c r="H7570" s="5">
        <f>HYPERLINK("https://api.qogita.com/variants/link/3282770398625/", "View Product")</f>
        <v/>
      </c>
    </row>
    <row r="7571">
      <c r="A7571" t="inlineStr">
        <is>
          <t>3284410036591</t>
        </is>
      </c>
      <c r="B7571" t="inlineStr">
        <is>
          <t>Melvita Nectar De Miels Comforting Balm 175ml</t>
        </is>
      </c>
      <c r="C7571" t="inlineStr">
        <is>
          <t>Body Butter</t>
        </is>
      </c>
      <c r="D7571" t="inlineStr">
        <is>
          <t>Melvita</t>
        </is>
      </c>
      <c r="E7571" t="n">
        <v>17.07</v>
      </c>
      <c r="F7571" t="n">
        <v>1</v>
      </c>
      <c r="G7571" t="n">
        <v>5</v>
      </c>
      <c r="H7571" s="5">
        <f>HYPERLINK("https://api.qogita.com/variants/link/3284410036591/", "View Product")</f>
        <v/>
      </c>
    </row>
    <row r="7572">
      <c r="A7572" t="inlineStr">
        <is>
          <t>3284410036607</t>
        </is>
      </c>
      <c r="B7572" t="inlineStr">
        <is>
          <t>Melvita Nectar De Miels Comforting Creamy Milk 200ml</t>
        </is>
      </c>
      <c r="C7572" t="inlineStr">
        <is>
          <t>Body Lotion</t>
        </is>
      </c>
      <c r="D7572" t="inlineStr">
        <is>
          <t>Melvita</t>
        </is>
      </c>
      <c r="E7572" t="n">
        <v>14.39</v>
      </c>
      <c r="F7572" t="n">
        <v>1</v>
      </c>
      <c r="G7572" t="n">
        <v>4</v>
      </c>
      <c r="H7572" s="5">
        <f>HYPERLINK("https://api.qogita.com/variants/link/3284410036607/", "View Product")</f>
        <v/>
      </c>
    </row>
    <row r="7573">
      <c r="A7573" t="inlineStr">
        <is>
          <t>3284410040802</t>
        </is>
      </c>
      <c r="B7573" t="inlineStr">
        <is>
          <t>Melvita Argan Extra Water 100ml</t>
        </is>
      </c>
      <c r="C7573" t="inlineStr">
        <is>
          <t>Facial Spray</t>
        </is>
      </c>
      <c r="D7573" t="inlineStr">
        <is>
          <t>Melvita</t>
        </is>
      </c>
      <c r="E7573" t="n">
        <v>14.79</v>
      </c>
      <c r="F7573" t="n">
        <v>1</v>
      </c>
      <c r="G7573" t="n">
        <v>3</v>
      </c>
      <c r="H7573" s="5">
        <f>HYPERLINK("https://api.qogita.com/variants/link/3284410040802/", "View Product")</f>
        <v/>
      </c>
    </row>
    <row r="7574">
      <c r="A7574" t="inlineStr">
        <is>
          <t>3284410052188</t>
        </is>
      </c>
      <c r="B7574" t="inlineStr">
        <is>
          <t>Melvita Moisturizing and Protective Golden BB Cream</t>
        </is>
      </c>
      <c r="C7574" t="inlineStr">
        <is>
          <t>Tinted Day Cream</t>
        </is>
      </c>
      <c r="D7574" t="inlineStr">
        <is>
          <t>Melvita</t>
        </is>
      </c>
      <c r="E7574" t="n">
        <v>19.06</v>
      </c>
      <c r="F7574" t="n">
        <v>1</v>
      </c>
      <c r="G7574" t="n">
        <v>4</v>
      </c>
      <c r="H7574" s="5">
        <f>HYPERLINK("https://api.qogita.com/variants/link/3284410052188/", "View Product")</f>
        <v/>
      </c>
    </row>
    <row r="7575">
      <c r="A7575" t="inlineStr">
        <is>
          <t>3306610951242</t>
        </is>
      </c>
      <c r="B7575" t="inlineStr">
        <is>
          <t>Chopperhead Shaving Oil 50ml</t>
        </is>
      </c>
      <c r="C7575" t="inlineStr">
        <is>
          <t>Shaving</t>
        </is>
      </c>
      <c r="D7575" t="inlineStr">
        <is>
          <t>Chopperhead</t>
        </is>
      </c>
      <c r="E7575" t="n">
        <v>7.68</v>
      </c>
      <c r="F7575" t="n">
        <v>1</v>
      </c>
      <c r="G7575" t="n">
        <v>11</v>
      </c>
      <c r="H7575" s="5">
        <f>HYPERLINK("https://api.qogita.com/variants/link/3306610951242/", "View Product")</f>
        <v/>
      </c>
    </row>
    <row r="7576">
      <c r="A7576" t="inlineStr">
        <is>
          <t>3306610955745</t>
        </is>
      </c>
      <c r="B7576" t="inlineStr">
        <is>
          <t>Chopperhead Aftershave Tonic 100ml</t>
        </is>
      </c>
      <c r="C7576" t="inlineStr">
        <is>
          <t>Aftershave</t>
        </is>
      </c>
      <c r="D7576" t="inlineStr">
        <is>
          <t>Chopperhead</t>
        </is>
      </c>
      <c r="E7576" t="n">
        <v>7.45</v>
      </c>
      <c r="F7576" t="n">
        <v>1</v>
      </c>
      <c r="G7576" t="n">
        <v>7</v>
      </c>
      <c r="H7576" s="5">
        <f>HYPERLINK("https://api.qogita.com/variants/link/3306610955745/", "View Product")</f>
        <v/>
      </c>
    </row>
    <row r="7577">
      <c r="A7577" t="inlineStr">
        <is>
          <t>3306610956254</t>
        </is>
      </c>
      <c r="B7577" t="inlineStr">
        <is>
          <t>Chopperhead Strong Fixing Spray 200ml</t>
        </is>
      </c>
      <c r="C7577" t="inlineStr">
        <is>
          <t>Hairspray</t>
        </is>
      </c>
      <c r="D7577" t="inlineStr">
        <is>
          <t>Chopperhead</t>
        </is>
      </c>
      <c r="E7577" t="n">
        <v>7.68</v>
      </c>
      <c r="F7577" t="n">
        <v>1</v>
      </c>
      <c r="G7577" t="n">
        <v>9</v>
      </c>
      <c r="H7577" s="5">
        <f>HYPERLINK("https://api.qogita.com/variants/link/3306610956254/", "View Product")</f>
        <v/>
      </c>
    </row>
    <row r="7578">
      <c r="A7578" t="inlineStr">
        <is>
          <t>3306610956384</t>
        </is>
      </c>
      <c r="B7578" t="inlineStr">
        <is>
          <t>Chopperhead Grooming Medium Wax</t>
        </is>
      </c>
      <c r="C7578" t="inlineStr">
        <is>
          <t>Wax</t>
        </is>
      </c>
      <c r="D7578" t="inlineStr">
        <is>
          <t>Chopperhead</t>
        </is>
      </c>
      <c r="E7578" t="n">
        <v>11.32</v>
      </c>
      <c r="F7578" t="n">
        <v>1</v>
      </c>
      <c r="G7578" t="n">
        <v>8</v>
      </c>
      <c r="H7578" s="5">
        <f>HYPERLINK("https://api.qogita.com/variants/link/3306610956384/", "View Product")</f>
        <v/>
      </c>
    </row>
    <row r="7579">
      <c r="A7579" t="inlineStr">
        <is>
          <t>3306619561329</t>
        </is>
      </c>
      <c r="B7579" t="inlineStr">
        <is>
          <t>Chopperhead Matte Pomade</t>
        </is>
      </c>
      <c r="C7579" t="inlineStr">
        <is>
          <t>Wax</t>
        </is>
      </c>
      <c r="D7579" t="inlineStr">
        <is>
          <t>Chopperhead</t>
        </is>
      </c>
      <c r="E7579" t="n">
        <v>10.79</v>
      </c>
      <c r="F7579" t="n">
        <v>1</v>
      </c>
      <c r="G7579" t="n">
        <v>11</v>
      </c>
      <c r="H7579" s="5">
        <f>HYPERLINK("https://api.qogita.com/variants/link/3306619561329/", "View Product")</f>
        <v/>
      </c>
    </row>
    <row r="7580">
      <c r="A7580" t="inlineStr">
        <is>
          <t>3306619561411</t>
        </is>
      </c>
      <c r="B7580" t="inlineStr">
        <is>
          <t>Chopperhead Classic Balm 75ml</t>
        </is>
      </c>
      <c r="C7580" t="inlineStr">
        <is>
          <t>Hands &amp; Feet</t>
        </is>
      </c>
      <c r="D7580" t="inlineStr">
        <is>
          <t>Chopperhead</t>
        </is>
      </c>
      <c r="E7580" t="n">
        <v>7.68</v>
      </c>
      <c r="F7580" t="n">
        <v>1</v>
      </c>
      <c r="G7580" t="n">
        <v>4</v>
      </c>
      <c r="H7580" s="5">
        <f>HYPERLINK("https://api.qogita.com/variants/link/3306619561411/", "View Product")</f>
        <v/>
      </c>
    </row>
    <row r="7581">
      <c r="A7581" t="inlineStr">
        <is>
          <t>3324266231341</t>
        </is>
      </c>
      <c r="B7581" t="inlineStr">
        <is>
          <t>Giorgio Group Black Special Edition EDP 100ml</t>
        </is>
      </c>
      <c r="C7581" t="inlineStr">
        <is>
          <t>Eau De Parfum</t>
        </is>
      </c>
      <c r="D7581" t="inlineStr">
        <is>
          <t>Giorgio Armani</t>
        </is>
      </c>
      <c r="E7581" t="n">
        <v>9.880000000000001</v>
      </c>
      <c r="F7581" t="n">
        <v>1</v>
      </c>
      <c r="G7581" t="n">
        <v>29</v>
      </c>
      <c r="H7581" s="5">
        <f>HYPERLINK("https://api.qogita.com/variants/link/3324266231341/", "View Product")</f>
        <v/>
      </c>
    </row>
    <row r="7582">
      <c r="A7582" t="inlineStr">
        <is>
          <t>3331849002458</t>
        </is>
      </c>
      <c r="B7582" t="inlineStr">
        <is>
          <t>Collection Grands Crus Somei Yoshino Eau De Cologne 100ml</t>
        </is>
      </c>
      <c r="C7582" t="inlineStr">
        <is>
          <t>Eau De Cologne</t>
        </is>
      </c>
      <c r="D7582" t="inlineStr">
        <is>
          <t>Berdoues</t>
        </is>
      </c>
      <c r="E7582" t="n">
        <v>43.7</v>
      </c>
      <c r="F7582" t="n">
        <v>1</v>
      </c>
      <c r="G7582" t="n">
        <v>13</v>
      </c>
      <c r="H7582" s="5">
        <f>HYPERLINK("https://api.qogita.com/variants/link/3331849002458/", "View Product")</f>
        <v/>
      </c>
    </row>
    <row r="7583">
      <c r="A7583" t="inlineStr">
        <is>
          <t>3337871310592</t>
        </is>
      </c>
      <c r="B7583" t="inlineStr">
        <is>
          <t>Vichy 48 Hour Anti Perspirant Deodorant Spray 125 Ml</t>
        </is>
      </c>
      <c r="C7583" t="inlineStr">
        <is>
          <t>Deodorant &amp; Anti-Perspirant</t>
        </is>
      </c>
      <c r="D7583" t="inlineStr">
        <is>
          <t>Vichy</t>
        </is>
      </c>
      <c r="E7583" t="n">
        <v>11.55</v>
      </c>
      <c r="F7583" t="n">
        <v>1</v>
      </c>
      <c r="G7583" t="n">
        <v>44</v>
      </c>
      <c r="H7583" s="5">
        <f>HYPERLINK("https://api.qogita.com/variants/link/3337871310592/", "View Product")</f>
        <v/>
      </c>
    </row>
    <row r="7584">
      <c r="A7584" t="inlineStr">
        <is>
          <t>3337871318888</t>
        </is>
      </c>
      <c r="B7584" t="inlineStr">
        <is>
          <t>Vichy Homme Sensi Baume After Shave Balm 75ml Soothing After Shave Balm For Men</t>
        </is>
      </c>
      <c r="C7584" t="inlineStr">
        <is>
          <t>Aftershave</t>
        </is>
      </c>
      <c r="D7584" t="inlineStr">
        <is>
          <t>Vichy</t>
        </is>
      </c>
      <c r="E7584" t="n">
        <v>17.88</v>
      </c>
      <c r="F7584" t="n">
        <v>1</v>
      </c>
      <c r="G7584" t="n">
        <v>2</v>
      </c>
      <c r="H7584" s="5">
        <f>HYPERLINK("https://api.qogita.com/variants/link/3337871318888/", "View Product")</f>
        <v/>
      </c>
    </row>
    <row r="7585">
      <c r="A7585" t="inlineStr">
        <is>
          <t>3337871320379</t>
        </is>
      </c>
      <c r="B7585" t="inlineStr">
        <is>
          <t>Vichy Homme 48h Deodorant Roll-On for Sensitive Skin 50ml</t>
        </is>
      </c>
      <c r="C7585" t="inlineStr">
        <is>
          <t>Deodorant &amp; Anti-Perspirant</t>
        </is>
      </c>
      <c r="D7585" t="inlineStr">
        <is>
          <t>Vichy</t>
        </is>
      </c>
      <c r="E7585" t="n">
        <v>9.869999999999999</v>
      </c>
      <c r="F7585" t="n">
        <v>1</v>
      </c>
      <c r="G7585" t="n">
        <v>54</v>
      </c>
      <c r="H7585" s="5">
        <f>HYPERLINK("https://api.qogita.com/variants/link/3337871320379/", "View Product")</f>
        <v/>
      </c>
    </row>
    <row r="7586">
      <c r="A7586" t="inlineStr">
        <is>
          <t>3337871322502</t>
        </is>
      </c>
      <c r="B7586" t="inlineStr">
        <is>
          <t>Vichy Liftactiv Night Anti-Wrinkle Night Cream 50ml</t>
        </is>
      </c>
      <c r="C7586" t="inlineStr">
        <is>
          <t>Night Cream</t>
        </is>
      </c>
      <c r="D7586" t="inlineStr">
        <is>
          <t>Vichy</t>
        </is>
      </c>
      <c r="E7586" t="n">
        <v>29.09</v>
      </c>
      <c r="F7586" t="n">
        <v>1</v>
      </c>
      <c r="G7586" t="n">
        <v>41</v>
      </c>
      <c r="H7586" s="5">
        <f>HYPERLINK("https://api.qogita.com/variants/link/3337871322502/", "View Product")</f>
        <v/>
      </c>
    </row>
    <row r="7587">
      <c r="A7587" t="inlineStr">
        <is>
          <t>3337871324001</t>
        </is>
      </c>
      <c r="B7587" t="inlineStr">
        <is>
          <t>Vichy Stress Resist Deodorant For Excessive Perspiration 50ml</t>
        </is>
      </c>
      <c r="C7587" t="inlineStr">
        <is>
          <t>Deodorant &amp; Anti-Perspirant</t>
        </is>
      </c>
      <c r="D7587" t="inlineStr">
        <is>
          <t>Vichy</t>
        </is>
      </c>
      <c r="E7587" t="n">
        <v>11.1</v>
      </c>
      <c r="F7587" t="n">
        <v>1</v>
      </c>
      <c r="G7587" t="n">
        <v>92</v>
      </c>
      <c r="H7587" s="5">
        <f>HYPERLINK("https://api.qogita.com/variants/link/3337871324001/", "View Product")</f>
        <v/>
      </c>
    </row>
    <row r="7588">
      <c r="A7588" t="inlineStr">
        <is>
          <t>3337871330286</t>
        </is>
      </c>
      <c r="B7588" t="inlineStr">
        <is>
          <t>Dercos Anti-Dandruff Shampoo For Normal And Oily Hair 200ml</t>
        </is>
      </c>
      <c r="C7588" t="inlineStr">
        <is>
          <t>Shampoo</t>
        </is>
      </c>
      <c r="D7588" t="inlineStr">
        <is>
          <t>‎Dercos</t>
        </is>
      </c>
      <c r="E7588" t="n">
        <v>13.66</v>
      </c>
      <c r="F7588" t="n">
        <v>1</v>
      </c>
      <c r="G7588" t="n">
        <v>29</v>
      </c>
      <c r="H7588" s="5">
        <f>HYPERLINK("https://api.qogita.com/variants/link/3337871330286/", "View Product")</f>
        <v/>
      </c>
    </row>
    <row r="7589">
      <c r="A7589" t="inlineStr">
        <is>
          <t>3337872411595</t>
        </is>
      </c>
      <c r="B7589" t="inlineStr">
        <is>
          <t>La Rocheposay Micellar Solution Ultra Sensitive Skin 400ml</t>
        </is>
      </c>
      <c r="C7589" t="inlineStr">
        <is>
          <t>Micellar Water</t>
        </is>
      </c>
      <c r="D7589" t="inlineStr">
        <is>
          <t>La Roche-Posay</t>
        </is>
      </c>
      <c r="E7589" t="n">
        <v>18.15</v>
      </c>
      <c r="F7589" t="n">
        <v>1</v>
      </c>
      <c r="G7589" t="n">
        <v>19</v>
      </c>
      <c r="H7589" s="5">
        <f>HYPERLINK("https://api.qogita.com/variants/link/3337872411595/", "View Product")</f>
        <v/>
      </c>
    </row>
    <row r="7590">
      <c r="A7590" t="inlineStr">
        <is>
          <t>3337872412516</t>
        </is>
      </c>
      <c r="B7590" t="inlineStr">
        <is>
          <t>La Roche-Posay Effaclar Ultra Micellar Water For Oily Skin 400ml</t>
        </is>
      </c>
      <c r="C7590" t="inlineStr">
        <is>
          <t>Micellar Water</t>
        </is>
      </c>
      <c r="D7590" t="inlineStr">
        <is>
          <t>La Roche-Posay</t>
        </is>
      </c>
      <c r="E7590" t="n">
        <v>14.79</v>
      </c>
      <c r="F7590" t="n">
        <v>1</v>
      </c>
      <c r="G7590" t="n">
        <v>36</v>
      </c>
      <c r="H7590" s="5">
        <f>HYPERLINK("https://api.qogita.com/variants/link/3337872412516/", "View Product")</f>
        <v/>
      </c>
    </row>
    <row r="7591">
      <c r="A7591" t="inlineStr">
        <is>
          <t>3337872413575</t>
        </is>
      </c>
      <c r="B7591" t="inlineStr">
        <is>
          <t>La Rocheposay Nutritic Intense Rich 50 Ml Deeply Nourishes And Hydrates The Skin</t>
        </is>
      </c>
      <c r="C7591" t="inlineStr">
        <is>
          <t>Face Cream</t>
        </is>
      </c>
      <c r="D7591" t="inlineStr">
        <is>
          <t>La Roche-Posay</t>
        </is>
      </c>
      <c r="E7591" t="n">
        <v>20.69</v>
      </c>
      <c r="F7591" t="n">
        <v>1</v>
      </c>
      <c r="G7591" t="n">
        <v>16</v>
      </c>
      <c r="H7591" s="5">
        <f>HYPERLINK("https://api.qogita.com/variants/link/3337872413575/", "View Product")</f>
        <v/>
      </c>
    </row>
    <row r="7592">
      <c r="A7592" t="inlineStr">
        <is>
          <t>3337872413629</t>
        </is>
      </c>
      <c r="B7592" t="inlineStr">
        <is>
          <t>La Rocheposay Nutritic Intense Deeply Nourishing Regenerating Cream For Dry To Very Dry Skin 50 Ml</t>
        </is>
      </c>
      <c r="C7592" t="inlineStr">
        <is>
          <t>Face Cream</t>
        </is>
      </c>
      <c r="D7592" t="inlineStr">
        <is>
          <t>La Roche-Posay</t>
        </is>
      </c>
      <c r="E7592" t="n">
        <v>19.48</v>
      </c>
      <c r="F7592" t="n">
        <v>1</v>
      </c>
      <c r="G7592" t="n">
        <v>22</v>
      </c>
      <c r="H7592" s="5">
        <f>HYPERLINK("https://api.qogita.com/variants/link/3337872413629/", "View Product")</f>
        <v/>
      </c>
    </row>
    <row r="7593">
      <c r="A7593" t="inlineStr">
        <is>
          <t>3337872413728</t>
        </is>
      </c>
      <c r="B7593" t="inlineStr">
        <is>
          <t>La Rocheposay Pure Vitamin C Uv Spf25 Treatment Antiwrinkle 40ml</t>
        </is>
      </c>
      <c r="C7593" t="inlineStr">
        <is>
          <t>Face Dermacosmetics Sun Protection</t>
        </is>
      </c>
      <c r="D7593" t="inlineStr">
        <is>
          <t>La Roche-Posay</t>
        </is>
      </c>
      <c r="E7593" t="n">
        <v>30.46</v>
      </c>
      <c r="F7593" t="n">
        <v>1</v>
      </c>
      <c r="G7593" t="n">
        <v>3</v>
      </c>
      <c r="H7593" s="5">
        <f>HYPERLINK("https://api.qogita.com/variants/link/3337872413728/", "View Product")</f>
        <v/>
      </c>
    </row>
    <row r="7594">
      <c r="A7594" t="inlineStr">
        <is>
          <t>3337875537315</t>
        </is>
      </c>
      <c r="B7594" t="inlineStr">
        <is>
          <t>La Roche-Posay Lipikar Syndet Ultra-Delicate Cleansing Cream For Body 400ml</t>
        </is>
      </c>
      <c r="C7594" t="inlineStr">
        <is>
          <t>Shower Gel</t>
        </is>
      </c>
      <c r="D7594" t="inlineStr">
        <is>
          <t>La Roche-Posay</t>
        </is>
      </c>
      <c r="E7594" t="n">
        <v>14.78</v>
      </c>
      <c r="F7594" t="n">
        <v>1</v>
      </c>
      <c r="G7594" t="n">
        <v>23</v>
      </c>
      <c r="H7594" s="5">
        <f>HYPERLINK("https://api.qogita.com/variants/link/3337875537315/", "View Product")</f>
        <v/>
      </c>
    </row>
    <row r="7595">
      <c r="A7595" t="inlineStr">
        <is>
          <t>3337875545822</t>
        </is>
      </c>
      <c r="B7595" t="inlineStr">
        <is>
          <t>La Rocheposay Toleriane Double Cleansing Foaming Gel 400ml</t>
        </is>
      </c>
      <c r="C7595" t="inlineStr">
        <is>
          <t>Cleansing Foam</t>
        </is>
      </c>
      <c r="D7595" t="inlineStr">
        <is>
          <t>La Roche-Posay</t>
        </is>
      </c>
      <c r="E7595" t="n">
        <v>19.4</v>
      </c>
      <c r="F7595" t="n">
        <v>1</v>
      </c>
      <c r="G7595" t="n">
        <v>22</v>
      </c>
      <c r="H7595" s="5">
        <f>HYPERLINK("https://api.qogita.com/variants/link/3337875545822/", "View Product")</f>
        <v/>
      </c>
    </row>
    <row r="7596">
      <c r="A7596" t="inlineStr">
        <is>
          <t>3337875549493</t>
        </is>
      </c>
      <c r="B7596" t="inlineStr">
        <is>
          <t>La Roche-Posay Effaclar Duo + Spf30 Cream For Imperfections - 40ml</t>
        </is>
      </c>
      <c r="C7596" t="inlineStr">
        <is>
          <t>Day Cream</t>
        </is>
      </c>
      <c r="D7596" t="inlineStr">
        <is>
          <t>La Roche-Posay</t>
        </is>
      </c>
      <c r="E7596" t="n">
        <v>16.12</v>
      </c>
      <c r="F7596" t="n">
        <v>1</v>
      </c>
      <c r="G7596" t="n">
        <v>33</v>
      </c>
      <c r="H7596" s="5">
        <f>HYPERLINK("https://api.qogita.com/variants/link/3337875549493/", "View Product")</f>
        <v/>
      </c>
    </row>
    <row r="7597">
      <c r="A7597" t="inlineStr">
        <is>
          <t>3337875585231</t>
        </is>
      </c>
      <c r="B7597" t="inlineStr">
        <is>
          <t>Vichy Capital Soleil Anti-Aging Face Cream 3-In-1 Spf 50 50ml</t>
        </is>
      </c>
      <c r="C7597" t="inlineStr">
        <is>
          <t>Anti-Aging Facial Care</t>
        </is>
      </c>
      <c r="D7597" t="inlineStr">
        <is>
          <t>Vichy</t>
        </is>
      </c>
      <c r="E7597" t="n">
        <v>17.03</v>
      </c>
      <c r="F7597" t="n">
        <v>1</v>
      </c>
      <c r="G7597" t="n">
        <v>63</v>
      </c>
      <c r="H7597" s="5">
        <f>HYPERLINK("https://api.qogita.com/variants/link/3337875585231/", "View Product")</f>
        <v/>
      </c>
    </row>
    <row r="7598">
      <c r="A7598" t="inlineStr">
        <is>
          <t>3337875585750</t>
        </is>
      </c>
      <c r="B7598" t="inlineStr">
        <is>
          <t>Vichy Homme Deodorant Antiperspirant Antistains Sensitive Skin 50ml</t>
        </is>
      </c>
      <c r="C7598" t="inlineStr">
        <is>
          <t>Deodorant &amp; Anti-Perspirant</t>
        </is>
      </c>
      <c r="D7598" t="inlineStr">
        <is>
          <t>Vichy</t>
        </is>
      </c>
      <c r="E7598" t="n">
        <v>8.539999999999999</v>
      </c>
      <c r="F7598" t="n">
        <v>1</v>
      </c>
      <c r="G7598" t="n">
        <v>5</v>
      </c>
      <c r="H7598" s="5">
        <f>HYPERLINK("https://api.qogita.com/variants/link/3337875585750/", "View Product")</f>
        <v/>
      </c>
    </row>
    <row r="7599">
      <c r="A7599" t="inlineStr">
        <is>
          <t>3337875588225</t>
        </is>
      </c>
      <c r="B7599" t="inlineStr">
        <is>
          <t>Vichy Aqualia Thermal Rich Moisturizing Cream For Dry Skin With Hyaluronic Acid 50ml</t>
        </is>
      </c>
      <c r="C7599" t="inlineStr">
        <is>
          <t>Face Cream</t>
        </is>
      </c>
      <c r="D7599" t="inlineStr">
        <is>
          <t>Vichy</t>
        </is>
      </c>
      <c r="E7599" t="n">
        <v>17.94</v>
      </c>
      <c r="F7599" t="n">
        <v>1</v>
      </c>
      <c r="G7599" t="n">
        <v>303</v>
      </c>
      <c r="H7599" s="5">
        <f>HYPERLINK("https://api.qogita.com/variants/link/3337875588225/", "View Product")</f>
        <v/>
      </c>
    </row>
    <row r="7600">
      <c r="A7600" t="inlineStr">
        <is>
          <t>3337875597180</t>
        </is>
      </c>
      <c r="B7600" t="inlineStr">
        <is>
          <t>Cerave Hydrating Cleanser 236ml Hydrating Facial Cleanser</t>
        </is>
      </c>
      <c r="C7600" t="inlineStr">
        <is>
          <t>Cleansing Cream</t>
        </is>
      </c>
      <c r="D7600" t="inlineStr">
        <is>
          <t>CeraVe</t>
        </is>
      </c>
      <c r="E7600" t="n">
        <v>8.720000000000001</v>
      </c>
      <c r="F7600" t="n">
        <v>1</v>
      </c>
      <c r="G7600" t="n">
        <v>20</v>
      </c>
      <c r="H7600" s="5">
        <f>HYPERLINK("https://api.qogita.com/variants/link/3337875597180/", "View Product")</f>
        <v/>
      </c>
    </row>
    <row r="7601">
      <c r="A7601" t="inlineStr">
        <is>
          <t>3337875597197</t>
        </is>
      </c>
      <c r="B7601" t="inlineStr">
        <is>
          <t>Cerave Foaming Cleanser 236ml Cleansing Foaming Gel For Normal To Oily Skin</t>
        </is>
      </c>
      <c r="C7601" t="inlineStr">
        <is>
          <t>Cleansing Foam</t>
        </is>
      </c>
      <c r="D7601" t="inlineStr">
        <is>
          <t>CeraVe</t>
        </is>
      </c>
      <c r="E7601" t="n">
        <v>10.14</v>
      </c>
      <c r="F7601" t="n">
        <v>1</v>
      </c>
      <c r="G7601" t="n">
        <v>6</v>
      </c>
      <c r="H7601" s="5">
        <f>HYPERLINK("https://api.qogita.com/variants/link/3337875597197/", "View Product")</f>
        <v/>
      </c>
    </row>
    <row r="7602">
      <c r="A7602" t="inlineStr">
        <is>
          <t>3337875597364</t>
        </is>
      </c>
      <c r="B7602" t="inlineStr">
        <is>
          <t>CeraVe Moisturizing Lotion 88ml</t>
        </is>
      </c>
      <c r="C7602" t="inlineStr">
        <is>
          <t>Face Cream</t>
        </is>
      </c>
      <c r="D7602" t="inlineStr">
        <is>
          <t>CeraVe</t>
        </is>
      </c>
      <c r="E7602" t="n">
        <v>5.32</v>
      </c>
      <c r="F7602" t="n">
        <v>1</v>
      </c>
      <c r="G7602" t="n">
        <v>16</v>
      </c>
      <c r="H7602" s="5">
        <f>HYPERLINK("https://api.qogita.com/variants/link/3337875597364/", "View Product")</f>
        <v/>
      </c>
    </row>
    <row r="7603">
      <c r="A7603" t="inlineStr">
        <is>
          <t>3337875598750</t>
        </is>
      </c>
      <c r="B7603" t="inlineStr">
        <is>
          <t>Cerave Moisturising Lotion 1000 Ml Ideal For Dry To Very Dry Skin Fragrancefree</t>
        </is>
      </c>
      <c r="C7603" t="inlineStr">
        <is>
          <t>Body Lotion</t>
        </is>
      </c>
      <c r="D7603" t="inlineStr">
        <is>
          <t>CeraVe</t>
        </is>
      </c>
      <c r="E7603" t="n">
        <v>23.43</v>
      </c>
      <c r="F7603" t="n">
        <v>1</v>
      </c>
      <c r="G7603" t="n">
        <v>34</v>
      </c>
      <c r="H7603" s="5">
        <f>HYPERLINK("https://api.qogita.com/variants/link/3337875598750/", "View Product")</f>
        <v/>
      </c>
    </row>
    <row r="7604">
      <c r="A7604" t="inlineStr">
        <is>
          <t>3337875609593</t>
        </is>
      </c>
      <c r="B7604" t="inlineStr">
        <is>
          <t>La Rocheposay Effaclar Ai Targeter Breakout Corrector 15ml</t>
        </is>
      </c>
      <c r="C7604" t="inlineStr">
        <is>
          <t>Face Dermacosmetics Sun Protection</t>
        </is>
      </c>
      <c r="D7604" t="inlineStr">
        <is>
          <t>La Roche-Posay</t>
        </is>
      </c>
      <c r="E7604" t="n">
        <v>13.23</v>
      </c>
      <c r="F7604" t="n">
        <v>1</v>
      </c>
      <c r="G7604" t="n">
        <v>33</v>
      </c>
      <c r="H7604" s="5">
        <f>HYPERLINK("https://api.qogita.com/variants/link/3337875609593/", "View Product")</f>
        <v/>
      </c>
    </row>
    <row r="7605">
      <c r="A7605" t="inlineStr">
        <is>
          <t>3337875613491</t>
        </is>
      </c>
      <c r="B7605" t="inlineStr">
        <is>
          <t>La Rocheposay Effaclar K Renovating Care For Oily Skin 40 Ml</t>
        </is>
      </c>
      <c r="C7605" t="inlineStr">
        <is>
          <t>Face Dermacosmetics Sun Protection</t>
        </is>
      </c>
      <c r="D7605" t="inlineStr">
        <is>
          <t>La Roche-Posay</t>
        </is>
      </c>
      <c r="E7605" t="n">
        <v>15.8</v>
      </c>
      <c r="F7605" t="n">
        <v>1</v>
      </c>
      <c r="G7605" t="n">
        <v>45</v>
      </c>
      <c r="H7605" s="5">
        <f>HYPERLINK("https://api.qogita.com/variants/link/3337875613491/", "View Product")</f>
        <v/>
      </c>
    </row>
    <row r="7606">
      <c r="A7606" t="inlineStr">
        <is>
          <t>3337875613668</t>
        </is>
      </c>
      <c r="B7606" t="inlineStr">
        <is>
          <t>La Rocheposay Hyalu B5 Eyes 15ml Intensive Moisturizing Eye Cream With Hyaluronic Acid</t>
        </is>
      </c>
      <c r="C7606" t="inlineStr">
        <is>
          <t>Eye Cream</t>
        </is>
      </c>
      <c r="D7606" t="inlineStr">
        <is>
          <t>La Roche-Posay</t>
        </is>
      </c>
      <c r="E7606" t="n">
        <v>24.08</v>
      </c>
      <c r="F7606" t="n">
        <v>1</v>
      </c>
      <c r="G7606" t="n">
        <v>5</v>
      </c>
      <c r="H7606" s="5">
        <f>HYPERLINK("https://api.qogita.com/variants/link/3337875613668/", "View Product")</f>
        <v/>
      </c>
    </row>
    <row r="7607">
      <c r="A7607" t="inlineStr">
        <is>
          <t>3337875647212</t>
        </is>
      </c>
      <c r="B7607" t="inlineStr">
        <is>
          <t>Vichy Homme Structure Forte Strengthening Face Cream For Men 50ml</t>
        </is>
      </c>
      <c r="C7607" t="inlineStr">
        <is>
          <t>Face Cream</t>
        </is>
      </c>
      <c r="D7607" t="inlineStr">
        <is>
          <t>Vichy</t>
        </is>
      </c>
      <c r="E7607" t="n">
        <v>17.03</v>
      </c>
      <c r="F7607" t="n">
        <v>1</v>
      </c>
      <c r="G7607" t="n">
        <v>3</v>
      </c>
      <c r="H7607" s="5">
        <f>HYPERLINK("https://api.qogita.com/variants/link/3337875647212/", "View Product")</f>
        <v/>
      </c>
    </row>
    <row r="7608">
      <c r="A7608" t="inlineStr">
        <is>
          <t>3337875660617</t>
        </is>
      </c>
      <c r="B7608" t="inlineStr">
        <is>
          <t>Vichy Normaderm Phytosolution Cream Against Imperfections With Double Action 50ml</t>
        </is>
      </c>
      <c r="C7608" t="inlineStr">
        <is>
          <t>Pimple &amp; Blackhead Treatments</t>
        </is>
      </c>
      <c r="D7608" t="inlineStr">
        <is>
          <t>Vichy</t>
        </is>
      </c>
      <c r="E7608" t="n">
        <v>15.13</v>
      </c>
      <c r="F7608" t="n">
        <v>1</v>
      </c>
      <c r="G7608" t="n">
        <v>60</v>
      </c>
      <c r="H7608" s="5">
        <f>HYPERLINK("https://api.qogita.com/variants/link/3337875660617/", "View Product")</f>
        <v/>
      </c>
    </row>
    <row r="7609">
      <c r="A7609" t="inlineStr">
        <is>
          <t>3337875673907</t>
        </is>
      </c>
      <c r="B7609" t="inlineStr">
        <is>
          <t>Dercos Kera-Solutions Regenerating Shampoo For Dry And Damaged Hair 250ml</t>
        </is>
      </c>
      <c r="C7609" t="inlineStr">
        <is>
          <t>Shampoo</t>
        </is>
      </c>
      <c r="D7609" t="inlineStr">
        <is>
          <t>‎Dercos</t>
        </is>
      </c>
      <c r="E7609" t="n">
        <v>13.54</v>
      </c>
      <c r="F7609" t="n">
        <v>1</v>
      </c>
      <c r="G7609" t="n">
        <v>4</v>
      </c>
      <c r="H7609" s="5">
        <f>HYPERLINK("https://api.qogita.com/variants/link/3337875673907/", "View Product")</f>
        <v/>
      </c>
    </row>
    <row r="7610">
      <c r="A7610" t="inlineStr">
        <is>
          <t>3337875674942</t>
        </is>
      </c>
      <c r="B7610" t="inlineStr">
        <is>
          <t>Vichy Purete Thermale Mineral Micellar Cleansing Fluid for Sensitive Skin</t>
        </is>
      </c>
      <c r="C7610" t="inlineStr">
        <is>
          <t>Micellar Water</t>
        </is>
      </c>
      <c r="D7610" t="inlineStr">
        <is>
          <t>Vichy</t>
        </is>
      </c>
      <c r="E7610" t="n">
        <v>13.35</v>
      </c>
      <c r="F7610" t="n">
        <v>1</v>
      </c>
      <c r="G7610" t="n">
        <v>5</v>
      </c>
      <c r="H7610" s="5">
        <f>HYPERLINK("https://api.qogita.com/variants/link/3337875674942/", "View Product")</f>
        <v/>
      </c>
    </row>
    <row r="7611">
      <c r="A7611" t="inlineStr">
        <is>
          <t>3337875684095</t>
        </is>
      </c>
      <c r="B7611" t="inlineStr">
        <is>
          <t>Cerave Sa Smoothing Cream - 177ml For Dry Skin</t>
        </is>
      </c>
      <c r="C7611" t="inlineStr">
        <is>
          <t>Face Cream</t>
        </is>
      </c>
      <c r="D7611" t="inlineStr">
        <is>
          <t>CeraVe</t>
        </is>
      </c>
      <c r="E7611" t="n">
        <v>11.94</v>
      </c>
      <c r="F7611" t="n">
        <v>1</v>
      </c>
      <c r="G7611" t="n">
        <v>12</v>
      </c>
      <c r="H7611" s="5">
        <f>HYPERLINK("https://api.qogita.com/variants/link/3337875684095/", "View Product")</f>
        <v/>
      </c>
    </row>
    <row r="7612">
      <c r="A7612" t="inlineStr">
        <is>
          <t>3337875719209</t>
        </is>
      </c>
      <c r="B7612" t="inlineStr">
        <is>
          <t>Vichy Liftactiv Supreme Ha Epidermic Filler Antiwrinkle Skin Serum 30 Ml</t>
        </is>
      </c>
      <c r="C7612" t="inlineStr">
        <is>
          <t>Anti-Aging Serum</t>
        </is>
      </c>
      <c r="D7612" t="inlineStr">
        <is>
          <t>Vichy</t>
        </is>
      </c>
      <c r="E7612" t="n">
        <v>32.28</v>
      </c>
      <c r="F7612" t="n">
        <v>1</v>
      </c>
      <c r="G7612" t="n">
        <v>3</v>
      </c>
      <c r="H7612" s="5">
        <f>HYPERLINK("https://api.qogita.com/variants/link/3337875719209/", "View Product")</f>
        <v/>
      </c>
    </row>
    <row r="7613">
      <c r="A7613" t="inlineStr">
        <is>
          <t>3337875731638</t>
        </is>
      </c>
      <c r="B7613" t="inlineStr">
        <is>
          <t>La Rocheposay Hydraphase Ha Light Moisturizer 50ml</t>
        </is>
      </c>
      <c r="C7613" t="inlineStr">
        <is>
          <t>Day Cream</t>
        </is>
      </c>
      <c r="D7613" t="inlineStr">
        <is>
          <t>La Roche-Posay</t>
        </is>
      </c>
      <c r="E7613" t="n">
        <v>20.34</v>
      </c>
      <c r="F7613" t="n">
        <v>1</v>
      </c>
      <c r="G7613" t="n">
        <v>23</v>
      </c>
      <c r="H7613" s="5">
        <f>HYPERLINK("https://api.qogita.com/variants/link/3337875731638/", "View Product")</f>
        <v/>
      </c>
    </row>
    <row r="7614">
      <c r="A7614" t="inlineStr">
        <is>
          <t>3337875757515</t>
        </is>
      </c>
      <c r="B7614" t="inlineStr">
        <is>
          <t>La Rocheposay Toleriane Dermallergo Eyes 20 Ml Eye Cream</t>
        </is>
      </c>
      <c r="C7614" t="inlineStr">
        <is>
          <t>Eye Cream</t>
        </is>
      </c>
      <c r="D7614" t="inlineStr">
        <is>
          <t>La Roche-Posay</t>
        </is>
      </c>
      <c r="E7614" t="n">
        <v>18.23</v>
      </c>
      <c r="F7614" t="n">
        <v>1</v>
      </c>
      <c r="G7614" t="n">
        <v>12</v>
      </c>
      <c r="H7614" s="5">
        <f>HYPERLINK("https://api.qogita.com/variants/link/3337875757515/", "View Product")</f>
        <v/>
      </c>
    </row>
    <row r="7615">
      <c r="A7615" t="inlineStr">
        <is>
          <t>3337875761123</t>
        </is>
      </c>
      <c r="B7615" t="inlineStr">
        <is>
          <t>La Rocheposay Anthelios Moisturizing Milk Ultra Protection Spf 50 250ml</t>
        </is>
      </c>
      <c r="C7615" t="inlineStr">
        <is>
          <t>Body Sun Protection</t>
        </is>
      </c>
      <c r="D7615" t="inlineStr">
        <is>
          <t>La Roche-Posay</t>
        </is>
      </c>
      <c r="E7615" t="n">
        <v>21.81</v>
      </c>
      <c r="F7615" t="n">
        <v>1</v>
      </c>
      <c r="G7615" t="n">
        <v>6</v>
      </c>
      <c r="H7615" s="5">
        <f>HYPERLINK("https://api.qogita.com/variants/link/3337875761123/", "View Product")</f>
        <v/>
      </c>
    </row>
    <row r="7616">
      <c r="A7616" t="inlineStr">
        <is>
          <t>3337875762908</t>
        </is>
      </c>
      <c r="B7616" t="inlineStr">
        <is>
          <t>Vichy Mineral 89 Probiotic Fractions Concentrate 30 Ml Probiotic Serum</t>
        </is>
      </c>
      <c r="C7616" t="inlineStr">
        <is>
          <t>Hydrating Serum</t>
        </is>
      </c>
      <c r="D7616" t="inlineStr">
        <is>
          <t>Vichy</t>
        </is>
      </c>
      <c r="E7616" t="n">
        <v>21.93</v>
      </c>
      <c r="F7616" t="n">
        <v>1</v>
      </c>
      <c r="G7616" t="n">
        <v>67</v>
      </c>
      <c r="H7616" s="5">
        <f>HYPERLINK("https://api.qogita.com/variants/link/3337875762908/", "View Product")</f>
        <v/>
      </c>
    </row>
    <row r="7617">
      <c r="A7617" t="inlineStr">
        <is>
          <t>3337875774086</t>
        </is>
      </c>
      <c r="B7617" t="inlineStr">
        <is>
          <t>Vichy Neovadiol Peri-Menopause Night Cream For Mature Skin 50ml</t>
        </is>
      </c>
      <c r="C7617" t="inlineStr">
        <is>
          <t>Night Cream</t>
        </is>
      </c>
      <c r="D7617" t="inlineStr">
        <is>
          <t>Vichy</t>
        </is>
      </c>
      <c r="E7617" t="n">
        <v>31.97</v>
      </c>
      <c r="F7617" t="n">
        <v>1</v>
      </c>
      <c r="G7617" t="n">
        <v>6</v>
      </c>
      <c r="H7617" s="5">
        <f>HYPERLINK("https://api.qogita.com/variants/link/3337875774086/", "View Product")</f>
        <v/>
      </c>
    </row>
    <row r="7618">
      <c r="A7618" t="inlineStr">
        <is>
          <t>3337875800853</t>
        </is>
      </c>
      <c r="B7618" t="inlineStr">
        <is>
          <t>La Rocheposay Toleriane Dermallergo Night Cream For Very Sensitive Skin 40ml</t>
        </is>
      </c>
      <c r="C7618" t="inlineStr">
        <is>
          <t>Night Cream</t>
        </is>
      </c>
      <c r="D7618" t="inlineStr">
        <is>
          <t>La Roche-Posay</t>
        </is>
      </c>
      <c r="E7618" t="n">
        <v>20.04</v>
      </c>
      <c r="F7618" t="n">
        <v>1</v>
      </c>
      <c r="G7618" t="n">
        <v>3</v>
      </c>
      <c r="H7618" s="5">
        <f>HYPERLINK("https://api.qogita.com/variants/link/3337875800853/", "View Product")</f>
        <v/>
      </c>
    </row>
    <row r="7619">
      <c r="A7619" t="inlineStr">
        <is>
          <t>3337875814652</t>
        </is>
      </c>
      <c r="B7619" t="inlineStr">
        <is>
          <t>CeraVe Facial Moisturizer with SPF 50 for Dry Skin</t>
        </is>
      </c>
      <c r="C7619" t="inlineStr">
        <is>
          <t>Face Sun Protection</t>
        </is>
      </c>
      <c r="D7619" t="inlineStr">
        <is>
          <t>CeraVe</t>
        </is>
      </c>
      <c r="E7619" t="n">
        <v>12.96</v>
      </c>
      <c r="F7619" t="n">
        <v>1</v>
      </c>
      <c r="G7619" t="n">
        <v>87</v>
      </c>
      <c r="H7619" s="5">
        <f>HYPERLINK("https://api.qogita.com/variants/link/3337875814652/", "View Product")</f>
        <v/>
      </c>
    </row>
    <row r="7620">
      <c r="A7620" t="inlineStr">
        <is>
          <t>3337875816779</t>
        </is>
      </c>
      <c r="B7620" t="inlineStr">
        <is>
          <t>La Roche-Posay Cicaplast Soothing Ultra-Restorative Balm B5+ 15ml</t>
        </is>
      </c>
      <c r="C7620" t="inlineStr">
        <is>
          <t>Neurodermatitis</t>
        </is>
      </c>
      <c r="D7620" t="inlineStr">
        <is>
          <t>La Roche-Posay</t>
        </is>
      </c>
      <c r="E7620" t="n">
        <v>5.67</v>
      </c>
      <c r="F7620" t="n">
        <v>1</v>
      </c>
      <c r="G7620" t="n">
        <v>2</v>
      </c>
      <c r="H7620" s="5">
        <f>HYPERLINK("https://api.qogita.com/variants/link/3337875816779/", "View Product")</f>
        <v/>
      </c>
    </row>
    <row r="7621">
      <c r="A7621" t="inlineStr">
        <is>
          <t>3337875816809</t>
        </is>
      </c>
      <c r="B7621" t="inlineStr">
        <is>
          <t>La Rocheposay Cicaplast Baume B5 Soothing Repairing Balm 40 Ml</t>
        </is>
      </c>
      <c r="C7621" t="inlineStr">
        <is>
          <t>Body Care</t>
        </is>
      </c>
      <c r="D7621" t="inlineStr">
        <is>
          <t>La Roche-Posay</t>
        </is>
      </c>
      <c r="E7621" t="n">
        <v>7.97</v>
      </c>
      <c r="F7621" t="n">
        <v>1</v>
      </c>
      <c r="G7621" t="n">
        <v>69</v>
      </c>
      <c r="H7621" s="5">
        <f>HYPERLINK("https://api.qogita.com/variants/link/3337875816809/", "View Product")</f>
        <v/>
      </c>
    </row>
    <row r="7622">
      <c r="A7622" t="inlineStr">
        <is>
          <t>3337875821636</t>
        </is>
      </c>
      <c r="B7622" t="inlineStr">
        <is>
          <t>Vichy Liftactiv Retinol Specialist Serum 30 Ml</t>
        </is>
      </c>
      <c r="C7622" t="inlineStr">
        <is>
          <t>Anti-Aging Serum</t>
        </is>
      </c>
      <c r="D7622" t="inlineStr">
        <is>
          <t>Vichy</t>
        </is>
      </c>
      <c r="E7622" t="n">
        <v>33.81</v>
      </c>
      <c r="F7622" t="n">
        <v>1</v>
      </c>
      <c r="G7622" t="n">
        <v>2</v>
      </c>
      <c r="H7622" s="5">
        <f>HYPERLINK("https://api.qogita.com/variants/link/3337875821636/", "View Product")</f>
        <v/>
      </c>
    </row>
    <row r="7623">
      <c r="A7623" t="inlineStr">
        <is>
          <t>3337875837149</t>
        </is>
      </c>
      <c r="B7623" t="inlineStr">
        <is>
          <t>Vichy Capital Soleil Uvclear Spf 50 40ml High Protection Sunscreen For Imperfectionprone Skin</t>
        </is>
      </c>
      <c r="C7623" t="inlineStr">
        <is>
          <t>Face Sun Protection</t>
        </is>
      </c>
      <c r="D7623" t="inlineStr">
        <is>
          <t>Vichy</t>
        </is>
      </c>
      <c r="E7623" t="n">
        <v>22.8</v>
      </c>
      <c r="F7623" t="n">
        <v>1</v>
      </c>
      <c r="G7623" t="n">
        <v>2</v>
      </c>
      <c r="H7623" s="5">
        <f>HYPERLINK("https://api.qogita.com/variants/link/3337875837149/", "View Product")</f>
        <v/>
      </c>
    </row>
    <row r="7624">
      <c r="A7624" t="inlineStr">
        <is>
          <t>3337875852302</t>
        </is>
      </c>
      <c r="B7624" t="inlineStr">
        <is>
          <t>La Rocheposay Lipikar Urea 10 Body Lotion 400ml For Very Dry Rough And Scaly Skin</t>
        </is>
      </c>
      <c r="C7624" t="inlineStr">
        <is>
          <t>Body Lotion</t>
        </is>
      </c>
      <c r="D7624" t="inlineStr">
        <is>
          <t>La Roche-Posay</t>
        </is>
      </c>
      <c r="E7624" t="n">
        <v>21.47</v>
      </c>
      <c r="F7624" t="n">
        <v>1</v>
      </c>
      <c r="G7624" t="n">
        <v>5</v>
      </c>
      <c r="H7624" s="5">
        <f>HYPERLINK("https://api.qogita.com/variants/link/3337875852302/", "View Product")</f>
        <v/>
      </c>
    </row>
    <row r="7625">
      <c r="A7625" t="inlineStr">
        <is>
          <t>3337875862097</t>
        </is>
      </c>
      <c r="B7625" t="inlineStr">
        <is>
          <t>Vichy Purete Thermale One Step Fresh Cleansing Gel for Sensitive Skin and Eyes</t>
        </is>
      </c>
      <c r="C7625" t="inlineStr">
        <is>
          <t>Cleansing Gel</t>
        </is>
      </c>
      <c r="D7625" t="inlineStr">
        <is>
          <t>Vichy</t>
        </is>
      </c>
      <c r="E7625" t="n">
        <v>12.24</v>
      </c>
      <c r="F7625" t="n">
        <v>1</v>
      </c>
      <c r="G7625" t="n">
        <v>2</v>
      </c>
      <c r="H7625" s="5">
        <f>HYPERLINK("https://api.qogita.com/variants/link/3337875862097/", "View Product")</f>
        <v/>
      </c>
    </row>
    <row r="7626">
      <c r="A7626" t="inlineStr">
        <is>
          <t>3337875873048</t>
        </is>
      </c>
      <c r="B7626" t="inlineStr">
        <is>
          <t>Vichy Liftactiv Collagen Eyes 15ml Eye Care</t>
        </is>
      </c>
      <c r="C7626" t="inlineStr">
        <is>
          <t>Eye Cream</t>
        </is>
      </c>
      <c r="D7626" t="inlineStr">
        <is>
          <t>Vichy</t>
        </is>
      </c>
      <c r="E7626" t="n">
        <v>23.4</v>
      </c>
      <c r="F7626" t="n">
        <v>1</v>
      </c>
      <c r="G7626" t="n">
        <v>11</v>
      </c>
      <c r="H7626" s="5">
        <f>HYPERLINK("https://api.qogita.com/variants/link/3337875873048/", "View Product")</f>
        <v/>
      </c>
    </row>
    <row r="7627">
      <c r="A7627" t="inlineStr">
        <is>
          <t>3337875888097</t>
        </is>
      </c>
      <c r="B7627" t="inlineStr">
        <is>
          <t>Skin Ceuticals Gentle Cleanser Cream 190ml</t>
        </is>
      </c>
      <c r="C7627" t="inlineStr">
        <is>
          <t>Cleansing Cream</t>
        </is>
      </c>
      <c r="D7627" t="inlineStr">
        <is>
          <t>Skinceuticals</t>
        </is>
      </c>
      <c r="E7627" t="n">
        <v>44.67</v>
      </c>
      <c r="F7627" t="n">
        <v>1</v>
      </c>
      <c r="G7627" t="n">
        <v>2</v>
      </c>
      <c r="H7627" s="5">
        <f>HYPERLINK("https://api.qogita.com/variants/link/3337875888097/", "View Product")</f>
        <v/>
      </c>
    </row>
    <row r="7628">
      <c r="A7628" t="inlineStr">
        <is>
          <t>3337875890021</t>
        </is>
      </c>
      <c r="B7628" t="inlineStr">
        <is>
          <t>La Rocheposay Mela B3 Serum 30ml Intensive Antidark Spots Serum</t>
        </is>
      </c>
      <c r="C7628" t="inlineStr">
        <is>
          <t>Vitamin Serum</t>
        </is>
      </c>
      <c r="D7628" t="inlineStr">
        <is>
          <t>La Roche-Posay</t>
        </is>
      </c>
      <c r="E7628" t="n">
        <v>37.29</v>
      </c>
      <c r="F7628" t="n">
        <v>1</v>
      </c>
      <c r="G7628" t="n">
        <v>14</v>
      </c>
      <c r="H7628" s="5">
        <f>HYPERLINK("https://api.qogita.com/variants/link/3337875890021/", "View Product")</f>
        <v/>
      </c>
    </row>
    <row r="7629">
      <c r="A7629" t="inlineStr">
        <is>
          <t>3337875890069</t>
        </is>
      </c>
      <c r="B7629" t="inlineStr">
        <is>
          <t>La Roche-Posay Mela B3 Micro-Peeling Cleansing Gel Against Discoloration 200ml</t>
        </is>
      </c>
      <c r="C7629" t="inlineStr">
        <is>
          <t>Facial Cleansing</t>
        </is>
      </c>
      <c r="D7629" t="inlineStr">
        <is>
          <t>La Roche-Posay</t>
        </is>
      </c>
      <c r="E7629" t="n">
        <v>17.15</v>
      </c>
      <c r="F7629" t="n">
        <v>1</v>
      </c>
      <c r="G7629" t="n">
        <v>10</v>
      </c>
      <c r="H7629" s="5">
        <f>HYPERLINK("https://api.qogita.com/variants/link/3337875890069/", "View Product")</f>
        <v/>
      </c>
    </row>
    <row r="7630">
      <c r="A7630" t="inlineStr">
        <is>
          <t>3337875890113</t>
        </is>
      </c>
      <c r="B7630" t="inlineStr">
        <is>
          <t>La Rocheposay Mela B3 Moisturising Cream Spf30 40ml</t>
        </is>
      </c>
      <c r="C7630" t="inlineStr">
        <is>
          <t>Day Cream</t>
        </is>
      </c>
      <c r="D7630" t="inlineStr">
        <is>
          <t>La Roche-Posay</t>
        </is>
      </c>
      <c r="E7630" t="n">
        <v>28.42</v>
      </c>
      <c r="F7630" t="n">
        <v>1</v>
      </c>
      <c r="G7630" t="n">
        <v>3</v>
      </c>
      <c r="H7630" s="5">
        <f>HYPERLINK("https://api.qogita.com/variants/link/3337875890113/", "View Product")</f>
        <v/>
      </c>
    </row>
    <row r="7631">
      <c r="A7631" t="inlineStr">
        <is>
          <t>3337875894265</t>
        </is>
      </c>
      <c r="B7631" t="inlineStr">
        <is>
          <t>Vichy Deo Invisible Resist Antiperspirant Roll-On 50 Ml</t>
        </is>
      </c>
      <c r="C7631" t="inlineStr">
        <is>
          <t>Deodorant &amp; Anti-Perspirant</t>
        </is>
      </c>
      <c r="D7631" t="inlineStr">
        <is>
          <t>Vichy</t>
        </is>
      </c>
      <c r="E7631" t="n">
        <v>11.22</v>
      </c>
      <c r="F7631" t="n">
        <v>1</v>
      </c>
      <c r="G7631" t="n">
        <v>3</v>
      </c>
      <c r="H7631" s="5">
        <f>HYPERLINK("https://api.qogita.com/variants/link/3337875894265/", "View Product")</f>
        <v/>
      </c>
    </row>
    <row r="7632">
      <c r="A7632" t="inlineStr">
        <is>
          <t>3337875895637</t>
        </is>
      </c>
      <c r="B7632" t="inlineStr">
        <is>
          <t>Vichy Mineral 89 100h Moisture Boosting Rich Cream with Hyaluronic Acid for Dry Skin</t>
        </is>
      </c>
      <c r="C7632" t="inlineStr">
        <is>
          <t>Face Cream</t>
        </is>
      </c>
      <c r="D7632" t="inlineStr">
        <is>
          <t>Vichy</t>
        </is>
      </c>
      <c r="E7632" t="n">
        <v>18.55</v>
      </c>
      <c r="F7632" t="n">
        <v>1</v>
      </c>
      <c r="G7632" t="n">
        <v>3</v>
      </c>
      <c r="H7632" s="5">
        <f>HYPERLINK("https://api.qogita.com/variants/link/3337875895637/", "View Product")</f>
        <v/>
      </c>
    </row>
    <row r="7633">
      <c r="A7633" t="inlineStr">
        <is>
          <t>3337875902380</t>
        </is>
      </c>
      <c r="B7633" t="inlineStr">
        <is>
          <t>Dercos Anti-Dandruff Shampoo With Conditioner 2 In 1 200ml</t>
        </is>
      </c>
      <c r="C7633" t="inlineStr">
        <is>
          <t>Shampoo</t>
        </is>
      </c>
      <c r="D7633" t="inlineStr">
        <is>
          <t>‎Dercos</t>
        </is>
      </c>
      <c r="E7633" t="n">
        <v>14.06</v>
      </c>
      <c r="F7633" t="n">
        <v>1</v>
      </c>
      <c r="G7633" t="n">
        <v>3</v>
      </c>
      <c r="H7633" s="5">
        <f>HYPERLINK("https://api.qogita.com/variants/link/3337875902380/", "View Product")</f>
        <v/>
      </c>
    </row>
    <row r="7634">
      <c r="A7634" t="inlineStr">
        <is>
          <t>3337875904315</t>
        </is>
      </c>
      <c r="B7634" t="inlineStr">
        <is>
          <t>Cerave Intensive Moisturising Lotion - 473ml For Very Dry Skin</t>
        </is>
      </c>
      <c r="C7634" t="inlineStr">
        <is>
          <t>Body Lotion</t>
        </is>
      </c>
      <c r="D7634" t="inlineStr">
        <is>
          <t>CeraVe</t>
        </is>
      </c>
      <c r="E7634" t="n">
        <v>16.17</v>
      </c>
      <c r="F7634" t="n">
        <v>1</v>
      </c>
      <c r="G7634" t="n">
        <v>5</v>
      </c>
      <c r="H7634" s="5">
        <f>HYPERLINK("https://api.qogita.com/variants/link/3337875904315/", "View Product")</f>
        <v/>
      </c>
    </row>
    <row r="7635">
      <c r="A7635" t="inlineStr">
        <is>
          <t>3337875909235</t>
        </is>
      </c>
      <c r="B7635" t="inlineStr">
        <is>
          <t>La Roche-Posay Visage Pure Vitamin C12 Anti-Wrinkle Serum - 30 Ml</t>
        </is>
      </c>
      <c r="C7635" t="inlineStr">
        <is>
          <t>Vitamin Serum</t>
        </is>
      </c>
      <c r="D7635" t="inlineStr">
        <is>
          <t>La Roche-Posay</t>
        </is>
      </c>
      <c r="E7635" t="n">
        <v>37.53</v>
      </c>
      <c r="F7635" t="n">
        <v>1</v>
      </c>
      <c r="G7635" t="n">
        <v>3</v>
      </c>
      <c r="H7635" s="5">
        <f>HYPERLINK("https://api.qogita.com/variants/link/3337875909235/", "View Product")</f>
        <v/>
      </c>
    </row>
    <row r="7636">
      <c r="A7636" t="inlineStr">
        <is>
          <t>3337875916998</t>
        </is>
      </c>
      <c r="B7636" t="inlineStr">
        <is>
          <t>Vichy Mineral 89 Moisture Recovery Night Cream - 50 Ml</t>
        </is>
      </c>
      <c r="C7636" t="inlineStr">
        <is>
          <t>Night Cream</t>
        </is>
      </c>
      <c r="D7636" t="inlineStr">
        <is>
          <t>Vichy</t>
        </is>
      </c>
      <c r="E7636" t="n">
        <v>21.31</v>
      </c>
      <c r="F7636" t="n">
        <v>1</v>
      </c>
      <c r="G7636" t="n">
        <v>16</v>
      </c>
      <c r="H7636" s="5">
        <f>HYPERLINK("https://api.qogita.com/variants/link/3337875916998/", "View Product")</f>
        <v/>
      </c>
    </row>
    <row r="7637">
      <c r="A7637" t="inlineStr">
        <is>
          <t>3338221002921</t>
        </is>
      </c>
      <c r="B7637" t="inlineStr">
        <is>
          <t>Phyto Colour Shine Gloss Activator 150ml - Enhances Shine</t>
        </is>
      </c>
      <c r="C7637" t="inlineStr">
        <is>
          <t>Hair Oil &amp; Hair Serum</t>
        </is>
      </c>
      <c r="D7637" t="inlineStr">
        <is>
          <t>Phyto</t>
        </is>
      </c>
      <c r="E7637" t="n">
        <v>10.78</v>
      </c>
      <c r="F7637" t="n">
        <v>1</v>
      </c>
      <c r="G7637" t="n">
        <v>5</v>
      </c>
      <c r="H7637" s="5">
        <f>HYPERLINK("https://api.qogita.com/variants/link/3338221002921/", "View Product")</f>
        <v/>
      </c>
    </row>
    <row r="7638">
      <c r="A7638" t="inlineStr">
        <is>
          <t>3346130000051</t>
        </is>
      </c>
      <c r="B7638" t="inlineStr">
        <is>
          <t>Herms Eau De Basilic Pourpre Eau De Cologne Spray 50ml</t>
        </is>
      </c>
      <c r="C7638" t="inlineStr">
        <is>
          <t>Eau De Cologne</t>
        </is>
      </c>
      <c r="D7638" t="inlineStr">
        <is>
          <t>Hermès</t>
        </is>
      </c>
      <c r="E7638" t="n">
        <v>33.59</v>
      </c>
      <c r="F7638" t="n">
        <v>1</v>
      </c>
      <c r="G7638" t="n">
        <v>14</v>
      </c>
      <c r="H7638" s="5">
        <f>HYPERLINK("https://api.qogita.com/variants/link/3346130000051/", "View Product")</f>
        <v/>
      </c>
    </row>
    <row r="7639">
      <c r="A7639" t="inlineStr">
        <is>
          <t>3346130009672</t>
        </is>
      </c>
      <c r="B7639" t="inlineStr">
        <is>
          <t>Hermes Terre D'Hermes Eau De Toilette Refill 125ml</t>
        </is>
      </c>
      <c r="C7639" t="inlineStr">
        <is>
          <t>Eau De Toilette</t>
        </is>
      </c>
      <c r="D7639" t="inlineStr">
        <is>
          <t>Hermès</t>
        </is>
      </c>
      <c r="E7639" t="n">
        <v>81.61</v>
      </c>
      <c r="F7639" t="n">
        <v>1</v>
      </c>
      <c r="G7639" t="n">
        <v>5</v>
      </c>
      <c r="H7639" s="5">
        <f>HYPERLINK("https://api.qogita.com/variants/link/3346130009672/", "View Product")</f>
        <v/>
      </c>
    </row>
    <row r="7640">
      <c r="A7640" t="inlineStr">
        <is>
          <t>3346130010166</t>
        </is>
      </c>
      <c r="B7640" t="inlineStr">
        <is>
          <t>Hermes Elixir Des Merveilles Eau De Parfum 50ml Women Spray</t>
        </is>
      </c>
      <c r="C7640" t="inlineStr">
        <is>
          <t>Eau De Parfum</t>
        </is>
      </c>
      <c r="D7640" t="inlineStr">
        <is>
          <t>Hermès</t>
        </is>
      </c>
      <c r="E7640" t="n">
        <v>59.17</v>
      </c>
      <c r="F7640" t="n">
        <v>1</v>
      </c>
      <c r="G7640" t="n">
        <v>23</v>
      </c>
      <c r="H7640" s="5">
        <f>HYPERLINK("https://api.qogita.com/variants/link/3346130010166/", "View Product")</f>
        <v/>
      </c>
    </row>
    <row r="7641">
      <c r="A7641" t="inlineStr">
        <is>
          <t>3346130010654</t>
        </is>
      </c>
      <c r="B7641" t="inlineStr">
        <is>
          <t>Hermes Terre D'Hermes Perfume Set - 75ml + 12.5ml Spray</t>
        </is>
      </c>
      <c r="C7641" t="inlineStr">
        <is>
          <t>Fragrance Sets</t>
        </is>
      </c>
      <c r="D7641" t="inlineStr">
        <is>
          <t>Hermès</t>
        </is>
      </c>
      <c r="E7641" t="n">
        <v>82.34</v>
      </c>
      <c r="F7641" t="n">
        <v>1</v>
      </c>
      <c r="G7641" t="n">
        <v>23</v>
      </c>
      <c r="H7641" s="5">
        <f>HYPERLINK("https://api.qogita.com/variants/link/3346130010654/", "View Product")</f>
        <v/>
      </c>
    </row>
    <row r="7642">
      <c r="A7642" t="inlineStr">
        <is>
          <t>3346130011088</t>
        </is>
      </c>
      <c r="B7642" t="inlineStr">
        <is>
          <t>Hermes 24 Faubourg Eau De Toilette 50ml Women Spray</t>
        </is>
      </c>
      <c r="C7642" t="inlineStr">
        <is>
          <t>Eau De Toilette</t>
        </is>
      </c>
      <c r="D7642" t="inlineStr">
        <is>
          <t>Hermès</t>
        </is>
      </c>
      <c r="E7642" t="n">
        <v>66.77</v>
      </c>
      <c r="F7642" t="n">
        <v>1</v>
      </c>
      <c r="G7642" t="n">
        <v>7</v>
      </c>
      <c r="H7642" s="5">
        <f>HYPERLINK("https://api.qogita.com/variants/link/3346130011088/", "View Product")</f>
        <v/>
      </c>
    </row>
    <row r="7643">
      <c r="A7643" t="inlineStr">
        <is>
          <t>3346130011194</t>
        </is>
      </c>
      <c r="B7643" t="inlineStr">
        <is>
          <t>Herms Calche Eau De Toilette 100ml Women's Spray</t>
        </is>
      </c>
      <c r="C7643" t="inlineStr">
        <is>
          <t>Eau De Toilette</t>
        </is>
      </c>
      <c r="D7643" t="inlineStr">
        <is>
          <t>Hermès</t>
        </is>
      </c>
      <c r="E7643" t="n">
        <v>72.06999999999999</v>
      </c>
      <c r="F7643" t="n">
        <v>1</v>
      </c>
      <c r="G7643" t="n">
        <v>43</v>
      </c>
      <c r="H7643" s="5">
        <f>HYPERLINK("https://api.qogita.com/variants/link/3346130011194/", "View Product")</f>
        <v/>
      </c>
    </row>
    <row r="7644">
      <c r="A7644" t="inlineStr">
        <is>
          <t>3346130011224</t>
        </is>
      </c>
      <c r="B7644" t="inlineStr">
        <is>
          <t>Herms Calche Eau De Toilette 50ml Women Spray</t>
        </is>
      </c>
      <c r="C7644" t="inlineStr">
        <is>
          <t>Eau De Toilette</t>
        </is>
      </c>
      <c r="D7644" t="inlineStr">
        <is>
          <t>Hermès</t>
        </is>
      </c>
      <c r="E7644" t="n">
        <v>55.65</v>
      </c>
      <c r="F7644" t="n">
        <v>1</v>
      </c>
      <c r="G7644" t="n">
        <v>28</v>
      </c>
      <c r="H7644" s="5">
        <f>HYPERLINK("https://api.qogita.com/variants/link/3346130011224/", "View Product")</f>
        <v/>
      </c>
    </row>
    <row r="7645">
      <c r="A7645" t="inlineStr">
        <is>
          <t>3346130011286</t>
        </is>
      </c>
      <c r="B7645" t="inlineStr">
        <is>
          <t>Herms Paris Caleche Soie De Parfum 100ml Spray</t>
        </is>
      </c>
      <c r="C7645" t="inlineStr">
        <is>
          <t>Eau De Parfum</t>
        </is>
      </c>
      <c r="D7645" t="inlineStr">
        <is>
          <t>Hermès</t>
        </is>
      </c>
      <c r="E7645" t="n">
        <v>113.36</v>
      </c>
      <c r="F7645" t="n">
        <v>1</v>
      </c>
      <c r="G7645" t="n">
        <v>23</v>
      </c>
      <c r="H7645" s="5">
        <f>HYPERLINK("https://api.qogita.com/variants/link/3346130011286/", "View Product")</f>
        <v/>
      </c>
    </row>
    <row r="7646">
      <c r="A7646" t="inlineStr">
        <is>
          <t>3346130011316</t>
        </is>
      </c>
      <c r="B7646" t="inlineStr">
        <is>
          <t>Herms Rocabar Eau De Toilette 100ml For Men</t>
        </is>
      </c>
      <c r="C7646" t="inlineStr">
        <is>
          <t>Eau De Toilette</t>
        </is>
      </c>
      <c r="D7646" t="inlineStr">
        <is>
          <t>Hermès</t>
        </is>
      </c>
      <c r="E7646" t="n">
        <v>90.31999999999999</v>
      </c>
      <c r="F7646" t="n">
        <v>1</v>
      </c>
      <c r="G7646" t="n">
        <v>4</v>
      </c>
      <c r="H7646" s="5">
        <f>HYPERLINK("https://api.qogita.com/variants/link/3346130011316/", "View Product")</f>
        <v/>
      </c>
    </row>
    <row r="7647">
      <c r="A7647" t="inlineStr">
        <is>
          <t>3346130011491</t>
        </is>
      </c>
      <c r="B7647" t="inlineStr">
        <is>
          <t>Hermes Hiris Eau de Toilette Spray For Her 100ml</t>
        </is>
      </c>
      <c r="C7647" t="inlineStr">
        <is>
          <t>Eau De Toilette</t>
        </is>
      </c>
      <c r="D7647" t="inlineStr">
        <is>
          <t>Hermès</t>
        </is>
      </c>
      <c r="E7647" t="n">
        <v>76.8</v>
      </c>
      <c r="F7647" t="n">
        <v>1</v>
      </c>
      <c r="G7647" t="n">
        <v>9</v>
      </c>
      <c r="H7647" s="5">
        <f>HYPERLINK("https://api.qogita.com/variants/link/3346130011491/", "View Product")</f>
        <v/>
      </c>
    </row>
    <row r="7648">
      <c r="A7648" t="inlineStr">
        <is>
          <t>3346130012511</t>
        </is>
      </c>
      <c r="B7648" t="inlineStr">
        <is>
          <t>Hermes Jour D'Hermes Absolu Eau De Parfum Refillable Spray 85ml</t>
        </is>
      </c>
      <c r="C7648" t="inlineStr">
        <is>
          <t>Eau De Parfum</t>
        </is>
      </c>
      <c r="D7648" t="inlineStr">
        <is>
          <t>Hermès</t>
        </is>
      </c>
      <c r="E7648" t="n">
        <v>91.93000000000001</v>
      </c>
      <c r="F7648" t="n">
        <v>1</v>
      </c>
      <c r="G7648" t="n">
        <v>2</v>
      </c>
      <c r="H7648" s="5">
        <f>HYPERLINK("https://api.qogita.com/variants/link/3346130012511/", "View Product")</f>
        <v/>
      </c>
    </row>
    <row r="7649">
      <c r="A7649" t="inlineStr">
        <is>
          <t>3346130012689</t>
        </is>
      </c>
      <c r="B7649" t="inlineStr">
        <is>
          <t>Hermes Voyage D'Hermes Refillable Spray 100ml</t>
        </is>
      </c>
      <c r="C7649" t="inlineStr">
        <is>
          <t>Refillable Fragrances &amp; Refills</t>
        </is>
      </c>
      <c r="D7649" t="inlineStr">
        <is>
          <t>Hermès</t>
        </is>
      </c>
      <c r="E7649" t="n">
        <v>77.41</v>
      </c>
      <c r="F7649" t="n">
        <v>1</v>
      </c>
      <c r="G7649" t="n">
        <v>2</v>
      </c>
      <c r="H7649" s="5">
        <f>HYPERLINK("https://api.qogita.com/variants/link/3346130012689/", "View Product")</f>
        <v/>
      </c>
    </row>
    <row r="7650">
      <c r="A7650" t="inlineStr">
        <is>
          <t>3346130013099</t>
        </is>
      </c>
      <c r="B7650" t="inlineStr">
        <is>
          <t>Hermes Jour D'Hermes Absolu Perfumed Water Refillable Spray 30ml</t>
        </is>
      </c>
      <c r="C7650" t="inlineStr">
        <is>
          <t>Refillable Fragrances &amp; Refills</t>
        </is>
      </c>
      <c r="D7650" t="inlineStr">
        <is>
          <t>Hermès</t>
        </is>
      </c>
      <c r="E7650" t="n">
        <v>46.26</v>
      </c>
      <c r="F7650" t="n">
        <v>1</v>
      </c>
      <c r="G7650" t="n">
        <v>25</v>
      </c>
      <c r="H7650" s="5">
        <f>HYPERLINK("https://api.qogita.com/variants/link/3346130013099/", "View Product")</f>
        <v/>
      </c>
    </row>
    <row r="7651">
      <c r="A7651" t="inlineStr">
        <is>
          <t>3346130013440</t>
        </is>
      </c>
      <c r="B7651" t="inlineStr">
        <is>
          <t>Hermes Terre D'Hermes Set Refillable Toilet Water Spray 30ml + Refill Toilet Water 125ml</t>
        </is>
      </c>
      <c r="C7651" t="inlineStr">
        <is>
          <t>Fragrance Sets</t>
        </is>
      </c>
      <c r="D7651" t="inlineStr">
        <is>
          <t>Hermès</t>
        </is>
      </c>
      <c r="E7651" t="n">
        <v>89.04000000000001</v>
      </c>
      <c r="F7651" t="n">
        <v>1</v>
      </c>
      <c r="G7651" t="n">
        <v>91</v>
      </c>
      <c r="H7651" s="5">
        <f>HYPERLINK("https://api.qogita.com/variants/link/3346130013440/", "View Product")</f>
        <v/>
      </c>
    </row>
    <row r="7652">
      <c r="A7652" t="inlineStr">
        <is>
          <t>3346130013457</t>
        </is>
      </c>
      <c r="B7652" t="inlineStr">
        <is>
          <t>Hermes Terre D'Hermes Eau De Toilette Spray 200ml</t>
        </is>
      </c>
      <c r="C7652" t="inlineStr">
        <is>
          <t>Eau De Toilette</t>
        </is>
      </c>
      <c r="D7652" t="inlineStr">
        <is>
          <t>Hermès</t>
        </is>
      </c>
      <c r="E7652" t="n">
        <v>80.01000000000001</v>
      </c>
      <c r="F7652" t="n">
        <v>1</v>
      </c>
      <c r="G7652" t="n">
        <v>3179</v>
      </c>
      <c r="H7652" s="5">
        <f>HYPERLINK("https://api.qogita.com/variants/link/3346130013457/", "View Product")</f>
        <v/>
      </c>
    </row>
    <row r="7653">
      <c r="A7653" t="inlineStr">
        <is>
          <t>3346130013495</t>
        </is>
      </c>
      <c r="B7653" t="inlineStr">
        <is>
          <t>Hermes Terre D'Hermes Perfume Spray 75ml</t>
        </is>
      </c>
      <c r="C7653" t="inlineStr">
        <is>
          <t>Eau De Parfum</t>
        </is>
      </c>
      <c r="D7653" t="inlineStr">
        <is>
          <t>Hermès</t>
        </is>
      </c>
      <c r="E7653" t="n">
        <v>70.52</v>
      </c>
      <c r="F7653" t="n">
        <v>1</v>
      </c>
      <c r="G7653" t="n">
        <v>214</v>
      </c>
      <c r="H7653" s="5">
        <f>HYPERLINK("https://api.qogita.com/variants/link/3346130013495/", "View Product")</f>
        <v/>
      </c>
    </row>
    <row r="7654">
      <c r="A7654" t="inlineStr">
        <is>
          <t>3346130018179</t>
        </is>
      </c>
      <c r="B7654" t="inlineStr">
        <is>
          <t>Hermes Terre D'Hermes Eau De Toilette 100ml Gift Set</t>
        </is>
      </c>
      <c r="C7654" t="inlineStr">
        <is>
          <t>Fragrance Sets</t>
        </is>
      </c>
      <c r="D7654" t="inlineStr">
        <is>
          <t>Hermès</t>
        </is>
      </c>
      <c r="E7654" t="n">
        <v>61.58</v>
      </c>
      <c r="F7654" t="n">
        <v>1</v>
      </c>
      <c r="G7654" t="n">
        <v>92</v>
      </c>
      <c r="H7654" s="5">
        <f>HYPERLINK("https://api.qogita.com/variants/link/3346130018179/", "View Product")</f>
        <v/>
      </c>
    </row>
    <row r="7655">
      <c r="A7655" t="inlineStr">
        <is>
          <t>3346130413349</t>
        </is>
      </c>
      <c r="B7655" t="inlineStr">
        <is>
          <t>Hermes Amazone Eau De Toilette Spray 100ml</t>
        </is>
      </c>
      <c r="C7655" t="inlineStr">
        <is>
          <t>Eau De Toilette</t>
        </is>
      </c>
      <c r="D7655" t="inlineStr">
        <is>
          <t>Hermès</t>
        </is>
      </c>
      <c r="E7655" t="n">
        <v>66.84999999999999</v>
      </c>
      <c r="F7655" t="n">
        <v>1</v>
      </c>
      <c r="G7655" t="n">
        <v>85</v>
      </c>
      <c r="H7655" s="5">
        <f>HYPERLINK("https://api.qogita.com/variants/link/3346130413349/", "View Product")</f>
        <v/>
      </c>
    </row>
    <row r="7656">
      <c r="A7656" t="inlineStr">
        <is>
          <t>3346130413639</t>
        </is>
      </c>
      <c r="B7656" t="inlineStr">
        <is>
          <t>Hermes H24 Deodorant Spray 150ml</t>
        </is>
      </c>
      <c r="C7656" t="inlineStr">
        <is>
          <t>Deodorant &amp; Anti-Perspirant</t>
        </is>
      </c>
      <c r="D7656" t="inlineStr">
        <is>
          <t>Hermès</t>
        </is>
      </c>
      <c r="E7656" t="n">
        <v>23.5</v>
      </c>
      <c r="F7656" t="n">
        <v>1</v>
      </c>
      <c r="G7656" t="n">
        <v>20</v>
      </c>
      <c r="H7656" s="5">
        <f>HYPERLINK("https://api.qogita.com/variants/link/3346130413639/", "View Product")</f>
        <v/>
      </c>
    </row>
    <row r="7657">
      <c r="A7657" t="inlineStr">
        <is>
          <t>3346130416135</t>
        </is>
      </c>
      <c r="B7657" t="inlineStr">
        <is>
          <t>Hermes Terre D'Hermes Eau Givree Perfumed Water Refillable Spray 175ml</t>
        </is>
      </c>
      <c r="C7657" t="inlineStr">
        <is>
          <t>Refillable Fragrances &amp; Refills</t>
        </is>
      </c>
      <c r="D7657" t="inlineStr">
        <is>
          <t>Hermès</t>
        </is>
      </c>
      <c r="E7657" t="n">
        <v>67.26000000000001</v>
      </c>
      <c r="F7657" t="n">
        <v>1</v>
      </c>
      <c r="G7657" t="n">
        <v>445</v>
      </c>
      <c r="H7657" s="5">
        <f>HYPERLINK("https://api.qogita.com/variants/link/3346130416135/", "View Product")</f>
        <v/>
      </c>
    </row>
    <row r="7658">
      <c r="A7658" t="inlineStr">
        <is>
          <t>3346130417262</t>
        </is>
      </c>
      <c r="B7658" t="inlineStr">
        <is>
          <t>Herms Un Jardin Cythre Eau De Toilette Spray 100ml</t>
        </is>
      </c>
      <c r="C7658" t="inlineStr">
        <is>
          <t>Eau De Toilette</t>
        </is>
      </c>
      <c r="D7658" t="inlineStr">
        <is>
          <t>Hermès</t>
        </is>
      </c>
      <c r="E7658" t="n">
        <v>44.47</v>
      </c>
      <c r="F7658" t="n">
        <v>1</v>
      </c>
      <c r="G7658" t="n">
        <v>35</v>
      </c>
      <c r="H7658" s="5">
        <f>HYPERLINK("https://api.qogita.com/variants/link/3346130417262/", "View Product")</f>
        <v/>
      </c>
    </row>
    <row r="7659">
      <c r="A7659" t="inlineStr">
        <is>
          <t>3346130417507</t>
        </is>
      </c>
      <c r="B7659" t="inlineStr">
        <is>
          <t>Hermes H24 Eau De Parfum Spray 125 Ml Travel Size And Kit 30 Ml 125 Ml Recharge</t>
        </is>
      </c>
      <c r="C7659" t="inlineStr">
        <is>
          <t>Eau De Parfum</t>
        </is>
      </c>
      <c r="D7659" t="inlineStr">
        <is>
          <t>Hermès</t>
        </is>
      </c>
      <c r="E7659" t="n">
        <v>64.27</v>
      </c>
      <c r="F7659" t="n">
        <v>1</v>
      </c>
      <c r="G7659" t="n">
        <v>37</v>
      </c>
      <c r="H7659" s="5">
        <f>HYPERLINK("https://api.qogita.com/variants/link/3346130417507/", "View Product")</f>
        <v/>
      </c>
    </row>
    <row r="7660">
      <c r="A7660" t="inlineStr">
        <is>
          <t>3346130421962</t>
        </is>
      </c>
      <c r="B7660" t="inlineStr">
        <is>
          <t>Hermes Ladies Twilly D' Eau De Parfum 0.5 Oz</t>
        </is>
      </c>
      <c r="C7660" t="inlineStr">
        <is>
          <t>Eau De Parfum</t>
        </is>
      </c>
      <c r="D7660" t="inlineStr">
        <is>
          <t>Hermès</t>
        </is>
      </c>
      <c r="E7660" t="n">
        <v>17.92</v>
      </c>
      <c r="F7660" t="n">
        <v>1</v>
      </c>
      <c r="G7660" t="n">
        <v>17</v>
      </c>
      <c r="H7660" s="5">
        <f>HYPERLINK("https://api.qogita.com/variants/link/3346130421962/", "View Product")</f>
        <v/>
      </c>
    </row>
    <row r="7661">
      <c r="A7661" t="inlineStr">
        <is>
          <t>3346130422853</t>
        </is>
      </c>
      <c r="B7661" t="inlineStr">
        <is>
          <t>H24 By Hermes For Men 3 Piece Gift Set 3.3oz EDT Spray 0.68oz Face Moisturizer</t>
        </is>
      </c>
      <c r="C7661" t="inlineStr">
        <is>
          <t>Fragrance Sets</t>
        </is>
      </c>
      <c r="D7661" t="inlineStr">
        <is>
          <t>Hermès</t>
        </is>
      </c>
      <c r="E7661" t="n">
        <v>47.59</v>
      </c>
      <c r="F7661" t="n">
        <v>1</v>
      </c>
      <c r="G7661" t="n">
        <v>4</v>
      </c>
      <c r="H7661" s="5">
        <f>HYPERLINK("https://api.qogita.com/variants/link/3346130422853/", "View Product")</f>
        <v/>
      </c>
    </row>
    <row r="7662">
      <c r="A7662" t="inlineStr">
        <is>
          <t>3346130423430</t>
        </is>
      </c>
      <c r="B7662" t="inlineStr">
        <is>
          <t>Hermes Eau Des Merveilles Eau De Toilette 100ml</t>
        </is>
      </c>
      <c r="C7662" t="inlineStr">
        <is>
          <t>Eau De Toilette</t>
        </is>
      </c>
      <c r="D7662" t="inlineStr">
        <is>
          <t>Hermès</t>
        </is>
      </c>
      <c r="E7662" t="n">
        <v>65.3</v>
      </c>
      <c r="F7662" t="n">
        <v>1</v>
      </c>
      <c r="G7662" t="n">
        <v>4</v>
      </c>
      <c r="H7662" s="5">
        <f>HYPERLINK("https://api.qogita.com/variants/link/3346130423430/", "View Product")</f>
        <v/>
      </c>
    </row>
    <row r="7663">
      <c r="A7663" t="inlineStr">
        <is>
          <t>3346130424017</t>
        </is>
      </c>
      <c r="B7663" t="inlineStr">
        <is>
          <t>Hermes Un Jardin Sur Le Nil 15ml</t>
        </is>
      </c>
      <c r="C7663" t="inlineStr">
        <is>
          <t>Eau De Toilette</t>
        </is>
      </c>
      <c r="D7663" t="inlineStr">
        <is>
          <t>Hermès</t>
        </is>
      </c>
      <c r="E7663" t="n">
        <v>17.38</v>
      </c>
      <c r="F7663" t="n">
        <v>1</v>
      </c>
      <c r="G7663" t="n">
        <v>158</v>
      </c>
      <c r="H7663" s="5">
        <f>HYPERLINK("https://api.qogita.com/variants/link/3346130424017/", "View Product")</f>
        <v/>
      </c>
    </row>
    <row r="7664">
      <c r="A7664" t="inlineStr">
        <is>
          <t>3346130425229</t>
        </is>
      </c>
      <c r="B7664" t="inlineStr">
        <is>
          <t>Hermes The Garden Of Monsieur Li Eau De Toilette Spray</t>
        </is>
      </c>
      <c r="C7664" t="inlineStr">
        <is>
          <t>Eau De Toilette</t>
        </is>
      </c>
      <c r="D7664" t="inlineStr">
        <is>
          <t>Hermès</t>
        </is>
      </c>
      <c r="E7664" t="n">
        <v>48.33</v>
      </c>
      <c r="F7664" t="n">
        <v>1</v>
      </c>
      <c r="G7664" t="n">
        <v>4</v>
      </c>
      <c r="H7664" s="5">
        <f>HYPERLINK("https://api.qogita.com/variants/link/3346130425229/", "View Product")</f>
        <v/>
      </c>
    </row>
    <row r="7665">
      <c r="A7665" t="inlineStr">
        <is>
          <t>3346130431800</t>
        </is>
      </c>
      <c r="B7665" t="inlineStr">
        <is>
          <t>Hermes Barenia Eau De Parfum 30 Ml</t>
        </is>
      </c>
      <c r="C7665" t="inlineStr">
        <is>
          <t>Eau De Parfum</t>
        </is>
      </c>
      <c r="D7665" t="inlineStr">
        <is>
          <t>Hermès</t>
        </is>
      </c>
      <c r="E7665" t="n">
        <v>51.37</v>
      </c>
      <c r="F7665" t="n">
        <v>1</v>
      </c>
      <c r="G7665" t="n">
        <v>23</v>
      </c>
      <c r="H7665" s="5">
        <f>HYPERLINK("https://api.qogita.com/variants/link/3346130431800/", "View Product")</f>
        <v/>
      </c>
    </row>
    <row r="7666">
      <c r="A7666" t="inlineStr">
        <is>
          <t>3346130432128</t>
        </is>
      </c>
      <c r="B7666" t="inlineStr">
        <is>
          <t>Herbes Vives Eau De Parfum 200ml</t>
        </is>
      </c>
      <c r="C7666" t="inlineStr">
        <is>
          <t>Eau De Parfum</t>
        </is>
      </c>
      <c r="D7666" t="inlineStr">
        <is>
          <t>H24</t>
        </is>
      </c>
      <c r="E7666" t="n">
        <v>105.57</v>
      </c>
      <c r="F7666" t="n">
        <v>1</v>
      </c>
      <c r="G7666" t="n">
        <v>4</v>
      </c>
      <c r="H7666" s="5">
        <f>HYPERLINK("https://api.qogita.com/variants/link/3346130432128/", "View Product")</f>
        <v/>
      </c>
    </row>
    <row r="7667">
      <c r="A7667" t="inlineStr">
        <is>
          <t>3346130432722</t>
        </is>
      </c>
      <c r="B7667" t="inlineStr">
        <is>
          <t>Hermes Eau De Rhubarbe Ecarlate Shower Gel 200ml</t>
        </is>
      </c>
      <c r="C7667" t="inlineStr">
        <is>
          <t>Shower Gel</t>
        </is>
      </c>
      <c r="D7667" t="inlineStr">
        <is>
          <t>Hermès</t>
        </is>
      </c>
      <c r="E7667" t="n">
        <v>38.11</v>
      </c>
      <c r="F7667" t="n">
        <v>1</v>
      </c>
      <c r="G7667" t="n">
        <v>2</v>
      </c>
      <c r="H7667" s="5">
        <f>HYPERLINK("https://api.qogita.com/variants/link/3346130432722/", "View Product")</f>
        <v/>
      </c>
    </row>
    <row r="7668">
      <c r="A7668" t="inlineStr">
        <is>
          <t>3346130432999</t>
        </is>
      </c>
      <c r="B7668" t="inlineStr">
        <is>
          <t>Eau de Rhubarbe Ãcarlate Gel Moussant Mains  Corps - 300 ml Flacon-Pompe</t>
        </is>
      </c>
      <c r="C7668" t="inlineStr">
        <is>
          <t>Shower Gel</t>
        </is>
      </c>
      <c r="D7668" t="inlineStr">
        <is>
          <t>Eau de Rhubarbe Écarlate</t>
        </is>
      </c>
      <c r="E7668" t="n">
        <v>33.1</v>
      </c>
      <c r="F7668" t="n">
        <v>1</v>
      </c>
      <c r="G7668" t="n">
        <v>10</v>
      </c>
      <c r="H7668" s="5">
        <f>HYPERLINK("https://api.qogita.com/variants/link/3346130432999/", "View Product")</f>
        <v/>
      </c>
    </row>
    <row r="7669">
      <c r="A7669" t="inlineStr">
        <is>
          <t>3346131430734</t>
        </is>
      </c>
      <c r="B7669" t="inlineStr">
        <is>
          <t>Hermes Terre D'Hermes Eau Intense Vetiver Perfumed Water Spray 50ml</t>
        </is>
      </c>
      <c r="C7669" t="inlineStr">
        <is>
          <t>Eau De Parfum</t>
        </is>
      </c>
      <c r="D7669" t="inlineStr">
        <is>
          <t>Hermès</t>
        </is>
      </c>
      <c r="E7669" t="n">
        <v>48.39</v>
      </c>
      <c r="F7669" t="n">
        <v>1</v>
      </c>
      <c r="G7669" t="n">
        <v>39</v>
      </c>
      <c r="H7669" s="5">
        <f>HYPERLINK("https://api.qogita.com/variants/link/3346131430734/", "View Product")</f>
        <v/>
      </c>
    </row>
    <row r="7670">
      <c r="A7670" t="inlineStr">
        <is>
          <t>3346131430741</t>
        </is>
      </c>
      <c r="B7670" t="inlineStr">
        <is>
          <t>Hermes Terre D'Hermes Eau Intense Vetiver Perfumed Water Spray 100ml</t>
        </is>
      </c>
      <c r="C7670" t="inlineStr">
        <is>
          <t>Eau De Parfum</t>
        </is>
      </c>
      <c r="D7670" t="inlineStr">
        <is>
          <t>Hermès</t>
        </is>
      </c>
      <c r="E7670" t="n">
        <v>85.31999999999999</v>
      </c>
      <c r="F7670" t="n">
        <v>1</v>
      </c>
      <c r="G7670" t="n">
        <v>22</v>
      </c>
      <c r="H7670" s="5">
        <f>HYPERLINK("https://api.qogita.com/variants/link/3346131430741/", "View Product")</f>
        <v/>
      </c>
    </row>
    <row r="7671">
      <c r="A7671" t="inlineStr">
        <is>
          <t>3346131795642</t>
        </is>
      </c>
      <c r="B7671" t="inlineStr">
        <is>
          <t>Hermes Eau Des Merveilles Bleue Eau De Toilette 50ml Women Spray</t>
        </is>
      </c>
      <c r="C7671" t="inlineStr">
        <is>
          <t>Eau De Toilette</t>
        </is>
      </c>
      <c r="D7671" t="inlineStr">
        <is>
          <t>Hermès</t>
        </is>
      </c>
      <c r="E7671" t="n">
        <v>49.22</v>
      </c>
      <c r="F7671" t="n">
        <v>1</v>
      </c>
      <c r="G7671" t="n">
        <v>23</v>
      </c>
      <c r="H7671" s="5">
        <f>HYPERLINK("https://api.qogita.com/variants/link/3346131795642/", "View Product")</f>
        <v/>
      </c>
    </row>
    <row r="7672">
      <c r="A7672" t="inlineStr">
        <is>
          <t>3346131797080</t>
        </is>
      </c>
      <c r="B7672" t="inlineStr">
        <is>
          <t>Herms L'Ombre Des Merveilles Eau De Parfum 100ml</t>
        </is>
      </c>
      <c r="C7672" t="inlineStr">
        <is>
          <t>Eau De Parfum</t>
        </is>
      </c>
      <c r="D7672" t="inlineStr">
        <is>
          <t>Hermès</t>
        </is>
      </c>
      <c r="E7672" t="n">
        <v>68.03</v>
      </c>
      <c r="F7672" t="n">
        <v>1</v>
      </c>
      <c r="G7672" t="n">
        <v>4</v>
      </c>
      <c r="H7672" s="5">
        <f>HYPERLINK("https://api.qogita.com/variants/link/3346131797080/", "View Product")</f>
        <v/>
      </c>
    </row>
    <row r="7673">
      <c r="A7673" t="inlineStr">
        <is>
          <t>3346132001247</t>
        </is>
      </c>
      <c r="B7673" t="inlineStr">
        <is>
          <t>Hermes Eau De Mandarine Ambree Eau De Cologne 200ml Unisex Spray</t>
        </is>
      </c>
      <c r="C7673" t="inlineStr">
        <is>
          <t>Eau De Cologne</t>
        </is>
      </c>
      <c r="D7673" t="inlineStr">
        <is>
          <t>Hermès</t>
        </is>
      </c>
      <c r="E7673" t="n">
        <v>73.47</v>
      </c>
      <c r="F7673" t="n">
        <v>1</v>
      </c>
      <c r="G7673" t="n">
        <v>5</v>
      </c>
      <c r="H7673" s="5">
        <f>HYPERLINK("https://api.qogita.com/variants/link/3346132001247/", "View Product")</f>
        <v/>
      </c>
    </row>
    <row r="7674">
      <c r="A7674" t="inlineStr">
        <is>
          <t>3346132003548</t>
        </is>
      </c>
      <c r="B7674" t="inlineStr">
        <is>
          <t>Hermes Eau De Neroli Dore Eau De Cologne 100g</t>
        </is>
      </c>
      <c r="C7674" t="inlineStr">
        <is>
          <t>Eau De Cologne</t>
        </is>
      </c>
      <c r="D7674" t="inlineStr">
        <is>
          <t>Hermès</t>
        </is>
      </c>
      <c r="E7674" t="n">
        <v>55.75</v>
      </c>
      <c r="F7674" t="n">
        <v>1</v>
      </c>
      <c r="G7674" t="n">
        <v>31</v>
      </c>
      <c r="H7674" s="5">
        <f>HYPERLINK("https://api.qogita.com/variants/link/3346132003548/", "View Product")</f>
        <v/>
      </c>
    </row>
    <row r="7675">
      <c r="A7675" t="inlineStr">
        <is>
          <t>3346132100063</t>
        </is>
      </c>
      <c r="B7675" t="inlineStr">
        <is>
          <t>Herms Voyage D'Herms Deodorant Spray 150ml</t>
        </is>
      </c>
      <c r="C7675" t="inlineStr">
        <is>
          <t>Deodorant &amp; Anti-Perspirant</t>
        </is>
      </c>
      <c r="D7675" t="inlineStr">
        <is>
          <t>Hermès</t>
        </is>
      </c>
      <c r="E7675" t="n">
        <v>22.14</v>
      </c>
      <c r="F7675" t="n">
        <v>1</v>
      </c>
      <c r="G7675" t="n">
        <v>8</v>
      </c>
      <c r="H7675" s="5">
        <f>HYPERLINK("https://api.qogita.com/variants/link/3346132100063/", "View Product")</f>
        <v/>
      </c>
    </row>
    <row r="7676">
      <c r="A7676" t="inlineStr">
        <is>
          <t>3346132301149</t>
        </is>
      </c>
      <c r="B7676" t="inlineStr">
        <is>
          <t>Hermes Jour D'Hermes Eau De Parfum Spray 85ml</t>
        </is>
      </c>
      <c r="C7676" t="inlineStr">
        <is>
          <t>Eau De Parfum</t>
        </is>
      </c>
      <c r="D7676" t="inlineStr">
        <is>
          <t>Hermès</t>
        </is>
      </c>
      <c r="E7676" t="n">
        <v>81.18000000000001</v>
      </c>
      <c r="F7676" t="n">
        <v>1</v>
      </c>
      <c r="G7676" t="n">
        <v>2</v>
      </c>
      <c r="H7676" s="5">
        <f>HYPERLINK("https://api.qogita.com/variants/link/3346132301149/", "View Product")</f>
        <v/>
      </c>
    </row>
    <row r="7677">
      <c r="A7677" t="inlineStr">
        <is>
          <t>3346133203664</t>
        </is>
      </c>
      <c r="B7677" t="inlineStr">
        <is>
          <t>Hermes Twilly D'Hermes Eau Ginger Perfumed Water Spray 50ml</t>
        </is>
      </c>
      <c r="C7677" t="inlineStr">
        <is>
          <t>Eau De Parfum</t>
        </is>
      </c>
      <c r="D7677" t="inlineStr">
        <is>
          <t>Hermès</t>
        </is>
      </c>
      <c r="E7677" t="n">
        <v>44.33</v>
      </c>
      <c r="F7677" t="n">
        <v>1</v>
      </c>
      <c r="G7677" t="n">
        <v>265</v>
      </c>
      <c r="H7677" s="5">
        <f>HYPERLINK("https://api.qogita.com/variants/link/3346133203664/", "View Product")</f>
        <v/>
      </c>
    </row>
    <row r="7678">
      <c r="A7678" t="inlineStr">
        <is>
          <t>3346133203671</t>
        </is>
      </c>
      <c r="B7678" t="inlineStr">
        <is>
          <t>Hermes Twilly D'Hermes Eau Ginger Perfumed Water Spray 85ml</t>
        </is>
      </c>
      <c r="C7678" t="inlineStr">
        <is>
          <t>Eau De Parfum</t>
        </is>
      </c>
      <c r="D7678" t="inlineStr">
        <is>
          <t>Hermès</t>
        </is>
      </c>
      <c r="E7678" t="n">
        <v>63.81</v>
      </c>
      <c r="F7678" t="n">
        <v>1</v>
      </c>
      <c r="G7678" t="n">
        <v>89</v>
      </c>
      <c r="H7678" s="5">
        <f>HYPERLINK("https://api.qogita.com/variants/link/3346133203671/", "View Product")</f>
        <v/>
      </c>
    </row>
    <row r="7679">
      <c r="A7679" t="inlineStr">
        <is>
          <t>3346133203725</t>
        </is>
      </c>
      <c r="B7679" t="inlineStr">
        <is>
          <t>Hermes Twilly d'hermes Eau Ginger New 12.5ml Spray Gift Idea</t>
        </is>
      </c>
      <c r="C7679" t="inlineStr">
        <is>
          <t>Eau De Toilette</t>
        </is>
      </c>
      <c r="D7679" t="inlineStr">
        <is>
          <t>Hermès</t>
        </is>
      </c>
      <c r="E7679" t="n">
        <v>43.41</v>
      </c>
      <c r="F7679" t="n">
        <v>1</v>
      </c>
      <c r="G7679" t="n">
        <v>5</v>
      </c>
      <c r="H7679" s="5">
        <f>HYPERLINK("https://api.qogita.com/variants/link/3346133203725/", "View Product")</f>
        <v/>
      </c>
    </row>
    <row r="7680">
      <c r="A7680" t="inlineStr">
        <is>
          <t>3346400012654</t>
        </is>
      </c>
      <c r="B7680" t="inlineStr">
        <is>
          <t>PanAme Jean Patou Eau de Toilette Spray 50ml</t>
        </is>
      </c>
      <c r="C7680" t="inlineStr">
        <is>
          <t>Eau De Toilette</t>
        </is>
      </c>
      <c r="D7680" t="inlineStr">
        <is>
          <t>Jean Patou</t>
        </is>
      </c>
      <c r="E7680" t="n">
        <v>18.52</v>
      </c>
      <c r="F7680" t="n">
        <v>1</v>
      </c>
      <c r="G7680" t="n">
        <v>63</v>
      </c>
      <c r="H7680" s="5">
        <f>HYPERLINK("https://api.qogita.com/variants/link/3346400012654/", "View Product")</f>
        <v/>
      </c>
    </row>
    <row r="7681">
      <c r="A7681" t="inlineStr">
        <is>
          <t>3346470131422</t>
        </is>
      </c>
      <c r="B7681" t="inlineStr">
        <is>
          <t>Mon Guerlain Body Milk 200ml</t>
        </is>
      </c>
      <c r="C7681" t="inlineStr">
        <is>
          <t>Body Lotion</t>
        </is>
      </c>
      <c r="D7681" t="inlineStr">
        <is>
          <t>Mon Guerlain</t>
        </is>
      </c>
      <c r="E7681" t="n">
        <v>39.31</v>
      </c>
      <c r="F7681" t="n">
        <v>1</v>
      </c>
      <c r="G7681" t="n">
        <v>16</v>
      </c>
      <c r="H7681" s="5">
        <f>HYPERLINK("https://api.qogita.com/variants/link/3346470131422/", "View Product")</f>
        <v/>
      </c>
    </row>
    <row r="7682">
      <c r="A7682" t="inlineStr">
        <is>
          <t>3348900010796</t>
        </is>
      </c>
      <c r="B7682" t="inlineStr">
        <is>
          <t>Dior Dioressence Eau De Toilette Spray 100ml</t>
        </is>
      </c>
      <c r="C7682" t="inlineStr">
        <is>
          <t>Eau De Toilette</t>
        </is>
      </c>
      <c r="D7682" t="inlineStr">
        <is>
          <t>Dior</t>
        </is>
      </c>
      <c r="E7682" t="n">
        <v>107.02</v>
      </c>
      <c r="F7682" t="n">
        <v>1</v>
      </c>
      <c r="G7682" t="n">
        <v>3</v>
      </c>
      <c r="H7682" s="5">
        <f>HYPERLINK("https://api.qogita.com/variants/link/3348900010796/", "View Product")</f>
        <v/>
      </c>
    </row>
    <row r="7683">
      <c r="A7683" t="inlineStr">
        <is>
          <t>3348900011687</t>
        </is>
      </c>
      <c r="B7683" t="inlineStr">
        <is>
          <t>Dior Poison Eau De Toilette 100ml Women Spray</t>
        </is>
      </c>
      <c r="C7683" t="inlineStr">
        <is>
          <t>Eau De Toilette</t>
        </is>
      </c>
      <c r="D7683" t="inlineStr">
        <is>
          <t>Dior</t>
        </is>
      </c>
      <c r="E7683" t="n">
        <v>97.51000000000001</v>
      </c>
      <c r="F7683" t="n">
        <v>1</v>
      </c>
      <c r="G7683" t="n">
        <v>8</v>
      </c>
      <c r="H7683" s="5">
        <f>HYPERLINK("https://api.qogita.com/variants/link/3348900011687/", "View Product")</f>
        <v/>
      </c>
    </row>
    <row r="7684">
      <c r="A7684" t="inlineStr">
        <is>
          <t>3348900012189</t>
        </is>
      </c>
      <c r="B7684" t="inlineStr">
        <is>
          <t>Christian Dior Fahrenheit Eau De Toilette for Men 50ml</t>
        </is>
      </c>
      <c r="C7684" t="inlineStr">
        <is>
          <t>Eau De Toilette</t>
        </is>
      </c>
      <c r="D7684" t="inlineStr">
        <is>
          <t>Dior</t>
        </is>
      </c>
      <c r="E7684" t="n">
        <v>62.06</v>
      </c>
      <c r="F7684" t="n">
        <v>1</v>
      </c>
      <c r="G7684" t="n">
        <v>96</v>
      </c>
      <c r="H7684" s="5">
        <f>HYPERLINK("https://api.qogita.com/variants/link/3348900012189/", "View Product")</f>
        <v/>
      </c>
    </row>
    <row r="7685">
      <c r="A7685" t="inlineStr">
        <is>
          <t>3348900012219</t>
        </is>
      </c>
      <c r="B7685" t="inlineStr">
        <is>
          <t>Christian Dior Fahrenheit Eau De Toilette Spray 100ml</t>
        </is>
      </c>
      <c r="C7685" t="inlineStr">
        <is>
          <t>Eau De Toilette</t>
        </is>
      </c>
      <c r="D7685" t="inlineStr">
        <is>
          <t>Christian Dior</t>
        </is>
      </c>
      <c r="E7685" t="n">
        <v>88.72</v>
      </c>
      <c r="F7685" t="n">
        <v>1</v>
      </c>
      <c r="G7685" t="n">
        <v>72</v>
      </c>
      <c r="H7685" s="5">
        <f>HYPERLINK("https://api.qogita.com/variants/link/3348900012219/", "View Product")</f>
        <v/>
      </c>
    </row>
    <row r="7686">
      <c r="A7686" t="inlineStr">
        <is>
          <t>3348900199699</t>
        </is>
      </c>
      <c r="B7686" t="inlineStr">
        <is>
          <t>Christian Dior Fahrenheit Men's Deodorant 150ml Spray</t>
        </is>
      </c>
      <c r="C7686" t="inlineStr">
        <is>
          <t>Deodorant &amp; Anti-Perspirant</t>
        </is>
      </c>
      <c r="D7686" t="inlineStr">
        <is>
          <t>Christian Dior</t>
        </is>
      </c>
      <c r="E7686" t="n">
        <v>36.17</v>
      </c>
      <c r="F7686" t="n">
        <v>1</v>
      </c>
      <c r="G7686" t="n">
        <v>10</v>
      </c>
      <c r="H7686" s="5">
        <f>HYPERLINK("https://api.qogita.com/variants/link/3348900199699/", "View Product")</f>
        <v/>
      </c>
    </row>
    <row r="7687">
      <c r="A7687" t="inlineStr">
        <is>
          <t>3348900314290</t>
        </is>
      </c>
      <c r="B7687" t="inlineStr">
        <is>
          <t>Dior Diorissimo Eau De Toilette Spray 100ml</t>
        </is>
      </c>
      <c r="C7687" t="inlineStr">
        <is>
          <t>Eau De Toilette</t>
        </is>
      </c>
      <c r="D7687" t="inlineStr">
        <is>
          <t>Dior</t>
        </is>
      </c>
      <c r="E7687" t="n">
        <v>109.21</v>
      </c>
      <c r="F7687" t="n">
        <v>1</v>
      </c>
      <c r="G7687" t="n">
        <v>43</v>
      </c>
      <c r="H7687" s="5">
        <f>HYPERLINK("https://api.qogita.com/variants/link/3348900314290/", "View Product")</f>
        <v/>
      </c>
    </row>
    <row r="7688">
      <c r="A7688" t="inlineStr">
        <is>
          <t>3348900378575</t>
        </is>
      </c>
      <c r="B7688" t="inlineStr">
        <is>
          <t>Dior Hypnotic Poison Eau De Toilette 50ml Women's Spray</t>
        </is>
      </c>
      <c r="C7688" t="inlineStr">
        <is>
          <t>Eau De Toilette</t>
        </is>
      </c>
      <c r="D7688" t="inlineStr">
        <is>
          <t>Dior</t>
        </is>
      </c>
      <c r="E7688" t="n">
        <v>71.63</v>
      </c>
      <c r="F7688" t="n">
        <v>1</v>
      </c>
      <c r="G7688" t="n">
        <v>150</v>
      </c>
      <c r="H7688" s="5">
        <f>HYPERLINK("https://api.qogita.com/variants/link/3348900378575/", "View Product")</f>
        <v/>
      </c>
    </row>
    <row r="7689">
      <c r="A7689" t="inlineStr">
        <is>
          <t>3348900417878</t>
        </is>
      </c>
      <c r="B7689" t="inlineStr">
        <is>
          <t>Dior J'Adore Eau De Parfum Spray 100ml</t>
        </is>
      </c>
      <c r="C7689" t="inlineStr">
        <is>
          <t>Eau De Parfum</t>
        </is>
      </c>
      <c r="D7689" t="inlineStr">
        <is>
          <t>Dior</t>
        </is>
      </c>
      <c r="E7689" t="n">
        <v>144.79</v>
      </c>
      <c r="F7689" t="n">
        <v>1</v>
      </c>
      <c r="G7689" t="n">
        <v>34</v>
      </c>
      <c r="H7689" s="5">
        <f>HYPERLINK("https://api.qogita.com/variants/link/3348900417878/", "View Product")</f>
        <v/>
      </c>
    </row>
    <row r="7690">
      <c r="A7690" t="inlineStr">
        <is>
          <t>3348900574656</t>
        </is>
      </c>
      <c r="B7690" t="inlineStr">
        <is>
          <t>Dior Higher Energy Eau De Toilette 100ml</t>
        </is>
      </c>
      <c r="C7690" t="inlineStr">
        <is>
          <t>Eau De Toilette</t>
        </is>
      </c>
      <c r="D7690" t="inlineStr">
        <is>
          <t>Dior</t>
        </is>
      </c>
      <c r="E7690" t="n">
        <v>85.43000000000001</v>
      </c>
      <c r="F7690" t="n">
        <v>1</v>
      </c>
      <c r="G7690" t="n">
        <v>8</v>
      </c>
      <c r="H7690" s="5">
        <f>HYPERLINK("https://api.qogita.com/variants/link/3348900574656/", "View Product")</f>
        <v/>
      </c>
    </row>
    <row r="7691">
      <c r="A7691" t="inlineStr">
        <is>
          <t>3348900606715</t>
        </is>
      </c>
      <c r="B7691" t="inlineStr">
        <is>
          <t>Pure Poison Dior EDP 100ml Chypre</t>
        </is>
      </c>
      <c r="C7691" t="inlineStr">
        <is>
          <t>Eau De Parfum</t>
        </is>
      </c>
      <c r="D7691" t="inlineStr">
        <is>
          <t>Dior</t>
        </is>
      </c>
      <c r="E7691" t="n">
        <v>117.25</v>
      </c>
      <c r="F7691" t="n">
        <v>1</v>
      </c>
      <c r="G7691" t="n">
        <v>5</v>
      </c>
      <c r="H7691" s="5">
        <f>HYPERLINK("https://api.qogita.com/variants/link/3348900606715/", "View Product")</f>
        <v/>
      </c>
    </row>
    <row r="7692">
      <c r="A7692" t="inlineStr">
        <is>
          <t>3348900627482</t>
        </is>
      </c>
      <c r="B7692" t="inlineStr">
        <is>
          <t>Dior Eau Sauvage Eau De Toilette Spray 200ml</t>
        </is>
      </c>
      <c r="C7692" t="inlineStr">
        <is>
          <t>Eau De Toilette</t>
        </is>
      </c>
      <c r="D7692" t="inlineStr">
        <is>
          <t>Dior</t>
        </is>
      </c>
      <c r="E7692" t="n">
        <v>153.09</v>
      </c>
      <c r="F7692" t="n">
        <v>1</v>
      </c>
      <c r="G7692" t="n">
        <v>12</v>
      </c>
      <c r="H7692" s="5">
        <f>HYPERLINK("https://api.qogita.com/variants/link/3348900627482/", "View Product")</f>
        <v/>
      </c>
    </row>
    <row r="7693">
      <c r="A7693" t="inlineStr">
        <is>
          <t>3348900627505</t>
        </is>
      </c>
      <c r="B7693" t="inlineStr">
        <is>
          <t>Dior Eau Sauvage Eau De Toilette Spray 50ml</t>
        </is>
      </c>
      <c r="C7693" t="inlineStr">
        <is>
          <t>Eau De Toilette</t>
        </is>
      </c>
      <c r="D7693" t="inlineStr">
        <is>
          <t>Dior</t>
        </is>
      </c>
      <c r="E7693" t="n">
        <v>75.48999999999999</v>
      </c>
      <c r="F7693" t="n">
        <v>1</v>
      </c>
      <c r="G7693" t="n">
        <v>14</v>
      </c>
      <c r="H7693" s="5">
        <f>HYPERLINK("https://api.qogita.com/variants/link/3348900627505/", "View Product")</f>
        <v/>
      </c>
    </row>
    <row r="7694">
      <c r="A7694" t="inlineStr">
        <is>
          <t>3348900911116</t>
        </is>
      </c>
      <c r="B7694" t="inlineStr">
        <is>
          <t>Dior Eau Sauvage After Shave Lotion 100ml</t>
        </is>
      </c>
      <c r="C7694" t="inlineStr">
        <is>
          <t>Aftershave</t>
        </is>
      </c>
      <c r="D7694" t="inlineStr">
        <is>
          <t>Dior</t>
        </is>
      </c>
      <c r="E7694" t="n">
        <v>60.58</v>
      </c>
      <c r="F7694" t="n">
        <v>1</v>
      </c>
      <c r="G7694" t="n">
        <v>4</v>
      </c>
      <c r="H7694" s="5">
        <f>HYPERLINK("https://api.qogita.com/variants/link/3348900911116/", "View Product")</f>
        <v/>
      </c>
    </row>
    <row r="7695">
      <c r="A7695" t="inlineStr">
        <is>
          <t>3348901116817</t>
        </is>
      </c>
      <c r="B7695" t="inlineStr">
        <is>
          <t>Christian Dior Fahrenheit Eau De Parfum 75ml</t>
        </is>
      </c>
      <c r="C7695" t="inlineStr">
        <is>
          <t>Eau De Parfum</t>
        </is>
      </c>
      <c r="D7695" t="inlineStr">
        <is>
          <t>Christian Dior</t>
        </is>
      </c>
      <c r="E7695" t="n">
        <v>102.58</v>
      </c>
      <c r="F7695" t="n">
        <v>1</v>
      </c>
      <c r="G7695" t="n">
        <v>2</v>
      </c>
      <c r="H7695" s="5">
        <f>HYPERLINK("https://api.qogita.com/variants/link/3348901116817/", "View Product")</f>
        <v/>
      </c>
    </row>
    <row r="7696">
      <c r="A7696" t="inlineStr">
        <is>
          <t>3348901126359</t>
        </is>
      </c>
      <c r="B7696" t="inlineStr">
        <is>
          <t>Dior Homme Cologne By Dior 125ml Eau De Toilette</t>
        </is>
      </c>
      <c r="C7696" t="inlineStr">
        <is>
          <t>Eau De Toilette</t>
        </is>
      </c>
      <c r="D7696" t="inlineStr">
        <is>
          <t>Dior</t>
        </is>
      </c>
      <c r="E7696" t="n">
        <v>104.03</v>
      </c>
      <c r="F7696" t="n">
        <v>1</v>
      </c>
      <c r="G7696" t="n">
        <v>32</v>
      </c>
      <c r="H7696" s="5">
        <f>HYPERLINK("https://api.qogita.com/variants/link/3348901126359/", "View Product")</f>
        <v/>
      </c>
    </row>
    <row r="7697">
      <c r="A7697" t="inlineStr">
        <is>
          <t>3348901250139</t>
        </is>
      </c>
      <c r="B7697" t="inlineStr">
        <is>
          <t>Dior Fahrenheit Shower Gel 200ml</t>
        </is>
      </c>
      <c r="C7697" t="inlineStr">
        <is>
          <t>Shower Gel</t>
        </is>
      </c>
      <c r="D7697" t="inlineStr">
        <is>
          <t>Dior</t>
        </is>
      </c>
      <c r="E7697" t="n">
        <v>32.36</v>
      </c>
      <c r="F7697" t="n">
        <v>1</v>
      </c>
      <c r="G7697" t="n">
        <v>3</v>
      </c>
      <c r="H7697" s="5">
        <f>HYPERLINK("https://api.qogita.com/variants/link/3348901250139/", "View Product")</f>
        <v/>
      </c>
    </row>
    <row r="7698">
      <c r="A7698" t="inlineStr">
        <is>
          <t>3348901250153</t>
        </is>
      </c>
      <c r="B7698" t="inlineStr">
        <is>
          <t>Dior Sauvage Eau De Toilette Spray 60ml</t>
        </is>
      </c>
      <c r="C7698" t="inlineStr">
        <is>
          <t>Eau De Toilette</t>
        </is>
      </c>
      <c r="D7698" t="inlineStr">
        <is>
          <t>Dior</t>
        </is>
      </c>
      <c r="E7698" t="n">
        <v>66.76000000000001</v>
      </c>
      <c r="F7698" t="n">
        <v>1</v>
      </c>
      <c r="G7698" t="n">
        <v>39</v>
      </c>
      <c r="H7698" s="5">
        <f>HYPERLINK("https://api.qogita.com/variants/link/3348901250153/", "View Product")</f>
        <v/>
      </c>
    </row>
    <row r="7699">
      <c r="A7699" t="inlineStr">
        <is>
          <t>3348901255820</t>
        </is>
      </c>
      <c r="B7699" t="inlineStr">
        <is>
          <t>Miss Dior Hair Mist 30ml</t>
        </is>
      </c>
      <c r="C7699" t="inlineStr">
        <is>
          <t>Eau De Parfum</t>
        </is>
      </c>
      <c r="D7699" t="inlineStr">
        <is>
          <t>Miss Dior</t>
        </is>
      </c>
      <c r="E7699" t="n">
        <v>47.26</v>
      </c>
      <c r="F7699" t="n">
        <v>1</v>
      </c>
      <c r="G7699" t="n">
        <v>2</v>
      </c>
      <c r="H7699" s="5">
        <f>HYPERLINK("https://api.qogita.com/variants/link/3348901255820/", "View Product")</f>
        <v/>
      </c>
    </row>
    <row r="7700">
      <c r="A7700" t="inlineStr">
        <is>
          <t>3348901288835</t>
        </is>
      </c>
      <c r="B7700" t="inlineStr">
        <is>
          <t>Christian Dior Body Spray 100ml</t>
        </is>
      </c>
      <c r="C7700" t="inlineStr">
        <is>
          <t>Eau De Toilette</t>
        </is>
      </c>
      <c r="D7700" t="inlineStr">
        <is>
          <t>Christian Dior</t>
        </is>
      </c>
      <c r="E7700" t="n">
        <v>46.07</v>
      </c>
      <c r="F7700" t="n">
        <v>1</v>
      </c>
      <c r="G7700" t="n">
        <v>28</v>
      </c>
      <c r="H7700" s="5">
        <f>HYPERLINK("https://api.qogita.com/variants/link/3348901288835/", "View Product")</f>
        <v/>
      </c>
    </row>
    <row r="7701">
      <c r="A7701" t="inlineStr">
        <is>
          <t>3348901293846</t>
        </is>
      </c>
      <c r="B7701" t="inlineStr">
        <is>
          <t>Christian Dior Poison Girl Eau De Parfum 100ml For Women</t>
        </is>
      </c>
      <c r="C7701" t="inlineStr">
        <is>
          <t>Eau De Parfum</t>
        </is>
      </c>
      <c r="D7701" t="inlineStr">
        <is>
          <t>Christian Dior</t>
        </is>
      </c>
      <c r="E7701" t="n">
        <v>113.43</v>
      </c>
      <c r="F7701" t="n">
        <v>1</v>
      </c>
      <c r="G7701" t="n">
        <v>30</v>
      </c>
      <c r="H7701" s="5">
        <f>HYPERLINK("https://api.qogita.com/variants/link/3348901293846/", "View Product")</f>
        <v/>
      </c>
    </row>
    <row r="7702">
      <c r="A7702" t="inlineStr">
        <is>
          <t>3348901296618</t>
        </is>
      </c>
      <c r="B7702" t="inlineStr">
        <is>
          <t>Dior Capture Totale Dream Skin 1 Minute Face Mask 75ml For Women</t>
        </is>
      </c>
      <c r="C7702" t="inlineStr">
        <is>
          <t>Anti-Aging Mask</t>
        </is>
      </c>
      <c r="D7702" t="inlineStr">
        <is>
          <t>Dior</t>
        </is>
      </c>
      <c r="E7702" t="n">
        <v>55.75</v>
      </c>
      <c r="F7702" t="n">
        <v>1</v>
      </c>
      <c r="G7702" t="n">
        <v>3</v>
      </c>
      <c r="H7702" s="5">
        <f>HYPERLINK("https://api.qogita.com/variants/link/3348901296618/", "View Product")</f>
        <v/>
      </c>
    </row>
    <row r="7703">
      <c r="A7703" t="inlineStr">
        <is>
          <t>3348901296632</t>
        </is>
      </c>
      <c r="B7703" t="inlineStr">
        <is>
          <t>Dior J'Adore Eau De Toilette Spray 100ml</t>
        </is>
      </c>
      <c r="C7703" t="inlineStr">
        <is>
          <t>Eau De Toilette</t>
        </is>
      </c>
      <c r="D7703" t="inlineStr">
        <is>
          <t>Dior</t>
        </is>
      </c>
      <c r="E7703" t="n">
        <v>102.9</v>
      </c>
      <c r="F7703" t="n">
        <v>1</v>
      </c>
      <c r="G7703" t="n">
        <v>19</v>
      </c>
      <c r="H7703" s="5">
        <f>HYPERLINK("https://api.qogita.com/variants/link/3348901296632/", "View Product")</f>
        <v/>
      </c>
    </row>
    <row r="7704">
      <c r="A7704" t="inlineStr">
        <is>
          <t>3348901362658</t>
        </is>
      </c>
      <c r="B7704" t="inlineStr">
        <is>
          <t>Ladies One Essential Skin Boosting Super Serum 1 oz Skin Care</t>
        </is>
      </c>
      <c r="C7704" t="inlineStr">
        <is>
          <t>Hydrating Serum</t>
        </is>
      </c>
      <c r="D7704" t="inlineStr">
        <is>
          <t>Dior</t>
        </is>
      </c>
      <c r="E7704" t="n">
        <v>76.01000000000001</v>
      </c>
      <c r="F7704" t="n">
        <v>1</v>
      </c>
      <c r="G7704" t="n">
        <v>3</v>
      </c>
      <c r="H7704" s="5">
        <f>HYPERLINK("https://api.qogita.com/variants/link/3348901362658/", "View Product")</f>
        <v/>
      </c>
    </row>
    <row r="7705">
      <c r="A7705" t="inlineStr">
        <is>
          <t>3348901363471</t>
        </is>
      </c>
      <c r="B7705" t="inlineStr">
        <is>
          <t>Dior Eau Sauvage Parfum Eau De Parfum 50ml</t>
        </is>
      </c>
      <c r="C7705" t="inlineStr">
        <is>
          <t>Eau De Parfum</t>
        </is>
      </c>
      <c r="D7705" t="inlineStr">
        <is>
          <t>Christian Dior</t>
        </is>
      </c>
      <c r="E7705" t="n">
        <v>73.69</v>
      </c>
      <c r="F7705" t="n">
        <v>1</v>
      </c>
      <c r="G7705" t="n">
        <v>8</v>
      </c>
      <c r="H7705" s="5">
        <f>HYPERLINK("https://api.qogita.com/variants/link/3348901363471/", "View Product")</f>
        <v/>
      </c>
    </row>
    <row r="7706">
      <c r="A7706" t="inlineStr">
        <is>
          <t>3348901368254</t>
        </is>
      </c>
      <c r="B7706" t="inlineStr">
        <is>
          <t>Christian Dior Dior Sauvage Eau De Parfum 60 Ml</t>
        </is>
      </c>
      <c r="C7706" t="inlineStr">
        <is>
          <t>Eau De Parfum</t>
        </is>
      </c>
      <c r="D7706" t="inlineStr">
        <is>
          <t>Christian Dior</t>
        </is>
      </c>
      <c r="E7706" t="n">
        <v>88.45999999999999</v>
      </c>
      <c r="F7706" t="n">
        <v>1</v>
      </c>
      <c r="G7706" t="n">
        <v>1</v>
      </c>
      <c r="H7706" s="5">
        <f>HYPERLINK("https://api.qogita.com/variants/link/3348901368254/", "View Product")</f>
        <v/>
      </c>
    </row>
    <row r="7707">
      <c r="A7707" t="inlineStr">
        <is>
          <t>3348901395366</t>
        </is>
      </c>
      <c r="B7707" t="inlineStr">
        <is>
          <t>Dior Blooming Bouquet Roller Pearl Eau De Toilette 20ml</t>
        </is>
      </c>
      <c r="C7707" t="inlineStr">
        <is>
          <t>Eau De Toilette</t>
        </is>
      </c>
      <c r="D7707" t="inlineStr">
        <is>
          <t>Dior</t>
        </is>
      </c>
      <c r="E7707" t="n">
        <v>38.27</v>
      </c>
      <c r="F7707" t="n">
        <v>1</v>
      </c>
      <c r="G7707" t="n">
        <v>30</v>
      </c>
      <c r="H7707" s="5">
        <f>HYPERLINK("https://api.qogita.com/variants/link/3348901395366/", "View Product")</f>
        <v/>
      </c>
    </row>
    <row r="7708">
      <c r="A7708" t="inlineStr">
        <is>
          <t>3348901419369</t>
        </is>
      </c>
      <c r="B7708" t="inlineStr">
        <is>
          <t>Dior Miss Dior Eau De Toilette Spray 100ml</t>
        </is>
      </c>
      <c r="C7708" t="inlineStr">
        <is>
          <t>Eau De Toilette</t>
        </is>
      </c>
      <c r="D7708" t="inlineStr">
        <is>
          <t>Dior</t>
        </is>
      </c>
      <c r="E7708" t="n">
        <v>114.01</v>
      </c>
      <c r="F7708" t="n">
        <v>1</v>
      </c>
      <c r="G7708" t="n">
        <v>11</v>
      </c>
      <c r="H7708" s="5">
        <f>HYPERLINK("https://api.qogita.com/variants/link/3348901419369/", "View Product")</f>
        <v/>
      </c>
    </row>
    <row r="7709">
      <c r="A7709" t="inlineStr">
        <is>
          <t>3348901438759</t>
        </is>
      </c>
      <c r="B7709" t="inlineStr">
        <is>
          <t>Dior Makeup Base 30ml</t>
        </is>
      </c>
      <c r="C7709" t="inlineStr">
        <is>
          <t>Primer</t>
        </is>
      </c>
      <c r="D7709" t="inlineStr">
        <is>
          <t>Dior</t>
        </is>
      </c>
      <c r="E7709" t="n">
        <v>47.59</v>
      </c>
      <c r="F7709" t="n">
        <v>1</v>
      </c>
      <c r="G7709" t="n">
        <v>8</v>
      </c>
      <c r="H7709" s="5">
        <f>HYPERLINK("https://api.qogita.com/variants/link/3348901438759/", "View Product")</f>
        <v/>
      </c>
    </row>
    <row r="7710">
      <c r="A7710" t="inlineStr">
        <is>
          <t>3348901486385</t>
        </is>
      </c>
      <c r="B7710" t="inlineStr">
        <is>
          <t>Dior Sauvage Parfum 100 Ml Men's Fragrance</t>
        </is>
      </c>
      <c r="C7710" t="inlineStr">
        <is>
          <t>Eau De Parfum</t>
        </is>
      </c>
      <c r="D7710" t="inlineStr">
        <is>
          <t>Dior</t>
        </is>
      </c>
      <c r="E7710" t="n">
        <v>127.63</v>
      </c>
      <c r="F7710" t="n">
        <v>1</v>
      </c>
      <c r="G7710" t="n">
        <v>5</v>
      </c>
      <c r="H7710" s="5">
        <f>HYPERLINK("https://api.qogita.com/variants/link/3348901486385/", "View Product")</f>
        <v/>
      </c>
    </row>
    <row r="7711">
      <c r="A7711" t="inlineStr">
        <is>
          <t>3348901491242</t>
        </is>
      </c>
      <c r="B7711" t="inlineStr">
        <is>
          <t>Dior Addict Lip Glow Oil 007 Raspberry 6 Ml</t>
        </is>
      </c>
      <c r="C7711" t="inlineStr">
        <is>
          <t>Lip Gloss</t>
        </is>
      </c>
      <c r="D7711" t="inlineStr">
        <is>
          <t>Dior</t>
        </is>
      </c>
      <c r="E7711" t="n">
        <v>39.15</v>
      </c>
      <c r="F7711" t="n">
        <v>1</v>
      </c>
      <c r="G7711" t="n">
        <v>10</v>
      </c>
      <c r="H7711" s="5">
        <f>HYPERLINK("https://api.qogita.com/variants/link/3348901491242/", "View Product")</f>
        <v/>
      </c>
    </row>
    <row r="7712">
      <c r="A7712" t="inlineStr">
        <is>
          <t>3348901497275</t>
        </is>
      </c>
      <c r="B7712" t="inlineStr">
        <is>
          <t>J Adore EDT Roller Pearl 20ml</t>
        </is>
      </c>
      <c r="C7712" t="inlineStr">
        <is>
          <t>Eau De Toilette</t>
        </is>
      </c>
      <c r="D7712" t="inlineStr">
        <is>
          <t>Dior</t>
        </is>
      </c>
      <c r="E7712" t="n">
        <v>39.11</v>
      </c>
      <c r="F7712" t="n">
        <v>1</v>
      </c>
      <c r="G7712" t="n">
        <v>17</v>
      </c>
      <c r="H7712" s="5">
        <f>HYPERLINK("https://api.qogita.com/variants/link/3348901497275/", "View Product")</f>
        <v/>
      </c>
    </row>
    <row r="7713">
      <c r="A7713" t="inlineStr">
        <is>
          <t>3348901500821</t>
        </is>
      </c>
      <c r="B7713" t="inlineStr">
        <is>
          <t>Dior Miss Dior Rose N' Roses Eau De Toilette Spray 50ml</t>
        </is>
      </c>
      <c r="C7713" t="inlineStr">
        <is>
          <t>Eau De Toilette</t>
        </is>
      </c>
      <c r="D7713" t="inlineStr">
        <is>
          <t>Dior</t>
        </is>
      </c>
      <c r="E7713" t="n">
        <v>73.13</v>
      </c>
      <c r="F7713" t="n">
        <v>1</v>
      </c>
      <c r="G7713" t="n">
        <v>4</v>
      </c>
      <c r="H7713" s="5">
        <f>HYPERLINK("https://api.qogita.com/variants/link/3348901500821/", "View Product")</f>
        <v/>
      </c>
    </row>
    <row r="7714">
      <c r="A7714" t="inlineStr">
        <is>
          <t>3348901520195</t>
        </is>
      </c>
      <c r="B7714" t="inlineStr">
        <is>
          <t>Dior Sauvage Eau De Toilette Spray 30ml - A Bold And Fresh Fragrance For Men</t>
        </is>
      </c>
      <c r="C7714" t="inlineStr">
        <is>
          <t>Eau De Toilette</t>
        </is>
      </c>
      <c r="D7714" t="inlineStr">
        <is>
          <t>Dior</t>
        </is>
      </c>
      <c r="E7714" t="n">
        <v>56.6</v>
      </c>
      <c r="F7714" t="n">
        <v>1</v>
      </c>
      <c r="G7714" t="n">
        <v>2</v>
      </c>
      <c r="H7714" s="5">
        <f>HYPERLINK("https://api.qogita.com/variants/link/3348901520195/", "View Product")</f>
        <v/>
      </c>
    </row>
    <row r="7715">
      <c r="A7715" t="inlineStr">
        <is>
          <t>3348901521512</t>
        </is>
      </c>
      <c r="B7715" t="inlineStr">
        <is>
          <t>Dior J'Adore Infinissime Eau De Parfum Spray 100ml</t>
        </is>
      </c>
      <c r="C7715" t="inlineStr">
        <is>
          <t>Eau De Parfum</t>
        </is>
      </c>
      <c r="D7715" t="inlineStr">
        <is>
          <t>Dior</t>
        </is>
      </c>
      <c r="E7715" t="n">
        <v>126.13</v>
      </c>
      <c r="F7715" t="n">
        <v>1</v>
      </c>
      <c r="G7715" t="n">
        <v>4</v>
      </c>
      <c r="H7715" s="5">
        <f>HYPERLINK("https://api.qogita.com/variants/link/3348901521512/", "View Product")</f>
        <v/>
      </c>
    </row>
    <row r="7716">
      <c r="A7716" t="inlineStr">
        <is>
          <t>3348901523622</t>
        </is>
      </c>
      <c r="B7716" t="inlineStr">
        <is>
          <t>Dior Contour Lip Liner Pencil 080 Red Smile 12g</t>
        </is>
      </c>
      <c r="C7716" t="inlineStr">
        <is>
          <t>Lip Liner</t>
        </is>
      </c>
      <c r="D7716" t="inlineStr">
        <is>
          <t>Dior</t>
        </is>
      </c>
      <c r="E7716" t="n">
        <v>25.34</v>
      </c>
      <c r="F7716" t="n">
        <v>1</v>
      </c>
      <c r="G7716" t="n">
        <v>5</v>
      </c>
      <c r="H7716" s="5">
        <f>HYPERLINK("https://api.qogita.com/variants/link/3348901523622/", "View Product")</f>
        <v/>
      </c>
    </row>
    <row r="7717">
      <c r="A7717" t="inlineStr">
        <is>
          <t>3348901525947</t>
        </is>
      </c>
      <c r="B7717" t="inlineStr">
        <is>
          <t>Dior Diorskin Forever Natural Nude Longwear Foundation 30 Ml</t>
        </is>
      </c>
      <c r="C7717" t="inlineStr">
        <is>
          <t>Foundation</t>
        </is>
      </c>
      <c r="D7717" t="inlineStr">
        <is>
          <t>Dior</t>
        </is>
      </c>
      <c r="E7717" t="n">
        <v>39.34</v>
      </c>
      <c r="F7717" t="n">
        <v>1</v>
      </c>
      <c r="G7717" t="n">
        <v>5</v>
      </c>
      <c r="H7717" s="5">
        <f>HYPERLINK("https://api.qogita.com/variants/link/3348901525947/", "View Product")</f>
        <v/>
      </c>
    </row>
    <row r="7718">
      <c r="A7718" t="inlineStr">
        <is>
          <t>3348901553582</t>
        </is>
      </c>
      <c r="B7718" t="inlineStr">
        <is>
          <t>Dior Homme Shaving Cream 125ml By Dior</t>
        </is>
      </c>
      <c r="C7718" t="inlineStr">
        <is>
          <t>Aftershave</t>
        </is>
      </c>
      <c r="D7718" t="inlineStr">
        <is>
          <t>Dior</t>
        </is>
      </c>
      <c r="E7718" t="n">
        <v>46.36</v>
      </c>
      <c r="F7718" t="n">
        <v>1</v>
      </c>
      <c r="G7718" t="n">
        <v>9</v>
      </c>
      <c r="H7718" s="5">
        <f>HYPERLINK("https://api.qogita.com/variants/link/3348901553582/", "View Product")</f>
        <v/>
      </c>
    </row>
    <row r="7719">
      <c r="A7719" t="inlineStr">
        <is>
          <t>3348901559553</t>
        </is>
      </c>
      <c r="B7719" t="inlineStr">
        <is>
          <t>Dior Eyeshadow Mono Couleur Couture 2 G</t>
        </is>
      </c>
      <c r="C7719" t="inlineStr">
        <is>
          <t>Eyeshadow</t>
        </is>
      </c>
      <c r="D7719" t="inlineStr">
        <is>
          <t>Dior</t>
        </is>
      </c>
      <c r="E7719" t="n">
        <v>27.6</v>
      </c>
      <c r="F7719" t="n">
        <v>1</v>
      </c>
      <c r="G7719" t="n">
        <v>2</v>
      </c>
      <c r="H7719" s="5">
        <f>HYPERLINK("https://api.qogita.com/variants/link/3348901559553/", "View Product")</f>
        <v/>
      </c>
    </row>
    <row r="7720">
      <c r="A7720" t="inlineStr">
        <is>
          <t>3348901559577</t>
        </is>
      </c>
      <c r="B7720" t="inlineStr">
        <is>
          <t>Eyeshadow Mono Couleur Couture 2 g Shade Coral Look</t>
        </is>
      </c>
      <c r="C7720" t="inlineStr">
        <is>
          <t>Eyeshadow</t>
        </is>
      </c>
      <c r="D7720" t="inlineStr">
        <is>
          <t>Dior</t>
        </is>
      </c>
      <c r="E7720" t="n">
        <v>34.13</v>
      </c>
      <c r="F7720" t="n">
        <v>1</v>
      </c>
      <c r="G7720" t="n">
        <v>5</v>
      </c>
      <c r="H7720" s="5">
        <f>HYPERLINK("https://api.qogita.com/variants/link/3348901559577/", "View Product")</f>
        <v/>
      </c>
    </row>
    <row r="7721">
      <c r="A7721" t="inlineStr">
        <is>
          <t>3348901559676</t>
        </is>
      </c>
      <c r="B7721" t="inlineStr">
        <is>
          <t>Christian Dior Mono Couleur Couture High No.280 Lucky Clover</t>
        </is>
      </c>
      <c r="C7721" t="inlineStr">
        <is>
          <t>Eyeshadow</t>
        </is>
      </c>
      <c r="D7721" t="inlineStr">
        <is>
          <t>Dior</t>
        </is>
      </c>
      <c r="E7721" t="n">
        <v>33.14</v>
      </c>
      <c r="F7721" t="n">
        <v>1</v>
      </c>
      <c r="G7721" t="n">
        <v>3</v>
      </c>
      <c r="H7721" s="5">
        <f>HYPERLINK("https://api.qogita.com/variants/link/3348901559676/", "View Product")</f>
        <v/>
      </c>
    </row>
    <row r="7722">
      <c r="A7722" t="inlineStr">
        <is>
          <t>3348901571432</t>
        </is>
      </c>
      <c r="B7722" t="inlineStr">
        <is>
          <t>Dior Miss Dior Eau De Parfum Spray 30ml</t>
        </is>
      </c>
      <c r="C7722" t="inlineStr">
        <is>
          <t>Eau De Parfum</t>
        </is>
      </c>
      <c r="D7722" t="inlineStr">
        <is>
          <t>Dior</t>
        </is>
      </c>
      <c r="E7722" t="n">
        <v>65.5</v>
      </c>
      <c r="F7722" t="n">
        <v>1</v>
      </c>
      <c r="G7722" t="n">
        <v>2</v>
      </c>
      <c r="H7722" s="5">
        <f>HYPERLINK("https://api.qogita.com/variants/link/3348901571432/", "View Product")</f>
        <v/>
      </c>
    </row>
    <row r="7723">
      <c r="A7723" t="inlineStr">
        <is>
          <t>3348901571449</t>
        </is>
      </c>
      <c r="B7723" t="inlineStr">
        <is>
          <t>Dior Miss Dior Eau De Parfum Spray 50ml</t>
        </is>
      </c>
      <c r="C7723" t="inlineStr">
        <is>
          <t>Eau De Parfum</t>
        </is>
      </c>
      <c r="D7723" t="inlineStr">
        <is>
          <t>Dior</t>
        </is>
      </c>
      <c r="E7723" t="n">
        <v>96.25</v>
      </c>
      <c r="F7723" t="n">
        <v>1</v>
      </c>
      <c r="G7723" t="n">
        <v>8</v>
      </c>
      <c r="H7723" s="5">
        <f>HYPERLINK("https://api.qogita.com/variants/link/3348901571449/", "View Product")</f>
        <v/>
      </c>
    </row>
    <row r="7724">
      <c r="A7724" t="inlineStr">
        <is>
          <t>3348901578486</t>
        </is>
      </c>
      <c r="B7724" t="inlineStr">
        <is>
          <t>Dior Diorskin Forever Skin Glow Fluid Foundation Spf 20 30 Ml</t>
        </is>
      </c>
      <c r="C7724" t="inlineStr">
        <is>
          <t>Foundation</t>
        </is>
      </c>
      <c r="D7724" t="inlineStr">
        <is>
          <t>Dior</t>
        </is>
      </c>
      <c r="E7724" t="n">
        <v>54.42</v>
      </c>
      <c r="F7724" t="n">
        <v>1</v>
      </c>
      <c r="G7724" t="n">
        <v>3</v>
      </c>
      <c r="H7724" s="5">
        <f>HYPERLINK("https://api.qogita.com/variants/link/3348901578486/", "View Product")</f>
        <v/>
      </c>
    </row>
    <row r="7725">
      <c r="A7725" t="inlineStr">
        <is>
          <t>3348901582513</t>
        </is>
      </c>
      <c r="B7725" t="inlineStr">
        <is>
          <t>Dior Miss Dior Rose N'Roses Eau De Toilette Spray 30ml</t>
        </is>
      </c>
      <c r="C7725" t="inlineStr">
        <is>
          <t>Eau De Toilette</t>
        </is>
      </c>
      <c r="D7725" t="inlineStr">
        <is>
          <t>Dior</t>
        </is>
      </c>
      <c r="E7725" t="n">
        <v>63.78</v>
      </c>
      <c r="F7725" t="n">
        <v>1</v>
      </c>
      <c r="G7725" t="n">
        <v>8</v>
      </c>
      <c r="H7725" s="5">
        <f>HYPERLINK("https://api.qogita.com/variants/link/3348901582513/", "View Product")</f>
        <v/>
      </c>
    </row>
    <row r="7726">
      <c r="A7726" t="inlineStr">
        <is>
          <t>3348901588379</t>
        </is>
      </c>
      <c r="B7726" t="inlineStr">
        <is>
          <t>Dior Rouge Dior Forever Liquid Highly Pigmented Lipstick 6 Ml</t>
        </is>
      </c>
      <c r="C7726" t="inlineStr">
        <is>
          <t>Lipstick</t>
        </is>
      </c>
      <c r="D7726" t="inlineStr">
        <is>
          <t>Dior</t>
        </is>
      </c>
      <c r="E7726" t="n">
        <v>37.79</v>
      </c>
      <c r="F7726" t="n">
        <v>1</v>
      </c>
      <c r="G7726" t="n">
        <v>5</v>
      </c>
      <c r="H7726" s="5">
        <f>HYPERLINK("https://api.qogita.com/variants/link/3348901588379/", "View Product")</f>
        <v/>
      </c>
    </row>
    <row r="7727">
      <c r="A7727" t="inlineStr">
        <is>
          <t>3348901597722</t>
        </is>
      </c>
      <c r="B7727" t="inlineStr">
        <is>
          <t>Dior J'Adore Parfum D'Eau Eau De Parfum Spray 50ml</t>
        </is>
      </c>
      <c r="C7727" t="inlineStr">
        <is>
          <t>Eau De Parfum</t>
        </is>
      </c>
      <c r="D7727" t="inlineStr">
        <is>
          <t>Dior</t>
        </is>
      </c>
      <c r="E7727" t="n">
        <v>81.86</v>
      </c>
      <c r="F7727" t="n">
        <v>1</v>
      </c>
      <c r="G7727" t="n">
        <v>9</v>
      </c>
      <c r="H7727" s="5">
        <f>HYPERLINK("https://api.qogita.com/variants/link/3348901597722/", "View Product")</f>
        <v/>
      </c>
    </row>
    <row r="7728">
      <c r="A7728" t="inlineStr">
        <is>
          <t>3348901608053</t>
        </is>
      </c>
      <c r="B7728" t="inlineStr">
        <is>
          <t>Dior Sauvage Eau De Parfum Spray 30ml</t>
        </is>
      </c>
      <c r="C7728" t="inlineStr">
        <is>
          <t>Eau De Parfum</t>
        </is>
      </c>
      <c r="D7728" t="inlineStr">
        <is>
          <t>Dior</t>
        </is>
      </c>
      <c r="E7728" t="n">
        <v>65.95</v>
      </c>
      <c r="F7728" t="n">
        <v>1</v>
      </c>
      <c r="G7728" t="n">
        <v>25</v>
      </c>
      <c r="H7728" s="5">
        <f>HYPERLINK("https://api.qogita.com/variants/link/3348901608053/", "View Product")</f>
        <v/>
      </c>
    </row>
    <row r="7729">
      <c r="A7729" t="inlineStr">
        <is>
          <t>3348901609067</t>
        </is>
      </c>
      <c r="B7729" t="inlineStr">
        <is>
          <t>Dior Forever Natural Velvet 2n Neutral Refill A Highquality Foundation Refill From Dior</t>
        </is>
      </c>
      <c r="C7729" t="inlineStr">
        <is>
          <t>Foundation</t>
        </is>
      </c>
      <c r="D7729" t="inlineStr">
        <is>
          <t>Dior</t>
        </is>
      </c>
      <c r="E7729" t="n">
        <v>42.75</v>
      </c>
      <c r="F7729" t="n">
        <v>1</v>
      </c>
      <c r="G7729" t="n">
        <v>2</v>
      </c>
      <c r="H7729" s="5">
        <f>HYPERLINK("https://api.qogita.com/variants/link/3348901609067/", "View Product")</f>
        <v/>
      </c>
    </row>
    <row r="7730">
      <c r="A7730" t="inlineStr">
        <is>
          <t>3348901609814</t>
        </is>
      </c>
      <c r="B7730" t="inlineStr">
        <is>
          <t>Dior Addict Hydrating Lipstick With Gloss Beige Oblique 32 G</t>
        </is>
      </c>
      <c r="C7730" t="inlineStr">
        <is>
          <t>Lipstick</t>
        </is>
      </c>
      <c r="D7730" t="inlineStr">
        <is>
          <t>Dior</t>
        </is>
      </c>
      <c r="E7730" t="n">
        <v>41.85</v>
      </c>
      <c r="F7730" t="n">
        <v>1</v>
      </c>
      <c r="G7730" t="n">
        <v>3</v>
      </c>
      <c r="H7730" s="5">
        <f>HYPERLINK("https://api.qogita.com/variants/link/3348901609814/", "View Product")</f>
        <v/>
      </c>
    </row>
    <row r="7731">
      <c r="A7731" t="inlineStr">
        <is>
          <t>3348901624442</t>
        </is>
      </c>
      <c r="B7731" t="inlineStr">
        <is>
          <t>Dior Rouge Dior Forever Liquid Forever Radiant Highly Pigmented Lipstick In 6 Ml</t>
        </is>
      </c>
      <c r="C7731" t="inlineStr">
        <is>
          <t>Lipstick</t>
        </is>
      </c>
      <c r="D7731" t="inlineStr">
        <is>
          <t>Dior</t>
        </is>
      </c>
      <c r="E7731" t="n">
        <v>30.34</v>
      </c>
      <c r="F7731" t="n">
        <v>1</v>
      </c>
      <c r="G7731" t="n">
        <v>3</v>
      </c>
      <c r="H7731" s="5">
        <f>HYPERLINK("https://api.qogita.com/variants/link/3348901624442/", "View Product")</f>
        <v/>
      </c>
    </row>
    <row r="7732">
      <c r="A7732" t="inlineStr">
        <is>
          <t>3348901627276</t>
        </is>
      </c>
      <c r="B7732" t="inlineStr">
        <is>
          <t>Dior Miss Dior Perfumed Water Roller-Pearl 20ml</t>
        </is>
      </c>
      <c r="C7732" t="inlineStr">
        <is>
          <t>Eau De Parfum</t>
        </is>
      </c>
      <c r="D7732" t="inlineStr">
        <is>
          <t>Dior</t>
        </is>
      </c>
      <c r="E7732" t="n">
        <v>43.96</v>
      </c>
      <c r="F7732" t="n">
        <v>1</v>
      </c>
      <c r="G7732" t="n">
        <v>2</v>
      </c>
      <c r="H7732" s="5">
        <f>HYPERLINK("https://api.qogita.com/variants/link/3348901627276/", "View Product")</f>
        <v/>
      </c>
    </row>
    <row r="7733">
      <c r="A7733" t="inlineStr">
        <is>
          <t>3348901627351</t>
        </is>
      </c>
      <c r="B7733" t="inlineStr">
        <is>
          <t>Dior Miss Dior Blooming Bouquet Eau De Toilette Spray 30ml</t>
        </is>
      </c>
      <c r="C7733" t="inlineStr">
        <is>
          <t>Eau De Toilette</t>
        </is>
      </c>
      <c r="D7733" t="inlineStr">
        <is>
          <t>Dior</t>
        </is>
      </c>
      <c r="E7733" t="n">
        <v>59.57</v>
      </c>
      <c r="F7733" t="n">
        <v>1</v>
      </c>
      <c r="G7733" t="n">
        <v>43</v>
      </c>
      <c r="H7733" s="5">
        <f>HYPERLINK("https://api.qogita.com/variants/link/3348901627351/", "View Product")</f>
        <v/>
      </c>
    </row>
    <row r="7734">
      <c r="A7734" t="inlineStr">
        <is>
          <t>3348901632904</t>
        </is>
      </c>
      <c r="B7734" t="inlineStr">
        <is>
          <t>Dior Rouge Dior Forever Lipstick 300 Forever Nude Style Longlasting Lipstick 32 G</t>
        </is>
      </c>
      <c r="C7734" t="inlineStr">
        <is>
          <t>Lipstick</t>
        </is>
      </c>
      <c r="D7734" t="inlineStr">
        <is>
          <t>Dior</t>
        </is>
      </c>
      <c r="E7734" t="n">
        <v>32.77</v>
      </c>
      <c r="F7734" t="n">
        <v>1</v>
      </c>
      <c r="G7734" t="n">
        <v>4</v>
      </c>
      <c r="H7734" s="5">
        <f>HYPERLINK("https://api.qogita.com/variants/link/3348901632904/", "View Product")</f>
        <v/>
      </c>
    </row>
    <row r="7735">
      <c r="A7735" t="inlineStr">
        <is>
          <t>3348901632959</t>
        </is>
      </c>
      <c r="B7735" t="inlineStr">
        <is>
          <t>Dior Longlasting Lipstick Forever Rouge 32 G</t>
        </is>
      </c>
      <c r="C7735" t="inlineStr">
        <is>
          <t>Lipstick</t>
        </is>
      </c>
      <c r="D7735" t="inlineStr">
        <is>
          <t>Dior</t>
        </is>
      </c>
      <c r="E7735" t="n">
        <v>37.95</v>
      </c>
      <c r="F7735" t="n">
        <v>1</v>
      </c>
      <c r="G7735" t="n">
        <v>2</v>
      </c>
      <c r="H7735" s="5">
        <f>HYPERLINK("https://api.qogita.com/variants/link/3348901632959/", "View Product")</f>
        <v/>
      </c>
    </row>
    <row r="7736">
      <c r="A7736" t="inlineStr">
        <is>
          <t>3348901633123</t>
        </is>
      </c>
      <c r="B7736" t="inlineStr">
        <is>
          <t>Dior Longlasting Lipstick Forever Rouge 32 G Forever Dior 999</t>
        </is>
      </c>
      <c r="C7736" t="inlineStr">
        <is>
          <t>Lipstick</t>
        </is>
      </c>
      <c r="D7736" t="inlineStr">
        <is>
          <t>Dior</t>
        </is>
      </c>
      <c r="E7736" t="n">
        <v>40.26</v>
      </c>
      <c r="F7736" t="n">
        <v>1</v>
      </c>
      <c r="G7736" t="n">
        <v>4</v>
      </c>
      <c r="H7736" s="5">
        <f>HYPERLINK("https://api.qogita.com/variants/link/3348901633123/", "View Product")</f>
        <v/>
      </c>
    </row>
    <row r="7737">
      <c r="A7737" t="inlineStr">
        <is>
          <t>3348901637527</t>
        </is>
      </c>
      <c r="B7737" t="inlineStr">
        <is>
          <t>Dior Forever Skin Correct Concealer 15 N Neutral 11 Ml</t>
        </is>
      </c>
      <c r="C7737" t="inlineStr">
        <is>
          <t>Concealer</t>
        </is>
      </c>
      <c r="D7737" t="inlineStr">
        <is>
          <t>Dior</t>
        </is>
      </c>
      <c r="E7737" t="n">
        <v>34.7</v>
      </c>
      <c r="F7737" t="n">
        <v>1</v>
      </c>
      <c r="G7737" t="n">
        <v>11</v>
      </c>
      <c r="H7737" s="5">
        <f>HYPERLINK("https://api.qogita.com/variants/link/3348901637527/", "View Product")</f>
        <v/>
      </c>
    </row>
    <row r="7738">
      <c r="A7738" t="inlineStr">
        <is>
          <t>3348901637602</t>
        </is>
      </c>
      <c r="B7738" t="inlineStr">
        <is>
          <t>Dior Forever Skin Correct Fullcoverage Concealer 3 Cool Rosy 11 Ml</t>
        </is>
      </c>
      <c r="C7738" t="inlineStr">
        <is>
          <t>Concealer</t>
        </is>
      </c>
      <c r="D7738" t="inlineStr">
        <is>
          <t>Dior</t>
        </is>
      </c>
      <c r="E7738" t="n">
        <v>35.97</v>
      </c>
      <c r="F7738" t="n">
        <v>1</v>
      </c>
      <c r="G7738" t="n">
        <v>2</v>
      </c>
      <c r="H7738" s="5">
        <f>HYPERLINK("https://api.qogita.com/variants/link/3348901637602/", "View Product")</f>
        <v/>
      </c>
    </row>
    <row r="7739">
      <c r="A7739" t="inlineStr">
        <is>
          <t>3348901637619</t>
        </is>
      </c>
      <c r="B7739" t="inlineStr">
        <is>
          <t>DIOR FOREVER SKIN CORRECT 3WP by DIOR</t>
        </is>
      </c>
      <c r="C7739" t="inlineStr">
        <is>
          <t>Concealer</t>
        </is>
      </c>
      <c r="D7739" t="inlineStr">
        <is>
          <t>Dior</t>
        </is>
      </c>
      <c r="E7739" t="n">
        <v>35.39</v>
      </c>
      <c r="F7739" t="n">
        <v>1</v>
      </c>
      <c r="G7739" t="n">
        <v>5</v>
      </c>
      <c r="H7739" s="5">
        <f>HYPERLINK("https://api.qogita.com/variants/link/3348901637619/", "View Product")</f>
        <v/>
      </c>
    </row>
    <row r="7740">
      <c r="A7740" t="inlineStr">
        <is>
          <t>3348901641234</t>
        </is>
      </c>
      <c r="B7740" t="inlineStr">
        <is>
          <t>Dior J'Adore Shimmering Body Scrub 150ml</t>
        </is>
      </c>
      <c r="C7740" t="inlineStr">
        <is>
          <t>Body Scrub &amp; Peeling</t>
        </is>
      </c>
      <c r="D7740" t="inlineStr">
        <is>
          <t>Dior</t>
        </is>
      </c>
      <c r="E7740" t="n">
        <v>76.53</v>
      </c>
      <c r="F7740" t="n">
        <v>1</v>
      </c>
      <c r="G7740" t="n">
        <v>6</v>
      </c>
      <c r="H7740" s="5">
        <f>HYPERLINK("https://api.qogita.com/variants/link/3348901641234/", "View Product")</f>
        <v/>
      </c>
    </row>
    <row r="7741">
      <c r="A7741" t="inlineStr">
        <is>
          <t>3348901662970</t>
        </is>
      </c>
      <c r="B7741" t="inlineStr">
        <is>
          <t>Dior Diorshow Brow Styler 002 Chestnut Ultrafine Precision Brow Pencil 009 G</t>
        </is>
      </c>
      <c r="C7741" t="inlineStr">
        <is>
          <t>Eyebrow Pencil</t>
        </is>
      </c>
      <c r="D7741" t="inlineStr">
        <is>
          <t>Dior</t>
        </is>
      </c>
      <c r="E7741" t="n">
        <v>28.64</v>
      </c>
      <c r="F7741" t="n">
        <v>1</v>
      </c>
      <c r="G7741" t="n">
        <v>5</v>
      </c>
      <c r="H7741" s="5">
        <f>HYPERLINK("https://api.qogita.com/variants/link/3348901662970/", "View Product")</f>
        <v/>
      </c>
    </row>
    <row r="7742">
      <c r="A7742" t="inlineStr">
        <is>
          <t>3348901670333</t>
        </is>
      </c>
      <c r="B7742" t="inlineStr">
        <is>
          <t>Dior Forever Skin Perfect Multi-Use Foundation Stick - 10 G</t>
        </is>
      </c>
      <c r="C7742" t="inlineStr">
        <is>
          <t>Foundation</t>
        </is>
      </c>
      <c r="D7742" t="inlineStr">
        <is>
          <t>Dior</t>
        </is>
      </c>
      <c r="E7742" t="n">
        <v>47.46</v>
      </c>
      <c r="F7742" t="n">
        <v>1</v>
      </c>
      <c r="G7742" t="n">
        <v>4</v>
      </c>
      <c r="H7742" s="5">
        <f>HYPERLINK("https://api.qogita.com/variants/link/3348901670333/", "View Product")</f>
        <v/>
      </c>
    </row>
    <row r="7743">
      <c r="A7743" t="inlineStr">
        <is>
          <t>3348901672153</t>
        </is>
      </c>
      <c r="B7743" t="inlineStr">
        <is>
          <t>Dior Vernis Nail Lacquer Base Coat 10ml</t>
        </is>
      </c>
      <c r="C7743" t="inlineStr">
        <is>
          <t>Base Coat</t>
        </is>
      </c>
      <c r="D7743" t="inlineStr">
        <is>
          <t>Dior</t>
        </is>
      </c>
      <c r="E7743" t="n">
        <v>28.39</v>
      </c>
      <c r="F7743" t="n">
        <v>1</v>
      </c>
      <c r="G7743" t="n">
        <v>2</v>
      </c>
      <c r="H7743" s="5">
        <f>HYPERLINK("https://api.qogita.com/variants/link/3348901672153/", "View Product")</f>
        <v/>
      </c>
    </row>
    <row r="7744">
      <c r="A7744" t="inlineStr">
        <is>
          <t>3348901673129</t>
        </is>
      </c>
      <c r="B7744" t="inlineStr">
        <is>
          <t>Dior Vernis Nail Lacquer Gris Dior 10 Ml</t>
        </is>
      </c>
      <c r="C7744" t="inlineStr">
        <is>
          <t>Nail Polish</t>
        </is>
      </c>
      <c r="D7744" t="inlineStr">
        <is>
          <t>Dior</t>
        </is>
      </c>
      <c r="E7744" t="n">
        <v>24.43</v>
      </c>
      <c r="F7744" t="n">
        <v>1</v>
      </c>
      <c r="G7744" t="n">
        <v>3</v>
      </c>
      <c r="H7744" s="5">
        <f>HYPERLINK("https://api.qogita.com/variants/link/3348901673129/", "View Product")</f>
        <v/>
      </c>
    </row>
    <row r="7745">
      <c r="A7745" t="inlineStr">
        <is>
          <t>3348901695398</t>
        </is>
      </c>
      <c r="B7745" t="inlineStr">
        <is>
          <t>Dior Longlasting Lipstick Forever Rouge 32 G</t>
        </is>
      </c>
      <c r="C7745" t="inlineStr">
        <is>
          <t>Lipstick</t>
        </is>
      </c>
      <c r="D7745" t="inlineStr">
        <is>
          <t>Dior</t>
        </is>
      </c>
      <c r="E7745" t="n">
        <v>40.26</v>
      </c>
      <c r="F7745" t="n">
        <v>1</v>
      </c>
      <c r="G7745" t="n">
        <v>5</v>
      </c>
      <c r="H7745" s="5">
        <f>HYPERLINK("https://api.qogita.com/variants/link/3348901695398/", "View Product")</f>
        <v/>
      </c>
    </row>
    <row r="7746">
      <c r="A7746" t="inlineStr">
        <is>
          <t>3348901708654</t>
        </is>
      </c>
      <c r="B7746" t="inlineStr">
        <is>
          <t>Dior Hydrating Lipstick With Gloss Addict - 32 Grams</t>
        </is>
      </c>
      <c r="C7746" t="inlineStr">
        <is>
          <t>Lipstick</t>
        </is>
      </c>
      <c r="D7746" t="inlineStr">
        <is>
          <t>Dior</t>
        </is>
      </c>
      <c r="E7746" t="n">
        <v>34.48</v>
      </c>
      <c r="F7746" t="n">
        <v>1</v>
      </c>
      <c r="G7746" t="n">
        <v>5</v>
      </c>
      <c r="H7746" s="5">
        <f>HYPERLINK("https://api.qogita.com/variants/link/3348901708654/", "View Product")</f>
        <v/>
      </c>
    </row>
    <row r="7747">
      <c r="A7747" t="inlineStr">
        <is>
          <t>3348901723718</t>
        </is>
      </c>
      <c r="B7747" t="inlineStr">
        <is>
          <t>Dior Forever Glow Star Filter Brightening Skin Fluid 30 Ml</t>
        </is>
      </c>
      <c r="C7747" t="inlineStr">
        <is>
          <t>Face Cream</t>
        </is>
      </c>
      <c r="D7747" t="inlineStr">
        <is>
          <t>Dior</t>
        </is>
      </c>
      <c r="E7747" t="n">
        <v>49.81</v>
      </c>
      <c r="F7747" t="n">
        <v>1</v>
      </c>
      <c r="G7747" t="n">
        <v>2</v>
      </c>
      <c r="H7747" s="5">
        <f>HYPERLINK("https://api.qogita.com/variants/link/3348901723718/", "View Product")</f>
        <v/>
      </c>
    </row>
    <row r="7748">
      <c r="A7748" t="inlineStr">
        <is>
          <t>3348901723725</t>
        </is>
      </c>
      <c r="B7748" t="inlineStr">
        <is>
          <t>Dior Forever Glow Star Filter Lip Gloss 5N 30ml</t>
        </is>
      </c>
      <c r="C7748" t="inlineStr">
        <is>
          <t>Lip Gloss</t>
        </is>
      </c>
      <c r="D7748" t="inlineStr">
        <is>
          <t>Dior</t>
        </is>
      </c>
      <c r="E7748" t="n">
        <v>41.07</v>
      </c>
      <c r="F7748" t="n">
        <v>1</v>
      </c>
      <c r="G7748" t="n">
        <v>3</v>
      </c>
      <c r="H7748" s="5">
        <f>HYPERLINK("https://api.qogita.com/variants/link/3348901723725/", "View Product")</f>
        <v/>
      </c>
    </row>
    <row r="7749">
      <c r="A7749" t="inlineStr">
        <is>
          <t>3348901734004</t>
        </is>
      </c>
      <c r="B7749" t="inlineStr">
        <is>
          <t>Christian Dior Rouge Dior Universal Lip Contour Pencil Transparent 1 G</t>
        </is>
      </c>
      <c r="C7749" t="inlineStr">
        <is>
          <t>Lip Liner</t>
        </is>
      </c>
      <c r="D7749" t="inlineStr">
        <is>
          <t>Christian Dior</t>
        </is>
      </c>
      <c r="E7749" t="n">
        <v>25.37</v>
      </c>
      <c r="F7749" t="n">
        <v>1</v>
      </c>
      <c r="G7749" t="n">
        <v>3</v>
      </c>
      <c r="H7749" s="5">
        <f>HYPERLINK("https://api.qogita.com/variants/link/3348901734004/", "View Product")</f>
        <v/>
      </c>
    </row>
    <row r="7750">
      <c r="A7750" t="inlineStr">
        <is>
          <t>3348901756440</t>
        </is>
      </c>
      <c r="B7750" t="inlineStr">
        <is>
          <t>Dior Diorshow Liquid Liner - 0.55ml - Black 096</t>
        </is>
      </c>
      <c r="C7750" t="inlineStr">
        <is>
          <t>Eyeliner</t>
        </is>
      </c>
      <c r="D7750" t="inlineStr">
        <is>
          <t>Dior</t>
        </is>
      </c>
      <c r="E7750" t="n">
        <v>40.78</v>
      </c>
      <c r="F7750" t="n">
        <v>1</v>
      </c>
      <c r="G7750" t="n">
        <v>3</v>
      </c>
      <c r="H7750" s="5">
        <f>HYPERLINK("https://api.qogita.com/variants/link/3348901756440/", "View Product")</f>
        <v/>
      </c>
    </row>
    <row r="7751">
      <c r="A7751" t="inlineStr">
        <is>
          <t>3348901756464</t>
        </is>
      </c>
      <c r="B7751" t="inlineStr">
        <is>
          <t>Dior Diorshow Liquid Liner 0.55ml - Indigo 181</t>
        </is>
      </c>
      <c r="C7751" t="inlineStr">
        <is>
          <t>Eyeliner</t>
        </is>
      </c>
      <c r="D7751" t="inlineStr">
        <is>
          <t>Dior</t>
        </is>
      </c>
      <c r="E7751" t="n">
        <v>40.78</v>
      </c>
      <c r="F7751" t="n">
        <v>1</v>
      </c>
      <c r="G7751" t="n">
        <v>2</v>
      </c>
      <c r="H7751" s="5">
        <f>HYPERLINK("https://api.qogita.com/variants/link/3348901756464/", "View Product")</f>
        <v/>
      </c>
    </row>
    <row r="7752">
      <c r="A7752" t="inlineStr">
        <is>
          <t>3349666007983</t>
        </is>
      </c>
      <c r="B7752" t="inlineStr">
        <is>
          <t>Paco Rabanne 1 Million After Shave Lotion 100 ml</t>
        </is>
      </c>
      <c r="C7752" t="inlineStr">
        <is>
          <t>Eau De Toilette</t>
        </is>
      </c>
      <c r="D7752" t="inlineStr">
        <is>
          <t>Paco Rabanne</t>
        </is>
      </c>
      <c r="E7752" t="n">
        <v>36.83</v>
      </c>
      <c r="F7752" t="n">
        <v>1</v>
      </c>
      <c r="G7752" t="n">
        <v>55</v>
      </c>
      <c r="H7752" s="5">
        <f>HYPERLINK("https://api.qogita.com/variants/link/3349666007983/", "View Product")</f>
        <v/>
      </c>
    </row>
    <row r="7753">
      <c r="A7753" t="inlineStr">
        <is>
          <t>3349668021246</t>
        </is>
      </c>
      <c r="B7753" t="inlineStr">
        <is>
          <t>Paco Rabanne Pour Homme Eau De Toilette Spray 200ml By Paco Rabanne</t>
        </is>
      </c>
      <c r="C7753" t="inlineStr">
        <is>
          <t>Eau De Toilette</t>
        </is>
      </c>
      <c r="D7753" t="inlineStr">
        <is>
          <t>Paco Rabanne</t>
        </is>
      </c>
      <c r="E7753" t="n">
        <v>61.4</v>
      </c>
      <c r="F7753" t="n">
        <v>1</v>
      </c>
      <c r="G7753" t="n">
        <v>13</v>
      </c>
      <c r="H7753" s="5">
        <f>HYPERLINK("https://api.qogita.com/variants/link/3349668021246/", "View Product")</f>
        <v/>
      </c>
    </row>
    <row r="7754">
      <c r="A7754" t="inlineStr">
        <is>
          <t>3349668021345</t>
        </is>
      </c>
      <c r="B7754" t="inlineStr">
        <is>
          <t>Paco Rabanne Pour Homme Eau De Toilette Spray 100ml</t>
        </is>
      </c>
      <c r="C7754" t="inlineStr">
        <is>
          <t>Eau De Toilette</t>
        </is>
      </c>
      <c r="D7754" t="inlineStr">
        <is>
          <t>Paco Rabanne</t>
        </is>
      </c>
      <c r="E7754" t="n">
        <v>22.84</v>
      </c>
      <c r="F7754" t="n">
        <v>1</v>
      </c>
      <c r="G7754" t="n">
        <v>1699</v>
      </c>
      <c r="H7754" s="5">
        <f>HYPERLINK("https://api.qogita.com/variants/link/3349668021345/", "View Product")</f>
        <v/>
      </c>
    </row>
    <row r="7755">
      <c r="A7755" t="inlineStr">
        <is>
          <t>3349668515653</t>
        </is>
      </c>
      <c r="B7755" t="inlineStr">
        <is>
          <t>Paco Rabanne Invictus Eau De Toilette Spray 50ml</t>
        </is>
      </c>
      <c r="C7755" t="inlineStr">
        <is>
          <t>Eau De Toilette</t>
        </is>
      </c>
      <c r="D7755" t="inlineStr">
        <is>
          <t>Paco Rabanne</t>
        </is>
      </c>
      <c r="E7755" t="n">
        <v>54.18</v>
      </c>
      <c r="F7755" t="n">
        <v>1</v>
      </c>
      <c r="G7755" t="n">
        <v>3</v>
      </c>
      <c r="H7755" s="5">
        <f>HYPERLINK("https://api.qogita.com/variants/link/3349668515653/", "View Product")</f>
        <v/>
      </c>
    </row>
    <row r="7756">
      <c r="A7756" t="inlineStr">
        <is>
          <t>3349668515714</t>
        </is>
      </c>
      <c r="B7756" t="inlineStr">
        <is>
          <t>Rabanne Invictus After Shave Lotion 100 ml</t>
        </is>
      </c>
      <c r="C7756" t="inlineStr">
        <is>
          <t>Eau De Toilette</t>
        </is>
      </c>
      <c r="D7756" t="inlineStr">
        <is>
          <t>Paco Rabanne</t>
        </is>
      </c>
      <c r="E7756" t="n">
        <v>33.49</v>
      </c>
      <c r="F7756" t="n">
        <v>1</v>
      </c>
      <c r="G7756" t="n">
        <v>61</v>
      </c>
      <c r="H7756" s="5">
        <f>HYPERLINK("https://api.qogita.com/variants/link/3349668515714/", "View Product")</f>
        <v/>
      </c>
    </row>
    <row r="7757">
      <c r="A7757" t="inlineStr">
        <is>
          <t>3349668515752</t>
        </is>
      </c>
      <c r="B7757" t="inlineStr">
        <is>
          <t>Paco Rabanne Invictus Stick 75ml</t>
        </is>
      </c>
      <c r="C7757" t="inlineStr">
        <is>
          <t>Eau De Toilette</t>
        </is>
      </c>
      <c r="D7757" t="inlineStr">
        <is>
          <t>Paco Rabanne</t>
        </is>
      </c>
      <c r="E7757" t="n">
        <v>18.95</v>
      </c>
      <c r="F7757" t="n">
        <v>1</v>
      </c>
      <c r="G7757" t="n">
        <v>29</v>
      </c>
      <c r="H7757" s="5">
        <f>HYPERLINK("https://api.qogita.com/variants/link/3349668515752/", "View Product")</f>
        <v/>
      </c>
    </row>
    <row r="7758">
      <c r="A7758" t="inlineStr">
        <is>
          <t>3349668545698</t>
        </is>
      </c>
      <c r="B7758" t="inlineStr">
        <is>
          <t>Paco Rabanne Pure XS For Her Eau De Parfum 30ml</t>
        </is>
      </c>
      <c r="C7758" t="inlineStr">
        <is>
          <t>Eau De Parfum</t>
        </is>
      </c>
      <c r="D7758" t="inlineStr">
        <is>
          <t>Paco Rabanne</t>
        </is>
      </c>
      <c r="E7758" t="n">
        <v>44.09</v>
      </c>
      <c r="F7758" t="n">
        <v>1</v>
      </c>
      <c r="G7758" t="n">
        <v>21</v>
      </c>
      <c r="H7758" s="5">
        <f>HYPERLINK("https://api.qogita.com/variants/link/3349668545698/", "View Product")</f>
        <v/>
      </c>
    </row>
    <row r="7759">
      <c r="A7759" t="inlineStr">
        <is>
          <t>3349668555062</t>
        </is>
      </c>
      <c r="B7759" t="inlineStr">
        <is>
          <t>Paco Rabanne Black Xs Pour Femme Eau De Parfum Spray 80ml</t>
        </is>
      </c>
      <c r="C7759" t="inlineStr">
        <is>
          <t>Eau De Parfum</t>
        </is>
      </c>
      <c r="D7759" t="inlineStr">
        <is>
          <t>Paco Rabanne</t>
        </is>
      </c>
      <c r="E7759" t="n">
        <v>62.23</v>
      </c>
      <c r="F7759" t="n">
        <v>1</v>
      </c>
      <c r="G7759" t="n">
        <v>5</v>
      </c>
      <c r="H7759" s="5">
        <f>HYPERLINK("https://api.qogita.com/variants/link/3349668555062/", "View Product")</f>
        <v/>
      </c>
    </row>
    <row r="7760">
      <c r="A7760" t="inlineStr">
        <is>
          <t>3349668570522</t>
        </is>
      </c>
      <c r="B7760" t="inlineStr">
        <is>
          <t>Paco Rabanne Pacocollection Dangerous Me Eau De Parfum Spray 62ml</t>
        </is>
      </c>
      <c r="C7760" t="inlineStr">
        <is>
          <t>Eau De Parfum</t>
        </is>
      </c>
      <c r="D7760" t="inlineStr">
        <is>
          <t>Paco Rabanne</t>
        </is>
      </c>
      <c r="E7760" t="n">
        <v>36.05</v>
      </c>
      <c r="F7760" t="n">
        <v>1</v>
      </c>
      <c r="G7760" t="n">
        <v>5</v>
      </c>
      <c r="H7760" s="5">
        <f>HYPERLINK("https://api.qogita.com/variants/link/3349668570522/", "View Product")</f>
        <v/>
      </c>
    </row>
    <row r="7761">
      <c r="A7761" t="inlineStr">
        <is>
          <t>3349668576081</t>
        </is>
      </c>
      <c r="B7761" t="inlineStr">
        <is>
          <t>Paco Rabanne Xs Men Eau De Toilette Spray 100ml</t>
        </is>
      </c>
      <c r="C7761" t="inlineStr">
        <is>
          <t>Eau De Toilette</t>
        </is>
      </c>
      <c r="D7761" t="inlineStr">
        <is>
          <t>Paco Rabanne</t>
        </is>
      </c>
      <c r="E7761" t="n">
        <v>32.6</v>
      </c>
      <c r="F7761" t="n">
        <v>1</v>
      </c>
      <c r="G7761" t="n">
        <v>150</v>
      </c>
      <c r="H7761" s="5">
        <f>HYPERLINK("https://api.qogita.com/variants/link/3349668576081/", "View Product")</f>
        <v/>
      </c>
    </row>
    <row r="7762">
      <c r="A7762" t="inlineStr">
        <is>
          <t>3349668579822</t>
        </is>
      </c>
      <c r="B7762" t="inlineStr">
        <is>
          <t>Paco Rabanne 1 Million Parfum Spray 50ml</t>
        </is>
      </c>
      <c r="C7762" t="inlineStr">
        <is>
          <t>Eau De Parfum</t>
        </is>
      </c>
      <c r="D7762" t="inlineStr">
        <is>
          <t>Paco Rabanne</t>
        </is>
      </c>
      <c r="E7762" t="n">
        <v>54.82</v>
      </c>
      <c r="F7762" t="n">
        <v>1</v>
      </c>
      <c r="G7762" t="n">
        <v>81</v>
      </c>
      <c r="H7762" s="5">
        <f>HYPERLINK("https://api.qogita.com/variants/link/3349668579822/", "View Product")</f>
        <v/>
      </c>
    </row>
    <row r="7763">
      <c r="A7763" t="inlineStr">
        <is>
          <t>3349668582341</t>
        </is>
      </c>
      <c r="B7763" t="inlineStr">
        <is>
          <t>Paco Rabanne Phantom 3.4 oz Men's Eau de Toilette</t>
        </is>
      </c>
      <c r="C7763" t="inlineStr">
        <is>
          <t>Eau De Toilette</t>
        </is>
      </c>
      <c r="D7763" t="inlineStr">
        <is>
          <t>Paco Rabanne</t>
        </is>
      </c>
      <c r="E7763" t="n">
        <v>61.1</v>
      </c>
      <c r="F7763" t="n">
        <v>1</v>
      </c>
      <c r="G7763" t="n">
        <v>3</v>
      </c>
      <c r="H7763" s="5">
        <f>HYPERLINK("https://api.qogita.com/variants/link/3349668582341/", "View Product")</f>
        <v/>
      </c>
    </row>
    <row r="7764">
      <c r="A7764" t="inlineStr">
        <is>
          <t>3349668588664</t>
        </is>
      </c>
      <c r="B7764" t="inlineStr">
        <is>
          <t>Paco Rabanne Olympea Blossom Eau De Parfum 30ml</t>
        </is>
      </c>
      <c r="C7764" t="inlineStr">
        <is>
          <t>Eau De Parfum</t>
        </is>
      </c>
      <c r="D7764" t="inlineStr">
        <is>
          <t>Paco Rabanne</t>
        </is>
      </c>
      <c r="E7764" t="n">
        <v>32.47</v>
      </c>
      <c r="F7764" t="n">
        <v>1</v>
      </c>
      <c r="G7764" t="n">
        <v>7</v>
      </c>
      <c r="H7764" s="5">
        <f>HYPERLINK("https://api.qogita.com/variants/link/3349668588664/", "View Product")</f>
        <v/>
      </c>
    </row>
    <row r="7765">
      <c r="A7765" t="inlineStr">
        <is>
          <t>3349668588688</t>
        </is>
      </c>
      <c r="B7765" t="inlineStr">
        <is>
          <t>Paco Rabanne Olympea Blossom Eau De Parfum Spray 50ml</t>
        </is>
      </c>
      <c r="C7765" t="inlineStr">
        <is>
          <t>Eau De Parfum</t>
        </is>
      </c>
      <c r="D7765" t="inlineStr">
        <is>
          <t>Paco Rabanne</t>
        </is>
      </c>
      <c r="E7765" t="n">
        <v>36.08</v>
      </c>
      <c r="F7765" t="n">
        <v>1</v>
      </c>
      <c r="G7765" t="n">
        <v>31</v>
      </c>
      <c r="H7765" s="5">
        <f>HYPERLINK("https://api.qogita.com/variants/link/3349668588688/", "View Product")</f>
        <v/>
      </c>
    </row>
    <row r="7766">
      <c r="A7766" t="inlineStr">
        <is>
          <t>0018084064979</t>
        </is>
      </c>
      <c r="B7766" t="inlineStr">
        <is>
          <t>Aveda Botanical Repair Hair Care Gift Set</t>
        </is>
      </c>
      <c r="C7766" t="inlineStr">
        <is>
          <t>Hair Care Sets</t>
        </is>
      </c>
      <c r="D7766" t="inlineStr">
        <is>
          <t>Aveda</t>
        </is>
      </c>
      <c r="E7766" t="n">
        <v>54.69</v>
      </c>
      <c r="F7766" t="n">
        <v>1</v>
      </c>
      <c r="G7766" t="n">
        <v>37</v>
      </c>
      <c r="H7766" s="5">
        <f>HYPERLINK("https://api.qogita.com/variants/link/0018084064979/", "View Product")</f>
        <v/>
      </c>
    </row>
    <row r="7767">
      <c r="A7767" t="inlineStr">
        <is>
          <t>0018084846933</t>
        </is>
      </c>
      <c r="B7767" t="inlineStr">
        <is>
          <t>Aveda Control Force</t>
        </is>
      </c>
      <c r="C7767" t="inlineStr">
        <is>
          <t>Hairspray</t>
        </is>
      </c>
      <c r="D7767" t="inlineStr">
        <is>
          <t>Aveda</t>
        </is>
      </c>
      <c r="E7767" t="n">
        <v>23.13</v>
      </c>
      <c r="F7767" t="n">
        <v>1</v>
      </c>
      <c r="G7767" t="n">
        <v>7</v>
      </c>
      <c r="H7767" s="5">
        <f>HYPERLINK("https://api.qogita.com/variants/link/0018084846933/", "View Product")</f>
        <v/>
      </c>
    </row>
    <row r="7768">
      <c r="A7768" t="inlineStr">
        <is>
          <t>0018084851272</t>
        </is>
      </c>
      <c r="B7768" t="inlineStr">
        <is>
          <t>Aveda Men Pure-Formance Grooming Cream 4.2oz</t>
        </is>
      </c>
      <c r="C7768" t="inlineStr">
        <is>
          <t>Styling Creams</t>
        </is>
      </c>
      <c r="D7768" t="inlineStr">
        <is>
          <t>Aveda</t>
        </is>
      </c>
      <c r="E7768" t="n">
        <v>26.22</v>
      </c>
      <c r="F7768" t="n">
        <v>1</v>
      </c>
      <c r="G7768" t="n">
        <v>5</v>
      </c>
      <c r="H7768" s="5">
        <f>HYPERLINK("https://api.qogita.com/variants/link/0018084851272/", "View Product")</f>
        <v/>
      </c>
    </row>
    <row r="7769">
      <c r="A7769" t="inlineStr">
        <is>
          <t>0018084857489</t>
        </is>
      </c>
      <c r="B7769" t="inlineStr">
        <is>
          <t>Aveda Men Pure-Formance Firm Hold Gel</t>
        </is>
      </c>
      <c r="C7769" t="inlineStr">
        <is>
          <t>Gel</t>
        </is>
      </c>
      <c r="D7769" t="inlineStr">
        <is>
          <t>Aveda</t>
        </is>
      </c>
      <c r="E7769" t="n">
        <v>23.26</v>
      </c>
      <c r="F7769" t="n">
        <v>1</v>
      </c>
      <c r="G7769" t="n">
        <v>5</v>
      </c>
      <c r="H7769" s="5">
        <f>HYPERLINK("https://api.qogita.com/variants/link/0018084857489/", "View Product")</f>
        <v/>
      </c>
    </row>
    <row r="7770">
      <c r="A7770" t="inlineStr">
        <is>
          <t>0018084888308</t>
        </is>
      </c>
      <c r="B7770" t="inlineStr">
        <is>
          <t>Aveda Men After Shave Cream</t>
        </is>
      </c>
      <c r="C7770" t="inlineStr">
        <is>
          <t>Aftershave</t>
        </is>
      </c>
      <c r="D7770" t="inlineStr">
        <is>
          <t>Aveda</t>
        </is>
      </c>
      <c r="E7770" t="n">
        <v>30.55</v>
      </c>
      <c r="F7770" t="n">
        <v>1</v>
      </c>
      <c r="G7770" t="n">
        <v>5</v>
      </c>
      <c r="H7770" s="5">
        <f>HYPERLINK("https://api.qogita.com/variants/link/0018084888308/", "View Product")</f>
        <v/>
      </c>
    </row>
    <row r="7771">
      <c r="A7771" t="inlineStr">
        <is>
          <t>0018084922187</t>
        </is>
      </c>
      <c r="B7771" t="inlineStr">
        <is>
          <t>Aveda Shampure Hand and Body Wash 250ml Womens Skin Care</t>
        </is>
      </c>
      <c r="C7771" t="inlineStr">
        <is>
          <t>Shower Gel</t>
        </is>
      </c>
      <c r="D7771" t="inlineStr">
        <is>
          <t>Aveda</t>
        </is>
      </c>
      <c r="E7771" t="n">
        <v>21.49</v>
      </c>
      <c r="F7771" t="n">
        <v>1</v>
      </c>
      <c r="G7771" t="n">
        <v>2</v>
      </c>
      <c r="H7771" s="5">
        <f>HYPERLINK("https://api.qogita.com/variants/link/0018084922187/", "View Product")</f>
        <v/>
      </c>
    </row>
    <row r="7772">
      <c r="A7772" t="inlineStr">
        <is>
          <t>0018084927946</t>
        </is>
      </c>
      <c r="B7772" t="inlineStr">
        <is>
          <t>Aveda Damage Remedy Daily Hair Repair 100ml</t>
        </is>
      </c>
      <c r="C7772" t="inlineStr">
        <is>
          <t>Leave-In Conditioner</t>
        </is>
      </c>
      <c r="D7772" t="inlineStr">
        <is>
          <t>Aveda</t>
        </is>
      </c>
      <c r="E7772" t="n">
        <v>31.34</v>
      </c>
      <c r="F7772" t="n">
        <v>1</v>
      </c>
      <c r="G7772" t="n">
        <v>2</v>
      </c>
      <c r="H7772" s="5">
        <f>HYPERLINK("https://api.qogita.com/variants/link/0018084927946/", "View Product")</f>
        <v/>
      </c>
    </row>
    <row r="7773">
      <c r="A7773" t="inlineStr">
        <is>
          <t>0018084975565</t>
        </is>
      </c>
      <c r="B7773" t="inlineStr">
        <is>
          <t>Aveda  Botanical Kinetics All Sensitive Body Lotion 150ml</t>
        </is>
      </c>
      <c r="C7773" t="inlineStr">
        <is>
          <t>Body Lotion</t>
        </is>
      </c>
      <c r="D7773" t="inlineStr">
        <is>
          <t>Aveda</t>
        </is>
      </c>
      <c r="E7773" t="n">
        <v>33.02</v>
      </c>
      <c r="F7773" t="n">
        <v>1</v>
      </c>
      <c r="G7773" t="n">
        <v>3</v>
      </c>
      <c r="H7773" s="5">
        <f>HYPERLINK("https://api.qogita.com/variants/link/0018084975565/", "View Product")</f>
        <v/>
      </c>
    </row>
    <row r="7774">
      <c r="A7774" t="inlineStr">
        <is>
          <t>0018084977132</t>
        </is>
      </c>
      <c r="B7774" t="inlineStr">
        <is>
          <t>Aveda Pramasana Scalp Concentrate</t>
        </is>
      </c>
      <c r="C7774" t="inlineStr">
        <is>
          <t>Scalp Care</t>
        </is>
      </c>
      <c r="D7774" t="inlineStr">
        <is>
          <t>Aveda</t>
        </is>
      </c>
      <c r="E7774" t="n">
        <v>31.51</v>
      </c>
      <c r="F7774" t="n">
        <v>1</v>
      </c>
      <c r="G7774" t="n">
        <v>2</v>
      </c>
      <c r="H7774" s="5">
        <f>HYPERLINK("https://api.qogita.com/variants/link/0018084977132/", "View Product")</f>
        <v/>
      </c>
    </row>
    <row r="7775">
      <c r="A7775" t="inlineStr">
        <is>
          <t>0020714002527</t>
        </is>
      </c>
      <c r="B7775" t="inlineStr">
        <is>
          <t>Clinique Exfoliating Scrub 100/616400 100ml</t>
        </is>
      </c>
      <c r="C7775" t="inlineStr">
        <is>
          <t>Facial Scrub &amp; Peeling</t>
        </is>
      </c>
      <c r="D7775" t="inlineStr">
        <is>
          <t>Clinique</t>
        </is>
      </c>
      <c r="E7775" t="n">
        <v>19.9</v>
      </c>
      <c r="F7775" t="n">
        <v>1</v>
      </c>
      <c r="G7775" t="n">
        <v>15</v>
      </c>
      <c r="H7775" s="5">
        <f>HYPERLINK("https://api.qogita.com/variants/link/0020714002527/", "View Product")</f>
        <v/>
      </c>
    </row>
    <row r="7776">
      <c r="A7776" t="inlineStr">
        <is>
          <t>0020714007058</t>
        </is>
      </c>
      <c r="B7776" t="inlineStr">
        <is>
          <t>Clinique Anti-Perspirant Deodorant Roll-On 75ml</t>
        </is>
      </c>
      <c r="C7776" t="inlineStr">
        <is>
          <t>Deodorant &amp; Anti-Perspirant</t>
        </is>
      </c>
      <c r="D7776" t="inlineStr">
        <is>
          <t>Clinique</t>
        </is>
      </c>
      <c r="E7776" t="n">
        <v>16.31</v>
      </c>
      <c r="F7776" t="n">
        <v>1</v>
      </c>
      <c r="G7776" t="n">
        <v>23</v>
      </c>
      <c r="H7776" s="5">
        <f>HYPERLINK("https://api.qogita.com/variants/link/0020714007058/", "View Product")</f>
        <v/>
      </c>
    </row>
    <row r="7777">
      <c r="A7777" t="inlineStr">
        <is>
          <t>0020714066123</t>
        </is>
      </c>
      <c r="B7777" t="inlineStr">
        <is>
          <t>Clinique Stay Matte Sheer Powder #03 Stay Beige 7.6g</t>
        </is>
      </c>
      <c r="C7777" t="inlineStr">
        <is>
          <t>Powder</t>
        </is>
      </c>
      <c r="D7777" t="inlineStr">
        <is>
          <t>Clinique</t>
        </is>
      </c>
      <c r="E7777" t="n">
        <v>24.05</v>
      </c>
      <c r="F7777" t="n">
        <v>1</v>
      </c>
      <c r="G7777" t="n">
        <v>11</v>
      </c>
      <c r="H7777" s="5">
        <f>HYPERLINK("https://api.qogita.com/variants/link/0020714066123/", "View Product")</f>
        <v/>
      </c>
    </row>
    <row r="7778">
      <c r="A7778" t="inlineStr">
        <is>
          <t>0020714125622</t>
        </is>
      </c>
      <c r="B7778" t="inlineStr">
        <is>
          <t>Clinique Cream Shave 125ml</t>
        </is>
      </c>
      <c r="C7778" t="inlineStr">
        <is>
          <t>Shaving</t>
        </is>
      </c>
      <c r="D7778" t="inlineStr">
        <is>
          <t>Clinique</t>
        </is>
      </c>
      <c r="E7778" t="n">
        <v>14.8</v>
      </c>
      <c r="F7778" t="n">
        <v>1</v>
      </c>
      <c r="G7778" t="n">
        <v>6</v>
      </c>
      <c r="H7778" s="5">
        <f>HYPERLINK("https://api.qogita.com/variants/link/0020714125622/", "View Product")</f>
        <v/>
      </c>
    </row>
    <row r="7779">
      <c r="A7779" t="inlineStr">
        <is>
          <t>0020714132873</t>
        </is>
      </c>
      <c r="B7779" t="inlineStr">
        <is>
          <t>Naturally Gentle Eye Makeup Remover 75ml</t>
        </is>
      </c>
      <c r="C7779" t="inlineStr">
        <is>
          <t>Eye Makeup Remover</t>
        </is>
      </c>
      <c r="D7779" t="inlineStr">
        <is>
          <t>Clinique</t>
        </is>
      </c>
      <c r="E7779" t="n">
        <v>17.3</v>
      </c>
      <c r="F7779" t="n">
        <v>1</v>
      </c>
      <c r="G7779" t="n">
        <v>6</v>
      </c>
      <c r="H7779" s="5">
        <f>HYPERLINK("https://api.qogita.com/variants/link/0020714132873/", "View Product")</f>
        <v/>
      </c>
    </row>
    <row r="7780">
      <c r="A7780" t="inlineStr">
        <is>
          <t>0020714192334</t>
        </is>
      </c>
      <c r="B7780" t="inlineStr">
        <is>
          <t>Clinique High Impact Mascara Black 01 7ml</t>
        </is>
      </c>
      <c r="C7780" t="inlineStr">
        <is>
          <t>Mascara</t>
        </is>
      </c>
      <c r="D7780" t="inlineStr">
        <is>
          <t>Clinique</t>
        </is>
      </c>
      <c r="E7780" t="n">
        <v>17.75</v>
      </c>
      <c r="F7780" t="n">
        <v>1</v>
      </c>
      <c r="G7780" t="n">
        <v>131</v>
      </c>
      <c r="H7780" s="5">
        <f>HYPERLINK("https://api.qogita.com/variants/link/0020714192334/", "View Product")</f>
        <v/>
      </c>
    </row>
    <row r="7781">
      <c r="A7781" t="inlineStr">
        <is>
          <t>0020714209407</t>
        </is>
      </c>
      <c r="B7781" t="inlineStr">
        <is>
          <t>Aromatics Elixir Deodorant Roll On 75ml</t>
        </is>
      </c>
      <c r="C7781" t="inlineStr">
        <is>
          <t>Deodorant &amp; Anti-Perspirant</t>
        </is>
      </c>
      <c r="D7781" t="inlineStr">
        <is>
          <t>Clinique</t>
        </is>
      </c>
      <c r="E7781" t="n">
        <v>19.74</v>
      </c>
      <c r="F7781" t="n">
        <v>1</v>
      </c>
      <c r="G7781" t="n">
        <v>24</v>
      </c>
      <c r="H7781" s="5">
        <f>HYPERLINK("https://api.qogita.com/variants/link/0020714209407/", "View Product")</f>
        <v/>
      </c>
    </row>
    <row r="7782">
      <c r="A7782" t="inlineStr">
        <is>
          <t>0020714227685</t>
        </is>
      </c>
      <c r="B7782" t="inlineStr">
        <is>
          <t>Clinique All About Clean Liquid Facial Soap Oily Skin Formula 200ml</t>
        </is>
      </c>
      <c r="C7782" t="inlineStr">
        <is>
          <t>Facial Soap</t>
        </is>
      </c>
      <c r="D7782" t="inlineStr">
        <is>
          <t>Clinique</t>
        </is>
      </c>
      <c r="E7782" t="n">
        <v>17.1</v>
      </c>
      <c r="F7782" t="n">
        <v>1</v>
      </c>
      <c r="G7782" t="n">
        <v>6</v>
      </c>
      <c r="H7782" s="5">
        <f>HYPERLINK("https://api.qogita.com/variants/link/0020714227685/", "View Product")</f>
        <v/>
      </c>
    </row>
    <row r="7783">
      <c r="A7783" t="inlineStr">
        <is>
          <t>0020714235901</t>
        </is>
      </c>
      <c r="B7783" t="inlineStr">
        <is>
          <t>Clinique 110 Precious Posy</t>
        </is>
      </c>
      <c r="C7783" t="inlineStr">
        <is>
          <t>Blush</t>
        </is>
      </c>
      <c r="D7783" t="inlineStr">
        <is>
          <t>Clinique</t>
        </is>
      </c>
      <c r="E7783" t="n">
        <v>21.95</v>
      </c>
      <c r="F7783" t="n">
        <v>1</v>
      </c>
      <c r="G7783" t="n">
        <v>5</v>
      </c>
      <c r="H7783" s="5">
        <f>HYPERLINK("https://api.qogita.com/variants/link/0020714235901/", "View Product")</f>
        <v/>
      </c>
    </row>
    <row r="7784">
      <c r="A7784" t="inlineStr">
        <is>
          <t>0020714243746</t>
        </is>
      </c>
      <c r="B7784" t="inlineStr">
        <is>
          <t>Clinique True Bronze Pressed Powder 02 Sunkissed 9.76g</t>
        </is>
      </c>
      <c r="C7784" t="inlineStr">
        <is>
          <t>Bronzer</t>
        </is>
      </c>
      <c r="D7784" t="inlineStr">
        <is>
          <t>Clinique</t>
        </is>
      </c>
      <c r="E7784" t="n">
        <v>24.74</v>
      </c>
      <c r="F7784" t="n">
        <v>1</v>
      </c>
      <c r="G7784" t="n">
        <v>4</v>
      </c>
      <c r="H7784" s="5">
        <f>HYPERLINK("https://api.qogita.com/variants/link/0020714243746/", "View Product")</f>
        <v/>
      </c>
    </row>
    <row r="7785">
      <c r="A7785" t="inlineStr">
        <is>
          <t>0020714243753</t>
        </is>
      </c>
      <c r="B7785" t="inlineStr">
        <is>
          <t>Clinique True Bronze Pressed Powder Bronzer 03 Sunblushed 9.6g</t>
        </is>
      </c>
      <c r="C7785" t="inlineStr">
        <is>
          <t>Bronzer</t>
        </is>
      </c>
      <c r="D7785" t="inlineStr">
        <is>
          <t>Clinique</t>
        </is>
      </c>
      <c r="E7785" t="n">
        <v>23.41</v>
      </c>
      <c r="F7785" t="n">
        <v>1</v>
      </c>
      <c r="G7785" t="n">
        <v>4</v>
      </c>
      <c r="H7785" s="5">
        <f>HYPERLINK("https://api.qogita.com/variants/link/0020714243753/", "View Product")</f>
        <v/>
      </c>
    </row>
    <row r="7786">
      <c r="A7786" t="inlineStr">
        <is>
          <t>0020714287047</t>
        </is>
      </c>
      <c r="B7786" t="inlineStr">
        <is>
          <t>Clinique All About Eyes Rich 15ml</t>
        </is>
      </c>
      <c r="C7786" t="inlineStr">
        <is>
          <t>Eye Cream</t>
        </is>
      </c>
      <c r="D7786" t="inlineStr">
        <is>
          <t>Clinique</t>
        </is>
      </c>
      <c r="E7786" t="n">
        <v>24.26</v>
      </c>
      <c r="F7786" t="n">
        <v>1</v>
      </c>
      <c r="G7786" t="n">
        <v>24</v>
      </c>
      <c r="H7786" s="5">
        <f>HYPERLINK("https://api.qogita.com/variants/link/0020714287047/", "View Product")</f>
        <v/>
      </c>
    </row>
    <row r="7787">
      <c r="A7787" t="inlineStr">
        <is>
          <t>0020714288594</t>
        </is>
      </c>
      <c r="B7787" t="inlineStr">
        <is>
          <t>Clinique City Block Sheer SPF 25 Oil Free Daily Face Protector 40ml</t>
        </is>
      </c>
      <c r="C7787" t="inlineStr">
        <is>
          <t>Face Sun Protection</t>
        </is>
      </c>
      <c r="D7787" t="inlineStr">
        <is>
          <t>Clinique</t>
        </is>
      </c>
      <c r="E7787" t="n">
        <v>23.75</v>
      </c>
      <c r="F7787" t="n">
        <v>1</v>
      </c>
      <c r="G7787" t="n">
        <v>13</v>
      </c>
      <c r="H7787" s="5">
        <f>HYPERLINK("https://api.qogita.com/variants/link/0020714288594/", "View Product")</f>
        <v/>
      </c>
    </row>
    <row r="7788">
      <c r="A7788" t="inlineStr">
        <is>
          <t>0020714291839</t>
        </is>
      </c>
      <c r="B7788" t="inlineStr">
        <is>
          <t>Clinique Anti-Blemish Solutions All-Over Clearing Treatment</t>
        </is>
      </c>
      <c r="C7788" t="inlineStr">
        <is>
          <t>Hydrating Serum</t>
        </is>
      </c>
      <c r="D7788" t="inlineStr">
        <is>
          <t>Clinique</t>
        </is>
      </c>
      <c r="E7788" t="n">
        <v>20.75</v>
      </c>
      <c r="F7788" t="n">
        <v>1</v>
      </c>
      <c r="G7788" t="n">
        <v>2</v>
      </c>
      <c r="H7788" s="5">
        <f>HYPERLINK("https://api.qogita.com/variants/link/0020714291839/", "View Product")</f>
        <v/>
      </c>
    </row>
    <row r="7789">
      <c r="A7789" t="inlineStr">
        <is>
          <t>0020714297909</t>
        </is>
      </c>
      <c r="B7789" t="inlineStr">
        <is>
          <t>Clinique Soothing Cleanser Tea Tree 150ml</t>
        </is>
      </c>
      <c r="C7789" t="inlineStr">
        <is>
          <t>Cleansing Cream</t>
        </is>
      </c>
      <c r="D7789" t="inlineStr">
        <is>
          <t>Clinique</t>
        </is>
      </c>
      <c r="E7789" t="n">
        <v>19.77</v>
      </c>
      <c r="F7789" t="n">
        <v>1</v>
      </c>
      <c r="G7789" t="n">
        <v>13</v>
      </c>
      <c r="H7789" s="5">
        <f>HYPERLINK("https://api.qogita.com/variants/link/0020714297909/", "View Product")</f>
        <v/>
      </c>
    </row>
    <row r="7790">
      <c r="A7790" t="inlineStr">
        <is>
          <t>0020714324629</t>
        </is>
      </c>
      <c r="B7790" t="inlineStr">
        <is>
          <t>Clinique Even Better Liquid Foundation SPF 15 N 03/CN28 Ivory 30ml</t>
        </is>
      </c>
      <c r="C7790" t="inlineStr">
        <is>
          <t>Foundation</t>
        </is>
      </c>
      <c r="D7790" t="inlineStr">
        <is>
          <t>Clinique</t>
        </is>
      </c>
      <c r="E7790" t="n">
        <v>26.56</v>
      </c>
      <c r="F7790" t="n">
        <v>1</v>
      </c>
      <c r="G7790" t="n">
        <v>39</v>
      </c>
      <c r="H7790" s="5">
        <f>HYPERLINK("https://api.qogita.com/variants/link/0020714324629/", "View Product")</f>
        <v/>
      </c>
    </row>
    <row r="7791">
      <c r="A7791" t="inlineStr">
        <is>
          <t>0020714324636</t>
        </is>
      </c>
      <c r="B7791" t="inlineStr">
        <is>
          <t>Clinique Even Better Makeup SPF 15 CN 40 Cream Chamois 30ml</t>
        </is>
      </c>
      <c r="C7791" t="inlineStr">
        <is>
          <t>Foundation</t>
        </is>
      </c>
      <c r="D7791" t="inlineStr">
        <is>
          <t>Clinique</t>
        </is>
      </c>
      <c r="E7791" t="n">
        <v>24.56</v>
      </c>
      <c r="F7791" t="n">
        <v>1</v>
      </c>
      <c r="G7791" t="n">
        <v>6</v>
      </c>
      <c r="H7791" s="5">
        <f>HYPERLINK("https://api.qogita.com/variants/link/0020714324636/", "View Product")</f>
        <v/>
      </c>
    </row>
    <row r="7792">
      <c r="A7792" t="inlineStr">
        <is>
          <t>0020714376109</t>
        </is>
      </c>
      <c r="B7792" t="inlineStr">
        <is>
          <t>Clinique Deep Comfort Body Wash 200ml</t>
        </is>
      </c>
      <c r="C7792" t="inlineStr">
        <is>
          <t>Shower Gel</t>
        </is>
      </c>
      <c r="D7792" t="inlineStr">
        <is>
          <t>Clinique</t>
        </is>
      </c>
      <c r="E7792" t="n">
        <v>19.04</v>
      </c>
      <c r="F7792" t="n">
        <v>1</v>
      </c>
      <c r="G7792" t="n">
        <v>3</v>
      </c>
      <c r="H7792" s="5">
        <f>HYPERLINK("https://api.qogita.com/variants/link/0020714376109/", "View Product")</f>
        <v/>
      </c>
    </row>
    <row r="7793">
      <c r="A7793" t="inlineStr">
        <is>
          <t>0020714382742</t>
        </is>
      </c>
      <c r="B7793" t="inlineStr">
        <is>
          <t>Clinique For Men Anti-Age Eye Cream 15ml 65g</t>
        </is>
      </c>
      <c r="C7793" t="inlineStr">
        <is>
          <t>Eye Cream</t>
        </is>
      </c>
      <c r="D7793" t="inlineStr">
        <is>
          <t>Clinique</t>
        </is>
      </c>
      <c r="E7793" t="n">
        <v>25.96</v>
      </c>
      <c r="F7793" t="n">
        <v>1</v>
      </c>
      <c r="G7793" t="n">
        <v>3</v>
      </c>
      <c r="H7793" s="5">
        <f>HYPERLINK("https://api.qogita.com/variants/link/0020714382742/", "View Product")</f>
        <v/>
      </c>
    </row>
    <row r="7794">
      <c r="A7794" t="inlineStr">
        <is>
          <t>0020714389109</t>
        </is>
      </c>
      <c r="B7794" t="inlineStr">
        <is>
          <t>Clinique Deep Comfort Hand and Cuticle Cream 75ml</t>
        </is>
      </c>
      <c r="C7794" t="inlineStr">
        <is>
          <t>Hand Cream</t>
        </is>
      </c>
      <c r="D7794" t="inlineStr">
        <is>
          <t>Clinique</t>
        </is>
      </c>
      <c r="E7794" t="n">
        <v>17.9</v>
      </c>
      <c r="F7794" t="n">
        <v>1</v>
      </c>
      <c r="G7794" t="n">
        <v>5</v>
      </c>
      <c r="H7794" s="5">
        <f>HYPERLINK("https://api.qogita.com/variants/link/0020714389109/", "View Product")</f>
        <v/>
      </c>
    </row>
    <row r="7795">
      <c r="A7795" t="inlineStr">
        <is>
          <t>0020714426774</t>
        </is>
      </c>
      <c r="B7795" t="inlineStr">
        <is>
          <t>Clinique De-Puffing Eye Massage Serum 15ml</t>
        </is>
      </c>
      <c r="C7795" t="inlineStr">
        <is>
          <t>Eye Serum</t>
        </is>
      </c>
      <c r="D7795" t="inlineStr">
        <is>
          <t>Clinique</t>
        </is>
      </c>
      <c r="E7795" t="n">
        <v>24.89</v>
      </c>
      <c r="F7795" t="n">
        <v>1</v>
      </c>
      <c r="G7795" t="n">
        <v>9</v>
      </c>
      <c r="H7795" s="5">
        <f>HYPERLINK("https://api.qogita.com/variants/link/0020714426774/", "View Product")</f>
        <v/>
      </c>
    </row>
    <row r="7796">
      <c r="A7796" t="inlineStr">
        <is>
          <t>0020714445355</t>
        </is>
      </c>
      <c r="B7796" t="inlineStr">
        <is>
          <t>Clinique Chubby Stick Moisturizing Lip Color Balm - Woppin Watermelon 3g</t>
        </is>
      </c>
      <c r="C7796" t="inlineStr">
        <is>
          <t>Lip Balm</t>
        </is>
      </c>
      <c r="D7796" t="inlineStr">
        <is>
          <t>Clinique</t>
        </is>
      </c>
      <c r="E7796" t="n">
        <v>14.46</v>
      </c>
      <c r="F7796" t="n">
        <v>1</v>
      </c>
      <c r="G7796" t="n">
        <v>3</v>
      </c>
      <c r="H7796" s="5">
        <f>HYPERLINK("https://api.qogita.com/variants/link/0020714445355/", "View Product")</f>
        <v/>
      </c>
    </row>
    <row r="7797">
      <c r="A7797" t="inlineStr">
        <is>
          <t>0020714462741</t>
        </is>
      </c>
      <c r="B7797" t="inlineStr">
        <is>
          <t>Clinique Clarifying Lotion 4 for Oily to Very Oily Skin</t>
        </is>
      </c>
      <c r="C7797" t="inlineStr">
        <is>
          <t>Oily Skin</t>
        </is>
      </c>
      <c r="D7797" t="inlineStr">
        <is>
          <t>Clinique</t>
        </is>
      </c>
      <c r="E7797" t="n">
        <v>24.3</v>
      </c>
      <c r="F7797" t="n">
        <v>1</v>
      </c>
      <c r="G7797" t="n">
        <v>2</v>
      </c>
      <c r="H7797" s="5">
        <f>HYPERLINK("https://api.qogita.com/variants/link/0020714462741/", "View Product")</f>
        <v/>
      </c>
    </row>
    <row r="7798">
      <c r="A7798" t="inlineStr">
        <is>
          <t>0020714462765</t>
        </is>
      </c>
      <c r="B7798" t="inlineStr">
        <is>
          <t>Clinique Clarifying Lotion No.2</t>
        </is>
      </c>
      <c r="C7798" t="inlineStr">
        <is>
          <t>Face Lotion</t>
        </is>
      </c>
      <c r="D7798" t="inlineStr">
        <is>
          <t>Clinique</t>
        </is>
      </c>
      <c r="E7798" t="n">
        <v>15.56</v>
      </c>
      <c r="F7798" t="n">
        <v>1</v>
      </c>
      <c r="G7798" t="n">
        <v>5</v>
      </c>
      <c r="H7798" s="5">
        <f>HYPERLINK("https://api.qogita.com/variants/link/0020714462765/", "View Product")</f>
        <v/>
      </c>
    </row>
    <row r="7799">
      <c r="A7799" t="inlineStr">
        <is>
          <t>0020714540227</t>
        </is>
      </c>
      <c r="B7799" t="inlineStr">
        <is>
          <t>Clinique Dark Circles Treatment 10ml</t>
        </is>
      </c>
      <c r="C7799" t="inlineStr">
        <is>
          <t>Eye Cream</t>
        </is>
      </c>
      <c r="D7799" t="inlineStr">
        <is>
          <t>Clinique</t>
        </is>
      </c>
      <c r="E7799" t="n">
        <v>29.35</v>
      </c>
      <c r="F7799" t="n">
        <v>1</v>
      </c>
      <c r="G7799" t="n">
        <v>3</v>
      </c>
      <c r="H7799" s="5">
        <f>HYPERLINK("https://api.qogita.com/variants/link/0020714540227/", "View Product")</f>
        <v/>
      </c>
    </row>
    <row r="7800">
      <c r="A7800" t="inlineStr">
        <is>
          <t>0020714552534</t>
        </is>
      </c>
      <c r="B7800" t="inlineStr">
        <is>
          <t>Clinique Shade 14 Vanilla Flavor 1</t>
        </is>
      </c>
      <c r="C7800" t="inlineStr">
        <is>
          <t>Lip Balm</t>
        </is>
      </c>
      <c r="D7800" t="inlineStr">
        <is>
          <t>Clinique</t>
        </is>
      </c>
      <c r="E7800" t="n">
        <v>23.5</v>
      </c>
      <c r="F7800" t="n">
        <v>1</v>
      </c>
      <c r="G7800" t="n">
        <v>8</v>
      </c>
      <c r="H7800" s="5">
        <f>HYPERLINK("https://api.qogita.com/variants/link/0020714552534/", "View Product")</f>
        <v/>
      </c>
    </row>
    <row r="7801">
      <c r="A7801" t="inlineStr">
        <is>
          <t>0020714561468</t>
        </is>
      </c>
      <c r="B7801" t="inlineStr">
        <is>
          <t>Clinique 01 Extreme Black Mascara 10ml</t>
        </is>
      </c>
      <c r="C7801" t="inlineStr">
        <is>
          <t>Mascara</t>
        </is>
      </c>
      <c r="D7801" t="inlineStr">
        <is>
          <t>Clinique</t>
        </is>
      </c>
      <c r="E7801" t="n">
        <v>19.2</v>
      </c>
      <c r="F7801" t="n">
        <v>1</v>
      </c>
      <c r="G7801" t="n">
        <v>51</v>
      </c>
      <c r="H7801" s="5">
        <f>HYPERLINK("https://api.qogita.com/variants/link/0020714561468/", "View Product")</f>
        <v/>
      </c>
    </row>
    <row r="7802">
      <c r="A7802" t="inlineStr">
        <is>
          <t>0020714587635</t>
        </is>
      </c>
      <c r="B7802" t="inlineStr">
        <is>
          <t>Clinique BB Cream 03 Medium Dark 40ml</t>
        </is>
      </c>
      <c r="C7802" t="inlineStr">
        <is>
          <t>Tinted Day Cream</t>
        </is>
      </c>
      <c r="D7802" t="inlineStr">
        <is>
          <t>Clinique</t>
        </is>
      </c>
      <c r="E7802" t="n">
        <v>23</v>
      </c>
      <c r="F7802" t="n">
        <v>1</v>
      </c>
      <c r="G7802" t="n">
        <v>7</v>
      </c>
      <c r="H7802" s="5">
        <f>HYPERLINK("https://api.qogita.com/variants/link/0020714587635/", "View Product")</f>
        <v/>
      </c>
    </row>
    <row r="7803">
      <c r="A7803" t="inlineStr">
        <is>
          <t>0020714598907</t>
        </is>
      </c>
      <c r="B7803" t="inlineStr">
        <is>
          <t>Clinique 3-Phase System Dramatically Different Moisturizing Lotion</t>
        </is>
      </c>
      <c r="C7803" t="inlineStr">
        <is>
          <t>Face Cream</t>
        </is>
      </c>
      <c r="D7803" t="inlineStr">
        <is>
          <t>Clinique</t>
        </is>
      </c>
      <c r="E7803" t="n">
        <v>26.9</v>
      </c>
      <c r="F7803" t="n">
        <v>1</v>
      </c>
      <c r="G7803" t="n">
        <v>5</v>
      </c>
      <c r="H7803" s="5">
        <f>HYPERLINK("https://api.qogita.com/variants/link/0020714598907/", "View Product")</f>
        <v/>
      </c>
    </row>
    <row r="7804">
      <c r="A7804" t="inlineStr">
        <is>
          <t>0020714636289</t>
        </is>
      </c>
      <c r="B7804" t="inlineStr">
        <is>
          <t>Clinique Dramatically Different Moisturizing Lotion Very Dry/Dry Skin Duo Pack 125ml - Pack of 2</t>
        </is>
      </c>
      <c r="C7804" t="inlineStr">
        <is>
          <t>Face Cream</t>
        </is>
      </c>
      <c r="D7804" t="inlineStr">
        <is>
          <t>Clinique</t>
        </is>
      </c>
      <c r="E7804" t="n">
        <v>67.97</v>
      </c>
      <c r="F7804" t="n">
        <v>1</v>
      </c>
      <c r="G7804" t="n">
        <v>17</v>
      </c>
      <c r="H7804" s="5">
        <f>HYPERLINK("https://api.qogita.com/variants/link/0020714636289/", "View Product")</f>
        <v/>
      </c>
    </row>
    <row r="7805">
      <c r="A7805" t="inlineStr">
        <is>
          <t>0020714711740</t>
        </is>
      </c>
      <c r="B7805" t="inlineStr">
        <is>
          <t>Aromatics In White Eau de Parfum Vaporizer 100ml</t>
        </is>
      </c>
      <c r="C7805" t="inlineStr">
        <is>
          <t>Eau De Parfum</t>
        </is>
      </c>
      <c r="D7805" t="inlineStr">
        <is>
          <t>Clinique</t>
        </is>
      </c>
      <c r="E7805" t="n">
        <v>50.25</v>
      </c>
      <c r="F7805" t="n">
        <v>1</v>
      </c>
      <c r="G7805" t="n">
        <v>28</v>
      </c>
      <c r="H7805" s="5">
        <f>HYPERLINK("https://api.qogita.com/variants/link/0020714711740/", "View Product")</f>
        <v/>
      </c>
    </row>
    <row r="7806">
      <c r="A7806" t="inlineStr">
        <is>
          <t>0020714711856</t>
        </is>
      </c>
      <c r="B7806" t="inlineStr">
        <is>
          <t>Clinique Beyond Perfecting Foundation and Concealer 30ml</t>
        </is>
      </c>
      <c r="C7806" t="inlineStr">
        <is>
          <t>Foundation</t>
        </is>
      </c>
      <c r="D7806" t="inlineStr">
        <is>
          <t>Clinique</t>
        </is>
      </c>
      <c r="E7806" t="n">
        <v>30.86</v>
      </c>
      <c r="F7806" t="n">
        <v>1</v>
      </c>
      <c r="G7806" t="n">
        <v>2</v>
      </c>
      <c r="H7806" s="5">
        <f>HYPERLINK("https://api.qogita.com/variants/link/0020714711856/", "View Product")</f>
        <v/>
      </c>
    </row>
    <row r="7807">
      <c r="A7807" t="inlineStr">
        <is>
          <t>0020714712945</t>
        </is>
      </c>
      <c r="B7807" t="inlineStr">
        <is>
          <t>Clinique Beyond Perfecting Foundation And Concealer 06 Buttermilk 30ml</t>
        </is>
      </c>
      <c r="C7807" t="inlineStr">
        <is>
          <t>Foundation</t>
        </is>
      </c>
      <c r="D7807" t="inlineStr">
        <is>
          <t>Clinique</t>
        </is>
      </c>
      <c r="E7807" t="n">
        <v>26.29</v>
      </c>
      <c r="F7807" t="n">
        <v>1</v>
      </c>
      <c r="G7807" t="n">
        <v>6</v>
      </c>
      <c r="H7807" s="5">
        <f>HYPERLINK("https://api.qogita.com/variants/link/0020714712945/", "View Product")</f>
        <v/>
      </c>
    </row>
    <row r="7808">
      <c r="A7808" t="inlineStr">
        <is>
          <t>0020714716707</t>
        </is>
      </c>
      <c r="B7808" t="inlineStr">
        <is>
          <t>Clinique Chubby Stick Sculpting Highlight Hefty Highlight 0.21oz 6g</t>
        </is>
      </c>
      <c r="C7808" t="inlineStr">
        <is>
          <t>Highlighter</t>
        </is>
      </c>
      <c r="D7808" t="inlineStr">
        <is>
          <t>Clinique</t>
        </is>
      </c>
      <c r="E7808" t="n">
        <v>20.3</v>
      </c>
      <c r="F7808" t="n">
        <v>1</v>
      </c>
      <c r="G7808" t="n">
        <v>4</v>
      </c>
      <c r="H7808" s="5">
        <f>HYPERLINK("https://api.qogita.com/variants/link/0020714716707/", "View Product")</f>
        <v/>
      </c>
    </row>
    <row r="7809">
      <c r="A7809" t="inlineStr">
        <is>
          <t>0020714759810</t>
        </is>
      </c>
      <c r="B7809" t="inlineStr">
        <is>
          <t>Clinique Anti-Blemish Solutions Line Correcting Serum 30ml</t>
        </is>
      </c>
      <c r="C7809" t="inlineStr">
        <is>
          <t>Anti-Aging Serum</t>
        </is>
      </c>
      <c r="D7809" t="inlineStr">
        <is>
          <t>Clinique</t>
        </is>
      </c>
      <c r="E7809" t="n">
        <v>38.05</v>
      </c>
      <c r="F7809" t="n">
        <v>1</v>
      </c>
      <c r="G7809" t="n">
        <v>3</v>
      </c>
      <c r="H7809" s="5">
        <f>HYPERLINK("https://api.qogita.com/variants/link/0020714759810/", "View Product")</f>
        <v/>
      </c>
    </row>
    <row r="7810">
      <c r="A7810" t="inlineStr">
        <is>
          <t>0020714858735</t>
        </is>
      </c>
      <c r="B7810" t="inlineStr">
        <is>
          <t>Clinique Superdefense Gel SPF 40 - Anti-Fatigue &amp; First Signs of Aging</t>
        </is>
      </c>
      <c r="C7810" t="inlineStr">
        <is>
          <t>Face Sun Protection</t>
        </is>
      </c>
      <c r="D7810" t="inlineStr">
        <is>
          <t>Clinique</t>
        </is>
      </c>
      <c r="E7810" t="n">
        <v>36.7</v>
      </c>
      <c r="F7810" t="n">
        <v>1</v>
      </c>
      <c r="G7810" t="n">
        <v>81</v>
      </c>
      <c r="H7810" s="5">
        <f>HYPERLINK("https://api.qogita.com/variants/link/0020714858735/", "View Product")</f>
        <v/>
      </c>
    </row>
    <row r="7811">
      <c r="A7811" t="inlineStr">
        <is>
          <t>0020714904111</t>
        </is>
      </c>
      <c r="B7811" t="inlineStr">
        <is>
          <t>Clinique Superdefense SPF 25 Skin Type 1&amp;2 Face Cream 50ml</t>
        </is>
      </c>
      <c r="C7811" t="inlineStr">
        <is>
          <t>Day Cream</t>
        </is>
      </c>
      <c r="D7811" t="inlineStr">
        <is>
          <t>Clinique</t>
        </is>
      </c>
      <c r="E7811" t="n">
        <v>41.11</v>
      </c>
      <c r="F7811" t="n">
        <v>1</v>
      </c>
      <c r="G7811" t="n">
        <v>7</v>
      </c>
      <c r="H7811" s="5">
        <f>HYPERLINK("https://api.qogita.com/variants/link/0020714904111/", "View Product")</f>
        <v/>
      </c>
    </row>
    <row r="7812">
      <c r="A7812" t="inlineStr">
        <is>
          <t>0020714904401</t>
        </is>
      </c>
      <c r="B7812" t="inlineStr">
        <is>
          <t>Clinique Superdefense SPF 25 Face Cream for Skin Types 1 &amp; 2 30ml</t>
        </is>
      </c>
      <c r="C7812" t="inlineStr">
        <is>
          <t>Day Cream</t>
        </is>
      </c>
      <c r="D7812" t="inlineStr">
        <is>
          <t>Clinique</t>
        </is>
      </c>
      <c r="E7812" t="n">
        <v>25.28</v>
      </c>
      <c r="F7812" t="n">
        <v>1</v>
      </c>
      <c r="G7812" t="n">
        <v>10</v>
      </c>
      <c r="H7812" s="5">
        <f>HYPERLINK("https://api.qogita.com/variants/link/0020714904401/", "View Product")</f>
        <v/>
      </c>
    </row>
    <row r="7813">
      <c r="A7813" t="inlineStr">
        <is>
          <t>0020714977085</t>
        </is>
      </c>
      <c r="B7813" t="inlineStr">
        <is>
          <t>Clinique WN 48 OAT</t>
        </is>
      </c>
      <c r="C7813" t="inlineStr">
        <is>
          <t>Face Cream</t>
        </is>
      </c>
      <c r="D7813" t="inlineStr">
        <is>
          <t>Clinique</t>
        </is>
      </c>
      <c r="E7813" t="n">
        <v>28.27</v>
      </c>
      <c r="F7813" t="n">
        <v>1</v>
      </c>
      <c r="G7813" t="n">
        <v>3</v>
      </c>
      <c r="H7813" s="5">
        <f>HYPERLINK("https://api.qogita.com/variants/link/0020714977085/", "View Product")</f>
        <v/>
      </c>
    </row>
    <row r="7814">
      <c r="A7814" t="inlineStr">
        <is>
          <t>0022548289655</t>
        </is>
      </c>
      <c r="B7814" t="inlineStr">
        <is>
          <t>Michael Kors Sexy Amber Eau De Parfum Spray 3.4oz/100ml</t>
        </is>
      </c>
      <c r="C7814" t="inlineStr">
        <is>
          <t>Eau De Parfum</t>
        </is>
      </c>
      <c r="D7814" t="inlineStr">
        <is>
          <t>Michael Kors</t>
        </is>
      </c>
      <c r="E7814" t="n">
        <v>29.29</v>
      </c>
      <c r="F7814" t="n">
        <v>1</v>
      </c>
      <c r="G7814" t="n">
        <v>27</v>
      </c>
      <c r="H7814" s="5">
        <f>HYPERLINK("https://api.qogita.com/variants/link/0022548289655/", "View Product")</f>
        <v/>
      </c>
    </row>
    <row r="7815">
      <c r="A7815" t="inlineStr">
        <is>
          <t>0022548420003</t>
        </is>
      </c>
      <c r="B7815" t="inlineStr">
        <is>
          <t>Gorgeous! By Michael Kors Eau De Parfum Spray 50ml</t>
        </is>
      </c>
      <c r="C7815" t="inlineStr">
        <is>
          <t>Eau De Parfum</t>
        </is>
      </c>
      <c r="D7815" t="inlineStr">
        <is>
          <t>Michael Kors</t>
        </is>
      </c>
      <c r="E7815" t="n">
        <v>27.86</v>
      </c>
      <c r="F7815" t="n">
        <v>1</v>
      </c>
      <c r="G7815" t="n">
        <v>31</v>
      </c>
      <c r="H7815" s="5">
        <f>HYPERLINK("https://api.qogita.com/variants/link/0022548420003/", "View Product")</f>
        <v/>
      </c>
    </row>
    <row r="7816">
      <c r="A7816" t="inlineStr">
        <is>
          <t>0022548423073</t>
        </is>
      </c>
      <c r="B7816" t="inlineStr">
        <is>
          <t>Donna Karan Be Delicious Eau De Parfum for Women 50ml Spray</t>
        </is>
      </c>
      <c r="C7816" t="inlineStr">
        <is>
          <t>Eau De Parfum</t>
        </is>
      </c>
      <c r="D7816" t="inlineStr">
        <is>
          <t>Donna Karan</t>
        </is>
      </c>
      <c r="E7816" t="n">
        <v>15.83</v>
      </c>
      <c r="F7816" t="n">
        <v>1</v>
      </c>
      <c r="G7816" t="n">
        <v>59</v>
      </c>
      <c r="H7816" s="5">
        <f>HYPERLINK("https://api.qogita.com/variants/link/0022548423073/", "View Product")</f>
        <v/>
      </c>
    </row>
    <row r="7817">
      <c r="A7817" t="inlineStr">
        <is>
          <t>0022548426616</t>
        </is>
      </c>
      <c r="B7817" t="inlineStr">
        <is>
          <t>Michael Kors Extreme Journey Men 3.4 Oz EDT Spray</t>
        </is>
      </c>
      <c r="C7817" t="inlineStr">
        <is>
          <t>Eau De Toilette</t>
        </is>
      </c>
      <c r="D7817" t="inlineStr">
        <is>
          <t>Michael Kors</t>
        </is>
      </c>
      <c r="E7817" t="n">
        <v>42.54</v>
      </c>
      <c r="F7817" t="n">
        <v>1</v>
      </c>
      <c r="G7817" t="n">
        <v>6</v>
      </c>
      <c r="H7817" s="5">
        <f>HYPERLINK("https://api.qogita.com/variants/link/0022548426616/", "View Product")</f>
        <v/>
      </c>
    </row>
    <row r="7818">
      <c r="A7818" t="inlineStr">
        <is>
          <t>0022548435670</t>
        </is>
      </c>
      <c r="B7818" t="inlineStr">
        <is>
          <t>Tommy Hilfiger Impact Spark Eau de Toilette Spray 50ml</t>
        </is>
      </c>
      <c r="C7818" t="inlineStr">
        <is>
          <t>Eau De Toilette</t>
        </is>
      </c>
      <c r="D7818" t="inlineStr">
        <is>
          <t>Tommy Hilfiger</t>
        </is>
      </c>
      <c r="E7818" t="n">
        <v>35.6</v>
      </c>
      <c r="F7818" t="n">
        <v>1</v>
      </c>
      <c r="G7818" t="n">
        <v>3</v>
      </c>
      <c r="H7818" s="5">
        <f>HYPERLINK("https://api.qogita.com/variants/link/0022548435670/", "View Product")</f>
        <v/>
      </c>
    </row>
    <row r="7819">
      <c r="A7819" t="inlineStr">
        <is>
          <t>0025929209419</t>
        </is>
      </c>
      <c r="B7819" t="inlineStr">
        <is>
          <t>Colour Me Dark Red Perfume for Men and Women 50ml Eau de Parfum Luxury Fragrance</t>
        </is>
      </c>
      <c r="C7819" t="inlineStr">
        <is>
          <t>Eau De Parfum</t>
        </is>
      </c>
      <c r="D7819" t="inlineStr">
        <is>
          <t>Colour Me</t>
        </is>
      </c>
      <c r="E7819" t="n">
        <v>6.61</v>
      </c>
      <c r="F7819" t="n">
        <v>1</v>
      </c>
      <c r="G7819" t="n">
        <v>2</v>
      </c>
      <c r="H7819" s="5">
        <f>HYPERLINK("https://api.qogita.com/variants/link/0025929209419/", "View Product")</f>
        <v/>
      </c>
    </row>
    <row r="7820">
      <c r="A7820" t="inlineStr">
        <is>
          <t>0027131008941</t>
        </is>
      </c>
      <c r="B7820" t="inlineStr">
        <is>
          <t>Estee Lauder Lau For Men Eau de Cologne Spray 100ml</t>
        </is>
      </c>
      <c r="C7820" t="inlineStr">
        <is>
          <t>Eau De Cologne</t>
        </is>
      </c>
      <c r="D7820" t="inlineStr">
        <is>
          <t>Estée Lauder</t>
        </is>
      </c>
      <c r="E7820" t="n">
        <v>48.91</v>
      </c>
      <c r="F7820" t="n">
        <v>1</v>
      </c>
      <c r="G7820" t="n">
        <v>2</v>
      </c>
      <c r="H7820" s="5">
        <f>HYPERLINK("https://api.qogita.com/variants/link/0027131008941/", "View Product")</f>
        <v/>
      </c>
    </row>
    <row r="7821">
      <c r="A7821" t="inlineStr">
        <is>
          <t>0027131009306</t>
        </is>
      </c>
      <c r="B7821" t="inlineStr">
        <is>
          <t>Estee Lauder Gentle Eye Makeup Remover for All Skin Types 3.4oz</t>
        </is>
      </c>
      <c r="C7821" t="inlineStr">
        <is>
          <t>Makeup Remover</t>
        </is>
      </c>
      <c r="D7821" t="inlineStr">
        <is>
          <t>Estée Lauder</t>
        </is>
      </c>
      <c r="E7821" t="n">
        <v>20.62</v>
      </c>
      <c r="F7821" t="n">
        <v>1</v>
      </c>
      <c r="G7821" t="n">
        <v>4</v>
      </c>
      <c r="H7821" s="5">
        <f>HYPERLINK("https://api.qogita.com/variants/link/0027131009306/", "View Product")</f>
        <v/>
      </c>
    </row>
    <row r="7822">
      <c r="A7822" t="inlineStr">
        <is>
          <t>0027131017752</t>
        </is>
      </c>
      <c r="B7822" t="inlineStr">
        <is>
          <t>Estée Lauder Women's Eau de Parfum Spray 67ml</t>
        </is>
      </c>
      <c r="C7822" t="inlineStr">
        <is>
          <t>Eau De Parfum</t>
        </is>
      </c>
      <c r="D7822" t="inlineStr">
        <is>
          <t>Estée Lauder</t>
        </is>
      </c>
      <c r="E7822" t="n">
        <v>17.08</v>
      </c>
      <c r="F7822" t="n">
        <v>1</v>
      </c>
      <c r="G7822" t="n">
        <v>142</v>
      </c>
      <c r="H7822" s="5">
        <f>HYPERLINK("https://api.qogita.com/variants/link/0027131017752/", "View Product")</f>
        <v/>
      </c>
    </row>
    <row r="7823">
      <c r="A7823" t="inlineStr">
        <is>
          <t>0027131019817</t>
        </is>
      </c>
      <c r="B7823" t="inlineStr">
        <is>
          <t>Estee Lauder Private Collection Eau de Parfum Spray 1.7oz 50ml</t>
        </is>
      </c>
      <c r="C7823" t="inlineStr">
        <is>
          <t>Eau De Parfum</t>
        </is>
      </c>
      <c r="D7823" t="inlineStr">
        <is>
          <t>Estée Lauder</t>
        </is>
      </c>
      <c r="E7823" t="n">
        <v>33.38</v>
      </c>
      <c r="F7823" t="n">
        <v>1</v>
      </c>
      <c r="G7823" t="n">
        <v>14</v>
      </c>
      <c r="H7823" s="5">
        <f>HYPERLINK("https://api.qogita.com/variants/link/0027131019817/", "View Product")</f>
        <v/>
      </c>
    </row>
    <row r="7824">
      <c r="A7824" t="inlineStr">
        <is>
          <t>0027131086871</t>
        </is>
      </c>
      <c r="B7824" t="inlineStr">
        <is>
          <t>Estee Lauder Beautiful Eau de Parfum Spray 75ml for Women</t>
        </is>
      </c>
      <c r="C7824" t="inlineStr">
        <is>
          <t>Eau De Parfum</t>
        </is>
      </c>
      <c r="D7824" t="inlineStr">
        <is>
          <t>Estée Lauder</t>
        </is>
      </c>
      <c r="E7824" t="n">
        <v>33.36</v>
      </c>
      <c r="F7824" t="n">
        <v>1</v>
      </c>
      <c r="G7824" t="n">
        <v>2</v>
      </c>
      <c r="H7824" s="5">
        <f>HYPERLINK("https://api.qogita.com/variants/link/0027131086871/", "View Product")</f>
        <v/>
      </c>
    </row>
    <row r="7825">
      <c r="A7825" t="inlineStr">
        <is>
          <t>0027131187059</t>
        </is>
      </c>
      <c r="B7825" t="inlineStr">
        <is>
          <t>Estée Lauder Double Wear Stay in Place Makeup SPF 10 4C1 Outdoor Beige 03 30ml</t>
        </is>
      </c>
      <c r="C7825" t="inlineStr">
        <is>
          <t>Foundation</t>
        </is>
      </c>
      <c r="D7825" t="inlineStr">
        <is>
          <t>Estée Lauder</t>
        </is>
      </c>
      <c r="E7825" t="n">
        <v>30.55</v>
      </c>
      <c r="F7825" t="n">
        <v>1</v>
      </c>
      <c r="G7825" t="n">
        <v>12</v>
      </c>
      <c r="H7825" s="5">
        <f>HYPERLINK("https://api.qogita.com/variants/link/0027131187059/", "View Product")</f>
        <v/>
      </c>
    </row>
    <row r="7826">
      <c r="A7826" t="inlineStr">
        <is>
          <t>0027131187073</t>
        </is>
      </c>
      <c r="B7826" t="inlineStr">
        <is>
          <t>Estée Lauder Double Wear Stay-In-Place Makeup 4N1 Shell Beige 30ml</t>
        </is>
      </c>
      <c r="C7826" t="inlineStr">
        <is>
          <t>Foundation</t>
        </is>
      </c>
      <c r="D7826" t="inlineStr">
        <is>
          <t>Estée Lauder</t>
        </is>
      </c>
      <c r="E7826" t="n">
        <v>30.32</v>
      </c>
      <c r="F7826" t="n">
        <v>1</v>
      </c>
      <c r="G7826" t="n">
        <v>58</v>
      </c>
      <c r="H7826" s="5">
        <f>HYPERLINK("https://api.qogita.com/variants/link/0027131187073/", "View Product")</f>
        <v/>
      </c>
    </row>
    <row r="7827">
      <c r="A7827" t="inlineStr">
        <is>
          <t>0027131208709</t>
        </is>
      </c>
      <c r="B7827" t="inlineStr">
        <is>
          <t>Estee Lauder Re-Nutritive Soft Lotion 250ml</t>
        </is>
      </c>
      <c r="C7827" t="inlineStr">
        <is>
          <t>Body Lotion</t>
        </is>
      </c>
      <c r="D7827" t="inlineStr">
        <is>
          <t>Estée Lauder</t>
        </is>
      </c>
      <c r="E7827" t="n">
        <v>60.43</v>
      </c>
      <c r="F7827" t="n">
        <v>1</v>
      </c>
      <c r="G7827" t="n">
        <v>5</v>
      </c>
      <c r="H7827" s="5">
        <f>HYPERLINK("https://api.qogita.com/variants/link/0027131208709/", "View Product")</f>
        <v/>
      </c>
    </row>
    <row r="7828">
      <c r="A7828" t="inlineStr">
        <is>
          <t>0027131261612</t>
        </is>
      </c>
      <c r="B7828" t="inlineStr">
        <is>
          <t>Modern Muse Eau de Parfum Spray 50ml</t>
        </is>
      </c>
      <c r="C7828" t="inlineStr">
        <is>
          <t>Eau De Parfum</t>
        </is>
      </c>
      <c r="D7828" t="inlineStr">
        <is>
          <t>Estée Lauder</t>
        </is>
      </c>
      <c r="E7828" t="n">
        <v>29.16</v>
      </c>
      <c r="F7828" t="n">
        <v>1</v>
      </c>
      <c r="G7828" t="n">
        <v>41</v>
      </c>
      <c r="H7828" s="5">
        <f>HYPERLINK("https://api.qogita.com/variants/link/0027131261612/", "View Product")</f>
        <v/>
      </c>
    </row>
    <row r="7829">
      <c r="A7829" t="inlineStr">
        <is>
          <t>0027131261629</t>
        </is>
      </c>
      <c r="B7829" t="inlineStr">
        <is>
          <t>Estee Lauder Modern Muse Eau De Parfum Spray 100ml</t>
        </is>
      </c>
      <c r="C7829" t="inlineStr">
        <is>
          <t>Eau De Parfum</t>
        </is>
      </c>
      <c r="D7829" t="inlineStr">
        <is>
          <t>Estée Lauder</t>
        </is>
      </c>
      <c r="E7829" t="n">
        <v>69.05</v>
      </c>
      <c r="F7829" t="n">
        <v>1</v>
      </c>
      <c r="G7829" t="n">
        <v>4</v>
      </c>
      <c r="H7829" s="5">
        <f>HYPERLINK("https://api.qogita.com/variants/link/0027131261629/", "View Product")</f>
        <v/>
      </c>
    </row>
    <row r="7830">
      <c r="A7830" t="inlineStr">
        <is>
          <t>0027131392385</t>
        </is>
      </c>
      <c r="B7830" t="inlineStr">
        <is>
          <t>Estée Lauder Double Wear Stay In Place Makeup 3W1 Tawny 30ml</t>
        </is>
      </c>
      <c r="C7830" t="inlineStr">
        <is>
          <t>Foundation</t>
        </is>
      </c>
      <c r="D7830" t="inlineStr">
        <is>
          <t>Estée Lauder</t>
        </is>
      </c>
      <c r="E7830" t="n">
        <v>30.55</v>
      </c>
      <c r="F7830" t="n">
        <v>1</v>
      </c>
      <c r="G7830" t="n">
        <v>12</v>
      </c>
      <c r="H7830" s="5">
        <f>HYPERLINK("https://api.qogita.com/variants/link/0027131392385/", "View Product")</f>
        <v/>
      </c>
    </row>
    <row r="7831">
      <c r="A7831" t="inlineStr">
        <is>
          <t>0027131495284</t>
        </is>
      </c>
      <c r="B7831" t="inlineStr">
        <is>
          <t>Estee Lauder Double Wear Mascara Color 01 Black 6ml</t>
        </is>
      </c>
      <c r="C7831" t="inlineStr">
        <is>
          <t>Mascara</t>
        </is>
      </c>
      <c r="D7831" t="inlineStr">
        <is>
          <t>Estée Lauder</t>
        </is>
      </c>
      <c r="E7831" t="n">
        <v>21.95</v>
      </c>
      <c r="F7831" t="n">
        <v>1</v>
      </c>
      <c r="G7831" t="n">
        <v>20</v>
      </c>
      <c r="H7831" s="5">
        <f>HYPERLINK("https://api.qogita.com/variants/link/0027131495284/", "View Product")</f>
        <v/>
      </c>
    </row>
    <row r="7832">
      <c r="A7832" t="inlineStr">
        <is>
          <t>0027131595045</t>
        </is>
      </c>
      <c r="B7832" t="inlineStr">
        <is>
          <t>Sensuous Estee Lauder 1.7 oz EDP Spray for Women</t>
        </is>
      </c>
      <c r="C7832" t="inlineStr">
        <is>
          <t>Eau De Parfum</t>
        </is>
      </c>
      <c r="D7832" t="inlineStr">
        <is>
          <t>Estée Lauder</t>
        </is>
      </c>
      <c r="E7832" t="n">
        <v>23.14</v>
      </c>
      <c r="F7832" t="n">
        <v>1</v>
      </c>
      <c r="G7832" t="n">
        <v>20</v>
      </c>
      <c r="H7832" s="5">
        <f>HYPERLINK("https://api.qogita.com/variants/link/0027131595045/", "View Product")</f>
        <v/>
      </c>
    </row>
    <row r="7833">
      <c r="A7833" t="inlineStr">
        <is>
          <t>0027131763512</t>
        </is>
      </c>
      <c r="B7833" t="inlineStr">
        <is>
          <t>Estee Lauder Daywear Multi Protection Anti-Oxidant Cream SPF 15 for Unisex 1.7oz</t>
        </is>
      </c>
      <c r="C7833" t="inlineStr">
        <is>
          <t>Day Cream</t>
        </is>
      </c>
      <c r="D7833" t="inlineStr">
        <is>
          <t>Estée Lauder</t>
        </is>
      </c>
      <c r="E7833" t="n">
        <v>37.87</v>
      </c>
      <c r="F7833" t="n">
        <v>1</v>
      </c>
      <c r="G7833" t="n">
        <v>43</v>
      </c>
      <c r="H7833" s="5">
        <f>HYPERLINK("https://api.qogita.com/variants/link/0027131763512/", "View Product")</f>
        <v/>
      </c>
    </row>
    <row r="7834">
      <c r="A7834" t="inlineStr">
        <is>
          <t>0027131799047</t>
        </is>
      </c>
      <c r="B7834" t="inlineStr">
        <is>
          <t>Estee Lauder Day Wear Sheer Tint Release Moisturizer with SPF 15</t>
        </is>
      </c>
      <c r="C7834" t="inlineStr">
        <is>
          <t>Tinted Day Cream</t>
        </is>
      </c>
      <c r="D7834" t="inlineStr">
        <is>
          <t>Estée Lauder</t>
        </is>
      </c>
      <c r="E7834" t="n">
        <v>34.63</v>
      </c>
      <c r="F7834" t="n">
        <v>1</v>
      </c>
      <c r="G7834" t="n">
        <v>4</v>
      </c>
      <c r="H7834" s="5">
        <f>HYPERLINK("https://api.qogita.com/variants/link/0027131799047/", "View Product")</f>
        <v/>
      </c>
    </row>
    <row r="7835">
      <c r="A7835" t="inlineStr">
        <is>
          <t>0027131821953</t>
        </is>
      </c>
      <c r="B7835" t="inlineStr">
        <is>
          <t>Estée Lauder Double Wear Maximum Cover Foundation Camouflage Make Up 07 Medium Deep 30ml</t>
        </is>
      </c>
      <c r="C7835" t="inlineStr">
        <is>
          <t>Foundation</t>
        </is>
      </c>
      <c r="D7835" t="inlineStr">
        <is>
          <t>Estée Lauder</t>
        </is>
      </c>
      <c r="E7835" t="n">
        <v>33.53</v>
      </c>
      <c r="F7835" t="n">
        <v>1</v>
      </c>
      <c r="G7835" t="n">
        <v>22</v>
      </c>
      <c r="H7835" s="5">
        <f>HYPERLINK("https://api.qogita.com/variants/link/0027131821953/", "View Product")</f>
        <v/>
      </c>
    </row>
    <row r="7836">
      <c r="A7836" t="inlineStr">
        <is>
          <t>0027131977575</t>
        </is>
      </c>
      <c r="B7836" t="inlineStr">
        <is>
          <t>Estee Lauder Double Wear Fluid Stay in Place Makeup 4N2 Spiced Sand</t>
        </is>
      </c>
      <c r="C7836" t="inlineStr">
        <is>
          <t>Foundation</t>
        </is>
      </c>
      <c r="D7836" t="inlineStr">
        <is>
          <t>Estée Lauder</t>
        </is>
      </c>
      <c r="E7836" t="n">
        <v>31.96</v>
      </c>
      <c r="F7836" t="n">
        <v>1</v>
      </c>
      <c r="G7836" t="n">
        <v>8</v>
      </c>
      <c r="H7836" s="5">
        <f>HYPERLINK("https://api.qogita.com/variants/link/0027131977575/", "View Product")</f>
        <v/>
      </c>
    </row>
    <row r="7837">
      <c r="A7837" t="inlineStr">
        <is>
          <t>0031655085715</t>
        </is>
      </c>
      <c r="B7837" t="inlineStr">
        <is>
          <t>Musk For Men by Coty Eau De Cologne Spray 44ml</t>
        </is>
      </c>
      <c r="C7837" t="inlineStr">
        <is>
          <t>Eau De Cologne</t>
        </is>
      </c>
      <c r="D7837" t="inlineStr">
        <is>
          <t>Coty</t>
        </is>
      </c>
      <c r="E7837" t="n">
        <v>4.71</v>
      </c>
      <c r="F7837" t="n">
        <v>1</v>
      </c>
      <c r="G7837" t="n">
        <v>32</v>
      </c>
      <c r="H7837" s="5">
        <f>HYPERLINK("https://api.qogita.com/variants/link/0031655085715/", "View Product")</f>
        <v/>
      </c>
    </row>
    <row r="7838">
      <c r="A7838" t="inlineStr">
        <is>
          <t>0031655531908</t>
        </is>
      </c>
      <c r="B7838" t="inlineStr">
        <is>
          <t>Nautica Voyage for Men Eau De Toilette Spray 100ml</t>
        </is>
      </c>
      <c r="C7838" t="inlineStr">
        <is>
          <t>Eau De Toilette</t>
        </is>
      </c>
      <c r="D7838" t="inlineStr">
        <is>
          <t>Nautica</t>
        </is>
      </c>
      <c r="E7838" t="n">
        <v>12.43</v>
      </c>
      <c r="F7838" t="n">
        <v>1</v>
      </c>
      <c r="G7838" t="n">
        <v>417</v>
      </c>
      <c r="H7838" s="5">
        <f>HYPERLINK("https://api.qogita.com/variants/link/0031655531908/", "View Product")</f>
        <v/>
      </c>
    </row>
    <row r="7839">
      <c r="A7839" t="inlineStr">
        <is>
          <t>0031655644295</t>
        </is>
      </c>
      <c r="B7839" t="inlineStr">
        <is>
          <t>Calvin Klein Man Eau De Toilette Spray 50ml</t>
        </is>
      </c>
      <c r="C7839" t="inlineStr">
        <is>
          <t>Eau De Toilette</t>
        </is>
      </c>
      <c r="D7839" t="inlineStr">
        <is>
          <t>Calvin Klein</t>
        </is>
      </c>
      <c r="E7839" t="n">
        <v>15.09</v>
      </c>
      <c r="F7839" t="n">
        <v>1</v>
      </c>
      <c r="G7839" t="n">
        <v>226</v>
      </c>
      <c r="H7839" s="5">
        <f>HYPERLINK("https://api.qogita.com/variants/link/0031655644295/", "View Product")</f>
        <v/>
      </c>
    </row>
    <row r="7840">
      <c r="A7840" t="inlineStr">
        <is>
          <t>0035017008145</t>
        </is>
      </c>
      <c r="B7840" t="inlineStr">
        <is>
          <t>Jovan White Musk For Men Cologne Spray 88ml</t>
        </is>
      </c>
      <c r="C7840" t="inlineStr">
        <is>
          <t>Eau De Cologne</t>
        </is>
      </c>
      <c r="D7840" t="inlineStr">
        <is>
          <t>Jovan</t>
        </is>
      </c>
      <c r="E7840" t="n">
        <v>6.77</v>
      </c>
      <c r="F7840" t="n">
        <v>1</v>
      </c>
      <c r="G7840" t="n">
        <v>29</v>
      </c>
      <c r="H7840" s="5">
        <f>HYPERLINK("https://api.qogita.com/variants/link/0035017008145/", "View Product")</f>
        <v/>
      </c>
    </row>
    <row r="7841">
      <c r="A7841" t="inlineStr">
        <is>
          <t>0038097016055</t>
        </is>
      </c>
      <c r="B7841" t="inlineStr">
        <is>
          <t>Tweezerman Petite Tweeze Set Rose Gold</t>
        </is>
      </c>
      <c r="C7841" t="inlineStr">
        <is>
          <t>Tweezers</t>
        </is>
      </c>
      <c r="D7841" t="inlineStr">
        <is>
          <t>Tweezerman</t>
        </is>
      </c>
      <c r="E7841" t="n">
        <v>28.15</v>
      </c>
      <c r="F7841" t="n">
        <v>1</v>
      </c>
      <c r="G7841" t="n">
        <v>12</v>
      </c>
      <c r="H7841" s="5">
        <f>HYPERLINK("https://api.qogita.com/variants/link/0038097016055/", "View Product")</f>
        <v/>
      </c>
    </row>
    <row r="7842">
      <c r="A7842" t="inlineStr">
        <is>
          <t>0038097308501</t>
        </is>
      </c>
      <c r="B7842" t="inlineStr">
        <is>
          <t>Tweezerman Nail Clipper</t>
        </is>
      </c>
      <c r="C7842" t="inlineStr">
        <is>
          <t>Nail Clippers &amp; Tools</t>
        </is>
      </c>
      <c r="D7842" t="inlineStr">
        <is>
          <t>Tweezerman</t>
        </is>
      </c>
      <c r="E7842" t="n">
        <v>7.25</v>
      </c>
      <c r="F7842" t="n">
        <v>1</v>
      </c>
      <c r="G7842" t="n">
        <v>3</v>
      </c>
      <c r="H7842" s="5">
        <f>HYPERLINK("https://api.qogita.com/variants/link/0038097308501/", "View Product")</f>
        <v/>
      </c>
    </row>
    <row r="7843">
      <c r="A7843" t="inlineStr">
        <is>
          <t>0044386117112</t>
        </is>
      </c>
      <c r="B7843" t="inlineStr">
        <is>
          <t>Physicians Formula Rose All Day Mascara with High-Pigment Formula and Lifting Effect - Vegan Black</t>
        </is>
      </c>
      <c r="C7843" t="inlineStr">
        <is>
          <t>Mascara</t>
        </is>
      </c>
      <c r="D7843" t="inlineStr">
        <is>
          <t>Physicians Formula</t>
        </is>
      </c>
      <c r="E7843" t="n">
        <v>6.75</v>
      </c>
      <c r="F7843" t="n">
        <v>1</v>
      </c>
      <c r="G7843" t="n">
        <v>5</v>
      </c>
      <c r="H7843" s="5">
        <f>HYPERLINK("https://api.qogita.com/variants/link/0044386117112/", "View Product")</f>
        <v/>
      </c>
    </row>
    <row r="7844">
      <c r="A7844" t="inlineStr">
        <is>
          <t>0044386117587</t>
        </is>
      </c>
      <c r="B7844" t="inlineStr">
        <is>
          <t>Physicians Formula Murumuru Butter Believe It! Foundation + Concealer with Butter for Radiant Glow Light-to-Medium Light Medium</t>
        </is>
      </c>
      <c r="C7844" t="inlineStr">
        <is>
          <t>Foundation</t>
        </is>
      </c>
      <c r="D7844" t="inlineStr">
        <is>
          <t>Physicians Formula</t>
        </is>
      </c>
      <c r="E7844" t="n">
        <v>7.57</v>
      </c>
      <c r="F7844" t="n">
        <v>1</v>
      </c>
      <c r="G7844" t="n">
        <v>5</v>
      </c>
      <c r="H7844" s="5">
        <f>HYPERLINK("https://api.qogita.com/variants/link/0044386117587/", "View Product")</f>
        <v/>
      </c>
    </row>
    <row r="7845">
      <c r="A7845" t="inlineStr">
        <is>
          <t>0044386117709</t>
        </is>
      </c>
      <c r="B7845" t="inlineStr">
        <is>
          <t>Physicians Formula Mineral Wear Diamond Glow Dust Bronzer Powder with Radiant Glimmer Effect Starlit Shine</t>
        </is>
      </c>
      <c r="C7845" t="inlineStr">
        <is>
          <t>Bronzer</t>
        </is>
      </c>
      <c r="D7845" t="inlineStr">
        <is>
          <t>Physicians Formula</t>
        </is>
      </c>
      <c r="E7845" t="n">
        <v>7.38</v>
      </c>
      <c r="F7845" t="n">
        <v>1</v>
      </c>
      <c r="G7845" t="n">
        <v>5</v>
      </c>
      <c r="H7845" s="5">
        <f>HYPERLINK("https://api.qogita.com/variants/link/0044386117709/", "View Product")</f>
        <v/>
      </c>
    </row>
    <row r="7846">
      <c r="A7846" t="inlineStr">
        <is>
          <t>0044386118737</t>
        </is>
      </c>
      <c r="B7846" t="inlineStr">
        <is>
          <t>Physicians Formula Murumuru Butter Believe It! Skin Mist Tropical Setting Spray with Murumuru Cupuaçu and Tucuma Butter Blend</t>
        </is>
      </c>
      <c r="C7846" t="inlineStr">
        <is>
          <t>Facial Spray</t>
        </is>
      </c>
      <c r="D7846" t="inlineStr">
        <is>
          <t>Physicians Formula</t>
        </is>
      </c>
      <c r="E7846" t="n">
        <v>7.58</v>
      </c>
      <c r="F7846" t="n">
        <v>1</v>
      </c>
      <c r="G7846" t="n">
        <v>5</v>
      </c>
      <c r="H7846" s="5">
        <f>HYPERLINK("https://api.qogita.com/variants/link/0044386118737/", "View Product")</f>
        <v/>
      </c>
    </row>
    <row r="7847">
      <c r="A7847" t="inlineStr">
        <is>
          <t>0044386119420</t>
        </is>
      </c>
      <c r="B7847" t="inlineStr">
        <is>
          <t>Physicians Formula Butter Palm Feathered Micro Brow Pencil with Keratin and Essential Fatty Acids - Provitamins Universal Brown</t>
        </is>
      </c>
      <c r="C7847" t="inlineStr">
        <is>
          <t>Eyebrow Pencil</t>
        </is>
      </c>
      <c r="D7847" t="inlineStr">
        <is>
          <t>Physicians Formula</t>
        </is>
      </c>
      <c r="E7847" t="n">
        <v>6.75</v>
      </c>
      <c r="F7847" t="n">
        <v>1</v>
      </c>
      <c r="G7847" t="n">
        <v>5</v>
      </c>
      <c r="H7847" s="5">
        <f>HYPERLINK("https://api.qogita.com/variants/link/0044386119420/", "View Product")</f>
        <v/>
      </c>
    </row>
    <row r="7848">
      <c r="A7848" t="inlineStr">
        <is>
          <t>0044386119512</t>
        </is>
      </c>
      <c r="B7848" t="inlineStr">
        <is>
          <t>Physicians Formula Mattes Monoi Butter Rouge Natural Matte Cream Blush with Murumuru Butter, Cupuacu Butter, Tucuma Butter and Tahitian Monoi Butter Mauvy Mattes</t>
        </is>
      </c>
      <c r="C7848" t="inlineStr">
        <is>
          <t>Blush</t>
        </is>
      </c>
      <c r="D7848" t="inlineStr">
        <is>
          <t>Physicians Formula</t>
        </is>
      </c>
      <c r="E7848" t="n">
        <v>7.62</v>
      </c>
      <c r="F7848" t="n">
        <v>1</v>
      </c>
      <c r="G7848" t="n">
        <v>5</v>
      </c>
      <c r="H7848" s="5">
        <f>HYPERLINK("https://api.qogita.com/variants/link/0044386119512/", "View Product")</f>
        <v/>
      </c>
    </row>
    <row r="7849">
      <c r="A7849" t="inlineStr">
        <is>
          <t>0044386128699</t>
        </is>
      </c>
      <c r="B7849" t="inlineStr">
        <is>
          <t>Physicians Formula Eye Booster Lash Illusion Mascara Ultra-Defining Black Mascara with Lash-Boosting Complex</t>
        </is>
      </c>
      <c r="C7849" t="inlineStr">
        <is>
          <t>Mascara</t>
        </is>
      </c>
      <c r="D7849" t="inlineStr">
        <is>
          <t>Physicians Formula</t>
        </is>
      </c>
      <c r="E7849" t="n">
        <v>6.75</v>
      </c>
      <c r="F7849" t="n">
        <v>1</v>
      </c>
      <c r="G7849" t="n">
        <v>5</v>
      </c>
      <c r="H7849" s="5">
        <f>HYPERLINK("https://api.qogita.com/variants/link/0044386128699/", "View Product")</f>
        <v/>
      </c>
    </row>
    <row r="7850">
      <c r="A7850" t="inlineStr">
        <is>
          <t>0044386128729</t>
        </is>
      </c>
      <c r="B7850" t="inlineStr">
        <is>
          <t>Physicians Formula Mineral Wear Diamond Last Ultra-Creamy Liquid Lip Color Rose Quartz</t>
        </is>
      </c>
      <c r="C7850" t="inlineStr">
        <is>
          <t>Lipstick</t>
        </is>
      </c>
      <c r="D7850" t="inlineStr">
        <is>
          <t>Physicians Formula</t>
        </is>
      </c>
      <c r="E7850" t="n">
        <v>5.4</v>
      </c>
      <c r="F7850" t="n">
        <v>1</v>
      </c>
      <c r="G7850" t="n">
        <v>5</v>
      </c>
      <c r="H7850" s="5">
        <f>HYPERLINK("https://api.qogita.com/variants/link/0044386128729/", "View Product")</f>
        <v/>
      </c>
    </row>
    <row r="7851">
      <c r="A7851" t="inlineStr">
        <is>
          <t>0044386128743</t>
        </is>
      </c>
      <c r="B7851" t="inlineStr">
        <is>
          <t>Physicians Formula Mineral Wear Diamond Gloss Clear Lip Gloss</t>
        </is>
      </c>
      <c r="C7851" t="inlineStr">
        <is>
          <t>Lip Gloss</t>
        </is>
      </c>
      <c r="D7851" t="inlineStr">
        <is>
          <t>Physicians Formula</t>
        </is>
      </c>
      <c r="E7851" t="n">
        <v>5.4</v>
      </c>
      <c r="F7851" t="n">
        <v>1</v>
      </c>
      <c r="G7851" t="n">
        <v>5</v>
      </c>
      <c r="H7851" s="5">
        <f>HYPERLINK("https://api.qogita.com/variants/link/0044386128743/", "View Product")</f>
        <v/>
      </c>
    </row>
    <row r="7852">
      <c r="A7852" t="inlineStr">
        <is>
          <t>0044386412477</t>
        </is>
      </c>
      <c r="B7852" t="inlineStr">
        <is>
          <t>Physicians Formula Butter Glow Contour Wand Liquid Bronzer for Instant Definition Nourishing and Creamy Easy Application Fair Light</t>
        </is>
      </c>
      <c r="C7852" t="inlineStr">
        <is>
          <t>Bronzer</t>
        </is>
      </c>
      <c r="D7852" t="inlineStr">
        <is>
          <t>Physicians Formula</t>
        </is>
      </c>
      <c r="E7852" t="n">
        <v>7.43</v>
      </c>
      <c r="F7852" t="n">
        <v>1</v>
      </c>
      <c r="G7852" t="n">
        <v>5</v>
      </c>
      <c r="H7852" s="5">
        <f>HYPERLINK("https://api.qogita.com/variants/link/0044386412477/", "View Product")</f>
        <v/>
      </c>
    </row>
    <row r="7853">
      <c r="A7853" t="inlineStr">
        <is>
          <t>0044386412569</t>
        </is>
      </c>
      <c r="B7853" t="inlineStr">
        <is>
          <t>Physicians Formula Mineral Wear Diamond Perfector BB Cream with Diamond Extract and Vitamin E Lightweight Coverage Luminous Finish Medium to Tan</t>
        </is>
      </c>
      <c r="C7853" t="inlineStr">
        <is>
          <t>Bb Cream &amp; Cc Cream</t>
        </is>
      </c>
      <c r="D7853" t="inlineStr">
        <is>
          <t>Physicians Formula</t>
        </is>
      </c>
      <c r="E7853" t="n">
        <v>7.58</v>
      </c>
      <c r="F7853" t="n">
        <v>1</v>
      </c>
      <c r="G7853" t="n">
        <v>5</v>
      </c>
      <c r="H7853" s="5">
        <f>HYPERLINK("https://api.qogita.com/variants/link/0044386412569/", "View Product")</f>
        <v/>
      </c>
    </row>
    <row r="7854">
      <c r="A7854" t="inlineStr">
        <is>
          <t>0054402700280</t>
        </is>
      </c>
      <c r="B7854" t="inlineStr">
        <is>
          <t>Australian Gold Intensifier Bronzing Dry Oil Spray 237ml</t>
        </is>
      </c>
      <c r="C7854" t="inlineStr">
        <is>
          <t>Body Self-Tanner</t>
        </is>
      </c>
      <c r="D7854" t="inlineStr">
        <is>
          <t>Australian Gold</t>
        </is>
      </c>
      <c r="E7854" t="n">
        <v>11.85</v>
      </c>
      <c r="F7854" t="n">
        <v>1</v>
      </c>
      <c r="G7854" t="n">
        <v>14</v>
      </c>
      <c r="H7854" s="5">
        <f>HYPERLINK("https://api.qogita.com/variants/link/0054402700280/", "View Product")</f>
        <v/>
      </c>
    </row>
    <row r="7855">
      <c r="A7855" t="inlineStr">
        <is>
          <t>0054402730232</t>
        </is>
      </c>
      <c r="B7855" t="inlineStr">
        <is>
          <t>Plant Based Body Lotion SPF30 177ml</t>
        </is>
      </c>
      <c r="C7855" t="inlineStr">
        <is>
          <t>Body Sun Protection</t>
        </is>
      </c>
      <c r="D7855" t="inlineStr">
        <is>
          <t>Australian Gold</t>
        </is>
      </c>
      <c r="E7855" t="n">
        <v>14.27</v>
      </c>
      <c r="F7855" t="n">
        <v>1</v>
      </c>
      <c r="G7855" t="n">
        <v>11</v>
      </c>
      <c r="H7855" s="5">
        <f>HYPERLINK("https://api.qogita.com/variants/link/0054402730232/", "View Product")</f>
        <v/>
      </c>
    </row>
    <row r="7856">
      <c r="A7856" t="inlineStr">
        <is>
          <t>0067724053101</t>
        </is>
      </c>
      <c r="B7856" t="inlineStr">
        <is>
          <t>Alfred Sung Women Eau de Toilette 100ml</t>
        </is>
      </c>
      <c r="C7856" t="inlineStr">
        <is>
          <t>Eau De Toilette</t>
        </is>
      </c>
      <c r="D7856" t="inlineStr">
        <is>
          <t>Alfred Sung</t>
        </is>
      </c>
      <c r="E7856" t="n">
        <v>17.39</v>
      </c>
      <c r="F7856" t="n">
        <v>1</v>
      </c>
      <c r="G7856" t="n">
        <v>31</v>
      </c>
      <c r="H7856" s="5">
        <f>HYPERLINK("https://api.qogita.com/variants/link/0067724053101/", "View Product")</f>
        <v/>
      </c>
    </row>
    <row r="7857">
      <c r="A7857" t="inlineStr">
        <is>
          <t>0067724070108</t>
        </is>
      </c>
      <c r="B7857" t="inlineStr">
        <is>
          <t>Alfred Sung Sung Homme Men's Eau de Toilette Spray 100ml</t>
        </is>
      </c>
      <c r="C7857" t="inlineStr">
        <is>
          <t>Eau De Toilette</t>
        </is>
      </c>
      <c r="D7857" t="inlineStr">
        <is>
          <t>Alfred Sung</t>
        </is>
      </c>
      <c r="E7857" t="n">
        <v>15.46</v>
      </c>
      <c r="F7857" t="n">
        <v>1</v>
      </c>
      <c r="G7857" t="n">
        <v>32</v>
      </c>
      <c r="H7857" s="5">
        <f>HYPERLINK("https://api.qogita.com/variants/link/0067724070108/", "View Product")</f>
        <v/>
      </c>
    </row>
    <row r="7858">
      <c r="A7858" t="inlineStr">
        <is>
          <t>0073930711483</t>
        </is>
      </c>
      <c r="B7858" t="inlineStr">
        <is>
          <t>Ardell DUO Quick-Set Striplash Adhesive Dark 14g</t>
        </is>
      </c>
      <c r="C7858" t="inlineStr">
        <is>
          <t>False Eyelashes</t>
        </is>
      </c>
      <c r="D7858" t="inlineStr">
        <is>
          <t>Ardell</t>
        </is>
      </c>
      <c r="E7858" t="n">
        <v>9.140000000000001</v>
      </c>
      <c r="F7858" t="n">
        <v>1</v>
      </c>
      <c r="G7858" t="n">
        <v>5</v>
      </c>
      <c r="H7858" s="5">
        <f>HYPERLINK("https://api.qogita.com/variants/link/0073930711483/", "View Product")</f>
        <v/>
      </c>
    </row>
    <row r="7859">
      <c r="A7859" t="inlineStr">
        <is>
          <t>0074469512329</t>
        </is>
      </c>
      <c r="B7859" t="inlineStr">
        <is>
          <t>Joico Joifull Volumizing Shampoo 300ml</t>
        </is>
      </c>
      <c r="C7859" t="inlineStr">
        <is>
          <t>Shampoo</t>
        </is>
      </c>
      <c r="D7859" t="inlineStr">
        <is>
          <t>Joico</t>
        </is>
      </c>
      <c r="E7859" t="n">
        <v>9.81</v>
      </c>
      <c r="F7859" t="n">
        <v>1</v>
      </c>
      <c r="G7859" t="n">
        <v>31</v>
      </c>
      <c r="H7859" s="5">
        <f>HYPERLINK("https://api.qogita.com/variants/link/0074469512329/", "View Product")</f>
        <v/>
      </c>
    </row>
    <row r="7860">
      <c r="A7860" t="inlineStr">
        <is>
          <t>0074469513470</t>
        </is>
      </c>
      <c r="B7860" t="inlineStr">
        <is>
          <t>Joico Hydrasplash Hydrating Gelee Masque 150ml</t>
        </is>
      </c>
      <c r="C7860" t="inlineStr">
        <is>
          <t>Hair Masks</t>
        </is>
      </c>
      <c r="D7860" t="inlineStr">
        <is>
          <t>Joico</t>
        </is>
      </c>
      <c r="E7860" t="n">
        <v>13.1</v>
      </c>
      <c r="F7860" t="n">
        <v>1</v>
      </c>
      <c r="G7860" t="n">
        <v>7</v>
      </c>
      <c r="H7860" s="5">
        <f>HYPERLINK("https://api.qogita.com/variants/link/0074469513470/", "View Product")</f>
        <v/>
      </c>
    </row>
    <row r="7861">
      <c r="A7861" t="inlineStr">
        <is>
          <t>0074469515214</t>
        </is>
      </c>
      <c r="B7861" t="inlineStr">
        <is>
          <t>Joico K-Pak Color Therapy Luster Lock Glossing Oil for Unisex 2.13oz</t>
        </is>
      </c>
      <c r="C7861" t="inlineStr">
        <is>
          <t>Hair Oil &amp; Hair Serum</t>
        </is>
      </c>
      <c r="D7861" t="inlineStr">
        <is>
          <t>Joico</t>
        </is>
      </c>
      <c r="E7861" t="n">
        <v>11.08</v>
      </c>
      <c r="F7861" t="n">
        <v>1</v>
      </c>
      <c r="G7861" t="n">
        <v>13</v>
      </c>
      <c r="H7861" s="5">
        <f>HYPERLINK("https://api.qogita.com/variants/link/0074469515214/", "View Product")</f>
        <v/>
      </c>
    </row>
    <row r="7862">
      <c r="A7862" t="inlineStr">
        <is>
          <t>0074469516471</t>
        </is>
      </c>
      <c r="B7862" t="inlineStr">
        <is>
          <t>Joico K-Pak Color Therapy Conditioner for Unisex 250ml</t>
        </is>
      </c>
      <c r="C7862" t="inlineStr">
        <is>
          <t>Conditioner</t>
        </is>
      </c>
      <c r="D7862" t="inlineStr">
        <is>
          <t>Joico</t>
        </is>
      </c>
      <c r="E7862" t="n">
        <v>9.49</v>
      </c>
      <c r="F7862" t="n">
        <v>1</v>
      </c>
      <c r="G7862" t="n">
        <v>9</v>
      </c>
      <c r="H7862" s="5">
        <f>HYPERLINK("https://api.qogita.com/variants/link/0074469516471/", "View Product")</f>
        <v/>
      </c>
    </row>
    <row r="7863">
      <c r="A7863" t="inlineStr">
        <is>
          <t>0074469516556</t>
        </is>
      </c>
      <c r="B7863" t="inlineStr">
        <is>
          <t>Joico K-Pak Color Therapy Luster Lock Instant Shine and Repair Treatment 150ml</t>
        </is>
      </c>
      <c r="C7863" t="inlineStr">
        <is>
          <t>Hair Masks</t>
        </is>
      </c>
      <c r="D7863" t="inlineStr">
        <is>
          <t>Joico</t>
        </is>
      </c>
      <c r="E7863" t="n">
        <v>14.02</v>
      </c>
      <c r="F7863" t="n">
        <v>1</v>
      </c>
      <c r="G7863" t="n">
        <v>13</v>
      </c>
      <c r="H7863" s="5">
        <f>HYPERLINK("https://api.qogita.com/variants/link/0074469516556/", "View Product")</f>
        <v/>
      </c>
    </row>
    <row r="7864">
      <c r="A7864" t="inlineStr">
        <is>
          <t>0074469517973</t>
        </is>
      </c>
      <c r="B7864" t="inlineStr">
        <is>
          <t>Joico Colorful Anti-Fade Shampoo 300ml</t>
        </is>
      </c>
      <c r="C7864" t="inlineStr">
        <is>
          <t>Shampoo</t>
        </is>
      </c>
      <c r="D7864" t="inlineStr">
        <is>
          <t>Joico</t>
        </is>
      </c>
      <c r="E7864" t="n">
        <v>11.15</v>
      </c>
      <c r="F7864" t="n">
        <v>1</v>
      </c>
      <c r="G7864" t="n">
        <v>17</v>
      </c>
      <c r="H7864" s="5">
        <f>HYPERLINK("https://api.qogita.com/variants/link/0074469517973/", "View Product")</f>
        <v/>
      </c>
    </row>
    <row r="7865">
      <c r="A7865" t="inlineStr">
        <is>
          <t>0074469521666</t>
        </is>
      </c>
      <c r="B7865" t="inlineStr">
        <is>
          <t>Joico Power Fast Dry Finishing Spray 300ml</t>
        </is>
      </c>
      <c r="C7865" t="inlineStr">
        <is>
          <t>Hairspray</t>
        </is>
      </c>
      <c r="D7865" t="inlineStr">
        <is>
          <t>Joico</t>
        </is>
      </c>
      <c r="E7865" t="n">
        <v>11.55</v>
      </c>
      <c r="F7865" t="n">
        <v>1</v>
      </c>
      <c r="G7865" t="n">
        <v>5</v>
      </c>
      <c r="H7865" s="5">
        <f>HYPERLINK("https://api.qogita.com/variants/link/0074469521666/", "View Product")</f>
        <v/>
      </c>
    </row>
    <row r="7866">
      <c r="A7866" t="inlineStr">
        <is>
          <t>0074469523028</t>
        </is>
      </c>
      <c r="B7866" t="inlineStr">
        <is>
          <t>Joico Beach Shake Texturizing Finisher 7.1 oz</t>
        </is>
      </c>
      <c r="C7866" t="inlineStr">
        <is>
          <t>Styling Sprays</t>
        </is>
      </c>
      <c r="D7866" t="inlineStr">
        <is>
          <t>Joico</t>
        </is>
      </c>
      <c r="E7866" t="n">
        <v>15.86</v>
      </c>
      <c r="F7866" t="n">
        <v>1</v>
      </c>
      <c r="G7866" t="n">
        <v>2</v>
      </c>
      <c r="H7866" s="5">
        <f>HYPERLINK("https://api.qogita.com/variants/link/0074469523028/", "View Product")</f>
        <v/>
      </c>
    </row>
    <row r="7867">
      <c r="A7867" t="inlineStr">
        <is>
          <t>0074764322517</t>
        </is>
      </c>
      <c r="B7867" t="inlineStr">
        <is>
          <t>Ardell Seamless Underlash Extensions Light as Air Refill</t>
        </is>
      </c>
      <c r="C7867" t="inlineStr">
        <is>
          <t>False Eyelashes</t>
        </is>
      </c>
      <c r="D7867" t="inlineStr">
        <is>
          <t>Ardell</t>
        </is>
      </c>
      <c r="E7867" t="n">
        <v>3.56</v>
      </c>
      <c r="F7867" t="n">
        <v>1</v>
      </c>
      <c r="G7867" t="n">
        <v>2</v>
      </c>
      <c r="H7867" s="5">
        <f>HYPERLINK("https://api.qogita.com/variants/link/0074764322517/", "View Product")</f>
        <v/>
      </c>
    </row>
    <row r="7868">
      <c r="A7868" t="inlineStr">
        <is>
          <t>0074764601162</t>
        </is>
      </c>
      <c r="B7868" t="inlineStr">
        <is>
          <t>ARDELL Faux Mink 817 Black False Eyelashes 25g</t>
        </is>
      </c>
      <c r="C7868" t="inlineStr">
        <is>
          <t>False Eyelashes</t>
        </is>
      </c>
      <c r="D7868" t="inlineStr">
        <is>
          <t>Ardell</t>
        </is>
      </c>
      <c r="E7868" t="n">
        <v>5.93</v>
      </c>
      <c r="F7868" t="n">
        <v>1</v>
      </c>
      <c r="G7868" t="n">
        <v>3</v>
      </c>
      <c r="H7868" s="5">
        <f>HYPERLINK("https://api.qogita.com/variants/link/0074764601162/", "View Product")</f>
        <v/>
      </c>
    </row>
    <row r="7869">
      <c r="A7869" t="inlineStr">
        <is>
          <t>0074764619945</t>
        </is>
      </c>
      <c r="B7869" t="inlineStr">
        <is>
          <t>Ardell Studio Effects Wispies False Eyelashes - Black</t>
        </is>
      </c>
      <c r="C7869" t="inlineStr">
        <is>
          <t>False Eyelashes</t>
        </is>
      </c>
      <c r="D7869" t="inlineStr">
        <is>
          <t>Ardell</t>
        </is>
      </c>
      <c r="E7869" t="n">
        <v>5.34</v>
      </c>
      <c r="F7869" t="n">
        <v>1</v>
      </c>
      <c r="G7869" t="n">
        <v>3</v>
      </c>
      <c r="H7869" s="5">
        <f>HYPERLINK("https://api.qogita.com/variants/link/0074764619945/", "View Product")</f>
        <v/>
      </c>
    </row>
    <row r="7870">
      <c r="A7870" t="inlineStr">
        <is>
          <t>0074764634047</t>
        </is>
      </c>
      <c r="B7870" t="inlineStr">
        <is>
          <t>Ardell Aqua Lashes 343</t>
        </is>
      </c>
      <c r="C7870" t="inlineStr">
        <is>
          <t>False Eyelashes</t>
        </is>
      </c>
      <c r="D7870" t="inlineStr">
        <is>
          <t>Ardell</t>
        </is>
      </c>
      <c r="E7870" t="n">
        <v>3.71</v>
      </c>
      <c r="F7870" t="n">
        <v>1</v>
      </c>
      <c r="G7870" t="n">
        <v>5</v>
      </c>
      <c r="H7870" s="5">
        <f>HYPERLINK("https://api.qogita.com/variants/link/0074764634047/", "View Product")</f>
        <v/>
      </c>
    </row>
    <row r="7871">
      <c r="A7871" t="inlineStr">
        <is>
          <t>0074764650122</t>
        </is>
      </c>
      <c r="B7871" t="inlineStr">
        <is>
          <t>Ardell Demi Wispies Eyelashes</t>
        </is>
      </c>
      <c r="C7871" t="inlineStr">
        <is>
          <t>False Eyelashes</t>
        </is>
      </c>
      <c r="D7871" t="inlineStr">
        <is>
          <t>Ardell</t>
        </is>
      </c>
      <c r="E7871" t="n">
        <v>3.56</v>
      </c>
      <c r="F7871" t="n">
        <v>1</v>
      </c>
      <c r="G7871" t="n">
        <v>3</v>
      </c>
      <c r="H7871" s="5">
        <f>HYPERLINK("https://api.qogita.com/variants/link/0074764650122/", "View Product")</f>
        <v/>
      </c>
    </row>
    <row r="7872">
      <c r="A7872" t="inlineStr">
        <is>
          <t>0074764674159</t>
        </is>
      </c>
      <c r="B7872" t="inlineStr">
        <is>
          <t>Ardell Studio Effects False Eyelashes Wispies - Pack of 8 Pairs</t>
        </is>
      </c>
      <c r="C7872" t="inlineStr">
        <is>
          <t>False Eyelashes</t>
        </is>
      </c>
      <c r="D7872" t="inlineStr">
        <is>
          <t>Ardell</t>
        </is>
      </c>
      <c r="E7872" t="n">
        <v>14.86</v>
      </c>
      <c r="F7872" t="n">
        <v>1</v>
      </c>
      <c r="G7872" t="n">
        <v>3</v>
      </c>
      <c r="H7872" s="5">
        <f>HYPERLINK("https://api.qogita.com/variants/link/0074764674159/", "View Product")</f>
        <v/>
      </c>
    </row>
    <row r="7873">
      <c r="A7873" t="inlineStr">
        <is>
          <t>0079625018585</t>
        </is>
      </c>
      <c r="B7873" t="inlineStr">
        <is>
          <t>Real Techniques Mini Brush Foundation and Blush Duo Travel Size for Loose Blush and Liquid Foundation 2 Piece Set</t>
        </is>
      </c>
      <c r="C7873" t="inlineStr">
        <is>
          <t>Brush Sets</t>
        </is>
      </c>
      <c r="D7873" t="inlineStr">
        <is>
          <t>Real Techniques</t>
        </is>
      </c>
      <c r="E7873" t="n">
        <v>7.41</v>
      </c>
      <c r="F7873" t="n">
        <v>1</v>
      </c>
      <c r="G7873" t="n">
        <v>5</v>
      </c>
      <c r="H7873" s="5">
        <f>HYPERLINK("https://api.qogita.com/variants/link/0079625018585/", "View Product")</f>
        <v/>
      </c>
    </row>
    <row r="7874">
      <c r="A7874" t="inlineStr">
        <is>
          <t>0079625018950</t>
        </is>
      </c>
      <c r="B7874" t="inlineStr">
        <is>
          <t>Real Techniques Artist Essentials Complete Face Makeup Brush Set</t>
        </is>
      </c>
      <c r="C7874" t="inlineStr">
        <is>
          <t>Brush Sets</t>
        </is>
      </c>
      <c r="D7874" t="inlineStr">
        <is>
          <t>Real Techniques</t>
        </is>
      </c>
      <c r="E7874" t="n">
        <v>14.88</v>
      </c>
      <c r="F7874" t="n">
        <v>1</v>
      </c>
      <c r="G7874" t="n">
        <v>12</v>
      </c>
      <c r="H7874" s="5">
        <f>HYPERLINK("https://api.qogita.com/variants/link/0079625018950/", "View Product")</f>
        <v/>
      </c>
    </row>
    <row r="7875">
      <c r="A7875" t="inlineStr">
        <is>
          <t>0079625040647</t>
        </is>
      </c>
      <c r="B7875" t="inlineStr">
        <is>
          <t>Real Techniques Mess Free Masking Applicator &amp; Steam Cloth Duo 4064</t>
        </is>
      </c>
      <c r="C7875" t="inlineStr">
        <is>
          <t>Facial Cleansing Tools</t>
        </is>
      </c>
      <c r="D7875" t="inlineStr">
        <is>
          <t>Real Techniques</t>
        </is>
      </c>
      <c r="E7875" t="n">
        <v>7.87</v>
      </c>
      <c r="F7875" t="n">
        <v>1</v>
      </c>
      <c r="G7875" t="n">
        <v>3</v>
      </c>
      <c r="H7875" s="5">
        <f>HYPERLINK("https://api.qogita.com/variants/link/0079625040647/", "View Product")</f>
        <v/>
      </c>
    </row>
    <row r="7876">
      <c r="A7876" t="inlineStr">
        <is>
          <t>0079625042580</t>
        </is>
      </c>
      <c r="B7876" t="inlineStr">
        <is>
          <t>Real Techniques Tapered Cheek Makeup Brush for Blush, Highlighter, or Loose Powder</t>
        </is>
      </c>
      <c r="C7876" t="inlineStr">
        <is>
          <t>Blush Brushes</t>
        </is>
      </c>
      <c r="D7876" t="inlineStr">
        <is>
          <t>Real Techniques</t>
        </is>
      </c>
      <c r="E7876" t="n">
        <v>6.07</v>
      </c>
      <c r="F7876" t="n">
        <v>1</v>
      </c>
      <c r="G7876" t="n">
        <v>12</v>
      </c>
      <c r="H7876" s="5">
        <f>HYPERLINK("https://api.qogita.com/variants/link/0079625042580/", "View Product")</f>
        <v/>
      </c>
    </row>
    <row r="7877">
      <c r="A7877" t="inlineStr">
        <is>
          <t>0079625042597</t>
        </is>
      </c>
      <c r="B7877" t="inlineStr">
        <is>
          <t>Real Techniques Ultimate Makeup Sponge Trio</t>
        </is>
      </c>
      <c r="C7877" t="inlineStr">
        <is>
          <t>Makeup Sponges</t>
        </is>
      </c>
      <c r="D7877" t="inlineStr">
        <is>
          <t>Real Techniques</t>
        </is>
      </c>
      <c r="E7877" t="n">
        <v>10.08</v>
      </c>
      <c r="F7877" t="n">
        <v>1</v>
      </c>
      <c r="G7877" t="n">
        <v>5</v>
      </c>
      <c r="H7877" s="5">
        <f>HYPERLINK("https://api.qogita.com/variants/link/0079625042597/", "View Product")</f>
        <v/>
      </c>
    </row>
    <row r="7878">
      <c r="A7878" t="inlineStr">
        <is>
          <t>0079625042627</t>
        </is>
      </c>
      <c r="B7878" t="inlineStr">
        <is>
          <t>Real Techniques Eye Love Drama Makeup Brush Kit Professional Eye Brush Set</t>
        </is>
      </c>
      <c r="C7878" t="inlineStr">
        <is>
          <t>Brush Sets</t>
        </is>
      </c>
      <c r="D7878" t="inlineStr">
        <is>
          <t>Real Techniques</t>
        </is>
      </c>
      <c r="E7878" t="n">
        <v>11.3</v>
      </c>
      <c r="F7878" t="n">
        <v>1</v>
      </c>
      <c r="G7878" t="n">
        <v>3</v>
      </c>
      <c r="H7878" s="5">
        <f>HYPERLINK("https://api.qogita.com/variants/link/0079625042627/", "View Product")</f>
        <v/>
      </c>
    </row>
    <row r="7879">
      <c r="A7879" t="inlineStr">
        <is>
          <t>0079625042870</t>
        </is>
      </c>
      <c r="B7879" t="inlineStr">
        <is>
          <t>Real Techniques Chroma Miracle Airblend Makeup Blending Sponge - 1 Count</t>
        </is>
      </c>
      <c r="C7879" t="inlineStr">
        <is>
          <t>Makeup Sponges</t>
        </is>
      </c>
      <c r="D7879" t="inlineStr">
        <is>
          <t>Real Techniques</t>
        </is>
      </c>
      <c r="E7879" t="n">
        <v>10.81</v>
      </c>
      <c r="F7879" t="n">
        <v>1</v>
      </c>
      <c r="G7879" t="n">
        <v>2</v>
      </c>
      <c r="H7879" s="5">
        <f>HYPERLINK("https://api.qogita.com/variants/link/0079625042870/", "View Product")</f>
        <v/>
      </c>
    </row>
    <row r="7880">
      <c r="A7880" t="inlineStr">
        <is>
          <t>0079625043105</t>
        </is>
      </c>
      <c r="B7880" t="inlineStr">
        <is>
          <t>Real Techniques Miracle Mattifying Duo</t>
        </is>
      </c>
      <c r="C7880" t="inlineStr">
        <is>
          <t>Complexion Sets &amp; Pallets</t>
        </is>
      </c>
      <c r="D7880" t="inlineStr">
        <is>
          <t>Real Techniques</t>
        </is>
      </c>
      <c r="E7880" t="n">
        <v>10.12</v>
      </c>
      <c r="F7880" t="n">
        <v>1</v>
      </c>
      <c r="G7880" t="n">
        <v>18</v>
      </c>
      <c r="H7880" s="5">
        <f>HYPERLINK("https://api.qogita.com/variants/link/0079625043105/", "View Product")</f>
        <v/>
      </c>
    </row>
    <row r="7881">
      <c r="A7881" t="inlineStr">
        <is>
          <t>0079625438390</t>
        </is>
      </c>
      <c r="B7881" t="inlineStr">
        <is>
          <t>Real Techniques Face Base Makeup Brush Kit for Concealer and Foundation</t>
        </is>
      </c>
      <c r="C7881" t="inlineStr">
        <is>
          <t>Brush Sets</t>
        </is>
      </c>
      <c r="D7881" t="inlineStr">
        <is>
          <t>Real Techniques</t>
        </is>
      </c>
      <c r="E7881" t="n">
        <v>14.86</v>
      </c>
      <c r="F7881" t="n">
        <v>1</v>
      </c>
      <c r="G7881" t="n">
        <v>16</v>
      </c>
      <c r="H7881" s="5">
        <f>HYPERLINK("https://api.qogita.com/variants/link/0079625438390/", "View Product")</f>
        <v/>
      </c>
    </row>
    <row r="7882">
      <c r="A7882" t="inlineStr">
        <is>
          <t>0079625438901</t>
        </is>
      </c>
      <c r="B7882" t="inlineStr">
        <is>
          <t>Real Techniques Brow Shaping Set with Spoolie, Brow Brushes, and Tweezers</t>
        </is>
      </c>
      <c r="C7882" t="inlineStr">
        <is>
          <t>Eyebrow Sets &amp; Pallets</t>
        </is>
      </c>
      <c r="D7882" t="inlineStr">
        <is>
          <t>Real Techniques</t>
        </is>
      </c>
      <c r="E7882" t="n">
        <v>9.48</v>
      </c>
      <c r="F7882" t="n">
        <v>1</v>
      </c>
      <c r="G7882" t="n">
        <v>19</v>
      </c>
      <c r="H7882" s="5">
        <f>HYPERLINK("https://api.qogita.com/variants/link/0079625438901/", "View Product")</f>
        <v/>
      </c>
    </row>
    <row r="7883">
      <c r="A7883" t="inlineStr">
        <is>
          <t>0079625439045</t>
        </is>
      </c>
      <c r="B7883" t="inlineStr">
        <is>
          <t>Real Techniques Afterglow IDC Eye Set</t>
        </is>
      </c>
      <c r="C7883" t="inlineStr">
        <is>
          <t>Eye Sets &amp; Pallets</t>
        </is>
      </c>
      <c r="D7883" t="inlineStr">
        <is>
          <t>Real Techniques</t>
        </is>
      </c>
      <c r="E7883" t="n">
        <v>10.12</v>
      </c>
      <c r="F7883" t="n">
        <v>1</v>
      </c>
      <c r="G7883" t="n">
        <v>5</v>
      </c>
      <c r="H7883" s="5">
        <f>HYPERLINK("https://api.qogita.com/variants/link/0079625439045/", "View Product")</f>
        <v/>
      </c>
    </row>
    <row r="7884">
      <c r="A7884" t="inlineStr">
        <is>
          <t>0079625439052</t>
        </is>
      </c>
      <c r="B7884" t="inlineStr">
        <is>
          <t>Afterglow All Night Multitasking Brush Collection by Real Techniques</t>
        </is>
      </c>
      <c r="C7884" t="inlineStr">
        <is>
          <t>Brush Sets</t>
        </is>
      </c>
      <c r="D7884" t="inlineStr">
        <is>
          <t>Real Techniques</t>
        </is>
      </c>
      <c r="E7884" t="n">
        <v>7.58</v>
      </c>
      <c r="F7884" t="n">
        <v>1</v>
      </c>
      <c r="G7884" t="n">
        <v>8</v>
      </c>
      <c r="H7884" s="5">
        <f>HYPERLINK("https://api.qogita.com/variants/link/0079625439052/", "View Product")</f>
        <v/>
      </c>
    </row>
    <row r="7885">
      <c r="A7885" t="inlineStr">
        <is>
          <t>0079625439120</t>
        </is>
      </c>
      <c r="B7885" t="inlineStr">
        <is>
          <t>Real Techniques Berry Pop Miracle Complexion Sponge &amp; Mini Sponges Kit Makeup Blending Sponges for Foundation Concealer &amp; Other Cream Products Full Coverage Streak Free</t>
        </is>
      </c>
      <c r="C7885" t="inlineStr">
        <is>
          <t>Makeup Sponges</t>
        </is>
      </c>
      <c r="D7885" t="inlineStr">
        <is>
          <t>Real Techniques</t>
        </is>
      </c>
      <c r="E7885" t="n">
        <v>9.859999999999999</v>
      </c>
      <c r="F7885" t="n">
        <v>1</v>
      </c>
      <c r="G7885" t="n">
        <v>5</v>
      </c>
      <c r="H7885" s="5">
        <f>HYPERLINK("https://api.qogita.com/variants/link/0079625439120/", "View Product")</f>
        <v/>
      </c>
    </row>
    <row r="7886">
      <c r="A7886" t="inlineStr">
        <is>
          <t>0079625439403</t>
        </is>
      </c>
      <c r="B7886" t="inlineStr">
        <is>
          <t>Real Techniques Miracle Complexion Sponge and Concealer Sponge Duo Makeup</t>
        </is>
      </c>
      <c r="C7886" t="inlineStr">
        <is>
          <t>Makeup Sponges</t>
        </is>
      </c>
      <c r="D7886" t="inlineStr">
        <is>
          <t>Real Techniques</t>
        </is>
      </c>
      <c r="E7886" t="n">
        <v>9.4</v>
      </c>
      <c r="F7886" t="n">
        <v>1</v>
      </c>
      <c r="G7886" t="n">
        <v>10</v>
      </c>
      <c r="H7886" s="5">
        <f>HYPERLINK("https://api.qogita.com/variants/link/0079625439403/", "View Product")</f>
        <v/>
      </c>
    </row>
    <row r="7887">
      <c r="A7887" t="inlineStr">
        <is>
          <t>0079625440812</t>
        </is>
      </c>
      <c r="B7887" t="inlineStr">
        <is>
          <t>Real Techniques Glow Round Base Makeup Brush for Liquid and Cream Makeup Flat Top Foundation Brush Buffing Blending Coverage Dense Synthetic Bristles Vegan Cruelty Free 1 Count</t>
        </is>
      </c>
      <c r="C7887" t="inlineStr">
        <is>
          <t>Foundation Brushes</t>
        </is>
      </c>
      <c r="D7887" t="inlineStr">
        <is>
          <t>Real Techniques</t>
        </is>
      </c>
      <c r="E7887" t="n">
        <v>8.960000000000001</v>
      </c>
      <c r="F7887" t="n">
        <v>1</v>
      </c>
      <c r="G7887" t="n">
        <v>2</v>
      </c>
      <c r="H7887" s="5">
        <f>HYPERLINK("https://api.qogita.com/variants/link/0079625440812/", "View Product")</f>
        <v/>
      </c>
    </row>
    <row r="7888">
      <c r="A7888" t="inlineStr">
        <is>
          <t>0079625440867</t>
        </is>
      </c>
      <c r="B7888" t="inlineStr">
        <is>
          <t>Real Techniques Makeupsaver Sponge Brush Set 3 Pieces</t>
        </is>
      </c>
      <c r="C7888" t="inlineStr">
        <is>
          <t>Brush Sets</t>
        </is>
      </c>
      <c r="D7888" t="inlineStr">
        <is>
          <t>Real Techniques</t>
        </is>
      </c>
      <c r="E7888" t="n">
        <v>14.67</v>
      </c>
      <c r="F7888" t="n">
        <v>1</v>
      </c>
      <c r="G7888" t="n">
        <v>6</v>
      </c>
      <c r="H7888" s="5">
        <f>HYPERLINK("https://api.qogita.com/variants/link/0079625440867/", "View Product")</f>
        <v/>
      </c>
    </row>
    <row r="7889">
      <c r="A7889" t="inlineStr">
        <is>
          <t>0079625441147</t>
        </is>
      </c>
      <c r="B7889" t="inlineStr">
        <is>
          <t>Real Techniques Mini Miracle Concealer Puffs Small Makeup Puff for Liquid Cream Foundation Targeted Concealing Under Eyes Blemishes Travel Friendly Vegan Cruelty Free</t>
        </is>
      </c>
      <c r="C7889" t="inlineStr">
        <is>
          <t>Makeup Sponges</t>
        </is>
      </c>
      <c r="D7889" t="inlineStr">
        <is>
          <t>Real Techniques</t>
        </is>
      </c>
      <c r="E7889" t="n">
        <v>9.68</v>
      </c>
      <c r="F7889" t="n">
        <v>1</v>
      </c>
      <c r="G7889" t="n">
        <v>41</v>
      </c>
      <c r="H7889" s="5">
        <f>HYPERLINK("https://api.qogita.com/variants/link/0079625441147/", "View Product")</f>
        <v/>
      </c>
    </row>
    <row r="7890">
      <c r="A7890" t="inlineStr">
        <is>
          <t>0079625442090</t>
        </is>
      </c>
      <c r="B7890" t="inlineStr">
        <is>
          <t>Real Techniques Hyperbrights Color Drop Cheek Brush</t>
        </is>
      </c>
      <c r="C7890" t="inlineStr">
        <is>
          <t>Blush Brushes</t>
        </is>
      </c>
      <c r="D7890" t="inlineStr">
        <is>
          <t>Real Techniques</t>
        </is>
      </c>
      <c r="E7890" t="n">
        <v>5.88</v>
      </c>
      <c r="F7890" t="n">
        <v>1</v>
      </c>
      <c r="G7890" t="n">
        <v>4</v>
      </c>
      <c r="H7890" s="5">
        <f>HYPERLINK("https://api.qogita.com/variants/link/0079625442090/", "View Product")</f>
        <v/>
      </c>
    </row>
    <row r="7891">
      <c r="A7891" t="inlineStr">
        <is>
          <t>0079625442212</t>
        </is>
      </c>
      <c r="B7891" t="inlineStr">
        <is>
          <t>Real Techniques Sunrise To Sunset Miracle Complexion Sponge 1 Count Pink</t>
        </is>
      </c>
      <c r="C7891" t="inlineStr">
        <is>
          <t>Makeup Sponges</t>
        </is>
      </c>
      <c r="D7891" t="inlineStr">
        <is>
          <t>Real Techniques</t>
        </is>
      </c>
      <c r="E7891" t="n">
        <v>5.4</v>
      </c>
      <c r="F7891" t="n">
        <v>1</v>
      </c>
      <c r="G7891" t="n">
        <v>9</v>
      </c>
      <c r="H7891" s="5">
        <f>HYPERLINK("https://api.qogita.com/variants/link/0079625442212/", "View Product")</f>
        <v/>
      </c>
    </row>
    <row r="7892">
      <c r="A7892" t="inlineStr">
        <is>
          <t>0079625442434</t>
        </is>
      </c>
      <c r="B7892" t="inlineStr">
        <is>
          <t>Real Techniques Sunrise To Sunset Miracle Concealer Sponge 1 Count Purple</t>
        </is>
      </c>
      <c r="C7892" t="inlineStr">
        <is>
          <t>Makeup Sponges</t>
        </is>
      </c>
      <c r="D7892" t="inlineStr">
        <is>
          <t>Real Techniques</t>
        </is>
      </c>
      <c r="E7892" t="n">
        <v>5.4</v>
      </c>
      <c r="F7892" t="n">
        <v>1</v>
      </c>
      <c r="G7892" t="n">
        <v>12</v>
      </c>
      <c r="H7892" s="5">
        <f>HYPERLINK("https://api.qogita.com/variants/link/0079625442434/", "View Product")</f>
        <v/>
      </c>
    </row>
    <row r="7893">
      <c r="A7893" t="inlineStr">
        <is>
          <t>0079625446012</t>
        </is>
      </c>
      <c r="B7893" t="inlineStr">
        <is>
          <t>Real Techniques Face Extra Big Stippling Brush For Liquid And Cream Makeup</t>
        </is>
      </c>
      <c r="C7893" t="inlineStr">
        <is>
          <t>Foundation Brushes</t>
        </is>
      </c>
      <c r="D7893" t="inlineStr">
        <is>
          <t>Real Techniques</t>
        </is>
      </c>
      <c r="E7893" t="n">
        <v>8.619999999999999</v>
      </c>
      <c r="F7893" t="n">
        <v>1</v>
      </c>
      <c r="G7893" t="n">
        <v>4</v>
      </c>
      <c r="H7893" s="5">
        <f>HYPERLINK("https://api.qogita.com/variants/link/0079625446012/", "View Product")</f>
        <v/>
      </c>
    </row>
    <row r="7894">
      <c r="A7894" t="inlineStr">
        <is>
          <t>0085715000033</t>
        </is>
      </c>
      <c r="B7894" t="inlineStr">
        <is>
          <t>Guess Seductive Red Eau De Toilette</t>
        </is>
      </c>
      <c r="C7894" t="inlineStr">
        <is>
          <t>Eau De Toilette</t>
        </is>
      </c>
      <c r="D7894" t="inlineStr">
        <is>
          <t>Guess</t>
        </is>
      </c>
      <c r="E7894" t="n">
        <v>17.88</v>
      </c>
      <c r="F7894" t="n">
        <v>1</v>
      </c>
      <c r="G7894" t="n">
        <v>55</v>
      </c>
      <c r="H7894" s="5">
        <f>HYPERLINK("https://api.qogita.com/variants/link/0085715000033/", "View Product")</f>
        <v/>
      </c>
    </row>
    <row r="7895">
      <c r="A7895" t="inlineStr">
        <is>
          <t>0085715081001</t>
        </is>
      </c>
      <c r="B7895" t="inlineStr">
        <is>
          <t>Anna Sui Original Eau de Toilette Spray 30ml</t>
        </is>
      </c>
      <c r="C7895" t="inlineStr">
        <is>
          <t>Eau De Toilette</t>
        </is>
      </c>
      <c r="D7895" t="inlineStr">
        <is>
          <t>Anna Sui</t>
        </is>
      </c>
      <c r="E7895" t="n">
        <v>16.42</v>
      </c>
      <c r="F7895" t="n">
        <v>1</v>
      </c>
      <c r="G7895" t="n">
        <v>51</v>
      </c>
      <c r="H7895" s="5">
        <f>HYPERLINK("https://api.qogita.com/variants/link/0085715081001/", "View Product")</f>
        <v/>
      </c>
    </row>
    <row r="7896">
      <c r="A7896" t="inlineStr">
        <is>
          <t>0085715135322</t>
        </is>
      </c>
      <c r="B7896" t="inlineStr">
        <is>
          <t>Bebe Love for Women 3.4oz EDP Spray</t>
        </is>
      </c>
      <c r="C7896" t="inlineStr">
        <is>
          <t>Eau De Parfum</t>
        </is>
      </c>
      <c r="D7896" t="inlineStr">
        <is>
          <t>Bebe</t>
        </is>
      </c>
      <c r="E7896" t="n">
        <v>16.33</v>
      </c>
      <c r="F7896" t="n">
        <v>1</v>
      </c>
      <c r="G7896" t="n">
        <v>3</v>
      </c>
      <c r="H7896" s="5">
        <f>HYPERLINK("https://api.qogita.com/variants/link/0085715135322/", "View Product")</f>
        <v/>
      </c>
    </row>
    <row r="7897">
      <c r="A7897" t="inlineStr">
        <is>
          <t>0085715138132</t>
        </is>
      </c>
      <c r="B7897" t="inlineStr">
        <is>
          <t>Bebe Eau De Parfum 100ml Spray For Her</t>
        </is>
      </c>
      <c r="C7897" t="inlineStr">
        <is>
          <t>Eau De Parfum</t>
        </is>
      </c>
      <c r="D7897" t="inlineStr">
        <is>
          <t>Bebe</t>
        </is>
      </c>
      <c r="E7897" t="n">
        <v>16.63</v>
      </c>
      <c r="F7897" t="n">
        <v>1</v>
      </c>
      <c r="G7897" t="n">
        <v>3</v>
      </c>
      <c r="H7897" s="5">
        <f>HYPERLINK("https://api.qogita.com/variants/link/0085715138132/", "View Product")</f>
        <v/>
      </c>
    </row>
    <row r="7898">
      <c r="A7898" t="inlineStr">
        <is>
          <t>0085715163134</t>
        </is>
      </c>
      <c r="B7898" t="inlineStr">
        <is>
          <t>Abercrombie &amp; Fitch First Instinct For Men Eau De Toilette 30ml</t>
        </is>
      </c>
      <c r="C7898" t="inlineStr">
        <is>
          <t>Eau De Toilette</t>
        </is>
      </c>
      <c r="D7898" t="inlineStr">
        <is>
          <t>Abercrombie &amp; Fitch</t>
        </is>
      </c>
      <c r="E7898" t="n">
        <v>13.1</v>
      </c>
      <c r="F7898" t="n">
        <v>1</v>
      </c>
      <c r="G7898" t="n">
        <v>18</v>
      </c>
      <c r="H7898" s="5">
        <f>HYPERLINK("https://api.qogita.com/variants/link/0085715163134/", "View Product")</f>
        <v/>
      </c>
    </row>
    <row r="7899">
      <c r="A7899" t="inlineStr">
        <is>
          <t>0085715166517</t>
        </is>
      </c>
      <c r="B7899" t="inlineStr">
        <is>
          <t>Abercrombie &amp; Fitch Authentic Women Eau De Parfum 100ml</t>
        </is>
      </c>
      <c r="C7899" t="inlineStr">
        <is>
          <t>Eau De Parfum</t>
        </is>
      </c>
      <c r="D7899" t="inlineStr">
        <is>
          <t>Abercrombie &amp; Fitch</t>
        </is>
      </c>
      <c r="E7899" t="n">
        <v>28.59</v>
      </c>
      <c r="F7899" t="n">
        <v>1</v>
      </c>
      <c r="G7899" t="n">
        <v>184</v>
      </c>
      <c r="H7899" s="5">
        <f>HYPERLINK("https://api.qogita.com/variants/link/0085715166517/", "View Product")</f>
        <v/>
      </c>
    </row>
    <row r="7900">
      <c r="A7900" t="inlineStr">
        <is>
          <t>0085715166531</t>
        </is>
      </c>
      <c r="B7900" t="inlineStr">
        <is>
          <t>Abercrombie and Fitch Authentic Women Eau de Parfum 30ml</t>
        </is>
      </c>
      <c r="C7900" t="inlineStr">
        <is>
          <t>Eau De Parfum</t>
        </is>
      </c>
      <c r="D7900" t="inlineStr">
        <is>
          <t>Abercrombie &amp; Fitch</t>
        </is>
      </c>
      <c r="E7900" t="n">
        <v>19.53</v>
      </c>
      <c r="F7900" t="n">
        <v>1</v>
      </c>
      <c r="G7900" t="n">
        <v>14</v>
      </c>
      <c r="H7900" s="5">
        <f>HYPERLINK("https://api.qogita.com/variants/link/0085715166531/", "View Product")</f>
        <v/>
      </c>
    </row>
    <row r="7901">
      <c r="A7901" t="inlineStr">
        <is>
          <t>0085715166678</t>
        </is>
      </c>
      <c r="B7901" t="inlineStr">
        <is>
          <t>Abercrombie &amp; Fitch Eau De Cologne 50 Ml Set</t>
        </is>
      </c>
      <c r="C7901" t="inlineStr">
        <is>
          <t>Eau De Cologne</t>
        </is>
      </c>
      <c r="D7901" t="inlineStr">
        <is>
          <t>Abercrombie &amp; Fitch</t>
        </is>
      </c>
      <c r="E7901" t="n">
        <v>48.19</v>
      </c>
      <c r="F7901" t="n">
        <v>1</v>
      </c>
      <c r="G7901" t="n">
        <v>56</v>
      </c>
      <c r="H7901" s="5">
        <f>HYPERLINK("https://api.qogita.com/variants/link/0085715166678/", "View Product")</f>
        <v/>
      </c>
    </row>
    <row r="7902">
      <c r="A7902" t="inlineStr">
        <is>
          <t>0085715167217</t>
        </is>
      </c>
      <c r="B7902" t="inlineStr">
        <is>
          <t>Abercrombie &amp; Fitch First Instinct Blue Women Eau De Parfum Spray 50ml</t>
        </is>
      </c>
      <c r="C7902" t="inlineStr">
        <is>
          <t>Eau De Parfum</t>
        </is>
      </c>
      <c r="D7902" t="inlineStr">
        <is>
          <t>Abercrombie &amp; Fitch</t>
        </is>
      </c>
      <c r="E7902" t="n">
        <v>12.96</v>
      </c>
      <c r="F7902" t="n">
        <v>1</v>
      </c>
      <c r="G7902" t="n">
        <v>31</v>
      </c>
      <c r="H7902" s="5">
        <f>HYPERLINK("https://api.qogita.com/variants/link/0085715167217/", "View Product")</f>
        <v/>
      </c>
    </row>
    <row r="7903">
      <c r="A7903" t="inlineStr">
        <is>
          <t>0085715169020</t>
        </is>
      </c>
      <c r="B7903" t="inlineStr">
        <is>
          <t>Abercrombie &amp; Fitch Authentic Night For Women Eau de Parfum 100ml</t>
        </is>
      </c>
      <c r="C7903" t="inlineStr">
        <is>
          <t>Eau De Parfum</t>
        </is>
      </c>
      <c r="D7903" t="inlineStr">
        <is>
          <t>Abercrombie &amp; Fitch</t>
        </is>
      </c>
      <c r="E7903" t="n">
        <v>26.8</v>
      </c>
      <c r="F7903" t="n">
        <v>1</v>
      </c>
      <c r="G7903" t="n">
        <v>32</v>
      </c>
      <c r="H7903" s="5">
        <f>HYPERLINK("https://api.qogita.com/variants/link/0085715169020/", "View Product")</f>
        <v/>
      </c>
    </row>
    <row r="7904">
      <c r="A7904" t="inlineStr">
        <is>
          <t>0085715169327</t>
        </is>
      </c>
      <c r="B7904" t="inlineStr">
        <is>
          <t>Away Tonight Man Eau de Toilette Volume 30 ml</t>
        </is>
      </c>
      <c r="C7904" t="inlineStr">
        <is>
          <t>Eau De Toilette</t>
        </is>
      </c>
      <c r="D7904" t="inlineStr">
        <is>
          <t>Abercrombie &amp; Fitch</t>
        </is>
      </c>
      <c r="E7904" t="n">
        <v>10.84</v>
      </c>
      <c r="F7904" t="n">
        <v>1</v>
      </c>
      <c r="G7904" t="n">
        <v>40</v>
      </c>
      <c r="H7904" s="5">
        <f>HYPERLINK("https://api.qogita.com/variants/link/0085715169327/", "View Product")</f>
        <v/>
      </c>
    </row>
    <row r="7905">
      <c r="A7905" t="inlineStr">
        <is>
          <t>0085715169402</t>
        </is>
      </c>
      <c r="B7905" t="inlineStr">
        <is>
          <t>Away Weekend Men Eau de Toilette Volume 100 ml</t>
        </is>
      </c>
      <c r="C7905" t="inlineStr">
        <is>
          <t>Eau De Toilette</t>
        </is>
      </c>
      <c r="D7905" t="inlineStr">
        <is>
          <t>Abercrombie &amp; Fitch</t>
        </is>
      </c>
      <c r="E7905" t="n">
        <v>19.2</v>
      </c>
      <c r="F7905" t="n">
        <v>1</v>
      </c>
      <c r="G7905" t="n">
        <v>10</v>
      </c>
      <c r="H7905" s="5">
        <f>HYPERLINK("https://api.qogita.com/variants/link/0085715169402/", "View Product")</f>
        <v/>
      </c>
    </row>
    <row r="7906">
      <c r="A7906" t="inlineStr">
        <is>
          <t>0085715169501</t>
        </is>
      </c>
      <c r="B7906" t="inlineStr">
        <is>
          <t>Abercrombie &amp; Fitch Authentic Moment Men Eau De Toilette Spray 30ml</t>
        </is>
      </c>
      <c r="C7906" t="inlineStr">
        <is>
          <t>Eau De Toilette</t>
        </is>
      </c>
      <c r="D7906" t="inlineStr">
        <is>
          <t>Abercrombie &amp; Fitch</t>
        </is>
      </c>
      <c r="E7906" t="n">
        <v>16.1</v>
      </c>
      <c r="F7906" t="n">
        <v>1</v>
      </c>
      <c r="G7906" t="n">
        <v>14</v>
      </c>
      <c r="H7906" s="5">
        <f>HYPERLINK("https://api.qogita.com/variants/link/0085715169501/", "View Product")</f>
        <v/>
      </c>
    </row>
    <row r="7907">
      <c r="A7907" t="inlineStr">
        <is>
          <t>0085715169518</t>
        </is>
      </c>
      <c r="B7907" t="inlineStr">
        <is>
          <t>Abercrombie &amp; Fitch Authentic Moment Men Eau de Toilette 50ml Spray</t>
        </is>
      </c>
      <c r="C7907" t="inlineStr">
        <is>
          <t>Eau De Toilette</t>
        </is>
      </c>
      <c r="D7907" t="inlineStr">
        <is>
          <t>Abercrombie &amp; Fitch</t>
        </is>
      </c>
      <c r="E7907" t="n">
        <v>25.41</v>
      </c>
      <c r="F7907" t="n">
        <v>1</v>
      </c>
      <c r="G7907" t="n">
        <v>9</v>
      </c>
      <c r="H7907" s="5">
        <f>HYPERLINK("https://api.qogita.com/variants/link/0085715169518/", "View Product")</f>
        <v/>
      </c>
    </row>
    <row r="7908">
      <c r="A7908" t="inlineStr">
        <is>
          <t>0085715169587</t>
        </is>
      </c>
      <c r="B7908" t="inlineStr">
        <is>
          <t>Abercrombie &amp; Fitch Fierce Cologne Eau De Cologne 100ml</t>
        </is>
      </c>
      <c r="C7908" t="inlineStr">
        <is>
          <t>Eau De Cologne</t>
        </is>
      </c>
      <c r="D7908" t="inlineStr">
        <is>
          <t>Abercrombie &amp; Fitch</t>
        </is>
      </c>
      <c r="E7908" t="n">
        <v>53.76</v>
      </c>
      <c r="F7908" t="n">
        <v>1</v>
      </c>
      <c r="G7908" t="n">
        <v>14</v>
      </c>
      <c r="H7908" s="5">
        <f>HYPERLINK("https://api.qogita.com/variants/link/0085715169587/", "View Product")</f>
        <v/>
      </c>
    </row>
    <row r="7909">
      <c r="A7909" t="inlineStr">
        <is>
          <t>0085715169716</t>
        </is>
      </c>
      <c r="B7909" t="inlineStr">
        <is>
          <t>Abercrombie &amp; Fitch Away Man Eau De Toilette 50ml</t>
        </is>
      </c>
      <c r="C7909" t="inlineStr">
        <is>
          <t>Eau De Toilette</t>
        </is>
      </c>
      <c r="D7909" t="inlineStr">
        <is>
          <t>Abercrombie &amp; Fitch</t>
        </is>
      </c>
      <c r="E7909" t="n">
        <v>25.94</v>
      </c>
      <c r="F7909" t="n">
        <v>1</v>
      </c>
      <c r="G7909" t="n">
        <v>2</v>
      </c>
      <c r="H7909" s="5">
        <f>HYPERLINK("https://api.qogita.com/variants/link/0085715169716/", "View Product")</f>
        <v/>
      </c>
    </row>
    <row r="7910">
      <c r="A7910" t="inlineStr">
        <is>
          <t>0085715260017</t>
        </is>
      </c>
      <c r="B7910" t="inlineStr">
        <is>
          <t>Hollister Wave Eau De Toilette For Him 100ml</t>
        </is>
      </c>
      <c r="C7910" t="inlineStr">
        <is>
          <t>Eau De Toilette</t>
        </is>
      </c>
      <c r="D7910" t="inlineStr">
        <is>
          <t>Hollister</t>
        </is>
      </c>
      <c r="E7910" t="n">
        <v>15.28</v>
      </c>
      <c r="F7910" t="n">
        <v>1</v>
      </c>
      <c r="G7910" t="n">
        <v>22</v>
      </c>
      <c r="H7910" s="5">
        <f>HYPERLINK("https://api.qogita.com/variants/link/0085715260017/", "View Product")</f>
        <v/>
      </c>
    </row>
    <row r="7911">
      <c r="A7911" t="inlineStr">
        <is>
          <t>0085715267009</t>
        </is>
      </c>
      <c r="B7911" t="inlineStr">
        <is>
          <t>Hollister Canyon Escape for Her Eau de Parfum 100ml</t>
        </is>
      </c>
      <c r="C7911" t="inlineStr">
        <is>
          <t>Eau De Parfum</t>
        </is>
      </c>
      <c r="D7911" t="inlineStr">
        <is>
          <t>Hollister</t>
        </is>
      </c>
      <c r="E7911" t="n">
        <v>16.91</v>
      </c>
      <c r="F7911" t="n">
        <v>1</v>
      </c>
      <c r="G7911" t="n">
        <v>16</v>
      </c>
      <c r="H7911" s="5">
        <f>HYPERLINK("https://api.qogita.com/variants/link/0085715267009/", "View Product")</f>
        <v/>
      </c>
    </row>
    <row r="7912">
      <c r="A7912" t="inlineStr">
        <is>
          <t>0085715267023</t>
        </is>
      </c>
      <c r="B7912" t="inlineStr">
        <is>
          <t>Hollister Canyon Escape for Her Eau de Parfum 30ml</t>
        </is>
      </c>
      <c r="C7912" t="inlineStr">
        <is>
          <t>Eau De Parfum</t>
        </is>
      </c>
      <c r="D7912" t="inlineStr">
        <is>
          <t>Hollister</t>
        </is>
      </c>
      <c r="E7912" t="n">
        <v>10.2</v>
      </c>
      <c r="F7912" t="n">
        <v>1</v>
      </c>
      <c r="G7912" t="n">
        <v>2</v>
      </c>
      <c r="H7912" s="5">
        <f>HYPERLINK("https://api.qogita.com/variants/link/0085715267023/", "View Product")</f>
        <v/>
      </c>
    </row>
    <row r="7913">
      <c r="A7913" t="inlineStr">
        <is>
          <t>0085715267047</t>
        </is>
      </c>
      <c r="B7913" t="inlineStr">
        <is>
          <t>Canyon Escape for Him EDT Vapo 50ml</t>
        </is>
      </c>
      <c r="C7913" t="inlineStr">
        <is>
          <t>Eau De Toilette</t>
        </is>
      </c>
      <c r="D7913" t="inlineStr">
        <is>
          <t>Hollister</t>
        </is>
      </c>
      <c r="E7913" t="n">
        <v>13.5</v>
      </c>
      <c r="F7913" t="n">
        <v>1</v>
      </c>
      <c r="G7913" t="n">
        <v>10</v>
      </c>
      <c r="H7913" s="5">
        <f>HYPERLINK("https://api.qogita.com/variants/link/0085715267047/", "View Product")</f>
        <v/>
      </c>
    </row>
    <row r="7914">
      <c r="A7914" t="inlineStr">
        <is>
          <t>0085715267054</t>
        </is>
      </c>
      <c r="B7914" t="inlineStr">
        <is>
          <t>Hollister Canyon Escape for Him Eau de Toilette 30ml</t>
        </is>
      </c>
      <c r="C7914" t="inlineStr">
        <is>
          <t>Eau De Toilette</t>
        </is>
      </c>
      <c r="D7914" t="inlineStr">
        <is>
          <t>Hollister</t>
        </is>
      </c>
      <c r="E7914" t="n">
        <v>10.7</v>
      </c>
      <c r="F7914" t="n">
        <v>1</v>
      </c>
      <c r="G7914" t="n">
        <v>6</v>
      </c>
      <c r="H7914" s="5">
        <f>HYPERLINK("https://api.qogita.com/variants/link/0085715267054/", "View Product")</f>
        <v/>
      </c>
    </row>
    <row r="7915">
      <c r="A7915" t="inlineStr">
        <is>
          <t>0085715267504</t>
        </is>
      </c>
      <c r="B7915" t="inlineStr">
        <is>
          <t>Hollister Canyon Rush For Her Eau De Parfum 100ml</t>
        </is>
      </c>
      <c r="C7915" t="inlineStr">
        <is>
          <t>Eau De Parfum</t>
        </is>
      </c>
      <c r="D7915" t="inlineStr">
        <is>
          <t>Hollister</t>
        </is>
      </c>
      <c r="E7915" t="n">
        <v>17.59</v>
      </c>
      <c r="F7915" t="n">
        <v>1</v>
      </c>
      <c r="G7915" t="n">
        <v>2</v>
      </c>
      <c r="H7915" s="5">
        <f>HYPERLINK("https://api.qogita.com/variants/link/0085715267504/", "View Product")</f>
        <v/>
      </c>
    </row>
    <row r="7916">
      <c r="A7916" t="inlineStr">
        <is>
          <t>0085715267535</t>
        </is>
      </c>
      <c r="B7916" t="inlineStr">
        <is>
          <t>Hollister Canyon Rush For Him EDT 100ml</t>
        </is>
      </c>
      <c r="C7916" t="inlineStr">
        <is>
          <t>Eau De Toilette</t>
        </is>
      </c>
      <c r="D7916" t="inlineStr">
        <is>
          <t>Hollister</t>
        </is>
      </c>
      <c r="E7916" t="n">
        <v>14.76</v>
      </c>
      <c r="F7916" t="n">
        <v>1</v>
      </c>
      <c r="G7916" t="n">
        <v>31</v>
      </c>
      <c r="H7916" s="5">
        <f>HYPERLINK("https://api.qogita.com/variants/link/0085715267535/", "View Product")</f>
        <v/>
      </c>
    </row>
    <row r="7917">
      <c r="A7917" t="inlineStr">
        <is>
          <t>0085715267559</t>
        </is>
      </c>
      <c r="B7917" t="inlineStr">
        <is>
          <t>Hollister Canyon Rush For Him 1.0oz</t>
        </is>
      </c>
      <c r="C7917" t="inlineStr">
        <is>
          <t>Eau De Toilette</t>
        </is>
      </c>
      <c r="D7917" t="inlineStr">
        <is>
          <t>Hollister</t>
        </is>
      </c>
      <c r="E7917" t="n">
        <v>11.07</v>
      </c>
      <c r="F7917" t="n">
        <v>1</v>
      </c>
      <c r="G7917" t="n">
        <v>22</v>
      </c>
      <c r="H7917" s="5">
        <f>HYPERLINK("https://api.qogita.com/variants/link/0085715267559/", "View Product")</f>
        <v/>
      </c>
    </row>
    <row r="7918">
      <c r="A7918" t="inlineStr">
        <is>
          <t>0085715269584</t>
        </is>
      </c>
      <c r="B7918" t="inlineStr">
        <is>
          <t>Hollister Body Mist Malibu</t>
        </is>
      </c>
      <c r="C7918" t="inlineStr">
        <is>
          <t>Eau De Toilette</t>
        </is>
      </c>
      <c r="D7918" t="inlineStr">
        <is>
          <t>Hollister</t>
        </is>
      </c>
      <c r="E7918" t="n">
        <v>6.2</v>
      </c>
      <c r="F7918" t="n">
        <v>1</v>
      </c>
      <c r="G7918" t="n">
        <v>12</v>
      </c>
      <c r="H7918" s="5">
        <f>HYPERLINK("https://api.qogita.com/variants/link/0085715269584/", "View Product")</f>
        <v/>
      </c>
    </row>
    <row r="7919">
      <c r="A7919" t="inlineStr">
        <is>
          <t>0085715297174</t>
        </is>
      </c>
      <c r="B7919" t="inlineStr">
        <is>
          <t>ANNA SUI Fantasia Mermaid Eau De Toilette 50ml</t>
        </is>
      </c>
      <c r="C7919" t="inlineStr">
        <is>
          <t>Eau De Toilette</t>
        </is>
      </c>
      <c r="D7919" t="inlineStr">
        <is>
          <t>Anna Sui</t>
        </is>
      </c>
      <c r="E7919" t="n">
        <v>16.02</v>
      </c>
      <c r="F7919" t="n">
        <v>1</v>
      </c>
      <c r="G7919" t="n">
        <v>24</v>
      </c>
      <c r="H7919" s="5">
        <f>HYPERLINK("https://api.qogita.com/variants/link/0085715297174/", "View Product")</f>
        <v/>
      </c>
    </row>
    <row r="7920">
      <c r="A7920" t="inlineStr">
        <is>
          <t>0085715297228</t>
        </is>
      </c>
      <c r="B7920" t="inlineStr">
        <is>
          <t>Anna Sui Fantasia Mermaid EDT Spray 30ml Women's Perfume</t>
        </is>
      </c>
      <c r="C7920" t="inlineStr">
        <is>
          <t>Eau De Toilette</t>
        </is>
      </c>
      <c r="D7920" t="inlineStr">
        <is>
          <t>Anna Sui</t>
        </is>
      </c>
      <c r="E7920" t="n">
        <v>11.22</v>
      </c>
      <c r="F7920" t="n">
        <v>1</v>
      </c>
      <c r="G7920" t="n">
        <v>28</v>
      </c>
      <c r="H7920" s="5">
        <f>HYPERLINK("https://api.qogita.com/variants/link/0085715297228/", "View Product")</f>
        <v/>
      </c>
    </row>
    <row r="7921">
      <c r="A7921" t="inlineStr">
        <is>
          <t>0085715320261</t>
        </is>
      </c>
      <c r="B7921" t="inlineStr">
        <is>
          <t>GUESS Seductive Noir Fragrance Body Mist Spray for Women 230ml</t>
        </is>
      </c>
      <c r="C7921" t="inlineStr">
        <is>
          <t>Eau De Toilette</t>
        </is>
      </c>
      <c r="D7921" t="inlineStr">
        <is>
          <t>Guess</t>
        </is>
      </c>
      <c r="E7921" t="n">
        <v>7.54</v>
      </c>
      <c r="F7921" t="n">
        <v>1</v>
      </c>
      <c r="G7921" t="n">
        <v>50</v>
      </c>
      <c r="H7921" s="5">
        <f>HYPERLINK("https://api.qogita.com/variants/link/0085715320261/", "View Product")</f>
        <v/>
      </c>
    </row>
    <row r="7922">
      <c r="A7922" t="inlineStr">
        <is>
          <t>0085715320513</t>
        </is>
      </c>
      <c r="B7922" t="inlineStr">
        <is>
          <t>Guess Eau De Parfum Spray for Women 2.5 Fl Oz</t>
        </is>
      </c>
      <c r="C7922" t="inlineStr">
        <is>
          <t>Eau De Parfum</t>
        </is>
      </c>
      <c r="D7922" t="inlineStr">
        <is>
          <t>Guess</t>
        </is>
      </c>
      <c r="E7922" t="n">
        <v>14.17</v>
      </c>
      <c r="F7922" t="n">
        <v>1</v>
      </c>
      <c r="G7922" t="n">
        <v>4806</v>
      </c>
      <c r="H7922" s="5">
        <f>HYPERLINK("https://api.qogita.com/variants/link/0085715320513/", "View Product")</f>
        <v/>
      </c>
    </row>
    <row r="7923">
      <c r="A7923" t="inlineStr">
        <is>
          <t>0085715320544</t>
        </is>
      </c>
      <c r="B7923" t="inlineStr">
        <is>
          <t>Gold Eau de Parfum for Women 75ml</t>
        </is>
      </c>
      <c r="C7923" t="inlineStr">
        <is>
          <t>Eau De Parfum</t>
        </is>
      </c>
      <c r="D7923" t="inlineStr">
        <is>
          <t>Guess</t>
        </is>
      </c>
      <c r="E7923" t="n">
        <v>18.6</v>
      </c>
      <c r="F7923" t="n">
        <v>1</v>
      </c>
      <c r="G7923" t="n">
        <v>13</v>
      </c>
      <c r="H7923" s="5">
        <f>HYPERLINK("https://api.qogita.com/variants/link/0085715320544/", "View Product")</f>
        <v/>
      </c>
    </row>
    <row r="7924">
      <c r="A7924" t="inlineStr">
        <is>
          <t>0085715320704</t>
        </is>
      </c>
      <c r="B7924" t="inlineStr">
        <is>
          <t>Guess Gold Eau De Toilette Spray for Men 2.5 Oz</t>
        </is>
      </c>
      <c r="C7924" t="inlineStr">
        <is>
          <t>Eau De Toilette</t>
        </is>
      </c>
      <c r="D7924" t="inlineStr">
        <is>
          <t>Guess</t>
        </is>
      </c>
      <c r="E7924" t="n">
        <v>17.63</v>
      </c>
      <c r="F7924" t="n">
        <v>1</v>
      </c>
      <c r="G7924" t="n">
        <v>23</v>
      </c>
      <c r="H7924" s="5">
        <f>HYPERLINK("https://api.qogita.com/variants/link/0085715320704/", "View Product")</f>
        <v/>
      </c>
    </row>
    <row r="7925">
      <c r="A7925" t="inlineStr">
        <is>
          <t>0085715320766</t>
        </is>
      </c>
      <c r="B7925" t="inlineStr">
        <is>
          <t>Guess For Men 5.1 oz EDT Spray 150.83 ml</t>
        </is>
      </c>
      <c r="C7925" t="inlineStr">
        <is>
          <t>Eau De Toilette</t>
        </is>
      </c>
      <c r="D7925" t="inlineStr">
        <is>
          <t>Guess</t>
        </is>
      </c>
      <c r="E7925" t="n">
        <v>21.55</v>
      </c>
      <c r="F7925" t="n">
        <v>1</v>
      </c>
      <c r="G7925" t="n">
        <v>2</v>
      </c>
      <c r="H7925" s="5">
        <f>HYPERLINK("https://api.qogita.com/variants/link/0085715320766/", "View Product")</f>
        <v/>
      </c>
    </row>
    <row r="7926">
      <c r="A7926" t="inlineStr">
        <is>
          <t>0085715321442</t>
        </is>
      </c>
      <c r="B7926" t="inlineStr">
        <is>
          <t>Guess Girl Belle Bodyspray 250ml for Women</t>
        </is>
      </c>
      <c r="C7926" t="inlineStr">
        <is>
          <t>Eau De Parfum</t>
        </is>
      </c>
      <c r="D7926" t="inlineStr">
        <is>
          <t>Guess</t>
        </is>
      </c>
      <c r="E7926" t="n">
        <v>6.96</v>
      </c>
      <c r="F7926" t="n">
        <v>1</v>
      </c>
      <c r="G7926" t="n">
        <v>5</v>
      </c>
      <c r="H7926" s="5">
        <f>HYPERLINK("https://api.qogita.com/variants/link/0085715321442/", "View Product")</f>
        <v/>
      </c>
    </row>
    <row r="7927">
      <c r="A7927" t="inlineStr">
        <is>
          <t>0085715321572</t>
        </is>
      </c>
      <c r="B7927" t="inlineStr">
        <is>
          <t>Guess 1981 For Women Fragrance Mist 8.4 Oz 248.42 Ml</t>
        </is>
      </c>
      <c r="C7927" t="inlineStr">
        <is>
          <t>Eau De Toilette</t>
        </is>
      </c>
      <c r="D7927" t="inlineStr">
        <is>
          <t>Guess</t>
        </is>
      </c>
      <c r="E7927" t="n">
        <v>7.11</v>
      </c>
      <c r="F7927" t="n">
        <v>1</v>
      </c>
      <c r="G7927" t="n">
        <v>61</v>
      </c>
      <c r="H7927" s="5">
        <f>HYPERLINK("https://api.qogita.com/variants/link/0085715321572/", "View Product")</f>
        <v/>
      </c>
    </row>
    <row r="7928">
      <c r="A7928" t="inlineStr">
        <is>
          <t>0085715321695</t>
        </is>
      </c>
      <c r="B7928" t="inlineStr">
        <is>
          <t>Guess Seductive Homme Eau De Toilette 150ml</t>
        </is>
      </c>
      <c r="C7928" t="inlineStr">
        <is>
          <t>Eau De Toilette</t>
        </is>
      </c>
      <c r="D7928" t="inlineStr">
        <is>
          <t>Guess</t>
        </is>
      </c>
      <c r="E7928" t="n">
        <v>20.46</v>
      </c>
      <c r="F7928" t="n">
        <v>1</v>
      </c>
      <c r="G7928" t="n">
        <v>34</v>
      </c>
      <c r="H7928" s="5">
        <f>HYPERLINK("https://api.qogita.com/variants/link/0085715321695/", "View Product")</f>
        <v/>
      </c>
    </row>
    <row r="7929">
      <c r="A7929" t="inlineStr">
        <is>
          <t>0085715323194</t>
        </is>
      </c>
      <c r="B7929" t="inlineStr">
        <is>
          <t>Guess Originals Type 1 Bergamot and Vetiver Eau de Parfum 3.4oz</t>
        </is>
      </c>
      <c r="C7929" t="inlineStr">
        <is>
          <t>Eau De Parfum</t>
        </is>
      </c>
      <c r="D7929" t="inlineStr">
        <is>
          <t>Guess</t>
        </is>
      </c>
      <c r="E7929" t="n">
        <v>25.34</v>
      </c>
      <c r="F7929" t="n">
        <v>1</v>
      </c>
      <c r="G7929" t="n">
        <v>3</v>
      </c>
      <c r="H7929" s="5">
        <f>HYPERLINK("https://api.qogita.com/variants/link/0085715323194/", "View Product")</f>
        <v/>
      </c>
    </row>
    <row r="7930">
      <c r="A7930" t="inlineStr">
        <is>
          <t>0085715324283</t>
        </is>
      </c>
      <c r="B7930" t="inlineStr">
        <is>
          <t>GUESS Seductive Blue Women Eau de Toilette Perfume Spray 2.5 Fl. Oz.</t>
        </is>
      </c>
      <c r="C7930" t="inlineStr">
        <is>
          <t>Eau De Toilette</t>
        </is>
      </c>
      <c r="D7930" t="inlineStr">
        <is>
          <t>Guess</t>
        </is>
      </c>
      <c r="E7930" t="n">
        <v>17.83</v>
      </c>
      <c r="F7930" t="n">
        <v>1</v>
      </c>
      <c r="G7930" t="n">
        <v>23</v>
      </c>
      <c r="H7930" s="5">
        <f>HYPERLINK("https://api.qogita.com/variants/link/0085715324283/", "View Product")</f>
        <v/>
      </c>
    </row>
    <row r="7931">
      <c r="A7931" t="inlineStr">
        <is>
          <t>0085715324290</t>
        </is>
      </c>
      <c r="B7931" t="inlineStr">
        <is>
          <t>GUESS Seductive Blue 250ml Women's Fragrance</t>
        </is>
      </c>
      <c r="C7931" t="inlineStr">
        <is>
          <t>Eau De Parfum</t>
        </is>
      </c>
      <c r="D7931" t="inlineStr">
        <is>
          <t>Guess</t>
        </is>
      </c>
      <c r="E7931" t="n">
        <v>9.41</v>
      </c>
      <c r="F7931" t="n">
        <v>1</v>
      </c>
      <c r="G7931" t="n">
        <v>22</v>
      </c>
      <c r="H7931" s="5">
        <f>HYPERLINK("https://api.qogita.com/variants/link/0085715324290/", "View Product")</f>
        <v/>
      </c>
    </row>
    <row r="7932">
      <c r="A7932" t="inlineStr">
        <is>
          <t>0085715326928</t>
        </is>
      </c>
      <c r="B7932" t="inlineStr">
        <is>
          <t>GUESS Love Sunkissed Flirtation Fragrance Mist 250ml</t>
        </is>
      </c>
      <c r="C7932" t="inlineStr">
        <is>
          <t>Fragrance Sets</t>
        </is>
      </c>
      <c r="D7932" t="inlineStr">
        <is>
          <t>Guess</t>
        </is>
      </c>
      <c r="E7932" t="n">
        <v>7.08</v>
      </c>
      <c r="F7932" t="n">
        <v>1</v>
      </c>
      <c r="G7932" t="n">
        <v>7</v>
      </c>
      <c r="H7932" s="5">
        <f>HYPERLINK("https://api.qogita.com/variants/link/0085715326928/", "View Product")</f>
        <v/>
      </c>
    </row>
    <row r="7933">
      <c r="A7933" t="inlineStr">
        <is>
          <t>0085715326935</t>
        </is>
      </c>
      <c r="B7933" t="inlineStr">
        <is>
          <t>Guess Destination Shimmer Mist 250ml Floral</t>
        </is>
      </c>
      <c r="C7933" t="inlineStr">
        <is>
          <t>Eau De Toilette</t>
        </is>
      </c>
      <c r="D7933" t="inlineStr">
        <is>
          <t>Guess</t>
        </is>
      </c>
      <c r="E7933" t="n">
        <v>6.91</v>
      </c>
      <c r="F7933" t="n">
        <v>1</v>
      </c>
      <c r="G7933" t="n">
        <v>325</v>
      </c>
      <c r="H7933" s="5">
        <f>HYPERLINK("https://api.qogita.com/variants/link/0085715326935/", "View Product")</f>
        <v/>
      </c>
    </row>
    <row r="7934">
      <c r="A7934" t="inlineStr">
        <is>
          <t>0085715326959</t>
        </is>
      </c>
      <c r="B7934" t="inlineStr">
        <is>
          <t>Guess Sexy Skin Tropical Breeze Fragrance Mist 8.4 Oz</t>
        </is>
      </c>
      <c r="C7934" t="inlineStr">
        <is>
          <t>Eau De Toilette</t>
        </is>
      </c>
      <c r="D7934" t="inlineStr">
        <is>
          <t>Guess</t>
        </is>
      </c>
      <c r="E7934" t="n">
        <v>7.88</v>
      </c>
      <c r="F7934" t="n">
        <v>1</v>
      </c>
      <c r="G7934" t="n">
        <v>4</v>
      </c>
      <c r="H7934" s="5">
        <f>HYPERLINK("https://api.qogita.com/variants/link/0085715326959/", "View Product")</f>
        <v/>
      </c>
    </row>
    <row r="7935">
      <c r="A7935" t="inlineStr">
        <is>
          <t>0085715327048</t>
        </is>
      </c>
      <c r="B7935" t="inlineStr">
        <is>
          <t>Guess Sexy Skin Wildflower Fragrance Mist for Women 23g</t>
        </is>
      </c>
      <c r="C7935" t="inlineStr">
        <is>
          <t>Eau De Toilette</t>
        </is>
      </c>
      <c r="D7935" t="inlineStr">
        <is>
          <t>Guess</t>
        </is>
      </c>
      <c r="E7935" t="n">
        <v>9.34</v>
      </c>
      <c r="F7935" t="n">
        <v>1</v>
      </c>
      <c r="G7935" t="n">
        <v>15</v>
      </c>
      <c r="H7935" s="5">
        <f>HYPERLINK("https://api.qogita.com/variants/link/0085715327048/", "View Product")</f>
        <v/>
      </c>
    </row>
    <row r="7936">
      <c r="A7936" t="inlineStr">
        <is>
          <t>0085715327062</t>
        </is>
      </c>
      <c r="B7936" t="inlineStr">
        <is>
          <t>Guess Sexy Skin Metallique Champagne Fragrance Mist for Women 8.4 Fl Oz</t>
        </is>
      </c>
      <c r="C7936" t="inlineStr">
        <is>
          <t>Fragrance Sets</t>
        </is>
      </c>
      <c r="D7936" t="inlineStr">
        <is>
          <t>Guess</t>
        </is>
      </c>
      <c r="E7936" t="n">
        <v>9.83</v>
      </c>
      <c r="F7936" t="n">
        <v>1</v>
      </c>
      <c r="G7936" t="n">
        <v>18</v>
      </c>
      <c r="H7936" s="5">
        <f>HYPERLINK("https://api.qogita.com/variants/link/0085715327062/", "View Product")</f>
        <v/>
      </c>
    </row>
    <row r="7937">
      <c r="A7937" t="inlineStr">
        <is>
          <t>0085715327086</t>
        </is>
      </c>
      <c r="B7937" t="inlineStr">
        <is>
          <t>Guess Sexy Skin Metallique Martini Fragrance Mist for Women 8.4 Fl Oz</t>
        </is>
      </c>
      <c r="C7937" t="inlineStr">
        <is>
          <t>Eau De Toilette</t>
        </is>
      </c>
      <c r="D7937" t="inlineStr">
        <is>
          <t>Guess</t>
        </is>
      </c>
      <c r="E7937" t="n">
        <v>9.83</v>
      </c>
      <c r="F7937" t="n">
        <v>1</v>
      </c>
      <c r="G7937" t="n">
        <v>18</v>
      </c>
      <c r="H7937" s="5">
        <f>HYPERLINK("https://api.qogita.com/variants/link/0085715327086/", "View Product")</f>
        <v/>
      </c>
    </row>
    <row r="7938">
      <c r="A7938" t="inlineStr">
        <is>
          <t>0085715327130</t>
        </is>
      </c>
      <c r="B7938" t="inlineStr">
        <is>
          <t>GUESS Destination Mykonos Breeze Shimmer Body Mist Spray 8.4 fl oz</t>
        </is>
      </c>
      <c r="C7938" t="inlineStr">
        <is>
          <t>Eau De Toilette</t>
        </is>
      </c>
      <c r="D7938" t="inlineStr">
        <is>
          <t>Guess</t>
        </is>
      </c>
      <c r="E7938" t="n">
        <v>7.45</v>
      </c>
      <c r="F7938" t="n">
        <v>1</v>
      </c>
      <c r="G7938" t="n">
        <v>11</v>
      </c>
      <c r="H7938" s="5">
        <f>HYPERLINK("https://api.qogita.com/variants/link/0085715327130/", "View Product")</f>
        <v/>
      </c>
    </row>
    <row r="7939">
      <c r="A7939" t="inlineStr">
        <is>
          <t>0085715331502</t>
        </is>
      </c>
      <c r="B7939" t="inlineStr">
        <is>
          <t>Guess Seductive Charm for Women 2.5 Oz EDT Spray 73.94g</t>
        </is>
      </c>
      <c r="C7939" t="inlineStr">
        <is>
          <t>Eau De Toilette</t>
        </is>
      </c>
      <c r="D7939" t="inlineStr">
        <is>
          <t>Guess</t>
        </is>
      </c>
      <c r="E7939" t="n">
        <v>18.44</v>
      </c>
      <c r="F7939" t="n">
        <v>1</v>
      </c>
      <c r="G7939" t="n">
        <v>5</v>
      </c>
      <c r="H7939" s="5">
        <f>HYPERLINK("https://api.qogita.com/variants/link/0085715331502/", "View Product")</f>
        <v/>
      </c>
    </row>
    <row r="7940">
      <c r="A7940" t="inlineStr">
        <is>
          <t>0085715331540</t>
        </is>
      </c>
      <c r="B7940" t="inlineStr">
        <is>
          <t>Guess Seductive Dream Fragrance Mist for Women 8.4 Fl Oz</t>
        </is>
      </c>
      <c r="C7940" t="inlineStr">
        <is>
          <t>Eau De Toilette</t>
        </is>
      </c>
      <c r="D7940" t="inlineStr">
        <is>
          <t>Guess</t>
        </is>
      </c>
      <c r="E7940" t="n">
        <v>8.300000000000001</v>
      </c>
      <c r="F7940" t="n">
        <v>1</v>
      </c>
      <c r="G7940" t="n">
        <v>11</v>
      </c>
      <c r="H7940" s="5">
        <f>HYPERLINK("https://api.qogita.com/variants/link/0085715331540/", "View Product")</f>
        <v/>
      </c>
    </row>
    <row r="7941">
      <c r="A7941" t="inlineStr">
        <is>
          <t>0085715566027</t>
        </is>
      </c>
      <c r="B7941" t="inlineStr">
        <is>
          <t>Oscar De La Renta Alibi Eau De Parfum 100ml</t>
        </is>
      </c>
      <c r="C7941" t="inlineStr">
        <is>
          <t>Eau De Parfum</t>
        </is>
      </c>
      <c r="D7941" t="inlineStr">
        <is>
          <t>Oscar De La Renta</t>
        </is>
      </c>
      <c r="E7941" t="n">
        <v>27.61</v>
      </c>
      <c r="F7941" t="n">
        <v>1</v>
      </c>
      <c r="G7941" t="n">
        <v>24</v>
      </c>
      <c r="H7941" s="5">
        <f>HYPERLINK("https://api.qogita.com/variants/link/0085715566027/", "View Product")</f>
        <v/>
      </c>
    </row>
    <row r="7942">
      <c r="A7942" t="inlineStr">
        <is>
          <t>0085715566409</t>
        </is>
      </c>
      <c r="B7942" t="inlineStr">
        <is>
          <t>Oscar De La Renta Alibi Sensuelle Eau De Parfum 100ml</t>
        </is>
      </c>
      <c r="C7942" t="inlineStr">
        <is>
          <t>Eau De Parfum</t>
        </is>
      </c>
      <c r="D7942" t="inlineStr">
        <is>
          <t>Oscar De La Renta</t>
        </is>
      </c>
      <c r="E7942" t="n">
        <v>33.76</v>
      </c>
      <c r="F7942" t="n">
        <v>1</v>
      </c>
      <c r="G7942" t="n">
        <v>10</v>
      </c>
      <c r="H7942" s="5">
        <f>HYPERLINK("https://api.qogita.com/variants/link/0085715566409/", "View Product")</f>
        <v/>
      </c>
    </row>
    <row r="7943">
      <c r="A7943" t="inlineStr">
        <is>
          <t>0085715566423</t>
        </is>
      </c>
      <c r="B7943" t="inlineStr">
        <is>
          <t>Oscar de la Renta Alibi Eau Sensuelle Eau de Parfum Perfume Spray For Women 1 Fl Oz</t>
        </is>
      </c>
      <c r="C7943" t="inlineStr">
        <is>
          <t>Eau De Parfum</t>
        </is>
      </c>
      <c r="D7943" t="inlineStr">
        <is>
          <t>Oscar De La Renta</t>
        </is>
      </c>
      <c r="E7943" t="n">
        <v>17.22</v>
      </c>
      <c r="F7943" t="n">
        <v>1</v>
      </c>
      <c r="G7943" t="n">
        <v>2</v>
      </c>
      <c r="H7943" s="5">
        <f>HYPERLINK("https://api.qogita.com/variants/link/0085715566423/", "View Product")</f>
        <v/>
      </c>
    </row>
    <row r="7944">
      <c r="A7944" t="inlineStr">
        <is>
          <t>0085715568274</t>
        </is>
      </c>
      <c r="B7944" t="inlineStr">
        <is>
          <t>Oscar De La Renta Alibi Eau So Lucky - Eau De Toilette</t>
        </is>
      </c>
      <c r="C7944" t="inlineStr">
        <is>
          <t>Eau De Toilette</t>
        </is>
      </c>
      <c r="D7944" t="inlineStr">
        <is>
          <t>Oscar De La Renta</t>
        </is>
      </c>
      <c r="E7944" t="n">
        <v>28.2</v>
      </c>
      <c r="F7944" t="n">
        <v>1</v>
      </c>
      <c r="G7944" t="n">
        <v>6</v>
      </c>
      <c r="H7944" s="5">
        <f>HYPERLINK("https://api.qogita.com/variants/link/0085715568274/", "View Product")</f>
        <v/>
      </c>
    </row>
    <row r="7945">
      <c r="A7945" t="inlineStr">
        <is>
          <t>0085715571007</t>
        </is>
      </c>
      <c r="B7945" t="inlineStr">
        <is>
          <t>Oscar De La Renta Eau De Cologne for Women 100ml</t>
        </is>
      </c>
      <c r="C7945" t="inlineStr">
        <is>
          <t>Eau De Cologne</t>
        </is>
      </c>
      <c r="D7945" t="inlineStr">
        <is>
          <t>Oscar De La Renta</t>
        </is>
      </c>
      <c r="E7945" t="n">
        <v>31.53</v>
      </c>
      <c r="F7945" t="n">
        <v>1</v>
      </c>
      <c r="G7945" t="n">
        <v>14</v>
      </c>
      <c r="H7945" s="5">
        <f>HYPERLINK("https://api.qogita.com/variants/link/0085715571007/", "View Product")</f>
        <v/>
      </c>
    </row>
    <row r="7946">
      <c r="A7946" t="inlineStr">
        <is>
          <t>0085715571502</t>
        </is>
      </c>
      <c r="B7946" t="inlineStr">
        <is>
          <t>Oscar De La Renta Oscar 200ml EDT Spray</t>
        </is>
      </c>
      <c r="C7946" t="inlineStr">
        <is>
          <t>Eau De Toilette</t>
        </is>
      </c>
      <c r="D7946" t="inlineStr">
        <is>
          <t>Oscar De La Renta</t>
        </is>
      </c>
      <c r="E7946" t="n">
        <v>35.41</v>
      </c>
      <c r="F7946" t="n">
        <v>1</v>
      </c>
      <c r="G7946" t="n">
        <v>25</v>
      </c>
      <c r="H7946" s="5">
        <f>HYPERLINK("https://api.qogita.com/variants/link/0085715571502/", "View Product")</f>
        <v/>
      </c>
    </row>
    <row r="7947">
      <c r="A7947" t="inlineStr">
        <is>
          <t>0085715573452</t>
        </is>
      </c>
      <c r="B7947" t="inlineStr">
        <is>
          <t>Oscar De La Renta Esprit D'Oscar Eau De Parfum Spray 100ml</t>
        </is>
      </c>
      <c r="C7947" t="inlineStr">
        <is>
          <t>Eau De Parfum</t>
        </is>
      </c>
      <c r="D7947" t="inlineStr">
        <is>
          <t>Oscar De La Renta</t>
        </is>
      </c>
      <c r="E7947" t="n">
        <v>18.1</v>
      </c>
      <c r="F7947" t="n">
        <v>1</v>
      </c>
      <c r="G7947" t="n">
        <v>52</v>
      </c>
      <c r="H7947" s="5">
        <f>HYPERLINK("https://api.qogita.com/variants/link/0085715573452/", "View Product")</f>
        <v/>
      </c>
    </row>
    <row r="7948">
      <c r="A7948" t="inlineStr">
        <is>
          <t>0085715583161</t>
        </is>
      </c>
      <c r="B7948" t="inlineStr">
        <is>
          <t>Oscar De La Renta Volupte Women's Eau De Toilette 100ml</t>
        </is>
      </c>
      <c r="C7948" t="inlineStr">
        <is>
          <t>Eau De Toilette</t>
        </is>
      </c>
      <c r="D7948" t="inlineStr">
        <is>
          <t>Oscar De La Renta</t>
        </is>
      </c>
      <c r="E7948" t="n">
        <v>17.68</v>
      </c>
      <c r="F7948" t="n">
        <v>1</v>
      </c>
      <c r="G7948" t="n">
        <v>14</v>
      </c>
      <c r="H7948" s="5">
        <f>HYPERLINK("https://api.qogita.com/variants/link/0085715583161/", "View Product")</f>
        <v/>
      </c>
    </row>
    <row r="7949">
      <c r="A7949" t="inlineStr">
        <is>
          <t>0085715587169</t>
        </is>
      </c>
      <c r="B7949" t="inlineStr">
        <is>
          <t>So De La Renta Eau De Toilette Spray for Women 100ml</t>
        </is>
      </c>
      <c r="C7949" t="inlineStr">
        <is>
          <t>Eau De Toilette</t>
        </is>
      </c>
      <c r="D7949" t="inlineStr">
        <is>
          <t>Oscar De La Renta</t>
        </is>
      </c>
      <c r="E7949" t="n">
        <v>15.95</v>
      </c>
      <c r="F7949" t="n">
        <v>1</v>
      </c>
      <c r="G7949" t="n">
        <v>14</v>
      </c>
      <c r="H7949" s="5">
        <f>HYPERLINK("https://api.qogita.com/variants/link/0085715587169/", "View Product")</f>
        <v/>
      </c>
    </row>
    <row r="7950">
      <c r="A7950" t="inlineStr">
        <is>
          <t>0085715710307</t>
        </is>
      </c>
      <c r="B7950" t="inlineStr">
        <is>
          <t>Agent Provocateur Signature Eau de Parfum 200ml</t>
        </is>
      </c>
      <c r="C7950" t="inlineStr">
        <is>
          <t>Eau De Parfum</t>
        </is>
      </c>
      <c r="D7950" t="inlineStr">
        <is>
          <t>Agent Provocateur</t>
        </is>
      </c>
      <c r="E7950" t="n">
        <v>27.09</v>
      </c>
      <c r="F7950" t="n">
        <v>1</v>
      </c>
      <c r="G7950" t="n">
        <v>8</v>
      </c>
      <c r="H7950" s="5">
        <f>HYPERLINK("https://api.qogita.com/variants/link/0085715710307/", "View Product")</f>
        <v/>
      </c>
    </row>
    <row r="7951">
      <c r="A7951" t="inlineStr">
        <is>
          <t>0085715801562</t>
        </is>
      </c>
      <c r="B7951" t="inlineStr">
        <is>
          <t>Alfred Dunhill Desire Blue Eau de Toilette Spray For Men 50ml</t>
        </is>
      </c>
      <c r="C7951" t="inlineStr">
        <is>
          <t>Eau De Toilette</t>
        </is>
      </c>
      <c r="D7951" t="inlineStr">
        <is>
          <t>Alfred Dunhill</t>
        </is>
      </c>
      <c r="E7951" t="n">
        <v>26.22</v>
      </c>
      <c r="F7951" t="n">
        <v>1</v>
      </c>
      <c r="G7951" t="n">
        <v>7</v>
      </c>
      <c r="H7951" s="5">
        <f>HYPERLINK("https://api.qogita.com/variants/link/0085715801562/", "View Product")</f>
        <v/>
      </c>
    </row>
    <row r="7952">
      <c r="A7952" t="inlineStr">
        <is>
          <t>0085715801623</t>
        </is>
      </c>
      <c r="B7952" t="inlineStr">
        <is>
          <t>Dunhill Desire Blue Eau de Toilette 150ml Spray</t>
        </is>
      </c>
      <c r="C7952" t="inlineStr">
        <is>
          <t>Eau De Toilette</t>
        </is>
      </c>
      <c r="D7952" t="inlineStr">
        <is>
          <t>Alfred Dunhill</t>
        </is>
      </c>
      <c r="E7952" t="n">
        <v>31.23</v>
      </c>
      <c r="F7952" t="n">
        <v>1</v>
      </c>
      <c r="G7952" t="n">
        <v>25</v>
      </c>
      <c r="H7952" s="5">
        <f>HYPERLINK("https://api.qogita.com/variants/link/0085715801623/", "View Product")</f>
        <v/>
      </c>
    </row>
    <row r="7953">
      <c r="A7953" t="inlineStr">
        <is>
          <t>0085715805812</t>
        </is>
      </c>
      <c r="B7953" t="inlineStr">
        <is>
          <t>Alfred Dunhill Eau De Toilette Spray 100ml</t>
        </is>
      </c>
      <c r="C7953" t="inlineStr">
        <is>
          <t>Eau De Toilette</t>
        </is>
      </c>
      <c r="D7953" t="inlineStr">
        <is>
          <t>Alfred Dunhill</t>
        </is>
      </c>
      <c r="E7953" t="n">
        <v>17.21</v>
      </c>
      <c r="F7953" t="n">
        <v>1</v>
      </c>
      <c r="G7953" t="n">
        <v>53</v>
      </c>
      <c r="H7953" s="5">
        <f>HYPERLINK("https://api.qogita.com/variants/link/0085715805812/", "View Product")</f>
        <v/>
      </c>
    </row>
    <row r="7954">
      <c r="A7954" t="inlineStr">
        <is>
          <t>0085715806192</t>
        </is>
      </c>
      <c r="B7954" t="inlineStr">
        <is>
          <t>Alfred Dunhill Icon Absolute For Men 3.4oz EDP Spray</t>
        </is>
      </c>
      <c r="C7954" t="inlineStr">
        <is>
          <t>Eau De Parfum</t>
        </is>
      </c>
      <c r="D7954" t="inlineStr">
        <is>
          <t>Dunhill</t>
        </is>
      </c>
      <c r="E7954" t="n">
        <v>32.55</v>
      </c>
      <c r="F7954" t="n">
        <v>1</v>
      </c>
      <c r="G7954" t="n">
        <v>20</v>
      </c>
      <c r="H7954" s="5">
        <f>HYPERLINK("https://api.qogita.com/variants/link/0085715806192/", "View Product")</f>
        <v/>
      </c>
    </row>
    <row r="7955">
      <c r="A7955" t="inlineStr">
        <is>
          <t>0085715806352</t>
        </is>
      </c>
      <c r="B7955" t="inlineStr">
        <is>
          <t>Alfred Dunhill Icon Racing Blue For Men 3.4oz EDP Spray</t>
        </is>
      </c>
      <c r="C7955" t="inlineStr">
        <is>
          <t>Eau De Parfum</t>
        </is>
      </c>
      <c r="D7955" t="inlineStr">
        <is>
          <t>Dunhill</t>
        </is>
      </c>
      <c r="E7955" t="n">
        <v>23.46</v>
      </c>
      <c r="F7955" t="n">
        <v>1</v>
      </c>
      <c r="G7955" t="n">
        <v>32</v>
      </c>
      <c r="H7955" s="5">
        <f>HYPERLINK("https://api.qogita.com/variants/link/0085715806352/", "View Product")</f>
        <v/>
      </c>
    </row>
    <row r="7956">
      <c r="A7956" t="inlineStr">
        <is>
          <t>0085715806628</t>
        </is>
      </c>
      <c r="B7956" t="inlineStr">
        <is>
          <t>Dunhill Signature Collection Moroccan Amber EDP Spray 100ml</t>
        </is>
      </c>
      <c r="C7956" t="inlineStr">
        <is>
          <t>Eau De Parfum</t>
        </is>
      </c>
      <c r="D7956" t="inlineStr">
        <is>
          <t>Dunhill</t>
        </is>
      </c>
      <c r="E7956" t="n">
        <v>43.96</v>
      </c>
      <c r="F7956" t="n">
        <v>1</v>
      </c>
      <c r="G7956" t="n">
        <v>6</v>
      </c>
      <c r="H7956" s="5">
        <f>HYPERLINK("https://api.qogita.com/variants/link/0085715806628/", "View Product")</f>
        <v/>
      </c>
    </row>
    <row r="7957">
      <c r="A7957" t="inlineStr">
        <is>
          <t>0085715806642</t>
        </is>
      </c>
      <c r="B7957" t="inlineStr">
        <is>
          <t>Dunhill Indian Sandalwood Eau De Parfum Spray 100ml</t>
        </is>
      </c>
      <c r="C7957" t="inlineStr">
        <is>
          <t>Eau De Parfum</t>
        </is>
      </c>
      <c r="D7957" t="inlineStr">
        <is>
          <t>Dunhill</t>
        </is>
      </c>
      <c r="E7957" t="n">
        <v>44.21</v>
      </c>
      <c r="F7957" t="n">
        <v>1</v>
      </c>
      <c r="G7957" t="n">
        <v>10</v>
      </c>
      <c r="H7957" s="5">
        <f>HYPERLINK("https://api.qogita.com/variants/link/0085715806642/", "View Product")</f>
        <v/>
      </c>
    </row>
    <row r="7958">
      <c r="A7958" t="inlineStr">
        <is>
          <t>0085715950062</t>
        </is>
      </c>
      <c r="B7958" t="inlineStr">
        <is>
          <t>DKNY Be 100% Delicious Eau de Parfum 50ml</t>
        </is>
      </c>
      <c r="C7958" t="inlineStr">
        <is>
          <t>Eau De Parfum</t>
        </is>
      </c>
      <c r="D7958" t="inlineStr">
        <is>
          <t>DKNY</t>
        </is>
      </c>
      <c r="E7958" t="n">
        <v>16.49</v>
      </c>
      <c r="F7958" t="n">
        <v>1</v>
      </c>
      <c r="G7958" t="n">
        <v>55</v>
      </c>
      <c r="H7958" s="5">
        <f>HYPERLINK("https://api.qogita.com/variants/link/0085715950062/", "View Product")</f>
        <v/>
      </c>
    </row>
    <row r="7959">
      <c r="A7959" t="inlineStr">
        <is>
          <t>0085715950086</t>
        </is>
      </c>
      <c r="B7959" t="inlineStr">
        <is>
          <t>Blossom Be Delicious Karan EDP Spray 3.4 Oz Floral 100ml</t>
        </is>
      </c>
      <c r="C7959" t="inlineStr">
        <is>
          <t>Eau De Parfum</t>
        </is>
      </c>
      <c r="D7959" t="inlineStr">
        <is>
          <t>DKNY</t>
        </is>
      </c>
      <c r="E7959" t="n">
        <v>22.29</v>
      </c>
      <c r="F7959" t="n">
        <v>1</v>
      </c>
      <c r="G7959" t="n">
        <v>160</v>
      </c>
      <c r="H7959" s="5">
        <f>HYPERLINK("https://api.qogita.com/variants/link/0085715950086/", "View Product")</f>
        <v/>
      </c>
    </row>
    <row r="7960">
      <c r="A7960" t="inlineStr">
        <is>
          <t>0085715950130</t>
        </is>
      </c>
      <c r="B7960" t="inlineStr">
        <is>
          <t>DKNY Golden Delicious Eau De Parfum 30ml</t>
        </is>
      </c>
      <c r="C7960" t="inlineStr">
        <is>
          <t>Eau De Parfum</t>
        </is>
      </c>
      <c r="D7960" t="inlineStr">
        <is>
          <t>DKNY</t>
        </is>
      </c>
      <c r="E7960" t="n">
        <v>20.08</v>
      </c>
      <c r="F7960" t="n">
        <v>1</v>
      </c>
      <c r="G7960" t="n">
        <v>62</v>
      </c>
      <c r="H7960" s="5">
        <f>HYPERLINK("https://api.qogita.com/variants/link/0085715950130/", "View Product")</f>
        <v/>
      </c>
    </row>
    <row r="7961">
      <c r="A7961" t="inlineStr">
        <is>
          <t>0085715950161</t>
        </is>
      </c>
      <c r="B7961" t="inlineStr">
        <is>
          <t>DKNY Be Extra Delicious Eau de Parfum 30ml</t>
        </is>
      </c>
      <c r="C7961" t="inlineStr">
        <is>
          <t>Eau De Parfum</t>
        </is>
      </c>
      <c r="D7961" t="inlineStr">
        <is>
          <t>DKNY</t>
        </is>
      </c>
      <c r="E7961" t="n">
        <v>21.44</v>
      </c>
      <c r="F7961" t="n">
        <v>1</v>
      </c>
      <c r="G7961" t="n">
        <v>5</v>
      </c>
      <c r="H7961" s="5">
        <f>HYPERLINK("https://api.qogita.com/variants/link/0085715950161/", "View Product")</f>
        <v/>
      </c>
    </row>
    <row r="7962">
      <c r="A7962" t="inlineStr">
        <is>
          <t>0085715950376</t>
        </is>
      </c>
      <c r="B7962" t="inlineStr">
        <is>
          <t>DKNY Be Delicious Coconuts About Summer Eau de Toilette</t>
        </is>
      </c>
      <c r="C7962" t="inlineStr">
        <is>
          <t>Eau De Toilette</t>
        </is>
      </c>
      <c r="D7962" t="inlineStr">
        <is>
          <t>DKNY</t>
        </is>
      </c>
      <c r="E7962" t="n">
        <v>22.03</v>
      </c>
      <c r="F7962" t="n">
        <v>1</v>
      </c>
      <c r="G7962" t="n">
        <v>91</v>
      </c>
      <c r="H7962" s="5">
        <f>HYPERLINK("https://api.qogita.com/variants/link/0085715950376/", "View Product")</f>
        <v/>
      </c>
    </row>
    <row r="7963">
      <c r="A7963" t="inlineStr">
        <is>
          <t>0085715950413</t>
        </is>
      </c>
      <c r="B7963" t="inlineStr">
        <is>
          <t>DKNY Be Delicious Orchard St. Eau de Parfum 100ml</t>
        </is>
      </c>
      <c r="C7963" t="inlineStr">
        <is>
          <t>Eau De Parfum</t>
        </is>
      </c>
      <c r="D7963" t="inlineStr">
        <is>
          <t>DKNY</t>
        </is>
      </c>
      <c r="E7963" t="n">
        <v>23.82</v>
      </c>
      <c r="F7963" t="n">
        <v>1</v>
      </c>
      <c r="G7963" t="n">
        <v>18</v>
      </c>
      <c r="H7963" s="5">
        <f>HYPERLINK("https://api.qogita.com/variants/link/0085715950413/", "View Product")</f>
        <v/>
      </c>
    </row>
    <row r="7964">
      <c r="A7964" t="inlineStr">
        <is>
          <t>0085715950444</t>
        </is>
      </c>
      <c r="B7964" t="inlineStr">
        <is>
          <t>Donna Karan Dkny 247 Eau De Perfume Spray 100ml</t>
        </is>
      </c>
      <c r="C7964" t="inlineStr">
        <is>
          <t>Eau De Parfum</t>
        </is>
      </c>
      <c r="D7964" t="inlineStr">
        <is>
          <t>DKNY</t>
        </is>
      </c>
      <c r="E7964" t="n">
        <v>44.72</v>
      </c>
      <c r="F7964" t="n">
        <v>1</v>
      </c>
      <c r="G7964" t="n">
        <v>18</v>
      </c>
      <c r="H7964" s="5">
        <f>HYPERLINK("https://api.qogita.com/variants/link/0085715950444/", "View Product")</f>
        <v/>
      </c>
    </row>
    <row r="7965">
      <c r="A7965" t="inlineStr">
        <is>
          <t>0085715950512</t>
        </is>
      </c>
      <c r="B7965" t="inlineStr">
        <is>
          <t>DKNY Be Delicious Fresh Blossom Fragrance Mist For Women 8.4 Fl. Oz.</t>
        </is>
      </c>
      <c r="C7965" t="inlineStr">
        <is>
          <t>Eau De Toilette</t>
        </is>
      </c>
      <c r="D7965" t="inlineStr">
        <is>
          <t>DKNY</t>
        </is>
      </c>
      <c r="E7965" t="n">
        <v>10.23</v>
      </c>
      <c r="F7965" t="n">
        <v>1</v>
      </c>
      <c r="G7965" t="n">
        <v>124</v>
      </c>
      <c r="H7965" s="5">
        <f>HYPERLINK("https://api.qogita.com/variants/link/0085715950512/", "View Product")</f>
        <v/>
      </c>
    </row>
    <row r="7966">
      <c r="A7966" t="inlineStr">
        <is>
          <t>0085715952417</t>
        </is>
      </c>
      <c r="B7966" t="inlineStr">
        <is>
          <t>DKNY Be Delicious Ice Pop Eau De Parfum Spray for Women - Very Cherry</t>
        </is>
      </c>
      <c r="C7966" t="inlineStr">
        <is>
          <t>Eau De Parfum</t>
        </is>
      </c>
      <c r="D7966" t="inlineStr">
        <is>
          <t>DKNY</t>
        </is>
      </c>
      <c r="E7966" t="n">
        <v>21.06</v>
      </c>
      <c r="F7966" t="n">
        <v>1</v>
      </c>
      <c r="G7966" t="n">
        <v>6</v>
      </c>
      <c r="H7966" s="5">
        <f>HYPERLINK("https://api.qogita.com/variants/link/0085715952417/", "View Product")</f>
        <v/>
      </c>
    </row>
    <row r="7967">
      <c r="A7967" t="inlineStr">
        <is>
          <t>0085805004651</t>
        </is>
      </c>
      <c r="B7967" t="inlineStr">
        <is>
          <t>Elizabeth Arden Provocotive Women Eau de Parfum 30ml</t>
        </is>
      </c>
      <c r="C7967" t="inlineStr">
        <is>
          <t>Eau De Parfum</t>
        </is>
      </c>
      <c r="D7967" t="inlineStr">
        <is>
          <t>Elizabeth Arden</t>
        </is>
      </c>
      <c r="E7967" t="n">
        <v>8.26</v>
      </c>
      <c r="F7967" t="n">
        <v>1</v>
      </c>
      <c r="G7967" t="n">
        <v>23</v>
      </c>
      <c r="H7967" s="5">
        <f>HYPERLINK("https://api.qogita.com/variants/link/0085805004651/", "View Product")</f>
        <v/>
      </c>
    </row>
    <row r="7968">
      <c r="A7968" t="inlineStr">
        <is>
          <t>0085805004675</t>
        </is>
      </c>
      <c r="B7968" t="inlineStr">
        <is>
          <t>Elizabeth Arden Provocative Women Eau De Parfum 100ml</t>
        </is>
      </c>
      <c r="C7968" t="inlineStr">
        <is>
          <t>Eau De Parfum</t>
        </is>
      </c>
      <c r="D7968" t="inlineStr">
        <is>
          <t>Elizabeth Arden</t>
        </is>
      </c>
      <c r="E7968" t="n">
        <v>17.32</v>
      </c>
      <c r="F7968" t="n">
        <v>1</v>
      </c>
      <c r="G7968" t="n">
        <v>14</v>
      </c>
      <c r="H7968" s="5">
        <f>HYPERLINK("https://api.qogita.com/variants/link/0085805004675/", "View Product")</f>
        <v/>
      </c>
    </row>
    <row r="7969">
      <c r="A7969" t="inlineStr">
        <is>
          <t>0085805063665</t>
        </is>
      </c>
      <c r="B7969" t="inlineStr">
        <is>
          <t>Christina Aguilera Definition Fine Fragrance Mist 236ml</t>
        </is>
      </c>
      <c r="C7969" t="inlineStr">
        <is>
          <t>Eau De Toilette</t>
        </is>
      </c>
      <c r="D7969" t="inlineStr">
        <is>
          <t>Christina Aguilera</t>
        </is>
      </c>
      <c r="E7969" t="n">
        <v>15.26</v>
      </c>
      <c r="F7969" t="n">
        <v>1</v>
      </c>
      <c r="G7969" t="n">
        <v>14</v>
      </c>
      <c r="H7969" s="5">
        <f>HYPERLINK("https://api.qogita.com/variants/link/0085805063665/", "View Product")</f>
        <v/>
      </c>
    </row>
    <row r="7970">
      <c r="A7970" t="inlineStr">
        <is>
          <t>0085805066925</t>
        </is>
      </c>
      <c r="B7970" t="inlineStr">
        <is>
          <t>Elizabeth Arden Green Tea Energizing Bath and Shower Gel 500ml</t>
        </is>
      </c>
      <c r="C7970" t="inlineStr">
        <is>
          <t>Shower Gel</t>
        </is>
      </c>
      <c r="D7970" t="inlineStr">
        <is>
          <t>Elizabeth Arden</t>
        </is>
      </c>
      <c r="E7970" t="n">
        <v>10.08</v>
      </c>
      <c r="F7970" t="n">
        <v>1</v>
      </c>
      <c r="G7970" t="n">
        <v>12</v>
      </c>
      <c r="H7970" s="5">
        <f>HYPERLINK("https://api.qogita.com/variants/link/0085805066925/", "View Product")</f>
        <v/>
      </c>
    </row>
    <row r="7971">
      <c r="A7971" t="inlineStr">
        <is>
          <t>0085805100865</t>
        </is>
      </c>
      <c r="B7971" t="inlineStr">
        <is>
          <t>Elizabeth Arden Green Tea Lavender Eau De Toilette 100ml</t>
        </is>
      </c>
      <c r="C7971" t="inlineStr">
        <is>
          <t>Eau De Toilette</t>
        </is>
      </c>
      <c r="D7971" t="inlineStr">
        <is>
          <t>Elizabeth Arden</t>
        </is>
      </c>
      <c r="E7971" t="n">
        <v>8.199999999999999</v>
      </c>
      <c r="F7971" t="n">
        <v>1</v>
      </c>
      <c r="G7971" t="n">
        <v>242</v>
      </c>
      <c r="H7971" s="5">
        <f>HYPERLINK("https://api.qogita.com/variants/link/0085805100865/", "View Product")</f>
        <v/>
      </c>
    </row>
    <row r="7972">
      <c r="A7972" t="inlineStr">
        <is>
          <t>0085805100872</t>
        </is>
      </c>
      <c r="B7972" t="inlineStr">
        <is>
          <t>Elizabeth Arden Green Tea Lavender Eau De Toilette 100ml For Women</t>
        </is>
      </c>
      <c r="C7972" t="inlineStr">
        <is>
          <t>Eau De Toilette</t>
        </is>
      </c>
      <c r="D7972" t="inlineStr">
        <is>
          <t>Elizabeth Arden</t>
        </is>
      </c>
      <c r="E7972" t="n">
        <v>5.21</v>
      </c>
      <c r="F7972" t="n">
        <v>1</v>
      </c>
      <c r="G7972" t="n">
        <v>6</v>
      </c>
      <c r="H7972" s="5">
        <f>HYPERLINK("https://api.qogita.com/variants/link/0085805100872/", "View Product")</f>
        <v/>
      </c>
    </row>
    <row r="7973">
      <c r="A7973" t="inlineStr">
        <is>
          <t>0085805132026</t>
        </is>
      </c>
      <c r="B7973" t="inlineStr">
        <is>
          <t>Elizabeth Arden Eight Hour Cream Skin Protectant Lightly Scented 50ml</t>
        </is>
      </c>
      <c r="C7973" t="inlineStr">
        <is>
          <t>Face Cream</t>
        </is>
      </c>
      <c r="D7973" t="inlineStr">
        <is>
          <t>Elizabeth Arden</t>
        </is>
      </c>
      <c r="E7973" t="n">
        <v>16.72</v>
      </c>
      <c r="F7973" t="n">
        <v>1</v>
      </c>
      <c r="G7973" t="n">
        <v>18</v>
      </c>
      <c r="H7973" s="5">
        <f>HYPERLINK("https://api.qogita.com/variants/link/0085805132026/", "View Product")</f>
        <v/>
      </c>
    </row>
    <row r="7974">
      <c r="A7974" t="inlineStr">
        <is>
          <t>0085805139568</t>
        </is>
      </c>
      <c r="B7974" t="inlineStr">
        <is>
          <t>Elizabeth Arden Eight Hour Hand Cream Lip Balm &amp; Skin Protectant</t>
        </is>
      </c>
      <c r="C7974" t="inlineStr">
        <is>
          <t>Hand Care Sets</t>
        </is>
      </c>
      <c r="D7974" t="inlineStr">
        <is>
          <t>Elizabeth Arden</t>
        </is>
      </c>
      <c r="E7974" t="n">
        <v>33.32</v>
      </c>
      <c r="F7974" t="n">
        <v>1</v>
      </c>
      <c r="G7974" t="n">
        <v>35</v>
      </c>
      <c r="H7974" s="5">
        <f>HYPERLINK("https://api.qogita.com/variants/link/0085805139568/", "View Product")</f>
        <v/>
      </c>
    </row>
    <row r="7975">
      <c r="A7975" t="inlineStr">
        <is>
          <t>0085805151119</t>
        </is>
      </c>
      <c r="B7975" t="inlineStr">
        <is>
          <t>Elizabeth Arden Flawless Finish Sponge-on Cream Make-Up 23g Softly Beige</t>
        </is>
      </c>
      <c r="C7975" t="inlineStr">
        <is>
          <t>Foundation</t>
        </is>
      </c>
      <c r="D7975" t="inlineStr">
        <is>
          <t>Elizabeth Arden</t>
        </is>
      </c>
      <c r="E7975" t="n">
        <v>22.61</v>
      </c>
      <c r="F7975" t="n">
        <v>1</v>
      </c>
      <c r="G7975" t="n">
        <v>6</v>
      </c>
      <c r="H7975" s="5">
        <f>HYPERLINK("https://api.qogita.com/variants/link/0085805151119/", "View Product")</f>
        <v/>
      </c>
    </row>
    <row r="7976">
      <c r="A7976" t="inlineStr">
        <is>
          <t>0085805152093</t>
        </is>
      </c>
      <c r="B7976" t="inlineStr">
        <is>
          <t>Elizabeth Arden Eight Hour Intensive Lip Repair Balm 15ml</t>
        </is>
      </c>
      <c r="C7976" t="inlineStr">
        <is>
          <t>Lip Balm</t>
        </is>
      </c>
      <c r="D7976" t="inlineStr">
        <is>
          <t>Elizabeth Arden</t>
        </is>
      </c>
      <c r="E7976" t="n">
        <v>12.23</v>
      </c>
      <c r="F7976" t="n">
        <v>1</v>
      </c>
      <c r="G7976" t="n">
        <v>77</v>
      </c>
      <c r="H7976" s="5">
        <f>HYPERLINK("https://api.qogita.com/variants/link/0085805152093/", "View Product")</f>
        <v/>
      </c>
    </row>
    <row r="7977">
      <c r="A7977" t="inlineStr">
        <is>
          <t>0085805156602</t>
        </is>
      </c>
      <c r="B7977" t="inlineStr">
        <is>
          <t>Elizabeth Arden 5th Avenue NYC Eau De Parfum Spray for Her 125ml</t>
        </is>
      </c>
      <c r="C7977" t="inlineStr">
        <is>
          <t>Eau De Parfum</t>
        </is>
      </c>
      <c r="D7977" t="inlineStr">
        <is>
          <t>Elizabeth Arden</t>
        </is>
      </c>
      <c r="E7977" t="n">
        <v>13.42</v>
      </c>
      <c r="F7977" t="n">
        <v>1</v>
      </c>
      <c r="G7977" t="n">
        <v>64</v>
      </c>
      <c r="H7977" s="5">
        <f>HYPERLINK("https://api.qogita.com/variants/link/0085805156602/", "View Product")</f>
        <v/>
      </c>
    </row>
    <row r="7978">
      <c r="A7978" t="inlineStr">
        <is>
          <t>0085805185190</t>
        </is>
      </c>
      <c r="B7978" t="inlineStr">
        <is>
          <t>Elizabeth Arden Eight Hour Cream The Original Face Cream - Day Cream - 50 Ml</t>
        </is>
      </c>
      <c r="C7978" t="inlineStr">
        <is>
          <t>Day Cream</t>
        </is>
      </c>
      <c r="D7978" t="inlineStr">
        <is>
          <t>Elizabeth Arden</t>
        </is>
      </c>
      <c r="E7978" t="n">
        <v>21.89</v>
      </c>
      <c r="F7978" t="n">
        <v>1</v>
      </c>
      <c r="G7978" t="n">
        <v>2</v>
      </c>
      <c r="H7978" s="5">
        <f>HYPERLINK("https://api.qogita.com/variants/link/0085805185190/", "View Product")</f>
        <v/>
      </c>
    </row>
    <row r="7979">
      <c r="A7979" t="inlineStr">
        <is>
          <t>0085805197858</t>
        </is>
      </c>
      <c r="B7979" t="inlineStr">
        <is>
          <t>Elizabeth Arden Ceramide Gold Ultra Restorative Capsules 45 Capsules 21ml / 0.71 fl.oz.</t>
        </is>
      </c>
      <c r="C7979" t="inlineStr">
        <is>
          <t>Ampoules</t>
        </is>
      </c>
      <c r="D7979" t="inlineStr">
        <is>
          <t>Elizabeth Arden</t>
        </is>
      </c>
      <c r="E7979" t="n">
        <v>32.36</v>
      </c>
      <c r="F7979" t="n">
        <v>1</v>
      </c>
      <c r="G7979" t="n">
        <v>36</v>
      </c>
      <c r="H7979" s="5">
        <f>HYPERLINK("https://api.qogita.com/variants/link/0085805197858/", "View Product")</f>
        <v/>
      </c>
    </row>
    <row r="7980">
      <c r="A7980" t="inlineStr">
        <is>
          <t>0085805199531</t>
        </is>
      </c>
      <c r="B7980" t="inlineStr">
        <is>
          <t>Elizabeth Arden Sunflowers Sunlight Kiss EDT Vapo 100ml</t>
        </is>
      </c>
      <c r="C7980" t="inlineStr">
        <is>
          <t>Eau De Toilette</t>
        </is>
      </c>
      <c r="D7980" t="inlineStr">
        <is>
          <t>Elizabeth Arden</t>
        </is>
      </c>
      <c r="E7980" t="n">
        <v>9.300000000000001</v>
      </c>
      <c r="F7980" t="n">
        <v>1</v>
      </c>
      <c r="G7980" t="n">
        <v>65</v>
      </c>
      <c r="H7980" s="5">
        <f>HYPERLINK("https://api.qogita.com/variants/link/0085805199531/", "View Product")</f>
        <v/>
      </c>
    </row>
    <row r="7981">
      <c r="A7981" t="inlineStr">
        <is>
          <t>0085805210489</t>
        </is>
      </c>
      <c r="B7981" t="inlineStr">
        <is>
          <t>Elizabeth Arden White Tea Body Water Cream 225ml Floral Fragrance Nourishing Hydrating Body Care</t>
        </is>
      </c>
      <c r="C7981" t="inlineStr">
        <is>
          <t>Body Lotion</t>
        </is>
      </c>
      <c r="D7981" t="inlineStr">
        <is>
          <t>Elizabeth Arden</t>
        </is>
      </c>
      <c r="E7981" t="n">
        <v>11.8</v>
      </c>
      <c r="F7981" t="n">
        <v>1</v>
      </c>
      <c r="G7981" t="n">
        <v>7</v>
      </c>
      <c r="H7981" s="5">
        <f>HYPERLINK("https://api.qogita.com/variants/link/0085805210489/", "View Product")</f>
        <v/>
      </c>
    </row>
    <row r="7982">
      <c r="A7982" t="inlineStr">
        <is>
          <t>0085805211530</t>
        </is>
      </c>
      <c r="B7982" t="inlineStr">
        <is>
          <t>Elizabeth Arden Advanced Light Ceramide Capsules Strengthening and Refining Serum Anti-Aging Skincare for Day and Night</t>
        </is>
      </c>
      <c r="C7982" t="inlineStr">
        <is>
          <t>Anti-Aging Serum</t>
        </is>
      </c>
      <c r="D7982" t="inlineStr">
        <is>
          <t>Elizabeth Arden</t>
        </is>
      </c>
      <c r="E7982" t="n">
        <v>38.18</v>
      </c>
      <c r="F7982" t="n">
        <v>1</v>
      </c>
      <c r="G7982" t="n">
        <v>3</v>
      </c>
      <c r="H7982" s="5">
        <f>HYPERLINK("https://api.qogita.com/variants/link/0085805211530/", "View Product")</f>
        <v/>
      </c>
    </row>
    <row r="7983">
      <c r="A7983" t="inlineStr">
        <is>
          <t>0085805216542</t>
        </is>
      </c>
      <c r="B7983" t="inlineStr">
        <is>
          <t>Elizabeth Arden Eight Hour Cream Skin Protectant</t>
        </is>
      </c>
      <c r="C7983" t="inlineStr">
        <is>
          <t>Face Cream</t>
        </is>
      </c>
      <c r="D7983" t="inlineStr">
        <is>
          <t>Elizabeth Arden</t>
        </is>
      </c>
      <c r="E7983" t="n">
        <v>16.37</v>
      </c>
      <c r="F7983" t="n">
        <v>1</v>
      </c>
      <c r="G7983" t="n">
        <v>30</v>
      </c>
      <c r="H7983" s="5">
        <f>HYPERLINK("https://api.qogita.com/variants/link/0085805216542/", "View Product")</f>
        <v/>
      </c>
    </row>
    <row r="7984">
      <c r="A7984" t="inlineStr">
        <is>
          <t>0085805223878</t>
        </is>
      </c>
      <c r="B7984" t="inlineStr">
        <is>
          <t>Elizabeth Arden Eight Hour Heroes Set</t>
        </is>
      </c>
      <c r="C7984" t="inlineStr">
        <is>
          <t>Facial Care Sets</t>
        </is>
      </c>
      <c r="D7984" t="inlineStr">
        <is>
          <t>Elizabeth Arden</t>
        </is>
      </c>
      <c r="E7984" t="n">
        <v>14.85</v>
      </c>
      <c r="F7984" t="n">
        <v>1</v>
      </c>
      <c r="G7984" t="n">
        <v>7</v>
      </c>
      <c r="H7984" s="5">
        <f>HYPERLINK("https://api.qogita.com/variants/link/0085805223878/", "View Product")</f>
        <v/>
      </c>
    </row>
    <row r="7985">
      <c r="A7985" t="inlineStr">
        <is>
          <t>0085805226763</t>
        </is>
      </c>
      <c r="B7985" t="inlineStr">
        <is>
          <t>Elizabeth Arden Flawless Finish Skincaring Foundation 340W 30ml</t>
        </is>
      </c>
      <c r="C7985" t="inlineStr">
        <is>
          <t>Foundation</t>
        </is>
      </c>
      <c r="D7985" t="inlineStr">
        <is>
          <t>Elizabeth Arden</t>
        </is>
      </c>
      <c r="E7985" t="n">
        <v>21.59</v>
      </c>
      <c r="F7985" t="n">
        <v>1</v>
      </c>
      <c r="G7985" t="n">
        <v>3</v>
      </c>
      <c r="H7985" s="5">
        <f>HYPERLINK("https://api.qogita.com/variants/link/0085805226763/", "View Product")</f>
        <v/>
      </c>
    </row>
    <row r="7986">
      <c r="A7986" t="inlineStr">
        <is>
          <t>0085805228422</t>
        </is>
      </c>
      <c r="B7986" t="inlineStr">
        <is>
          <t>Elizabeth Arden White Tea Eau De Toilette Wild Rose 100ml</t>
        </is>
      </c>
      <c r="C7986" t="inlineStr">
        <is>
          <t>Eau De Toilette</t>
        </is>
      </c>
      <c r="D7986" t="inlineStr">
        <is>
          <t>Elizabeth Arden</t>
        </is>
      </c>
      <c r="E7986" t="n">
        <v>21.29</v>
      </c>
      <c r="F7986" t="n">
        <v>1</v>
      </c>
      <c r="G7986" t="n">
        <v>19</v>
      </c>
      <c r="H7986" s="5">
        <f>HYPERLINK("https://api.qogita.com/variants/link/0085805228422/", "View Product")</f>
        <v/>
      </c>
    </row>
    <row r="7987">
      <c r="A7987" t="inlineStr">
        <is>
          <t>0085805231934</t>
        </is>
      </c>
      <c r="B7987" t="inlineStr">
        <is>
          <t>Elizabeth Arden Ceramide Vitamine C Capsules 60 Units</t>
        </is>
      </c>
      <c r="C7987" t="inlineStr">
        <is>
          <t>Vitamin Serum</t>
        </is>
      </c>
      <c r="D7987" t="inlineStr">
        <is>
          <t>Elizabeth Arden</t>
        </is>
      </c>
      <c r="E7987" t="n">
        <v>42.93</v>
      </c>
      <c r="F7987" t="n">
        <v>1</v>
      </c>
      <c r="G7987" t="n">
        <v>23</v>
      </c>
      <c r="H7987" s="5">
        <f>HYPERLINK("https://api.qogita.com/variants/link/0085805231934/", "View Product")</f>
        <v/>
      </c>
    </row>
    <row r="7988">
      <c r="A7988" t="inlineStr">
        <is>
          <t>0085805231941</t>
        </is>
      </c>
      <c r="B7988" t="inlineStr">
        <is>
          <t>Elizabeth Arden Vitamin C Ceramide Capsules Radiance Renewal Serum 30 Face Capsules</t>
        </is>
      </c>
      <c r="C7988" t="inlineStr">
        <is>
          <t>Vitamin Serum</t>
        </is>
      </c>
      <c r="D7988" t="inlineStr">
        <is>
          <t>Elizabeth Arden</t>
        </is>
      </c>
      <c r="E7988" t="n">
        <v>25.87</v>
      </c>
      <c r="F7988" t="n">
        <v>1</v>
      </c>
      <c r="G7988" t="n">
        <v>5</v>
      </c>
      <c r="H7988" s="5">
        <f>HYPERLINK("https://api.qogita.com/variants/link/0085805231941/", "View Product")</f>
        <v/>
      </c>
    </row>
    <row r="7989">
      <c r="A7989" t="inlineStr">
        <is>
          <t>0085805242916</t>
        </is>
      </c>
      <c r="B7989" t="inlineStr">
        <is>
          <t>White Tea Skin Solutions Gentle Purifying Cleanser 125ml</t>
        </is>
      </c>
      <c r="C7989" t="inlineStr">
        <is>
          <t>Cleansing Milk</t>
        </is>
      </c>
      <c r="D7989" t="inlineStr">
        <is>
          <t>Elizabeth Arden</t>
        </is>
      </c>
      <c r="E7989" t="n">
        <v>13.11</v>
      </c>
      <c r="F7989" t="n">
        <v>1</v>
      </c>
      <c r="G7989" t="n">
        <v>26</v>
      </c>
      <c r="H7989" s="5">
        <f>HYPERLINK("https://api.qogita.com/variants/link/0085805242916/", "View Product")</f>
        <v/>
      </c>
    </row>
    <row r="7990">
      <c r="A7990" t="inlineStr">
        <is>
          <t>0085805247959</t>
        </is>
      </c>
      <c r="B7990" t="inlineStr">
        <is>
          <t>Elizabeth Arden White Tea Skin Solutions Moisture Toning Lotion 200ml</t>
        </is>
      </c>
      <c r="C7990" t="inlineStr">
        <is>
          <t>Facial Spray</t>
        </is>
      </c>
      <c r="D7990" t="inlineStr">
        <is>
          <t>Elizabeth Arden</t>
        </is>
      </c>
      <c r="E7990" t="n">
        <v>17.94</v>
      </c>
      <c r="F7990" t="n">
        <v>1</v>
      </c>
      <c r="G7990" t="n">
        <v>22</v>
      </c>
      <c r="H7990" s="5">
        <f>HYPERLINK("https://api.qogita.com/variants/link/0085805247959/", "View Product")</f>
        <v/>
      </c>
    </row>
    <row r="7991">
      <c r="A7991" t="inlineStr">
        <is>
          <t>0085805255619</t>
        </is>
      </c>
      <c r="B7991" t="inlineStr">
        <is>
          <t>Crema Manos Eight Hour Mega Hand Cream 200 ml</t>
        </is>
      </c>
      <c r="C7991" t="inlineStr">
        <is>
          <t>Hand Cream</t>
        </is>
      </c>
      <c r="D7991" t="inlineStr">
        <is>
          <t>Elizabeth Arden</t>
        </is>
      </c>
      <c r="E7991" t="n">
        <v>15.82</v>
      </c>
      <c r="F7991" t="n">
        <v>1</v>
      </c>
      <c r="G7991" t="n">
        <v>5</v>
      </c>
      <c r="H7991" s="5">
        <f>HYPERLINK("https://api.qogita.com/variants/link/0085805255619/", "View Product")</f>
        <v/>
      </c>
    </row>
    <row r="7992">
      <c r="A7992" t="inlineStr">
        <is>
          <t>0085805259471</t>
        </is>
      </c>
      <c r="B7992" t="inlineStr">
        <is>
          <t>Elizabeth Arden PREVAGE Anti-Aging Overnight Cream with Idebenone 50ml</t>
        </is>
      </c>
      <c r="C7992" t="inlineStr">
        <is>
          <t>Night Cream</t>
        </is>
      </c>
      <c r="D7992" t="inlineStr">
        <is>
          <t>Elizabeth Arden</t>
        </is>
      </c>
      <c r="E7992" t="n">
        <v>81.98</v>
      </c>
      <c r="F7992" t="n">
        <v>1</v>
      </c>
      <c r="G7992" t="n">
        <v>9</v>
      </c>
      <c r="H7992" s="5">
        <f>HYPERLINK("https://api.qogita.com/variants/link/0085805259471/", "View Product")</f>
        <v/>
      </c>
    </row>
    <row r="7993">
      <c r="A7993" t="inlineStr">
        <is>
          <t>0085805260552</t>
        </is>
      </c>
      <c r="B7993" t="inlineStr">
        <is>
          <t>Elizabeth Arden White Tea Women's Perfume Eau de Toilette Spray 3.3 Fl Oz</t>
        </is>
      </c>
      <c r="C7993" t="inlineStr">
        <is>
          <t>Eau De Toilette</t>
        </is>
      </c>
      <c r="D7993" t="inlineStr">
        <is>
          <t>Elizabeth Arden</t>
        </is>
      </c>
      <c r="E7993" t="n">
        <v>22.41</v>
      </c>
      <c r="F7993" t="n">
        <v>1</v>
      </c>
      <c r="G7993" t="n">
        <v>10</v>
      </c>
      <c r="H7993" s="5">
        <f>HYPERLINK("https://api.qogita.com/variants/link/0085805260552/", "View Product")</f>
        <v/>
      </c>
    </row>
    <row r="7994">
      <c r="A7994" t="inlineStr">
        <is>
          <t>0085805261108</t>
        </is>
      </c>
      <c r="B7994" t="inlineStr">
        <is>
          <t>Elizabeth Arden Untold Absolu Eau De Parfum 100ml Oriental Floral Fragrance</t>
        </is>
      </c>
      <c r="C7994" t="inlineStr">
        <is>
          <t>Eau De Parfum</t>
        </is>
      </c>
      <c r="D7994" t="inlineStr">
        <is>
          <t>Elizabeth Arden</t>
        </is>
      </c>
      <c r="E7994" t="n">
        <v>20.2</v>
      </c>
      <c r="F7994" t="n">
        <v>1</v>
      </c>
      <c r="G7994" t="n">
        <v>15</v>
      </c>
      <c r="H7994" s="5">
        <f>HYPERLINK("https://api.qogita.com/variants/link/0085805261108/", "View Product")</f>
        <v/>
      </c>
    </row>
    <row r="7995">
      <c r="A7995" t="inlineStr">
        <is>
          <t>0085805268749</t>
        </is>
      </c>
      <c r="B7995" t="inlineStr">
        <is>
          <t>Elizabeth Arden Green Tea Scent Spray 50ml</t>
        </is>
      </c>
      <c r="C7995" t="inlineStr">
        <is>
          <t>Eau De Toilette</t>
        </is>
      </c>
      <c r="D7995" t="inlineStr">
        <is>
          <t>Elizabeth Arden</t>
        </is>
      </c>
      <c r="E7995" t="n">
        <v>9.050000000000001</v>
      </c>
      <c r="F7995" t="n">
        <v>1</v>
      </c>
      <c r="G7995" t="n">
        <v>84</v>
      </c>
      <c r="H7995" s="5">
        <f>HYPERLINK("https://api.qogita.com/variants/link/0085805268749/", "View Product")</f>
        <v/>
      </c>
    </row>
    <row r="7996">
      <c r="A7996" t="inlineStr">
        <is>
          <t>0085805329341</t>
        </is>
      </c>
      <c r="B7996" t="inlineStr">
        <is>
          <t>Elizabeth Arden Green Tea Refreshing Body Lotion 200ml</t>
        </is>
      </c>
      <c r="C7996" t="inlineStr">
        <is>
          <t>Body Lotion</t>
        </is>
      </c>
      <c r="D7996" t="inlineStr">
        <is>
          <t>Elizabeth Arden</t>
        </is>
      </c>
      <c r="E7996" t="n">
        <v>7.88</v>
      </c>
      <c r="F7996" t="n">
        <v>1</v>
      </c>
      <c r="G7996" t="n">
        <v>3</v>
      </c>
      <c r="H7996" s="5">
        <f>HYPERLINK("https://api.qogita.com/variants/link/0085805329341/", "View Product")</f>
        <v/>
      </c>
    </row>
    <row r="7997">
      <c r="A7997" t="inlineStr">
        <is>
          <t>0085805378622</t>
        </is>
      </c>
      <c r="B7997" t="inlineStr">
        <is>
          <t>Elizabeth Arden 5th Avenue NYC Vibe Eau De Parfum for Women 125ml</t>
        </is>
      </c>
      <c r="C7997" t="inlineStr">
        <is>
          <t>Eau De Parfum</t>
        </is>
      </c>
      <c r="D7997" t="inlineStr">
        <is>
          <t>Elizabeth Arden</t>
        </is>
      </c>
      <c r="E7997" t="n">
        <v>12.36</v>
      </c>
      <c r="F7997" t="n">
        <v>1</v>
      </c>
      <c r="G7997" t="n">
        <v>13</v>
      </c>
      <c r="H7997" s="5">
        <f>HYPERLINK("https://api.qogita.com/variants/link/0085805378622/", "View Product")</f>
        <v/>
      </c>
    </row>
    <row r="7998">
      <c r="A7998" t="inlineStr">
        <is>
          <t>0085805390600</t>
        </is>
      </c>
      <c r="B7998" t="inlineStr">
        <is>
          <t>Elizabeth Arden 5th Avenue Eau De Parfum Spray for Women</t>
        </is>
      </c>
      <c r="C7998" t="inlineStr">
        <is>
          <t>Eau De Parfum</t>
        </is>
      </c>
      <c r="D7998" t="inlineStr">
        <is>
          <t>Elizabeth Arden</t>
        </is>
      </c>
      <c r="E7998" t="n">
        <v>17.66</v>
      </c>
      <c r="F7998" t="n">
        <v>1</v>
      </c>
      <c r="G7998" t="n">
        <v>28</v>
      </c>
      <c r="H7998" s="5">
        <f>HYPERLINK("https://api.qogita.com/variants/link/0085805390600/", "View Product")</f>
        <v/>
      </c>
    </row>
    <row r="7999">
      <c r="A7999" t="inlineStr">
        <is>
          <t>0085805405441</t>
        </is>
      </c>
      <c r="B7999" t="inlineStr">
        <is>
          <t>Elizabeth Arden Good Night Sleep Restoring Cream 50ml</t>
        </is>
      </c>
      <c r="C7999" t="inlineStr">
        <is>
          <t>Night Cream</t>
        </is>
      </c>
      <c r="D7999" t="inlineStr">
        <is>
          <t>Elizabeth Arden</t>
        </is>
      </c>
      <c r="E7999" t="n">
        <v>16.53</v>
      </c>
      <c r="F7999" t="n">
        <v>1</v>
      </c>
      <c r="G7999" t="n">
        <v>26</v>
      </c>
      <c r="H7999" s="5">
        <f>HYPERLINK("https://api.qogita.com/variants/link/0085805405441/", "View Product")</f>
        <v/>
      </c>
    </row>
    <row r="8000">
      <c r="A8000" t="inlineStr">
        <is>
          <t>0085805525262</t>
        </is>
      </c>
      <c r="B8000" t="inlineStr">
        <is>
          <t>Elizabeth Arden Retinol HPR Ceramide Capsules Serum Accelerated Regeneration</t>
        </is>
      </c>
      <c r="C8000" t="inlineStr">
        <is>
          <t>Anti-Aging Serum</t>
        </is>
      </c>
      <c r="D8000" t="inlineStr">
        <is>
          <t>Elizabeth Arden</t>
        </is>
      </c>
      <c r="E8000" t="n">
        <v>30.47</v>
      </c>
      <c r="F8000" t="n">
        <v>1</v>
      </c>
      <c r="G8000" t="n">
        <v>13</v>
      </c>
      <c r="H8000" s="5">
        <f>HYPERLINK("https://api.qogita.com/variants/link/0085805525262/", "View Product")</f>
        <v/>
      </c>
    </row>
    <row r="8001">
      <c r="A8001" t="inlineStr">
        <is>
          <t>0085805525354</t>
        </is>
      </c>
      <c r="B8001" t="inlineStr">
        <is>
          <t>Elizabeth Arden Retinol + HPR Ceramide Rapid Skin Renewing Water Cream 50ml</t>
        </is>
      </c>
      <c r="C8001" t="inlineStr">
        <is>
          <t>Face Cream</t>
        </is>
      </c>
      <c r="D8001" t="inlineStr">
        <is>
          <t>Elizabeth Arden</t>
        </is>
      </c>
      <c r="E8001" t="n">
        <v>47.06</v>
      </c>
      <c r="F8001" t="n">
        <v>1</v>
      </c>
      <c r="G8001" t="n">
        <v>6</v>
      </c>
      <c r="H8001" s="5">
        <f>HYPERLINK("https://api.qogita.com/variants/link/0085805525354/", "View Product")</f>
        <v/>
      </c>
    </row>
    <row r="8002">
      <c r="A8002" t="inlineStr">
        <is>
          <t>0085805529642</t>
        </is>
      </c>
      <c r="B8002" t="inlineStr">
        <is>
          <t>Elizabeth Arden Eight Hour Cream Skin Protectant Nighttime Miracle Moisturizer 50ml</t>
        </is>
      </c>
      <c r="C8002" t="inlineStr">
        <is>
          <t>Night Cream</t>
        </is>
      </c>
      <c r="D8002" t="inlineStr">
        <is>
          <t>Elizabeth Arden</t>
        </is>
      </c>
      <c r="E8002" t="n">
        <v>17.81</v>
      </c>
      <c r="F8002" t="n">
        <v>1</v>
      </c>
      <c r="G8002" t="n">
        <v>76</v>
      </c>
      <c r="H8002" s="5">
        <f>HYPERLINK("https://api.qogita.com/variants/link/0085805529642/", "View Product")</f>
        <v/>
      </c>
    </row>
    <row r="8003">
      <c r="A8003" t="inlineStr">
        <is>
          <t>0085805544492</t>
        </is>
      </c>
      <c r="B8003" t="inlineStr">
        <is>
          <t>Elizabeth Arden Grand Entrance Mascara Black</t>
        </is>
      </c>
      <c r="C8003" t="inlineStr">
        <is>
          <t>Mascara</t>
        </is>
      </c>
      <c r="D8003" t="inlineStr">
        <is>
          <t>Elizabeth Arden</t>
        </is>
      </c>
      <c r="E8003" t="n">
        <v>10.27</v>
      </c>
      <c r="F8003" t="n">
        <v>1</v>
      </c>
      <c r="G8003" t="n">
        <v>22</v>
      </c>
      <c r="H8003" s="5">
        <f>HYPERLINK("https://api.qogita.com/variants/link/0085805544492/", "View Product")</f>
        <v/>
      </c>
    </row>
    <row r="8004">
      <c r="A8004" t="inlineStr">
        <is>
          <t>0085805545932</t>
        </is>
      </c>
      <c r="B8004" t="inlineStr">
        <is>
          <t>Elizabeth Arden Eight Hour Miracle Hydrating Mist Spray 100ml</t>
        </is>
      </c>
      <c r="C8004" t="inlineStr">
        <is>
          <t>Facial Spray</t>
        </is>
      </c>
      <c r="D8004" t="inlineStr">
        <is>
          <t>Elizabeth Arden</t>
        </is>
      </c>
      <c r="E8004" t="n">
        <v>14.76</v>
      </c>
      <c r="F8004" t="n">
        <v>1</v>
      </c>
      <c r="G8004" t="n">
        <v>22</v>
      </c>
      <c r="H8004" s="5">
        <f>HYPERLINK("https://api.qogita.com/variants/link/0085805545932/", "View Product")</f>
        <v/>
      </c>
    </row>
    <row r="8005">
      <c r="A8005" t="inlineStr">
        <is>
          <t>0085805546649</t>
        </is>
      </c>
      <c r="B8005" t="inlineStr">
        <is>
          <t>Elizabeth Arden Eight Hour Cream Skin Protectant for Face and Body 30ml Original Scent</t>
        </is>
      </c>
      <c r="C8005" t="inlineStr">
        <is>
          <t>Face Cream</t>
        </is>
      </c>
      <c r="D8005" t="inlineStr">
        <is>
          <t>Elizabeth Arden</t>
        </is>
      </c>
      <c r="E8005" t="n">
        <v>9.58</v>
      </c>
      <c r="F8005" t="n">
        <v>1</v>
      </c>
      <c r="G8005" t="n">
        <v>43</v>
      </c>
      <c r="H8005" s="5">
        <f>HYPERLINK("https://api.qogita.com/variants/link/0085805546649/", "View Product")</f>
        <v/>
      </c>
    </row>
    <row r="8006">
      <c r="A8006" t="inlineStr">
        <is>
          <t>0085805547721</t>
        </is>
      </c>
      <c r="B8006" t="inlineStr">
        <is>
          <t>Elizabeth Arden Prevage City Smart Anti-Pollution Shield SPF50 38ml</t>
        </is>
      </c>
      <c r="C8006" t="inlineStr">
        <is>
          <t>Face Sun Protection</t>
        </is>
      </c>
      <c r="D8006" t="inlineStr">
        <is>
          <t>Elizabeth Arden</t>
        </is>
      </c>
      <c r="E8006" t="n">
        <v>32.11</v>
      </c>
      <c r="F8006" t="n">
        <v>1</v>
      </c>
      <c r="G8006" t="n">
        <v>34</v>
      </c>
      <c r="H8006" s="5">
        <f>HYPERLINK("https://api.qogita.com/variants/link/0085805547721/", "View Product")</f>
        <v/>
      </c>
    </row>
    <row r="8007">
      <c r="A8007" t="inlineStr">
        <is>
          <t>0085805555313</t>
        </is>
      </c>
      <c r="B8007" t="inlineStr">
        <is>
          <t>Elizabeth Arden Blue Grass Fresh 100ml</t>
        </is>
      </c>
      <c r="C8007" t="inlineStr">
        <is>
          <t>Eau De Parfum</t>
        </is>
      </c>
      <c r="D8007" t="inlineStr">
        <is>
          <t>Elizabeth Arden</t>
        </is>
      </c>
      <c r="E8007" t="n">
        <v>10.65</v>
      </c>
      <c r="F8007" t="n">
        <v>1</v>
      </c>
      <c r="G8007" t="n">
        <v>16</v>
      </c>
      <c r="H8007" s="5">
        <f>HYPERLINK("https://api.qogita.com/variants/link/0085805555313/", "View Product")</f>
        <v/>
      </c>
    </row>
    <row r="8008">
      <c r="A8008" t="inlineStr">
        <is>
          <t>0085805557355</t>
        </is>
      </c>
      <c r="B8008" t="inlineStr">
        <is>
          <t>Elizabeth Arden White Tea Body Cream</t>
        </is>
      </c>
      <c r="C8008" t="inlineStr">
        <is>
          <t>Body Lotion</t>
        </is>
      </c>
      <c r="D8008" t="inlineStr">
        <is>
          <t>Elizabeth Arden</t>
        </is>
      </c>
      <c r="E8008" t="n">
        <v>12.52</v>
      </c>
      <c r="F8008" t="n">
        <v>1</v>
      </c>
      <c r="G8008" t="n">
        <v>7</v>
      </c>
      <c r="H8008" s="5">
        <f>HYPERLINK("https://api.qogita.com/variants/link/0085805557355/", "View Product")</f>
        <v/>
      </c>
    </row>
    <row r="8009">
      <c r="A8009" t="inlineStr">
        <is>
          <t>0085805569105</t>
        </is>
      </c>
      <c r="B8009" t="inlineStr">
        <is>
          <t>Elizabeth Arden Standing Ovation Mascara Intense Black 01 8.2ml</t>
        </is>
      </c>
      <c r="C8009" t="inlineStr">
        <is>
          <t>Mascara</t>
        </is>
      </c>
      <c r="D8009" t="inlineStr">
        <is>
          <t>Elizabeth Arden</t>
        </is>
      </c>
      <c r="E8009" t="n">
        <v>11.37</v>
      </c>
      <c r="F8009" t="n">
        <v>1</v>
      </c>
      <c r="G8009" t="n">
        <v>2</v>
      </c>
      <c r="H8009" s="5">
        <f>HYPERLINK("https://api.qogita.com/variants/link/0085805569105/", "View Product")</f>
        <v/>
      </c>
    </row>
    <row r="8010">
      <c r="A8010" t="inlineStr">
        <is>
          <t>0085805574123</t>
        </is>
      </c>
      <c r="B8010" t="inlineStr">
        <is>
          <t>Elizabeth Arden White Tea Gingerlily 30ml Citrus</t>
        </is>
      </c>
      <c r="C8010" t="inlineStr">
        <is>
          <t>Eau De Toilette</t>
        </is>
      </c>
      <c r="D8010" t="inlineStr">
        <is>
          <t>Elizabeth Arden</t>
        </is>
      </c>
      <c r="E8010" t="n">
        <v>10.92</v>
      </c>
      <c r="F8010" t="n">
        <v>1</v>
      </c>
      <c r="G8010" t="n">
        <v>6</v>
      </c>
      <c r="H8010" s="5">
        <f>HYPERLINK("https://api.qogita.com/variants/link/0085805574123/", "View Product")</f>
        <v/>
      </c>
    </row>
    <row r="8011">
      <c r="A8011" t="inlineStr">
        <is>
          <t>0085805574598</t>
        </is>
      </c>
      <c r="B8011" t="inlineStr">
        <is>
          <t>Elizabeth Arden Advanced Ceramide Daily Youth Restoring Serum 60 capsules</t>
        </is>
      </c>
      <c r="C8011" t="inlineStr">
        <is>
          <t>Anti-Aging Serum</t>
        </is>
      </c>
      <c r="D8011" t="inlineStr">
        <is>
          <t>Elizabeth Arden</t>
        </is>
      </c>
      <c r="E8011" t="n">
        <v>32.26</v>
      </c>
      <c r="F8011" t="n">
        <v>1</v>
      </c>
      <c r="G8011" t="n">
        <v>54</v>
      </c>
      <c r="H8011" s="5">
        <f>HYPERLINK("https://api.qogita.com/variants/link/0085805574598/", "View Product")</f>
        <v/>
      </c>
    </row>
    <row r="8012">
      <c r="A8012" t="inlineStr">
        <is>
          <t>0085805574888</t>
        </is>
      </c>
      <c r="B8012" t="inlineStr">
        <is>
          <t>Elizabeth Arden Hyaluronic Acid Ceramide Capsules Hydra-Plumping Serum 90 Count</t>
        </is>
      </c>
      <c r="C8012" t="inlineStr">
        <is>
          <t>Hyaluronic Acid Serum</t>
        </is>
      </c>
      <c r="D8012" t="inlineStr">
        <is>
          <t>Elizabeth Arden</t>
        </is>
      </c>
      <c r="E8012" t="n">
        <v>53.97</v>
      </c>
      <c r="F8012" t="n">
        <v>1</v>
      </c>
      <c r="G8012" t="n">
        <v>23</v>
      </c>
      <c r="H8012" s="5">
        <f>HYPERLINK("https://api.qogita.com/variants/link/0085805574888/", "View Product")</f>
        <v/>
      </c>
    </row>
    <row r="8013">
      <c r="A8013" t="inlineStr">
        <is>
          <t>0085805578190</t>
        </is>
      </c>
      <c r="B8013" t="inlineStr">
        <is>
          <t>Elizabeth Arden Notably Nude Lip Color lipstick</t>
        </is>
      </c>
      <c r="C8013" t="inlineStr">
        <is>
          <t>Lipstick</t>
        </is>
      </c>
      <c r="D8013" t="inlineStr">
        <is>
          <t>Elizabeth Arden</t>
        </is>
      </c>
      <c r="E8013" t="n">
        <v>16.04</v>
      </c>
      <c r="F8013" t="n">
        <v>1</v>
      </c>
      <c r="G8013" t="n">
        <v>4</v>
      </c>
      <c r="H8013" s="5">
        <f>HYPERLINK("https://api.qogita.com/variants/link/0085805578190/", "View Product")</f>
        <v/>
      </c>
    </row>
    <row r="8014">
      <c r="A8014" t="inlineStr">
        <is>
          <t>0085805757748</t>
        </is>
      </c>
      <c r="B8014" t="inlineStr">
        <is>
          <t>Elizabeth Arden Sunflowers Eau de Toilette Spray - 100ml</t>
        </is>
      </c>
      <c r="C8014" t="inlineStr">
        <is>
          <t>Eau De Toilette</t>
        </is>
      </c>
      <c r="D8014" t="inlineStr">
        <is>
          <t>Nexxus</t>
        </is>
      </c>
      <c r="E8014" t="n">
        <v>9.779999999999999</v>
      </c>
      <c r="F8014" t="n">
        <v>1</v>
      </c>
      <c r="G8014" t="n">
        <v>113</v>
      </c>
      <c r="H8014" s="5">
        <f>HYPERLINK("https://api.qogita.com/variants/link/0085805757748/", "View Product")</f>
        <v/>
      </c>
    </row>
    <row r="8015">
      <c r="A8015" t="inlineStr">
        <is>
          <t>0088300000319</t>
        </is>
      </c>
      <c r="B8015" t="inlineStr">
        <is>
          <t>Contradiction For Men</t>
        </is>
      </c>
      <c r="C8015" t="inlineStr">
        <is>
          <t>Eau De Toilette</t>
        </is>
      </c>
      <c r="D8015" t="inlineStr">
        <is>
          <t>Calvin Klein</t>
        </is>
      </c>
      <c r="E8015" t="n">
        <v>20.08</v>
      </c>
      <c r="F8015" t="n">
        <v>1</v>
      </c>
      <c r="G8015" t="n">
        <v>21</v>
      </c>
      <c r="H8015" s="5">
        <f>HYPERLINK("https://api.qogita.com/variants/link/0088300000319/", "View Product")</f>
        <v/>
      </c>
    </row>
    <row r="8016">
      <c r="A8016" t="inlineStr">
        <is>
          <t>0088300049493</t>
        </is>
      </c>
      <c r="B8016" t="inlineStr">
        <is>
          <t>Calvin Klein Truth Eau de Parfum 100ml</t>
        </is>
      </c>
      <c r="C8016" t="inlineStr">
        <is>
          <t>Eau De Parfum</t>
        </is>
      </c>
      <c r="D8016" t="inlineStr">
        <is>
          <t>Calvin Klein</t>
        </is>
      </c>
      <c r="E8016" t="n">
        <v>22.27</v>
      </c>
      <c r="F8016" t="n">
        <v>1</v>
      </c>
      <c r="G8016" t="n">
        <v>42</v>
      </c>
      <c r="H8016" s="5">
        <f>HYPERLINK("https://api.qogita.com/variants/link/0088300049493/", "View Product")</f>
        <v/>
      </c>
    </row>
    <row r="8017">
      <c r="A8017" t="inlineStr">
        <is>
          <t>0088300100514</t>
        </is>
      </c>
      <c r="B8017" t="inlineStr">
        <is>
          <t>Calvin Klein Escape Men Eau de Toilette Spray 100ml</t>
        </is>
      </c>
      <c r="C8017" t="inlineStr">
        <is>
          <t>Eau De Toilette</t>
        </is>
      </c>
      <c r="D8017" t="inlineStr">
        <is>
          <t>Calvin Klein</t>
        </is>
      </c>
      <c r="E8017" t="n">
        <v>20</v>
      </c>
      <c r="F8017" t="n">
        <v>1</v>
      </c>
      <c r="G8017" t="n">
        <v>48</v>
      </c>
      <c r="H8017" s="5">
        <f>HYPERLINK("https://api.qogita.com/variants/link/0088300100514/", "View Product")</f>
        <v/>
      </c>
    </row>
    <row r="8018">
      <c r="A8018" t="inlineStr">
        <is>
          <t>0088300104680</t>
        </is>
      </c>
      <c r="B8018" t="inlineStr">
        <is>
          <t>Calvin Klein CK Be 50ml Eau de Toilette Spray for Men or Women - New</t>
        </is>
      </c>
      <c r="C8018" t="inlineStr">
        <is>
          <t>Eau De Toilette</t>
        </is>
      </c>
      <c r="D8018" t="inlineStr">
        <is>
          <t>Calvin Klein</t>
        </is>
      </c>
      <c r="E8018" t="n">
        <v>11.68</v>
      </c>
      <c r="F8018" t="n">
        <v>1</v>
      </c>
      <c r="G8018" t="n">
        <v>14</v>
      </c>
      <c r="H8018" s="5">
        <f>HYPERLINK("https://api.qogita.com/variants/link/0088300104680/", "View Product")</f>
        <v/>
      </c>
    </row>
    <row r="8019">
      <c r="A8019" t="inlineStr">
        <is>
          <t>0088300178278</t>
        </is>
      </c>
      <c r="B8019" t="inlineStr">
        <is>
          <t>Calvin Klein Euphoria for Men Eau de Toilette 100ml</t>
        </is>
      </c>
      <c r="C8019" t="inlineStr">
        <is>
          <t>Eau De Toilette</t>
        </is>
      </c>
      <c r="D8019" t="inlineStr">
        <is>
          <t>Calvin Klein</t>
        </is>
      </c>
      <c r="E8019" t="n">
        <v>24.08</v>
      </c>
      <c r="F8019" t="n">
        <v>1</v>
      </c>
      <c r="G8019" t="n">
        <v>794</v>
      </c>
      <c r="H8019" s="5">
        <f>HYPERLINK("https://api.qogita.com/variants/link/0088300178278/", "View Product")</f>
        <v/>
      </c>
    </row>
    <row r="8020">
      <c r="A8020" t="inlineStr">
        <is>
          <t>0088300196814</t>
        </is>
      </c>
      <c r="B8020" t="inlineStr">
        <is>
          <t>Calvin Klein IN2U Eau De Toilette Spray 100ml/3.4oz</t>
        </is>
      </c>
      <c r="C8020" t="inlineStr">
        <is>
          <t>Eau De Toilette</t>
        </is>
      </c>
      <c r="D8020" t="inlineStr">
        <is>
          <t>Calvin Klein</t>
        </is>
      </c>
      <c r="E8020" t="n">
        <v>15.86</v>
      </c>
      <c r="F8020" t="n">
        <v>1</v>
      </c>
      <c r="G8020" t="n">
        <v>343</v>
      </c>
      <c r="H8020" s="5">
        <f>HYPERLINK("https://api.qogita.com/variants/link/0088300196814/", "View Product")</f>
        <v/>
      </c>
    </row>
    <row r="8021">
      <c r="A8021" t="inlineStr">
        <is>
          <t>0088300196890</t>
        </is>
      </c>
      <c r="B8021" t="inlineStr">
        <is>
          <t>Calvin Klein Ckin2u Him 100ml Eau de Toilette Spray</t>
        </is>
      </c>
      <c r="C8021" t="inlineStr">
        <is>
          <t>Eau De Toilette</t>
        </is>
      </c>
      <c r="D8021" t="inlineStr">
        <is>
          <t>Calvin Klein</t>
        </is>
      </c>
      <c r="E8021" t="n">
        <v>15.82</v>
      </c>
      <c r="F8021" t="n">
        <v>1</v>
      </c>
      <c r="G8021" t="n">
        <v>80</v>
      </c>
      <c r="H8021" s="5">
        <f>HYPERLINK("https://api.qogita.com/variants/link/0088300196890/", "View Product")</f>
        <v/>
      </c>
    </row>
    <row r="8022">
      <c r="A8022" t="inlineStr">
        <is>
          <t>0088300601301</t>
        </is>
      </c>
      <c r="B8022" t="inlineStr">
        <is>
          <t>Calvin Klein Eternity 50ml  Eau De Parfum for Women</t>
        </is>
      </c>
      <c r="C8022" t="inlineStr">
        <is>
          <t>Eau De Parfum</t>
        </is>
      </c>
      <c r="D8022" t="inlineStr">
        <is>
          <t>Calvin Klein</t>
        </is>
      </c>
      <c r="E8022" t="n">
        <v>26.26</v>
      </c>
      <c r="F8022" t="n">
        <v>1</v>
      </c>
      <c r="G8022" t="n">
        <v>13</v>
      </c>
      <c r="H8022" s="5">
        <f>HYPERLINK("https://api.qogita.com/variants/link/0088300601301/", "View Product")</f>
        <v/>
      </c>
    </row>
    <row r="8023">
      <c r="A8023" t="inlineStr">
        <is>
          <t>0088300601387</t>
        </is>
      </c>
      <c r="B8023" t="inlineStr">
        <is>
          <t>Calvin Klein Eternity For Women Eau de Parfum 30ml</t>
        </is>
      </c>
      <c r="C8023" t="inlineStr">
        <is>
          <t>Eau De Parfum</t>
        </is>
      </c>
      <c r="D8023" t="inlineStr">
        <is>
          <t>Calvin Klein</t>
        </is>
      </c>
      <c r="E8023" t="n">
        <v>16.98</v>
      </c>
      <c r="F8023" t="n">
        <v>1</v>
      </c>
      <c r="G8023" t="n">
        <v>56</v>
      </c>
      <c r="H8023" s="5">
        <f>HYPERLINK("https://api.qogita.com/variants/link/0088300601387/", "View Product")</f>
        <v/>
      </c>
    </row>
    <row r="8024">
      <c r="A8024" t="inlineStr">
        <is>
          <t>0088300605309</t>
        </is>
      </c>
      <c r="B8024" t="inlineStr">
        <is>
          <t>Calvin Klein Eternity For Men Eau de Toilette Spray 50ml</t>
        </is>
      </c>
      <c r="C8024" t="inlineStr">
        <is>
          <t>Eau De Toilette</t>
        </is>
      </c>
      <c r="D8024" t="inlineStr">
        <is>
          <t>Calvin Klein</t>
        </is>
      </c>
      <c r="E8024" t="n">
        <v>22.21</v>
      </c>
      <c r="F8024" t="n">
        <v>1</v>
      </c>
      <c r="G8024" t="n">
        <v>5</v>
      </c>
      <c r="H8024" s="5">
        <f>HYPERLINK("https://api.qogita.com/variants/link/0088300605309/", "View Product")</f>
        <v/>
      </c>
    </row>
    <row r="8025">
      <c r="A8025" t="inlineStr">
        <is>
          <t>0088300606535</t>
        </is>
      </c>
      <c r="B8025" t="inlineStr">
        <is>
          <t>Calvin Klein Obsession For Men Aftershave 125ml</t>
        </is>
      </c>
      <c r="C8025" t="inlineStr">
        <is>
          <t>Aftershave</t>
        </is>
      </c>
      <c r="D8025" t="inlineStr">
        <is>
          <t>Calvin Klein</t>
        </is>
      </c>
      <c r="E8025" t="n">
        <v>18.47</v>
      </c>
      <c r="F8025" t="n">
        <v>1</v>
      </c>
      <c r="G8025" t="n">
        <v>57</v>
      </c>
      <c r="H8025" s="5">
        <f>HYPERLINK("https://api.qogita.com/variants/link/0088300606535/", "View Product")</f>
        <v/>
      </c>
    </row>
    <row r="8026">
      <c r="A8026" t="inlineStr">
        <is>
          <t>0088300606702</t>
        </is>
      </c>
      <c r="B8026" t="inlineStr">
        <is>
          <t>Calvin Klein Obsession For Men Deodorant Stick 75g</t>
        </is>
      </c>
      <c r="C8026" t="inlineStr">
        <is>
          <t>Deodorant &amp; Anti-Perspirant</t>
        </is>
      </c>
      <c r="D8026" t="inlineStr">
        <is>
          <t>Calvin Klein</t>
        </is>
      </c>
      <c r="E8026" t="n">
        <v>8.039999999999999</v>
      </c>
      <c r="F8026" t="n">
        <v>1</v>
      </c>
      <c r="G8026" t="n">
        <v>61</v>
      </c>
      <c r="H8026" s="5">
        <f>HYPERLINK("https://api.qogita.com/variants/link/0088300606702/", "View Product")</f>
        <v/>
      </c>
    </row>
    <row r="8027">
      <c r="A8027" t="inlineStr">
        <is>
          <t>0094100005348</t>
        </is>
      </c>
      <c r="B8027" t="inlineStr">
        <is>
          <t>OPI Nail Lacquer Live Love Carnaval Orange Nail Polish 0.5 fl oz</t>
        </is>
      </c>
      <c r="C8027" t="inlineStr">
        <is>
          <t>Nail Polish</t>
        </is>
      </c>
      <c r="D8027" t="inlineStr">
        <is>
          <t>OPI</t>
        </is>
      </c>
      <c r="E8027" t="n">
        <v>9.380000000000001</v>
      </c>
      <c r="F8027" t="n">
        <v>1</v>
      </c>
      <c r="G8027" t="n">
        <v>3</v>
      </c>
      <c r="H8027" s="5">
        <f>HYPERLINK("https://api.qogita.com/variants/link/0094100005348/", "View Product")</f>
        <v/>
      </c>
    </row>
    <row r="8028">
      <c r="A8028" t="inlineStr">
        <is>
          <t>0094922794642</t>
        </is>
      </c>
      <c r="B8028" t="inlineStr">
        <is>
          <t>Ed Hardy Cologne by Christian Audigier 100ml</t>
        </is>
      </c>
      <c r="C8028" t="inlineStr">
        <is>
          <t>Eau De Cologne</t>
        </is>
      </c>
      <c r="D8028" t="inlineStr">
        <is>
          <t>Ed Hardy</t>
        </is>
      </c>
      <c r="E8028" t="n">
        <v>16.44</v>
      </c>
      <c r="F8028" t="n">
        <v>1</v>
      </c>
      <c r="G8028" t="n">
        <v>7</v>
      </c>
      <c r="H8028" s="5">
        <f>HYPERLINK("https://api.qogita.com/variants/link/0094922794642/", "View Product")</f>
        <v/>
      </c>
    </row>
    <row r="8029">
      <c r="A8029" t="inlineStr">
        <is>
          <t>0094922912176</t>
        </is>
      </c>
      <c r="B8029" t="inlineStr">
        <is>
          <t>Ed Hardy Love &amp; Luck Men Eau de Toilette 100ml</t>
        </is>
      </c>
      <c r="C8029" t="inlineStr">
        <is>
          <t>Eau De Toilette</t>
        </is>
      </c>
      <c r="D8029" t="inlineStr">
        <is>
          <t>Ed Hardy</t>
        </is>
      </c>
      <c r="E8029" t="n">
        <v>21.06</v>
      </c>
      <c r="F8029" t="n">
        <v>1</v>
      </c>
      <c r="G8029" t="n">
        <v>8</v>
      </c>
      <c r="H8029" s="5">
        <f>HYPERLINK("https://api.qogita.com/variants/link/0094922912176/", "View Product")</f>
        <v/>
      </c>
    </row>
    <row r="8030">
      <c r="A8030" t="inlineStr">
        <is>
          <t>0098691036491</t>
        </is>
      </c>
      <c r="B8030" t="inlineStr">
        <is>
          <t>Juicy Couture Women's Perfume 3.4 Fl Oz</t>
        </is>
      </c>
      <c r="C8030" t="inlineStr">
        <is>
          <t>Eau De Parfum</t>
        </is>
      </c>
      <c r="D8030" t="inlineStr">
        <is>
          <t>Juicy Couture</t>
        </is>
      </c>
      <c r="E8030" t="n">
        <v>30.44</v>
      </c>
      <c r="F8030" t="n">
        <v>1</v>
      </c>
      <c r="G8030" t="n">
        <v>12</v>
      </c>
      <c r="H8030" s="5">
        <f>HYPERLINK("https://api.qogita.com/variants/link/0098691036491/", "View Product")</f>
        <v/>
      </c>
    </row>
    <row r="8031">
      <c r="A8031" t="inlineStr">
        <is>
          <t>0098691045448</t>
        </is>
      </c>
      <c r="B8031" t="inlineStr">
        <is>
          <t>Dirty English By Juicy Couture EDT Spray 3.4oz 100ml</t>
        </is>
      </c>
      <c r="C8031" t="inlineStr">
        <is>
          <t>Eau De Toilette</t>
        </is>
      </c>
      <c r="D8031" t="inlineStr">
        <is>
          <t>Juicy Couture</t>
        </is>
      </c>
      <c r="E8031" t="n">
        <v>14.8</v>
      </c>
      <c r="F8031" t="n">
        <v>1</v>
      </c>
      <c r="G8031" t="n">
        <v>68</v>
      </c>
      <c r="H8031" s="5">
        <f>HYPERLINK("https://api.qogita.com/variants/link/0098691045448/", "View Product")</f>
        <v/>
      </c>
    </row>
    <row r="8032">
      <c r="A8032" t="inlineStr">
        <is>
          <t>0192333066935</t>
        </is>
      </c>
      <c r="B8032" t="inlineStr">
        <is>
          <t>Clinique Moisture Surge 100H Auto-Replenishing Hydrator 50ml</t>
        </is>
      </c>
      <c r="C8032" t="inlineStr">
        <is>
          <t>Face Cream</t>
        </is>
      </c>
      <c r="D8032" t="inlineStr">
        <is>
          <t>Clinique</t>
        </is>
      </c>
      <c r="E8032" t="n">
        <v>24.43</v>
      </c>
      <c r="F8032" t="n">
        <v>1</v>
      </c>
      <c r="G8032" t="n">
        <v>58</v>
      </c>
      <c r="H8032" s="5">
        <f>HYPERLINK("https://api.qogita.com/variants/link/0192333066935/", "View Product")</f>
        <v/>
      </c>
    </row>
    <row r="8033">
      <c r="A8033" t="inlineStr">
        <is>
          <t>0192333066942</t>
        </is>
      </c>
      <c r="B8033" t="inlineStr">
        <is>
          <t>Clinique Moisture Surge 100H Auto-Replenishing Hydrator 75ml</t>
        </is>
      </c>
      <c r="C8033" t="inlineStr">
        <is>
          <t>Face Cream</t>
        </is>
      </c>
      <c r="D8033" t="inlineStr">
        <is>
          <t>Clinique</t>
        </is>
      </c>
      <c r="E8033" t="n">
        <v>24.89</v>
      </c>
      <c r="F8033" t="n">
        <v>1</v>
      </c>
      <c r="G8033" t="n">
        <v>84</v>
      </c>
      <c r="H8033" s="5">
        <f>HYPERLINK("https://api.qogita.com/variants/link/0192333066942/", "View Product")</f>
        <v/>
      </c>
    </row>
    <row r="8034">
      <c r="A8034" t="inlineStr">
        <is>
          <t>0192333074640</t>
        </is>
      </c>
      <c r="B8034" t="inlineStr">
        <is>
          <t>Clinique Cn 90 Sand</t>
        </is>
      </c>
      <c r="C8034" t="inlineStr">
        <is>
          <t>Tinted Day Cream</t>
        </is>
      </c>
      <c r="D8034" t="inlineStr">
        <is>
          <t>Clinique</t>
        </is>
      </c>
      <c r="E8034" t="n">
        <v>23.21</v>
      </c>
      <c r="F8034" t="n">
        <v>1</v>
      </c>
      <c r="G8034" t="n">
        <v>3</v>
      </c>
      <c r="H8034" s="5">
        <f>HYPERLINK("https://api.qogita.com/variants/link/0192333074640/", "View Product")</f>
        <v/>
      </c>
    </row>
    <row r="8035">
      <c r="A8035" t="inlineStr">
        <is>
          <t>0192333093603</t>
        </is>
      </c>
      <c r="B8035" t="inlineStr">
        <is>
          <t>Clinique Superdefense City Block Broad Spectrum SPF 50 Daily Energy Plus Face</t>
        </is>
      </c>
      <c r="C8035" t="inlineStr">
        <is>
          <t>Face Sun Protection</t>
        </is>
      </c>
      <c r="D8035" t="inlineStr">
        <is>
          <t>Clinique</t>
        </is>
      </c>
      <c r="E8035" t="n">
        <v>24.92</v>
      </c>
      <c r="F8035" t="n">
        <v>1</v>
      </c>
      <c r="G8035" t="n">
        <v>14</v>
      </c>
      <c r="H8035" s="5">
        <f>HYPERLINK("https://api.qogita.com/variants/link/0192333093603/", "View Product")</f>
        <v/>
      </c>
    </row>
    <row r="8036">
      <c r="A8036" t="inlineStr">
        <is>
          <t>0192333100967</t>
        </is>
      </c>
      <c r="B8036" t="inlineStr">
        <is>
          <t>Clinique Quickliner Eyes Intense No.08 Intense Midnight</t>
        </is>
      </c>
      <c r="C8036" t="inlineStr">
        <is>
          <t>Eyeliner</t>
        </is>
      </c>
      <c r="D8036" t="inlineStr">
        <is>
          <t>Clinique</t>
        </is>
      </c>
      <c r="E8036" t="n">
        <v>14.58</v>
      </c>
      <c r="F8036" t="n">
        <v>1</v>
      </c>
      <c r="G8036" t="n">
        <v>3</v>
      </c>
      <c r="H8036" s="5">
        <f>HYPERLINK("https://api.qogita.com/variants/link/0192333100967/", "View Product")</f>
        <v/>
      </c>
    </row>
    <row r="8037">
      <c r="A8037" t="inlineStr">
        <is>
          <t>0192333100998</t>
        </is>
      </c>
      <c r="B8037" t="inlineStr">
        <is>
          <t>Clinique Chubby Lash Fattening Mascara #01 Jumbo Jet 10ml Black</t>
        </is>
      </c>
      <c r="C8037" t="inlineStr">
        <is>
          <t>Mascara</t>
        </is>
      </c>
      <c r="D8037" t="inlineStr">
        <is>
          <t>Clinique</t>
        </is>
      </c>
      <c r="E8037" t="n">
        <v>18.55</v>
      </c>
      <c r="F8037" t="n">
        <v>1</v>
      </c>
      <c r="G8037" t="n">
        <v>3</v>
      </c>
      <c r="H8037" s="5">
        <f>HYPERLINK("https://api.qogita.com/variants/link/0192333100998/", "View Product")</f>
        <v/>
      </c>
    </row>
    <row r="8038">
      <c r="A8038" t="inlineStr">
        <is>
          <t>0192333101001</t>
        </is>
      </c>
      <c r="B8038" t="inlineStr">
        <is>
          <t>Clinique Compatible High Impact Waterproof Mascara 01 Black 8ml</t>
        </is>
      </c>
      <c r="C8038" t="inlineStr">
        <is>
          <t>Mascara</t>
        </is>
      </c>
      <c r="D8038" t="inlineStr">
        <is>
          <t>Clinique</t>
        </is>
      </c>
      <c r="E8038" t="n">
        <v>17.46</v>
      </c>
      <c r="F8038" t="n">
        <v>1</v>
      </c>
      <c r="G8038" t="n">
        <v>36</v>
      </c>
      <c r="H8038" s="5">
        <f>HYPERLINK("https://api.qogita.com/variants/link/0192333101001/", "View Product")</f>
        <v/>
      </c>
    </row>
    <row r="8039">
      <c r="A8039" t="inlineStr">
        <is>
          <t>0192333101674</t>
        </is>
      </c>
      <c r="B8039" t="inlineStr">
        <is>
          <t>Clinique Smart Clinical Repair Wrinkle Correcting Serum</t>
        </is>
      </c>
      <c r="C8039" t="inlineStr">
        <is>
          <t>Anti-Aging Serum</t>
        </is>
      </c>
      <c r="D8039" t="inlineStr">
        <is>
          <t>Clinique</t>
        </is>
      </c>
      <c r="E8039" t="n">
        <v>44</v>
      </c>
      <c r="F8039" t="n">
        <v>1</v>
      </c>
      <c r="G8039" t="n">
        <v>5</v>
      </c>
      <c r="H8039" s="5">
        <f>HYPERLINK("https://api.qogita.com/variants/link/0192333101674/", "View Product")</f>
        <v/>
      </c>
    </row>
    <row r="8040">
      <c r="A8040" t="inlineStr">
        <is>
          <t>0192333101681</t>
        </is>
      </c>
      <c r="B8040" t="inlineStr">
        <is>
          <t>Clinique Smart Clinical Repair Wrinkle Correcting Serum for Unisex 1.7 Oz</t>
        </is>
      </c>
      <c r="C8040" t="inlineStr">
        <is>
          <t>Anti-Aging Serum</t>
        </is>
      </c>
      <c r="D8040" t="inlineStr">
        <is>
          <t>Clinique</t>
        </is>
      </c>
      <c r="E8040" t="n">
        <v>63.93</v>
      </c>
      <c r="F8040" t="n">
        <v>1</v>
      </c>
      <c r="G8040" t="n">
        <v>5</v>
      </c>
      <c r="H8040" s="5">
        <f>HYPERLINK("https://api.qogita.com/variants/link/0192333101681/", "View Product")</f>
        <v/>
      </c>
    </row>
    <row r="8041">
      <c r="A8041" t="inlineStr">
        <is>
          <t>0192333116203</t>
        </is>
      </c>
      <c r="B8041" t="inlineStr">
        <is>
          <t>Clinique Oil-Free Moisturizer for Men 100ml</t>
        </is>
      </c>
      <c r="C8041" t="inlineStr">
        <is>
          <t>Face Cream</t>
        </is>
      </c>
      <c r="D8041" t="inlineStr">
        <is>
          <t>Clinique</t>
        </is>
      </c>
      <c r="E8041" t="n">
        <v>30.64</v>
      </c>
      <c r="F8041" t="n">
        <v>1</v>
      </c>
      <c r="G8041" t="n">
        <v>5</v>
      </c>
      <c r="H8041" s="5">
        <f>HYPERLINK("https://api.qogita.com/variants/link/0192333116203/", "View Product")</f>
        <v/>
      </c>
    </row>
    <row r="8042">
      <c r="A8042" t="inlineStr">
        <is>
          <t>0192333142868</t>
        </is>
      </c>
      <c r="B8042" t="inlineStr">
        <is>
          <t>Clinique Pop Plush Creamy Lip Gloss No. 01 Black Honey Pop 3.4ml</t>
        </is>
      </c>
      <c r="C8042" t="inlineStr">
        <is>
          <t>Lip Gloss</t>
        </is>
      </c>
      <c r="D8042" t="inlineStr">
        <is>
          <t>Clinique</t>
        </is>
      </c>
      <c r="E8042" t="n">
        <v>15.71</v>
      </c>
      <c r="F8042" t="n">
        <v>1</v>
      </c>
      <c r="G8042" t="n">
        <v>3</v>
      </c>
      <c r="H8042" s="5">
        <f>HYPERLINK("https://api.qogita.com/variants/link/0192333142868/", "View Product")</f>
        <v/>
      </c>
    </row>
    <row r="8043">
      <c r="A8043" t="inlineStr">
        <is>
          <t>0192333148204</t>
        </is>
      </c>
      <c r="B8043" t="inlineStr">
        <is>
          <t>Clinique Clinique Pop Longwear Matte Lipstick Ruby Pop 39g</t>
        </is>
      </c>
      <c r="C8043" t="inlineStr">
        <is>
          <t>Lipstick</t>
        </is>
      </c>
      <c r="D8043" t="inlineStr">
        <is>
          <t>Clinique</t>
        </is>
      </c>
      <c r="E8043" t="n">
        <v>16.78</v>
      </c>
      <c r="F8043" t="n">
        <v>1</v>
      </c>
      <c r="G8043" t="n">
        <v>2</v>
      </c>
      <c r="H8043" s="5">
        <f>HYPERLINK("https://api.qogita.com/variants/link/0192333148204/", "View Product")</f>
        <v/>
      </c>
    </row>
    <row r="8044">
      <c r="A8044" t="inlineStr">
        <is>
          <t>0192333150283</t>
        </is>
      </c>
      <c r="B8044" t="inlineStr">
        <is>
          <t>Clinique Take The Day Off Charcoal Cleansing Balm 30mL/1oz</t>
        </is>
      </c>
      <c r="C8044" t="inlineStr">
        <is>
          <t>Cleansing Cream</t>
        </is>
      </c>
      <c r="D8044" t="inlineStr">
        <is>
          <t>Clinique</t>
        </is>
      </c>
      <c r="E8044" t="n">
        <v>16.46</v>
      </c>
      <c r="F8044" t="n">
        <v>1</v>
      </c>
      <c r="G8044" t="n">
        <v>6</v>
      </c>
      <c r="H8044" s="5">
        <f>HYPERLINK("https://api.qogita.com/variants/link/0192333150283/", "View Product")</f>
        <v/>
      </c>
    </row>
    <row r="8045">
      <c r="A8045" t="inlineStr">
        <is>
          <t>0192333171752</t>
        </is>
      </c>
      <c r="B8045" t="inlineStr">
        <is>
          <t>Clinique Moisture Surge 100-Hour Auto-Replenishing Hydrator + Mask</t>
        </is>
      </c>
      <c r="C8045" t="inlineStr">
        <is>
          <t>Hydrating Mask</t>
        </is>
      </c>
      <c r="D8045" t="inlineStr">
        <is>
          <t>Clinique</t>
        </is>
      </c>
      <c r="E8045" t="n">
        <v>41.15</v>
      </c>
      <c r="F8045" t="n">
        <v>1</v>
      </c>
      <c r="G8045" t="n">
        <v>5</v>
      </c>
      <c r="H8045" s="5">
        <f>HYPERLINK("https://api.qogita.com/variants/link/0192333171752/", "View Product")</f>
        <v/>
      </c>
    </row>
    <row r="8046">
      <c r="A8046" t="inlineStr">
        <is>
          <t>0192333192191</t>
        </is>
      </c>
      <c r="B8046" t="inlineStr">
        <is>
          <t>Clinique Pop Longwear Shine Lipstick Sugar Pop 39g</t>
        </is>
      </c>
      <c r="C8046" t="inlineStr">
        <is>
          <t>Lipstick</t>
        </is>
      </c>
      <c r="D8046" t="inlineStr">
        <is>
          <t>Clinique</t>
        </is>
      </c>
      <c r="E8046" t="n">
        <v>18.2</v>
      </c>
      <c r="F8046" t="n">
        <v>1</v>
      </c>
      <c r="G8046" t="n">
        <v>5</v>
      </c>
      <c r="H8046" s="5">
        <f>HYPERLINK("https://api.qogita.com/variants/link/0192333192191/", "View Product")</f>
        <v/>
      </c>
    </row>
    <row r="8047">
      <c r="A8047" t="inlineStr">
        <is>
          <t>0192333192306</t>
        </is>
      </c>
      <c r="B8047" t="inlineStr">
        <is>
          <t>Clinique Pop Longwear Lipstick - 4 Grams</t>
        </is>
      </c>
      <c r="C8047" t="inlineStr">
        <is>
          <t>Lipstick</t>
        </is>
      </c>
      <c r="D8047" t="inlineStr">
        <is>
          <t>Clinique</t>
        </is>
      </c>
      <c r="E8047" t="n">
        <v>16.78</v>
      </c>
      <c r="F8047" t="n">
        <v>1</v>
      </c>
      <c r="G8047" t="n">
        <v>3</v>
      </c>
      <c r="H8047" s="5">
        <f>HYPERLINK("https://api.qogita.com/variants/link/0192333192306/", "View Product")</f>
        <v/>
      </c>
    </row>
    <row r="8048">
      <c r="A8048" t="inlineStr">
        <is>
          <t>0192333192320</t>
        </is>
      </c>
      <c r="B8048" t="inlineStr">
        <is>
          <t>Clinique Pop Longwear Satin Lipstick 4 G</t>
        </is>
      </c>
      <c r="C8048" t="inlineStr">
        <is>
          <t>Lipstick</t>
        </is>
      </c>
      <c r="D8048" t="inlineStr">
        <is>
          <t>Clinique</t>
        </is>
      </c>
      <c r="E8048" t="n">
        <v>16.4</v>
      </c>
      <c r="F8048" t="n">
        <v>1</v>
      </c>
      <c r="G8048" t="n">
        <v>2</v>
      </c>
      <c r="H8048" s="5">
        <f>HYPERLINK("https://api.qogita.com/variants/link/0192333192320/", "View Product")</f>
        <v/>
      </c>
    </row>
    <row r="8049">
      <c r="A8049" t="inlineStr">
        <is>
          <t>0192333201541</t>
        </is>
      </c>
      <c r="B8049" t="inlineStr">
        <is>
          <t>Clinique High Impact Eye Shadow Play 07 Flame Ember 0.06 oz - New</t>
        </is>
      </c>
      <c r="C8049" t="inlineStr">
        <is>
          <t>Eyeshadow</t>
        </is>
      </c>
      <c r="D8049" t="inlineStr">
        <is>
          <t>Clinique</t>
        </is>
      </c>
      <c r="E8049" t="n">
        <v>22.29</v>
      </c>
      <c r="F8049" t="n">
        <v>1</v>
      </c>
      <c r="G8049" t="n">
        <v>5</v>
      </c>
      <c r="H8049" s="5">
        <f>HYPERLINK("https://api.qogita.com/variants/link/0192333201541/", "View Product")</f>
        <v/>
      </c>
    </row>
    <row r="8050">
      <c r="A8050" t="inlineStr">
        <is>
          <t>0192333211762</t>
        </is>
      </c>
      <c r="B8050" t="inlineStr">
        <is>
          <t>Clinique Moisture Surge Active Glow Serum with Lactic Acid and Hyaluronic Acid</t>
        </is>
      </c>
      <c r="C8050" t="inlineStr">
        <is>
          <t>Glow Serum</t>
        </is>
      </c>
      <c r="D8050" t="inlineStr">
        <is>
          <t>Clinique</t>
        </is>
      </c>
      <c r="E8050" t="n">
        <v>29.55</v>
      </c>
      <c r="F8050" t="n">
        <v>1</v>
      </c>
      <c r="G8050" t="n">
        <v>10</v>
      </c>
      <c r="H8050" s="5">
        <f>HYPERLINK("https://api.qogita.com/variants/link/0192333211762/", "View Product")</f>
        <v/>
      </c>
    </row>
    <row r="8051">
      <c r="A8051" t="inlineStr">
        <is>
          <t>0192333224656</t>
        </is>
      </c>
      <c r="B8051" t="inlineStr">
        <is>
          <t>Clinique Eye Essentials Beauty Gift Set - Worth Over 51, 15 Ml</t>
        </is>
      </c>
      <c r="C8051" t="inlineStr">
        <is>
          <t>Eye Care Sets</t>
        </is>
      </c>
      <c r="D8051" t="inlineStr">
        <is>
          <t>Clinique</t>
        </is>
      </c>
      <c r="E8051" t="n">
        <v>34.05</v>
      </c>
      <c r="F8051" t="n">
        <v>1</v>
      </c>
      <c r="G8051" t="n">
        <v>4</v>
      </c>
      <c r="H8051" s="5">
        <f>HYPERLINK("https://api.qogita.com/variants/link/0192333224656/", "View Product")</f>
        <v/>
      </c>
    </row>
    <row r="8052">
      <c r="A8052" t="inlineStr">
        <is>
          <t>0192333255094</t>
        </is>
      </c>
      <c r="B8052" t="inlineStr">
        <is>
          <t>Clinique Even Better Clinical Vitamin Makeup Base Spf 50 5light Medium Cool 30ml</t>
        </is>
      </c>
      <c r="C8052" t="inlineStr">
        <is>
          <t>Foundation</t>
        </is>
      </c>
      <c r="D8052" t="inlineStr">
        <is>
          <t>Clinique</t>
        </is>
      </c>
      <c r="E8052" t="n">
        <v>31.18</v>
      </c>
      <c r="F8052" t="n">
        <v>1</v>
      </c>
      <c r="G8052" t="n">
        <v>9</v>
      </c>
      <c r="H8052" s="5">
        <f>HYPERLINK("https://api.qogita.com/variants/link/0192333255094/", "View Product")</f>
        <v/>
      </c>
    </row>
    <row r="8053">
      <c r="A8053" t="inlineStr">
        <is>
          <t>0192333255124</t>
        </is>
      </c>
      <c r="B8053" t="inlineStr">
        <is>
          <t>Clinique Liquid Make-Up Spf 50 Even Better Clinical Vitamin Make-Up - 30 Ml</t>
        </is>
      </c>
      <c r="C8053" t="inlineStr">
        <is>
          <t>Foundation</t>
        </is>
      </c>
      <c r="D8053" t="inlineStr">
        <is>
          <t>Clinique</t>
        </is>
      </c>
      <c r="E8053" t="n">
        <v>30.9</v>
      </c>
      <c r="F8053" t="n">
        <v>1</v>
      </c>
      <c r="G8053" t="n">
        <v>2</v>
      </c>
      <c r="H8053" s="5">
        <f>HYPERLINK("https://api.qogita.com/variants/link/0192333255124/", "View Product")</f>
        <v/>
      </c>
    </row>
    <row r="8054">
      <c r="A8054" t="inlineStr">
        <is>
          <t>0194248062514</t>
        </is>
      </c>
      <c r="B8054" t="inlineStr">
        <is>
          <t>Bareminerals Barepro 24hr Wear Matte Liquid Foundation Spf 20 Light 27 Cool 30 Ml</t>
        </is>
      </c>
      <c r="C8054" t="inlineStr">
        <is>
          <t>Foundation</t>
        </is>
      </c>
      <c r="D8054" t="inlineStr">
        <is>
          <t>Bareminerals</t>
        </is>
      </c>
      <c r="E8054" t="n">
        <v>31.25</v>
      </c>
      <c r="F8054" t="n">
        <v>1</v>
      </c>
      <c r="G8054" t="n">
        <v>2</v>
      </c>
      <c r="H8054" s="5">
        <f>HYPERLINK("https://api.qogita.com/variants/link/0194248062514/", "View Product")</f>
        <v/>
      </c>
    </row>
    <row r="8055">
      <c r="A8055" t="inlineStr">
        <is>
          <t>0194250000061</t>
        </is>
      </c>
      <c r="B8055" t="inlineStr">
        <is>
          <t>Laura Mercier Secret Camouflage Bright &amp; Correct Duo 0.5N 2x1g</t>
        </is>
      </c>
      <c r="C8055" t="inlineStr">
        <is>
          <t>Concealer</t>
        </is>
      </c>
      <c r="D8055" t="inlineStr">
        <is>
          <t>Laura Mercier</t>
        </is>
      </c>
      <c r="E8055" t="n">
        <v>27.96</v>
      </c>
      <c r="F8055" t="n">
        <v>1</v>
      </c>
      <c r="G8055" t="n">
        <v>9</v>
      </c>
      <c r="H8055" s="5">
        <f>HYPERLINK("https://api.qogita.com/variants/link/0194250000061/", "View Product")</f>
        <v/>
      </c>
    </row>
    <row r="8056">
      <c r="A8056" t="inlineStr">
        <is>
          <t>0194250001990</t>
        </is>
      </c>
      <c r="B8056" t="inlineStr">
        <is>
          <t>Laura Mercier Tinted Moisturizer Oil Free Natural Skin Perfector 50 Ml</t>
        </is>
      </c>
      <c r="C8056" t="inlineStr">
        <is>
          <t>Tinted Day Cream</t>
        </is>
      </c>
      <c r="D8056" t="inlineStr">
        <is>
          <t>Laura Mercier</t>
        </is>
      </c>
      <c r="E8056" t="n">
        <v>32.17</v>
      </c>
      <c r="F8056" t="n">
        <v>1</v>
      </c>
      <c r="G8056" t="n">
        <v>6</v>
      </c>
      <c r="H8056" s="5">
        <f>HYPERLINK("https://api.qogita.com/variants/link/0194250001990/", "View Product")</f>
        <v/>
      </c>
    </row>
    <row r="8057">
      <c r="A8057" t="inlineStr">
        <is>
          <t>0194250010411</t>
        </is>
      </c>
      <c r="B8057" t="inlineStr">
        <is>
          <t>Laura Mercier Real Flawless Weightless Perfecting Foundation 1W1 Cashmere</t>
        </is>
      </c>
      <c r="C8057" t="inlineStr">
        <is>
          <t>Foundation</t>
        </is>
      </c>
      <c r="D8057" t="inlineStr">
        <is>
          <t>Laura Mercier</t>
        </is>
      </c>
      <c r="E8057" t="n">
        <v>37.61</v>
      </c>
      <c r="F8057" t="n">
        <v>1</v>
      </c>
      <c r="G8057" t="n">
        <v>5</v>
      </c>
      <c r="H8057" s="5">
        <f>HYPERLINK("https://api.qogita.com/variants/link/0194250010411/", "View Product")</f>
        <v/>
      </c>
    </row>
    <row r="8058">
      <c r="A8058" t="inlineStr">
        <is>
          <t>0194250010435</t>
        </is>
      </c>
      <c r="B8058" t="inlineStr">
        <is>
          <t>Laura Mercier Real Flawless Weightless Perfecting Foundation 2C1 Ecru</t>
        </is>
      </c>
      <c r="C8058" t="inlineStr">
        <is>
          <t>Foundation</t>
        </is>
      </c>
      <c r="D8058" t="inlineStr">
        <is>
          <t>Laura Mercier</t>
        </is>
      </c>
      <c r="E8058" t="n">
        <v>37.81</v>
      </c>
      <c r="F8058" t="n">
        <v>1</v>
      </c>
      <c r="G8058" t="n">
        <v>6</v>
      </c>
      <c r="H8058" s="5">
        <f>HYPERLINK("https://api.qogita.com/variants/link/0194250010435/", "View Product")</f>
        <v/>
      </c>
    </row>
    <row r="8059">
      <c r="A8059" t="inlineStr">
        <is>
          <t>0194250010473</t>
        </is>
      </c>
      <c r="B8059" t="inlineStr">
        <is>
          <t>Laura Mercier Flawless Weightless Perfecting Foundation 2N1 Cashew</t>
        </is>
      </c>
      <c r="C8059" t="inlineStr">
        <is>
          <t>Foundation</t>
        </is>
      </c>
      <c r="D8059" t="inlineStr">
        <is>
          <t>Laura Mercier</t>
        </is>
      </c>
      <c r="E8059" t="n">
        <v>36.23</v>
      </c>
      <c r="F8059" t="n">
        <v>1</v>
      </c>
      <c r="G8059" t="n">
        <v>2</v>
      </c>
      <c r="H8059" s="5">
        <f>HYPERLINK("https://api.qogita.com/variants/link/0194250010473/", "View Product")</f>
        <v/>
      </c>
    </row>
    <row r="8060">
      <c r="A8060" t="inlineStr">
        <is>
          <t>0194250010572</t>
        </is>
      </c>
      <c r="B8060" t="inlineStr">
        <is>
          <t>Laura Mercier Real Flawless Weightless Perfecting Foundation</t>
        </is>
      </c>
      <c r="C8060" t="inlineStr">
        <is>
          <t>Foundation</t>
        </is>
      </c>
      <c r="D8060" t="inlineStr">
        <is>
          <t>Laura Mercier</t>
        </is>
      </c>
      <c r="E8060" t="n">
        <v>31.27</v>
      </c>
      <c r="F8060" t="n">
        <v>1</v>
      </c>
      <c r="G8060" t="n">
        <v>5</v>
      </c>
      <c r="H8060" s="5">
        <f>HYPERLINK("https://api.qogita.com/variants/link/0194250010572/", "View Product")</f>
        <v/>
      </c>
    </row>
    <row r="8061">
      <c r="A8061" t="inlineStr">
        <is>
          <t>0194250010633</t>
        </is>
      </c>
      <c r="B8061" t="inlineStr">
        <is>
          <t>Real Flawless Weightless Perfecting Waterproof Foundation 1 oz 3N2 Camel by Laura Mercier for Women</t>
        </is>
      </c>
      <c r="C8061" t="inlineStr">
        <is>
          <t>Foundation</t>
        </is>
      </c>
      <c r="D8061" t="inlineStr">
        <is>
          <t>Laura Mercier</t>
        </is>
      </c>
      <c r="E8061" t="n">
        <v>35.25</v>
      </c>
      <c r="F8061" t="n">
        <v>1</v>
      </c>
      <c r="G8061" t="n">
        <v>5</v>
      </c>
      <c r="H8061" s="5">
        <f>HYPERLINK("https://api.qogita.com/variants/link/0194250010633/", "View Product")</f>
        <v/>
      </c>
    </row>
    <row r="8062">
      <c r="A8062" t="inlineStr">
        <is>
          <t>0194250018523</t>
        </is>
      </c>
      <c r="B8062" t="inlineStr">
        <is>
          <t>Laura Mercier Women's Tinted Moisturizer Blush Promenade Pink 0.5 Fl Oz</t>
        </is>
      </c>
      <c r="C8062" t="inlineStr">
        <is>
          <t>Blush</t>
        </is>
      </c>
      <c r="D8062" t="inlineStr">
        <is>
          <t>Laura Mercier</t>
        </is>
      </c>
      <c r="E8062" t="n">
        <v>19.77</v>
      </c>
      <c r="F8062" t="n">
        <v>1</v>
      </c>
      <c r="G8062" t="n">
        <v>3</v>
      </c>
      <c r="H8062" s="5">
        <f>HYPERLINK("https://api.qogita.com/variants/link/0194250018523/", "View Product")</f>
        <v/>
      </c>
    </row>
    <row r="8063">
      <c r="A8063" t="inlineStr">
        <is>
          <t>0194250018561</t>
        </is>
      </c>
      <c r="B8063" t="inlineStr">
        <is>
          <t>Laura Mercier Tinted Moisturizer Blush Mediterranee Blush Women 0.5 oz</t>
        </is>
      </c>
      <c r="C8063" t="inlineStr">
        <is>
          <t>Blush</t>
        </is>
      </c>
      <c r="D8063" t="inlineStr">
        <is>
          <t>Laura Mercier</t>
        </is>
      </c>
      <c r="E8063" t="n">
        <v>19.77</v>
      </c>
      <c r="F8063" t="n">
        <v>1</v>
      </c>
      <c r="G8063" t="n">
        <v>2</v>
      </c>
      <c r="H8063" s="5">
        <f>HYPERLINK("https://api.qogita.com/variants/link/0194250018561/", "View Product")</f>
        <v/>
      </c>
    </row>
    <row r="8064">
      <c r="A8064" t="inlineStr">
        <is>
          <t>0194250022278</t>
        </is>
      </c>
      <c r="B8064" t="inlineStr">
        <is>
          <t>Laura Mercier Lip Glace Hydrating Moisturizing Lip Balm Gloss Melted Sugar</t>
        </is>
      </c>
      <c r="C8064" t="inlineStr">
        <is>
          <t>Lip Gloss</t>
        </is>
      </c>
      <c r="D8064" t="inlineStr">
        <is>
          <t>Laura Mercier</t>
        </is>
      </c>
      <c r="E8064" t="n">
        <v>20.04</v>
      </c>
      <c r="F8064" t="n">
        <v>1</v>
      </c>
      <c r="G8064" t="n">
        <v>4</v>
      </c>
      <c r="H8064" s="5">
        <f>HYPERLINK("https://api.qogita.com/variants/link/0194250022278/", "View Product")</f>
        <v/>
      </c>
    </row>
    <row r="8065">
      <c r="A8065" t="inlineStr">
        <is>
          <t>0194250022353</t>
        </is>
      </c>
      <c r="B8065" t="inlineStr">
        <is>
          <t>Laura Mercier Lip Glace Hydrating Moisturizing Lip Balm Gloss Creme Brulee</t>
        </is>
      </c>
      <c r="C8065" t="inlineStr">
        <is>
          <t>Lip Gloss</t>
        </is>
      </c>
      <c r="D8065" t="inlineStr">
        <is>
          <t>Laura Mercier</t>
        </is>
      </c>
      <c r="E8065" t="n">
        <v>20.04</v>
      </c>
      <c r="F8065" t="n">
        <v>1</v>
      </c>
      <c r="G8065" t="n">
        <v>8</v>
      </c>
      <c r="H8065" s="5">
        <f>HYPERLINK("https://api.qogita.com/variants/link/0194250022353/", "View Product")</f>
        <v/>
      </c>
    </row>
    <row r="8066">
      <c r="A8066" t="inlineStr">
        <is>
          <t>0194250022377</t>
        </is>
      </c>
      <c r="B8066" t="inlineStr">
        <is>
          <t>Laura Mercier Lip Glace Hydrating Moisturizing Lip Balm Gloss Vanilla</t>
        </is>
      </c>
      <c r="C8066" t="inlineStr">
        <is>
          <t>Lip Gloss</t>
        </is>
      </c>
      <c r="D8066" t="inlineStr">
        <is>
          <t>Laura Mercier</t>
        </is>
      </c>
      <c r="E8066" t="n">
        <v>19.9</v>
      </c>
      <c r="F8066" t="n">
        <v>1</v>
      </c>
      <c r="G8066" t="n">
        <v>5</v>
      </c>
      <c r="H8066" s="5">
        <f>HYPERLINK("https://api.qogita.com/variants/link/0194250022377/", "View Product")</f>
        <v/>
      </c>
    </row>
    <row r="8067">
      <c r="A8067" t="inlineStr">
        <is>
          <t>0194250022391</t>
        </is>
      </c>
      <c r="B8067" t="inlineStr">
        <is>
          <t>Laura Mercier Lip Glace 60 Creme Caramel for Women 0.15 oz Lip Gloss</t>
        </is>
      </c>
      <c r="C8067" t="inlineStr">
        <is>
          <t>Lip Gloss</t>
        </is>
      </c>
      <c r="D8067" t="inlineStr">
        <is>
          <t>Laura Mercier</t>
        </is>
      </c>
      <c r="E8067" t="n">
        <v>20.04</v>
      </c>
      <c r="F8067" t="n">
        <v>1</v>
      </c>
      <c r="G8067" t="n">
        <v>5</v>
      </c>
      <c r="H8067" s="5">
        <f>HYPERLINK("https://api.qogita.com/variants/link/0194250022391/", "View Product")</f>
        <v/>
      </c>
    </row>
    <row r="8068">
      <c r="A8068" t="inlineStr">
        <is>
          <t>0194250033359</t>
        </is>
      </c>
      <c r="B8068" t="inlineStr">
        <is>
          <t>Laura Mercier Real Flawless Foundation Brush</t>
        </is>
      </c>
      <c r="C8068" t="inlineStr">
        <is>
          <t>Foundation Brushes</t>
        </is>
      </c>
      <c r="D8068" t="inlineStr">
        <is>
          <t>Laura Mercier</t>
        </is>
      </c>
      <c r="E8068" t="n">
        <v>34.58</v>
      </c>
      <c r="F8068" t="n">
        <v>1</v>
      </c>
      <c r="G8068" t="n">
        <v>7</v>
      </c>
      <c r="H8068" s="5">
        <f>HYPERLINK("https://api.qogita.com/variants/link/0194250033359/", "View Product")</f>
        <v/>
      </c>
    </row>
    <row r="8069">
      <c r="A8069" t="inlineStr">
        <is>
          <t>0194250040111</t>
        </is>
      </c>
      <c r="B8069" t="inlineStr">
        <is>
          <t>Tinted Moisturizing Skin Cream (Tinted Moisturizer Light Revealer) 50 ml Shade 4C1 Almond</t>
        </is>
      </c>
      <c r="C8069" t="inlineStr">
        <is>
          <t>Tinted Day Cream</t>
        </is>
      </c>
      <c r="D8069" t="inlineStr">
        <is>
          <t>Laura Mercier</t>
        </is>
      </c>
      <c r="E8069" t="n">
        <v>32.49</v>
      </c>
      <c r="F8069" t="n">
        <v>1</v>
      </c>
      <c r="G8069" t="n">
        <v>3</v>
      </c>
      <c r="H8069" s="5">
        <f>HYPERLINK("https://api.qogita.com/variants/link/0194250040111/", "View Product")</f>
        <v/>
      </c>
    </row>
    <row r="8070">
      <c r="A8070" t="inlineStr">
        <is>
          <t>0194250046496</t>
        </is>
      </c>
      <c r="B8070" t="inlineStr">
        <is>
          <t>Laura Mercier High Vibe Lip Color Lipstick Joy Pale Rose 0.05oz 1.4g</t>
        </is>
      </c>
      <c r="C8070" t="inlineStr">
        <is>
          <t>Lipstick</t>
        </is>
      </c>
      <c r="D8070" t="inlineStr">
        <is>
          <t>Laura Mercier</t>
        </is>
      </c>
      <c r="E8070" t="n">
        <v>21.83</v>
      </c>
      <c r="F8070" t="n">
        <v>1</v>
      </c>
      <c r="G8070" t="n">
        <v>6</v>
      </c>
      <c r="H8070" s="5">
        <f>HYPERLINK("https://api.qogita.com/variants/link/0194250046496/", "View Product")</f>
        <v/>
      </c>
    </row>
    <row r="8071">
      <c r="A8071" t="inlineStr">
        <is>
          <t>0194250046557</t>
        </is>
      </c>
      <c r="B8071" t="inlineStr">
        <is>
          <t>Laura Mercier High Vibe Lip Color Lipstick Buzz Mauve 0.05oz 1.4g</t>
        </is>
      </c>
      <c r="C8071" t="inlineStr">
        <is>
          <t>Lipstick</t>
        </is>
      </c>
      <c r="D8071" t="inlineStr">
        <is>
          <t>Laura Mercier</t>
        </is>
      </c>
      <c r="E8071" t="n">
        <v>21.8</v>
      </c>
      <c r="F8071" t="n">
        <v>1</v>
      </c>
      <c r="G8071" t="n">
        <v>9</v>
      </c>
      <c r="H8071" s="5">
        <f>HYPERLINK("https://api.qogita.com/variants/link/0194250046557/", "View Product")</f>
        <v/>
      </c>
    </row>
    <row r="8072">
      <c r="A8072" t="inlineStr">
        <is>
          <t>0194250046571</t>
        </is>
      </c>
      <c r="B8072" t="inlineStr">
        <is>
          <t>Laura Mercier High Vibe Lip Color - 2 Grams</t>
        </is>
      </c>
      <c r="C8072" t="inlineStr">
        <is>
          <t>Lipstick</t>
        </is>
      </c>
      <c r="D8072" t="inlineStr">
        <is>
          <t>Laura Mercier</t>
        </is>
      </c>
      <c r="E8072" t="n">
        <v>25.29</v>
      </c>
      <c r="F8072" t="n">
        <v>1</v>
      </c>
      <c r="G8072" t="n">
        <v>5</v>
      </c>
      <c r="H8072" s="5">
        <f>HYPERLINK("https://api.qogita.com/variants/link/0194250046571/", "View Product")</f>
        <v/>
      </c>
    </row>
    <row r="8073">
      <c r="A8073" t="inlineStr">
        <is>
          <t>0194250047554</t>
        </is>
      </c>
      <c r="B8073" t="inlineStr">
        <is>
          <t>Laura Mercier Mini Ultra-Blur Talc-Free Translucent Loose Setting Powder Translucent</t>
        </is>
      </c>
      <c r="C8073" t="inlineStr">
        <is>
          <t>Powder</t>
        </is>
      </c>
      <c r="D8073" t="inlineStr">
        <is>
          <t>Laura Mercier</t>
        </is>
      </c>
      <c r="E8073" t="n">
        <v>22.07</v>
      </c>
      <c r="F8073" t="n">
        <v>1</v>
      </c>
      <c r="G8073" t="n">
        <v>8</v>
      </c>
      <c r="H8073" s="5">
        <f>HYPERLINK("https://api.qogita.com/variants/link/0194250047554/", "View Product")</f>
        <v/>
      </c>
    </row>
    <row r="8074">
      <c r="A8074" t="inlineStr">
        <is>
          <t>0194250050790</t>
        </is>
      </c>
      <c r="B8074" t="inlineStr">
        <is>
          <t>Tinted Moisturizer Bronzer 15 ml Shade Sunstone</t>
        </is>
      </c>
      <c r="C8074" t="inlineStr">
        <is>
          <t>Bronzer</t>
        </is>
      </c>
      <c r="D8074" t="inlineStr">
        <is>
          <t>Laura Mercier</t>
        </is>
      </c>
      <c r="E8074" t="n">
        <v>19.77</v>
      </c>
      <c r="F8074" t="n">
        <v>1</v>
      </c>
      <c r="G8074" t="n">
        <v>3</v>
      </c>
      <c r="H8074" s="5">
        <f>HYPERLINK("https://api.qogita.com/variants/link/0194250050790/", "View Product")</f>
        <v/>
      </c>
    </row>
    <row r="8075">
      <c r="A8075" t="inlineStr">
        <is>
          <t>0194250050837</t>
        </is>
      </c>
      <c r="B8075" t="inlineStr">
        <is>
          <t>Laura Mercier Caviar Stick Matte Eye Shadow Vanilla Kiss</t>
        </is>
      </c>
      <c r="C8075" t="inlineStr">
        <is>
          <t>Eyeshadow</t>
        </is>
      </c>
      <c r="D8075" t="inlineStr">
        <is>
          <t>Laura Mercier</t>
        </is>
      </c>
      <c r="E8075" t="n">
        <v>25.01</v>
      </c>
      <c r="F8075" t="n">
        <v>1</v>
      </c>
      <c r="G8075" t="n">
        <v>16</v>
      </c>
      <c r="H8075" s="5">
        <f>HYPERLINK("https://api.qogita.com/variants/link/0194250050837/", "View Product")</f>
        <v/>
      </c>
    </row>
    <row r="8076">
      <c r="A8076" t="inlineStr">
        <is>
          <t>0194250051612</t>
        </is>
      </c>
      <c r="B8076" t="inlineStr">
        <is>
          <t>Caviar Tightline Eyeliner 1.2 g Shade Cocoa</t>
        </is>
      </c>
      <c r="C8076" t="inlineStr">
        <is>
          <t>Eyeliner</t>
        </is>
      </c>
      <c r="D8076" t="inlineStr">
        <is>
          <t>Laura Mercier</t>
        </is>
      </c>
      <c r="E8076" t="n">
        <v>21.85</v>
      </c>
      <c r="F8076" t="n">
        <v>1</v>
      </c>
      <c r="G8076" t="n">
        <v>6</v>
      </c>
      <c r="H8076" s="5">
        <f>HYPERLINK("https://api.qogita.com/variants/link/0194250051612/", "View Product")</f>
        <v/>
      </c>
    </row>
    <row r="8077">
      <c r="A8077" t="inlineStr">
        <is>
          <t>0194250058680</t>
        </is>
      </c>
      <c r="B8077" t="inlineStr">
        <is>
          <t>Laura Mercier Caviar Stick Eye Shadow</t>
        </is>
      </c>
      <c r="C8077" t="inlineStr">
        <is>
          <t>Eyeshadow</t>
        </is>
      </c>
      <c r="D8077" t="inlineStr">
        <is>
          <t>Laura Mercier</t>
        </is>
      </c>
      <c r="E8077" t="n">
        <v>23.25</v>
      </c>
      <c r="F8077" t="n">
        <v>1</v>
      </c>
      <c r="G8077" t="n">
        <v>4</v>
      </c>
      <c r="H8077" s="5">
        <f>HYPERLINK("https://api.qogita.com/variants/link/0194250058680/", "View Product")</f>
        <v/>
      </c>
    </row>
    <row r="8078">
      <c r="A8078" t="inlineStr">
        <is>
          <t>0194250058802</t>
        </is>
      </c>
      <c r="B8078" t="inlineStr">
        <is>
          <t>Laura Mercier Caviar Stick Matte Eye Shadow Cobblestone</t>
        </is>
      </c>
      <c r="C8078" t="inlineStr">
        <is>
          <t>Eyeshadow</t>
        </is>
      </c>
      <c r="D8078" t="inlineStr">
        <is>
          <t>Laura Mercier</t>
        </is>
      </c>
      <c r="E8078" t="n">
        <v>25.01</v>
      </c>
      <c r="F8078" t="n">
        <v>1</v>
      </c>
      <c r="G8078" t="n">
        <v>5</v>
      </c>
      <c r="H8078" s="5">
        <f>HYPERLINK("https://api.qogita.com/variants/link/0194250058802/", "View Product")</f>
        <v/>
      </c>
    </row>
    <row r="8079">
      <c r="A8079" t="inlineStr">
        <is>
          <t>0194250058994</t>
        </is>
      </c>
      <c r="B8079" t="inlineStr">
        <is>
          <t>Laura Mercier Real Flawless Luminous Perfecting Talc-Free Pressed Powder Translucent Deep</t>
        </is>
      </c>
      <c r="C8079" t="inlineStr">
        <is>
          <t>Powder</t>
        </is>
      </c>
      <c r="D8079" t="inlineStr">
        <is>
          <t>Laura Mercier</t>
        </is>
      </c>
      <c r="E8079" t="n">
        <v>32.94</v>
      </c>
      <c r="F8079" t="n">
        <v>1</v>
      </c>
      <c r="G8079" t="n">
        <v>5</v>
      </c>
      <c r="H8079" s="5">
        <f>HYPERLINK("https://api.qogita.com/variants/link/0194250058994/", "View Product")</f>
        <v/>
      </c>
    </row>
    <row r="8080">
      <c r="A8080" t="inlineStr">
        <is>
          <t>0194250059366</t>
        </is>
      </c>
      <c r="B8080" t="inlineStr">
        <is>
          <t>Liquid Corrector (Real Flawless Concealer) 5.4 ml Shade 1C1</t>
        </is>
      </c>
      <c r="C8080" t="inlineStr">
        <is>
          <t>Concealer</t>
        </is>
      </c>
      <c r="D8080" t="inlineStr">
        <is>
          <t>Laura Mercier</t>
        </is>
      </c>
      <c r="E8080" t="n">
        <v>24.94</v>
      </c>
      <c r="F8080" t="n">
        <v>1</v>
      </c>
      <c r="G8080" t="n">
        <v>2</v>
      </c>
      <c r="H8080" s="5">
        <f>HYPERLINK("https://api.qogita.com/variants/link/0194250059366/", "View Product")</f>
        <v/>
      </c>
    </row>
    <row r="8081">
      <c r="A8081" t="inlineStr">
        <is>
          <t>0194250059380</t>
        </is>
      </c>
      <c r="B8081" t="inlineStr">
        <is>
          <t>Liquid Corrector (Real Flawless Concealer) 5.4 ml Shade 1N0</t>
        </is>
      </c>
      <c r="C8081" t="inlineStr">
        <is>
          <t>Concealer</t>
        </is>
      </c>
      <c r="D8081" t="inlineStr">
        <is>
          <t>Laura Mercier</t>
        </is>
      </c>
      <c r="E8081" t="n">
        <v>21.55</v>
      </c>
      <c r="F8081" t="n">
        <v>1</v>
      </c>
      <c r="G8081" t="n">
        <v>4</v>
      </c>
      <c r="H8081" s="5">
        <f>HYPERLINK("https://api.qogita.com/variants/link/0194250059380/", "View Product")</f>
        <v/>
      </c>
    </row>
    <row r="8082">
      <c r="A8082" t="inlineStr">
        <is>
          <t>0194250059526</t>
        </is>
      </c>
      <c r="B8082" t="inlineStr">
        <is>
          <t>Liquid Corrector (Real Flawless Concealer) 5.4 ml Shade 3W1</t>
        </is>
      </c>
      <c r="C8082" t="inlineStr">
        <is>
          <t>Concealer</t>
        </is>
      </c>
      <c r="D8082" t="inlineStr">
        <is>
          <t>Laura Mercier</t>
        </is>
      </c>
      <c r="E8082" t="n">
        <v>21.55</v>
      </c>
      <c r="F8082" t="n">
        <v>1</v>
      </c>
      <c r="G8082" t="n">
        <v>6</v>
      </c>
      <c r="H8082" s="5">
        <f>HYPERLINK("https://api.qogita.com/variants/link/0194250059526/", "View Product")</f>
        <v/>
      </c>
    </row>
    <row r="8083">
      <c r="A8083" t="inlineStr">
        <is>
          <t>0194250059588</t>
        </is>
      </c>
      <c r="B8083" t="inlineStr">
        <is>
          <t>Liquid Corrector (Real Flawless Concealer) 5.4 ml Shade 4C1</t>
        </is>
      </c>
      <c r="C8083" t="inlineStr">
        <is>
          <t>Concealer</t>
        </is>
      </c>
      <c r="D8083" t="inlineStr">
        <is>
          <t>Laura Mercier</t>
        </is>
      </c>
      <c r="E8083" t="n">
        <v>21.55</v>
      </c>
      <c r="F8083" t="n">
        <v>1</v>
      </c>
      <c r="G8083" t="n">
        <v>7</v>
      </c>
      <c r="H8083" s="5">
        <f>HYPERLINK("https://api.qogita.com/variants/link/0194250059588/", "View Product")</f>
        <v/>
      </c>
    </row>
    <row r="8084">
      <c r="A8084" t="inlineStr">
        <is>
          <t>0194250059601</t>
        </is>
      </c>
      <c r="B8084" t="inlineStr">
        <is>
          <t>Liquid Corrector (Real Flawless Concealer) 5.4 ml Shade 4N1</t>
        </is>
      </c>
      <c r="C8084" t="inlineStr">
        <is>
          <t>Concealer</t>
        </is>
      </c>
      <c r="D8084" t="inlineStr">
        <is>
          <t>Laura Mercier</t>
        </is>
      </c>
      <c r="E8084" t="n">
        <v>21.55</v>
      </c>
      <c r="F8084" t="n">
        <v>1</v>
      </c>
      <c r="G8084" t="n">
        <v>7</v>
      </c>
      <c r="H8084" s="5">
        <f>HYPERLINK("https://api.qogita.com/variants/link/0194250059601/", "View Product")</f>
        <v/>
      </c>
    </row>
    <row r="8085">
      <c r="A8085" t="inlineStr">
        <is>
          <t>0194250059663</t>
        </is>
      </c>
      <c r="B8085" t="inlineStr">
        <is>
          <t>Liquid Corrector (Real Flawless Concealer) 5.4 ml Shade 5W1</t>
        </is>
      </c>
      <c r="C8085" t="inlineStr">
        <is>
          <t>Concealer</t>
        </is>
      </c>
      <c r="D8085" t="inlineStr">
        <is>
          <t>Laura Mercier</t>
        </is>
      </c>
      <c r="E8085" t="n">
        <v>21.55</v>
      </c>
      <c r="F8085" t="n">
        <v>1</v>
      </c>
      <c r="G8085" t="n">
        <v>7</v>
      </c>
      <c r="H8085" s="5">
        <f>HYPERLINK("https://api.qogita.com/variants/link/0194250059663/", "View Product")</f>
        <v/>
      </c>
    </row>
    <row r="8086">
      <c r="A8086" t="inlineStr">
        <is>
          <t>0194250066579</t>
        </is>
      </c>
      <c r="B8086" t="inlineStr">
        <is>
          <t>Laura Mercier Caviar Smoothing Matte Lipstick Refill - 3.8 G</t>
        </is>
      </c>
      <c r="C8086" t="inlineStr">
        <is>
          <t>Lipstick</t>
        </is>
      </c>
      <c r="D8086" t="inlineStr">
        <is>
          <t>Laura Mercier</t>
        </is>
      </c>
      <c r="E8086" t="n">
        <v>20.52</v>
      </c>
      <c r="F8086" t="n">
        <v>1</v>
      </c>
      <c r="G8086" t="n">
        <v>5</v>
      </c>
      <c r="H8086" s="5">
        <f>HYPERLINK("https://api.qogita.com/variants/link/0194250066579/", "View Product")</f>
        <v/>
      </c>
    </row>
    <row r="8087">
      <c r="A8087" t="inlineStr">
        <is>
          <t>0194250066890</t>
        </is>
      </c>
      <c r="B8087" t="inlineStr">
        <is>
          <t>Laura Mercier Caviar Perfecting Lip Liner 1.1 G</t>
        </is>
      </c>
      <c r="C8087" t="inlineStr">
        <is>
          <t>Lip Liner</t>
        </is>
      </c>
      <c r="D8087" t="inlineStr">
        <is>
          <t>Laura Mercier</t>
        </is>
      </c>
      <c r="E8087" t="n">
        <v>20.09</v>
      </c>
      <c r="F8087" t="n">
        <v>1</v>
      </c>
      <c r="G8087" t="n">
        <v>2</v>
      </c>
      <c r="H8087" s="5">
        <f>HYPERLINK("https://api.qogita.com/variants/link/0194250066890/", "View Product")</f>
        <v/>
      </c>
    </row>
    <row r="8088">
      <c r="A8088" t="inlineStr">
        <is>
          <t>0194250066975</t>
        </is>
      </c>
      <c r="B8088" t="inlineStr">
        <is>
          <t>Laura Mercier Caviar Smoothing Matte Lipstick - 3.8 G</t>
        </is>
      </c>
      <c r="C8088" t="inlineStr">
        <is>
          <t>Lipstick</t>
        </is>
      </c>
      <c r="D8088" t="inlineStr">
        <is>
          <t>Laura Mercier</t>
        </is>
      </c>
      <c r="E8088" t="n">
        <v>33.36</v>
      </c>
      <c r="F8088" t="n">
        <v>1</v>
      </c>
      <c r="G8088" t="n">
        <v>7</v>
      </c>
      <c r="H8088" s="5">
        <f>HYPERLINK("https://api.qogita.com/variants/link/0194250066975/", "View Product")</f>
        <v/>
      </c>
    </row>
    <row r="8089">
      <c r="A8089" t="inlineStr">
        <is>
          <t>0194250067002</t>
        </is>
      </c>
      <c r="B8089" t="inlineStr">
        <is>
          <t>Laura Mercier Caviar Smoothing Matte Lipstick - 3.8 G</t>
        </is>
      </c>
      <c r="C8089" t="inlineStr">
        <is>
          <t>Lipstick</t>
        </is>
      </c>
      <c r="D8089" t="inlineStr">
        <is>
          <t>Laura Mercier</t>
        </is>
      </c>
      <c r="E8089" t="n">
        <v>32.15</v>
      </c>
      <c r="F8089" t="n">
        <v>1</v>
      </c>
      <c r="G8089" t="n">
        <v>5</v>
      </c>
      <c r="H8089" s="5">
        <f>HYPERLINK("https://api.qogita.com/variants/link/0194250067002/", "View Product")</f>
        <v/>
      </c>
    </row>
    <row r="8090">
      <c r="A8090" t="inlineStr">
        <is>
          <t>0194250067019</t>
        </is>
      </c>
      <c r="B8090" t="inlineStr">
        <is>
          <t>Laura Mercier Caviar Smoothing Matte Lipstick - 3.8 G</t>
        </is>
      </c>
      <c r="C8090" t="inlineStr">
        <is>
          <t>Lipstick</t>
        </is>
      </c>
      <c r="D8090" t="inlineStr">
        <is>
          <t>Laura Mercier</t>
        </is>
      </c>
      <c r="E8090" t="n">
        <v>32.15</v>
      </c>
      <c r="F8090" t="n">
        <v>1</v>
      </c>
      <c r="G8090" t="n">
        <v>5</v>
      </c>
      <c r="H8090" s="5">
        <f>HYPERLINK("https://api.qogita.com/variants/link/0194250067019/", "View Product")</f>
        <v/>
      </c>
    </row>
    <row r="8091">
      <c r="A8091" t="inlineStr">
        <is>
          <t>0194250067026</t>
        </is>
      </c>
      <c r="B8091" t="inlineStr">
        <is>
          <t>Laura Mercier Caviar Smoothing Matte Lipstick - 3.8 G</t>
        </is>
      </c>
      <c r="C8091" t="inlineStr">
        <is>
          <t>Lipstick</t>
        </is>
      </c>
      <c r="D8091" t="inlineStr">
        <is>
          <t>Laura Mercier</t>
        </is>
      </c>
      <c r="E8091" t="n">
        <v>32.15</v>
      </c>
      <c r="F8091" t="n">
        <v>1</v>
      </c>
      <c r="G8091" t="n">
        <v>2</v>
      </c>
      <c r="H8091" s="5">
        <f>HYPERLINK("https://api.qogita.com/variants/link/0194250067026/", "View Product")</f>
        <v/>
      </c>
    </row>
    <row r="8092">
      <c r="A8092" t="inlineStr">
        <is>
          <t>0194250067040</t>
        </is>
      </c>
      <c r="B8092" t="inlineStr">
        <is>
          <t>Laura Mercier Caviar Smoothing Matte Lipstick - 3.8 G</t>
        </is>
      </c>
      <c r="C8092" t="inlineStr">
        <is>
          <t>Lipstick</t>
        </is>
      </c>
      <c r="D8092" t="inlineStr">
        <is>
          <t>Laura Mercier</t>
        </is>
      </c>
      <c r="E8092" t="n">
        <v>32.15</v>
      </c>
      <c r="F8092" t="n">
        <v>1</v>
      </c>
      <c r="G8092" t="n">
        <v>5</v>
      </c>
      <c r="H8092" s="5">
        <f>HYPERLINK("https://api.qogita.com/variants/link/0194250067040/", "View Product")</f>
        <v/>
      </c>
    </row>
    <row r="8093">
      <c r="A8093" t="inlineStr">
        <is>
          <t>0194250078756</t>
        </is>
      </c>
      <c r="B8093" t="inlineStr">
        <is>
          <t>Laura Mercier Caviar Stick Eye Shadow - Shimmer Eye Shadow 1.64 G</t>
        </is>
      </c>
      <c r="C8093" t="inlineStr">
        <is>
          <t>Eyeshadow</t>
        </is>
      </c>
      <c r="D8093" t="inlineStr">
        <is>
          <t>Laura Mercier</t>
        </is>
      </c>
      <c r="E8093" t="n">
        <v>27.89</v>
      </c>
      <c r="F8093" t="n">
        <v>1</v>
      </c>
      <c r="G8093" t="n">
        <v>9</v>
      </c>
      <c r="H8093" s="5">
        <f>HYPERLINK("https://api.qogita.com/variants/link/0194250078756/", "View Product")</f>
        <v/>
      </c>
    </row>
    <row r="8094">
      <c r="A8094" t="inlineStr">
        <is>
          <t>0309974677011</t>
        </is>
      </c>
      <c r="B8094" t="inlineStr">
        <is>
          <t>Revlon ColorStay Liquid Foundation Makeup for Normal/Dry Skin SPF 20 Longwear</t>
        </is>
      </c>
      <c r="C8094" t="inlineStr">
        <is>
          <t>Foundation</t>
        </is>
      </c>
      <c r="D8094" t="inlineStr">
        <is>
          <t>Revlon</t>
        </is>
      </c>
      <c r="E8094" t="n">
        <v>4.97</v>
      </c>
      <c r="F8094" t="n">
        <v>1</v>
      </c>
      <c r="G8094" t="n">
        <v>8</v>
      </c>
      <c r="H8094" s="5">
        <f>HYPERLINK("https://api.qogita.com/variants/link/0309974677011/", "View Product")</f>
        <v/>
      </c>
    </row>
    <row r="8095">
      <c r="A8095" t="inlineStr">
        <is>
          <t>0309974700047</t>
        </is>
      </c>
      <c r="B8095" t="inlineStr">
        <is>
          <t>Revlon Colorstay Liquid Foundation Makeup for Combination/Oily Skin SPF 15 Medium-Full Coverage with Matte Finish 30ml 200 Nude</t>
        </is>
      </c>
      <c r="C8095" t="inlineStr">
        <is>
          <t>Foundation</t>
        </is>
      </c>
      <c r="D8095" t="inlineStr">
        <is>
          <t>Revlon</t>
        </is>
      </c>
      <c r="E8095" t="n">
        <v>4.98</v>
      </c>
      <c r="F8095" t="n">
        <v>1</v>
      </c>
      <c r="G8095" t="n">
        <v>4</v>
      </c>
      <c r="H8095" s="5">
        <f>HYPERLINK("https://api.qogita.com/variants/link/0309974700047/", "View Product")</f>
        <v/>
      </c>
    </row>
    <row r="8096">
      <c r="A8096" t="inlineStr">
        <is>
          <t>0309974700054</t>
        </is>
      </c>
      <c r="B8096" t="inlineStr">
        <is>
          <t>Revlon ColorStay Makeup Foundation for Combination/Oily Skin  30ml, 220 Natural Beige</t>
        </is>
      </c>
      <c r="C8096" t="inlineStr">
        <is>
          <t>Foundation</t>
        </is>
      </c>
      <c r="D8096" t="inlineStr">
        <is>
          <t>Revlon</t>
        </is>
      </c>
      <c r="E8096" t="n">
        <v>4.88</v>
      </c>
      <c r="F8096" t="n">
        <v>1</v>
      </c>
      <c r="G8096" t="n">
        <v>5</v>
      </c>
      <c r="H8096" s="5">
        <f>HYPERLINK("https://api.qogita.com/variants/link/0309974700054/", "View Product")</f>
        <v/>
      </c>
    </row>
    <row r="8097">
      <c r="A8097" t="inlineStr">
        <is>
          <t>0309974700061</t>
        </is>
      </c>
      <c r="B8097" t="inlineStr">
        <is>
          <t>Revlon Colorstay Foundation Medium 30ml 240 Medium Beige</t>
        </is>
      </c>
      <c r="C8097" t="inlineStr">
        <is>
          <t>Foundation</t>
        </is>
      </c>
      <c r="D8097" t="inlineStr">
        <is>
          <t>Revlon</t>
        </is>
      </c>
      <c r="E8097" t="n">
        <v>4.78</v>
      </c>
      <c r="F8097" t="n">
        <v>1</v>
      </c>
      <c r="G8097" t="n">
        <v>2</v>
      </c>
      <c r="H8097" s="5">
        <f>HYPERLINK("https://api.qogita.com/variants/link/0309974700061/", "View Product")</f>
        <v/>
      </c>
    </row>
    <row r="8098">
      <c r="A8098" t="inlineStr">
        <is>
          <t>0309974700139</t>
        </is>
      </c>
      <c r="B8098" t="inlineStr">
        <is>
          <t>Revlon Colorstay Liquid Foundation Makeup for Combination/Oily Skin SPF 15 Medium-Full Coverage with Matte Finish 30ml 350 Rich Tan</t>
        </is>
      </c>
      <c r="C8098" t="inlineStr">
        <is>
          <t>Foundation</t>
        </is>
      </c>
      <c r="D8098" t="inlineStr">
        <is>
          <t>Revlon</t>
        </is>
      </c>
      <c r="E8098" t="n">
        <v>5</v>
      </c>
      <c r="F8098" t="n">
        <v>1</v>
      </c>
      <c r="G8098" t="n">
        <v>23</v>
      </c>
      <c r="H8098" s="5">
        <f>HYPERLINK("https://api.qogita.com/variants/link/0309974700139/", "View Product")</f>
        <v/>
      </c>
    </row>
    <row r="8099">
      <c r="A8099" t="inlineStr">
        <is>
          <t>0602004135308</t>
        </is>
      </c>
      <c r="B8099" t="inlineStr">
        <is>
          <t>Benefit Cosmetics Benefit Gimme Brow+Volumizing Pencil 0.042oz 4 Warm Deep Brown</t>
        </is>
      </c>
      <c r="C8099" t="inlineStr">
        <is>
          <t>Eyebrow Pencil</t>
        </is>
      </c>
      <c r="D8099" t="inlineStr">
        <is>
          <t>Benefit Cosmetics</t>
        </is>
      </c>
      <c r="E8099" t="n">
        <v>20.1</v>
      </c>
      <c r="F8099" t="n">
        <v>1</v>
      </c>
      <c r="G8099" t="n">
        <v>10</v>
      </c>
      <c r="H8099" s="5">
        <f>HYPERLINK("https://api.qogita.com/variants/link/0602004135308/", "View Product")</f>
        <v/>
      </c>
    </row>
    <row r="8100">
      <c r="A8100" t="inlineStr">
        <is>
          <t>0603531175065</t>
        </is>
      </c>
      <c r="B8100" t="inlineStr">
        <is>
          <t>Pierre Cardin Cologne 80ml EDC Spray</t>
        </is>
      </c>
      <c r="C8100" t="inlineStr">
        <is>
          <t>Eau De Cologne</t>
        </is>
      </c>
      <c r="D8100" t="inlineStr">
        <is>
          <t>Pierre Cardin</t>
        </is>
      </c>
      <c r="E8100" t="n">
        <v>14.73</v>
      </c>
      <c r="F8100" t="n">
        <v>1</v>
      </c>
      <c r="G8100" t="n">
        <v>55</v>
      </c>
      <c r="H8100" s="5">
        <f>HYPERLINK("https://api.qogita.com/variants/link/0603531175065/", "View Product")</f>
        <v/>
      </c>
    </row>
    <row r="8101">
      <c r="A8101" t="inlineStr">
        <is>
          <t>0603531211084</t>
        </is>
      </c>
      <c r="B8101" t="inlineStr">
        <is>
          <t>Sirene by Vicky Tiel 3.3 oz EDP for Women</t>
        </is>
      </c>
      <c r="C8101" t="inlineStr">
        <is>
          <t>Eau De Parfum</t>
        </is>
      </c>
      <c r="D8101" t="inlineStr">
        <is>
          <t>Vicky Tiel</t>
        </is>
      </c>
      <c r="E8101" t="n">
        <v>14.73</v>
      </c>
      <c r="F8101" t="n">
        <v>1</v>
      </c>
      <c r="G8101" t="n">
        <v>9</v>
      </c>
      <c r="H8101" s="5">
        <f>HYPERLINK("https://api.qogita.com/variants/link/0603531211084/", "View Product")</f>
        <v/>
      </c>
    </row>
    <row r="8102">
      <c r="A8102" t="inlineStr">
        <is>
          <t>0603531915609</t>
        </is>
      </c>
      <c r="B8102" t="inlineStr">
        <is>
          <t>Vince Camuto Femme Body Spray 8oz 240ml</t>
        </is>
      </c>
      <c r="C8102" t="inlineStr">
        <is>
          <t>Eau De Toilette</t>
        </is>
      </c>
      <c r="D8102" t="inlineStr">
        <is>
          <t>Vince Camuto</t>
        </is>
      </c>
      <c r="E8102" t="n">
        <v>6.24</v>
      </c>
      <c r="F8102" t="n">
        <v>1</v>
      </c>
      <c r="G8102" t="n">
        <v>4</v>
      </c>
      <c r="H8102" s="5">
        <f>HYPERLINK("https://api.qogita.com/variants/link/0603531915609/", "View Product")</f>
        <v/>
      </c>
    </row>
    <row r="8103">
      <c r="A8103" t="inlineStr">
        <is>
          <t>0604214449206</t>
        </is>
      </c>
      <c r="B8103" t="inlineStr">
        <is>
          <t>Urban Decay 24/7 Glide on Waterproof Eye Pencil Mildew 1.2g</t>
        </is>
      </c>
      <c r="C8103" t="inlineStr">
        <is>
          <t>Eye Pencil</t>
        </is>
      </c>
      <c r="D8103" t="inlineStr">
        <is>
          <t>Urban Decay</t>
        </is>
      </c>
      <c r="E8103" t="n">
        <v>19.86</v>
      </c>
      <c r="F8103" t="n">
        <v>1</v>
      </c>
      <c r="G8103" t="n">
        <v>7</v>
      </c>
      <c r="H8103" s="5">
        <f>HYPERLINK("https://api.qogita.com/variants/link/0604214449206/", "View Product")</f>
        <v/>
      </c>
    </row>
    <row r="8104">
      <c r="A8104" t="inlineStr">
        <is>
          <t>0604214450400</t>
        </is>
      </c>
      <c r="B8104" t="inlineStr">
        <is>
          <t>Urban Decay 24/7 Glide on Eye Pencil Corrupt 1.2g</t>
        </is>
      </c>
      <c r="C8104" t="inlineStr">
        <is>
          <t>Eye Pencil</t>
        </is>
      </c>
      <c r="D8104" t="inlineStr">
        <is>
          <t>Urban Decay</t>
        </is>
      </c>
      <c r="E8104" t="n">
        <v>24.32</v>
      </c>
      <c r="F8104" t="n">
        <v>1</v>
      </c>
      <c r="G8104" t="n">
        <v>3</v>
      </c>
      <c r="H8104" s="5">
        <f>HYPERLINK("https://api.qogita.com/variants/link/0604214450400/", "View Product")</f>
        <v/>
      </c>
    </row>
    <row r="8105">
      <c r="A8105" t="inlineStr">
        <is>
          <t>0604565817136</t>
        </is>
      </c>
      <c r="B8105" t="inlineStr">
        <is>
          <t>Facial Cleansing Soap with Vitamin C &amp; Caffeine (Facial Cleansing Bar) 100g</t>
        </is>
      </c>
      <c r="C8105" t="inlineStr">
        <is>
          <t>Facial Soap</t>
        </is>
      </c>
      <c r="D8105" t="inlineStr">
        <is>
          <t>Carbon Theory</t>
        </is>
      </c>
      <c r="E8105" t="n">
        <v>6.64</v>
      </c>
      <c r="F8105" t="n">
        <v>1</v>
      </c>
      <c r="G8105" t="n">
        <v>4</v>
      </c>
      <c r="H8105" s="5">
        <f>HYPERLINK("https://api.qogita.com/variants/link/0604565817136/", "View Product")</f>
        <v/>
      </c>
    </row>
    <row r="8106">
      <c r="A8106" t="inlineStr">
        <is>
          <t>0607710002319</t>
        </is>
      </c>
      <c r="B8106" t="inlineStr">
        <is>
          <t>Smashbox Halo Healthy Glow 4-In-1 Perfecting Pen - 35 Ml</t>
        </is>
      </c>
      <c r="C8106" t="inlineStr">
        <is>
          <t>Bb Cream &amp; Cc Cream</t>
        </is>
      </c>
      <c r="D8106" t="inlineStr">
        <is>
          <t>Smashbox</t>
        </is>
      </c>
      <c r="E8106" t="n">
        <v>20.96</v>
      </c>
      <c r="F8106" t="n">
        <v>1</v>
      </c>
      <c r="G8106" t="n">
        <v>5</v>
      </c>
      <c r="H8106" s="5">
        <f>HYPERLINK("https://api.qogita.com/variants/link/0607710002319/", "View Product")</f>
        <v/>
      </c>
    </row>
    <row r="8107">
      <c r="A8107" t="inlineStr">
        <is>
          <t>0607710006676</t>
        </is>
      </c>
      <c r="B8107" t="inlineStr">
        <is>
          <t>Smashbox Photo Finish Endurance Setting Spray</t>
        </is>
      </c>
      <c r="C8107" t="inlineStr">
        <is>
          <t>Setting Spray</t>
        </is>
      </c>
      <c r="D8107" t="inlineStr">
        <is>
          <t>Smashbox</t>
        </is>
      </c>
      <c r="E8107" t="n">
        <v>24.26</v>
      </c>
      <c r="F8107" t="n">
        <v>1</v>
      </c>
      <c r="G8107" t="n">
        <v>4</v>
      </c>
      <c r="H8107" s="5">
        <f>HYPERLINK("https://api.qogita.com/variants/link/0607710006676/", "View Product")</f>
        <v/>
      </c>
    </row>
    <row r="8108">
      <c r="A8108" t="inlineStr">
        <is>
          <t>0607710086265</t>
        </is>
      </c>
      <c r="B8108" t="inlineStr">
        <is>
          <t>Smashbox Always On Skin-Balancing Foundation - 30 Ml</t>
        </is>
      </c>
      <c r="C8108" t="inlineStr">
        <is>
          <t>Foundation</t>
        </is>
      </c>
      <c r="D8108" t="inlineStr">
        <is>
          <t>Smashbox</t>
        </is>
      </c>
      <c r="E8108" t="n">
        <v>32.1</v>
      </c>
      <c r="F8108" t="n">
        <v>1</v>
      </c>
      <c r="G8108" t="n">
        <v>4</v>
      </c>
      <c r="H8108" s="5">
        <f>HYPERLINK("https://api.qogita.com/variants/link/0607710086265/", "View Product")</f>
        <v/>
      </c>
    </row>
    <row r="8109">
      <c r="A8109" t="inlineStr">
        <is>
          <t>0607710086364</t>
        </is>
      </c>
      <c r="B8109" t="inlineStr">
        <is>
          <t>Smashbox Always On Skin-Balancing Foundation - 30 Ml</t>
        </is>
      </c>
      <c r="C8109" t="inlineStr">
        <is>
          <t>Foundation</t>
        </is>
      </c>
      <c r="D8109" t="inlineStr">
        <is>
          <t>Smashbox</t>
        </is>
      </c>
      <c r="E8109" t="n">
        <v>32.1</v>
      </c>
      <c r="F8109" t="n">
        <v>1</v>
      </c>
      <c r="G8109" t="n">
        <v>11</v>
      </c>
      <c r="H8109" s="5">
        <f>HYPERLINK("https://api.qogita.com/variants/link/0607710086364/", "View Product")</f>
        <v/>
      </c>
    </row>
    <row r="8110">
      <c r="A8110" t="inlineStr">
        <is>
          <t>0607710086401</t>
        </is>
      </c>
      <c r="B8110" t="inlineStr">
        <is>
          <t>Smashbox Always On Skin-Balancing Foundation - Long-Lasting Makeup, 30 Ml</t>
        </is>
      </c>
      <c r="C8110" t="inlineStr">
        <is>
          <t>Foundation</t>
        </is>
      </c>
      <c r="D8110" t="inlineStr">
        <is>
          <t>Smashbox</t>
        </is>
      </c>
      <c r="E8110" t="n">
        <v>32.1</v>
      </c>
      <c r="F8110" t="n">
        <v>1</v>
      </c>
      <c r="G8110" t="n">
        <v>10</v>
      </c>
      <c r="H8110" s="5">
        <f>HYPERLINK("https://api.qogita.com/variants/link/0607710086401/", "View Product")</f>
        <v/>
      </c>
    </row>
    <row r="8111">
      <c r="A8111" t="inlineStr">
        <is>
          <t>0607710086487</t>
        </is>
      </c>
      <c r="B8111" t="inlineStr">
        <is>
          <t>Smashbox Always On Skin-Balancing Foundation - 30 Ml</t>
        </is>
      </c>
      <c r="C8111" t="inlineStr">
        <is>
          <t>Foundation</t>
        </is>
      </c>
      <c r="D8111" t="inlineStr">
        <is>
          <t>Smashbox</t>
        </is>
      </c>
      <c r="E8111" t="n">
        <v>32.1</v>
      </c>
      <c r="F8111" t="n">
        <v>1</v>
      </c>
      <c r="G8111" t="n">
        <v>7</v>
      </c>
      <c r="H8111" s="5">
        <f>HYPERLINK("https://api.qogita.com/variants/link/0607710086487/", "View Product")</f>
        <v/>
      </c>
    </row>
    <row r="8112">
      <c r="A8112" t="inlineStr">
        <is>
          <t>0607710090248</t>
        </is>
      </c>
      <c r="B8112" t="inlineStr">
        <is>
          <t>Smashbox Be Legendary Cream Lipstick Prime Plush Lipstick - 34 Grams</t>
        </is>
      </c>
      <c r="C8112" t="inlineStr">
        <is>
          <t>Lipstick</t>
        </is>
      </c>
      <c r="D8112" t="inlineStr">
        <is>
          <t>Smashbox</t>
        </is>
      </c>
      <c r="E8112" t="n">
        <v>19.58</v>
      </c>
      <c r="F8112" t="n">
        <v>1</v>
      </c>
      <c r="G8112" t="n">
        <v>11</v>
      </c>
      <c r="H8112" s="5">
        <f>HYPERLINK("https://api.qogita.com/variants/link/0607710090248/", "View Product")</f>
        <v/>
      </c>
    </row>
    <row r="8113">
      <c r="A8113" t="inlineStr">
        <is>
          <t>0607710090354</t>
        </is>
      </c>
      <c r="B8113" t="inlineStr">
        <is>
          <t>Smashbox Be Legendary Cream Lipstick Prime Plush Lipstick - 34 Grams</t>
        </is>
      </c>
      <c r="C8113" t="inlineStr">
        <is>
          <t>Lipstick</t>
        </is>
      </c>
      <c r="D8113" t="inlineStr">
        <is>
          <t>Smashbox</t>
        </is>
      </c>
      <c r="E8113" t="n">
        <v>19.58</v>
      </c>
      <c r="F8113" t="n">
        <v>1</v>
      </c>
      <c r="G8113" t="n">
        <v>11</v>
      </c>
      <c r="H8113" s="5">
        <f>HYPERLINK("https://api.qogita.com/variants/link/0607710090354/", "View Product")</f>
        <v/>
      </c>
    </row>
    <row r="8114">
      <c r="A8114" t="inlineStr">
        <is>
          <t>0607710096264</t>
        </is>
      </c>
      <c r="B8114" t="inlineStr">
        <is>
          <t>Smashbox Halo Healthy Glow All-In-One Tinted Moisturizer With Spf 25, 12 Ml</t>
        </is>
      </c>
      <c r="C8114" t="inlineStr">
        <is>
          <t>Bb Cream &amp; Cc Cream</t>
        </is>
      </c>
      <c r="D8114" t="inlineStr">
        <is>
          <t>Smashbox</t>
        </is>
      </c>
      <c r="E8114" t="n">
        <v>15.39</v>
      </c>
      <c r="F8114" t="n">
        <v>1</v>
      </c>
      <c r="G8114" t="n">
        <v>5</v>
      </c>
      <c r="H8114" s="5">
        <f>HYPERLINK("https://api.qogita.com/variants/link/0607710096264/", "View Product")</f>
        <v/>
      </c>
    </row>
    <row r="8115">
      <c r="A8115" t="inlineStr">
        <is>
          <t>0607710098763</t>
        </is>
      </c>
      <c r="B8115" t="inlineStr">
        <is>
          <t>Smashbox Be Legendary Line Prime Pencil - 12 Grams</t>
        </is>
      </c>
      <c r="C8115" t="inlineStr">
        <is>
          <t>Lip Primer</t>
        </is>
      </c>
      <c r="D8115" t="inlineStr">
        <is>
          <t>Smashbox</t>
        </is>
      </c>
      <c r="E8115" t="n">
        <v>16.79</v>
      </c>
      <c r="F8115" t="n">
        <v>1</v>
      </c>
      <c r="G8115" t="n">
        <v>7</v>
      </c>
      <c r="H8115" s="5">
        <f>HYPERLINK("https://api.qogita.com/variants/link/0607710098763/", "View Product")</f>
        <v/>
      </c>
    </row>
    <row r="8116">
      <c r="A8116" t="inlineStr">
        <is>
          <t>0607710098770</t>
        </is>
      </c>
      <c r="B8116" t="inlineStr">
        <is>
          <t>Smashbox Be Legendary Line &amp; Prime Precise Lip Liner Pencil Medium Brown</t>
        </is>
      </c>
      <c r="C8116" t="inlineStr">
        <is>
          <t>Lip Liner</t>
        </is>
      </c>
      <c r="D8116" t="inlineStr">
        <is>
          <t>Smashbox</t>
        </is>
      </c>
      <c r="E8116" t="n">
        <v>16.79</v>
      </c>
      <c r="F8116" t="n">
        <v>1</v>
      </c>
      <c r="G8116" t="n">
        <v>6</v>
      </c>
      <c r="H8116" s="5">
        <f>HYPERLINK("https://api.qogita.com/variants/link/0607710098770/", "View Product")</f>
        <v/>
      </c>
    </row>
    <row r="8117">
      <c r="A8117" t="inlineStr">
        <is>
          <t>0608940517482</t>
        </is>
      </c>
      <c r="B8117" t="inlineStr">
        <is>
          <t>Paris Hilton EDP Spray 100ml</t>
        </is>
      </c>
      <c r="C8117" t="inlineStr">
        <is>
          <t>Eau De Parfum</t>
        </is>
      </c>
      <c r="D8117" t="inlineStr">
        <is>
          <t>Paris Hilton</t>
        </is>
      </c>
      <c r="E8117" t="n">
        <v>14.22</v>
      </c>
      <c r="F8117" t="n">
        <v>1</v>
      </c>
      <c r="G8117" t="n">
        <v>2015</v>
      </c>
      <c r="H8117" s="5">
        <f>HYPERLINK("https://api.qogita.com/variants/link/0608940517482/", "View Product")</f>
        <v/>
      </c>
    </row>
    <row r="8118">
      <c r="A8118" t="inlineStr">
        <is>
          <t>0608940550144</t>
        </is>
      </c>
      <c r="B8118" t="inlineStr">
        <is>
          <t>Paris Hilton Dazzle edp</t>
        </is>
      </c>
      <c r="C8118" t="inlineStr">
        <is>
          <t>Eau De Toilette</t>
        </is>
      </c>
      <c r="D8118" t="inlineStr">
        <is>
          <t>Paris Hilton</t>
        </is>
      </c>
      <c r="E8118" t="n">
        <v>22.41</v>
      </c>
      <c r="F8118" t="n">
        <v>1</v>
      </c>
      <c r="G8118" t="n">
        <v>9</v>
      </c>
      <c r="H8118" s="5">
        <f>HYPERLINK("https://api.qogita.com/variants/link/0608940550144/", "View Product")</f>
        <v/>
      </c>
    </row>
    <row r="8119">
      <c r="A8119" t="inlineStr">
        <is>
          <t>0608940553930</t>
        </is>
      </c>
      <c r="B8119" t="inlineStr">
        <is>
          <t>Kenneth Cole Black Vintage Eau de Toilette 100ml</t>
        </is>
      </c>
      <c r="C8119" t="inlineStr">
        <is>
          <t>Eau De Toilette</t>
        </is>
      </c>
      <c r="D8119" t="inlineStr">
        <is>
          <t>Kenneth Cole</t>
        </is>
      </c>
      <c r="E8119" t="n">
        <v>22.92</v>
      </c>
      <c r="F8119" t="n">
        <v>1</v>
      </c>
      <c r="G8119" t="n">
        <v>13</v>
      </c>
      <c r="H8119" s="5">
        <f>HYPERLINK("https://api.qogita.com/variants/link/0608940553930/", "View Product")</f>
        <v/>
      </c>
    </row>
    <row r="8120">
      <c r="A8120" t="inlineStr">
        <is>
          <t>0608940563687</t>
        </is>
      </c>
      <c r="B8120" t="inlineStr">
        <is>
          <t>Kenneth Cole Blue for Men 3.4oz EDT Spray</t>
        </is>
      </c>
      <c r="C8120" t="inlineStr">
        <is>
          <t>Eau De Toilette</t>
        </is>
      </c>
      <c r="D8120" t="inlineStr">
        <is>
          <t>Kenneth Cole</t>
        </is>
      </c>
      <c r="E8120" t="n">
        <v>24.36</v>
      </c>
      <c r="F8120" t="n">
        <v>1</v>
      </c>
      <c r="G8120" t="n">
        <v>5</v>
      </c>
      <c r="H8120" s="5">
        <f>HYPERLINK("https://api.qogita.com/variants/link/0608940563687/", "View Product")</f>
        <v/>
      </c>
    </row>
    <row r="8121">
      <c r="A8121" t="inlineStr">
        <is>
          <t>0608940568224</t>
        </is>
      </c>
      <c r="B8121" t="inlineStr">
        <is>
          <t>Vince Camuto Ciao Eau De Parfum Spray 100ml 3.4oz for Her</t>
        </is>
      </c>
      <c r="C8121" t="inlineStr">
        <is>
          <t>Eau De Parfum</t>
        </is>
      </c>
      <c r="D8121" t="inlineStr">
        <is>
          <t>Vince Camuto</t>
        </is>
      </c>
      <c r="E8121" t="n">
        <v>25.6</v>
      </c>
      <c r="F8121" t="n">
        <v>1</v>
      </c>
      <c r="G8121" t="n">
        <v>10</v>
      </c>
      <c r="H8121" s="5">
        <f>HYPERLINK("https://api.qogita.com/variants/link/0608940568224/", "View Product")</f>
        <v/>
      </c>
    </row>
    <row r="8122">
      <c r="A8122" t="inlineStr">
        <is>
          <t>0608940573341</t>
        </is>
      </c>
      <c r="B8122" t="inlineStr">
        <is>
          <t>Paris Hilton Rose Rush for Women 3.4oz EDP Spray</t>
        </is>
      </c>
      <c r="C8122" t="inlineStr">
        <is>
          <t>Eau De Parfum</t>
        </is>
      </c>
      <c r="D8122" t="inlineStr">
        <is>
          <t>Paris Hilton</t>
        </is>
      </c>
      <c r="E8122" t="n">
        <v>21.69</v>
      </c>
      <c r="F8122" t="n">
        <v>1</v>
      </c>
      <c r="G8122" t="n">
        <v>10</v>
      </c>
      <c r="H8122" s="5">
        <f>HYPERLINK("https://api.qogita.com/variants/link/0608940573341/", "View Product")</f>
        <v/>
      </c>
    </row>
    <row r="8123">
      <c r="A8123" t="inlineStr">
        <is>
          <t>0608940577608</t>
        </is>
      </c>
      <c r="B8123" t="inlineStr">
        <is>
          <t>Kenneth Cole Serenity Unisex Fragrance 3.4oz 100ml</t>
        </is>
      </c>
      <c r="C8123" t="inlineStr">
        <is>
          <t>Eau De Toilette</t>
        </is>
      </c>
      <c r="D8123" t="inlineStr">
        <is>
          <t>Kenneth Cole</t>
        </is>
      </c>
      <c r="E8123" t="n">
        <v>21.91</v>
      </c>
      <c r="F8123" t="n">
        <v>1</v>
      </c>
      <c r="G8123" t="n">
        <v>5</v>
      </c>
      <c r="H8123" s="5">
        <f>HYPERLINK("https://api.qogita.com/variants/link/0608940577608/", "View Product")</f>
        <v/>
      </c>
    </row>
    <row r="8124">
      <c r="A8124" t="inlineStr">
        <is>
          <t>0608940577622</t>
        </is>
      </c>
      <c r="B8124" t="inlineStr">
        <is>
          <t>Atelier Cologne Silver Iris Cologne Absolue 100ml</t>
        </is>
      </c>
      <c r="C8124" t="inlineStr">
        <is>
          <t>Eau De Cologne</t>
        </is>
      </c>
      <c r="D8124" t="inlineStr">
        <is>
          <t>Atelier Cologne</t>
        </is>
      </c>
      <c r="E8124" t="n">
        <v>19.9</v>
      </c>
      <c r="F8124" t="n">
        <v>1</v>
      </c>
      <c r="G8124" t="n">
        <v>41</v>
      </c>
      <c r="H8124" s="5">
        <f>HYPERLINK("https://api.qogita.com/variants/link/0608940577622/", "View Product")</f>
        <v/>
      </c>
    </row>
    <row r="8125">
      <c r="A8125" t="inlineStr">
        <is>
          <t>0608940577868</t>
        </is>
      </c>
      <c r="B8125" t="inlineStr">
        <is>
          <t>Vince Camuto Illuminare Eau De Parfum 3.4 Fl Oz</t>
        </is>
      </c>
      <c r="C8125" t="inlineStr">
        <is>
          <t>Eau De Parfum</t>
        </is>
      </c>
      <c r="D8125" t="inlineStr">
        <is>
          <t>Vince Camuto</t>
        </is>
      </c>
      <c r="E8125" t="n">
        <v>29.31</v>
      </c>
      <c r="F8125" t="n">
        <v>1</v>
      </c>
      <c r="G8125" t="n">
        <v>26</v>
      </c>
      <c r="H8125" s="5">
        <f>HYPERLINK("https://api.qogita.com/variants/link/0608940577868/", "View Product")</f>
        <v/>
      </c>
    </row>
    <row r="8126">
      <c r="A8126" t="inlineStr">
        <is>
          <t>0614514152010</t>
        </is>
      </c>
      <c r="B8126" t="inlineStr">
        <is>
          <t>Kun Mukthalifan Men Rasasi EDP 100ml</t>
        </is>
      </c>
      <c r="C8126" t="inlineStr">
        <is>
          <t>Eau De Parfum</t>
        </is>
      </c>
      <c r="D8126" t="inlineStr">
        <is>
          <t>Rasasi</t>
        </is>
      </c>
      <c r="E8126" t="n">
        <v>14.73</v>
      </c>
      <c r="F8126" t="n">
        <v>1</v>
      </c>
      <c r="G8126" t="n">
        <v>7</v>
      </c>
      <c r="H8126" s="5">
        <f>HYPERLINK("https://api.qogita.com/variants/link/0614514152010/", "View Product")</f>
        <v/>
      </c>
    </row>
    <row r="8127">
      <c r="A8127" t="inlineStr">
        <is>
          <t>0614514170021</t>
        </is>
      </c>
      <c r="B8127" t="inlineStr">
        <is>
          <t>Rasasi Al Wisam Day Men's EDP 100ml Boxed</t>
        </is>
      </c>
      <c r="C8127" t="inlineStr">
        <is>
          <t>Eau De Parfum</t>
        </is>
      </c>
      <c r="D8127" t="inlineStr">
        <is>
          <t>Rasasi</t>
        </is>
      </c>
      <c r="E8127" t="n">
        <v>17.4</v>
      </c>
      <c r="F8127" t="n">
        <v>1</v>
      </c>
      <c r="G8127" t="n">
        <v>83</v>
      </c>
      <c r="H8127" s="5">
        <f>HYPERLINK("https://api.qogita.com/variants/link/0614514170021/", "View Product")</f>
        <v/>
      </c>
    </row>
    <row r="8128">
      <c r="A8128" t="inlineStr">
        <is>
          <t>0614514177013</t>
        </is>
      </c>
      <c r="B8128" t="inlineStr">
        <is>
          <t>Dareej Women Eau de Parfum by Rasasi Spray 100ml</t>
        </is>
      </c>
      <c r="C8128" t="inlineStr">
        <is>
          <t>Eau De Parfum</t>
        </is>
      </c>
      <c r="D8128" t="inlineStr">
        <is>
          <t>Rasasi</t>
        </is>
      </c>
      <c r="E8128" t="n">
        <v>10</v>
      </c>
      <c r="F8128" t="n">
        <v>1</v>
      </c>
      <c r="G8128" t="n">
        <v>25</v>
      </c>
      <c r="H8128" s="5">
        <f>HYPERLINK("https://api.qogita.com/variants/link/0614514177013/", "View Product")</f>
        <v/>
      </c>
    </row>
    <row r="8129">
      <c r="A8129" t="inlineStr">
        <is>
          <t>0614514204023</t>
        </is>
      </c>
      <c r="B8129" t="inlineStr">
        <is>
          <t>La Yuqawam Men Eau De Parfum 75ml</t>
        </is>
      </c>
      <c r="C8129" t="inlineStr">
        <is>
          <t>Eau De Parfum</t>
        </is>
      </c>
      <c r="D8129" t="inlineStr">
        <is>
          <t>Rasasi</t>
        </is>
      </c>
      <c r="E8129" t="n">
        <v>30.43</v>
      </c>
      <c r="F8129" t="n">
        <v>1</v>
      </c>
      <c r="G8129" t="n">
        <v>111</v>
      </c>
      <c r="H8129" s="5">
        <f>HYPERLINK("https://api.qogita.com/variants/link/0614514204023/", "View Product")</f>
        <v/>
      </c>
    </row>
    <row r="8130">
      <c r="A8130" t="inlineStr">
        <is>
          <t>0614514204054</t>
        </is>
      </c>
      <c r="B8130" t="inlineStr">
        <is>
          <t>La Yuqawam Orchid Prairie for Women EDP 75ml</t>
        </is>
      </c>
      <c r="C8130" t="inlineStr">
        <is>
          <t>Eau De Parfum</t>
        </is>
      </c>
      <c r="D8130" t="inlineStr">
        <is>
          <t>Rasasi</t>
        </is>
      </c>
      <c r="E8130" t="n">
        <v>35.12</v>
      </c>
      <c r="F8130" t="n">
        <v>1</v>
      </c>
      <c r="G8130" t="n">
        <v>17</v>
      </c>
      <c r="H8130" s="5">
        <f>HYPERLINK("https://api.qogita.com/variants/link/0614514204054/", "View Product")</f>
        <v/>
      </c>
    </row>
    <row r="8131">
      <c r="A8131" t="inlineStr">
        <is>
          <t>0614514229019</t>
        </is>
      </c>
      <c r="B8131" t="inlineStr">
        <is>
          <t>Rumz al Rasasi 9325 For Men EDP 50ml Chypre</t>
        </is>
      </c>
      <c r="C8131" t="inlineStr">
        <is>
          <t>Eau De Parfum</t>
        </is>
      </c>
      <c r="D8131" t="inlineStr">
        <is>
          <t>Rasasi</t>
        </is>
      </c>
      <c r="E8131" t="n">
        <v>18.48</v>
      </c>
      <c r="F8131" t="n">
        <v>1</v>
      </c>
      <c r="G8131" t="n">
        <v>169</v>
      </c>
      <c r="H8131" s="5">
        <f>HYPERLINK("https://api.qogita.com/variants/link/0614514229019/", "View Product")</f>
        <v/>
      </c>
    </row>
    <row r="8132">
      <c r="A8132" t="inlineStr">
        <is>
          <t>0614514236109</t>
        </is>
      </c>
      <c r="B8132" t="inlineStr">
        <is>
          <t>Rasasi Attar Al Boruzz Lamaat Musk Tabriz Perfume 50ml Unisex</t>
        </is>
      </c>
      <c r="C8132" t="inlineStr">
        <is>
          <t>Eau De Parfum</t>
        </is>
      </c>
      <c r="D8132" t="inlineStr">
        <is>
          <t>Rasasi</t>
        </is>
      </c>
      <c r="E8132" t="n">
        <v>79.81999999999999</v>
      </c>
      <c r="F8132" t="n">
        <v>1</v>
      </c>
      <c r="G8132" t="n">
        <v>7</v>
      </c>
      <c r="H8132" s="5">
        <f>HYPERLINK("https://api.qogita.com/variants/link/0614514236109/", "View Product")</f>
        <v/>
      </c>
    </row>
    <row r="8133">
      <c r="A8133" t="inlineStr">
        <is>
          <t>0614514249031</t>
        </is>
      </c>
      <c r="B8133" t="inlineStr">
        <is>
          <t>Shuhrah Women 90ml EDP Spray - Authorized Distributors - Rasasi Perfumes UK</t>
        </is>
      </c>
      <c r="C8133" t="inlineStr">
        <is>
          <t>Eau De Parfum</t>
        </is>
      </c>
      <c r="D8133" t="inlineStr">
        <is>
          <t>Rasasi</t>
        </is>
      </c>
      <c r="E8133" t="n">
        <v>11</v>
      </c>
      <c r="F8133" t="n">
        <v>1</v>
      </c>
      <c r="G8133" t="n">
        <v>61</v>
      </c>
      <c r="H8133" s="5">
        <f>HYPERLINK("https://api.qogita.com/variants/link/0614514249031/", "View Product")</f>
        <v/>
      </c>
    </row>
    <row r="8134">
      <c r="A8134" t="inlineStr">
        <is>
          <t>0614514249048</t>
        </is>
      </c>
      <c r="B8134" t="inlineStr">
        <is>
          <t>SHUHRAH Men 90ml EDP Spray</t>
        </is>
      </c>
      <c r="C8134" t="inlineStr">
        <is>
          <t>Eau De Parfum</t>
        </is>
      </c>
      <c r="D8134" t="inlineStr">
        <is>
          <t>Rasasi</t>
        </is>
      </c>
      <c r="E8134" t="n">
        <v>14.94</v>
      </c>
      <c r="F8134" t="n">
        <v>1</v>
      </c>
      <c r="G8134" t="n">
        <v>148</v>
      </c>
      <c r="H8134" s="5">
        <f>HYPERLINK("https://api.qogita.com/variants/link/0614514249048/", "View Product")</f>
        <v/>
      </c>
    </row>
    <row r="8135">
      <c r="A8135" t="inlineStr">
        <is>
          <t>0614514253069</t>
        </is>
      </c>
      <c r="B8135" t="inlineStr">
        <is>
          <t>Rasasi Junoon Satin Eau De Parfum Spray 1.67 Oz</t>
        </is>
      </c>
      <c r="C8135" t="inlineStr">
        <is>
          <t>Eau De Parfum</t>
        </is>
      </c>
      <c r="D8135" t="inlineStr">
        <is>
          <t>Rasasi</t>
        </is>
      </c>
      <c r="E8135" t="n">
        <v>41.74</v>
      </c>
      <c r="F8135" t="n">
        <v>1</v>
      </c>
      <c r="G8135" t="n">
        <v>13</v>
      </c>
      <c r="H8135" s="5">
        <f>HYPERLINK("https://api.qogita.com/variants/link/0614514253069/", "View Product")</f>
        <v/>
      </c>
    </row>
    <row r="8136">
      <c r="A8136" t="inlineStr">
        <is>
          <t>0614514253076</t>
        </is>
      </c>
      <c r="B8136" t="inlineStr">
        <is>
          <t>Rasasi JUNOON Velvet for Women 50ml</t>
        </is>
      </c>
      <c r="C8136" t="inlineStr">
        <is>
          <t>Eau De Parfum</t>
        </is>
      </c>
      <c r="D8136" t="inlineStr">
        <is>
          <t>Rasasi</t>
        </is>
      </c>
      <c r="E8136" t="n">
        <v>26.18</v>
      </c>
      <c r="F8136" t="n">
        <v>1</v>
      </c>
      <c r="G8136" t="n">
        <v>3</v>
      </c>
      <c r="H8136" s="5">
        <f>HYPERLINK("https://api.qogita.com/variants/link/0614514253076/", "View Product")</f>
        <v/>
      </c>
    </row>
    <row r="8137">
      <c r="A8137" t="inlineStr">
        <is>
          <t>0614514253083</t>
        </is>
      </c>
      <c r="B8137" t="inlineStr">
        <is>
          <t>Rasasi Junoon Leather Eau De Parfum Spray 49ml</t>
        </is>
      </c>
      <c r="C8137" t="inlineStr">
        <is>
          <t>Eau De Parfum</t>
        </is>
      </c>
      <c r="D8137" t="inlineStr">
        <is>
          <t>Rasasi</t>
        </is>
      </c>
      <c r="E8137" t="n">
        <v>21.71</v>
      </c>
      <c r="F8137" t="n">
        <v>1</v>
      </c>
      <c r="G8137" t="n">
        <v>2</v>
      </c>
      <c r="H8137" s="5">
        <f>HYPERLINK("https://api.qogita.com/variants/link/0614514253083/", "View Product")</f>
        <v/>
      </c>
    </row>
    <row r="8138">
      <c r="A8138" t="inlineStr">
        <is>
          <t>0614514338018</t>
        </is>
      </c>
      <c r="B8138" t="inlineStr">
        <is>
          <t>Rasasi Qasamat Bareeq Eau De Parfum Spray 65ml</t>
        </is>
      </c>
      <c r="C8138" t="inlineStr">
        <is>
          <t>Eau De Parfum</t>
        </is>
      </c>
      <c r="D8138" t="inlineStr">
        <is>
          <t>Rasasi</t>
        </is>
      </c>
      <c r="E8138" t="n">
        <v>22.87</v>
      </c>
      <c r="F8138" t="n">
        <v>1</v>
      </c>
      <c r="G8138" t="n">
        <v>5</v>
      </c>
      <c r="H8138" s="5">
        <f>HYPERLINK("https://api.qogita.com/variants/link/0614514338018/", "View Product")</f>
        <v/>
      </c>
    </row>
    <row r="8139">
      <c r="A8139" t="inlineStr">
        <is>
          <t>0614514338032</t>
        </is>
      </c>
      <c r="B8139" t="inlineStr">
        <is>
          <t>Rasasi Qasamat Ebhar Eau De Parfum Spray 2.2 oz 65 ml - Women</t>
        </is>
      </c>
      <c r="C8139" t="inlineStr">
        <is>
          <t>Eau De Parfum</t>
        </is>
      </c>
      <c r="D8139" t="inlineStr">
        <is>
          <t>Rasasi</t>
        </is>
      </c>
      <c r="E8139" t="n">
        <v>27.29</v>
      </c>
      <c r="F8139" t="n">
        <v>1</v>
      </c>
      <c r="G8139" t="n">
        <v>15</v>
      </c>
      <c r="H8139" s="5">
        <f>HYPERLINK("https://api.qogita.com/variants/link/0614514338032/", "View Product")</f>
        <v/>
      </c>
    </row>
    <row r="8140">
      <c r="A8140" t="inlineStr">
        <is>
          <t>0614514339015</t>
        </is>
      </c>
      <c r="B8140" t="inlineStr">
        <is>
          <t>Rasasi Sotoor Seen Eau De Parfum 100ml Unisex</t>
        </is>
      </c>
      <c r="C8140" t="inlineStr">
        <is>
          <t>Eau De Parfum</t>
        </is>
      </c>
      <c r="D8140" t="inlineStr">
        <is>
          <t>Rasasi</t>
        </is>
      </c>
      <c r="E8140" t="n">
        <v>33.42</v>
      </c>
      <c r="F8140" t="n">
        <v>1</v>
      </c>
      <c r="G8140" t="n">
        <v>3</v>
      </c>
      <c r="H8140" s="5">
        <f>HYPERLINK("https://api.qogita.com/variants/link/0614514339015/", "View Product")</f>
        <v/>
      </c>
    </row>
    <row r="8141">
      <c r="A8141" t="inlineStr">
        <is>
          <t>0614514339046</t>
        </is>
      </c>
      <c r="B8141" t="inlineStr">
        <is>
          <t>Rasasi Sotoor Raa' Eau De Parfum 100ml Unisex</t>
        </is>
      </c>
      <c r="C8141" t="inlineStr">
        <is>
          <t>Eau De Parfum</t>
        </is>
      </c>
      <c r="D8141" t="inlineStr">
        <is>
          <t>Rasasi</t>
        </is>
      </c>
      <c r="E8141" t="n">
        <v>24.91</v>
      </c>
      <c r="F8141" t="n">
        <v>1</v>
      </c>
      <c r="G8141" t="n">
        <v>7</v>
      </c>
      <c r="H8141" s="5">
        <f>HYPERLINK("https://api.qogita.com/variants/link/0614514339046/", "View Product")</f>
        <v/>
      </c>
    </row>
    <row r="8142">
      <c r="A8142" t="inlineStr">
        <is>
          <t>0614514363614</t>
        </is>
      </c>
      <c r="B8142" t="inlineStr">
        <is>
          <t>Safina Eau de Parfum Spray for Women 100ml</t>
        </is>
      </c>
      <c r="C8142" t="inlineStr">
        <is>
          <t>Eau De Parfum</t>
        </is>
      </c>
      <c r="D8142" t="inlineStr">
        <is>
          <t>Rasasi</t>
        </is>
      </c>
      <c r="E8142" t="n">
        <v>7.24</v>
      </c>
      <c r="F8142" t="n">
        <v>1</v>
      </c>
      <c r="G8142" t="n">
        <v>11</v>
      </c>
      <c r="H8142" s="5">
        <f>HYPERLINK("https://api.qogita.com/variants/link/0614514363614/", "View Product")</f>
        <v/>
      </c>
    </row>
    <row r="8143">
      <c r="A8143" t="inlineStr">
        <is>
          <t>0614514425220</t>
        </is>
      </c>
      <c r="B8143" t="inlineStr">
        <is>
          <t>Rasasi Ward Noir Eau De Parfum</t>
        </is>
      </c>
      <c r="C8143" t="inlineStr">
        <is>
          <t>Eau De Parfum</t>
        </is>
      </c>
      <c r="D8143" t="inlineStr">
        <is>
          <t>Rasasi</t>
        </is>
      </c>
      <c r="E8143" t="n">
        <v>87.87</v>
      </c>
      <c r="F8143" t="n">
        <v>1</v>
      </c>
      <c r="G8143" t="n">
        <v>9</v>
      </c>
      <c r="H8143" s="5">
        <f>HYPERLINK("https://api.qogita.com/variants/link/0614514425220/", "View Product")</f>
        <v/>
      </c>
    </row>
    <row r="8144">
      <c r="A8144" t="inlineStr">
        <is>
          <t>0614514438046</t>
        </is>
      </c>
      <c r="B8144" t="inlineStr">
        <is>
          <t>Yumn By Rasasi For Women 3.38 Oz EDP Spray</t>
        </is>
      </c>
      <c r="C8144" t="inlineStr">
        <is>
          <t>Eau De Parfum</t>
        </is>
      </c>
      <c r="D8144" t="inlineStr">
        <is>
          <t>Rasasi</t>
        </is>
      </c>
      <c r="E8144" t="n">
        <v>19.07</v>
      </c>
      <c r="F8144" t="n">
        <v>1</v>
      </c>
      <c r="G8144" t="n">
        <v>5</v>
      </c>
      <c r="H8144" s="5">
        <f>HYPERLINK("https://api.qogita.com/variants/link/0614514438046/", "View Product")</f>
        <v/>
      </c>
    </row>
    <row r="8145">
      <c r="A8145" t="inlineStr">
        <is>
          <t>0614514442036</t>
        </is>
      </c>
      <c r="B8145" t="inlineStr">
        <is>
          <t>Rasasi Princess Noir Pour Femme Eau De Parfum 50ml</t>
        </is>
      </c>
      <c r="C8145" t="inlineStr">
        <is>
          <t>Eau De Parfum</t>
        </is>
      </c>
      <c r="D8145" t="inlineStr">
        <is>
          <t>Rasasi</t>
        </is>
      </c>
      <c r="E8145" t="n">
        <v>11.13</v>
      </c>
      <c r="F8145" t="n">
        <v>1</v>
      </c>
      <c r="G8145" t="n">
        <v>40</v>
      </c>
      <c r="H8145" s="5">
        <f>HYPERLINK("https://api.qogita.com/variants/link/0614514442036/", "View Product")</f>
        <v/>
      </c>
    </row>
    <row r="8146">
      <c r="A8146" t="inlineStr">
        <is>
          <t>0614514464441</t>
        </is>
      </c>
      <c r="B8146" t="inlineStr">
        <is>
          <t>Rasasi Hawas Tropical Eau De Parfum Spray for Men 3.4 Ounce</t>
        </is>
      </c>
      <c r="C8146" t="inlineStr">
        <is>
          <t>Eau De Parfum</t>
        </is>
      </c>
      <c r="D8146" t="inlineStr">
        <is>
          <t>Rasasi</t>
        </is>
      </c>
      <c r="E8146" t="n">
        <v>30.25</v>
      </c>
      <c r="F8146" t="n">
        <v>1</v>
      </c>
      <c r="G8146" t="n">
        <v>459</v>
      </c>
      <c r="H8146" s="5">
        <f>HYPERLINK("https://api.qogita.com/variants/link/0614514464441/", "View Product")</f>
        <v/>
      </c>
    </row>
    <row r="8147">
      <c r="A8147" t="inlineStr">
        <is>
          <t>0615908426618</t>
        </is>
      </c>
      <c r="B8147" t="inlineStr">
        <is>
          <t>Tigi Bed Head Urban Anti+Dotes Recovery Shampoo Damage Level 2 25.36 Ounce</t>
        </is>
      </c>
      <c r="C8147" t="inlineStr">
        <is>
          <t>Shampoo</t>
        </is>
      </c>
      <c r="D8147" t="inlineStr">
        <is>
          <t>Tigi</t>
        </is>
      </c>
      <c r="E8147" t="n">
        <v>8.1</v>
      </c>
      <c r="F8147" t="n">
        <v>1</v>
      </c>
      <c r="G8147" t="n">
        <v>37</v>
      </c>
      <c r="H8147" s="5">
        <f>HYPERLINK("https://api.qogita.com/variants/link/0615908426618/", "View Product")</f>
        <v/>
      </c>
    </row>
    <row r="8148">
      <c r="A8148" t="inlineStr">
        <is>
          <t>0615908426656</t>
        </is>
      </c>
      <c r="B8148" t="inlineStr">
        <is>
          <t>Bed Head by Tigi Urban Antidotes Resurrection Shampoo for Damaged Hair</t>
        </is>
      </c>
      <c r="C8148" t="inlineStr">
        <is>
          <t>Shampoo</t>
        </is>
      </c>
      <c r="D8148" t="inlineStr">
        <is>
          <t>Tigi</t>
        </is>
      </c>
      <c r="E8148" t="n">
        <v>8.619999999999999</v>
      </c>
      <c r="F8148" t="n">
        <v>1</v>
      </c>
      <c r="G8148" t="n">
        <v>16</v>
      </c>
      <c r="H8148" s="5">
        <f>HYPERLINK("https://api.qogita.com/variants/link/0615908426656/", "View Product")</f>
        <v/>
      </c>
    </row>
    <row r="8149">
      <c r="A8149" t="inlineStr">
        <is>
          <t>0615908426717</t>
        </is>
      </c>
      <c r="B8149" t="inlineStr">
        <is>
          <t>Bed Head by Tigi Urban Antidotes Resurrection Conditioner for Damaged Hair</t>
        </is>
      </c>
      <c r="C8149" t="inlineStr">
        <is>
          <t>Conditioner</t>
        </is>
      </c>
      <c r="D8149" t="inlineStr">
        <is>
          <t>Tigi</t>
        </is>
      </c>
      <c r="E8149" t="n">
        <v>8.529999999999999</v>
      </c>
      <c r="F8149" t="n">
        <v>1</v>
      </c>
      <c r="G8149" t="n">
        <v>12</v>
      </c>
      <c r="H8149" s="5">
        <f>HYPERLINK("https://api.qogita.com/variants/link/0615908426717/", "View Product")</f>
        <v/>
      </c>
    </row>
    <row r="8150">
      <c r="A8150" t="inlineStr">
        <is>
          <t>0615908426779</t>
        </is>
      </c>
      <c r="B8150" t="inlineStr">
        <is>
          <t>Bed Head For Men by Tigi Clean Up Men's Daily Shampoo for Normal Hair 750ml</t>
        </is>
      </c>
      <c r="C8150" t="inlineStr">
        <is>
          <t>Shampoo</t>
        </is>
      </c>
      <c r="D8150" t="inlineStr">
        <is>
          <t>Tigi</t>
        </is>
      </c>
      <c r="E8150" t="n">
        <v>11.03</v>
      </c>
      <c r="F8150" t="n">
        <v>1</v>
      </c>
      <c r="G8150" t="n">
        <v>59</v>
      </c>
      <c r="H8150" s="5">
        <f>HYPERLINK("https://api.qogita.com/variants/link/0615908426779/", "View Product")</f>
        <v/>
      </c>
    </row>
    <row r="8151">
      <c r="A8151" t="inlineStr">
        <is>
          <t>0615908429824</t>
        </is>
      </c>
      <c r="B8151" t="inlineStr">
        <is>
          <t>Tigi Bed Head Dumb Blonde Shampoo 750ml</t>
        </is>
      </c>
      <c r="C8151" t="inlineStr">
        <is>
          <t>Shampoo</t>
        </is>
      </c>
      <c r="D8151" t="inlineStr">
        <is>
          <t>Tigi</t>
        </is>
      </c>
      <c r="E8151" t="n">
        <v>7.37</v>
      </c>
      <c r="F8151" t="n">
        <v>1</v>
      </c>
      <c r="G8151" t="n">
        <v>12</v>
      </c>
      <c r="H8151" s="5">
        <f>HYPERLINK("https://api.qogita.com/variants/link/0615908429824/", "View Product")</f>
        <v/>
      </c>
    </row>
    <row r="8152">
      <c r="A8152" t="inlineStr">
        <is>
          <t>0615908429985</t>
        </is>
      </c>
      <c r="B8152" t="inlineStr">
        <is>
          <t>Copyright Custom Care Shine Booster Cream 90ml</t>
        </is>
      </c>
      <c r="C8152" t="inlineStr">
        <is>
          <t>Hair Oil &amp; Hair Serum</t>
        </is>
      </c>
      <c r="D8152" t="inlineStr">
        <is>
          <t>Tigi</t>
        </is>
      </c>
      <c r="E8152" t="n">
        <v>4.76</v>
      </c>
      <c r="F8152" t="n">
        <v>1</v>
      </c>
      <c r="G8152" t="n">
        <v>93</v>
      </c>
      <c r="H8152" s="5">
        <f>HYPERLINK("https://api.qogita.com/variants/link/0615908429985/", "View Product")</f>
        <v/>
      </c>
    </row>
    <row r="8153">
      <c r="A8153" t="inlineStr">
        <is>
          <t>0615908430127</t>
        </is>
      </c>
      <c r="B8153" t="inlineStr">
        <is>
          <t>Tigi Copyright Multi-Tasking Styling Cream 100ml</t>
        </is>
      </c>
      <c r="C8153" t="inlineStr">
        <is>
          <t>Styling Creams</t>
        </is>
      </c>
      <c r="D8153" t="inlineStr">
        <is>
          <t>Tigi</t>
        </is>
      </c>
      <c r="E8153" t="n">
        <v>4.43</v>
      </c>
      <c r="F8153" t="n">
        <v>1</v>
      </c>
      <c r="G8153" t="n">
        <v>43</v>
      </c>
      <c r="H8153" s="5">
        <f>HYPERLINK("https://api.qogita.com/variants/link/0615908430127/", "View Product")</f>
        <v/>
      </c>
    </row>
    <row r="8154">
      <c r="A8154" t="inlineStr">
        <is>
          <t>0615908430257</t>
        </is>
      </c>
      <c r="B8154" t="inlineStr">
        <is>
          <t>Tigi Copyright Volume Conditioner 32.79 fl.oz./970ml</t>
        </is>
      </c>
      <c r="C8154" t="inlineStr">
        <is>
          <t>Conditioner</t>
        </is>
      </c>
      <c r="D8154" t="inlineStr">
        <is>
          <t>Tigi</t>
        </is>
      </c>
      <c r="E8154" t="n">
        <v>6</v>
      </c>
      <c r="F8154" t="n">
        <v>1</v>
      </c>
      <c r="G8154" t="n">
        <v>39</v>
      </c>
      <c r="H8154" s="5">
        <f>HYPERLINK("https://api.qogita.com/variants/link/0615908430257/", "View Product")</f>
        <v/>
      </c>
    </row>
    <row r="8155">
      <c r="A8155" t="inlineStr">
        <is>
          <t>0615908430288</t>
        </is>
      </c>
      <c r="B8155" t="inlineStr">
        <is>
          <t>Tigi Copyright Custom Care Moisture Shampoo 1.69oz</t>
        </is>
      </c>
      <c r="C8155" t="inlineStr">
        <is>
          <t>Shampoo</t>
        </is>
      </c>
      <c r="D8155" t="inlineStr">
        <is>
          <t>Tigi</t>
        </is>
      </c>
      <c r="E8155" t="n">
        <v>3.65</v>
      </c>
      <c r="F8155" t="n">
        <v>1</v>
      </c>
      <c r="G8155" t="n">
        <v>67</v>
      </c>
      <c r="H8155" s="5">
        <f>HYPERLINK("https://api.qogita.com/variants/link/0615908430288/", "View Product")</f>
        <v/>
      </c>
    </row>
    <row r="8156">
      <c r="A8156" t="inlineStr">
        <is>
          <t>0615908430301</t>
        </is>
      </c>
      <c r="B8156" t="inlineStr">
        <is>
          <t>TIGI Copyright Custom Care Moisture Conditioner - 50ml</t>
        </is>
      </c>
      <c r="C8156" t="inlineStr">
        <is>
          <t>Conditioner</t>
        </is>
      </c>
      <c r="D8156" t="inlineStr">
        <is>
          <t>Tigi</t>
        </is>
      </c>
      <c r="E8156" t="n">
        <v>3.36</v>
      </c>
      <c r="F8156" t="n">
        <v>1</v>
      </c>
      <c r="G8156" t="n">
        <v>65</v>
      </c>
      <c r="H8156" s="5">
        <f>HYPERLINK("https://api.qogita.com/variants/link/0615908430301/", "View Product")</f>
        <v/>
      </c>
    </row>
    <row r="8157">
      <c r="A8157" t="inlineStr">
        <is>
          <t>0615908431292</t>
        </is>
      </c>
      <c r="B8157" t="inlineStr">
        <is>
          <t>Tigi Bed Head Oh Bee Hive Dry Shampoo for Volume and Matte Finish</t>
        </is>
      </c>
      <c r="C8157" t="inlineStr">
        <is>
          <t>Dry Shampoo</t>
        </is>
      </c>
      <c r="D8157" t="inlineStr">
        <is>
          <t>Tigi</t>
        </is>
      </c>
      <c r="E8157" t="n">
        <v>7.7</v>
      </c>
      <c r="F8157" t="n">
        <v>1</v>
      </c>
      <c r="G8157" t="n">
        <v>39</v>
      </c>
      <c r="H8157" s="5">
        <f>HYPERLINK("https://api.qogita.com/variants/link/0615908431292/", "View Product")</f>
        <v/>
      </c>
    </row>
    <row r="8158">
      <c r="A8158" t="inlineStr">
        <is>
          <t>0615908431339</t>
        </is>
      </c>
      <c r="B8158" t="inlineStr">
        <is>
          <t>Bed Head by TIGI Small Talk Hair Thickening Cream for Fine Hair 240ml</t>
        </is>
      </c>
      <c r="C8158" t="inlineStr">
        <is>
          <t>Styling Creams</t>
        </is>
      </c>
      <c r="D8158" t="inlineStr">
        <is>
          <t>Tigi</t>
        </is>
      </c>
      <c r="E8158" t="n">
        <v>10.17</v>
      </c>
      <c r="F8158" t="n">
        <v>1</v>
      </c>
      <c r="G8158" t="n">
        <v>21</v>
      </c>
      <c r="H8158" s="5">
        <f>HYPERLINK("https://api.qogita.com/variants/link/0615908431339/", "View Product")</f>
        <v/>
      </c>
    </row>
    <row r="8159">
      <c r="A8159" t="inlineStr">
        <is>
          <t>4045787999693</t>
        </is>
      </c>
      <c r="B8159" t="inlineStr">
        <is>
          <t>Schwarzkopf Professional Osis+ Rock Hard Strong Hair Glue 150ml</t>
        </is>
      </c>
      <c r="C8159" t="inlineStr">
        <is>
          <t>Gel</t>
        </is>
      </c>
      <c r="D8159" t="inlineStr">
        <is>
          <t>Schwarzkopf</t>
        </is>
      </c>
      <c r="E8159" t="n">
        <v>7.41</v>
      </c>
      <c r="F8159" t="n">
        <v>1</v>
      </c>
      <c r="G8159" t="n">
        <v>9</v>
      </c>
      <c r="H8159" s="5">
        <f>HYPERLINK("https://api.qogita.com/variants/link/4045787999693/", "View Product")</f>
        <v/>
      </c>
    </row>
    <row r="8160">
      <c r="A8160" t="inlineStr">
        <is>
          <t>4045787999716</t>
        </is>
      </c>
      <c r="B8160" t="inlineStr">
        <is>
          <t>Schwarzkopf Professional Osis+ Sparkler Hair Shine Spray 300ml</t>
        </is>
      </c>
      <c r="C8160" t="inlineStr">
        <is>
          <t>Styling Sprays</t>
        </is>
      </c>
      <c r="D8160" t="inlineStr">
        <is>
          <t>Schwarzkopf</t>
        </is>
      </c>
      <c r="E8160" t="n">
        <v>7.66</v>
      </c>
      <c r="F8160" t="n">
        <v>1</v>
      </c>
      <c r="G8160" t="n">
        <v>43</v>
      </c>
      <c r="H8160" s="5">
        <f>HYPERLINK("https://api.qogita.com/variants/link/4045787999716/", "View Product")</f>
        <v/>
      </c>
    </row>
    <row r="8161">
      <c r="A8161" t="inlineStr">
        <is>
          <t>4046871002992</t>
        </is>
      </c>
      <c r="B8161" t="inlineStr">
        <is>
          <t>NATURE Round Organic Cotton Discs</t>
        </is>
      </c>
      <c r="C8161" t="inlineStr">
        <is>
          <t>Care Needs</t>
        </is>
      </c>
      <c r="D8161" t="inlineStr">
        <is>
          <t>Bel</t>
        </is>
      </c>
      <c r="E8161" t="n">
        <v>3.19</v>
      </c>
      <c r="F8161" t="n">
        <v>1</v>
      </c>
      <c r="G8161" t="n">
        <v>5</v>
      </c>
      <c r="H8161" s="5">
        <f>HYPERLINK("https://api.qogita.com/variants/link/4046871002992/", "View Product")</f>
        <v/>
      </c>
    </row>
    <row r="8162">
      <c r="A8162" t="inlineStr">
        <is>
          <t>4051395402180</t>
        </is>
      </c>
      <c r="B8162" t="inlineStr">
        <is>
          <t>Bugatti Signature Black Men's Perfume 100ml - Fresh Woody Eau de Toilette for Every Occasion</t>
        </is>
      </c>
      <c r="C8162" t="inlineStr">
        <is>
          <t>Eau De Toilette</t>
        </is>
      </c>
      <c r="D8162" t="inlineStr">
        <is>
          <t>Bugatti</t>
        </is>
      </c>
      <c r="E8162" t="n">
        <v>18.19</v>
      </c>
      <c r="F8162" t="n">
        <v>1</v>
      </c>
      <c r="G8162" t="n">
        <v>22</v>
      </c>
      <c r="H8162" s="5">
        <f>HYPERLINK("https://api.qogita.com/variants/link/4051395402180/", "View Product")</f>
        <v/>
      </c>
    </row>
    <row r="8163">
      <c r="A8163" t="inlineStr">
        <is>
          <t>4052136005486</t>
        </is>
      </c>
      <c r="B8163" t="inlineStr">
        <is>
          <t>Artdeco Duo Chrome Butterfly Dreams Eye Shadow No. 297A Rosy Heart Throb One Size</t>
        </is>
      </c>
      <c r="C8163" t="inlineStr">
        <is>
          <t>Eyeshadow</t>
        </is>
      </c>
      <c r="D8163" t="inlineStr">
        <is>
          <t>Artdeco</t>
        </is>
      </c>
      <c r="E8163" t="n">
        <v>4.46</v>
      </c>
      <c r="F8163" t="n">
        <v>1</v>
      </c>
      <c r="G8163" t="n">
        <v>14</v>
      </c>
      <c r="H8163" s="5">
        <f>HYPERLINK("https://api.qogita.com/variants/link/4052136005486/", "View Product")</f>
        <v/>
      </c>
    </row>
    <row r="8164">
      <c r="A8164" t="inlineStr">
        <is>
          <t>4052136006940</t>
        </is>
      </c>
      <c r="B8164" t="inlineStr">
        <is>
          <t>Artdeco Angel Eyes Mascara 01 Black Highquality Eye Makeup</t>
        </is>
      </c>
      <c r="C8164" t="inlineStr">
        <is>
          <t>Mascara</t>
        </is>
      </c>
      <c r="D8164" t="inlineStr">
        <is>
          <t>Artdeco</t>
        </is>
      </c>
      <c r="E8164" t="n">
        <v>7.12</v>
      </c>
      <c r="F8164" t="n">
        <v>1</v>
      </c>
      <c r="G8164" t="n">
        <v>3</v>
      </c>
      <c r="H8164" s="5">
        <f>HYPERLINK("https://api.qogita.com/variants/link/4052136006940/", "View Product")</f>
        <v/>
      </c>
    </row>
    <row r="8165">
      <c r="A8165" t="inlineStr">
        <is>
          <t>4052136034486</t>
        </is>
      </c>
      <c r="B8165" t="inlineStr">
        <is>
          <t>ARTDECO Hyaluronic Hydra Face Gel with Green Tea</t>
        </is>
      </c>
      <c r="C8165" t="inlineStr">
        <is>
          <t>Hyaluronic Acid Serum</t>
        </is>
      </c>
      <c r="D8165" t="inlineStr">
        <is>
          <t>Artdeco</t>
        </is>
      </c>
      <c r="E8165" t="n">
        <v>11.83</v>
      </c>
      <c r="F8165" t="n">
        <v>1</v>
      </c>
      <c r="G8165" t="n">
        <v>5</v>
      </c>
      <c r="H8165" s="5">
        <f>HYPERLINK("https://api.qogita.com/variants/link/4052136034486/", "View Product")</f>
        <v/>
      </c>
    </row>
    <row r="8166">
      <c r="A8166" t="inlineStr">
        <is>
          <t>4052136034516</t>
        </is>
      </c>
      <c r="B8166" t="inlineStr">
        <is>
          <t>ARTDECO Hyaluronic Nutri Mousse with Ginseng Moisturising Face Care 50ml</t>
        </is>
      </c>
      <c r="C8166" t="inlineStr">
        <is>
          <t>Face Cream</t>
        </is>
      </c>
      <c r="D8166" t="inlineStr">
        <is>
          <t>Artdeco</t>
        </is>
      </c>
      <c r="E8166" t="n">
        <v>13.34</v>
      </c>
      <c r="F8166" t="n">
        <v>1</v>
      </c>
      <c r="G8166" t="n">
        <v>4</v>
      </c>
      <c r="H8166" s="5">
        <f>HYPERLINK("https://api.qogita.com/variants/link/4052136034516/", "View Product")</f>
        <v/>
      </c>
    </row>
    <row r="8167">
      <c r="A8167" t="inlineStr">
        <is>
          <t>4052136045802</t>
        </is>
      </c>
      <c r="B8167" t="inlineStr">
        <is>
          <t>Artdeco 2 In 1 Lacquer Base And Top Coat 10ml</t>
        </is>
      </c>
      <c r="C8167" t="inlineStr">
        <is>
          <t>Base Coat</t>
        </is>
      </c>
      <c r="D8167" t="inlineStr">
        <is>
          <t>Artdeco</t>
        </is>
      </c>
      <c r="E8167" t="n">
        <v>5.69</v>
      </c>
      <c r="F8167" t="n">
        <v>1</v>
      </c>
      <c r="G8167" t="n">
        <v>10</v>
      </c>
      <c r="H8167" s="5">
        <f>HYPERLINK("https://api.qogita.com/variants/link/4052136045802/", "View Product")</f>
        <v/>
      </c>
    </row>
    <row r="8168">
      <c r="A8168" t="inlineStr">
        <is>
          <t>4052136046328</t>
        </is>
      </c>
      <c r="B8168" t="inlineStr">
        <is>
          <t>Artdeco Hydra Lip Booster 46 Translucent Mountain Rose 6g</t>
        </is>
      </c>
      <c r="C8168" t="inlineStr">
        <is>
          <t>Lip Gloss</t>
        </is>
      </c>
      <c r="D8168" t="inlineStr">
        <is>
          <t>Artdeco</t>
        </is>
      </c>
      <c r="E8168" t="n">
        <v>6.9</v>
      </c>
      <c r="F8168" t="n">
        <v>1</v>
      </c>
      <c r="G8168" t="n">
        <v>3</v>
      </c>
      <c r="H8168" s="5">
        <f>HYPERLINK("https://api.qogita.com/variants/link/4052136046328/", "View Product")</f>
        <v/>
      </c>
    </row>
    <row r="8169">
      <c r="A8169" t="inlineStr">
        <is>
          <t>4052136047646</t>
        </is>
      </c>
      <c r="B8169" t="inlineStr">
        <is>
          <t>Artdeco Perfect Brows Tweezers</t>
        </is>
      </c>
      <c r="C8169" t="inlineStr">
        <is>
          <t>Other</t>
        </is>
      </c>
      <c r="D8169" t="inlineStr">
        <is>
          <t>Artdeco</t>
        </is>
      </c>
      <c r="E8169" t="n">
        <v>5.64</v>
      </c>
      <c r="F8169" t="n">
        <v>1</v>
      </c>
      <c r="G8169" t="n">
        <v>5</v>
      </c>
      <c r="H8169" s="5">
        <f>HYPERLINK("https://api.qogita.com/variants/link/4052136047646/", "View Product")</f>
        <v/>
      </c>
    </row>
    <row r="8170">
      <c r="A8170" t="inlineStr">
        <is>
          <t>4052136058291</t>
        </is>
      </c>
      <c r="B8170" t="inlineStr">
        <is>
          <t>Artdeco Make-Up Fixing Spray 3 In 1 - 100ml</t>
        </is>
      </c>
      <c r="C8170" t="inlineStr">
        <is>
          <t>Setting Spray</t>
        </is>
      </c>
      <c r="D8170" t="inlineStr">
        <is>
          <t>Artdeco</t>
        </is>
      </c>
      <c r="E8170" t="n">
        <v>10.13</v>
      </c>
      <c r="F8170" t="n">
        <v>1</v>
      </c>
      <c r="G8170" t="n">
        <v>25</v>
      </c>
      <c r="H8170" s="5">
        <f>HYPERLINK("https://api.qogita.com/variants/link/4052136058291/", "View Product")</f>
        <v/>
      </c>
    </row>
    <row r="8171">
      <c r="A8171" t="inlineStr">
        <is>
          <t>4052136059144</t>
        </is>
      </c>
      <c r="B8171" t="inlineStr">
        <is>
          <t>Artdeco Long Wear Concealer Waterproof Concealer 18 Soft Peach 7ml</t>
        </is>
      </c>
      <c r="C8171" t="inlineStr">
        <is>
          <t>Concealer</t>
        </is>
      </c>
      <c r="D8171" t="inlineStr">
        <is>
          <t>Artdeco</t>
        </is>
      </c>
      <c r="E8171" t="n">
        <v>8.619999999999999</v>
      </c>
      <c r="F8171" t="n">
        <v>1</v>
      </c>
      <c r="G8171" t="n">
        <v>2</v>
      </c>
      <c r="H8171" s="5">
        <f>HYPERLINK("https://api.qogita.com/variants/link/4052136059144/", "View Product")</f>
        <v/>
      </c>
    </row>
    <row r="8172">
      <c r="A8172" t="inlineStr">
        <is>
          <t>4052136066715</t>
        </is>
      </c>
      <c r="B8172" t="inlineStr">
        <is>
          <t>Artdeco Matte Eyeshadow Duochrome 08 G 561 Matt Vintage Hydrangea</t>
        </is>
      </c>
      <c r="C8172" t="inlineStr">
        <is>
          <t>Eyeshadow</t>
        </is>
      </c>
      <c r="D8172" t="inlineStr">
        <is>
          <t>Artdeco</t>
        </is>
      </c>
      <c r="E8172" t="n">
        <v>2.74</v>
      </c>
      <c r="F8172" t="n">
        <v>1</v>
      </c>
      <c r="G8172" t="n">
        <v>2</v>
      </c>
      <c r="H8172" s="5">
        <f>HYPERLINK("https://api.qogita.com/variants/link/4052136066715/", "View Product")</f>
        <v/>
      </c>
    </row>
    <row r="8173">
      <c r="A8173" t="inlineStr">
        <is>
          <t>4052136071498</t>
        </is>
      </c>
      <c r="B8173" t="inlineStr">
        <is>
          <t>Artdeco Ultra Fine Brow Liner 15 Saddle</t>
        </is>
      </c>
      <c r="C8173" t="inlineStr">
        <is>
          <t>Eyebrow Pencil</t>
        </is>
      </c>
      <c r="D8173" t="inlineStr">
        <is>
          <t>Artdeco</t>
        </is>
      </c>
      <c r="E8173" t="n">
        <v>6.35</v>
      </c>
      <c r="F8173" t="n">
        <v>1</v>
      </c>
      <c r="G8173" t="n">
        <v>2</v>
      </c>
      <c r="H8173" s="5">
        <f>HYPERLINK("https://api.qogita.com/variants/link/4052136071498/", "View Product")</f>
        <v/>
      </c>
    </row>
    <row r="8174">
      <c r="A8174" t="inlineStr">
        <is>
          <t>4052136088748</t>
        </is>
      </c>
      <c r="B8174" t="inlineStr">
        <is>
          <t>ARTDECO Glass File 2018 Gentle Nail File Made of Glass</t>
        </is>
      </c>
      <c r="C8174" t="inlineStr">
        <is>
          <t>Nail Clippers &amp; Tools</t>
        </is>
      </c>
      <c r="D8174" t="inlineStr">
        <is>
          <t>Artdeco</t>
        </is>
      </c>
      <c r="E8174" t="n">
        <v>7.36</v>
      </c>
      <c r="F8174" t="n">
        <v>1</v>
      </c>
      <c r="G8174" t="n">
        <v>5</v>
      </c>
      <c r="H8174" s="5">
        <f>HYPERLINK("https://api.qogita.com/variants/link/4052136088748/", "View Product")</f>
        <v/>
      </c>
    </row>
    <row r="8175">
      <c r="A8175" t="inlineStr">
        <is>
          <t>4052136095265</t>
        </is>
      </c>
      <c r="B8175" t="inlineStr">
        <is>
          <t>Artdeco Perfect Teint Foundation 35 Natural Longlasting Makeup 20 Ml</t>
        </is>
      </c>
      <c r="C8175" t="inlineStr">
        <is>
          <t>Foundation</t>
        </is>
      </c>
      <c r="D8175" t="inlineStr">
        <is>
          <t>Artdeco</t>
        </is>
      </c>
      <c r="E8175" t="n">
        <v>12.69</v>
      </c>
      <c r="F8175" t="n">
        <v>1</v>
      </c>
      <c r="G8175" t="n">
        <v>6</v>
      </c>
      <c r="H8175" s="5">
        <f>HYPERLINK("https://api.qogita.com/variants/link/4052136095265/", "View Product")</f>
        <v/>
      </c>
    </row>
    <row r="8176">
      <c r="A8176" t="inlineStr">
        <is>
          <t>4052136097269</t>
        </is>
      </c>
      <c r="B8176" t="inlineStr">
        <is>
          <t>Artdeco Nourishing Anti-Wrinkle Cream With Q10 - 50 Ml</t>
        </is>
      </c>
      <c r="C8176" t="inlineStr">
        <is>
          <t>Anti-Aging Facial Care</t>
        </is>
      </c>
      <c r="D8176" t="inlineStr">
        <is>
          <t>Artdeco</t>
        </is>
      </c>
      <c r="E8176" t="n">
        <v>17.97</v>
      </c>
      <c r="F8176" t="n">
        <v>1</v>
      </c>
      <c r="G8176" t="n">
        <v>6</v>
      </c>
      <c r="H8176" s="5">
        <f>HYPERLINK("https://api.qogita.com/variants/link/4052136097269/", "View Product")</f>
        <v/>
      </c>
    </row>
    <row r="8177">
      <c r="A8177" t="inlineStr">
        <is>
          <t>4052136101058</t>
        </is>
      </c>
      <c r="B8177" t="inlineStr">
        <is>
          <t>Artdeco Brush Cleanser Makeup Brush Cleaner 100ml</t>
        </is>
      </c>
      <c r="C8177" t="inlineStr">
        <is>
          <t>Brush Cleaner</t>
        </is>
      </c>
      <c r="D8177" t="inlineStr">
        <is>
          <t>Artdeco</t>
        </is>
      </c>
      <c r="E8177" t="n">
        <v>15.44</v>
      </c>
      <c r="F8177" t="n">
        <v>1</v>
      </c>
      <c r="G8177" t="n">
        <v>5</v>
      </c>
      <c r="H8177" s="5">
        <f>HYPERLINK("https://api.qogita.com/variants/link/4052136101058/", "View Product")</f>
        <v/>
      </c>
    </row>
    <row r="8178">
      <c r="A8178" t="inlineStr">
        <is>
          <t>4052136101072</t>
        </is>
      </c>
      <c r="B8178" t="inlineStr">
        <is>
          <t>Artdeco Premium Quality Powder Brush</t>
        </is>
      </c>
      <c r="C8178" t="inlineStr">
        <is>
          <t>Powder Brushes</t>
        </is>
      </c>
      <c r="D8178" t="inlineStr">
        <is>
          <t>Artdeco</t>
        </is>
      </c>
      <c r="E8178" t="n">
        <v>11.65</v>
      </c>
      <c r="F8178" t="n">
        <v>1</v>
      </c>
      <c r="G8178" t="n">
        <v>5</v>
      </c>
      <c r="H8178" s="5">
        <f>HYPERLINK("https://api.qogita.com/variants/link/4052136101072/", "View Product")</f>
        <v/>
      </c>
    </row>
    <row r="8179">
      <c r="A8179" t="inlineStr">
        <is>
          <t>4052136152418</t>
        </is>
      </c>
      <c r="B8179" t="inlineStr">
        <is>
          <t>Artdeco Spray On Leg Foundation Tanning Spray for Flawless Legs</t>
        </is>
      </c>
      <c r="C8179" t="inlineStr">
        <is>
          <t>Body Self-Tanner</t>
        </is>
      </c>
      <c r="D8179" t="inlineStr">
        <is>
          <t>Artdeco</t>
        </is>
      </c>
      <c r="E8179" t="n">
        <v>13.69</v>
      </c>
      <c r="F8179" t="n">
        <v>1</v>
      </c>
      <c r="G8179" t="n">
        <v>15</v>
      </c>
      <c r="H8179" s="5">
        <f>HYPERLINK("https://api.qogita.com/variants/link/4052136152418/", "View Product")</f>
        <v/>
      </c>
    </row>
    <row r="8180">
      <c r="A8180" t="inlineStr">
        <is>
          <t>4052136160130</t>
        </is>
      </c>
      <c r="B8180" t="inlineStr">
        <is>
          <t>Artdeco Hydra Care Lipstick Hydrating Care Lipstick 35 Terracotta Oasis</t>
        </is>
      </c>
      <c r="C8180" t="inlineStr">
        <is>
          <t>Lipstick</t>
        </is>
      </c>
      <c r="D8180" t="inlineStr">
        <is>
          <t>Artdeco</t>
        </is>
      </c>
      <c r="E8180" t="n">
        <v>7.72</v>
      </c>
      <c r="F8180" t="n">
        <v>1</v>
      </c>
      <c r="G8180" t="n">
        <v>2</v>
      </c>
      <c r="H8180" s="5">
        <f>HYPERLINK("https://api.qogita.com/variants/link/4052136160130/", "View Product")</f>
        <v/>
      </c>
    </row>
    <row r="8181">
      <c r="A8181" t="inlineStr">
        <is>
          <t>4052136160758</t>
        </is>
      </c>
      <c r="B8181" t="inlineStr">
        <is>
          <t>Artdeco Light Luminous Foundation Illuminating Base Gentle Mahogany 25ml</t>
        </is>
      </c>
      <c r="C8181" t="inlineStr">
        <is>
          <t>Foundation</t>
        </is>
      </c>
      <c r="D8181" t="inlineStr">
        <is>
          <t>Artdeco</t>
        </is>
      </c>
      <c r="E8181" t="n">
        <v>12.57</v>
      </c>
      <c r="F8181" t="n">
        <v>1</v>
      </c>
      <c r="G8181" t="n">
        <v>2</v>
      </c>
      <c r="H8181" s="5">
        <f>HYPERLINK("https://api.qogita.com/variants/link/4052136160758/", "View Product")</f>
        <v/>
      </c>
    </row>
    <row r="8182">
      <c r="A8182" t="inlineStr">
        <is>
          <t>4052136161717</t>
        </is>
      </c>
      <c r="B8182" t="inlineStr">
        <is>
          <t>Artdeco Translucent Loose Powder with Silky Matte Finish</t>
        </is>
      </c>
      <c r="C8182" t="inlineStr">
        <is>
          <t>Powder</t>
        </is>
      </c>
      <c r="D8182" t="inlineStr">
        <is>
          <t>Artdeco</t>
        </is>
      </c>
      <c r="E8182" t="n">
        <v>10.28</v>
      </c>
      <c r="F8182" t="n">
        <v>1</v>
      </c>
      <c r="G8182" t="n">
        <v>14</v>
      </c>
      <c r="H8182" s="5">
        <f>HYPERLINK("https://api.qogita.com/variants/link/4052136161717/", "View Product")</f>
        <v/>
      </c>
    </row>
    <row r="8183">
      <c r="A8183" t="inlineStr">
        <is>
          <t>4052136212921</t>
        </is>
      </c>
      <c r="B8183" t="inlineStr">
        <is>
          <t>Artdeco Light Luminous Foundation - Light Liquid Foundation with Natural Finish</t>
        </is>
      </c>
      <c r="C8183" t="inlineStr">
        <is>
          <t>Foundation</t>
        </is>
      </c>
      <c r="D8183" t="inlineStr">
        <is>
          <t>Artdeco</t>
        </is>
      </c>
      <c r="E8183" t="n">
        <v>11.44</v>
      </c>
      <c r="F8183" t="n">
        <v>1</v>
      </c>
      <c r="G8183" t="n">
        <v>7</v>
      </c>
      <c r="H8183" s="5">
        <f>HYPERLINK("https://api.qogita.com/variants/link/4052136212921/", "View Product")</f>
        <v/>
      </c>
    </row>
    <row r="8184">
      <c r="A8184" t="inlineStr">
        <is>
          <t>4052136240474</t>
        </is>
      </c>
      <c r="B8184" t="inlineStr">
        <is>
          <t>Artdeco Clear Lash &amp; Brow Gel 10ml</t>
        </is>
      </c>
      <c r="C8184" t="inlineStr">
        <is>
          <t>Eyebrow Gel</t>
        </is>
      </c>
      <c r="D8184" t="inlineStr">
        <is>
          <t>Artdeco</t>
        </is>
      </c>
      <c r="E8184" t="n">
        <v>4.4</v>
      </c>
      <c r="F8184" t="n">
        <v>1</v>
      </c>
      <c r="G8184" t="n">
        <v>14</v>
      </c>
      <c r="H8184" s="5">
        <f>HYPERLINK("https://api.qogita.com/variants/link/4052136240474/", "View Product")</f>
        <v/>
      </c>
    </row>
    <row r="8185">
      <c r="A8185" t="inlineStr">
        <is>
          <t>4052199624389</t>
        </is>
      </c>
      <c r="B8185" t="inlineStr">
        <is>
          <t>Bel Makeup Remover Pads with Aloe Vera 3x75 Pads</t>
        </is>
      </c>
      <c r="C8185" t="inlineStr">
        <is>
          <t>Makeup Remover</t>
        </is>
      </c>
      <c r="D8185" t="inlineStr">
        <is>
          <t>Bel</t>
        </is>
      </c>
      <c r="E8185" t="n">
        <v>4.91</v>
      </c>
      <c r="F8185" t="n">
        <v>1</v>
      </c>
      <c r="G8185" t="n">
        <v>13</v>
      </c>
      <c r="H8185" s="5">
        <f>HYPERLINK("https://api.qogita.com/variants/link/4052199624389/", "View Product")</f>
        <v/>
      </c>
    </row>
    <row r="8186">
      <c r="A8186" t="inlineStr">
        <is>
          <t>4056800065745</t>
        </is>
      </c>
      <c r="B8186" t="inlineStr">
        <is>
          <t>Wella Professional Strong Performance Hair Spray A Stronger Effect</t>
        </is>
      </c>
      <c r="C8186" t="inlineStr">
        <is>
          <t>Hairspray</t>
        </is>
      </c>
      <c r="D8186" t="inlineStr">
        <is>
          <t>Wella Professionals</t>
        </is>
      </c>
      <c r="E8186" t="n">
        <v>5.34</v>
      </c>
      <c r="F8186" t="n">
        <v>1</v>
      </c>
      <c r="G8186" t="n">
        <v>72</v>
      </c>
      <c r="H8186" s="5">
        <f>HYPERLINK("https://api.qogita.com/variants/link/4056800065745/", "View Product")</f>
        <v/>
      </c>
    </row>
    <row r="8187">
      <c r="A8187" t="inlineStr">
        <is>
          <t>4056800071241</t>
        </is>
      </c>
      <c r="B8187" t="inlineStr">
        <is>
          <t>Londa Professional Permanent Wave For Normal Hair Curl Normal Resistant Hair Perm Lotion</t>
        </is>
      </c>
      <c r="C8187" t="inlineStr">
        <is>
          <t>Hair Care Sets</t>
        </is>
      </c>
      <c r="D8187" t="inlineStr">
        <is>
          <t>Londa Professional</t>
        </is>
      </c>
      <c r="E8187" t="n">
        <v>29.5</v>
      </c>
      <c r="F8187" t="n">
        <v>1</v>
      </c>
      <c r="G8187" t="n">
        <v>10</v>
      </c>
      <c r="H8187" s="5">
        <f>HYPERLINK("https://api.qogita.com/variants/link/4056800071241/", "View Product")</f>
        <v/>
      </c>
    </row>
    <row r="8188">
      <c r="A8188" t="inlineStr">
        <is>
          <t>4059729036742</t>
        </is>
      </c>
      <c r="B8188" t="inlineStr">
        <is>
          <t>Catrice Slim'matic Ultra Precise Brow Pencil Waterproof 040 Cool Brown</t>
        </is>
      </c>
      <c r="C8188" t="inlineStr">
        <is>
          <t>Eyebrow Pencil</t>
        </is>
      </c>
      <c r="D8188" t="inlineStr">
        <is>
          <t>Catrice</t>
        </is>
      </c>
      <c r="E8188" t="n">
        <v>4.21</v>
      </c>
      <c r="F8188" t="n">
        <v>1</v>
      </c>
      <c r="G8188" t="n">
        <v>4</v>
      </c>
      <c r="H8188" s="5">
        <f>HYPERLINK("https://api.qogita.com/variants/link/4059729036742/", "View Product")</f>
        <v/>
      </c>
    </row>
    <row r="8189">
      <c r="A8189" t="inlineStr">
        <is>
          <t>4059729349279</t>
        </is>
      </c>
      <c r="B8189" t="inlineStr">
        <is>
          <t>Essence Cosmetics Colour Shield Top Coat 8 Ml</t>
        </is>
      </c>
      <c r="C8189" t="inlineStr">
        <is>
          <t>Top Coat</t>
        </is>
      </c>
      <c r="D8189" t="inlineStr">
        <is>
          <t>Essence</t>
        </is>
      </c>
      <c r="E8189" t="n">
        <v>3.37</v>
      </c>
      <c r="F8189" t="n">
        <v>1</v>
      </c>
      <c r="G8189" t="n">
        <v>2</v>
      </c>
      <c r="H8189" s="5">
        <f>HYPERLINK("https://api.qogita.com/variants/link/4059729349279/", "View Product")</f>
        <v/>
      </c>
    </row>
    <row r="8190">
      <c r="A8190" t="inlineStr">
        <is>
          <t>4059729394385</t>
        </is>
      </c>
      <c r="B8190" t="inlineStr">
        <is>
          <t>Essence Natural Matte Mousse Base 13 Matt Porcelain 16 G</t>
        </is>
      </c>
      <c r="C8190" t="inlineStr">
        <is>
          <t>Foundation</t>
        </is>
      </c>
      <c r="D8190" t="inlineStr">
        <is>
          <t>Essence</t>
        </is>
      </c>
      <c r="E8190" t="n">
        <v>4.13</v>
      </c>
      <c r="F8190" t="n">
        <v>1</v>
      </c>
      <c r="G8190" t="n">
        <v>4</v>
      </c>
      <c r="H8190" s="5">
        <f>HYPERLINK("https://api.qogita.com/variants/link/4059729394385/", "View Product")</f>
        <v/>
      </c>
    </row>
    <row r="8191">
      <c r="A8191" t="inlineStr">
        <is>
          <t>4059729420886</t>
        </is>
      </c>
      <c r="B8191" t="inlineStr">
        <is>
          <t>Essence Cosmetics Eyeliner Pen Extra Longlasting 11 Ml Blackest Black</t>
        </is>
      </c>
      <c r="C8191" t="inlineStr">
        <is>
          <t>Eyeliner</t>
        </is>
      </c>
      <c r="D8191" t="inlineStr">
        <is>
          <t>Essence</t>
        </is>
      </c>
      <c r="E8191" t="n">
        <v>3.94</v>
      </c>
      <c r="F8191" t="n">
        <v>1</v>
      </c>
      <c r="G8191" t="n">
        <v>2</v>
      </c>
      <c r="H8191" s="5">
        <f>HYPERLINK("https://api.qogita.com/variants/link/4059729420886/", "View Product")</f>
        <v/>
      </c>
    </row>
    <row r="8192">
      <c r="A8192" t="inlineStr">
        <is>
          <t>4059729491688</t>
        </is>
      </c>
      <c r="B8192" t="inlineStr">
        <is>
          <t>Essence Gel Nail Colour 72 Left Me On Red - 8 Ml</t>
        </is>
      </c>
      <c r="C8192" t="inlineStr">
        <is>
          <t>Gel Polish</t>
        </is>
      </c>
      <c r="D8192" t="inlineStr">
        <is>
          <t>Essence</t>
        </is>
      </c>
      <c r="E8192" t="n">
        <v>3.37</v>
      </c>
      <c r="F8192" t="n">
        <v>1</v>
      </c>
      <c r="G8192" t="n">
        <v>2</v>
      </c>
      <c r="H8192" s="5">
        <f>HYPERLINK("https://api.qogita.com/variants/link/4059729491688/", "View Product")</f>
        <v/>
      </c>
    </row>
    <row r="8193">
      <c r="A8193" t="inlineStr">
        <is>
          <t>4059729516060</t>
        </is>
      </c>
      <c r="B8193" t="inlineStr">
        <is>
          <t>Catrice Diamond Glaze Lip Gloss No. 040 Red Instant Result Glossy</t>
        </is>
      </c>
      <c r="C8193" t="inlineStr">
        <is>
          <t>Lip Gloss</t>
        </is>
      </c>
      <c r="D8193" t="inlineStr">
        <is>
          <t>Catrice</t>
        </is>
      </c>
      <c r="E8193" t="n">
        <v>4.76</v>
      </c>
      <c r="F8193" t="n">
        <v>1</v>
      </c>
      <c r="G8193" t="n">
        <v>2</v>
      </c>
      <c r="H8193" s="5">
        <f>HYPERLINK("https://api.qogita.com/variants/link/4059729516060/", "View Product")</f>
        <v/>
      </c>
    </row>
    <row r="8194">
      <c r="A8194" t="inlineStr">
        <is>
          <t>4063528004413</t>
        </is>
      </c>
      <c r="B8194" t="inlineStr">
        <is>
          <t>Invisbobble Hair Bands Hairhalo Margarita Bonita Light Blue - Limited Edition</t>
        </is>
      </c>
      <c r="C8194" t="inlineStr">
        <is>
          <t>Hair Elastics</t>
        </is>
      </c>
      <c r="D8194" t="inlineStr">
        <is>
          <t>Invisibobble</t>
        </is>
      </c>
      <c r="E8194" t="n">
        <v>10.12</v>
      </c>
      <c r="F8194" t="n">
        <v>1</v>
      </c>
      <c r="G8194" t="n">
        <v>5</v>
      </c>
      <c r="H8194" s="5">
        <f>HYPERLINK("https://api.qogita.com/variants/link/4063528004413/", "View Product")</f>
        <v/>
      </c>
    </row>
    <row r="8195">
      <c r="A8195" t="inlineStr">
        <is>
          <t>4063528004567</t>
        </is>
      </c>
      <c r="B8195" t="inlineStr">
        <is>
          <t>Invisibobble Invisibobble Sprunchie Ballerina Bow Hair Accessory</t>
        </is>
      </c>
      <c r="C8195" t="inlineStr">
        <is>
          <t>Hair Elastics</t>
        </is>
      </c>
      <c r="D8195" t="inlineStr">
        <is>
          <t>Invisibobble</t>
        </is>
      </c>
      <c r="E8195" t="n">
        <v>6.37</v>
      </c>
      <c r="F8195" t="n">
        <v>1</v>
      </c>
      <c r="G8195" t="n">
        <v>2</v>
      </c>
      <c r="H8195" s="5">
        <f>HYPERLINK("https://api.qogita.com/variants/link/4063528004567/", "View Product")</f>
        <v/>
      </c>
    </row>
    <row r="8196">
      <c r="A8196" t="inlineStr">
        <is>
          <t>4063528008886</t>
        </is>
      </c>
      <c r="B8196" t="inlineStr">
        <is>
          <t>Foamie 3-in-1 Men Bar What a Man 90g</t>
        </is>
      </c>
      <c r="C8196" t="inlineStr">
        <is>
          <t>Soap</t>
        </is>
      </c>
      <c r="D8196" t="inlineStr">
        <is>
          <t>Foamie</t>
        </is>
      </c>
      <c r="E8196" t="n">
        <v>5.31</v>
      </c>
      <c r="F8196" t="n">
        <v>1</v>
      </c>
      <c r="G8196" t="n">
        <v>20</v>
      </c>
      <c r="H8196" s="5">
        <f>HYPERLINK("https://api.qogita.com/variants/link/4063528008886/", "View Product")</f>
        <v/>
      </c>
    </row>
    <row r="8197">
      <c r="A8197" t="inlineStr">
        <is>
          <t>4063528013262</t>
        </is>
      </c>
      <c r="B8197" t="inlineStr">
        <is>
          <t>FOAMIE Travel Sized Body Bar Moisturising Aloe Vera PH Balanced Soap-Free No Sulphates or Parabens Made in the UK</t>
        </is>
      </c>
      <c r="C8197" t="inlineStr">
        <is>
          <t>Soap</t>
        </is>
      </c>
      <c r="D8197" t="inlineStr">
        <is>
          <t>Foamie</t>
        </is>
      </c>
      <c r="E8197" t="n">
        <v>3.26</v>
      </c>
      <c r="F8197" t="n">
        <v>1</v>
      </c>
      <c r="G8197" t="n">
        <v>5</v>
      </c>
      <c r="H8197" s="5">
        <f>HYPERLINK("https://api.qogita.com/variants/link/4063528013262/", "View Product")</f>
        <v/>
      </c>
    </row>
    <row r="8198">
      <c r="A8198" t="inlineStr">
        <is>
          <t>4063528058973</t>
        </is>
      </c>
      <c r="B8198" t="inlineStr">
        <is>
          <t>Invisibobble Slim Pink Monocle Thin Hair Bobbles for Women &amp; Girls Pack of 3</t>
        </is>
      </c>
      <c r="C8198" t="inlineStr">
        <is>
          <t>Hair Elastics</t>
        </is>
      </c>
      <c r="D8198" t="inlineStr">
        <is>
          <t>Invisibobble</t>
        </is>
      </c>
      <c r="E8198" t="n">
        <v>4.54</v>
      </c>
      <c r="F8198" t="n">
        <v>1</v>
      </c>
      <c r="G8198" t="n">
        <v>3</v>
      </c>
      <c r="H8198" s="5">
        <f>HYPERLINK("https://api.qogita.com/variants/link/4063528058973/", "View Product")</f>
        <v/>
      </c>
    </row>
    <row r="8199">
      <c r="A8199" t="inlineStr">
        <is>
          <t>4063528060440</t>
        </is>
      </c>
      <c r="B8199" t="inlineStr">
        <is>
          <t>Invisibobble Heatless Curl Set Curls Non-Slip Curlers Overnight DIY Hair for Long Medium Hair</t>
        </is>
      </c>
      <c r="C8199" t="inlineStr">
        <is>
          <t>Hair Elastics</t>
        </is>
      </c>
      <c r="D8199" t="inlineStr">
        <is>
          <t>Invisibobble</t>
        </is>
      </c>
      <c r="E8199" t="n">
        <v>11.56</v>
      </c>
      <c r="F8199" t="n">
        <v>1</v>
      </c>
      <c r="G8199" t="n">
        <v>19</v>
      </c>
      <c r="H8199" s="5">
        <f>HYPERLINK("https://api.qogita.com/variants/link/4063528060440/", "View Product")</f>
        <v/>
      </c>
    </row>
    <row r="8200">
      <c r="A8200" t="inlineStr">
        <is>
          <t>4063528060945</t>
        </is>
      </c>
      <c r="B8200" t="inlineStr">
        <is>
          <t>Invisibobble Kids Hair Bobbles for Girls Pink and Rainbow Hair Elastics 4 Pieces</t>
        </is>
      </c>
      <c r="C8200" t="inlineStr">
        <is>
          <t>Hair Elastics</t>
        </is>
      </c>
      <c r="D8200" t="inlineStr">
        <is>
          <t>Invisibobble</t>
        </is>
      </c>
      <c r="E8200" t="n">
        <v>7.71</v>
      </c>
      <c r="F8200" t="n">
        <v>1</v>
      </c>
      <c r="G8200" t="n">
        <v>3</v>
      </c>
      <c r="H8200" s="5">
        <f>HYPERLINK("https://api.qogita.com/variants/link/4063528060945/", "View Product")</f>
        <v/>
      </c>
    </row>
    <row r="8201">
      <c r="A8201" t="inlineStr">
        <is>
          <t>4063528061461</t>
        </is>
      </c>
      <c r="B8201" t="inlineStr">
        <is>
          <t>invisibobble Leo Hair Clip EVERCLAW for Women and Girls Non-Slip Leopard Hair Clip Hair-Friendly</t>
        </is>
      </c>
      <c r="C8201" t="inlineStr">
        <is>
          <t>Hair Clips &amp; Hair Clamps</t>
        </is>
      </c>
      <c r="D8201" t="inlineStr">
        <is>
          <t>Invisibobble</t>
        </is>
      </c>
      <c r="E8201" t="n">
        <v>6.33</v>
      </c>
      <c r="F8201" t="n">
        <v>1</v>
      </c>
      <c r="G8201" t="n">
        <v>5</v>
      </c>
      <c r="H8201" s="5">
        <f>HYPERLINK("https://api.qogita.com/variants/link/4063528061461/", "View Product")</f>
        <v/>
      </c>
    </row>
    <row r="8202">
      <c r="A8202" t="inlineStr">
        <is>
          <t>4063528062031</t>
        </is>
      </c>
      <c r="B8202" t="inlineStr">
        <is>
          <t>Invisibobble Sprunchie Bikini Sea of Blues</t>
        </is>
      </c>
      <c r="C8202" t="inlineStr">
        <is>
          <t>Hair Elastics</t>
        </is>
      </c>
      <c r="D8202" t="inlineStr">
        <is>
          <t>Invisibobble</t>
        </is>
      </c>
      <c r="E8202" t="n">
        <v>6.96</v>
      </c>
      <c r="F8202" t="n">
        <v>1</v>
      </c>
      <c r="G8202" t="n">
        <v>6</v>
      </c>
      <c r="H8202" s="5">
        <f>HYPERLINK("https://api.qogita.com/variants/link/4063528062031/", "View Product")</f>
        <v/>
      </c>
    </row>
    <row r="8203">
      <c r="A8203" t="inlineStr">
        <is>
          <t>4063528063427</t>
        </is>
      </c>
      <c r="B8203" t="inlineStr">
        <is>
          <t>invisibobble Clipstar Small Non-Slip Hair Clips Pink &amp; Brown Leopard</t>
        </is>
      </c>
      <c r="C8203" t="inlineStr">
        <is>
          <t>Hair Clips &amp; Hair Clamps</t>
        </is>
      </c>
      <c r="D8203" t="inlineStr">
        <is>
          <t>Invisibobble</t>
        </is>
      </c>
      <c r="E8203" t="n">
        <v>6.96</v>
      </c>
      <c r="F8203" t="n">
        <v>1</v>
      </c>
      <c r="G8203" t="n">
        <v>2</v>
      </c>
      <c r="H8203" s="5">
        <f>HYPERLINK("https://api.qogita.com/variants/link/4063528063427/", "View Product")</f>
        <v/>
      </c>
    </row>
    <row r="8204">
      <c r="A8204" t="inlineStr">
        <is>
          <t>4063528064127</t>
        </is>
      </c>
      <c r="B8204" t="inlineStr">
        <is>
          <t>Invisibobble Sprunchie Slim Premium La Vie En Rose 2 Pieces</t>
        </is>
      </c>
      <c r="C8204" t="inlineStr">
        <is>
          <t>Hair Elastics</t>
        </is>
      </c>
      <c r="D8204" t="inlineStr">
        <is>
          <t>Invisibobble</t>
        </is>
      </c>
      <c r="E8204" t="n">
        <v>9.49</v>
      </c>
      <c r="F8204" t="n">
        <v>1</v>
      </c>
      <c r="G8204" t="n">
        <v>6</v>
      </c>
      <c r="H8204" s="5">
        <f>HYPERLINK("https://api.qogita.com/variants/link/4063528064127/", "View Product")</f>
        <v/>
      </c>
    </row>
    <row r="8205">
      <c r="A8205" t="inlineStr">
        <is>
          <t>4063528064141</t>
        </is>
      </c>
      <c r="B8205" t="inlineStr">
        <is>
          <t>Invisibobble Sprunchie Slim Premium Leo Is The New Black 2 Pcs Hair Elastic</t>
        </is>
      </c>
      <c r="C8205" t="inlineStr">
        <is>
          <t>Hair Elastics</t>
        </is>
      </c>
      <c r="D8205" t="inlineStr">
        <is>
          <t>Invisibobble</t>
        </is>
      </c>
      <c r="E8205" t="n">
        <v>9.49</v>
      </c>
      <c r="F8205" t="n">
        <v>1</v>
      </c>
      <c r="G8205" t="n">
        <v>8</v>
      </c>
      <c r="H8205" s="5">
        <f>HYPERLINK("https://api.qogita.com/variants/link/4063528064141/", "View Product")</f>
        <v/>
      </c>
    </row>
    <row r="8206">
      <c r="A8206" t="inlineStr">
        <is>
          <t>4063528069900</t>
        </is>
      </c>
      <c r="B8206" t="inlineStr">
        <is>
          <t>Gift set Star Aloe Vera Shampoo</t>
        </is>
      </c>
      <c r="C8206" t="inlineStr">
        <is>
          <t>Hair Care Sets</t>
        </is>
      </c>
      <c r="D8206" t="inlineStr">
        <is>
          <t>Foamie</t>
        </is>
      </c>
      <c r="E8206" t="n">
        <v>3.97</v>
      </c>
      <c r="F8206" t="n">
        <v>1</v>
      </c>
      <c r="G8206" t="n">
        <v>32</v>
      </c>
      <c r="H8206" s="5">
        <f>HYPERLINK("https://api.qogita.com/variants/link/4063528069900/", "View Product")</f>
        <v/>
      </c>
    </row>
    <row r="8207">
      <c r="A8207" t="inlineStr">
        <is>
          <t>4063528071088</t>
        </is>
      </c>
      <c r="B8207" t="inlineStr">
        <is>
          <t>Invisibobble Extra Hold Twirl Boss Hair Band 6 Pieces</t>
        </is>
      </c>
      <c r="C8207" t="inlineStr">
        <is>
          <t>Hair Elastics</t>
        </is>
      </c>
      <c r="D8207" t="inlineStr">
        <is>
          <t>Invisibobble</t>
        </is>
      </c>
      <c r="E8207" t="n">
        <v>7.23</v>
      </c>
      <c r="F8207" t="n">
        <v>1</v>
      </c>
      <c r="G8207" t="n">
        <v>7</v>
      </c>
      <c r="H8207" s="5">
        <f>HYPERLINK("https://api.qogita.com/variants/link/4063528071088/", "View Product")</f>
        <v/>
      </c>
    </row>
    <row r="8208">
      <c r="A8208" t="inlineStr">
        <is>
          <t>4063528071118</t>
        </is>
      </c>
      <c r="B8208" t="inlineStr">
        <is>
          <t>Invisibobble Original Clear Black Metallic Hair Band 8 Pieces</t>
        </is>
      </c>
      <c r="C8208" t="inlineStr">
        <is>
          <t>Hair Elastics</t>
        </is>
      </c>
      <c r="D8208" t="inlineStr">
        <is>
          <t>Invisibobble</t>
        </is>
      </c>
      <c r="E8208" t="n">
        <v>8.18</v>
      </c>
      <c r="F8208" t="n">
        <v>1</v>
      </c>
      <c r="G8208" t="n">
        <v>6</v>
      </c>
      <c r="H8208" s="5">
        <f>HYPERLINK("https://api.qogita.com/variants/link/4063528071118/", "View Product")</f>
        <v/>
      </c>
    </row>
    <row r="8209">
      <c r="A8209" t="inlineStr">
        <is>
          <t>4063528073099</t>
        </is>
      </c>
      <c r="B8209" t="inlineStr">
        <is>
          <t>Invisibobble Clipstar Cliphue Elegant Hair Clip</t>
        </is>
      </c>
      <c r="C8209" t="inlineStr">
        <is>
          <t>Hair Clips &amp; Hair Clamps</t>
        </is>
      </c>
      <c r="D8209" t="inlineStr">
        <is>
          <t>Invisibobble</t>
        </is>
      </c>
      <c r="E8209" t="n">
        <v>7.23</v>
      </c>
      <c r="F8209" t="n">
        <v>1</v>
      </c>
      <c r="G8209" t="n">
        <v>15</v>
      </c>
      <c r="H8209" s="5">
        <f>HYPERLINK("https://api.qogita.com/variants/link/4063528073099/", "View Product")</f>
        <v/>
      </c>
    </row>
    <row r="8210">
      <c r="A8210" t="inlineStr">
        <is>
          <t>4063528076854</t>
        </is>
      </c>
      <c r="B8210" t="inlineStr">
        <is>
          <t>Invisibobble Sprunchie Apres Ski Jacquard Hair Band</t>
        </is>
      </c>
      <c r="C8210" t="inlineStr">
        <is>
          <t>Hair Elastics</t>
        </is>
      </c>
      <c r="D8210" t="inlineStr">
        <is>
          <t>Invisibobble</t>
        </is>
      </c>
      <c r="E8210" t="n">
        <v>4.54</v>
      </c>
      <c r="F8210" t="n">
        <v>1</v>
      </c>
      <c r="G8210" t="n">
        <v>7</v>
      </c>
      <c r="H8210" s="5">
        <f>HYPERLINK("https://api.qogita.com/variants/link/4063528076854/", "View Product")</f>
        <v/>
      </c>
    </row>
    <row r="8211">
      <c r="A8211" t="inlineStr">
        <is>
          <t>4063528078162</t>
        </is>
      </c>
      <c r="B8211" t="inlineStr">
        <is>
          <t>Foamie Solid Hair Conditioner 3 In 1 Concentrated Hair Care - 45 G</t>
        </is>
      </c>
      <c r="C8211" t="inlineStr">
        <is>
          <t>Conditioner</t>
        </is>
      </c>
      <c r="D8211" t="inlineStr">
        <is>
          <t>Foamie</t>
        </is>
      </c>
      <c r="E8211" t="n">
        <v>5.31</v>
      </c>
      <c r="F8211" t="n">
        <v>1</v>
      </c>
      <c r="G8211" t="n">
        <v>21</v>
      </c>
      <c r="H8211" s="5">
        <f>HYPERLINK("https://api.qogita.com/variants/link/4063528078162/", "View Product")</f>
        <v/>
      </c>
    </row>
    <row r="8212">
      <c r="A8212" t="inlineStr">
        <is>
          <t>4063528078551</t>
        </is>
      </c>
      <c r="B8212" t="inlineStr">
        <is>
          <t>Invisibobble Heat Protect Blowdry Spray 230°C Heat Protection Volume &amp; Hold for 24h</t>
        </is>
      </c>
      <c r="C8212" t="inlineStr">
        <is>
          <t>Heat Protection</t>
        </is>
      </c>
      <c r="D8212" t="inlineStr">
        <is>
          <t>Invisibobble</t>
        </is>
      </c>
      <c r="E8212" t="n">
        <v>6.92</v>
      </c>
      <c r="F8212" t="n">
        <v>1</v>
      </c>
      <c r="G8212" t="n">
        <v>5</v>
      </c>
      <c r="H8212" s="5">
        <f>HYPERLINK("https://api.qogita.com/variants/link/4063528078551/", "View Product")</f>
        <v/>
      </c>
    </row>
    <row r="8213">
      <c r="A8213" t="inlineStr">
        <is>
          <t>4063528078643</t>
        </is>
      </c>
      <c r="B8213" t="inlineStr">
        <is>
          <t>Invisibobble Extra Volume Mousse Maximum Volume 230c Heat Protection</t>
        </is>
      </c>
      <c r="C8213" t="inlineStr">
        <is>
          <t>Mousse</t>
        </is>
      </c>
      <c r="D8213" t="inlineStr">
        <is>
          <t>Invisibobble</t>
        </is>
      </c>
      <c r="E8213" t="n">
        <v>5.84</v>
      </c>
      <c r="F8213" t="n">
        <v>1</v>
      </c>
      <c r="G8213" t="n">
        <v>4</v>
      </c>
      <c r="H8213" s="5">
        <f>HYPERLINK("https://api.qogita.com/variants/link/4063528078643/", "View Product")</f>
        <v/>
      </c>
    </row>
    <row r="8214">
      <c r="A8214" t="inlineStr">
        <is>
          <t>4063528079619</t>
        </is>
      </c>
      <c r="B8214" t="inlineStr">
        <is>
          <t>Invisibobble Twistar Blush Braids Hair Accessory - Pack of 3</t>
        </is>
      </c>
      <c r="C8214" t="inlineStr">
        <is>
          <t>Hair Elastics</t>
        </is>
      </c>
      <c r="D8214" t="inlineStr">
        <is>
          <t>Invisibobble</t>
        </is>
      </c>
      <c r="E8214" t="n">
        <v>6.96</v>
      </c>
      <c r="F8214" t="n">
        <v>1</v>
      </c>
      <c r="G8214" t="n">
        <v>5</v>
      </c>
      <c r="H8214" s="5">
        <f>HYPERLINK("https://api.qogita.com/variants/link/4063528079619/", "View Product")</f>
        <v/>
      </c>
    </row>
    <row r="8215">
      <c r="A8215" t="inlineStr">
        <is>
          <t>4063528082718</t>
        </is>
      </c>
      <c r="B8215" t="inlineStr">
        <is>
          <t>Invisibobble Hair Clips Clipstar Happy World - 4 Pieces</t>
        </is>
      </c>
      <c r="C8215" t="inlineStr">
        <is>
          <t>Hair Clips &amp; Hair Clamps</t>
        </is>
      </c>
      <c r="D8215" t="inlineStr">
        <is>
          <t>Invisibobble</t>
        </is>
      </c>
      <c r="E8215" t="n">
        <v>4.54</v>
      </c>
      <c r="F8215" t="n">
        <v>1</v>
      </c>
      <c r="G8215" t="n">
        <v>14</v>
      </c>
      <c r="H8215" s="5">
        <f>HYPERLINK("https://api.qogita.com/variants/link/4063528082718/", "View Product")</f>
        <v/>
      </c>
    </row>
    <row r="8216">
      <c r="A8216" t="inlineStr">
        <is>
          <t>4063528083944</t>
        </is>
      </c>
      <c r="B8216" t="inlineStr">
        <is>
          <t>Invisibobble Hair Clip Clipstar L Oasis Matcha Reset</t>
        </is>
      </c>
      <c r="C8216" t="inlineStr">
        <is>
          <t>Hair Clips &amp; Hair Clamps</t>
        </is>
      </c>
      <c r="D8216" t="inlineStr">
        <is>
          <t>Invisibobble</t>
        </is>
      </c>
      <c r="E8216" t="n">
        <v>8.82</v>
      </c>
      <c r="F8216" t="n">
        <v>1</v>
      </c>
      <c r="G8216" t="n">
        <v>5</v>
      </c>
      <c r="H8216" s="5">
        <f>HYPERLINK("https://api.qogita.com/variants/link/4063528083944/", "View Product")</f>
        <v/>
      </c>
    </row>
    <row r="8217">
      <c r="A8217" t="inlineStr">
        <is>
          <t>4063528084064</t>
        </is>
      </c>
      <c r="B8217" t="inlineStr">
        <is>
          <t>Invisibobble Everclaw S Oasis Coral Crush Small Hair Clip in Soft Coral Red</t>
        </is>
      </c>
      <c r="C8217" t="inlineStr">
        <is>
          <t>Hair Clips &amp; Hair Clamps</t>
        </is>
      </c>
      <c r="D8217" t="inlineStr">
        <is>
          <t>Invisibobble</t>
        </is>
      </c>
      <c r="E8217" t="n">
        <v>5.71</v>
      </c>
      <c r="F8217" t="n">
        <v>1</v>
      </c>
      <c r="G8217" t="n">
        <v>7</v>
      </c>
      <c r="H8217" s="5">
        <f>HYPERLINK("https://api.qogita.com/variants/link/4063528084064/", "View Product")</f>
        <v/>
      </c>
    </row>
    <row r="8218">
      <c r="A8218" t="inlineStr">
        <is>
          <t>4063528084187</t>
        </is>
      </c>
      <c r="B8218" t="inlineStr">
        <is>
          <t>Invisibobble Bonnet Serene Styling Sleep Cap for Perfect Curls and Frizz</t>
        </is>
      </c>
      <c r="C8218" t="inlineStr">
        <is>
          <t>Hair Elastics</t>
        </is>
      </c>
      <c r="D8218" t="inlineStr">
        <is>
          <t>Invisibobble</t>
        </is>
      </c>
      <c r="E8218" t="n">
        <v>12.1</v>
      </c>
      <c r="F8218" t="n">
        <v>1</v>
      </c>
      <c r="G8218" t="n">
        <v>5</v>
      </c>
      <c r="H8218" s="5">
        <f>HYPERLINK("https://api.qogita.com/variants/link/4063528084187/", "View Product")</f>
        <v/>
      </c>
    </row>
    <row r="8219">
      <c r="A8219" t="inlineStr">
        <is>
          <t>4063528084330</t>
        </is>
      </c>
      <c r="B8219" t="inlineStr">
        <is>
          <t>Foamie Solid Deodorant With Magnesium Rain In The Woods 40 G</t>
        </is>
      </c>
      <c r="C8219" t="inlineStr">
        <is>
          <t>Deodorant &amp; Anti-Perspirant</t>
        </is>
      </c>
      <c r="D8219" t="inlineStr">
        <is>
          <t>Foamie</t>
        </is>
      </c>
      <c r="E8219" t="n">
        <v>6.67</v>
      </c>
      <c r="F8219" t="n">
        <v>1</v>
      </c>
      <c r="G8219" t="n">
        <v>11</v>
      </c>
      <c r="H8219" s="5">
        <f>HYPERLINK("https://api.qogita.com/variants/link/4063528084330/", "View Product")</f>
        <v/>
      </c>
    </row>
    <row r="8220">
      <c r="A8220" t="inlineStr">
        <is>
          <t>4063528084439</t>
        </is>
      </c>
      <c r="B8220" t="inlineStr">
        <is>
          <t>Foamie Conditioner Concentrate Moisture</t>
        </is>
      </c>
      <c r="C8220" t="inlineStr">
        <is>
          <t>Conditioner</t>
        </is>
      </c>
      <c r="D8220" t="inlineStr">
        <is>
          <t>Foamie</t>
        </is>
      </c>
      <c r="E8220" t="n">
        <v>5.99</v>
      </c>
      <c r="F8220" t="n">
        <v>1</v>
      </c>
      <c r="G8220" t="n">
        <v>14</v>
      </c>
      <c r="H8220" s="5">
        <f>HYPERLINK("https://api.qogita.com/variants/link/4063528084439/", "View Product")</f>
        <v/>
      </c>
    </row>
    <row r="8221">
      <c r="A8221" t="inlineStr">
        <is>
          <t>4063528086341</t>
        </is>
      </c>
      <c r="B8221" t="inlineStr">
        <is>
          <t>Neqi The Signature Hair Perfume 75 Ml</t>
        </is>
      </c>
      <c r="C8221" t="inlineStr">
        <is>
          <t>Eau De Parfum</t>
        </is>
      </c>
      <c r="D8221" t="inlineStr">
        <is>
          <t>Neqi</t>
        </is>
      </c>
      <c r="E8221" t="n">
        <v>8.710000000000001</v>
      </c>
      <c r="F8221" t="n">
        <v>1</v>
      </c>
      <c r="G8221" t="n">
        <v>14</v>
      </c>
      <c r="H8221" s="5">
        <f>HYPERLINK("https://api.qogita.com/variants/link/4063528086341/", "View Product")</f>
        <v/>
      </c>
    </row>
    <row r="8222">
      <c r="A8222" t="inlineStr">
        <is>
          <t>4064665019599</t>
        </is>
      </c>
      <c r="B8222" t="inlineStr">
        <is>
          <t>Opi Nature Strong Nail Polish Cactus What You Preach 15ml</t>
        </is>
      </c>
      <c r="C8222" t="inlineStr">
        <is>
          <t>Nail Polish</t>
        </is>
      </c>
      <c r="D8222" t="inlineStr">
        <is>
          <t>OPI</t>
        </is>
      </c>
      <c r="E8222" t="n">
        <v>11.24</v>
      </c>
      <c r="F8222" t="n">
        <v>1</v>
      </c>
      <c r="G8222" t="n">
        <v>4</v>
      </c>
      <c r="H8222" s="5">
        <f>HYPERLINK("https://api.qogita.com/variants/link/4064665019599/", "View Product")</f>
        <v/>
      </c>
    </row>
    <row r="8223">
      <c r="A8223" t="inlineStr">
        <is>
          <t>4064665019636</t>
        </is>
      </c>
      <c r="B8223" t="inlineStr">
        <is>
          <t>Opi Nature Strong Nail Polish Simply Radishing 15 Ml</t>
        </is>
      </c>
      <c r="C8223" t="inlineStr">
        <is>
          <t>Nail Polish</t>
        </is>
      </c>
      <c r="D8223" t="inlineStr">
        <is>
          <t>OPI</t>
        </is>
      </c>
      <c r="E8223" t="n">
        <v>9.68</v>
      </c>
      <c r="F8223" t="n">
        <v>1</v>
      </c>
      <c r="G8223" t="n">
        <v>2</v>
      </c>
      <c r="H8223" s="5">
        <f>HYPERLINK("https://api.qogita.com/variants/link/4064665019636/", "View Product")</f>
        <v/>
      </c>
    </row>
    <row r="8224">
      <c r="A8224" t="inlineStr">
        <is>
          <t>4064665019650</t>
        </is>
      </c>
      <c r="B8224" t="inlineStr">
        <is>
          <t>Opi Nature Strong Nail Polish Let Nature Take Its Quartz 15 Ml</t>
        </is>
      </c>
      <c r="C8224" t="inlineStr">
        <is>
          <t>Nail Polish</t>
        </is>
      </c>
      <c r="D8224" t="inlineStr">
        <is>
          <t>OPI</t>
        </is>
      </c>
      <c r="E8224" t="n">
        <v>11.24</v>
      </c>
      <c r="F8224" t="n">
        <v>1</v>
      </c>
      <c r="G8224" t="n">
        <v>3</v>
      </c>
      <c r="H8224" s="5">
        <f>HYPERLINK("https://api.qogita.com/variants/link/4064665019650/", "View Product")</f>
        <v/>
      </c>
    </row>
    <row r="8225">
      <c r="A8225" t="inlineStr">
        <is>
          <t>4064665019667</t>
        </is>
      </c>
      <c r="B8225" t="inlineStr">
        <is>
          <t>Opi Nature Strong Nail Polish All Heal Queen Mother Earth 15 Ml</t>
        </is>
      </c>
      <c r="C8225" t="inlineStr">
        <is>
          <t>Nail Polish</t>
        </is>
      </c>
      <c r="D8225" t="inlineStr">
        <is>
          <t>OPI</t>
        </is>
      </c>
      <c r="E8225" t="n">
        <v>9.82</v>
      </c>
      <c r="F8225" t="n">
        <v>1</v>
      </c>
      <c r="G8225" t="n">
        <v>5</v>
      </c>
      <c r="H8225" s="5">
        <f>HYPERLINK("https://api.qogita.com/variants/link/4064665019667/", "View Product")</f>
        <v/>
      </c>
    </row>
    <row r="8226">
      <c r="A8226" t="inlineStr">
        <is>
          <t>4064665019698</t>
        </is>
      </c>
      <c r="B8226" t="inlineStr">
        <is>
          <t>Opi Nature Strong Nail Polish Knowledge Is Flower 15ml</t>
        </is>
      </c>
      <c r="C8226" t="inlineStr">
        <is>
          <t>Nail Polish</t>
        </is>
      </c>
      <c r="D8226" t="inlineStr">
        <is>
          <t>OPI</t>
        </is>
      </c>
      <c r="E8226" t="n">
        <v>11.24</v>
      </c>
      <c r="F8226" t="n">
        <v>1</v>
      </c>
      <c r="G8226" t="n">
        <v>2</v>
      </c>
      <c r="H8226" s="5">
        <f>HYPERLINK("https://api.qogita.com/variants/link/4064665019698/", "View Product")</f>
        <v/>
      </c>
    </row>
    <row r="8227">
      <c r="A8227" t="inlineStr">
        <is>
          <t>4064665019704</t>
        </is>
      </c>
      <c r="B8227" t="inlineStr">
        <is>
          <t>Opi Nature Strong Nail Polish Spring Into Action 15 Ml</t>
        </is>
      </c>
      <c r="C8227" t="inlineStr">
        <is>
          <t>Nail Polish</t>
        </is>
      </c>
      <c r="D8227" t="inlineStr">
        <is>
          <t>OPI</t>
        </is>
      </c>
      <c r="E8227" t="n">
        <v>11.24</v>
      </c>
      <c r="F8227" t="n">
        <v>1</v>
      </c>
      <c r="G8227" t="n">
        <v>3</v>
      </c>
      <c r="H8227" s="5">
        <f>HYPERLINK("https://api.qogita.com/variants/link/4064665019704/", "View Product")</f>
        <v/>
      </c>
    </row>
    <row r="8228">
      <c r="A8228" t="inlineStr">
        <is>
          <t>4064665019735</t>
        </is>
      </c>
      <c r="B8228" t="inlineStr">
        <is>
          <t>Opi Nature Strong Nail Polish Big Bloom Energy 15 Ml</t>
        </is>
      </c>
      <c r="C8228" t="inlineStr">
        <is>
          <t>Nail Polish</t>
        </is>
      </c>
      <c r="D8228" t="inlineStr">
        <is>
          <t>OPI</t>
        </is>
      </c>
      <c r="E8228" t="n">
        <v>11.24</v>
      </c>
      <c r="F8228" t="n">
        <v>1</v>
      </c>
      <c r="G8228" t="n">
        <v>2</v>
      </c>
      <c r="H8228" s="5">
        <f>HYPERLINK("https://api.qogita.com/variants/link/4064665019735/", "View Product")</f>
        <v/>
      </c>
    </row>
    <row r="8229">
      <c r="A8229" t="inlineStr">
        <is>
          <t>4064665019759</t>
        </is>
      </c>
      <c r="B8229" t="inlineStr">
        <is>
          <t>Opi Nature Strong Nail Polish Raisin Your Voice 15 Ml</t>
        </is>
      </c>
      <c r="C8229" t="inlineStr">
        <is>
          <t>Nail Polish</t>
        </is>
      </c>
      <c r="D8229" t="inlineStr">
        <is>
          <t>OPI</t>
        </is>
      </c>
      <c r="E8229" t="n">
        <v>11.24</v>
      </c>
      <c r="F8229" t="n">
        <v>1</v>
      </c>
      <c r="G8229" t="n">
        <v>2</v>
      </c>
      <c r="H8229" s="5">
        <f>HYPERLINK("https://api.qogita.com/variants/link/4064665019759/", "View Product")</f>
        <v/>
      </c>
    </row>
    <row r="8230">
      <c r="A8230" t="inlineStr">
        <is>
          <t>4064665019858</t>
        </is>
      </c>
      <c r="B8230" t="inlineStr">
        <is>
          <t>Opi Nature Strong Right As Rain Nail Polish 15ml</t>
        </is>
      </c>
      <c r="C8230" t="inlineStr">
        <is>
          <t>Nail Polish</t>
        </is>
      </c>
      <c r="D8230" t="inlineStr">
        <is>
          <t>OPI</t>
        </is>
      </c>
      <c r="E8230" t="n">
        <v>9.82</v>
      </c>
      <c r="F8230" t="n">
        <v>1</v>
      </c>
      <c r="G8230" t="n">
        <v>5</v>
      </c>
      <c r="H8230" s="5">
        <f>HYPERLINK("https://api.qogita.com/variants/link/4064665019858/", "View Product")</f>
        <v/>
      </c>
    </row>
    <row r="8231">
      <c r="A8231" t="inlineStr">
        <is>
          <t>4064665100808</t>
        </is>
      </c>
      <c r="B8231" t="inlineStr">
        <is>
          <t>Opi Nature Strong Eco For It Nail Polish 15ml</t>
        </is>
      </c>
      <c r="C8231" t="inlineStr">
        <is>
          <t>Nail Polish</t>
        </is>
      </c>
      <c r="D8231" t="inlineStr">
        <is>
          <t>OPI</t>
        </is>
      </c>
      <c r="E8231" t="n">
        <v>9.82</v>
      </c>
      <c r="F8231" t="n">
        <v>1</v>
      </c>
      <c r="G8231" t="n">
        <v>3</v>
      </c>
      <c r="H8231" s="5">
        <f>HYPERLINK("https://api.qogita.com/variants/link/4064665100808/", "View Product")</f>
        <v/>
      </c>
    </row>
    <row r="8232">
      <c r="A8232" t="inlineStr">
        <is>
          <t>4064665105537</t>
        </is>
      </c>
      <c r="B8232" t="inlineStr">
        <is>
          <t>OPI Infinite Shine Long-Wear Dark Crème Finish Opaque Coral Nail Polish 0.5 fl oz - A Sherbert Thing</t>
        </is>
      </c>
      <c r="C8232" t="inlineStr">
        <is>
          <t>Nail Polish</t>
        </is>
      </c>
      <c r="D8232" t="inlineStr">
        <is>
          <t>OPI</t>
        </is>
      </c>
      <c r="E8232" t="n">
        <v>11.13</v>
      </c>
      <c r="F8232" t="n">
        <v>1</v>
      </c>
      <c r="G8232" t="n">
        <v>5</v>
      </c>
      <c r="H8232" s="5">
        <f>HYPERLINK("https://api.qogita.com/variants/link/4064665105537/", "View Product")</f>
        <v/>
      </c>
    </row>
    <row r="8233">
      <c r="A8233" t="inlineStr">
        <is>
          <t>4064665105599</t>
        </is>
      </c>
      <c r="B8233" t="inlineStr">
        <is>
          <t>OPI Infinite Shine Long-Wear Dark Crème Finish Opaque Blue Nail Polish Pure Jean-ius 0.5 fl oz</t>
        </is>
      </c>
      <c r="C8233" t="inlineStr">
        <is>
          <t>Nail Polish</t>
        </is>
      </c>
      <c r="D8233" t="inlineStr">
        <is>
          <t>OPI</t>
        </is>
      </c>
      <c r="E8233" t="n">
        <v>11.13</v>
      </c>
      <c r="F8233" t="n">
        <v>1</v>
      </c>
      <c r="G8233" t="n">
        <v>4</v>
      </c>
      <c r="H8233" s="5">
        <f>HYPERLINK("https://api.qogita.com/variants/link/4064665105599/", "View Product")</f>
        <v/>
      </c>
    </row>
    <row r="8234">
      <c r="A8234" t="inlineStr">
        <is>
          <t>4064665105605</t>
        </is>
      </c>
      <c r="B8234" t="inlineStr">
        <is>
          <t>Opi Infinite Shine Gellike Lacquer 15 Ml Purple Reign</t>
        </is>
      </c>
      <c r="C8234" t="inlineStr">
        <is>
          <t>Nail Polish</t>
        </is>
      </c>
      <c r="D8234" t="inlineStr">
        <is>
          <t>OPI</t>
        </is>
      </c>
      <c r="E8234" t="n">
        <v>11.13</v>
      </c>
      <c r="F8234" t="n">
        <v>1</v>
      </c>
      <c r="G8234" t="n">
        <v>3</v>
      </c>
      <c r="H8234" s="5">
        <f>HYPERLINK("https://api.qogita.com/variants/link/4064665105605/", "View Product")</f>
        <v/>
      </c>
    </row>
    <row r="8235">
      <c r="A8235" t="inlineStr">
        <is>
          <t>4064665105629</t>
        </is>
      </c>
      <c r="B8235" t="inlineStr">
        <is>
          <t>OPI Infinite Shine Long-Wear Dark Crème Finish Opaque Coral Nail Polish 0.5 fl oz</t>
        </is>
      </c>
      <c r="C8235" t="inlineStr">
        <is>
          <t>Nail Polish</t>
        </is>
      </c>
      <c r="D8235" t="inlineStr">
        <is>
          <t>OPI</t>
        </is>
      </c>
      <c r="E8235" t="n">
        <v>11.13</v>
      </c>
      <c r="F8235" t="n">
        <v>1</v>
      </c>
      <c r="G8235" t="n">
        <v>3</v>
      </c>
      <c r="H8235" s="5">
        <f>HYPERLINK("https://api.qogita.com/variants/link/4064665105629/", "View Product")</f>
        <v/>
      </c>
    </row>
    <row r="8236">
      <c r="A8236" t="inlineStr">
        <is>
          <t>4064665105674</t>
        </is>
      </c>
      <c r="B8236" t="inlineStr">
        <is>
          <t>OPI Infinite Shine Long-Wear Dark Crème Finish Opaque Red Nail Polish 0.5 fl oz</t>
        </is>
      </c>
      <c r="C8236" t="inlineStr">
        <is>
          <t>Nail Polish</t>
        </is>
      </c>
      <c r="D8236" t="inlineStr">
        <is>
          <t>OPI</t>
        </is>
      </c>
      <c r="E8236" t="n">
        <v>11.13</v>
      </c>
      <c r="F8236" t="n">
        <v>1</v>
      </c>
      <c r="G8236" t="n">
        <v>3</v>
      </c>
      <c r="H8236" s="5">
        <f>HYPERLINK("https://api.qogita.com/variants/link/4064665105674/", "View Product")</f>
        <v/>
      </c>
    </row>
    <row r="8237">
      <c r="A8237" t="inlineStr">
        <is>
          <t>4064665105681</t>
        </is>
      </c>
      <c r="B8237" t="inlineStr">
        <is>
          <t>OPI Infinite Shine Long-Wear Dark Crème Finish Opaque Red Nail Polish 0.5 fl oz</t>
        </is>
      </c>
      <c r="C8237" t="inlineStr">
        <is>
          <t>Nail Polish</t>
        </is>
      </c>
      <c r="D8237" t="inlineStr">
        <is>
          <t>OPI</t>
        </is>
      </c>
      <c r="E8237" t="n">
        <v>11.13</v>
      </c>
      <c r="F8237" t="n">
        <v>1</v>
      </c>
      <c r="G8237" t="n">
        <v>2</v>
      </c>
      <c r="H8237" s="5">
        <f>HYPERLINK("https://api.qogita.com/variants/link/4064665105681/", "View Product")</f>
        <v/>
      </c>
    </row>
    <row r="8238">
      <c r="A8238" t="inlineStr">
        <is>
          <t>4064665105759</t>
        </is>
      </c>
      <c r="B8238" t="inlineStr">
        <is>
          <t>OPI Infinite Shine - Aphrodite's Pink Nightie Nail Polish - 15 ml</t>
        </is>
      </c>
      <c r="C8238" t="inlineStr">
        <is>
          <t>Nail Polish</t>
        </is>
      </c>
      <c r="D8238" t="inlineStr">
        <is>
          <t>OPI</t>
        </is>
      </c>
      <c r="E8238" t="n">
        <v>11.13</v>
      </c>
      <c r="F8238" t="n">
        <v>1</v>
      </c>
      <c r="G8238" t="n">
        <v>3</v>
      </c>
      <c r="H8238" s="5">
        <f>HYPERLINK("https://api.qogita.com/variants/link/4064665105759/", "View Product")</f>
        <v/>
      </c>
    </row>
    <row r="8239">
      <c r="A8239" t="inlineStr">
        <is>
          <t>4064665105780</t>
        </is>
      </c>
      <c r="B8239" t="inlineStr">
        <is>
          <t>OPI Nail Polish Infinite Shine Long-wear System 2nd Step Gel-Like Nail Varnish with No UV Lamp Needed Alpine Snow 15ml</t>
        </is>
      </c>
      <c r="C8239" t="inlineStr">
        <is>
          <t>Nail Polish</t>
        </is>
      </c>
      <c r="D8239" t="inlineStr">
        <is>
          <t>OPI</t>
        </is>
      </c>
      <c r="E8239" t="n">
        <v>11.13</v>
      </c>
      <c r="F8239" t="n">
        <v>1</v>
      </c>
      <c r="G8239" t="n">
        <v>2</v>
      </c>
      <c r="H8239" s="5">
        <f>HYPERLINK("https://api.qogita.com/variants/link/4064665105780/", "View Product")</f>
        <v/>
      </c>
    </row>
    <row r="8240">
      <c r="A8240" t="inlineStr">
        <is>
          <t>4064665105810</t>
        </is>
      </c>
      <c r="B8240" t="inlineStr">
        <is>
          <t>Opi Infinite Shine Gellike Lacquer 15 Ml Big Apple Red</t>
        </is>
      </c>
      <c r="C8240" t="inlineStr">
        <is>
          <t>Nail Polish</t>
        </is>
      </c>
      <c r="D8240" t="inlineStr">
        <is>
          <t>OPI</t>
        </is>
      </c>
      <c r="E8240" t="n">
        <v>13.63</v>
      </c>
      <c r="F8240" t="n">
        <v>1</v>
      </c>
      <c r="G8240" t="n">
        <v>5</v>
      </c>
      <c r="H8240" s="5">
        <f>HYPERLINK("https://api.qogita.com/variants/link/4064665105810/", "View Product")</f>
        <v/>
      </c>
    </row>
    <row r="8241">
      <c r="A8241" t="inlineStr">
        <is>
          <t>4064665106008</t>
        </is>
      </c>
      <c r="B8241" t="inlineStr">
        <is>
          <t>Opi Nail Lacquer Material Gowrl 15 Ml</t>
        </is>
      </c>
      <c r="C8241" t="inlineStr">
        <is>
          <t>Nail Polish</t>
        </is>
      </c>
      <c r="D8241" t="inlineStr">
        <is>
          <t>OPI</t>
        </is>
      </c>
      <c r="E8241" t="n">
        <v>9.380000000000001</v>
      </c>
      <c r="F8241" t="n">
        <v>1</v>
      </c>
      <c r="G8241" t="n">
        <v>2</v>
      </c>
      <c r="H8241" s="5">
        <f>HYPERLINK("https://api.qogita.com/variants/link/4064665106008/", "View Product")</f>
        <v/>
      </c>
    </row>
    <row r="8242">
      <c r="A8242" t="inlineStr">
        <is>
          <t>4064665114737</t>
        </is>
      </c>
      <c r="B8242" t="inlineStr">
        <is>
          <t>Opi Infinite Shine Gellike Lacquer 15 Ml Steel Waters Run Deep</t>
        </is>
      </c>
      <c r="C8242" t="inlineStr">
        <is>
          <t>Nail Oil</t>
        </is>
      </c>
      <c r="D8242" t="inlineStr">
        <is>
          <t>OPI</t>
        </is>
      </c>
      <c r="E8242" t="n">
        <v>11.13</v>
      </c>
      <c r="F8242" t="n">
        <v>1</v>
      </c>
      <c r="G8242" t="n">
        <v>5</v>
      </c>
      <c r="H8242" s="5">
        <f>HYPERLINK("https://api.qogita.com/variants/link/4064665114737/", "View Product")</f>
        <v/>
      </c>
    </row>
    <row r="8243">
      <c r="A8243" t="inlineStr">
        <is>
          <t>4064665114751</t>
        </is>
      </c>
      <c r="B8243" t="inlineStr">
        <is>
          <t>OPI Nail Polish Infinite Shine Long-wear System Gel-Like Nail Varnish Alpine Snow 15ml Don't Bossa Nova Me Around 15ml</t>
        </is>
      </c>
      <c r="C8243" t="inlineStr">
        <is>
          <t>Nail Polish</t>
        </is>
      </c>
      <c r="D8243" t="inlineStr">
        <is>
          <t>OPI</t>
        </is>
      </c>
      <c r="E8243" t="n">
        <v>11.13</v>
      </c>
      <c r="F8243" t="n">
        <v>1</v>
      </c>
      <c r="G8243" t="n">
        <v>7</v>
      </c>
      <c r="H8243" s="5">
        <f>HYPERLINK("https://api.qogita.com/variants/link/4064665114751/", "View Product")</f>
        <v/>
      </c>
    </row>
    <row r="8244">
      <c r="A8244" t="inlineStr">
        <is>
          <t>4064665114850</t>
        </is>
      </c>
      <c r="B8244" t="inlineStr">
        <is>
          <t>Opi Infinite Shine Gellike Lacquer Chicago Champaign Toast 15 Ml</t>
        </is>
      </c>
      <c r="C8244" t="inlineStr">
        <is>
          <t>Nail Polish</t>
        </is>
      </c>
      <c r="D8244" t="inlineStr">
        <is>
          <t>OPI</t>
        </is>
      </c>
      <c r="E8244" t="n">
        <v>11.13</v>
      </c>
      <c r="F8244" t="n">
        <v>1</v>
      </c>
      <c r="G8244" t="n">
        <v>2</v>
      </c>
      <c r="H8244" s="5">
        <f>HYPERLINK("https://api.qogita.com/variants/link/4064665114850/", "View Product")</f>
        <v/>
      </c>
    </row>
    <row r="8245">
      <c r="A8245" t="inlineStr">
        <is>
          <t>4064665114867</t>
        </is>
      </c>
      <c r="B8245" t="inlineStr">
        <is>
          <t>OPI Infinite Shine Long-Wear Dark Crème Finish Sheer Coral Nail Polish 0.5 fl oz</t>
        </is>
      </c>
      <c r="C8245" t="inlineStr">
        <is>
          <t>Nail Polish</t>
        </is>
      </c>
      <c r="D8245" t="inlineStr">
        <is>
          <t>OPI</t>
        </is>
      </c>
      <c r="E8245" t="n">
        <v>11.13</v>
      </c>
      <c r="F8245" t="n">
        <v>1</v>
      </c>
      <c r="G8245" t="n">
        <v>3</v>
      </c>
      <c r="H8245" s="5">
        <f>HYPERLINK("https://api.qogita.com/variants/link/4064665114867/", "View Product")</f>
        <v/>
      </c>
    </row>
    <row r="8246">
      <c r="A8246" t="inlineStr">
        <is>
          <t>4064665114904</t>
        </is>
      </c>
      <c r="B8246" t="inlineStr">
        <is>
          <t>OPI Nail Polish Infinite Shine Long-wear System 2nd Step Gel-Like Nail Varnish - Werkin' Shine to Five 15ml It's a Girl</t>
        </is>
      </c>
      <c r="C8246" t="inlineStr">
        <is>
          <t>Nail Polish</t>
        </is>
      </c>
      <c r="D8246" t="inlineStr">
        <is>
          <t>OPI</t>
        </is>
      </c>
      <c r="E8246" t="n">
        <v>13.63</v>
      </c>
      <c r="F8246" t="n">
        <v>1</v>
      </c>
      <c r="G8246" t="n">
        <v>2</v>
      </c>
      <c r="H8246" s="5">
        <f>HYPERLINK("https://api.qogita.com/variants/link/4064665114904/", "View Product")</f>
        <v/>
      </c>
    </row>
    <row r="8247">
      <c r="A8247" t="inlineStr">
        <is>
          <t>4064665114911</t>
        </is>
      </c>
      <c r="B8247" t="inlineStr">
        <is>
          <t>OPI Infinite Shine Long-Wear Dark Crème Finish Opaque Purple Nail Polish 0.5 fl oz</t>
        </is>
      </c>
      <c r="C8247" t="inlineStr">
        <is>
          <t>Nail Polish</t>
        </is>
      </c>
      <c r="D8247" t="inlineStr">
        <is>
          <t>OPI</t>
        </is>
      </c>
      <c r="E8247" t="n">
        <v>11.13</v>
      </c>
      <c r="F8247" t="n">
        <v>1</v>
      </c>
      <c r="G8247" t="n">
        <v>5</v>
      </c>
      <c r="H8247" s="5">
        <f>HYPERLINK("https://api.qogita.com/variants/link/4064665114911/", "View Product")</f>
        <v/>
      </c>
    </row>
    <row r="8248">
      <c r="A8248" t="inlineStr">
        <is>
          <t>4064665115024</t>
        </is>
      </c>
      <c r="B8248" t="inlineStr">
        <is>
          <t>Opi Infinite Shine Silk Duo Pack Nail Polish Set</t>
        </is>
      </c>
      <c r="C8248" t="inlineStr">
        <is>
          <t>Nail Polish</t>
        </is>
      </c>
      <c r="D8248" t="inlineStr">
        <is>
          <t>OPI</t>
        </is>
      </c>
      <c r="E8248" t="n">
        <v>27.27</v>
      </c>
      <c r="F8248" t="n">
        <v>1</v>
      </c>
      <c r="G8248" t="n">
        <v>2</v>
      </c>
      <c r="H8248" s="5">
        <f>HYPERLINK("https://api.qogita.com/variants/link/4064665115024/", "View Product")</f>
        <v/>
      </c>
    </row>
    <row r="8249">
      <c r="A8249" t="inlineStr">
        <is>
          <t>4064665115376</t>
        </is>
      </c>
      <c r="B8249" t="inlineStr">
        <is>
          <t>Opi Gelcolor Gel Nail Polish 15 Ml</t>
        </is>
      </c>
      <c r="C8249" t="inlineStr">
        <is>
          <t>Gel Polish</t>
        </is>
      </c>
      <c r="D8249" t="inlineStr">
        <is>
          <t>OPI</t>
        </is>
      </c>
      <c r="E8249" t="n">
        <v>25.11</v>
      </c>
      <c r="F8249" t="n">
        <v>1</v>
      </c>
      <c r="G8249" t="n">
        <v>2</v>
      </c>
      <c r="H8249" s="5">
        <f>HYPERLINK("https://api.qogita.com/variants/link/4064665115376/", "View Product")</f>
        <v/>
      </c>
    </row>
    <row r="8250">
      <c r="A8250" t="inlineStr">
        <is>
          <t>4064665115413</t>
        </is>
      </c>
      <c r="B8250" t="inlineStr">
        <is>
          <t>Opi Gelcolor Gel Nail Polish 15 Ml</t>
        </is>
      </c>
      <c r="C8250" t="inlineStr">
        <is>
          <t>Gel Polish</t>
        </is>
      </c>
      <c r="D8250" t="inlineStr">
        <is>
          <t>OPI</t>
        </is>
      </c>
      <c r="E8250" t="n">
        <v>25.11</v>
      </c>
      <c r="F8250" t="n">
        <v>1</v>
      </c>
      <c r="G8250" t="n">
        <v>3</v>
      </c>
      <c r="H8250" s="5">
        <f>HYPERLINK("https://api.qogita.com/variants/link/4064665115413/", "View Product")</f>
        <v/>
      </c>
    </row>
    <row r="8251">
      <c r="A8251" t="inlineStr">
        <is>
          <t>4064665116731</t>
        </is>
      </c>
      <c r="B8251" t="inlineStr">
        <is>
          <t>Opi Gelcolor Gel Nail Polish 15 Ml</t>
        </is>
      </c>
      <c r="C8251" t="inlineStr">
        <is>
          <t>Gel Polish</t>
        </is>
      </c>
      <c r="D8251" t="inlineStr">
        <is>
          <t>OPI</t>
        </is>
      </c>
      <c r="E8251" t="n">
        <v>25.11</v>
      </c>
      <c r="F8251" t="n">
        <v>1</v>
      </c>
      <c r="G8251" t="n">
        <v>3</v>
      </c>
      <c r="H8251" s="5">
        <f>HYPERLINK("https://api.qogita.com/variants/link/4064665116731/", "View Product")</f>
        <v/>
      </c>
    </row>
    <row r="8252">
      <c r="A8252" t="inlineStr">
        <is>
          <t>4064665116854</t>
        </is>
      </c>
      <c r="B8252" t="inlineStr">
        <is>
          <t>Opi Gelcolor Gel Nail Polish Opaque Nude Neutral Creme UV Cure</t>
        </is>
      </c>
      <c r="C8252" t="inlineStr">
        <is>
          <t>Gel Polish</t>
        </is>
      </c>
      <c r="D8252" t="inlineStr">
        <is>
          <t>OPI</t>
        </is>
      </c>
      <c r="E8252" t="n">
        <v>25.11</v>
      </c>
      <c r="F8252" t="n">
        <v>1</v>
      </c>
      <c r="G8252" t="n">
        <v>3</v>
      </c>
      <c r="H8252" s="5">
        <f>HYPERLINK("https://api.qogita.com/variants/link/4064665116854/", "View Product")</f>
        <v/>
      </c>
    </row>
    <row r="8253">
      <c r="A8253" t="inlineStr">
        <is>
          <t>4064665116885</t>
        </is>
      </c>
      <c r="B8253" t="inlineStr">
        <is>
          <t>OPI GelColor Opaque Bright Creme UV Cure Gel Nail Polish</t>
        </is>
      </c>
      <c r="C8253" t="inlineStr">
        <is>
          <t>Gel Polish</t>
        </is>
      </c>
      <c r="D8253" t="inlineStr">
        <is>
          <t>OPI</t>
        </is>
      </c>
      <c r="E8253" t="n">
        <v>25.11</v>
      </c>
      <c r="F8253" t="n">
        <v>1</v>
      </c>
      <c r="G8253" t="n">
        <v>3</v>
      </c>
      <c r="H8253" s="5">
        <f>HYPERLINK("https://api.qogita.com/variants/link/4064665116885/", "View Product")</f>
        <v/>
      </c>
    </row>
    <row r="8254">
      <c r="A8254" t="inlineStr">
        <is>
          <t>4064665118742</t>
        </is>
      </c>
      <c r="B8254" t="inlineStr">
        <is>
          <t>Opi Gelcolor Gel Nail Polish - 15 Ml</t>
        </is>
      </c>
      <c r="C8254" t="inlineStr">
        <is>
          <t>Gel Polish</t>
        </is>
      </c>
      <c r="D8254" t="inlineStr">
        <is>
          <t>OPI</t>
        </is>
      </c>
      <c r="E8254" t="n">
        <v>25.11</v>
      </c>
      <c r="F8254" t="n">
        <v>1</v>
      </c>
      <c r="G8254" t="n">
        <v>2</v>
      </c>
      <c r="H8254" s="5">
        <f>HYPERLINK("https://api.qogita.com/variants/link/4064665118742/", "View Product")</f>
        <v/>
      </c>
    </row>
    <row r="8255">
      <c r="A8255" t="inlineStr">
        <is>
          <t>4064665124620</t>
        </is>
      </c>
      <c r="B8255" t="inlineStr">
        <is>
          <t>Opi Infinite Shine Gellike Lacquer 15 Ml Stay Night</t>
        </is>
      </c>
      <c r="C8255" t="inlineStr">
        <is>
          <t>Nail Oil</t>
        </is>
      </c>
      <c r="D8255" t="inlineStr">
        <is>
          <t>OPI</t>
        </is>
      </c>
      <c r="E8255" t="n">
        <v>11.13</v>
      </c>
      <c r="F8255" t="n">
        <v>1</v>
      </c>
      <c r="G8255" t="n">
        <v>4</v>
      </c>
      <c r="H8255" s="5">
        <f>HYPERLINK("https://api.qogita.com/variants/link/4064665124620/", "View Product")</f>
        <v/>
      </c>
    </row>
    <row r="8256">
      <c r="A8256" t="inlineStr">
        <is>
          <t>4064665124644</t>
        </is>
      </c>
      <c r="B8256" t="inlineStr">
        <is>
          <t>Opi Infinite Shine Gellike Lacquer 15 Ml</t>
        </is>
      </c>
      <c r="C8256" t="inlineStr">
        <is>
          <t>Nail Care Sets</t>
        </is>
      </c>
      <c r="D8256" t="inlineStr">
        <is>
          <t>OPI</t>
        </is>
      </c>
      <c r="E8256" t="n">
        <v>11.13</v>
      </c>
      <c r="F8256" t="n">
        <v>1</v>
      </c>
      <c r="G8256" t="n">
        <v>4</v>
      </c>
      <c r="H8256" s="5">
        <f>HYPERLINK("https://api.qogita.com/variants/link/4064665124644/", "View Product")</f>
        <v/>
      </c>
    </row>
    <row r="8257">
      <c r="A8257" t="inlineStr">
        <is>
          <t>4064665124651</t>
        </is>
      </c>
      <c r="B8257" t="inlineStr">
        <is>
          <t>OPI Infinite Shine Long-Wear Soft Crème Finish Opaque Pink Nail Polish 0.5 fl oz</t>
        </is>
      </c>
      <c r="C8257" t="inlineStr">
        <is>
          <t>Nail Polish</t>
        </is>
      </c>
      <c r="D8257" t="inlineStr">
        <is>
          <t>OPI</t>
        </is>
      </c>
      <c r="E8257" t="n">
        <v>13.63</v>
      </c>
      <c r="F8257" t="n">
        <v>1</v>
      </c>
      <c r="G8257" t="n">
        <v>3</v>
      </c>
      <c r="H8257" s="5">
        <f>HYPERLINK("https://api.qogita.com/variants/link/4064665124651/", "View Product")</f>
        <v/>
      </c>
    </row>
    <row r="8258">
      <c r="A8258" t="inlineStr">
        <is>
          <t>4064665124675</t>
        </is>
      </c>
      <c r="B8258" t="inlineStr">
        <is>
          <t>OPI Infinite Shine Long-Wear Bright Metallic Finish Sheer Gold Nail Polish 0.5 fl oz</t>
        </is>
      </c>
      <c r="C8258" t="inlineStr">
        <is>
          <t>Nail Polish</t>
        </is>
      </c>
      <c r="D8258" t="inlineStr">
        <is>
          <t>OPI</t>
        </is>
      </c>
      <c r="E8258" t="n">
        <v>11.13</v>
      </c>
      <c r="F8258" t="n">
        <v>1</v>
      </c>
      <c r="G8258" t="n">
        <v>3</v>
      </c>
      <c r="H8258" s="5">
        <f>HYPERLINK("https://api.qogita.com/variants/link/4064665124675/", "View Product")</f>
        <v/>
      </c>
    </row>
    <row r="8259">
      <c r="A8259" t="inlineStr">
        <is>
          <t>4064665124699</t>
        </is>
      </c>
      <c r="B8259" t="inlineStr">
        <is>
          <t>Opi Infinite Shine Gellike Lacquer Livin' La Vida Mocha 15 Ml</t>
        </is>
      </c>
      <c r="C8259" t="inlineStr">
        <is>
          <t>Nail Polish</t>
        </is>
      </c>
      <c r="D8259" t="inlineStr">
        <is>
          <t>OPI</t>
        </is>
      </c>
      <c r="E8259" t="n">
        <v>11.13</v>
      </c>
      <c r="F8259" t="n">
        <v>1</v>
      </c>
      <c r="G8259" t="n">
        <v>5</v>
      </c>
      <c r="H8259" s="5">
        <f>HYPERLINK("https://api.qogita.com/variants/link/4064665124699/", "View Product")</f>
        <v/>
      </c>
    </row>
    <row r="8260">
      <c r="A8260" t="inlineStr">
        <is>
          <t>4064665140651</t>
        </is>
      </c>
      <c r="B8260" t="inlineStr">
        <is>
          <t>Opi Gelcolor Opaque Light Pink Creme UV Cure Gel Nail Polish</t>
        </is>
      </c>
      <c r="C8260" t="inlineStr">
        <is>
          <t>Gel Polish</t>
        </is>
      </c>
      <c r="D8260" t="inlineStr">
        <is>
          <t>OPI</t>
        </is>
      </c>
      <c r="E8260" t="n">
        <v>25.11</v>
      </c>
      <c r="F8260" t="n">
        <v>1</v>
      </c>
      <c r="G8260" t="n">
        <v>2</v>
      </c>
      <c r="H8260" s="5">
        <f>HYPERLINK("https://api.qogita.com/variants/link/4064665140651/", "View Product")</f>
        <v/>
      </c>
    </row>
    <row r="8261">
      <c r="A8261" t="inlineStr">
        <is>
          <t>4064665140682</t>
        </is>
      </c>
      <c r="B8261" t="inlineStr">
        <is>
          <t>Opi Gelcolor Gel Nail Polish 15 Ml</t>
        </is>
      </c>
      <c r="C8261" t="inlineStr">
        <is>
          <t>Gel Polish</t>
        </is>
      </c>
      <c r="D8261" t="inlineStr">
        <is>
          <t>OPI</t>
        </is>
      </c>
      <c r="E8261" t="n">
        <v>25.11</v>
      </c>
      <c r="F8261" t="n">
        <v>1</v>
      </c>
      <c r="G8261" t="n">
        <v>2</v>
      </c>
      <c r="H8261" s="5">
        <f>HYPERLINK("https://api.qogita.com/variants/link/4064665140682/", "View Product")</f>
        <v/>
      </c>
    </row>
    <row r="8262">
      <c r="A8262" t="inlineStr">
        <is>
          <t>4064665140798</t>
        </is>
      </c>
      <c r="B8262" t="inlineStr">
        <is>
          <t>Opi Gelcolor Gel Nail Polish 15 Ml</t>
        </is>
      </c>
      <c r="C8262" t="inlineStr">
        <is>
          <t>Gel Polish</t>
        </is>
      </c>
      <c r="D8262" t="inlineStr">
        <is>
          <t>OPI</t>
        </is>
      </c>
      <c r="E8262" t="n">
        <v>25.11</v>
      </c>
      <c r="F8262" t="n">
        <v>1</v>
      </c>
      <c r="G8262" t="n">
        <v>2</v>
      </c>
      <c r="H8262" s="5">
        <f>HYPERLINK("https://api.qogita.com/variants/link/4064665140798/", "View Product")</f>
        <v/>
      </c>
    </row>
    <row r="8263">
      <c r="A8263" t="inlineStr">
        <is>
          <t>4064665140804</t>
        </is>
      </c>
      <c r="B8263" t="inlineStr">
        <is>
          <t>Opi Gelcolor Opaque Glitter &amp; Metallic UV Cure Gel Nail Polish</t>
        </is>
      </c>
      <c r="C8263" t="inlineStr">
        <is>
          <t>Gel Polish</t>
        </is>
      </c>
      <c r="D8263" t="inlineStr">
        <is>
          <t>OPI</t>
        </is>
      </c>
      <c r="E8263" t="n">
        <v>25.11</v>
      </c>
      <c r="F8263" t="n">
        <v>1</v>
      </c>
      <c r="G8263" t="n">
        <v>2</v>
      </c>
      <c r="H8263" s="5">
        <f>HYPERLINK("https://api.qogita.com/variants/link/4064665140804/", "View Product")</f>
        <v/>
      </c>
    </row>
    <row r="8264">
      <c r="A8264" t="inlineStr">
        <is>
          <t>4064665140811</t>
        </is>
      </c>
      <c r="B8264" t="inlineStr">
        <is>
          <t>Opi Gelcolor Gel Nail Polish 15 Ml</t>
        </is>
      </c>
      <c r="C8264" t="inlineStr">
        <is>
          <t>Gel Polish</t>
        </is>
      </c>
      <c r="D8264" t="inlineStr">
        <is>
          <t>OPI</t>
        </is>
      </c>
      <c r="E8264" t="n">
        <v>25.11</v>
      </c>
      <c r="F8264" t="n">
        <v>1</v>
      </c>
      <c r="G8264" t="n">
        <v>3</v>
      </c>
      <c r="H8264" s="5">
        <f>HYPERLINK("https://api.qogita.com/variants/link/4064665140811/", "View Product")</f>
        <v/>
      </c>
    </row>
    <row r="8265">
      <c r="A8265" t="inlineStr">
        <is>
          <t>4064665160116</t>
        </is>
      </c>
      <c r="B8265" t="inlineStr">
        <is>
          <t>Opi Gelcolor Opaque Bright Creme UV Cure Gel Nail Polish</t>
        </is>
      </c>
      <c r="C8265" t="inlineStr">
        <is>
          <t>Gel Polish</t>
        </is>
      </c>
      <c r="D8265" t="inlineStr">
        <is>
          <t>OPI</t>
        </is>
      </c>
      <c r="E8265" t="n">
        <v>25.11</v>
      </c>
      <c r="F8265" t="n">
        <v>1</v>
      </c>
      <c r="G8265" t="n">
        <v>3</v>
      </c>
      <c r="H8265" s="5">
        <f>HYPERLINK("https://api.qogita.com/variants/link/4064665160116/", "View Product")</f>
        <v/>
      </c>
    </row>
    <row r="8266">
      <c r="A8266" t="inlineStr">
        <is>
          <t>4064665160130</t>
        </is>
      </c>
      <c r="B8266" t="inlineStr">
        <is>
          <t>Opi Gelcolor Gel Nail Polish 15 Ml</t>
        </is>
      </c>
      <c r="C8266" t="inlineStr">
        <is>
          <t>Gel Polish</t>
        </is>
      </c>
      <c r="D8266" t="inlineStr">
        <is>
          <t>OPI</t>
        </is>
      </c>
      <c r="E8266" t="n">
        <v>25.11</v>
      </c>
      <c r="F8266" t="n">
        <v>1</v>
      </c>
      <c r="G8266" t="n">
        <v>3</v>
      </c>
      <c r="H8266" s="5">
        <f>HYPERLINK("https://api.qogita.com/variants/link/4064665160130/", "View Product")</f>
        <v/>
      </c>
    </row>
    <row r="8267">
      <c r="A8267" t="inlineStr">
        <is>
          <t>4064665160154</t>
        </is>
      </c>
      <c r="B8267" t="inlineStr">
        <is>
          <t>Opi Gelcolor Gel Nail Polish 15 Ml</t>
        </is>
      </c>
      <c r="C8267" t="inlineStr">
        <is>
          <t>Gel Polish</t>
        </is>
      </c>
      <c r="D8267" t="inlineStr">
        <is>
          <t>OPI</t>
        </is>
      </c>
      <c r="E8267" t="n">
        <v>25.11</v>
      </c>
      <c r="F8267" t="n">
        <v>1</v>
      </c>
      <c r="G8267" t="n">
        <v>2</v>
      </c>
      <c r="H8267" s="5">
        <f>HYPERLINK("https://api.qogita.com/variants/link/4064665160154/", "View Product")</f>
        <v/>
      </c>
    </row>
    <row r="8268">
      <c r="A8268" t="inlineStr">
        <is>
          <t>4064665160161</t>
        </is>
      </c>
      <c r="B8268" t="inlineStr">
        <is>
          <t>Opi Gelcolor Gel Nail Polish 15 Ml</t>
        </is>
      </c>
      <c r="C8268" t="inlineStr">
        <is>
          <t>Gel Polish</t>
        </is>
      </c>
      <c r="D8268" t="inlineStr">
        <is>
          <t>OPI</t>
        </is>
      </c>
      <c r="E8268" t="n">
        <v>25.11</v>
      </c>
      <c r="F8268" t="n">
        <v>1</v>
      </c>
      <c r="G8268" t="n">
        <v>3</v>
      </c>
      <c r="H8268" s="5">
        <f>HYPERLINK("https://api.qogita.com/variants/link/4064665160161/", "View Product")</f>
        <v/>
      </c>
    </row>
    <row r="8269">
      <c r="A8269" t="inlineStr">
        <is>
          <t>4064665160178</t>
        </is>
      </c>
      <c r="B8269" t="inlineStr">
        <is>
          <t>Opi Gelcolor Opaque Glitter &amp; Metallic UV Cure Gel Nail Polish</t>
        </is>
      </c>
      <c r="C8269" t="inlineStr">
        <is>
          <t>Gel Polish</t>
        </is>
      </c>
      <c r="D8269" t="inlineStr">
        <is>
          <t>OPI</t>
        </is>
      </c>
      <c r="E8269" t="n">
        <v>25.11</v>
      </c>
      <c r="F8269" t="n">
        <v>1</v>
      </c>
      <c r="G8269" t="n">
        <v>3</v>
      </c>
      <c r="H8269" s="5">
        <f>HYPERLINK("https://api.qogita.com/variants/link/4064665160178/", "View Product")</f>
        <v/>
      </c>
    </row>
    <row r="8270">
      <c r="A8270" t="inlineStr">
        <is>
          <t>4064665160246</t>
        </is>
      </c>
      <c r="B8270" t="inlineStr">
        <is>
          <t>Opi Gelcolor Gel Nail Polish 15 Ml</t>
        </is>
      </c>
      <c r="C8270" t="inlineStr">
        <is>
          <t>Nail Care Sets</t>
        </is>
      </c>
      <c r="D8270" t="inlineStr">
        <is>
          <t>OPI</t>
        </is>
      </c>
      <c r="E8270" t="n">
        <v>25.11</v>
      </c>
      <c r="F8270" t="n">
        <v>1</v>
      </c>
      <c r="G8270" t="n">
        <v>2</v>
      </c>
      <c r="H8270" s="5">
        <f>HYPERLINK("https://api.qogita.com/variants/link/4064665160246/", "View Product")</f>
        <v/>
      </c>
    </row>
    <row r="8271">
      <c r="A8271" t="inlineStr">
        <is>
          <t>4064665161205</t>
        </is>
      </c>
      <c r="B8271" t="inlineStr">
        <is>
          <t>Opi Opi Nail Lacquer - Wicked Collection - Nail Polish Lasting Up To 7 Days Fiyeros My Mani 15ml</t>
        </is>
      </c>
      <c r="C8271" t="inlineStr">
        <is>
          <t>Nail Polish</t>
        </is>
      </c>
      <c r="D8271" t="inlineStr">
        <is>
          <t>OPI</t>
        </is>
      </c>
      <c r="E8271" t="n">
        <v>4.88</v>
      </c>
      <c r="F8271" t="n">
        <v>1</v>
      </c>
      <c r="G8271" t="n">
        <v>12</v>
      </c>
      <c r="H8271" s="5">
        <f>HYPERLINK("https://api.qogita.com/variants/link/4064665161205/", "View Product")</f>
        <v/>
      </c>
    </row>
    <row r="8272">
      <c r="A8272" t="inlineStr">
        <is>
          <t>4064665161236</t>
        </is>
      </c>
      <c r="B8272" t="inlineStr">
        <is>
          <t>Wicked Collection I'M The Wonderfulest Nail Lacquer - Lasts Up To 7 Days, 15 Ml</t>
        </is>
      </c>
      <c r="C8272" t="inlineStr">
        <is>
          <t>Nail Polish</t>
        </is>
      </c>
      <c r="D8272" t="inlineStr">
        <is>
          <t>Wicked Colors</t>
        </is>
      </c>
      <c r="E8272" t="n">
        <v>3.94</v>
      </c>
      <c r="F8272" t="n">
        <v>1</v>
      </c>
      <c r="G8272" t="n">
        <v>13</v>
      </c>
      <c r="H8272" s="5">
        <f>HYPERLINK("https://api.qogita.com/variants/link/4064665161236/", "View Product")</f>
        <v/>
      </c>
    </row>
    <row r="8273">
      <c r="A8273" t="inlineStr">
        <is>
          <t>4064665196023</t>
        </is>
      </c>
      <c r="B8273" t="inlineStr">
        <is>
          <t>Opi Gel Nails Xpresson Presson Nails Break The Gold 30 Units</t>
        </is>
      </c>
      <c r="C8273" t="inlineStr">
        <is>
          <t>Artificial Nails &amp; Nail Decoration</t>
        </is>
      </c>
      <c r="D8273" t="inlineStr">
        <is>
          <t>OPI</t>
        </is>
      </c>
      <c r="E8273" t="n">
        <v>14.06</v>
      </c>
      <c r="F8273" t="n">
        <v>1</v>
      </c>
      <c r="G8273" t="n">
        <v>5</v>
      </c>
      <c r="H8273" s="5">
        <f>HYPERLINK("https://api.qogita.com/variants/link/4064665196023/", "View Product")</f>
        <v/>
      </c>
    </row>
    <row r="8274">
      <c r="A8274" t="inlineStr">
        <is>
          <t>4064665196450</t>
        </is>
      </c>
      <c r="B8274" t="inlineStr">
        <is>
          <t>Opi Gel Nails Xpresson Press On Nails Certified Chic</t>
        </is>
      </c>
      <c r="C8274" t="inlineStr">
        <is>
          <t>Artificial Nails &amp; Nail Decoration</t>
        </is>
      </c>
      <c r="D8274" t="inlineStr">
        <is>
          <t>OPI</t>
        </is>
      </c>
      <c r="E8274" t="n">
        <v>14.06</v>
      </c>
      <c r="F8274" t="n">
        <v>1</v>
      </c>
      <c r="G8274" t="n">
        <v>4</v>
      </c>
      <c r="H8274" s="5">
        <f>HYPERLINK("https://api.qogita.com/variants/link/4064665196450/", "View Product")</f>
        <v/>
      </c>
    </row>
    <row r="8275">
      <c r="A8275" t="inlineStr">
        <is>
          <t>4064665202557</t>
        </is>
      </c>
      <c r="B8275" t="inlineStr">
        <is>
          <t>Opi Nail Envy All Night Strong Nail Treatment 15 Ml</t>
        </is>
      </c>
      <c r="C8275" t="inlineStr">
        <is>
          <t>Nail Care Sets</t>
        </is>
      </c>
      <c r="D8275" t="inlineStr">
        <is>
          <t>OPI</t>
        </is>
      </c>
      <c r="E8275" t="n">
        <v>14.72</v>
      </c>
      <c r="F8275" t="n">
        <v>1</v>
      </c>
      <c r="G8275" t="n">
        <v>2</v>
      </c>
      <c r="H8275" s="5">
        <f>HYPERLINK("https://api.qogita.com/variants/link/4064665202557/", "View Product")</f>
        <v/>
      </c>
    </row>
    <row r="8276">
      <c r="A8276" t="inlineStr">
        <is>
          <t>4064665202625</t>
        </is>
      </c>
      <c r="B8276" t="inlineStr">
        <is>
          <t>Opi Repair Mode Nail Repair And Strengthening Serum 9ml</t>
        </is>
      </c>
      <c r="C8276" t="inlineStr">
        <is>
          <t>Nail Oil</t>
        </is>
      </c>
      <c r="D8276" t="inlineStr">
        <is>
          <t>OPI</t>
        </is>
      </c>
      <c r="E8276" t="n">
        <v>19.1</v>
      </c>
      <c r="F8276" t="n">
        <v>1</v>
      </c>
      <c r="G8276" t="n">
        <v>11</v>
      </c>
      <c r="H8276" s="5">
        <f>HYPERLINK("https://api.qogita.com/variants/link/4064665202625/", "View Product")</f>
        <v/>
      </c>
    </row>
    <row r="8277">
      <c r="A8277" t="inlineStr">
        <is>
          <t>4064666004037</t>
        </is>
      </c>
      <c r="B8277" t="inlineStr">
        <is>
          <t>Keratin Restore Mask L3 400ml</t>
        </is>
      </c>
      <c r="C8277" t="inlineStr">
        <is>
          <t>Hair Masks</t>
        </is>
      </c>
      <c r="D8277" t="inlineStr">
        <is>
          <t>System Professional</t>
        </is>
      </c>
      <c r="E8277" t="n">
        <v>36.06</v>
      </c>
      <c r="F8277" t="n">
        <v>1</v>
      </c>
      <c r="G8277" t="n">
        <v>7</v>
      </c>
      <c r="H8277" s="5">
        <f>HYPERLINK("https://api.qogita.com/variants/link/4064666004037/", "View Product")</f>
        <v/>
      </c>
    </row>
    <row r="8278">
      <c r="A8278" t="inlineStr">
        <is>
          <t>4064666005317</t>
        </is>
      </c>
      <c r="B8278" t="inlineStr">
        <is>
          <t>V1 Shampoo 50ml</t>
        </is>
      </c>
      <c r="C8278" t="inlineStr">
        <is>
          <t>Shampoo</t>
        </is>
      </c>
      <c r="D8278" t="inlineStr">
        <is>
          <t>System Professional</t>
        </is>
      </c>
      <c r="E8278" t="n">
        <v>6.84</v>
      </c>
      <c r="F8278" t="n">
        <v>1</v>
      </c>
      <c r="G8278" t="n">
        <v>7</v>
      </c>
      <c r="H8278" s="5">
        <f>HYPERLINK("https://api.qogita.com/variants/link/4064666005317/", "View Product")</f>
        <v/>
      </c>
    </row>
    <row r="8279">
      <c r="A8279" t="inlineStr">
        <is>
          <t>4064666040981</t>
        </is>
      </c>
      <c r="B8279" t="inlineStr">
        <is>
          <t>Wella Professionals Nutricurls Waves &amp; Curls Conditioner 1000ml</t>
        </is>
      </c>
      <c r="C8279" t="inlineStr">
        <is>
          <t>Conditioner</t>
        </is>
      </c>
      <c r="D8279" t="inlineStr">
        <is>
          <t>Wella Professionals</t>
        </is>
      </c>
      <c r="E8279" t="n">
        <v>25.49</v>
      </c>
      <c r="F8279" t="n">
        <v>1</v>
      </c>
      <c r="G8279" t="n">
        <v>2</v>
      </c>
      <c r="H8279" s="5">
        <f>HYPERLINK("https://api.qogita.com/variants/link/4064666040981/", "View Product")</f>
        <v/>
      </c>
    </row>
    <row r="8280">
      <c r="A8280" t="inlineStr">
        <is>
          <t>4064666040998</t>
        </is>
      </c>
      <c r="B8280" t="inlineStr">
        <is>
          <t>Wella Nutricurls Deep Treatment Hair Mask 0.5504kg 500ml</t>
        </is>
      </c>
      <c r="C8280" t="inlineStr">
        <is>
          <t>Hair Masks</t>
        </is>
      </c>
      <c r="D8280" t="inlineStr">
        <is>
          <t>Wella</t>
        </is>
      </c>
      <c r="E8280" t="n">
        <v>19.17</v>
      </c>
      <c r="F8280" t="n">
        <v>1</v>
      </c>
      <c r="G8280" t="n">
        <v>5</v>
      </c>
      <c r="H8280" s="5">
        <f>HYPERLINK("https://api.qogita.com/variants/link/4064666040998/", "View Product")</f>
        <v/>
      </c>
    </row>
    <row r="8281">
      <c r="A8281" t="inlineStr">
        <is>
          <t>4064666041018</t>
        </is>
      </c>
      <c r="B8281" t="inlineStr">
        <is>
          <t>Wella Professionals Nutricurls Cleansing Conditioner for Waves with Jojoba Oil</t>
        </is>
      </c>
      <c r="C8281" t="inlineStr">
        <is>
          <t>Conditioner</t>
        </is>
      </c>
      <c r="D8281" t="inlineStr">
        <is>
          <t>Wella Professionals</t>
        </is>
      </c>
      <c r="E8281" t="n">
        <v>8.619999999999999</v>
      </c>
      <c r="F8281" t="n">
        <v>1</v>
      </c>
      <c r="G8281" t="n">
        <v>8</v>
      </c>
      <c r="H8281" s="5">
        <f>HYPERLINK("https://api.qogita.com/variants/link/4064666041018/", "View Product")</f>
        <v/>
      </c>
    </row>
    <row r="8282">
      <c r="A8282" t="inlineStr">
        <is>
          <t>4064666042541</t>
        </is>
      </c>
      <c r="B8282" t="inlineStr">
        <is>
          <t>Wella Eimi Mistify Light Hairspray 75ml</t>
        </is>
      </c>
      <c r="C8282" t="inlineStr">
        <is>
          <t>Hairspray</t>
        </is>
      </c>
      <c r="D8282" t="inlineStr">
        <is>
          <t>Wella</t>
        </is>
      </c>
      <c r="E8282" t="n">
        <v>4.08</v>
      </c>
      <c r="F8282" t="n">
        <v>1</v>
      </c>
      <c r="G8282" t="n">
        <v>15</v>
      </c>
      <c r="H8282" s="5">
        <f>HYPERLINK("https://api.qogita.com/variants/link/4064666042541/", "View Product")</f>
        <v/>
      </c>
    </row>
    <row r="8283">
      <c r="A8283" t="inlineStr">
        <is>
          <t>4064666043364</t>
        </is>
      </c>
      <c r="B8283" t="inlineStr">
        <is>
          <t>Sebastian Professional Microweb Fiber 45 ml</t>
        </is>
      </c>
      <c r="C8283" t="inlineStr">
        <is>
          <t>Wax</t>
        </is>
      </c>
      <c r="D8283" t="inlineStr">
        <is>
          <t>Sebastian Professional</t>
        </is>
      </c>
      <c r="E8283" t="n">
        <v>14.33</v>
      </c>
      <c r="F8283" t="n">
        <v>1</v>
      </c>
      <c r="G8283" t="n">
        <v>8</v>
      </c>
      <c r="H8283" s="5">
        <f>HYPERLINK("https://api.qogita.com/variants/link/4064666043364/", "View Product")</f>
        <v/>
      </c>
    </row>
    <row r="8284">
      <c r="A8284" t="inlineStr">
        <is>
          <t>4064666043401</t>
        </is>
      </c>
      <c r="B8284" t="inlineStr">
        <is>
          <t>Wella SP Repair Hair Mask 200ml</t>
        </is>
      </c>
      <c r="C8284" t="inlineStr">
        <is>
          <t>Hair Masks</t>
        </is>
      </c>
      <c r="D8284" t="inlineStr">
        <is>
          <t>Wella Professionals</t>
        </is>
      </c>
      <c r="E8284" t="n">
        <v>8.06</v>
      </c>
      <c r="F8284" t="n">
        <v>1</v>
      </c>
      <c r="G8284" t="n">
        <v>17</v>
      </c>
      <c r="H8284" s="5">
        <f>HYPERLINK("https://api.qogita.com/variants/link/4064666043401/", "View Product")</f>
        <v/>
      </c>
    </row>
    <row r="8285">
      <c r="A8285" t="inlineStr">
        <is>
          <t>4064666043593</t>
        </is>
      </c>
      <c r="B8285" t="inlineStr">
        <is>
          <t>Wella System Professional Hydrate Mask 0.45kg 400ml</t>
        </is>
      </c>
      <c r="C8285" t="inlineStr">
        <is>
          <t>Hair Masks</t>
        </is>
      </c>
      <c r="D8285" t="inlineStr">
        <is>
          <t>Wella Professionals</t>
        </is>
      </c>
      <c r="E8285" t="n">
        <v>15.58</v>
      </c>
      <c r="F8285" t="n">
        <v>1</v>
      </c>
      <c r="G8285" t="n">
        <v>53</v>
      </c>
      <c r="H8285" s="5">
        <f>HYPERLINK("https://api.qogita.com/variants/link/4064666043593/", "View Product")</f>
        <v/>
      </c>
    </row>
    <row r="8286">
      <c r="A8286" t="inlineStr">
        <is>
          <t>4064666058108</t>
        </is>
      </c>
      <c r="B8286" t="inlineStr">
        <is>
          <t>Wella Shinefinity Zero Lift Glaze 60ml 09/13</t>
        </is>
      </c>
      <c r="C8286" t="inlineStr">
        <is>
          <t>Hair Dye</t>
        </is>
      </c>
      <c r="D8286" t="inlineStr">
        <is>
          <t>Wella</t>
        </is>
      </c>
      <c r="E8286" t="n">
        <v>7.38</v>
      </c>
      <c r="F8286" t="n">
        <v>1</v>
      </c>
      <c r="G8286" t="n">
        <v>2</v>
      </c>
      <c r="H8286" s="5">
        <f>HYPERLINK("https://api.qogita.com/variants/link/4064666058108/", "View Product")</f>
        <v/>
      </c>
    </row>
    <row r="8287">
      <c r="A8287" t="inlineStr">
        <is>
          <t>4064666058191</t>
        </is>
      </c>
      <c r="B8287" t="inlineStr">
        <is>
          <t>Wella Shinefinity Zero Lift Glaze 60ml 08/38</t>
        </is>
      </c>
      <c r="C8287" t="inlineStr">
        <is>
          <t>Hair Dye</t>
        </is>
      </c>
      <c r="D8287" t="inlineStr">
        <is>
          <t>Wella</t>
        </is>
      </c>
      <c r="E8287" t="n">
        <v>7.36</v>
      </c>
      <c r="F8287" t="n">
        <v>1</v>
      </c>
      <c r="G8287" t="n">
        <v>2</v>
      </c>
      <c r="H8287" s="5">
        <f>HYPERLINK("https://api.qogita.com/variants/link/4064666058191/", "View Product")</f>
        <v/>
      </c>
    </row>
    <row r="8288">
      <c r="A8288" t="inlineStr">
        <is>
          <t>4064666085739</t>
        </is>
      </c>
      <c r="B8288" t="inlineStr">
        <is>
          <t>System Professional LuxeBlond Conditioner 200ml</t>
        </is>
      </c>
      <c r="C8288" t="inlineStr">
        <is>
          <t>Conditioner</t>
        </is>
      </c>
      <c r="D8288" t="inlineStr">
        <is>
          <t>System Professional</t>
        </is>
      </c>
      <c r="E8288" t="n">
        <v>18</v>
      </c>
      <c r="F8288" t="n">
        <v>1</v>
      </c>
      <c r="G8288" t="n">
        <v>2</v>
      </c>
      <c r="H8288" s="5">
        <f>HYPERLINK("https://api.qogita.com/variants/link/4064666085739/", "View Product")</f>
        <v/>
      </c>
    </row>
    <row r="8289">
      <c r="A8289" t="inlineStr">
        <is>
          <t>4064666097411</t>
        </is>
      </c>
      <c r="B8289" t="inlineStr">
        <is>
          <t>System Professional Color Save Biphase Conditioner 185 Ml</t>
        </is>
      </c>
      <c r="C8289" t="inlineStr">
        <is>
          <t>Conditioner</t>
        </is>
      </c>
      <c r="D8289" t="inlineStr">
        <is>
          <t>System Professional</t>
        </is>
      </c>
      <c r="E8289" t="n">
        <v>19.5</v>
      </c>
      <c r="F8289" t="n">
        <v>1</v>
      </c>
      <c r="G8289" t="n">
        <v>6</v>
      </c>
      <c r="H8289" s="5">
        <f>HYPERLINK("https://api.qogita.com/variants/link/4064666097411/", "View Product")</f>
        <v/>
      </c>
    </row>
    <row r="8290">
      <c r="A8290" t="inlineStr">
        <is>
          <t>4064666102405</t>
        </is>
      </c>
      <c r="B8290" t="inlineStr">
        <is>
          <t>Sebastian Dark Oil Lightweight Hair Equipment 250ml</t>
        </is>
      </c>
      <c r="C8290" t="inlineStr">
        <is>
          <t>Hair Oil &amp; Hair Serum</t>
        </is>
      </c>
      <c r="D8290" t="inlineStr">
        <is>
          <t>Sebastian</t>
        </is>
      </c>
      <c r="E8290" t="n">
        <v>14.26</v>
      </c>
      <c r="F8290" t="n">
        <v>1</v>
      </c>
      <c r="G8290" t="n">
        <v>14</v>
      </c>
      <c r="H8290" s="5">
        <f>HYPERLINK("https://api.qogita.com/variants/link/4064666102405/", "View Product")</f>
        <v/>
      </c>
    </row>
    <row r="8291">
      <c r="A8291" t="inlineStr">
        <is>
          <t>4064666102634</t>
        </is>
      </c>
      <c r="B8291" t="inlineStr">
        <is>
          <t>Wella Professionals Sp Luxe Oil Keratin Protect Shampoo For Hair 200ml</t>
        </is>
      </c>
      <c r="C8291" t="inlineStr">
        <is>
          <t>Shampoo</t>
        </is>
      </c>
      <c r="D8291" t="inlineStr">
        <is>
          <t>Wella Professionals</t>
        </is>
      </c>
      <c r="E8291" t="n">
        <v>5.35</v>
      </c>
      <c r="F8291" t="n">
        <v>1</v>
      </c>
      <c r="G8291" t="n">
        <v>6</v>
      </c>
      <c r="H8291" s="5">
        <f>HYPERLINK("https://api.qogita.com/variants/link/4064666102634/", "View Product")</f>
        <v/>
      </c>
    </row>
    <row r="8292">
      <c r="A8292" t="inlineStr">
        <is>
          <t>4064666102702</t>
        </is>
      </c>
      <c r="B8292" t="inlineStr">
        <is>
          <t>Wella Renewing Mask 500ml NEW</t>
        </is>
      </c>
      <c r="C8292" t="inlineStr">
        <is>
          <t>Hair Masks</t>
        </is>
      </c>
      <c r="D8292" t="inlineStr">
        <is>
          <t>Wella</t>
        </is>
      </c>
      <c r="E8292" t="n">
        <v>19.77</v>
      </c>
      <c r="F8292" t="n">
        <v>1</v>
      </c>
      <c r="G8292" t="n">
        <v>5</v>
      </c>
      <c r="H8292" s="5">
        <f>HYPERLINK("https://api.qogita.com/variants/link/4064666102702/", "View Product")</f>
        <v/>
      </c>
    </row>
    <row r="8293">
      <c r="A8293" t="inlineStr">
        <is>
          <t>4064666102740</t>
        </is>
      </c>
      <c r="B8293" t="inlineStr">
        <is>
          <t>Wella Professionals Oil Reflections Luminous Reboost Mask 150ml</t>
        </is>
      </c>
      <c r="C8293" t="inlineStr">
        <is>
          <t>Hair Masks</t>
        </is>
      </c>
      <c r="D8293" t="inlineStr">
        <is>
          <t>Wella Professionals</t>
        </is>
      </c>
      <c r="E8293" t="n">
        <v>10.92</v>
      </c>
      <c r="F8293" t="n">
        <v>1</v>
      </c>
      <c r="G8293" t="n">
        <v>10</v>
      </c>
      <c r="H8293" s="5">
        <f>HYPERLINK("https://api.qogita.com/variants/link/4064666102740/", "View Product")</f>
        <v/>
      </c>
    </row>
    <row r="8294">
      <c r="A8294" t="inlineStr">
        <is>
          <t>4064666111452</t>
        </is>
      </c>
      <c r="B8294" t="inlineStr">
        <is>
          <t>Sebastian Professional Mousse Forte 200 Ml</t>
        </is>
      </c>
      <c r="C8294" t="inlineStr">
        <is>
          <t>Mousse</t>
        </is>
      </c>
      <c r="D8294" t="inlineStr">
        <is>
          <t>Sebastian Professional</t>
        </is>
      </c>
      <c r="E8294" t="n">
        <v>12.39</v>
      </c>
      <c r="F8294" t="n">
        <v>1</v>
      </c>
      <c r="G8294" t="n">
        <v>16</v>
      </c>
      <c r="H8294" s="5">
        <f>HYPERLINK("https://api.qogita.com/variants/link/4064666111452/", "View Product")</f>
        <v/>
      </c>
    </row>
    <row r="8295">
      <c r="A8295" t="inlineStr">
        <is>
          <t>4064666111520</t>
        </is>
      </c>
      <c r="B8295" t="inlineStr">
        <is>
          <t>Wella Wp Wlxn S Atb Perf 30v 9 60ml Egbgrpt Hair Color</t>
        </is>
      </c>
      <c r="C8295" t="inlineStr">
        <is>
          <t>Hair Dye</t>
        </is>
      </c>
      <c r="D8295" t="inlineStr">
        <is>
          <t>Wella</t>
        </is>
      </c>
      <c r="E8295" t="n">
        <v>0.86</v>
      </c>
      <c r="F8295" t="n">
        <v>1</v>
      </c>
      <c r="G8295" t="n">
        <v>29</v>
      </c>
      <c r="H8295" s="5">
        <f>HYPERLINK("https://api.qogita.com/variants/link/4064666111520/", "View Product")</f>
        <v/>
      </c>
    </row>
    <row r="8296">
      <c r="A8296" t="inlineStr">
        <is>
          <t>4064666179032</t>
        </is>
      </c>
      <c r="B8296" t="inlineStr">
        <is>
          <t>Londa Professional Calm Soothing Shampoo 1000ml For Sensitive Scalp</t>
        </is>
      </c>
      <c r="C8296" t="inlineStr">
        <is>
          <t>Shampoo</t>
        </is>
      </c>
      <c r="D8296" t="inlineStr">
        <is>
          <t>Londa Professional</t>
        </is>
      </c>
      <c r="E8296" t="n">
        <v>10.27</v>
      </c>
      <c r="F8296" t="n">
        <v>1</v>
      </c>
      <c r="G8296" t="n">
        <v>6</v>
      </c>
      <c r="H8296" s="5">
        <f>HYPERLINK("https://api.qogita.com/variants/link/4064666179032/", "View Product")</f>
        <v/>
      </c>
    </row>
    <row r="8297">
      <c r="A8297" t="inlineStr">
        <is>
          <t>4064666179087</t>
        </is>
      </c>
      <c r="B8297" t="inlineStr">
        <is>
          <t>Londa Calm Soothing Conditioner 1000ml</t>
        </is>
      </c>
      <c r="C8297" t="inlineStr">
        <is>
          <t>Conditioner</t>
        </is>
      </c>
      <c r="D8297" t="inlineStr">
        <is>
          <t>Londa</t>
        </is>
      </c>
      <c r="E8297" t="n">
        <v>18.99</v>
      </c>
      <c r="F8297" t="n">
        <v>1</v>
      </c>
      <c r="G8297" t="n">
        <v>6</v>
      </c>
      <c r="H8297" s="5">
        <f>HYPERLINK("https://api.qogita.com/variants/link/4064666179087/", "View Product")</f>
        <v/>
      </c>
    </row>
    <row r="8298">
      <c r="A8298" t="inlineStr">
        <is>
          <t>4064666179094</t>
        </is>
      </c>
      <c r="B8298" t="inlineStr">
        <is>
          <t>Londa Professional Calm Sensitive Scalp Primer 150 Ml</t>
        </is>
      </c>
      <c r="C8298" t="inlineStr">
        <is>
          <t>Scalp Care</t>
        </is>
      </c>
      <c r="D8298" t="inlineStr">
        <is>
          <t>Londa Professional</t>
        </is>
      </c>
      <c r="E8298" t="n">
        <v>7.83</v>
      </c>
      <c r="F8298" t="n">
        <v>1</v>
      </c>
      <c r="G8298" t="n">
        <v>9</v>
      </c>
      <c r="H8298" s="5">
        <f>HYPERLINK("https://api.qogita.com/variants/link/4064666179094/", "View Product")</f>
        <v/>
      </c>
    </row>
    <row r="8299">
      <c r="A8299" t="inlineStr">
        <is>
          <t>4064666179117</t>
        </is>
      </c>
      <c r="B8299" t="inlineStr">
        <is>
          <t>Londa Professional C.A.L.M. Serum with Marula Oil 6 x 9ml - Pack of 6</t>
        </is>
      </c>
      <c r="C8299" t="inlineStr">
        <is>
          <t>Hair Oil &amp; Hair Serum</t>
        </is>
      </c>
      <c r="D8299" t="inlineStr">
        <is>
          <t>Londa</t>
        </is>
      </c>
      <c r="E8299" t="n">
        <v>8.56</v>
      </c>
      <c r="F8299" t="n">
        <v>1</v>
      </c>
      <c r="G8299" t="n">
        <v>3</v>
      </c>
      <c r="H8299" s="5">
        <f>HYPERLINK("https://api.qogita.com/variants/link/4064666179117/", "View Product")</f>
        <v/>
      </c>
    </row>
    <row r="8300">
      <c r="A8300" t="inlineStr">
        <is>
          <t>4064666211244</t>
        </is>
      </c>
      <c r="B8300" t="inlineStr">
        <is>
          <t>Wella EIMI Color Fresh Mask Lilac Frost 150ml</t>
        </is>
      </c>
      <c r="C8300" t="inlineStr">
        <is>
          <t>Hair Masks</t>
        </is>
      </c>
      <c r="D8300" t="inlineStr">
        <is>
          <t>Wella</t>
        </is>
      </c>
      <c r="E8300" t="n">
        <v>7.55</v>
      </c>
      <c r="F8300" t="n">
        <v>1</v>
      </c>
      <c r="G8300" t="n">
        <v>10</v>
      </c>
      <c r="H8300" s="5">
        <f>HYPERLINK("https://api.qogita.com/variants/link/4064666211244/", "View Product")</f>
        <v/>
      </c>
    </row>
    <row r="8301">
      <c r="A8301" t="inlineStr">
        <is>
          <t>4064666211688</t>
        </is>
      </c>
      <c r="B8301" t="inlineStr">
        <is>
          <t>Sebastian Professional Re-Shaper Hair Spray 400ml</t>
        </is>
      </c>
      <c r="C8301" t="inlineStr">
        <is>
          <t>Hairspray</t>
        </is>
      </c>
      <c r="D8301" t="inlineStr">
        <is>
          <t>Sebastian</t>
        </is>
      </c>
      <c r="E8301" t="n">
        <v>13.88</v>
      </c>
      <c r="F8301" t="n">
        <v>1</v>
      </c>
      <c r="G8301" t="n">
        <v>25</v>
      </c>
      <c r="H8301" s="5">
        <f>HYPERLINK("https://api.qogita.com/variants/link/4064666211688/", "View Product")</f>
        <v/>
      </c>
    </row>
    <row r="8302">
      <c r="A8302" t="inlineStr">
        <is>
          <t>4064666212029</t>
        </is>
      </c>
      <c r="B8302" t="inlineStr">
        <is>
          <t>Londa Professional Blondoran Dust-Free Lightening Powder 2 X 500 G</t>
        </is>
      </c>
      <c r="C8302" t="inlineStr">
        <is>
          <t>Bleaching</t>
        </is>
      </c>
      <c r="D8302" t="inlineStr">
        <is>
          <t>Londa Professional</t>
        </is>
      </c>
      <c r="E8302" t="n">
        <v>16.8</v>
      </c>
      <c r="F8302" t="n">
        <v>1</v>
      </c>
      <c r="G8302" t="n">
        <v>199</v>
      </c>
      <c r="H8302" s="5">
        <f>HYPERLINK("https://api.qogita.com/variants/link/4064666212029/", "View Product")</f>
        <v/>
      </c>
    </row>
    <row r="8303">
      <c r="A8303" t="inlineStr">
        <is>
          <t>4064666212067</t>
        </is>
      </c>
      <c r="B8303" t="inlineStr">
        <is>
          <t>Wella Professionals Welloxon Perfect 12 40 Volume Activating Emulsion For Hair Dyes 1000ml</t>
        </is>
      </c>
      <c r="C8303" t="inlineStr">
        <is>
          <t>Hair Dye</t>
        </is>
      </c>
      <c r="D8303" t="inlineStr">
        <is>
          <t>Wella Professionals</t>
        </is>
      </c>
      <c r="E8303" t="n">
        <v>7.15</v>
      </c>
      <c r="F8303" t="n">
        <v>1</v>
      </c>
      <c r="G8303" t="n">
        <v>14</v>
      </c>
      <c r="H8303" s="5">
        <f>HYPERLINK("https://api.qogita.com/variants/link/4064666212067/", "View Product")</f>
        <v/>
      </c>
    </row>
    <row r="8304">
      <c r="A8304" t="inlineStr">
        <is>
          <t>4064666213217</t>
        </is>
      </c>
      <c r="B8304" t="inlineStr">
        <is>
          <t>Londa Styling Hair Spray Fit It Strong 500ml</t>
        </is>
      </c>
      <c r="C8304" t="inlineStr">
        <is>
          <t>Hairspray</t>
        </is>
      </c>
      <c r="D8304" t="inlineStr">
        <is>
          <t>Londa</t>
        </is>
      </c>
      <c r="E8304" t="n">
        <v>6.96</v>
      </c>
      <c r="F8304" t="n">
        <v>1</v>
      </c>
      <c r="G8304" t="n">
        <v>3</v>
      </c>
      <c r="H8304" s="5">
        <f>HYPERLINK("https://api.qogita.com/variants/link/4064666213217/", "View Product")</f>
        <v/>
      </c>
    </row>
    <row r="8305">
      <c r="A8305" t="inlineStr">
        <is>
          <t>4064666213408</t>
        </is>
      </c>
      <c r="B8305" t="inlineStr">
        <is>
          <t>Wella EIMI Nutricurls Pianka Do Loków 300 ml - Hair Styling Product</t>
        </is>
      </c>
      <c r="C8305" t="inlineStr">
        <is>
          <t>Mousse</t>
        </is>
      </c>
      <c r="D8305" t="inlineStr">
        <is>
          <t>Wella</t>
        </is>
      </c>
      <c r="E8305" t="n">
        <v>7.72</v>
      </c>
      <c r="F8305" t="n">
        <v>1</v>
      </c>
      <c r="G8305" t="n">
        <v>10</v>
      </c>
      <c r="H8305" s="5">
        <f>HYPERLINK("https://api.qogita.com/variants/link/4064666213408/", "View Product")</f>
        <v/>
      </c>
    </row>
    <row r="8306">
      <c r="A8306" t="inlineStr">
        <is>
          <t>4064666213750</t>
        </is>
      </c>
      <c r="B8306" t="inlineStr">
        <is>
          <t>Wella SP System Professional Care Balance Scalp Lotion 125ml</t>
        </is>
      </c>
      <c r="C8306" t="inlineStr">
        <is>
          <t>Scalp Care</t>
        </is>
      </c>
      <c r="D8306" t="inlineStr">
        <is>
          <t>Wella</t>
        </is>
      </c>
      <c r="E8306" t="n">
        <v>6.66</v>
      </c>
      <c r="F8306" t="n">
        <v>1</v>
      </c>
      <c r="G8306" t="n">
        <v>54</v>
      </c>
      <c r="H8306" s="5">
        <f>HYPERLINK("https://api.qogita.com/variants/link/4064666213750/", "View Product")</f>
        <v/>
      </c>
    </row>
    <row r="8307">
      <c r="A8307" t="inlineStr">
        <is>
          <t>4064666214467</t>
        </is>
      </c>
      <c r="B8307" t="inlineStr">
        <is>
          <t>Sebastian Professional No Breaker Spray Hybrid Antibreakage Styling And Fixation 100ml</t>
        </is>
      </c>
      <c r="C8307" t="inlineStr">
        <is>
          <t>Styling Sprays</t>
        </is>
      </c>
      <c r="D8307" t="inlineStr">
        <is>
          <t>Sebastian Professional</t>
        </is>
      </c>
      <c r="E8307" t="n">
        <v>15.13</v>
      </c>
      <c r="F8307" t="n">
        <v>1</v>
      </c>
      <c r="G8307" t="n">
        <v>45</v>
      </c>
      <c r="H8307" s="5">
        <f>HYPERLINK("https://api.qogita.com/variants/link/4064666214467/", "View Product")</f>
        <v/>
      </c>
    </row>
    <row r="8308">
      <c r="A8308" t="inlineStr">
        <is>
          <t>4064666218083</t>
        </is>
      </c>
      <c r="B8308" t="inlineStr">
        <is>
          <t>Sebastian Professional Drynamic Dry Shampoo 212ml</t>
        </is>
      </c>
      <c r="C8308" t="inlineStr">
        <is>
          <t>Dry Shampoo</t>
        </is>
      </c>
      <c r="D8308" t="inlineStr">
        <is>
          <t>Sebastian Professional</t>
        </is>
      </c>
      <c r="E8308" t="n">
        <v>15.57</v>
      </c>
      <c r="F8308" t="n">
        <v>1</v>
      </c>
      <c r="G8308" t="n">
        <v>6</v>
      </c>
      <c r="H8308" s="5">
        <f>HYPERLINK("https://api.qogita.com/variants/link/4064666218083/", "View Product")</f>
        <v/>
      </c>
    </row>
    <row r="8309">
      <c r="A8309" t="inlineStr">
        <is>
          <t>4064666219547</t>
        </is>
      </c>
      <c r="B8309" t="inlineStr">
        <is>
          <t>Wella SP Perfect Hair Finishing Care Set 150ml</t>
        </is>
      </c>
      <c r="C8309" t="inlineStr">
        <is>
          <t>Hair Care Sets</t>
        </is>
      </c>
      <c r="D8309" t="inlineStr">
        <is>
          <t>Wella</t>
        </is>
      </c>
      <c r="E8309" t="n">
        <v>8.119999999999999</v>
      </c>
      <c r="F8309" t="n">
        <v>1</v>
      </c>
      <c r="G8309" t="n">
        <v>8</v>
      </c>
      <c r="H8309" s="5">
        <f>HYPERLINK("https://api.qogita.com/variants/link/4064666219547/", "View Product")</f>
        <v/>
      </c>
    </row>
    <row r="8310">
      <c r="A8310" t="inlineStr">
        <is>
          <t>4064666219684</t>
        </is>
      </c>
      <c r="B8310" t="inlineStr">
        <is>
          <t>Londa Professional P.U.R.E Moisturizing Conditioner 250ml</t>
        </is>
      </c>
      <c r="C8310" t="inlineStr">
        <is>
          <t>Conditioner</t>
        </is>
      </c>
      <c r="D8310" t="inlineStr">
        <is>
          <t>Londa Professional</t>
        </is>
      </c>
      <c r="E8310" t="n">
        <v>6.69</v>
      </c>
      <c r="F8310" t="n">
        <v>1</v>
      </c>
      <c r="G8310" t="n">
        <v>3</v>
      </c>
      <c r="H8310" s="5">
        <f>HYPERLINK("https://api.qogita.com/variants/link/4064666219684/", "View Product")</f>
        <v/>
      </c>
    </row>
    <row r="8311">
      <c r="A8311" t="inlineStr">
        <is>
          <t>4064666224688</t>
        </is>
      </c>
      <c r="B8311" t="inlineStr">
        <is>
          <t>Sebastian Professional Texturizer Liquid Hair Gel for Added Body and Hold</t>
        </is>
      </c>
      <c r="C8311" t="inlineStr">
        <is>
          <t>Gel</t>
        </is>
      </c>
      <c r="D8311" t="inlineStr">
        <is>
          <t>Sebastian</t>
        </is>
      </c>
      <c r="E8311" t="n">
        <v>12.22</v>
      </c>
      <c r="F8311" t="n">
        <v>1</v>
      </c>
      <c r="G8311" t="n">
        <v>11</v>
      </c>
      <c r="H8311" s="5">
        <f>HYPERLINK("https://api.qogita.com/variants/link/4064666224688/", "View Product")</f>
        <v/>
      </c>
    </row>
    <row r="8312">
      <c r="A8312" t="inlineStr">
        <is>
          <t>4064666225258</t>
        </is>
      </c>
      <c r="B8312" t="inlineStr">
        <is>
          <t>Sebastian Professional Potion 9 Wearable Styling Treatment 50 Ml For All Hair Types</t>
        </is>
      </c>
      <c r="C8312" t="inlineStr">
        <is>
          <t>Leave-In Conditioner</t>
        </is>
      </c>
      <c r="D8312" t="inlineStr">
        <is>
          <t>Sebastian Professional</t>
        </is>
      </c>
      <c r="E8312" t="n">
        <v>7.44</v>
      </c>
      <c r="F8312" t="n">
        <v>1</v>
      </c>
      <c r="G8312" t="n">
        <v>22</v>
      </c>
      <c r="H8312" s="5">
        <f>HYPERLINK("https://api.qogita.com/variants/link/4064666225258/", "View Product")</f>
        <v/>
      </c>
    </row>
    <row r="8313">
      <c r="A8313" t="inlineStr">
        <is>
          <t>4064666244440</t>
        </is>
      </c>
      <c r="B8313" t="inlineStr">
        <is>
          <t>Wella Professionals Sp Luxe Oil Keratin Conditioning Cream Conditioner</t>
        </is>
      </c>
      <c r="C8313" t="inlineStr">
        <is>
          <t>Conditioner</t>
        </is>
      </c>
      <c r="D8313" t="inlineStr">
        <is>
          <t>Wella Professionals</t>
        </is>
      </c>
      <c r="E8313" t="n">
        <v>14.1</v>
      </c>
      <c r="F8313" t="n">
        <v>1</v>
      </c>
      <c r="G8313" t="n">
        <v>7</v>
      </c>
      <c r="H8313" s="5">
        <f>HYPERLINK("https://api.qogita.com/variants/link/4064666244440/", "View Product")</f>
        <v/>
      </c>
    </row>
    <row r="8314">
      <c r="A8314" t="inlineStr">
        <is>
          <t>4064666244464</t>
        </is>
      </c>
      <c r="B8314" t="inlineStr">
        <is>
          <t>Sebastian Professional Seb Man The Smoother Rinseout Conditioner 1000ml For Men</t>
        </is>
      </c>
      <c r="C8314" t="inlineStr">
        <is>
          <t>Conditioner</t>
        </is>
      </c>
      <c r="D8314" t="inlineStr">
        <is>
          <t>Sebastian Professional</t>
        </is>
      </c>
      <c r="E8314" t="n">
        <v>20.56</v>
      </c>
      <c r="F8314" t="n">
        <v>1</v>
      </c>
      <c r="G8314" t="n">
        <v>2</v>
      </c>
      <c r="H8314" s="5">
        <f>HYPERLINK("https://api.qogita.com/variants/link/4064666244464/", "View Product")</f>
        <v/>
      </c>
    </row>
    <row r="8315">
      <c r="A8315" t="inlineStr">
        <is>
          <t>4064666244648</t>
        </is>
      </c>
      <c r="B8315" t="inlineStr">
        <is>
          <t>Londa Professional Fiber Infusion Reconstructive Treatment - Hair Mask</t>
        </is>
      </c>
      <c r="C8315" t="inlineStr">
        <is>
          <t>Hair Masks</t>
        </is>
      </c>
      <c r="D8315" t="inlineStr">
        <is>
          <t>Londa Professional</t>
        </is>
      </c>
      <c r="E8315" t="n">
        <v>8.130000000000001</v>
      </c>
      <c r="F8315" t="n">
        <v>1</v>
      </c>
      <c r="G8315" t="n">
        <v>5</v>
      </c>
      <c r="H8315" s="5">
        <f>HYPERLINK("https://api.qogita.com/variants/link/4064666244648/", "View Product")</f>
        <v/>
      </c>
    </row>
    <row r="8316">
      <c r="A8316" t="inlineStr">
        <is>
          <t>4064666244709</t>
        </is>
      </c>
      <c r="B8316" t="inlineStr">
        <is>
          <t>Londa Professional Toneplex Coloring Mask For Hair Red Pepper 200ml</t>
        </is>
      </c>
      <c r="C8316" t="inlineStr">
        <is>
          <t>Hair Dye</t>
        </is>
      </c>
      <c r="D8316" t="inlineStr">
        <is>
          <t>Londa Professional</t>
        </is>
      </c>
      <c r="E8316" t="n">
        <v>8.51</v>
      </c>
      <c r="F8316" t="n">
        <v>1</v>
      </c>
      <c r="G8316" t="n">
        <v>7</v>
      </c>
      <c r="H8316" s="5">
        <f>HYPERLINK("https://api.qogita.com/variants/link/4064666244709/", "View Product")</f>
        <v/>
      </c>
    </row>
    <row r="8317">
      <c r="A8317" t="inlineStr">
        <is>
          <t>4064666244754</t>
        </is>
      </c>
      <c r="B8317" t="inlineStr">
        <is>
          <t>Londa Toneplex Pearl Blonde Mask 200 Ml</t>
        </is>
      </c>
      <c r="C8317" t="inlineStr">
        <is>
          <t>Hair Masks</t>
        </is>
      </c>
      <c r="D8317" t="inlineStr">
        <is>
          <t>Londa</t>
        </is>
      </c>
      <c r="E8317" t="n">
        <v>11.18</v>
      </c>
      <c r="F8317" t="n">
        <v>1</v>
      </c>
      <c r="G8317" t="n">
        <v>11</v>
      </c>
      <c r="H8317" s="5">
        <f>HYPERLINK("https://api.qogita.com/variants/link/4064666244754/", "View Product")</f>
        <v/>
      </c>
    </row>
    <row r="8318">
      <c r="A8318" t="inlineStr">
        <is>
          <t>4064666301471</t>
        </is>
      </c>
      <c r="B8318" t="inlineStr">
        <is>
          <t>Sebastian Professional Dark Oil Lightweight Shampoo 50ml</t>
        </is>
      </c>
      <c r="C8318" t="inlineStr">
        <is>
          <t>Shampoo</t>
        </is>
      </c>
      <c r="D8318" t="inlineStr">
        <is>
          <t>Sebastian</t>
        </is>
      </c>
      <c r="E8318" t="n">
        <v>4.02</v>
      </c>
      <c r="F8318" t="n">
        <v>1</v>
      </c>
      <c r="G8318" t="n">
        <v>40</v>
      </c>
      <c r="H8318" s="5">
        <f>HYPERLINK("https://api.qogita.com/variants/link/4064666301471/", "View Product")</f>
        <v/>
      </c>
    </row>
    <row r="8319">
      <c r="A8319" t="inlineStr">
        <is>
          <t>4064666302126</t>
        </is>
      </c>
      <c r="B8319" t="inlineStr">
        <is>
          <t>Londa Impressive Volume Shampoo 250ml</t>
        </is>
      </c>
      <c r="C8319" t="inlineStr">
        <is>
          <t>Shampoo</t>
        </is>
      </c>
      <c r="D8319" t="inlineStr">
        <is>
          <t>Londa</t>
        </is>
      </c>
      <c r="E8319" t="n">
        <v>3.03</v>
      </c>
      <c r="F8319" t="n">
        <v>1</v>
      </c>
      <c r="G8319" t="n">
        <v>6</v>
      </c>
      <c r="H8319" s="5">
        <f>HYPERLINK("https://api.qogita.com/variants/link/4064666302126/", "View Product")</f>
        <v/>
      </c>
    </row>
    <row r="8320">
      <c r="A8320" t="inlineStr">
        <is>
          <t>4064666302690</t>
        </is>
      </c>
      <c r="B8320" t="inlineStr">
        <is>
          <t>System Professional Purify Shampeeling Anti-Dandruff Shampoo 150 Ml</t>
        </is>
      </c>
      <c r="C8320" t="inlineStr">
        <is>
          <t>Shampoo</t>
        </is>
      </c>
      <c r="D8320" t="inlineStr">
        <is>
          <t>System Professional</t>
        </is>
      </c>
      <c r="E8320" t="n">
        <v>24.69</v>
      </c>
      <c r="F8320" t="n">
        <v>1</v>
      </c>
      <c r="G8320" t="n">
        <v>6</v>
      </c>
      <c r="H8320" s="5">
        <f>HYPERLINK("https://api.qogita.com/variants/link/4064666302690/", "View Product")</f>
        <v/>
      </c>
    </row>
    <row r="8321">
      <c r="A8321" t="inlineStr">
        <is>
          <t>4064666302935</t>
        </is>
      </c>
      <c r="B8321" t="inlineStr">
        <is>
          <t>System Professional Purify Dandruff Shampoo 250ml</t>
        </is>
      </c>
      <c r="C8321" t="inlineStr">
        <is>
          <t>Shampoo</t>
        </is>
      </c>
      <c r="D8321" t="inlineStr">
        <is>
          <t>System Professional</t>
        </is>
      </c>
      <c r="E8321" t="n">
        <v>13.58</v>
      </c>
      <c r="F8321" t="n">
        <v>1</v>
      </c>
      <c r="G8321" t="n">
        <v>16</v>
      </c>
      <c r="H8321" s="5">
        <f>HYPERLINK("https://api.qogita.com/variants/link/4064666302935/", "View Product")</f>
        <v/>
      </c>
    </row>
    <row r="8322">
      <c r="A8322" t="inlineStr">
        <is>
          <t>4064666306858</t>
        </is>
      </c>
      <c r="B8322" t="inlineStr">
        <is>
          <t>Londa Professional Scalp Purifier Shampoo For Oily Hair 250ml</t>
        </is>
      </c>
      <c r="C8322" t="inlineStr">
        <is>
          <t>Shampoo</t>
        </is>
      </c>
      <c r="D8322" t="inlineStr">
        <is>
          <t>Londa Professional</t>
        </is>
      </c>
      <c r="E8322" t="n">
        <v>3.6</v>
      </c>
      <c r="F8322" t="n">
        <v>1</v>
      </c>
      <c r="G8322" t="n">
        <v>31</v>
      </c>
      <c r="H8322" s="5">
        <f>HYPERLINK("https://api.qogita.com/variants/link/4064666306858/", "View Product")</f>
        <v/>
      </c>
    </row>
    <row r="8323">
      <c r="A8323" t="inlineStr">
        <is>
          <t>4064666306919</t>
        </is>
      </c>
      <c r="B8323" t="inlineStr">
        <is>
          <t>Stimulating Sensation Leave-In Tonic 150ml</t>
        </is>
      </c>
      <c r="C8323" t="inlineStr">
        <is>
          <t>Hair Tonic</t>
        </is>
      </c>
      <c r="D8323" t="inlineStr">
        <is>
          <t>Londa Professional</t>
        </is>
      </c>
      <c r="E8323" t="n">
        <v>7.38</v>
      </c>
      <c r="F8323" t="n">
        <v>1</v>
      </c>
      <c r="G8323" t="n">
        <v>5</v>
      </c>
      <c r="H8323" s="5">
        <f>HYPERLINK("https://api.qogita.com/variants/link/4064666306919/", "View Product")</f>
        <v/>
      </c>
    </row>
    <row r="8324">
      <c r="A8324" t="inlineStr">
        <is>
          <t>4064666306926</t>
        </is>
      </c>
      <c r="B8324" t="inlineStr">
        <is>
          <t>Londa Professional Scalp Vital Booster Serum 6 x 9ml</t>
        </is>
      </c>
      <c r="C8324" t="inlineStr">
        <is>
          <t>Hair Oil &amp; Hair Serum</t>
        </is>
      </c>
      <c r="D8324" t="inlineStr">
        <is>
          <t>Londa</t>
        </is>
      </c>
      <c r="E8324" t="n">
        <v>13.44</v>
      </c>
      <c r="F8324" t="n">
        <v>1</v>
      </c>
      <c r="G8324" t="n">
        <v>2</v>
      </c>
      <c r="H8324" s="5">
        <f>HYPERLINK("https://api.qogita.com/variants/link/4064666306926/", "View Product")</f>
        <v/>
      </c>
    </row>
    <row r="8325">
      <c r="A8325" t="inlineStr">
        <is>
          <t>4064666307879</t>
        </is>
      </c>
      <c r="B8325" t="inlineStr">
        <is>
          <t>Londa Professional Scalp Detox Pre-Shampoo Anti-Dandruff Treatment For Sensitive Skin 150ml</t>
        </is>
      </c>
      <c r="C8325" t="inlineStr">
        <is>
          <t>Scalp Care</t>
        </is>
      </c>
      <c r="D8325" t="inlineStr">
        <is>
          <t>Londa Professional</t>
        </is>
      </c>
      <c r="E8325" t="n">
        <v>8.470000000000001</v>
      </c>
      <c r="F8325" t="n">
        <v>1</v>
      </c>
      <c r="G8325" t="n">
        <v>11</v>
      </c>
      <c r="H8325" s="5">
        <f>HYPERLINK("https://api.qogita.com/variants/link/4064666307879/", "View Product")</f>
        <v/>
      </c>
    </row>
    <row r="8326">
      <c r="A8326" t="inlineStr">
        <is>
          <t>4064666309101</t>
        </is>
      </c>
      <c r="B8326" t="inlineStr">
        <is>
          <t>Sebastian Cellophanes Ice Blonde Hair Treatment - 300 Milliliters</t>
        </is>
      </c>
      <c r="C8326" t="inlineStr">
        <is>
          <t>Hair Masks</t>
        </is>
      </c>
      <c r="D8326" t="inlineStr">
        <is>
          <t>Sebastian</t>
        </is>
      </c>
      <c r="E8326" t="n">
        <v>29.45</v>
      </c>
      <c r="F8326" t="n">
        <v>1</v>
      </c>
      <c r="G8326" t="n">
        <v>3</v>
      </c>
      <c r="H8326" s="5">
        <f>HYPERLINK("https://api.qogita.com/variants/link/4064666309101/", "View Product")</f>
        <v/>
      </c>
    </row>
    <row r="8327">
      <c r="A8327" t="inlineStr">
        <is>
          <t>4064666310152</t>
        </is>
      </c>
      <c r="B8327" t="inlineStr">
        <is>
          <t>Sebastian Professional Matte Putty 75ml Hair Definition And Shape Product</t>
        </is>
      </c>
      <c r="C8327" t="inlineStr">
        <is>
          <t>Wax</t>
        </is>
      </c>
      <c r="D8327" t="inlineStr">
        <is>
          <t>Sebastian Professional</t>
        </is>
      </c>
      <c r="E8327" t="n">
        <v>13.54</v>
      </c>
      <c r="F8327" t="n">
        <v>1</v>
      </c>
      <c r="G8327" t="n">
        <v>10</v>
      </c>
      <c r="H8327" s="5">
        <f>HYPERLINK("https://api.qogita.com/variants/link/4064666310152/", "View Product")</f>
        <v/>
      </c>
    </row>
    <row r="8328">
      <c r="A8328" t="inlineStr">
        <is>
          <t>4064666311524</t>
        </is>
      </c>
      <c r="B8328" t="inlineStr">
        <is>
          <t>Sebastian Cellophanes Cinnamon Red - 300 Milliliters</t>
        </is>
      </c>
      <c r="C8328" t="inlineStr">
        <is>
          <t>Color Rinse</t>
        </is>
      </c>
      <c r="D8328" t="inlineStr">
        <is>
          <t>Sebastian</t>
        </is>
      </c>
      <c r="E8328" t="n">
        <v>31.14</v>
      </c>
      <c r="F8328" t="n">
        <v>1</v>
      </c>
      <c r="G8328" t="n">
        <v>18</v>
      </c>
      <c r="H8328" s="5">
        <f>HYPERLINK("https://api.qogita.com/variants/link/4064666311524/", "View Product")</f>
        <v/>
      </c>
    </row>
    <row r="8329">
      <c r="A8329" t="inlineStr">
        <is>
          <t>4064666314341</t>
        </is>
      </c>
      <c r="B8329" t="inlineStr">
        <is>
          <t>Londa Professional Layer Up Flexible Hold Hair Spray</t>
        </is>
      </c>
      <c r="C8329" t="inlineStr">
        <is>
          <t>Hairspray</t>
        </is>
      </c>
      <c r="D8329" t="inlineStr">
        <is>
          <t>Londa Professional</t>
        </is>
      </c>
      <c r="E8329" t="n">
        <v>4.19</v>
      </c>
      <c r="F8329" t="n">
        <v>1</v>
      </c>
      <c r="G8329" t="n">
        <v>81</v>
      </c>
      <c r="H8329" s="5">
        <f>HYPERLINK("https://api.qogita.com/variants/link/4064666314341/", "View Product")</f>
        <v/>
      </c>
    </row>
    <row r="8330">
      <c r="A8330" t="inlineStr">
        <is>
          <t>4064666315874</t>
        </is>
      </c>
      <c r="B8330" t="inlineStr">
        <is>
          <t>Wella Professionals Color Motion Conditioner 200ml</t>
        </is>
      </c>
      <c r="C8330" t="inlineStr">
        <is>
          <t>Conditioner</t>
        </is>
      </c>
      <c r="D8330" t="inlineStr">
        <is>
          <t>Wella Professionals</t>
        </is>
      </c>
      <c r="E8330" t="n">
        <v>12.15</v>
      </c>
      <c r="F8330" t="n">
        <v>1</v>
      </c>
      <c r="G8330" t="n">
        <v>23</v>
      </c>
      <c r="H8330" s="5">
        <f>HYPERLINK("https://api.qogita.com/variants/link/4064666315874/", "View Product")</f>
        <v/>
      </c>
    </row>
    <row r="8331">
      <c r="A8331" t="inlineStr">
        <is>
          <t>4064666317908</t>
        </is>
      </c>
      <c r="B8331" t="inlineStr">
        <is>
          <t>Londa Visible Repair Shampoo 250ml</t>
        </is>
      </c>
      <c r="C8331" t="inlineStr">
        <is>
          <t>Shampoo</t>
        </is>
      </c>
      <c r="D8331" t="inlineStr">
        <is>
          <t>Londa</t>
        </is>
      </c>
      <c r="E8331" t="n">
        <v>3.28</v>
      </c>
      <c r="F8331" t="n">
        <v>1</v>
      </c>
      <c r="G8331" t="n">
        <v>7</v>
      </c>
      <c r="H8331" s="5">
        <f>HYPERLINK("https://api.qogita.com/variants/link/4064666317908/", "View Product")</f>
        <v/>
      </c>
    </row>
    <row r="8332">
      <c r="A8332" t="inlineStr">
        <is>
          <t>4064666318097</t>
        </is>
      </c>
      <c r="B8332" t="inlineStr">
        <is>
          <t>Londa Professional Visible Repair Mask Hair Mask 750 Ml</t>
        </is>
      </c>
      <c r="C8332" t="inlineStr">
        <is>
          <t>Hair Masks</t>
        </is>
      </c>
      <c r="D8332" t="inlineStr">
        <is>
          <t>Londa Professional</t>
        </is>
      </c>
      <c r="E8332" t="n">
        <v>15.62</v>
      </c>
      <c r="F8332" t="n">
        <v>1</v>
      </c>
      <c r="G8332" t="n">
        <v>10</v>
      </c>
      <c r="H8332" s="5">
        <f>HYPERLINK("https://api.qogita.com/variants/link/4064666318097/", "View Product")</f>
        <v/>
      </c>
    </row>
    <row r="8333">
      <c r="A8333" t="inlineStr">
        <is>
          <t>4064666318233</t>
        </is>
      </c>
      <c r="B8333" t="inlineStr">
        <is>
          <t>Wella Professionals Fusion Intense Repair Shampoo 1000ml Intensely Restorative Shampoo For Damaged Hair</t>
        </is>
      </c>
      <c r="C8333" t="inlineStr">
        <is>
          <t>Shampoo</t>
        </is>
      </c>
      <c r="D8333" t="inlineStr">
        <is>
          <t>Wella Professionals</t>
        </is>
      </c>
      <c r="E8333" t="n">
        <v>20.54</v>
      </c>
      <c r="F8333" t="n">
        <v>1</v>
      </c>
      <c r="G8333" t="n">
        <v>25</v>
      </c>
      <c r="H8333" s="5">
        <f>HYPERLINK("https://api.qogita.com/variants/link/4064666318233/", "View Product")</f>
        <v/>
      </c>
    </row>
    <row r="8334">
      <c r="A8334" t="inlineStr">
        <is>
          <t>4064666318349</t>
        </is>
      </c>
      <c r="B8334" t="inlineStr">
        <is>
          <t>Wella Professionals Invigo Brilliance Color Protection Shampoo For Coarse Hair 1000ml</t>
        </is>
      </c>
      <c r="C8334" t="inlineStr">
        <is>
          <t>Shampoo</t>
        </is>
      </c>
      <c r="D8334" t="inlineStr">
        <is>
          <t>Wella</t>
        </is>
      </c>
      <c r="E8334" t="n">
        <v>18.05</v>
      </c>
      <c r="F8334" t="n">
        <v>1</v>
      </c>
      <c r="G8334" t="n">
        <v>43</v>
      </c>
      <c r="H8334" s="5">
        <f>HYPERLINK("https://api.qogita.com/variants/link/4064666318349/", "View Product")</f>
        <v/>
      </c>
    </row>
    <row r="8335">
      <c r="A8335" t="inlineStr">
        <is>
          <t>4064666321493</t>
        </is>
      </c>
      <c r="B8335" t="inlineStr">
        <is>
          <t>Wella Professionals Sp Repair Conditioner Regenerating Hair Conditioner 200ml</t>
        </is>
      </c>
      <c r="C8335" t="inlineStr">
        <is>
          <t>Conditioner</t>
        </is>
      </c>
      <c r="D8335" t="inlineStr">
        <is>
          <t>Wella Professionals</t>
        </is>
      </c>
      <c r="E8335" t="n">
        <v>7.52</v>
      </c>
      <c r="F8335" t="n">
        <v>1</v>
      </c>
      <c r="G8335" t="n">
        <v>7</v>
      </c>
      <c r="H8335" s="5">
        <f>HYPERLINK("https://api.qogita.com/variants/link/4064666321493/", "View Product")</f>
        <v/>
      </c>
    </row>
    <row r="8336">
      <c r="A8336" t="inlineStr">
        <is>
          <t>4064666321622</t>
        </is>
      </c>
      <c r="B8336" t="inlineStr">
        <is>
          <t>Wella Professionals Sp Hydrate Conditioner Moisturizing Conditioner For Dry Hair 200ml</t>
        </is>
      </c>
      <c r="C8336" t="inlineStr">
        <is>
          <t>Conditioner</t>
        </is>
      </c>
      <c r="D8336" t="inlineStr">
        <is>
          <t>Wella Professionals</t>
        </is>
      </c>
      <c r="E8336" t="n">
        <v>6.95</v>
      </c>
      <c r="F8336" t="n">
        <v>1</v>
      </c>
      <c r="G8336" t="n">
        <v>23</v>
      </c>
      <c r="H8336" s="5">
        <f>HYPERLINK("https://api.qogita.com/variants/link/4064666321622/", "View Product")</f>
        <v/>
      </c>
    </row>
    <row r="8337">
      <c r="A8337" t="inlineStr">
        <is>
          <t>4064666322575</t>
        </is>
      </c>
      <c r="B8337" t="inlineStr">
        <is>
          <t>Wella Professionals Fusion Repair Mask 500ml Intensive Repair Mask For Damaged Hair</t>
        </is>
      </c>
      <c r="C8337" t="inlineStr">
        <is>
          <t>Hair Masks</t>
        </is>
      </c>
      <c r="D8337" t="inlineStr">
        <is>
          <t>Wella Professionals</t>
        </is>
      </c>
      <c r="E8337" t="n">
        <v>22.59</v>
      </c>
      <c r="F8337" t="n">
        <v>1</v>
      </c>
      <c r="G8337" t="n">
        <v>207</v>
      </c>
      <c r="H8337" s="5">
        <f>HYPERLINK("https://api.qogita.com/variants/link/4064666322575/", "View Product")</f>
        <v/>
      </c>
    </row>
    <row r="8338">
      <c r="A8338" t="inlineStr">
        <is>
          <t>4064666337586</t>
        </is>
      </c>
      <c r="B8338" t="inlineStr">
        <is>
          <t>Wella Professionals Color Motion Color Protection Shampoo 500ml For Colored Hair</t>
        </is>
      </c>
      <c r="C8338" t="inlineStr">
        <is>
          <t>Shampoo</t>
        </is>
      </c>
      <c r="D8338" t="inlineStr">
        <is>
          <t>Wella Professionals</t>
        </is>
      </c>
      <c r="E8338" t="n">
        <v>13.69</v>
      </c>
      <c r="F8338" t="n">
        <v>1</v>
      </c>
      <c r="G8338" t="n">
        <v>8</v>
      </c>
      <c r="H8338" s="5">
        <f>HYPERLINK("https://api.qogita.com/variants/link/4064666337586/", "View Product")</f>
        <v/>
      </c>
    </row>
    <row r="8339">
      <c r="A8339" t="inlineStr">
        <is>
          <t>4064666338873</t>
        </is>
      </c>
      <c r="B8339" t="inlineStr">
        <is>
          <t>Wella Professionals Color Service Post Colour Treatment 250ml</t>
        </is>
      </c>
      <c r="C8339" t="inlineStr">
        <is>
          <t>Conditioner</t>
        </is>
      </c>
      <c r="D8339" t="inlineStr">
        <is>
          <t>Wella Professionals</t>
        </is>
      </c>
      <c r="E8339" t="n">
        <v>10.76</v>
      </c>
      <c r="F8339" t="n">
        <v>1</v>
      </c>
      <c r="G8339" t="n">
        <v>9</v>
      </c>
      <c r="H8339" s="5">
        <f>HYPERLINK("https://api.qogita.com/variants/link/4064666338873/", "View Product")</f>
        <v/>
      </c>
    </row>
    <row r="8340">
      <c r="A8340" t="inlineStr">
        <is>
          <t>4064666339153</t>
        </is>
      </c>
      <c r="B8340" t="inlineStr">
        <is>
          <t>Wella Invigo Nutri Enrich Frizz Control Cream 150ml</t>
        </is>
      </c>
      <c r="C8340" t="inlineStr">
        <is>
          <t>Styling Creams</t>
        </is>
      </c>
      <c r="D8340" t="inlineStr">
        <is>
          <t>Wella</t>
        </is>
      </c>
      <c r="E8340" t="n">
        <v>10.64</v>
      </c>
      <c r="F8340" t="n">
        <v>1</v>
      </c>
      <c r="G8340" t="n">
        <v>4</v>
      </c>
      <c r="H8340" s="5">
        <f>HYPERLINK("https://api.qogita.com/variants/link/4064666339153/", "View Product")</f>
        <v/>
      </c>
    </row>
    <row r="8341">
      <c r="A8341" t="inlineStr">
        <is>
          <t>4064666429403</t>
        </is>
      </c>
      <c r="B8341" t="inlineStr">
        <is>
          <t>Wella Professionals Magma Posttreatment Hair Treatment 500 Ml</t>
        </is>
      </c>
      <c r="C8341" t="inlineStr">
        <is>
          <t>Hair Masks</t>
        </is>
      </c>
      <c r="D8341" t="inlineStr">
        <is>
          <t>Wella Professionals</t>
        </is>
      </c>
      <c r="E8341" t="n">
        <v>17.2</v>
      </c>
      <c r="F8341" t="n">
        <v>1</v>
      </c>
      <c r="G8341" t="n">
        <v>5</v>
      </c>
      <c r="H8341" s="5">
        <f>HYPERLINK("https://api.qogita.com/variants/link/4064666429403/", "View Product")</f>
        <v/>
      </c>
    </row>
    <row r="8342">
      <c r="A8342" t="inlineStr">
        <is>
          <t>4064666578965</t>
        </is>
      </c>
      <c r="B8342" t="inlineStr">
        <is>
          <t>Wella Professionals Blondor Soft Blonde 7 Cream Lightening Cream 200g</t>
        </is>
      </c>
      <c r="C8342" t="inlineStr">
        <is>
          <t>Bleaching</t>
        </is>
      </c>
      <c r="D8342" t="inlineStr">
        <is>
          <t>Wella</t>
        </is>
      </c>
      <c r="E8342" t="n">
        <v>11.72</v>
      </c>
      <c r="F8342" t="n">
        <v>1</v>
      </c>
      <c r="G8342" t="n">
        <v>4</v>
      </c>
      <c r="H8342" s="5">
        <f>HYPERLINK("https://api.qogita.com/variants/link/4064666578965/", "View Product")</f>
        <v/>
      </c>
    </row>
    <row r="8343">
      <c r="A8343" t="inlineStr">
        <is>
          <t>4064666583334</t>
        </is>
      </c>
      <c r="B8343" t="inlineStr">
        <is>
          <t>Wella Professional Color Motion Structure Mask Regenerating Mask For Colored Hair 75ml</t>
        </is>
      </c>
      <c r="C8343" t="inlineStr">
        <is>
          <t>Hair Masks</t>
        </is>
      </c>
      <c r="D8343" t="inlineStr">
        <is>
          <t>Wella Professionals</t>
        </is>
      </c>
      <c r="E8343" t="n">
        <v>7.76</v>
      </c>
      <c r="F8343" t="n">
        <v>1</v>
      </c>
      <c r="G8343" t="n">
        <v>10</v>
      </c>
      <c r="H8343" s="5">
        <f>HYPERLINK("https://api.qogita.com/variants/link/4064666583334/", "View Product")</f>
        <v/>
      </c>
    </row>
    <row r="8344">
      <c r="A8344" t="inlineStr">
        <is>
          <t>4064666585536</t>
        </is>
      </c>
      <c r="B8344" t="inlineStr">
        <is>
          <t>Wella Professionals Invigo Nutrienrich Shampoo 500ml</t>
        </is>
      </c>
      <c r="C8344" t="inlineStr">
        <is>
          <t>Shampoo</t>
        </is>
      </c>
      <c r="D8344" t="inlineStr">
        <is>
          <t>Wella Professionals</t>
        </is>
      </c>
      <c r="E8344" t="n">
        <v>9.720000000000001</v>
      </c>
      <c r="F8344" t="n">
        <v>1</v>
      </c>
      <c r="G8344" t="n">
        <v>5</v>
      </c>
      <c r="H8344" s="5">
        <f>HYPERLINK("https://api.qogita.com/variants/link/4064666585536/", "View Product")</f>
        <v/>
      </c>
    </row>
    <row r="8345">
      <c r="A8345" t="inlineStr">
        <is>
          <t>4064666585550</t>
        </is>
      </c>
      <c r="B8345" t="inlineStr">
        <is>
          <t>Wella Professionals Invigo Nutrienrich Conditioner 200ml</t>
        </is>
      </c>
      <c r="C8345" t="inlineStr">
        <is>
          <t>Conditioner</t>
        </is>
      </c>
      <c r="D8345" t="inlineStr">
        <is>
          <t>Wella Professionals</t>
        </is>
      </c>
      <c r="E8345" t="n">
        <v>8.17</v>
      </c>
      <c r="F8345" t="n">
        <v>1</v>
      </c>
      <c r="G8345" t="n">
        <v>7</v>
      </c>
      <c r="H8345" s="5">
        <f>HYPERLINK("https://api.qogita.com/variants/link/4064666585550/", "View Product")</f>
        <v/>
      </c>
    </row>
    <row r="8346">
      <c r="A8346" t="inlineStr">
        <is>
          <t>4064666599373</t>
        </is>
      </c>
      <c r="B8346" t="inlineStr">
        <is>
          <t>Londa Professional Enhance It Flexible Hold Mousse - 200 Ml</t>
        </is>
      </c>
      <c r="C8346" t="inlineStr">
        <is>
          <t>Mousse</t>
        </is>
      </c>
      <c r="D8346" t="inlineStr">
        <is>
          <t>Londa Professional</t>
        </is>
      </c>
      <c r="E8346" t="n">
        <v>5.17</v>
      </c>
      <c r="F8346" t="n">
        <v>1</v>
      </c>
      <c r="G8346" t="n">
        <v>4</v>
      </c>
      <c r="H8346" s="5">
        <f>HYPERLINK("https://api.qogita.com/variants/link/4064666599373/", "View Product")</f>
        <v/>
      </c>
    </row>
    <row r="8347">
      <c r="A8347" t="inlineStr">
        <is>
          <t>4064666599533</t>
        </is>
      </c>
      <c r="B8347" t="inlineStr">
        <is>
          <t>Wella Professionals Ultimate Repair Mask 150 Ml Restorative Hair Mask For Damaged Hair</t>
        </is>
      </c>
      <c r="C8347" t="inlineStr">
        <is>
          <t>Hair Masks</t>
        </is>
      </c>
      <c r="D8347" t="inlineStr">
        <is>
          <t>Wella Professionals</t>
        </is>
      </c>
      <c r="E8347" t="n">
        <v>18.87</v>
      </c>
      <c r="F8347" t="n">
        <v>1</v>
      </c>
      <c r="G8347" t="n">
        <v>5</v>
      </c>
      <c r="H8347" s="5">
        <f>HYPERLINK("https://api.qogita.com/variants/link/4064666599533/", "View Product")</f>
        <v/>
      </c>
    </row>
    <row r="8348">
      <c r="A8348" t="inlineStr">
        <is>
          <t>4064666622804</t>
        </is>
      </c>
      <c r="B8348" t="inlineStr">
        <is>
          <t>Wella Professionals Elements Renewing Conditioner 200ml</t>
        </is>
      </c>
      <c r="C8348" t="inlineStr">
        <is>
          <t>Conditioner</t>
        </is>
      </c>
      <c r="D8348" t="inlineStr">
        <is>
          <t>Wella Professionals</t>
        </is>
      </c>
      <c r="E8348" t="n">
        <v>11.39</v>
      </c>
      <c r="F8348" t="n">
        <v>1</v>
      </c>
      <c r="G8348" t="n">
        <v>5</v>
      </c>
      <c r="H8348" s="5">
        <f>HYPERLINK("https://api.qogita.com/variants/link/4064666622804/", "View Product")</f>
        <v/>
      </c>
    </row>
    <row r="8349">
      <c r="A8349" t="inlineStr">
        <is>
          <t>4064666717876</t>
        </is>
      </c>
      <c r="B8349" t="inlineStr">
        <is>
          <t>Wella Shinefinity 60 ml 0106 Hair Color</t>
        </is>
      </c>
      <c r="C8349" t="inlineStr">
        <is>
          <t>Hair Dye</t>
        </is>
      </c>
      <c r="D8349" t="inlineStr">
        <is>
          <t>Wella</t>
        </is>
      </c>
      <c r="E8349" t="n">
        <v>7.33</v>
      </c>
      <c r="F8349" t="n">
        <v>1</v>
      </c>
      <c r="G8349" t="n">
        <v>3</v>
      </c>
      <c r="H8349" s="5">
        <f>HYPERLINK("https://api.qogita.com/variants/link/4064666717876/", "View Product")</f>
        <v/>
      </c>
    </row>
    <row r="8350">
      <c r="A8350" t="inlineStr">
        <is>
          <t>4064666842554</t>
        </is>
      </c>
      <c r="B8350" t="inlineStr">
        <is>
          <t>Nioxin Professional Anti Hair Loss Serum with Niacinamide Leave In Hair Care for Hair Growth for Thinning Hair with Caffeine &amp; Niacinamide 70ml</t>
        </is>
      </c>
      <c r="C8350" t="inlineStr">
        <is>
          <t>Hair Oil &amp; Hair Serum</t>
        </is>
      </c>
      <c r="D8350" t="inlineStr">
        <is>
          <t>Nioxin</t>
        </is>
      </c>
      <c r="E8350" t="n">
        <v>43.92</v>
      </c>
      <c r="F8350" t="n">
        <v>1</v>
      </c>
      <c r="G8350" t="n">
        <v>14</v>
      </c>
      <c r="H8350" s="5">
        <f>HYPERLINK("https://api.qogita.com/variants/link/4064666842554/", "View Product")</f>
        <v/>
      </c>
    </row>
    <row r="8351">
      <c r="A8351" t="inlineStr">
        <is>
          <t>4064666842868</t>
        </is>
      </c>
      <c r="B8351" t="inlineStr">
        <is>
          <t>Nioxin Skin Revitalizer For Fine Colored Thinning Hair System 3 Conditioner</t>
        </is>
      </c>
      <c r="C8351" t="inlineStr">
        <is>
          <t>Conditioner</t>
        </is>
      </c>
      <c r="D8351" t="inlineStr">
        <is>
          <t>Nioxin</t>
        </is>
      </c>
      <c r="E8351" t="n">
        <v>11.22</v>
      </c>
      <c r="F8351" t="n">
        <v>1</v>
      </c>
      <c r="G8351" t="n">
        <v>12</v>
      </c>
      <c r="H8351" s="5">
        <f>HYPERLINK("https://api.qogita.com/variants/link/4064666842868/", "View Product")</f>
        <v/>
      </c>
    </row>
    <row r="8352">
      <c r="A8352" t="inlineStr">
        <is>
          <t>4064666842882</t>
        </is>
      </c>
      <c r="B8352" t="inlineStr">
        <is>
          <t>Nioxin System 4 Revitalizing Conditioner 300ml For Colored Hair With Advanced Density Loss</t>
        </is>
      </c>
      <c r="C8352" t="inlineStr">
        <is>
          <t>Conditioner</t>
        </is>
      </c>
      <c r="D8352" t="inlineStr">
        <is>
          <t>Nioxin</t>
        </is>
      </c>
      <c r="E8352" t="n">
        <v>12.28</v>
      </c>
      <c r="F8352" t="n">
        <v>1</v>
      </c>
      <c r="G8352" t="n">
        <v>13</v>
      </c>
      <c r="H8352" s="5">
        <f>HYPERLINK("https://api.qogita.com/variants/link/4064666842882/", "View Product")</f>
        <v/>
      </c>
    </row>
    <row r="8353">
      <c r="A8353" t="inlineStr">
        <is>
          <t>4064666842899</t>
        </is>
      </c>
      <c r="B8353" t="inlineStr">
        <is>
          <t>Nioxin Densifying Serum For Natural Hair With Advanced Thinning 100ml</t>
        </is>
      </c>
      <c r="C8353" t="inlineStr">
        <is>
          <t>Hair Oil &amp; Hair Serum</t>
        </is>
      </c>
      <c r="D8353" t="inlineStr">
        <is>
          <t>Nioxin</t>
        </is>
      </c>
      <c r="E8353" t="n">
        <v>13.24</v>
      </c>
      <c r="F8353" t="n">
        <v>1</v>
      </c>
      <c r="G8353" t="n">
        <v>11</v>
      </c>
      <c r="H8353" s="5">
        <f>HYPERLINK("https://api.qogita.com/variants/link/4064666842899/", "View Product")</f>
        <v/>
      </c>
    </row>
    <row r="8354">
      <c r="A8354" t="inlineStr">
        <is>
          <t>4064666842905</t>
        </is>
      </c>
      <c r="B8354" t="inlineStr">
        <is>
          <t>Nioxin Diaboost Hair Serum - 100ml</t>
        </is>
      </c>
      <c r="C8354" t="inlineStr">
        <is>
          <t>Hair Oil &amp; Hair Serum</t>
        </is>
      </c>
      <c r="D8354" t="inlineStr">
        <is>
          <t>Nioxin</t>
        </is>
      </c>
      <c r="E8354" t="n">
        <v>42.06</v>
      </c>
      <c r="F8354" t="n">
        <v>1</v>
      </c>
      <c r="G8354" t="n">
        <v>19</v>
      </c>
      <c r="H8354" s="5">
        <f>HYPERLINK("https://api.qogita.com/variants/link/4064666842905/", "View Product")</f>
        <v/>
      </c>
    </row>
    <row r="8355">
      <c r="A8355" t="inlineStr">
        <is>
          <t>4064666843148</t>
        </is>
      </c>
      <c r="B8355" t="inlineStr">
        <is>
          <t>Nioxin System 1 Shampoo Cleanser For Fine Natural Hair Thinning Slightly</t>
        </is>
      </c>
      <c r="C8355" t="inlineStr">
        <is>
          <t>Shampoo</t>
        </is>
      </c>
      <c r="D8355" t="inlineStr">
        <is>
          <t>Nioxin</t>
        </is>
      </c>
      <c r="E8355" t="n">
        <v>13.51</v>
      </c>
      <c r="F8355" t="n">
        <v>1</v>
      </c>
      <c r="G8355" t="n">
        <v>20</v>
      </c>
      <c r="H8355" s="5">
        <f>HYPERLINK("https://api.qogita.com/variants/link/4064666843148/", "View Product")</f>
        <v/>
      </c>
    </row>
    <row r="8356">
      <c r="A8356" t="inlineStr">
        <is>
          <t>4064666843186</t>
        </is>
      </c>
      <c r="B8356" t="inlineStr">
        <is>
          <t>Nioxin System 2 Revitalizing Conditioner 300ml For Natural Hair With Advanced Thinning</t>
        </is>
      </c>
      <c r="C8356" t="inlineStr">
        <is>
          <t>Conditioner</t>
        </is>
      </c>
      <c r="D8356" t="inlineStr">
        <is>
          <t>Nioxin</t>
        </is>
      </c>
      <c r="E8356" t="n">
        <v>12.23</v>
      </c>
      <c r="F8356" t="n">
        <v>1</v>
      </c>
      <c r="G8356" t="n">
        <v>8</v>
      </c>
      <c r="H8356" s="5">
        <f>HYPERLINK("https://api.qogita.com/variants/link/4064666843186/", "View Product")</f>
        <v/>
      </c>
    </row>
    <row r="8357">
      <c r="A8357" t="inlineStr">
        <is>
          <t>4064666843230</t>
        </is>
      </c>
      <c r="B8357" t="inlineStr">
        <is>
          <t>Nioxin System 3 Revitalizing Conditioner 1000 Ml For Colored Hair With Slight Density Loss</t>
        </is>
      </c>
      <c r="C8357" t="inlineStr">
        <is>
          <t>Conditioner</t>
        </is>
      </c>
      <c r="D8357" t="inlineStr">
        <is>
          <t>Nioxin</t>
        </is>
      </c>
      <c r="E8357" t="n">
        <v>25.75</v>
      </c>
      <c r="F8357" t="n">
        <v>1</v>
      </c>
      <c r="G8357" t="n">
        <v>4</v>
      </c>
      <c r="H8357" s="5">
        <f>HYPERLINK("https://api.qogita.com/variants/link/4064666843230/", "View Product")</f>
        <v/>
      </c>
    </row>
    <row r="8358">
      <c r="A8358" t="inlineStr">
        <is>
          <t>4064666844978</t>
        </is>
      </c>
      <c r="B8358" t="inlineStr">
        <is>
          <t>Sebastian Professional NO.BREAKER Bonding Shampoo Strengthens Damaged Hair Intensive Care For Soft Smooth Hair 250ml Green Apple</t>
        </is>
      </c>
      <c r="C8358" t="inlineStr">
        <is>
          <t>Shampoo</t>
        </is>
      </c>
      <c r="D8358" t="inlineStr">
        <is>
          <t>Sebastian Professional</t>
        </is>
      </c>
      <c r="E8358" t="n">
        <v>12.33</v>
      </c>
      <c r="F8358" t="n">
        <v>1</v>
      </c>
      <c r="G8358" t="n">
        <v>17</v>
      </c>
      <c r="H8358" s="5">
        <f>HYPERLINK("https://api.qogita.com/variants/link/4064666844978/", "View Product")</f>
        <v/>
      </c>
    </row>
    <row r="8359">
      <c r="A8359" t="inlineStr">
        <is>
          <t>4064666897943</t>
        </is>
      </c>
      <c r="B8359" t="inlineStr">
        <is>
          <t>Nioxin Niox Hair Booster 100 Ml Treatment For Thickness And Density</t>
        </is>
      </c>
      <c r="C8359" t="inlineStr">
        <is>
          <t>Hair Tonic</t>
        </is>
      </c>
      <c r="D8359" t="inlineStr">
        <is>
          <t>Nioxin</t>
        </is>
      </c>
      <c r="E8359" t="n">
        <v>36.93</v>
      </c>
      <c r="F8359" t="n">
        <v>1</v>
      </c>
      <c r="G8359" t="n">
        <v>10</v>
      </c>
      <c r="H8359" s="5">
        <f>HYPERLINK("https://api.qogita.com/variants/link/4064666897943/", "View Product")</f>
        <v/>
      </c>
    </row>
    <row r="8360">
      <c r="A8360" t="inlineStr">
        <is>
          <t>4064666897967</t>
        </is>
      </c>
      <c r="B8360" t="inlineStr">
        <is>
          <t>Nioxin Density Defend - Breakage Defense And Strengthening Mask 150ml</t>
        </is>
      </c>
      <c r="C8360" t="inlineStr">
        <is>
          <t>Hair Masks</t>
        </is>
      </c>
      <c r="D8360" t="inlineStr">
        <is>
          <t>Nioxin</t>
        </is>
      </c>
      <c r="E8360" t="n">
        <v>10.83</v>
      </c>
      <c r="F8360" t="n">
        <v>1</v>
      </c>
      <c r="G8360" t="n">
        <v>14</v>
      </c>
      <c r="H8360" s="5">
        <f>HYPERLINK("https://api.qogita.com/variants/link/4064666897967/", "View Product")</f>
        <v/>
      </c>
    </row>
    <row r="8361">
      <c r="A8361" t="inlineStr">
        <is>
          <t>4064666898094</t>
        </is>
      </c>
      <c r="B8361" t="inlineStr">
        <is>
          <t>Nioxin System 1 Revitalizing Conditioner 1000 Ml For Natural Hair With Slight Density Loss</t>
        </is>
      </c>
      <c r="C8361" t="inlineStr">
        <is>
          <t>Conditioner</t>
        </is>
      </c>
      <c r="D8361" t="inlineStr">
        <is>
          <t>Nioxin</t>
        </is>
      </c>
      <c r="E8361" t="n">
        <v>24.13</v>
      </c>
      <c r="F8361" t="n">
        <v>1</v>
      </c>
      <c r="G8361" t="n">
        <v>11</v>
      </c>
      <c r="H8361" s="5">
        <f>HYPERLINK("https://api.qogita.com/variants/link/4064666898094/", "View Product")</f>
        <v/>
      </c>
    </row>
    <row r="8362">
      <c r="A8362" t="inlineStr">
        <is>
          <t>4064666898636</t>
        </is>
      </c>
      <c r="B8362" t="inlineStr">
        <is>
          <t>Nioxin Dry Shampoo Volumizing Treatment For Oily And Fine Hair 180ml</t>
        </is>
      </c>
      <c r="C8362" t="inlineStr">
        <is>
          <t>Dry Shampoo</t>
        </is>
      </c>
      <c r="D8362" t="inlineStr">
        <is>
          <t>Nioxin</t>
        </is>
      </c>
      <c r="E8362" t="n">
        <v>16.02</v>
      </c>
      <c r="F8362" t="n">
        <v>1</v>
      </c>
      <c r="G8362" t="n">
        <v>6</v>
      </c>
      <c r="H8362" s="5">
        <f>HYPERLINK("https://api.qogita.com/variants/link/4064666898636/", "View Product")</f>
        <v/>
      </c>
    </row>
    <row r="8363">
      <c r="A8363" t="inlineStr">
        <is>
          <t>4064666900766</t>
        </is>
      </c>
      <c r="B8363" t="inlineStr">
        <is>
          <t>Wella Professionals Color Touch 5/3 Semi-Permanent Hair Color</t>
        </is>
      </c>
      <c r="C8363" t="inlineStr">
        <is>
          <t>Hair Dye</t>
        </is>
      </c>
      <c r="D8363" t="inlineStr">
        <is>
          <t>Wella Professionals</t>
        </is>
      </c>
      <c r="E8363" t="n">
        <v>7.58</v>
      </c>
      <c r="F8363" t="n">
        <v>1</v>
      </c>
      <c r="G8363" t="n">
        <v>3</v>
      </c>
      <c r="H8363" s="5">
        <f>HYPERLINK("https://api.qogita.com/variants/link/4064666900766/", "View Product")</f>
        <v/>
      </c>
    </row>
    <row r="8364">
      <c r="A8364" t="inlineStr">
        <is>
          <t>4064666903644</t>
        </is>
      </c>
      <c r="B8364" t="inlineStr">
        <is>
          <t>Londa Professional Lock It Ultra Extreme Strong Hold Hair Spray Extreme 250ml</t>
        </is>
      </c>
      <c r="C8364" t="inlineStr">
        <is>
          <t>Hairspray</t>
        </is>
      </c>
      <c r="D8364" t="inlineStr">
        <is>
          <t>Londa Professional</t>
        </is>
      </c>
      <c r="E8364" t="n">
        <v>4.85</v>
      </c>
      <c r="F8364" t="n">
        <v>1</v>
      </c>
      <c r="G8364" t="n">
        <v>6</v>
      </c>
      <c r="H8364" s="5">
        <f>HYPERLINK("https://api.qogita.com/variants/link/4064666903644/", "View Product")</f>
        <v/>
      </c>
    </row>
    <row r="8365">
      <c r="A8365" t="inlineStr">
        <is>
          <t>4064666906126</t>
        </is>
      </c>
      <c r="B8365" t="inlineStr">
        <is>
          <t>Wella Professionals Ultimate Smooth Conditioner Conditioning Hair Treatment</t>
        </is>
      </c>
      <c r="C8365" t="inlineStr">
        <is>
          <t>Conditioner</t>
        </is>
      </c>
      <c r="D8365" t="inlineStr">
        <is>
          <t>Wella Professionals</t>
        </is>
      </c>
      <c r="E8365" t="n">
        <v>37.31</v>
      </c>
      <c r="F8365" t="n">
        <v>1</v>
      </c>
      <c r="G8365" t="n">
        <v>4</v>
      </c>
      <c r="H8365" s="5">
        <f>HYPERLINK("https://api.qogita.com/variants/link/4064666906126/", "View Product")</f>
        <v/>
      </c>
    </row>
    <row r="8366">
      <c r="A8366" t="inlineStr">
        <is>
          <t>4064666906188</t>
        </is>
      </c>
      <c r="B8366" t="inlineStr">
        <is>
          <t>Wella Professionals Ultimate Smooth Hair Mask - Nourishing Hair Mask</t>
        </is>
      </c>
      <c r="C8366" t="inlineStr">
        <is>
          <t>Hair Masks</t>
        </is>
      </c>
      <c r="D8366" t="inlineStr">
        <is>
          <t>Wella Professionals</t>
        </is>
      </c>
      <c r="E8366" t="n">
        <v>9.18</v>
      </c>
      <c r="F8366" t="n">
        <v>1</v>
      </c>
      <c r="G8366" t="n">
        <v>8</v>
      </c>
      <c r="H8366" s="5">
        <f>HYPERLINK("https://api.qogita.com/variants/link/4064666906188/", "View Product")</f>
        <v/>
      </c>
    </row>
    <row r="8367">
      <c r="A8367" t="inlineStr">
        <is>
          <t>4064666945354</t>
        </is>
      </c>
      <c r="B8367" t="inlineStr">
        <is>
          <t>Wella Professionals Ultimate Smooth Shampoo - Nourishing Hair Shampoo</t>
        </is>
      </c>
      <c r="C8367" t="inlineStr">
        <is>
          <t>Shampoo</t>
        </is>
      </c>
      <c r="D8367" t="inlineStr">
        <is>
          <t>Wella Professionals</t>
        </is>
      </c>
      <c r="E8367" t="n">
        <v>7.18</v>
      </c>
      <c r="F8367" t="n">
        <v>1</v>
      </c>
      <c r="G8367" t="n">
        <v>11</v>
      </c>
      <c r="H8367" s="5">
        <f>HYPERLINK("https://api.qogita.com/variants/link/4064666945354/", "View Product")</f>
        <v/>
      </c>
    </row>
    <row r="8368">
      <c r="A8368" t="inlineStr">
        <is>
          <t>4064941006688</t>
        </is>
      </c>
      <c r="B8368" t="inlineStr">
        <is>
          <t>Kylie Cosmetics Matte Lip Kit 801 Liquid Queen for Women</t>
        </is>
      </c>
      <c r="C8368" t="inlineStr">
        <is>
          <t>Lip Sets</t>
        </is>
      </c>
      <c r="D8368" t="inlineStr">
        <is>
          <t>Kylie Cosmetics</t>
        </is>
      </c>
      <c r="E8368" t="n">
        <v>30.34</v>
      </c>
      <c r="F8368" t="n">
        <v>1</v>
      </c>
      <c r="G8368" t="n">
        <v>5</v>
      </c>
      <c r="H8368" s="5">
        <f>HYPERLINK("https://api.qogita.com/variants/link/4064941006688/", "View Product")</f>
        <v/>
      </c>
    </row>
    <row r="8369">
      <c r="A8369" t="inlineStr">
        <is>
          <t>4064941006800</t>
        </is>
      </c>
      <c r="B8369" t="inlineStr">
        <is>
          <t>Kylie By Kylie Jenner Matte Lip Kit - Matte Liquid Lipstick 3ml + Lip Liner</t>
        </is>
      </c>
      <c r="C8369" t="inlineStr">
        <is>
          <t>Lip Sets</t>
        </is>
      </c>
      <c r="D8369" t="inlineStr">
        <is>
          <t>Kylie Cosmetics</t>
        </is>
      </c>
      <c r="E8369" t="n">
        <v>30.34</v>
      </c>
      <c r="F8369" t="n">
        <v>1</v>
      </c>
      <c r="G8369" t="n">
        <v>4</v>
      </c>
      <c r="H8369" s="5">
        <f>HYPERLINK("https://api.qogita.com/variants/link/4064941006800/", "View Product")</f>
        <v/>
      </c>
    </row>
    <row r="8370">
      <c r="A8370" t="inlineStr">
        <is>
          <t>4064941006916</t>
        </is>
      </c>
      <c r="B8370" t="inlineStr">
        <is>
          <t>Kylie Cosmetics Set Matte Liquid Lipstick Lip Liner</t>
        </is>
      </c>
      <c r="C8370" t="inlineStr">
        <is>
          <t>Lip Sets</t>
        </is>
      </c>
      <c r="D8370" t="inlineStr">
        <is>
          <t>Kylie Cosmetics</t>
        </is>
      </c>
      <c r="E8370" t="n">
        <v>30.34</v>
      </c>
      <c r="F8370" t="n">
        <v>1</v>
      </c>
      <c r="G8370" t="n">
        <v>10</v>
      </c>
      <c r="H8370" s="5">
        <f>HYPERLINK("https://api.qogita.com/variants/link/4064941006916/", "View Product")</f>
        <v/>
      </c>
    </row>
    <row r="8371">
      <c r="A8371" t="inlineStr">
        <is>
          <t>4064941007067</t>
        </is>
      </c>
      <c r="B8371" t="inlineStr">
        <is>
          <t>Kylie Cosmetics Matte Liquid Lipstick - 3 Ml</t>
        </is>
      </c>
      <c r="C8371" t="inlineStr">
        <is>
          <t>Lipstick</t>
        </is>
      </c>
      <c r="D8371" t="inlineStr">
        <is>
          <t>Kylie Cosmetics</t>
        </is>
      </c>
      <c r="E8371" t="n">
        <v>18.33</v>
      </c>
      <c r="F8371" t="n">
        <v>1</v>
      </c>
      <c r="G8371" t="n">
        <v>9</v>
      </c>
      <c r="H8371" s="5">
        <f>HYPERLINK("https://api.qogita.com/variants/link/4064941007067/", "View Product")</f>
        <v/>
      </c>
    </row>
    <row r="8372">
      <c r="A8372" t="inlineStr">
        <is>
          <t>4064941007104</t>
        </is>
      </c>
      <c r="B8372" t="inlineStr">
        <is>
          <t>Kylie Cosmetics Matte Liquid Lipstick - 3 Ml</t>
        </is>
      </c>
      <c r="C8372" t="inlineStr">
        <is>
          <t>Lipstick</t>
        </is>
      </c>
      <c r="D8372" t="inlineStr">
        <is>
          <t>Kylie Cosmetics</t>
        </is>
      </c>
      <c r="E8372" t="n">
        <v>18.73</v>
      </c>
      <c r="F8372" t="n">
        <v>1</v>
      </c>
      <c r="G8372" t="n">
        <v>3</v>
      </c>
      <c r="H8372" s="5">
        <f>HYPERLINK("https://api.qogita.com/variants/link/4064941007104/", "View Product")</f>
        <v/>
      </c>
    </row>
    <row r="8373">
      <c r="A8373" t="inlineStr">
        <is>
          <t>4064941008194</t>
        </is>
      </c>
      <c r="B8373" t="inlineStr">
        <is>
          <t>Kylie Cosmetics Kylighter Pressed Illuminating Powder - 8 G</t>
        </is>
      </c>
      <c r="C8373" t="inlineStr">
        <is>
          <t>Highlighter</t>
        </is>
      </c>
      <c r="D8373" t="inlineStr">
        <is>
          <t>Kylie Cosmetics</t>
        </is>
      </c>
      <c r="E8373" t="n">
        <v>21.4</v>
      </c>
      <c r="F8373" t="n">
        <v>1</v>
      </c>
      <c r="G8373" t="n">
        <v>2</v>
      </c>
      <c r="H8373" s="5">
        <f>HYPERLINK("https://api.qogita.com/variants/link/4064941008194/", "View Product")</f>
        <v/>
      </c>
    </row>
    <row r="8374">
      <c r="A8374" t="inlineStr">
        <is>
          <t>4064941008224</t>
        </is>
      </c>
      <c r="B8374" t="inlineStr">
        <is>
          <t>Kylie Cosmetics Kylighter Pressed Illuminating Powder - 8 G</t>
        </is>
      </c>
      <c r="C8374" t="inlineStr">
        <is>
          <t>Highlighter</t>
        </is>
      </c>
      <c r="D8374" t="inlineStr">
        <is>
          <t>Kylie Cosmetics</t>
        </is>
      </c>
      <c r="E8374" t="n">
        <v>21.4</v>
      </c>
      <c r="F8374" t="n">
        <v>1</v>
      </c>
      <c r="G8374" t="n">
        <v>2</v>
      </c>
      <c r="H8374" s="5">
        <f>HYPERLINK("https://api.qogita.com/variants/link/4064941008224/", "View Product")</f>
        <v/>
      </c>
    </row>
    <row r="8375">
      <c r="A8375" t="inlineStr">
        <is>
          <t>4064941008477</t>
        </is>
      </c>
      <c r="B8375" t="inlineStr">
        <is>
          <t>Kylie Cosmetics Powder Blush 10 G</t>
        </is>
      </c>
      <c r="C8375" t="inlineStr">
        <is>
          <t>Blush</t>
        </is>
      </c>
      <c r="D8375" t="inlineStr">
        <is>
          <t>Kylie Cosmetics</t>
        </is>
      </c>
      <c r="E8375" t="n">
        <v>17.83</v>
      </c>
      <c r="F8375" t="n">
        <v>1</v>
      </c>
      <c r="G8375" t="n">
        <v>3</v>
      </c>
      <c r="H8375" s="5">
        <f>HYPERLINK("https://api.qogita.com/variants/link/4064941008477/", "View Product")</f>
        <v/>
      </c>
    </row>
    <row r="8376">
      <c r="A8376" t="inlineStr">
        <is>
          <t>4064941008569</t>
        </is>
      </c>
      <c r="B8376" t="inlineStr">
        <is>
          <t>Kylie Cosmetics Set Matte Liquid Lipstick Lip Liner</t>
        </is>
      </c>
      <c r="C8376" t="inlineStr">
        <is>
          <t>Lip Sets</t>
        </is>
      </c>
      <c r="D8376" t="inlineStr">
        <is>
          <t>Kylie Cosmetics</t>
        </is>
      </c>
      <c r="E8376" t="n">
        <v>30.34</v>
      </c>
      <c r="F8376" t="n">
        <v>1</v>
      </c>
      <c r="G8376" t="n">
        <v>5</v>
      </c>
      <c r="H8376" s="5">
        <f>HYPERLINK("https://api.qogita.com/variants/link/4064941008569/", "View Product")</f>
        <v/>
      </c>
    </row>
    <row r="8377">
      <c r="A8377" t="inlineStr">
        <is>
          <t>4064941008682</t>
        </is>
      </c>
      <c r="B8377" t="inlineStr">
        <is>
          <t>Kylie Cosmetics Matte Lip Kit 704 Sweater Weather for Women 0.10oz</t>
        </is>
      </c>
      <c r="C8377" t="inlineStr">
        <is>
          <t>Lip Sets</t>
        </is>
      </c>
      <c r="D8377" t="inlineStr">
        <is>
          <t>Kylie Cosmetics</t>
        </is>
      </c>
      <c r="E8377" t="n">
        <v>30.34</v>
      </c>
      <c r="F8377" t="n">
        <v>1</v>
      </c>
      <c r="G8377" t="n">
        <v>7</v>
      </c>
      <c r="H8377" s="5">
        <f>HYPERLINK("https://api.qogita.com/variants/link/4064941008682/", "View Product")</f>
        <v/>
      </c>
    </row>
    <row r="8378">
      <c r="A8378" t="inlineStr">
        <is>
          <t>4064941008804</t>
        </is>
      </c>
      <c r="B8378" t="inlineStr">
        <is>
          <t>Kylie Cosmetics Creme Lipstick 3.5 G</t>
        </is>
      </c>
      <c r="C8378" t="inlineStr">
        <is>
          <t>Lipstick</t>
        </is>
      </c>
      <c r="D8378" t="inlineStr">
        <is>
          <t>Kylie Cosmetics</t>
        </is>
      </c>
      <c r="E8378" t="n">
        <v>19</v>
      </c>
      <c r="F8378" t="n">
        <v>1</v>
      </c>
      <c r="G8378" t="n">
        <v>10</v>
      </c>
      <c r="H8378" s="5">
        <f>HYPERLINK("https://api.qogita.com/variants/link/4064941008804/", "View Product")</f>
        <v/>
      </c>
    </row>
    <row r="8379">
      <c r="A8379" t="inlineStr">
        <is>
          <t>4064941009597</t>
        </is>
      </c>
      <c r="B8379" t="inlineStr">
        <is>
          <t>Kylie Cosmetics Matte Lipstick 3.5 G</t>
        </is>
      </c>
      <c r="C8379" t="inlineStr">
        <is>
          <t>Lipstick</t>
        </is>
      </c>
      <c r="D8379" t="inlineStr">
        <is>
          <t>Kylie Cosmetics</t>
        </is>
      </c>
      <c r="E8379" t="n">
        <v>20.51</v>
      </c>
      <c r="F8379" t="n">
        <v>1</v>
      </c>
      <c r="G8379" t="n">
        <v>2</v>
      </c>
      <c r="H8379" s="5">
        <f>HYPERLINK("https://api.qogita.com/variants/link/4064941009597/", "View Product")</f>
        <v/>
      </c>
    </row>
    <row r="8380">
      <c r="A8380" t="inlineStr">
        <is>
          <t>4064941009726</t>
        </is>
      </c>
      <c r="B8380" t="inlineStr">
        <is>
          <t>Kylie Cosmetics Power Plush Longwear Foundation 30 Ml</t>
        </is>
      </c>
      <c r="C8380" t="inlineStr">
        <is>
          <t>Foundation</t>
        </is>
      </c>
      <c r="D8380" t="inlineStr">
        <is>
          <t>Kylie Cosmetics</t>
        </is>
      </c>
      <c r="E8380" t="n">
        <v>28.77</v>
      </c>
      <c r="F8380" t="n">
        <v>1</v>
      </c>
      <c r="G8380" t="n">
        <v>2</v>
      </c>
      <c r="H8380" s="5">
        <f>HYPERLINK("https://api.qogita.com/variants/link/4064941009726/", "View Product")</f>
        <v/>
      </c>
    </row>
    <row r="8381">
      <c r="A8381" t="inlineStr">
        <is>
          <t>4064941009757</t>
        </is>
      </c>
      <c r="B8381" t="inlineStr">
        <is>
          <t>Kylie Cosmetics Power Plush Longwear Foundation 30 Ml</t>
        </is>
      </c>
      <c r="C8381" t="inlineStr">
        <is>
          <t>Foundation</t>
        </is>
      </c>
      <c r="D8381" t="inlineStr">
        <is>
          <t>Kylie Cosmetics</t>
        </is>
      </c>
      <c r="E8381" t="n">
        <v>28.77</v>
      </c>
      <c r="F8381" t="n">
        <v>1</v>
      </c>
      <c r="G8381" t="n">
        <v>3</v>
      </c>
      <c r="H8381" s="5">
        <f>HYPERLINK("https://api.qogita.com/variants/link/4064941009757/", "View Product")</f>
        <v/>
      </c>
    </row>
    <row r="8382">
      <c r="A8382" t="inlineStr">
        <is>
          <t>4064941009900</t>
        </is>
      </c>
      <c r="B8382" t="inlineStr">
        <is>
          <t>Kylie Cosmetics Matte Lipstick - 3.5 G</t>
        </is>
      </c>
      <c r="C8382" t="inlineStr">
        <is>
          <t>Lipstick</t>
        </is>
      </c>
      <c r="D8382" t="inlineStr">
        <is>
          <t>Kylie Cosmetics</t>
        </is>
      </c>
      <c r="E8382" t="n">
        <v>20.18</v>
      </c>
      <c r="F8382" t="n">
        <v>1</v>
      </c>
      <c r="G8382" t="n">
        <v>10</v>
      </c>
      <c r="H8382" s="5">
        <f>HYPERLINK("https://api.qogita.com/variants/link/4064941009900/", "View Product")</f>
        <v/>
      </c>
    </row>
    <row r="8383">
      <c r="A8383" t="inlineStr">
        <is>
          <t>4064941010456</t>
        </is>
      </c>
      <c r="B8383" t="inlineStr">
        <is>
          <t>Kylie Cosmetics Power Plush Longwear Foundation 30 Ml</t>
        </is>
      </c>
      <c r="C8383" t="inlineStr">
        <is>
          <t>Foundation</t>
        </is>
      </c>
      <c r="D8383" t="inlineStr">
        <is>
          <t>Kylie Cosmetics</t>
        </is>
      </c>
      <c r="E8383" t="n">
        <v>28.77</v>
      </c>
      <c r="F8383" t="n">
        <v>1</v>
      </c>
      <c r="G8383" t="n">
        <v>3</v>
      </c>
      <c r="H8383" s="5">
        <f>HYPERLINK("https://api.qogita.com/variants/link/4064941010456/", "View Product")</f>
        <v/>
      </c>
    </row>
    <row r="8384">
      <c r="A8384" t="inlineStr">
        <is>
          <t>4064941010524</t>
        </is>
      </c>
      <c r="B8384" t="inlineStr">
        <is>
          <t>Kylie Cosmetics Power Plush Longwear Foundation 30 Ml</t>
        </is>
      </c>
      <c r="C8384" t="inlineStr">
        <is>
          <t>Foundation</t>
        </is>
      </c>
      <c r="D8384" t="inlineStr">
        <is>
          <t>Kylie Cosmetics</t>
        </is>
      </c>
      <c r="E8384" t="n">
        <v>28.77</v>
      </c>
      <c r="F8384" t="n">
        <v>1</v>
      </c>
      <c r="G8384" t="n">
        <v>3</v>
      </c>
      <c r="H8384" s="5">
        <f>HYPERLINK("https://api.qogita.com/variants/link/4064941010524/", "View Product")</f>
        <v/>
      </c>
    </row>
    <row r="8385">
      <c r="A8385" t="inlineStr">
        <is>
          <t>4064941049043</t>
        </is>
      </c>
      <c r="B8385" t="inlineStr">
        <is>
          <t>Kylie Cosmetics Power Plush Longwear Concealer - 5 Ml</t>
        </is>
      </c>
      <c r="C8385" t="inlineStr">
        <is>
          <t>Concealer</t>
        </is>
      </c>
      <c r="D8385" t="inlineStr">
        <is>
          <t>Kylie Cosmetics</t>
        </is>
      </c>
      <c r="E8385" t="n">
        <v>23.46</v>
      </c>
      <c r="F8385" t="n">
        <v>1</v>
      </c>
      <c r="G8385" t="n">
        <v>3</v>
      </c>
      <c r="H8385" s="5">
        <f>HYPERLINK("https://api.qogita.com/variants/link/4064941049043/", "View Product")</f>
        <v/>
      </c>
    </row>
    <row r="8386">
      <c r="A8386" t="inlineStr">
        <is>
          <t>4064941049234</t>
        </is>
      </c>
      <c r="B8386" t="inlineStr">
        <is>
          <t>Kylie Cosmetics Power Plush Longwear Concealer - 5 Ml</t>
        </is>
      </c>
      <c r="C8386" t="inlineStr">
        <is>
          <t>Concealer</t>
        </is>
      </c>
      <c r="D8386" t="inlineStr">
        <is>
          <t>Kylie Cosmetics</t>
        </is>
      </c>
      <c r="E8386" t="n">
        <v>23.46</v>
      </c>
      <c r="F8386" t="n">
        <v>1</v>
      </c>
      <c r="G8386" t="n">
        <v>3</v>
      </c>
      <c r="H8386" s="5">
        <f>HYPERLINK("https://api.qogita.com/variants/link/4064941049234/", "View Product")</f>
        <v/>
      </c>
    </row>
    <row r="8387">
      <c r="A8387" t="inlineStr">
        <is>
          <t>4064941111504</t>
        </is>
      </c>
      <c r="B8387" t="inlineStr">
        <is>
          <t>Kylie Jenner Cosmic Perfumed Water Spray 50ml</t>
        </is>
      </c>
      <c r="C8387" t="inlineStr">
        <is>
          <t>Eau De Parfum</t>
        </is>
      </c>
      <c r="D8387" t="inlineStr">
        <is>
          <t>Kylie Cosmetics</t>
        </is>
      </c>
      <c r="E8387" t="n">
        <v>43.93</v>
      </c>
      <c r="F8387" t="n">
        <v>1</v>
      </c>
      <c r="G8387" t="n">
        <v>56</v>
      </c>
      <c r="H8387" s="5">
        <f>HYPERLINK("https://api.qogita.com/variants/link/4064941111504/", "View Product")</f>
        <v/>
      </c>
    </row>
    <row r="8388">
      <c r="A8388" t="inlineStr">
        <is>
          <t>4064941125167</t>
        </is>
      </c>
      <c r="B8388" t="inlineStr">
        <is>
          <t>Kylie Cosmetics Power Plush Longwear Concealer - 5 Ml</t>
        </is>
      </c>
      <c r="C8388" t="inlineStr">
        <is>
          <t>Concealer</t>
        </is>
      </c>
      <c r="D8388" t="inlineStr">
        <is>
          <t>Kylie Cosmetics</t>
        </is>
      </c>
      <c r="E8388" t="n">
        <v>23.46</v>
      </c>
      <c r="F8388" t="n">
        <v>1</v>
      </c>
      <c r="G8388" t="n">
        <v>3</v>
      </c>
      <c r="H8388" s="5">
        <f>HYPERLINK("https://api.qogita.com/variants/link/4064941125167/", "View Product")</f>
        <v/>
      </c>
    </row>
    <row r="8389">
      <c r="A8389" t="inlineStr">
        <is>
          <t>4064941127901</t>
        </is>
      </c>
      <c r="B8389" t="inlineStr">
        <is>
          <t>Kylie Jenner Liquid Lipstick High Shine 319 Diva with Lip Liner</t>
        </is>
      </c>
      <c r="C8389" t="inlineStr">
        <is>
          <t>Lipstick</t>
        </is>
      </c>
      <c r="D8389" t="inlineStr">
        <is>
          <t>Kylie Cosmetics</t>
        </is>
      </c>
      <c r="E8389" t="n">
        <v>27.52</v>
      </c>
      <c r="F8389" t="n">
        <v>1</v>
      </c>
      <c r="G8389" t="n">
        <v>3</v>
      </c>
      <c r="H8389" s="5">
        <f>HYPERLINK("https://api.qogita.com/variants/link/4064941127901/", "View Product")</f>
        <v/>
      </c>
    </row>
    <row r="8390">
      <c r="A8390" t="inlineStr">
        <is>
          <t>4064941130703</t>
        </is>
      </c>
      <c r="B8390" t="inlineStr">
        <is>
          <t>Kylie Cosmetics Supple Kiss Lip Gloss Lip Glaze - 3 Ml</t>
        </is>
      </c>
      <c r="C8390" t="inlineStr">
        <is>
          <t>Lip Gloss</t>
        </is>
      </c>
      <c r="D8390" t="inlineStr">
        <is>
          <t>Kylie Cosmetics</t>
        </is>
      </c>
      <c r="E8390" t="n">
        <v>16.95</v>
      </c>
      <c r="F8390" t="n">
        <v>1</v>
      </c>
      <c r="G8390" t="n">
        <v>4</v>
      </c>
      <c r="H8390" s="5">
        <f>HYPERLINK("https://api.qogita.com/variants/link/4064941130703/", "View Product")</f>
        <v/>
      </c>
    </row>
    <row r="8391">
      <c r="A8391" t="inlineStr">
        <is>
          <t>4067971076201</t>
        </is>
      </c>
      <c r="B8391" t="inlineStr">
        <is>
          <t>Schwarzkopf Bonacure Peptide Repair Rescue Conditioner Spray 200ml</t>
        </is>
      </c>
      <c r="C8391" t="inlineStr">
        <is>
          <t>Leave-In Conditioner</t>
        </is>
      </c>
      <c r="D8391" t="inlineStr">
        <is>
          <t>Schwarzkopf</t>
        </is>
      </c>
      <c r="E8391" t="n">
        <v>8.25</v>
      </c>
      <c r="F8391" t="n">
        <v>1</v>
      </c>
      <c r="G8391" t="n">
        <v>5</v>
      </c>
      <c r="H8391" s="5">
        <f>HYPERLINK("https://api.qogita.com/variants/link/4067971076201/", "View Product")</f>
        <v/>
      </c>
    </row>
    <row r="8392">
      <c r="A8392" t="inlineStr">
        <is>
          <t>4084500610668</t>
        </is>
      </c>
      <c r="B8392" t="inlineStr">
        <is>
          <t>Extra Volume Anti-Dandruff Shampoo - Anti-dandruff shampoo for more volume</t>
        </is>
      </c>
      <c r="C8392" t="inlineStr">
        <is>
          <t>Shampoo</t>
        </is>
      </c>
      <c r="D8392" t="inlineStr">
        <is>
          <t>Head And Shoulders</t>
        </is>
      </c>
      <c r="E8392" t="n">
        <v>6.4</v>
      </c>
      <c r="F8392" t="n">
        <v>1</v>
      </c>
      <c r="G8392" t="n">
        <v>5</v>
      </c>
      <c r="H8392" s="5">
        <f>HYPERLINK("https://api.qogita.com/variants/link/4084500610668/", "View Product")</f>
        <v/>
      </c>
    </row>
    <row r="8393">
      <c r="A8393" t="inlineStr">
        <is>
          <t>4084500978973</t>
        </is>
      </c>
      <c r="B8393" t="inlineStr">
        <is>
          <t>Old Spice Wolf Thorn Shower Gel 400 Ml</t>
        </is>
      </c>
      <c r="C8393" t="inlineStr">
        <is>
          <t>Shower Gel</t>
        </is>
      </c>
      <c r="D8393" t="inlineStr">
        <is>
          <t>Old Spice</t>
        </is>
      </c>
      <c r="E8393" t="n">
        <v>5.99</v>
      </c>
      <c r="F8393" t="n">
        <v>1</v>
      </c>
      <c r="G8393" t="n">
        <v>9</v>
      </c>
      <c r="H8393" s="5">
        <f>HYPERLINK("https://api.qogita.com/variants/link/4084500978973/", "View Product")</f>
        <v/>
      </c>
    </row>
    <row r="8394">
      <c r="A8394" t="inlineStr">
        <is>
          <t>4085400272000</t>
        </is>
      </c>
      <c r="B8394" t="inlineStr">
        <is>
          <t>Zero Plus Masculine Eau De Toilette 75ml Spray</t>
        </is>
      </c>
      <c r="C8394" t="inlineStr">
        <is>
          <t>Eau De Toilette</t>
        </is>
      </c>
      <c r="D8394" t="inlineStr">
        <is>
          <t>Diesel</t>
        </is>
      </c>
      <c r="E8394" t="n">
        <v>13.03</v>
      </c>
      <c r="F8394" t="n">
        <v>1</v>
      </c>
      <c r="G8394" t="n">
        <v>110</v>
      </c>
      <c r="H8394" s="5">
        <f>HYPERLINK("https://api.qogita.com/variants/link/4085400272000/", "View Product")</f>
        <v/>
      </c>
    </row>
    <row r="8395">
      <c r="A8395" t="inlineStr">
        <is>
          <t>4086900102491</t>
        </is>
      </c>
      <c r="B8395" t="inlineStr">
        <is>
          <t>PRIMAVERA Lemongrass Organic Essential Oil 5ml - Aromatherapy Oil for Calming and Mental Stimulation - Vegan</t>
        </is>
      </c>
      <c r="C8395" t="inlineStr">
        <is>
          <t>Aromatherapy &amp; Essential Oils</t>
        </is>
      </c>
      <c r="D8395" t="inlineStr">
        <is>
          <t>Primavera</t>
        </is>
      </c>
      <c r="E8395" t="n">
        <v>8.220000000000001</v>
      </c>
      <c r="F8395" t="n">
        <v>1</v>
      </c>
      <c r="G8395" t="n">
        <v>4</v>
      </c>
      <c r="H8395" s="5">
        <f>HYPERLINK("https://api.qogita.com/variants/link/4086900102491/", "View Product")</f>
        <v/>
      </c>
    </row>
    <row r="8396">
      <c r="A8396" t="inlineStr">
        <is>
          <t>4086900105621</t>
        </is>
      </c>
      <c r="B8396" t="inlineStr">
        <is>
          <t>PRIMAVERA Organic Orange Essential Oil 5ml Aromatherapy Vegan Mood Enhancer</t>
        </is>
      </c>
      <c r="C8396" t="inlineStr">
        <is>
          <t>Diffusers</t>
        </is>
      </c>
      <c r="D8396" t="inlineStr">
        <is>
          <t>Primavera</t>
        </is>
      </c>
      <c r="E8396" t="n">
        <v>6.92</v>
      </c>
      <c r="F8396" t="n">
        <v>1</v>
      </c>
      <c r="G8396" t="n">
        <v>3</v>
      </c>
      <c r="H8396" s="5">
        <f>HYPERLINK("https://api.qogita.com/variants/link/4086900105621/", "View Product")</f>
        <v/>
      </c>
    </row>
    <row r="8397">
      <c r="A8397" t="inlineStr">
        <is>
          <t>4086900215207</t>
        </is>
      </c>
      <c r="B8397" t="inlineStr">
        <is>
          <t>Primavera Atmewohl Organic Cushion Spray 30 Ml - Textile And Room Fragrance With Eucalyptus</t>
        </is>
      </c>
      <c r="C8397" t="inlineStr">
        <is>
          <t>Diffusers</t>
        </is>
      </c>
      <c r="D8397" t="inlineStr">
        <is>
          <t>Primavera</t>
        </is>
      </c>
      <c r="E8397" t="n">
        <v>12.26</v>
      </c>
      <c r="F8397" t="n">
        <v>1</v>
      </c>
      <c r="G8397" t="n">
        <v>2</v>
      </c>
      <c r="H8397" s="5">
        <f>HYPERLINK("https://api.qogita.com/variants/link/4086900215207/", "View Product")</f>
        <v/>
      </c>
    </row>
    <row r="8398">
      <c r="A8398" t="inlineStr">
        <is>
          <t>4086900216303</t>
        </is>
      </c>
      <c r="B8398" t="inlineStr">
        <is>
          <t>PRIMAVERA Schlafwohl Organic Fragrance Blend 5ml - Bath Additive with Lavender, Vanilla, and Neroli - Aromatherapy, Essential Oil - Calming, Relaxing - Vegan</t>
        </is>
      </c>
      <c r="C8398" t="inlineStr">
        <is>
          <t>Diffusers</t>
        </is>
      </c>
      <c r="D8398" t="inlineStr">
        <is>
          <t>Primavera</t>
        </is>
      </c>
      <c r="E8398" t="n">
        <v>10.53</v>
      </c>
      <c r="F8398" t="n">
        <v>1</v>
      </c>
      <c r="G8398" t="n">
        <v>6</v>
      </c>
      <c r="H8398" s="5">
        <f>HYPERLINK("https://api.qogita.com/variants/link/4086900216303/", "View Product")</f>
        <v/>
      </c>
    </row>
    <row r="8399">
      <c r="A8399" t="inlineStr">
        <is>
          <t>4086900265004</t>
        </is>
      </c>
      <c r="B8399" t="inlineStr">
        <is>
          <t>Primavera Relaxing Body Oil 100 Ml</t>
        </is>
      </c>
      <c r="C8399" t="inlineStr">
        <is>
          <t>Body Oil</t>
        </is>
      </c>
      <c r="D8399" t="inlineStr">
        <is>
          <t>Primavera</t>
        </is>
      </c>
      <c r="E8399" t="n">
        <v>22.15</v>
      </c>
      <c r="F8399" t="n">
        <v>1</v>
      </c>
      <c r="G8399" t="n">
        <v>3</v>
      </c>
      <c r="H8399" s="5">
        <f>HYPERLINK("https://api.qogita.com/variants/link/4086900265004/", "View Product")</f>
        <v/>
      </c>
    </row>
    <row r="8400">
      <c r="A8400" t="inlineStr">
        <is>
          <t>4086900265103</t>
        </is>
      </c>
      <c r="B8400" t="inlineStr">
        <is>
          <t>PRIMAVERA Pure Relaxation Body Cream Fluid 200ml - Lavender Vanilla Scented Natural Body Lotion - Soothing Nourishing Smoothing - Vegan</t>
        </is>
      </c>
      <c r="C8400" t="inlineStr">
        <is>
          <t>Body Lotion</t>
        </is>
      </c>
      <c r="D8400" t="inlineStr">
        <is>
          <t>Primavera</t>
        </is>
      </c>
      <c r="E8400" t="n">
        <v>20.12</v>
      </c>
      <c r="F8400" t="n">
        <v>1</v>
      </c>
      <c r="G8400" t="n">
        <v>4</v>
      </c>
      <c r="H8400" s="5">
        <f>HYPERLINK("https://api.qogita.com/variants/link/4086900265103/", "View Product")</f>
        <v/>
      </c>
    </row>
    <row r="8401">
      <c r="A8401" t="inlineStr">
        <is>
          <t>4086900266506</t>
        </is>
      </c>
      <c r="B8401" t="inlineStr">
        <is>
          <t>PRIMAVERA Lebensfreude Frischedeo 50ml Roll-On Natural Deodorant Lime Ginger Scent - Aluminum-Free 24 Hour Protection - Vegan</t>
        </is>
      </c>
      <c r="C8401" t="inlineStr">
        <is>
          <t>Deodorant &amp; Anti-Perspirant</t>
        </is>
      </c>
      <c r="D8401" t="inlineStr">
        <is>
          <t>Primavera</t>
        </is>
      </c>
      <c r="E8401" t="n">
        <v>11.04</v>
      </c>
      <c r="F8401" t="n">
        <v>1</v>
      </c>
      <c r="G8401" t="n">
        <v>2</v>
      </c>
      <c r="H8401" s="5">
        <f>HYPERLINK("https://api.qogita.com/variants/link/4086900266506/", "View Product")</f>
        <v/>
      </c>
    </row>
    <row r="8402">
      <c r="A8402" t="inlineStr">
        <is>
          <t>4086900269002</t>
        </is>
      </c>
      <c r="B8402" t="inlineStr">
        <is>
          <t>PRIMAVERA Waldspaziergang Dry Oil 100ml - Cedar and Cypress Scented Natural Cosmetics for Intensive and Soft Skin Care - Vegan</t>
        </is>
      </c>
      <c r="C8402" t="inlineStr">
        <is>
          <t>Body Oil</t>
        </is>
      </c>
      <c r="D8402" t="inlineStr">
        <is>
          <t>Primavera</t>
        </is>
      </c>
      <c r="E8402" t="n">
        <v>19.9</v>
      </c>
      <c r="F8402" t="n">
        <v>1</v>
      </c>
      <c r="G8402" t="n">
        <v>4</v>
      </c>
      <c r="H8402" s="5">
        <f>HYPERLINK("https://api.qogita.com/variants/link/4086900269002/", "View Product")</f>
        <v/>
      </c>
    </row>
    <row r="8403">
      <c r="A8403" t="inlineStr">
        <is>
          <t>4086900274105</t>
        </is>
      </c>
      <c r="B8403" t="inlineStr">
        <is>
          <t>PRIMAVERA Face Fluid Pollution Protection 30ml Natural Face Fluid for Normal to Dry Skin - Vegan</t>
        </is>
      </c>
      <c r="C8403" t="inlineStr">
        <is>
          <t>Face Cream</t>
        </is>
      </c>
      <c r="D8403" t="inlineStr">
        <is>
          <t>Primavera</t>
        </is>
      </c>
      <c r="E8403" t="n">
        <v>20.47</v>
      </c>
      <c r="F8403" t="n">
        <v>1</v>
      </c>
      <c r="G8403" t="n">
        <v>3</v>
      </c>
      <c r="H8403" s="5">
        <f>HYPERLINK("https://api.qogita.com/variants/link/4086900274105/", "View Product")</f>
        <v/>
      </c>
    </row>
    <row r="8404">
      <c r="A8404" t="inlineStr">
        <is>
          <t>4086900274303</t>
        </is>
      </c>
      <c r="B8404" t="inlineStr">
        <is>
          <t>PRIMAVERA Vital Face Oil Moisturizing and Protective 30ml - Superfood for Skin Nourishment and Vitalization</t>
        </is>
      </c>
      <c r="C8404" t="inlineStr">
        <is>
          <t>Facial Oil</t>
        </is>
      </c>
      <c r="D8404" t="inlineStr">
        <is>
          <t>Primavera</t>
        </is>
      </c>
      <c r="E8404" t="n">
        <v>20.47</v>
      </c>
      <c r="F8404" t="n">
        <v>1</v>
      </c>
      <c r="G8404" t="n">
        <v>5</v>
      </c>
      <c r="H8404" s="5">
        <f>HYPERLINK("https://api.qogita.com/variants/link/4086900274303/", "View Product")</f>
        <v/>
      </c>
    </row>
    <row r="8405">
      <c r="A8405" t="inlineStr">
        <is>
          <t>4086900274402</t>
        </is>
      </c>
      <c r="B8405" t="inlineStr">
        <is>
          <t>PRIMAVERA Ultra Soft and Calming Face Cream 30ml - Moisturizes and Strengthens Skin Barrier - Vegan</t>
        </is>
      </c>
      <c r="C8405" t="inlineStr">
        <is>
          <t>Face Cream</t>
        </is>
      </c>
      <c r="D8405" t="inlineStr">
        <is>
          <t>Primavera</t>
        </is>
      </c>
      <c r="E8405" t="n">
        <v>20.47</v>
      </c>
      <c r="F8405" t="n">
        <v>1</v>
      </c>
      <c r="G8405" t="n">
        <v>4</v>
      </c>
      <c r="H8405" s="5">
        <f>HYPERLINK("https://api.qogita.com/variants/link/4086900274402/", "View Product")</f>
        <v/>
      </c>
    </row>
    <row r="8406">
      <c r="A8406" t="inlineStr">
        <is>
          <t>4086900275201</t>
        </is>
      </c>
      <c r="B8406" t="inlineStr">
        <is>
          <t>PRIMAVERA Spot Acute Gel 10ml Natural Cosmetics for Immediate Relief of Skin Impurities and Clogged Pores - Vegan</t>
        </is>
      </c>
      <c r="C8406" t="inlineStr">
        <is>
          <t>Pimple &amp; Blackhead Treatments</t>
        </is>
      </c>
      <c r="D8406" t="inlineStr">
        <is>
          <t>Primavera</t>
        </is>
      </c>
      <c r="E8406" t="n">
        <v>16.32</v>
      </c>
      <c r="F8406" t="n">
        <v>1</v>
      </c>
      <c r="G8406" t="n">
        <v>3</v>
      </c>
      <c r="H8406" s="5">
        <f>HYPERLINK("https://api.qogita.com/variants/link/4086900275201/", "View Product")</f>
        <v/>
      </c>
    </row>
    <row r="8407">
      <c r="A8407" t="inlineStr">
        <is>
          <t>4086900276000</t>
        </is>
      </c>
      <c r="B8407" t="inlineStr">
        <is>
          <t>Primavera Perfectly Illuminating Toning Lotion For Mature Skin 100 Ml</t>
        </is>
      </c>
      <c r="C8407" t="inlineStr">
        <is>
          <t>Anti-Aging Facial Care</t>
        </is>
      </c>
      <c r="D8407" t="inlineStr">
        <is>
          <t>Primavera</t>
        </is>
      </c>
      <c r="E8407" t="n">
        <v>26.41</v>
      </c>
      <c r="F8407" t="n">
        <v>1</v>
      </c>
      <c r="G8407" t="n">
        <v>2</v>
      </c>
      <c r="H8407" s="5">
        <f>HYPERLINK("https://api.qogita.com/variants/link/4086900276000/", "View Product")</f>
        <v/>
      </c>
    </row>
    <row r="8408">
      <c r="A8408" t="inlineStr">
        <is>
          <t>4086900420083</t>
        </is>
      </c>
      <c r="B8408" t="inlineStr">
        <is>
          <t>Primavera Aroma Nebulizer Feel Happy - Electric Fragrance Lamp, Diffuser, Room Fragrance</t>
        </is>
      </c>
      <c r="C8408" t="inlineStr">
        <is>
          <t>Diffusers</t>
        </is>
      </c>
      <c r="D8408" t="inlineStr">
        <is>
          <t>Primavera</t>
        </is>
      </c>
      <c r="E8408" t="n">
        <v>59.25</v>
      </c>
      <c r="F8408" t="n">
        <v>1</v>
      </c>
      <c r="G8408" t="n">
        <v>4</v>
      </c>
      <c r="H8408" s="5">
        <f>HYPERLINK("https://api.qogita.com/variants/link/4086900420083/", "View Product")</f>
        <v/>
      </c>
    </row>
    <row r="8409">
      <c r="A8409" t="inlineStr">
        <is>
          <t>4086900444973</t>
        </is>
      </c>
      <c r="B8409" t="inlineStr">
        <is>
          <t>PRIMAVERA Glowing Age Starter and Travel Set Natural Cosmetics for Mature Demanding Skin - Cleaning Toner Care - Vegan Gift Box</t>
        </is>
      </c>
      <c r="C8409" t="inlineStr">
        <is>
          <t>Travel Sets</t>
        </is>
      </c>
      <c r="D8409" t="inlineStr">
        <is>
          <t>Primavera</t>
        </is>
      </c>
      <c r="E8409" t="n">
        <v>16.46</v>
      </c>
      <c r="F8409" t="n">
        <v>1</v>
      </c>
      <c r="G8409" t="n">
        <v>2</v>
      </c>
      <c r="H8409" s="5">
        <f>HYPERLINK("https://api.qogita.com/variants/link/4086900444973/", "View Product")</f>
        <v/>
      </c>
    </row>
    <row r="8410">
      <c r="A8410" t="inlineStr">
        <is>
          <t>4086900741317</t>
        </is>
      </c>
      <c r="B8410" t="inlineStr">
        <is>
          <t>PRIMAVERA Witch Hazel Water Organic 100ml - Pure Plant Power Glass Bottle Hydrosol Body Spray Aromatherapy Invigorating Grounding Vegan</t>
        </is>
      </c>
      <c r="C8410" t="inlineStr">
        <is>
          <t>Body Mist</t>
        </is>
      </c>
      <c r="D8410" t="inlineStr">
        <is>
          <t>Primavera</t>
        </is>
      </c>
      <c r="E8410" t="n">
        <v>12.03</v>
      </c>
      <c r="F8410" t="n">
        <v>1</v>
      </c>
      <c r="G8410" t="n">
        <v>4</v>
      </c>
      <c r="H8410" s="5">
        <f>HYPERLINK("https://api.qogita.com/variants/link/4086900741317/", "View Product")</f>
        <v/>
      </c>
    </row>
    <row r="8411">
      <c r="A8411" t="inlineStr">
        <is>
          <t>4086900752580</t>
        </is>
      </c>
      <c r="B8411" t="inlineStr">
        <is>
          <t>PRIMAVERA Aroma Sauna Set Strength &amp; Peace Organic 3 x 10ml - Forest Feeling, Warmth Kick, Deep Relaxation - Sauna Oil, Aromatherapy, Gift - Vegan</t>
        </is>
      </c>
      <c r="C8411" t="inlineStr">
        <is>
          <t>Incense</t>
        </is>
      </c>
      <c r="D8411" t="inlineStr">
        <is>
          <t>Primavera</t>
        </is>
      </c>
      <c r="E8411" t="n">
        <v>14.06</v>
      </c>
      <c r="F8411" t="n">
        <v>1</v>
      </c>
      <c r="G8411" t="n">
        <v>3</v>
      </c>
      <c r="H8411" s="5">
        <f>HYPERLINK("https://api.qogita.com/variants/link/4086900752580/", "View Product")</f>
        <v/>
      </c>
    </row>
    <row r="8412">
      <c r="A8412" t="inlineStr">
        <is>
          <t>4103040000422</t>
        </is>
      </c>
      <c r="B8412" t="inlineStr">
        <is>
          <t>Sebamed Syndet Sensitive Skin Olive Cleansing Bar 150 G Ideal For Sensitive Skin</t>
        </is>
      </c>
      <c r="C8412" t="inlineStr">
        <is>
          <t>Soap</t>
        </is>
      </c>
      <c r="D8412" t="inlineStr">
        <is>
          <t>Sebamed</t>
        </is>
      </c>
      <c r="E8412" t="n">
        <v>5.06</v>
      </c>
      <c r="F8412" t="n">
        <v>1</v>
      </c>
      <c r="G8412" t="n">
        <v>9</v>
      </c>
      <c r="H8412" s="5">
        <f>HYPERLINK("https://api.qogita.com/variants/link/4103040000422/", "View Product")</f>
        <v/>
      </c>
    </row>
    <row r="8413">
      <c r="A8413" t="inlineStr">
        <is>
          <t>4103040020413</t>
        </is>
      </c>
      <c r="B8413" t="inlineStr">
        <is>
          <t>Sebamed Intimate Wash Foam With Ph 38 150 Ml</t>
        </is>
      </c>
      <c r="C8413" t="inlineStr">
        <is>
          <t>Intimate Hygiene</t>
        </is>
      </c>
      <c r="D8413" t="inlineStr">
        <is>
          <t>Sebamed</t>
        </is>
      </c>
      <c r="E8413" t="n">
        <v>6.47</v>
      </c>
      <c r="F8413" t="n">
        <v>1</v>
      </c>
      <c r="G8413" t="n">
        <v>6</v>
      </c>
      <c r="H8413" s="5">
        <f>HYPERLINK("https://api.qogita.com/variants/link/4103040020413/", "View Product")</f>
        <v/>
      </c>
    </row>
    <row r="8414">
      <c r="A8414" t="inlineStr">
        <is>
          <t>4103040024824</t>
        </is>
      </c>
      <c r="B8414" t="inlineStr">
        <is>
          <t>Sebamed Intimate Deodorant 125 Ml</t>
        </is>
      </c>
      <c r="C8414" t="inlineStr">
        <is>
          <t>Intimate Hygiene</t>
        </is>
      </c>
      <c r="D8414" t="inlineStr">
        <is>
          <t>Sebamed</t>
        </is>
      </c>
      <c r="E8414" t="n">
        <v>5.57</v>
      </c>
      <c r="F8414" t="n">
        <v>1</v>
      </c>
      <c r="G8414" t="n">
        <v>7</v>
      </c>
      <c r="H8414" s="5">
        <f>HYPERLINK("https://api.qogita.com/variants/link/4103040024824/", "View Product")</f>
        <v/>
      </c>
    </row>
    <row r="8415">
      <c r="A8415" t="inlineStr">
        <is>
          <t>4103040028624</t>
        </is>
      </c>
      <c r="B8415" t="inlineStr">
        <is>
          <t>Sebamed Micellar Water For Combination To Oily Skin Anti-Pollution - 200 Ml</t>
        </is>
      </c>
      <c r="C8415" t="inlineStr">
        <is>
          <t>Micellar Water</t>
        </is>
      </c>
      <c r="D8415" t="inlineStr">
        <is>
          <t>Sebamed</t>
        </is>
      </c>
      <c r="E8415" t="n">
        <v>5.34</v>
      </c>
      <c r="F8415" t="n">
        <v>1</v>
      </c>
      <c r="G8415" t="n">
        <v>2</v>
      </c>
      <c r="H8415" s="5">
        <f>HYPERLINK("https://api.qogita.com/variants/link/4103040028624/", "View Product")</f>
        <v/>
      </c>
    </row>
    <row r="8416">
      <c r="A8416" t="inlineStr">
        <is>
          <t>4103040113672</t>
        </is>
      </c>
      <c r="B8416" t="inlineStr">
        <is>
          <t>Sebamed Baby Cleansing Bar - 100g</t>
        </is>
      </c>
      <c r="C8416" t="inlineStr">
        <is>
          <t>Baby Shower Gel &amp; Soap</t>
        </is>
      </c>
      <c r="D8416" t="inlineStr">
        <is>
          <t>Sebamed</t>
        </is>
      </c>
      <c r="E8416" t="n">
        <v>4.24</v>
      </c>
      <c r="F8416" t="n">
        <v>1</v>
      </c>
      <c r="G8416" t="n">
        <v>3</v>
      </c>
      <c r="H8416" s="5">
        <f>HYPERLINK("https://api.qogita.com/variants/link/4103040113672/", "View Product")</f>
        <v/>
      </c>
    </row>
    <row r="8417">
      <c r="A8417" t="inlineStr">
        <is>
          <t>4103040115201</t>
        </is>
      </c>
      <c r="B8417" t="inlineStr">
        <is>
          <t>Sebamed Classic Liquid Face &amp; Body Wash 200 Ml</t>
        </is>
      </c>
      <c r="C8417" t="inlineStr">
        <is>
          <t>Shower Gel</t>
        </is>
      </c>
      <c r="D8417" t="inlineStr">
        <is>
          <t>Sebamed</t>
        </is>
      </c>
      <c r="E8417" t="n">
        <v>4.88</v>
      </c>
      <c r="F8417" t="n">
        <v>1</v>
      </c>
      <c r="G8417" t="n">
        <v>71</v>
      </c>
      <c r="H8417" s="5">
        <f>HYPERLINK("https://api.qogita.com/variants/link/4103040115201/", "View Product")</f>
        <v/>
      </c>
    </row>
    <row r="8418">
      <c r="A8418" t="inlineStr">
        <is>
          <t>4103040146168</t>
        </is>
      </c>
      <c r="B8418" t="inlineStr">
        <is>
          <t>Sebamed Anti-Aging Q10 Firming Body Lotion 200ml</t>
        </is>
      </c>
      <c r="C8418" t="inlineStr">
        <is>
          <t>Body Lotion</t>
        </is>
      </c>
      <c r="D8418" t="inlineStr">
        <is>
          <t>Sebamed</t>
        </is>
      </c>
      <c r="E8418" t="n">
        <v>6.93</v>
      </c>
      <c r="F8418" t="n">
        <v>1</v>
      </c>
      <c r="G8418" t="n">
        <v>16</v>
      </c>
      <c r="H8418" s="5">
        <f>HYPERLINK("https://api.qogita.com/variants/link/4103040146168/", "View Product")</f>
        <v/>
      </c>
    </row>
    <row r="8419">
      <c r="A8419" t="inlineStr">
        <is>
          <t>4103040147752</t>
        </is>
      </c>
      <c r="B8419" t="inlineStr">
        <is>
          <t>Sebamed Clear Face Colored Anti-Pimple Cream - 10ml</t>
        </is>
      </c>
      <c r="C8419" t="inlineStr">
        <is>
          <t>Pimple &amp; Blackhead Treatments</t>
        </is>
      </c>
      <c r="D8419" t="inlineStr">
        <is>
          <t>Sebamed</t>
        </is>
      </c>
      <c r="E8419" t="n">
        <v>5.85</v>
      </c>
      <c r="F8419" t="n">
        <v>1</v>
      </c>
      <c r="G8419" t="n">
        <v>6</v>
      </c>
      <c r="H8419" s="5">
        <f>HYPERLINK("https://api.qogita.com/variants/link/4103040147752/", "View Product")</f>
        <v/>
      </c>
    </row>
    <row r="8420">
      <c r="A8420" t="inlineStr">
        <is>
          <t>4103040171290</t>
        </is>
      </c>
      <c r="B8420" t="inlineStr">
        <is>
          <t>Sebamed Anti-Ageing Q10 Lifting Eye Cream 15ml</t>
        </is>
      </c>
      <c r="C8420" t="inlineStr">
        <is>
          <t>Eye Cream</t>
        </is>
      </c>
      <c r="D8420" t="inlineStr">
        <is>
          <t>Sebamed</t>
        </is>
      </c>
      <c r="E8420" t="n">
        <v>7.91</v>
      </c>
      <c r="F8420" t="n">
        <v>1</v>
      </c>
      <c r="G8420" t="n">
        <v>44</v>
      </c>
      <c r="H8420" s="5">
        <f>HYPERLINK("https://api.qogita.com/variants/link/4103040171290/", "View Product")</f>
        <v/>
      </c>
    </row>
    <row r="8421">
      <c r="A8421" t="inlineStr">
        <is>
          <t>4103040899040</t>
        </is>
      </c>
      <c r="B8421" t="inlineStr">
        <is>
          <t>Sebamed - Tanning Lotion Spf 50 Sun Caremulti Protect Sun Lotion 150ml</t>
        </is>
      </c>
      <c r="C8421" t="inlineStr">
        <is>
          <t>Body Sun Protection</t>
        </is>
      </c>
      <c r="D8421" t="inlineStr">
        <is>
          <t>Sebamed</t>
        </is>
      </c>
      <c r="E8421" t="n">
        <v>8.779999999999999</v>
      </c>
      <c r="F8421" t="n">
        <v>1</v>
      </c>
      <c r="G8421" t="n">
        <v>15</v>
      </c>
      <c r="H8421" s="5">
        <f>HYPERLINK("https://api.qogita.com/variants/link/4103040899040/", "View Product")</f>
        <v/>
      </c>
    </row>
    <row r="8422">
      <c r="A8422" t="inlineStr">
        <is>
          <t>4103040899149</t>
        </is>
      </c>
      <c r="B8422" t="inlineStr">
        <is>
          <t>Sebamed Sun Care Spray SPF 30</t>
        </is>
      </c>
      <c r="C8422" t="inlineStr">
        <is>
          <t>Body Sun Protection</t>
        </is>
      </c>
      <c r="D8422" t="inlineStr">
        <is>
          <t>Sebamed</t>
        </is>
      </c>
      <c r="E8422" t="n">
        <v>9.06</v>
      </c>
      <c r="F8422" t="n">
        <v>1</v>
      </c>
      <c r="G8422" t="n">
        <v>14</v>
      </c>
      <c r="H8422" s="5">
        <f>HYPERLINK("https://api.qogita.com/variants/link/4103040899149/", "View Product")</f>
        <v/>
      </c>
    </row>
    <row r="8423">
      <c r="A8423" t="inlineStr">
        <is>
          <t>4103040900951</t>
        </is>
      </c>
      <c r="B8423" t="inlineStr">
        <is>
          <t>Sebamed Anti-Hairloss Shampoo 200ml - Reduces Hair Loss and Supports Hair</t>
        </is>
      </c>
      <c r="C8423" t="inlineStr">
        <is>
          <t>Shampoo</t>
        </is>
      </c>
      <c r="D8423" t="inlineStr">
        <is>
          <t>Sebamed</t>
        </is>
      </c>
      <c r="E8423" t="n">
        <v>7.75</v>
      </c>
      <c r="F8423" t="n">
        <v>1</v>
      </c>
      <c r="G8423" t="n">
        <v>27</v>
      </c>
      <c r="H8423" s="5">
        <f>HYPERLINK("https://api.qogita.com/variants/link/4103040900951/", "View Product")</f>
        <v/>
      </c>
    </row>
    <row r="8424">
      <c r="A8424" t="inlineStr">
        <is>
          <t>4103040915849</t>
        </is>
      </c>
      <c r="B8424" t="inlineStr">
        <is>
          <t>Sebamed Urea Relief Face Cream Soothing Face Cream With 5 Urea 50 Ml</t>
        </is>
      </c>
      <c r="C8424" t="inlineStr">
        <is>
          <t>Face Cream</t>
        </is>
      </c>
      <c r="D8424" t="inlineStr">
        <is>
          <t>Sebamed</t>
        </is>
      </c>
      <c r="E8424" t="n">
        <v>9.279999999999999</v>
      </c>
      <c r="F8424" t="n">
        <v>1</v>
      </c>
      <c r="G8424" t="n">
        <v>14</v>
      </c>
      <c r="H8424" s="5">
        <f>HYPERLINK("https://api.qogita.com/variants/link/4103040915849/", "View Product")</f>
        <v/>
      </c>
    </row>
    <row r="8425">
      <c r="A8425" t="inlineStr">
        <is>
          <t>4103040915863</t>
        </is>
      </c>
      <c r="B8425" t="inlineStr">
        <is>
          <t>Sebamed Extreme Dry Skin Urea 5% Hand Cream for Dry Skin 75ml</t>
        </is>
      </c>
      <c r="C8425" t="inlineStr">
        <is>
          <t>Hand Cream</t>
        </is>
      </c>
      <c r="D8425" t="inlineStr">
        <is>
          <t>Sebamed</t>
        </is>
      </c>
      <c r="E8425" t="n">
        <v>8.43</v>
      </c>
      <c r="F8425" t="n">
        <v>1</v>
      </c>
      <c r="G8425" t="n">
        <v>3</v>
      </c>
      <c r="H8425" s="5">
        <f>HYPERLINK("https://api.qogita.com/variants/link/4103040915863/", "View Product")</f>
        <v/>
      </c>
    </row>
    <row r="8426">
      <c r="A8426" t="inlineStr">
        <is>
          <t>4210201105275</t>
        </is>
      </c>
      <c r="B8426" t="inlineStr">
        <is>
          <t>Oral-B CrossAction Brush Heads with 16-Degree Angle Bristles</t>
        </is>
      </c>
      <c r="C8426" t="inlineStr">
        <is>
          <t>Electric Toothbrushes</t>
        </is>
      </c>
      <c r="D8426" t="inlineStr">
        <is>
          <t>Oral-B</t>
        </is>
      </c>
      <c r="E8426" t="n">
        <v>39.79</v>
      </c>
      <c r="F8426" t="n">
        <v>1</v>
      </c>
      <c r="G8426" t="n">
        <v>3</v>
      </c>
      <c r="H8426" s="5">
        <f>HYPERLINK("https://api.qogita.com/variants/link/4210201105275/", "View Product")</f>
        <v/>
      </c>
    </row>
    <row r="8427">
      <c r="A8427" t="inlineStr">
        <is>
          <t>4210201163305</t>
        </is>
      </c>
      <c r="B8427" t="inlineStr">
        <is>
          <t>Braun Series 3 300s Electric Shaver</t>
        </is>
      </c>
      <c r="C8427" t="inlineStr">
        <is>
          <t>Shaving</t>
        </is>
      </c>
      <c r="D8427" t="inlineStr">
        <is>
          <t>Braun</t>
        </is>
      </c>
      <c r="E8427" t="n">
        <v>53.38</v>
      </c>
      <c r="F8427" t="n">
        <v>1</v>
      </c>
      <c r="G8427" t="n">
        <v>2</v>
      </c>
      <c r="H8427" s="5">
        <f>HYPERLINK("https://api.qogita.com/variants/link/4210201163305/", "View Product")</f>
        <v/>
      </c>
    </row>
    <row r="8428">
      <c r="A8428" t="inlineStr">
        <is>
          <t>4210201365334</t>
        </is>
      </c>
      <c r="B8428" t="inlineStr">
        <is>
          <t>Oralb Electric Toothbrush Refill Pure Clean Charcoal</t>
        </is>
      </c>
      <c r="C8428" t="inlineStr">
        <is>
          <t>Electric Toothbrushes</t>
        </is>
      </c>
      <c r="D8428" t="inlineStr">
        <is>
          <t>Oral-B</t>
        </is>
      </c>
      <c r="E8428" t="n">
        <v>9.859999999999999</v>
      </c>
      <c r="F8428" t="n">
        <v>1</v>
      </c>
      <c r="G8428" t="n">
        <v>12</v>
      </c>
      <c r="H8428" s="5">
        <f>HYPERLINK("https://api.qogita.com/variants/link/4210201365334/", "View Product")</f>
        <v/>
      </c>
    </row>
    <row r="8429">
      <c r="A8429" t="inlineStr">
        <is>
          <t>4210201404309</t>
        </is>
      </c>
      <c r="B8429" t="inlineStr">
        <is>
          <t>Oral B Kids Brush Heads Star Wars Fun And Effective Toothbrush Heads For Kids</t>
        </is>
      </c>
      <c r="C8429" t="inlineStr">
        <is>
          <t>Dental Care For Children</t>
        </is>
      </c>
      <c r="D8429" t="inlineStr">
        <is>
          <t>Oral-B</t>
        </is>
      </c>
      <c r="E8429" t="n">
        <v>9.800000000000001</v>
      </c>
      <c r="F8429" t="n">
        <v>1</v>
      </c>
      <c r="G8429" t="n">
        <v>5</v>
      </c>
      <c r="H8429" s="5">
        <f>HYPERLINK("https://api.qogita.com/variants/link/4210201404309/", "View Product")</f>
        <v/>
      </c>
    </row>
    <row r="8430">
      <c r="A8430" t="inlineStr">
        <is>
          <t>4210201415367</t>
        </is>
      </c>
      <c r="B8430" t="inlineStr">
        <is>
          <t>Oralb Electric Toothbrush Io Series 5 Matt Black</t>
        </is>
      </c>
      <c r="C8430" t="inlineStr">
        <is>
          <t>Electric Toothbrushes</t>
        </is>
      </c>
      <c r="D8430" t="inlineStr">
        <is>
          <t>Oral-B</t>
        </is>
      </c>
      <c r="E8430" t="n">
        <v>139.9</v>
      </c>
      <c r="F8430" t="n">
        <v>1</v>
      </c>
      <c r="G8430" t="n">
        <v>3</v>
      </c>
      <c r="H8430" s="5">
        <f>HYPERLINK("https://api.qogita.com/variants/link/4210201415367/", "View Product")</f>
        <v/>
      </c>
    </row>
    <row r="8431">
      <c r="A8431" t="inlineStr">
        <is>
          <t>4210201449485</t>
        </is>
      </c>
      <c r="B8431" t="inlineStr">
        <is>
          <t>Oralb Electric Toothbrush Series Io 9 Black Onyx</t>
        </is>
      </c>
      <c r="C8431" t="inlineStr">
        <is>
          <t>Electric Toothbrushes</t>
        </is>
      </c>
      <c r="D8431" t="inlineStr">
        <is>
          <t>Oral-B</t>
        </is>
      </c>
      <c r="E8431" t="n">
        <v>242.36</v>
      </c>
      <c r="F8431" t="n">
        <v>1</v>
      </c>
      <c r="G8431" t="n">
        <v>2</v>
      </c>
      <c r="H8431" s="5">
        <f>HYPERLINK("https://api.qogita.com/variants/link/4210201449485/", "View Product")</f>
        <v/>
      </c>
    </row>
    <row r="8432">
      <c r="A8432" t="inlineStr">
        <is>
          <t>4211125570033</t>
        </is>
      </c>
      <c r="B8432" t="inlineStr">
        <is>
          <t>Beurer Mp 52 Manicure &amp; Pedicure Set 3 Years Warranty</t>
        </is>
      </c>
      <c r="C8432" t="inlineStr">
        <is>
          <t>Manicure Sets</t>
        </is>
      </c>
      <c r="D8432" t="inlineStr">
        <is>
          <t>Beurer</t>
        </is>
      </c>
      <c r="E8432" t="n">
        <v>59.67</v>
      </c>
      <c r="F8432" t="n">
        <v>1</v>
      </c>
      <c r="G8432" t="n">
        <v>2</v>
      </c>
      <c r="H8432" s="5">
        <f>HYPERLINK("https://api.qogita.com/variants/link/4211125570033/", "View Product")</f>
        <v/>
      </c>
    </row>
    <row r="8433">
      <c r="A8433" t="inlineStr">
        <is>
          <t>4211125570682</t>
        </is>
      </c>
      <c r="B8433" t="inlineStr">
        <is>
          <t>Beurer Professional Set For Manicure And Pedicure Mp 100</t>
        </is>
      </c>
      <c r="C8433" t="inlineStr">
        <is>
          <t>Manicure Sets</t>
        </is>
      </c>
      <c r="D8433" t="inlineStr">
        <is>
          <t>Beurer</t>
        </is>
      </c>
      <c r="E8433" t="n">
        <v>153.53</v>
      </c>
      <c r="F8433" t="n">
        <v>1</v>
      </c>
      <c r="G8433" t="n">
        <v>5</v>
      </c>
      <c r="H8433" s="5">
        <f>HYPERLINK("https://api.qogita.com/variants/link/4211125570682/", "View Product")</f>
        <v/>
      </c>
    </row>
    <row r="8434">
      <c r="A8434" t="inlineStr">
        <is>
          <t>4211125584177</t>
        </is>
      </c>
      <c r="B8434" t="inlineStr">
        <is>
          <t>Beurer FC41 Power Deep Pore Cleanser - Pore Vacuum with 5 Intensity Levels</t>
        </is>
      </c>
      <c r="C8434" t="inlineStr">
        <is>
          <t>Facial Cleansing Tools</t>
        </is>
      </c>
      <c r="D8434" t="inlineStr">
        <is>
          <t>Beurer</t>
        </is>
      </c>
      <c r="E8434" t="n">
        <v>37.15</v>
      </c>
      <c r="F8434" t="n">
        <v>1</v>
      </c>
      <c r="G8434" t="n">
        <v>3</v>
      </c>
      <c r="H8434" s="5">
        <f>HYPERLINK("https://api.qogita.com/variants/link/4211125584177/", "View Product")</f>
        <v/>
      </c>
    </row>
    <row r="8435">
      <c r="A8435" t="inlineStr">
        <is>
          <t>4211125591144</t>
        </is>
      </c>
      <c r="B8435" t="inlineStr">
        <is>
          <t>Beurer Hair Dryer HC 50</t>
        </is>
      </c>
      <c r="C8435" t="inlineStr">
        <is>
          <t>Hair Dryers</t>
        </is>
      </c>
      <c r="D8435" t="inlineStr">
        <is>
          <t>Beurer</t>
        </is>
      </c>
      <c r="E8435" t="n">
        <v>41.32</v>
      </c>
      <c r="F8435" t="n">
        <v>1</v>
      </c>
      <c r="G8435" t="n">
        <v>2</v>
      </c>
      <c r="H8435" s="5">
        <f>HYPERLINK("https://api.qogita.com/variants/link/4211125591144/", "View Product")</f>
        <v/>
      </c>
    </row>
    <row r="8436">
      <c r="A8436" t="inlineStr">
        <is>
          <t>4211125605117</t>
        </is>
      </c>
      <c r="B8436" t="inlineStr">
        <is>
          <t>Beurer FC 25 Body Brush with 2 Removable Brush Attachments and 2-Stage Rotation - Single</t>
        </is>
      </c>
      <c r="C8436" t="inlineStr">
        <is>
          <t>Attachment Brushes</t>
        </is>
      </c>
      <c r="D8436" t="inlineStr">
        <is>
          <t>Beurer</t>
        </is>
      </c>
      <c r="E8436" t="n">
        <v>46.06</v>
      </c>
      <c r="F8436" t="n">
        <v>1</v>
      </c>
      <c r="G8436" t="n">
        <v>3</v>
      </c>
      <c r="H8436" s="5">
        <f>HYPERLINK("https://api.qogita.com/variants/link/4211125605117/", "View Product")</f>
        <v/>
      </c>
    </row>
    <row r="8437">
      <c r="A8437" t="inlineStr">
        <is>
          <t>4250120701134</t>
        </is>
      </c>
      <c r="B8437" t="inlineStr">
        <is>
          <t>Vivian Gray Unity Perfumed Water Eau De Parfum 10 Ml</t>
        </is>
      </c>
      <c r="C8437" t="inlineStr">
        <is>
          <t>Eau De Parfum</t>
        </is>
      </c>
      <c r="D8437" t="inlineStr">
        <is>
          <t>Vivian Gray</t>
        </is>
      </c>
      <c r="E8437" t="n">
        <v>3.45</v>
      </c>
      <c r="F8437" t="n">
        <v>1</v>
      </c>
      <c r="G8437" t="n">
        <v>25</v>
      </c>
      <c r="H8437" s="5">
        <f>HYPERLINK("https://api.qogita.com/variants/link/4250120701134/", "View Product")</f>
        <v/>
      </c>
    </row>
    <row r="8438">
      <c r="A8438" t="inlineStr">
        <is>
          <t>4250120710600</t>
        </is>
      </c>
      <c r="B8438" t="inlineStr">
        <is>
          <t>Vivian Gray 1060 Soap Dispenser With Temptation Luxury Cream Soap, Multi-Colour</t>
        </is>
      </c>
      <c r="C8438" t="inlineStr">
        <is>
          <t>Soap &amp; Lotion Dispensers</t>
        </is>
      </c>
      <c r="D8438" t="inlineStr">
        <is>
          <t>Vivian Gray</t>
        </is>
      </c>
      <c r="E8438" t="n">
        <v>3.86</v>
      </c>
      <c r="F8438" t="n">
        <v>1</v>
      </c>
      <c r="G8438" t="n">
        <v>9</v>
      </c>
      <c r="H8438" s="5">
        <f>HYPERLINK("https://api.qogita.com/variants/link/4250120710600/", "View Product")</f>
        <v/>
      </c>
    </row>
    <row r="8439">
      <c r="A8439" t="inlineStr">
        <is>
          <t>4250120713212</t>
        </is>
      </c>
      <c r="B8439" t="inlineStr">
        <is>
          <t>Vivian Gray Orange Blossom Shower Gel 250 Ml</t>
        </is>
      </c>
      <c r="C8439" t="inlineStr">
        <is>
          <t>Shower Gel</t>
        </is>
      </c>
      <c r="D8439" t="inlineStr">
        <is>
          <t>Vivian Gray</t>
        </is>
      </c>
      <c r="E8439" t="n">
        <v>3.44</v>
      </c>
      <c r="F8439" t="n">
        <v>1</v>
      </c>
      <c r="G8439" t="n">
        <v>11</v>
      </c>
      <c r="H8439" s="5">
        <f>HYPERLINK("https://api.qogita.com/variants/link/4250120713212/", "View Product")</f>
        <v/>
      </c>
    </row>
    <row r="8440">
      <c r="A8440" t="inlineStr">
        <is>
          <t>4250120714349</t>
        </is>
      </c>
      <c r="B8440" t="inlineStr">
        <is>
          <t>Vivian Gray Red Christmas Gift Set for Hands</t>
        </is>
      </c>
      <c r="C8440" t="inlineStr">
        <is>
          <t>Hand Care Sets</t>
        </is>
      </c>
      <c r="D8440" t="inlineStr">
        <is>
          <t>Vivian Gray</t>
        </is>
      </c>
      <c r="E8440" t="n">
        <v>10.13</v>
      </c>
      <c r="F8440" t="n">
        <v>1</v>
      </c>
      <c r="G8440" t="n">
        <v>76</v>
      </c>
      <c r="H8440" s="5">
        <f>HYPERLINK("https://api.qogita.com/variants/link/4250120714349/", "View Product")</f>
        <v/>
      </c>
    </row>
    <row r="8441">
      <c r="A8441" t="inlineStr">
        <is>
          <t>4250120715032</t>
        </is>
      </c>
      <c r="B8441" t="inlineStr">
        <is>
          <t>Vivian Gray 1503 Soap Dispenser With Cream Soap Modern Pastel, Pomegranate</t>
        </is>
      </c>
      <c r="C8441" t="inlineStr">
        <is>
          <t>Soap &amp; Lotion Dispensers</t>
        </is>
      </c>
      <c r="D8441" t="inlineStr">
        <is>
          <t>Vivian Gray</t>
        </is>
      </c>
      <c r="E8441" t="n">
        <v>3.63</v>
      </c>
      <c r="F8441" t="n">
        <v>1</v>
      </c>
      <c r="G8441" t="n">
        <v>2</v>
      </c>
      <c r="H8441" s="5">
        <f>HYPERLINK("https://api.qogita.com/variants/link/4250120715032/", "View Product")</f>
        <v/>
      </c>
    </row>
    <row r="8442">
      <c r="A8442" t="inlineStr">
        <is>
          <t>4250120715049</t>
        </is>
      </c>
      <c r="B8442" t="inlineStr">
        <is>
          <t>Vivian Gray Vetiver &amp; Patchouli Liquid Soap 500 Ml</t>
        </is>
      </c>
      <c r="C8442" t="inlineStr">
        <is>
          <t>Soap</t>
        </is>
      </c>
      <c r="D8442" t="inlineStr">
        <is>
          <t>Vivian Gray</t>
        </is>
      </c>
      <c r="E8442" t="n">
        <v>3.86</v>
      </c>
      <c r="F8442" t="n">
        <v>1</v>
      </c>
      <c r="G8442" t="n">
        <v>9</v>
      </c>
      <c r="H8442" s="5">
        <f>HYPERLINK("https://api.qogita.com/variants/link/4250120715049/", "View Product")</f>
        <v/>
      </c>
    </row>
    <row r="8443">
      <c r="A8443" t="inlineStr">
        <is>
          <t>4250120716008</t>
        </is>
      </c>
      <c r="B8443" t="inlineStr">
        <is>
          <t>Vivian Gray Sparkling Orange Cleansing Liquid Soap - 350 Ml</t>
        </is>
      </c>
      <c r="C8443" t="inlineStr">
        <is>
          <t>Soap</t>
        </is>
      </c>
      <c r="D8443" t="inlineStr">
        <is>
          <t>Vivian Gray</t>
        </is>
      </c>
      <c r="E8443" t="n">
        <v>4.97</v>
      </c>
      <c r="F8443" t="n">
        <v>1</v>
      </c>
      <c r="G8443" t="n">
        <v>5</v>
      </c>
      <c r="H8443" s="5">
        <f>HYPERLINK("https://api.qogita.com/variants/link/4250120716008/", "View Product")</f>
        <v/>
      </c>
    </row>
    <row r="8444">
      <c r="A8444" t="inlineStr">
        <is>
          <t>4250120716022</t>
        </is>
      </c>
      <c r="B8444" t="inlineStr">
        <is>
          <t>Vivian Gray Sparkling Orange Shower Gel 350 Ml</t>
        </is>
      </c>
      <c r="C8444" t="inlineStr">
        <is>
          <t>Shower Gel</t>
        </is>
      </c>
      <c r="D8444" t="inlineStr">
        <is>
          <t>Vivian Gray</t>
        </is>
      </c>
      <c r="E8444" t="n">
        <v>5.09</v>
      </c>
      <c r="F8444" t="n">
        <v>1</v>
      </c>
      <c r="G8444" t="n">
        <v>5</v>
      </c>
      <c r="H8444" s="5">
        <f>HYPERLINK("https://api.qogita.com/variants/link/4250120716022/", "View Product")</f>
        <v/>
      </c>
    </row>
    <row r="8445">
      <c r="A8445" t="inlineStr">
        <is>
          <t>4250120716084</t>
        </is>
      </c>
      <c r="B8445" t="inlineStr">
        <is>
          <t>Vivian Gray Sparkling Orange Cream Soap And Hand Lotion Cosmetic Set</t>
        </is>
      </c>
      <c r="C8445" t="inlineStr">
        <is>
          <t>Body Care Sets</t>
        </is>
      </c>
      <c r="D8445" t="inlineStr">
        <is>
          <t>Vivian Gray</t>
        </is>
      </c>
      <c r="E8445" t="n">
        <v>10.8</v>
      </c>
      <c r="F8445" t="n">
        <v>1</v>
      </c>
      <c r="G8445" t="n">
        <v>5</v>
      </c>
      <c r="H8445" s="5">
        <f>HYPERLINK("https://api.qogita.com/variants/link/4250120716084/", "View Product")</f>
        <v/>
      </c>
    </row>
    <row r="8446">
      <c r="A8446" t="inlineStr">
        <is>
          <t>4250120720128</t>
        </is>
      </c>
      <c r="B8446" t="inlineStr">
        <is>
          <t>Vivian Gray Aroma Selection Lotus &amp; Rose Body Lotion 500 Ml</t>
        </is>
      </c>
      <c r="C8446" t="inlineStr">
        <is>
          <t>Body Lotion</t>
        </is>
      </c>
      <c r="D8446" t="inlineStr">
        <is>
          <t>Vivian Gray</t>
        </is>
      </c>
      <c r="E8446" t="n">
        <v>5.66</v>
      </c>
      <c r="F8446" t="n">
        <v>1</v>
      </c>
      <c r="G8446" t="n">
        <v>9</v>
      </c>
      <c r="H8446" s="5">
        <f>HYPERLINK("https://api.qogita.com/variants/link/4250120720128/", "View Product")</f>
        <v/>
      </c>
    </row>
    <row r="8447">
      <c r="A8447" t="inlineStr">
        <is>
          <t>4250120720319</t>
        </is>
      </c>
      <c r="B8447" t="inlineStr">
        <is>
          <t>Vivian Gray 2031 Aroma Selection Orange Shower Gel 500ml</t>
        </is>
      </c>
      <c r="C8447" t="inlineStr">
        <is>
          <t>Shower Gel</t>
        </is>
      </c>
      <c r="D8447" t="inlineStr">
        <is>
          <t>Vivian Gray</t>
        </is>
      </c>
      <c r="E8447" t="n">
        <v>4.83</v>
      </c>
      <c r="F8447" t="n">
        <v>1</v>
      </c>
      <c r="G8447" t="n">
        <v>2</v>
      </c>
      <c r="H8447" s="5">
        <f>HYPERLINK("https://api.qogita.com/variants/link/4250120720319/", "View Product")</f>
        <v/>
      </c>
    </row>
    <row r="8448">
      <c r="A8448" t="inlineStr">
        <is>
          <t>4250120721101</t>
        </is>
      </c>
      <c r="B8448" t="inlineStr">
        <is>
          <t>Vivian Gray Velvet Romance Cream Soap 400 Ml</t>
        </is>
      </c>
      <c r="C8448" t="inlineStr">
        <is>
          <t>Soap</t>
        </is>
      </c>
      <c r="D8448" t="inlineStr">
        <is>
          <t>Vivian Gray</t>
        </is>
      </c>
      <c r="E8448" t="n">
        <v>4.38</v>
      </c>
      <c r="F8448" t="n">
        <v>1</v>
      </c>
      <c r="G8448" t="n">
        <v>2</v>
      </c>
      <c r="H8448" s="5">
        <f>HYPERLINK("https://api.qogita.com/variants/link/4250120721101/", "View Product")</f>
        <v/>
      </c>
    </row>
    <row r="8449">
      <c r="A8449" t="inlineStr">
        <is>
          <t>4250120732206</t>
        </is>
      </c>
      <c r="B8449" t="inlineStr">
        <is>
          <t>Vivian Gray Strass Shower Gel 250ml</t>
        </is>
      </c>
      <c r="C8449" t="inlineStr">
        <is>
          <t>Shower Gel</t>
        </is>
      </c>
      <c r="D8449" t="inlineStr">
        <is>
          <t>Vivian Gray</t>
        </is>
      </c>
      <c r="E8449" t="n">
        <v>4.58</v>
      </c>
      <c r="F8449" t="n">
        <v>1</v>
      </c>
      <c r="G8449" t="n">
        <v>5</v>
      </c>
      <c r="H8449" s="5">
        <f>HYPERLINK("https://api.qogita.com/variants/link/4250120732206/", "View Product")</f>
        <v/>
      </c>
    </row>
    <row r="8450">
      <c r="A8450" t="inlineStr">
        <is>
          <t>4250120733302</t>
        </is>
      </c>
      <c r="B8450" t="inlineStr">
        <is>
          <t>Vivian Gray Collection Liquid Soap Dispenser 3330 Grey Body Lotion</t>
        </is>
      </c>
      <c r="C8450" t="inlineStr">
        <is>
          <t>Soap &amp; Lotion Dispensers</t>
        </is>
      </c>
      <c r="D8450" t="inlineStr">
        <is>
          <t>Vivian Gray</t>
        </is>
      </c>
      <c r="E8450" t="n">
        <v>4.76</v>
      </c>
      <c r="F8450" t="n">
        <v>1</v>
      </c>
      <c r="G8450" t="n">
        <v>2</v>
      </c>
      <c r="H8450" s="5">
        <f>HYPERLINK("https://api.qogita.com/variants/link/4250120733302/", "View Product")</f>
        <v/>
      </c>
    </row>
    <row r="8451">
      <c r="A8451" t="inlineStr">
        <is>
          <t>4250120735108</t>
        </is>
      </c>
      <c r="B8451" t="inlineStr">
        <is>
          <t>Vivian Gray 3510 Gemstone Soap Dispenser With Cream Soap Jasmine &amp; Patchouli</t>
        </is>
      </c>
      <c r="C8451" t="inlineStr">
        <is>
          <t>Soap</t>
        </is>
      </c>
      <c r="D8451" t="inlineStr">
        <is>
          <t>Vivian Gray</t>
        </is>
      </c>
      <c r="E8451" t="n">
        <v>4.57</v>
      </c>
      <c r="F8451" t="n">
        <v>1</v>
      </c>
      <c r="G8451" t="n">
        <v>24</v>
      </c>
      <c r="H8451" s="5">
        <f>HYPERLINK("https://api.qogita.com/variants/link/4250120735108/", "View Product")</f>
        <v/>
      </c>
    </row>
    <row r="8452">
      <c r="A8452" t="inlineStr">
        <is>
          <t>4250120735306</t>
        </is>
      </c>
      <c r="B8452" t="inlineStr">
        <is>
          <t>Vivian Gray Cream Liquid Hand Soap White Musk &amp; Pineapple 300 Ml</t>
        </is>
      </c>
      <c r="C8452" t="inlineStr">
        <is>
          <t>Hand Soap</t>
        </is>
      </c>
      <c r="D8452" t="inlineStr">
        <is>
          <t>Vivian Gray</t>
        </is>
      </c>
      <c r="E8452" t="n">
        <v>6.02</v>
      </c>
      <c r="F8452" t="n">
        <v>1</v>
      </c>
      <c r="G8452" t="n">
        <v>8</v>
      </c>
      <c r="H8452" s="5">
        <f>HYPERLINK("https://api.qogita.com/variants/link/4250120735306/", "View Product")</f>
        <v/>
      </c>
    </row>
    <row r="8453">
      <c r="A8453" t="inlineStr">
        <is>
          <t>4250120735429</t>
        </is>
      </c>
      <c r="B8453" t="inlineStr">
        <is>
          <t>Vivian Gray Bergamot Lemongrass Shower Gel 300 Ml</t>
        </is>
      </c>
      <c r="C8453" t="inlineStr">
        <is>
          <t>Shower Gel</t>
        </is>
      </c>
      <c r="D8453" t="inlineStr">
        <is>
          <t>Vivian Gray</t>
        </is>
      </c>
      <c r="E8453" t="n">
        <v>6.65</v>
      </c>
      <c r="F8453" t="n">
        <v>1</v>
      </c>
      <c r="G8453" t="n">
        <v>5</v>
      </c>
      <c r="H8453" s="5">
        <f>HYPERLINK("https://api.qogita.com/variants/link/4250120735429/", "View Product")</f>
        <v/>
      </c>
    </row>
    <row r="8454">
      <c r="A8454" t="inlineStr">
        <is>
          <t>4250120736228</t>
        </is>
      </c>
      <c r="B8454" t="inlineStr">
        <is>
          <t>Luxurious Liquid Soap Wonderful White Flowers (Liquid Soap) 500 ml</t>
        </is>
      </c>
      <c r="C8454" t="inlineStr">
        <is>
          <t>Soap</t>
        </is>
      </c>
      <c r="D8454" t="inlineStr">
        <is>
          <t>Vivian Gray</t>
        </is>
      </c>
      <c r="E8454" t="n">
        <v>6.85</v>
      </c>
      <c r="F8454" t="n">
        <v>1</v>
      </c>
      <c r="G8454" t="n">
        <v>11</v>
      </c>
      <c r="H8454" s="5">
        <f>HYPERLINK("https://api.qogita.com/variants/link/4250120736228/", "View Product")</f>
        <v/>
      </c>
    </row>
    <row r="8455">
      <c r="A8455" t="inlineStr">
        <is>
          <t>4250120741611</t>
        </is>
      </c>
      <c r="B8455" t="inlineStr">
        <is>
          <t>Vivian Gray Brown Crystals Luxury Shower Gel 250 Ml</t>
        </is>
      </c>
      <c r="C8455" t="inlineStr">
        <is>
          <t>Shower Gel</t>
        </is>
      </c>
      <c r="D8455" t="inlineStr">
        <is>
          <t>Vivian Gray</t>
        </is>
      </c>
      <c r="E8455" t="n">
        <v>4.61</v>
      </c>
      <c r="F8455" t="n">
        <v>1</v>
      </c>
      <c r="G8455" t="n">
        <v>3</v>
      </c>
      <c r="H8455" s="5">
        <f>HYPERLINK("https://api.qogita.com/variants/link/4250120741611/", "View Product")</f>
        <v/>
      </c>
    </row>
    <row r="8456">
      <c r="A8456" t="inlineStr">
        <is>
          <t>4250120780115</t>
        </is>
      </c>
      <c r="B8456" t="inlineStr">
        <is>
          <t>Vivanel Lotus &amp; Rose Cream Shower Gel - Vivian Gray - 300 ml</t>
        </is>
      </c>
      <c r="C8456" t="inlineStr">
        <is>
          <t>Shower Gel</t>
        </is>
      </c>
      <c r="D8456" t="inlineStr">
        <is>
          <t>Vivian Gray</t>
        </is>
      </c>
      <c r="E8456" t="n">
        <v>4.81</v>
      </c>
      <c r="F8456" t="n">
        <v>1</v>
      </c>
      <c r="G8456" t="n">
        <v>6</v>
      </c>
      <c r="H8456" s="5">
        <f>HYPERLINK("https://api.qogita.com/variants/link/4250120780115/", "View Product")</f>
        <v/>
      </c>
    </row>
    <row r="8457">
      <c r="A8457" t="inlineStr">
        <is>
          <t>4250120780610</t>
        </is>
      </c>
      <c r="B8457" t="inlineStr">
        <is>
          <t>VIVANEL 8061 Neroli &amp; Ginger Shower Gel 300ml</t>
        </is>
      </c>
      <c r="C8457" t="inlineStr">
        <is>
          <t>Shower Gel</t>
        </is>
      </c>
      <c r="D8457" t="inlineStr">
        <is>
          <t>Vivenel</t>
        </is>
      </c>
      <c r="E8457" t="n">
        <v>4.93</v>
      </c>
      <c r="F8457" t="n">
        <v>1</v>
      </c>
      <c r="G8457" t="n">
        <v>5</v>
      </c>
      <c r="H8457" s="5">
        <f>HYPERLINK("https://api.qogita.com/variants/link/4250120780610/", "View Product")</f>
        <v/>
      </c>
    </row>
    <row r="8458">
      <c r="A8458" t="inlineStr">
        <is>
          <t>4250120790022</t>
        </is>
      </c>
      <c r="B8458" t="inlineStr">
        <is>
          <t>Vivian Gray True Nature Citrus &amp; Bergamot Shower Gel 300 Ml</t>
        </is>
      </c>
      <c r="C8458" t="inlineStr">
        <is>
          <t>Shower Gel</t>
        </is>
      </c>
      <c r="D8458" t="inlineStr">
        <is>
          <t>Vivian Gray</t>
        </is>
      </c>
      <c r="E8458" t="n">
        <v>5.67</v>
      </c>
      <c r="F8458" t="n">
        <v>1</v>
      </c>
      <c r="G8458" t="n">
        <v>8</v>
      </c>
      <c r="H8458" s="5">
        <f>HYPERLINK("https://api.qogita.com/variants/link/4250120790022/", "View Product")</f>
        <v/>
      </c>
    </row>
    <row r="8459">
      <c r="A8459" t="inlineStr">
        <is>
          <t>4250120790145</t>
        </is>
      </c>
      <c r="B8459" t="inlineStr">
        <is>
          <t>Vivian Gray True Nature Ylang Orange Hand Cream - 75 Ml</t>
        </is>
      </c>
      <c r="C8459" t="inlineStr">
        <is>
          <t>Hand Cream</t>
        </is>
      </c>
      <c r="D8459" t="inlineStr">
        <is>
          <t>Vivian Gray</t>
        </is>
      </c>
      <c r="E8459" t="n">
        <v>5</v>
      </c>
      <c r="F8459" t="n">
        <v>1</v>
      </c>
      <c r="G8459" t="n">
        <v>7</v>
      </c>
      <c r="H8459" s="5">
        <f>HYPERLINK("https://api.qogita.com/variants/link/4250120790145/", "View Product")</f>
        <v/>
      </c>
    </row>
    <row r="8460">
      <c r="A8460" t="inlineStr">
        <is>
          <t>4250947598290</t>
        </is>
      </c>
      <c r="B8460" t="inlineStr">
        <is>
          <t>Catrice Hd Liquid Coverage Foundation 30 Ml 020 Rose Beige Lasts Up To 24 Hours</t>
        </is>
      </c>
      <c r="C8460" t="inlineStr">
        <is>
          <t>Foundation</t>
        </is>
      </c>
      <c r="D8460" t="inlineStr">
        <is>
          <t>Catrice</t>
        </is>
      </c>
      <c r="E8460" t="n">
        <v>7.57</v>
      </c>
      <c r="F8460" t="n">
        <v>1</v>
      </c>
      <c r="G8460" t="n">
        <v>2</v>
      </c>
      <c r="H8460" s="5">
        <f>HYPERLINK("https://api.qogita.com/variants/link/4250947598290/", "View Product")</f>
        <v/>
      </c>
    </row>
    <row r="8461">
      <c r="A8461" t="inlineStr">
        <is>
          <t>4260285389337</t>
        </is>
      </c>
      <c r="B8461" t="inlineStr">
        <is>
          <t>Invisibobble Original Elastic Hair Tie Matte Pink</t>
        </is>
      </c>
      <c r="C8461" t="inlineStr">
        <is>
          <t>Hair Elastics</t>
        </is>
      </c>
      <c r="D8461" t="inlineStr">
        <is>
          <t>Invisibobble</t>
        </is>
      </c>
      <c r="E8461" t="n">
        <v>2.95</v>
      </c>
      <c r="F8461" t="n">
        <v>1</v>
      </c>
      <c r="G8461" t="n">
        <v>3</v>
      </c>
      <c r="H8461" s="5">
        <f>HYPERLINK("https://api.qogita.com/variants/link/4260285389337/", "View Product")</f>
        <v/>
      </c>
    </row>
    <row r="8462">
      <c r="A8462" t="inlineStr">
        <is>
          <t>4260521261465</t>
        </is>
      </c>
      <c r="B8462" t="inlineStr">
        <is>
          <t>Dr. Barbara Sturm Sun Cream Body Spf 30 - 150ml</t>
        </is>
      </c>
      <c r="C8462" t="inlineStr">
        <is>
          <t>Body Sun Protection</t>
        </is>
      </c>
      <c r="D8462" t="inlineStr">
        <is>
          <t>Dr. Barbara Sturm</t>
        </is>
      </c>
      <c r="E8462" t="n">
        <v>80.62</v>
      </c>
      <c r="F8462" t="n">
        <v>1</v>
      </c>
      <c r="G8462" t="n">
        <v>4</v>
      </c>
      <c r="H8462" s="5">
        <f>HYPERLINK("https://api.qogita.com/variants/link/4260521261465/", "View Product")</f>
        <v/>
      </c>
    </row>
    <row r="8463">
      <c r="A8463" t="inlineStr">
        <is>
          <t>4260588891308</t>
        </is>
      </c>
      <c r="B8463" t="inlineStr">
        <is>
          <t>Tolure Cosmetics Lipboost Plumped-Up Effect Lip Gloss</t>
        </is>
      </c>
      <c r="C8463" t="inlineStr">
        <is>
          <t>Lip Gloss</t>
        </is>
      </c>
      <c r="D8463" t="inlineStr">
        <is>
          <t>Toluére Cosmetics</t>
        </is>
      </c>
      <c r="E8463" t="n">
        <v>19.36</v>
      </c>
      <c r="F8463" t="n">
        <v>1</v>
      </c>
      <c r="G8463" t="n">
        <v>2</v>
      </c>
      <c r="H8463" s="5">
        <f>HYPERLINK("https://api.qogita.com/variants/link/4260588891308/", "View Product")</f>
        <v/>
      </c>
    </row>
    <row r="8464">
      <c r="A8464" t="inlineStr">
        <is>
          <t>4744183010130</t>
        </is>
      </c>
      <c r="B8464" t="inlineStr">
        <is>
          <t>Siberica Professional Sea Buckthorn Conditioner For Normal And Dry Hair 400ml</t>
        </is>
      </c>
      <c r="C8464" t="inlineStr">
        <is>
          <t>Conditioner</t>
        </is>
      </c>
      <c r="D8464" t="inlineStr">
        <is>
          <t>Siberica</t>
        </is>
      </c>
      <c r="E8464" t="n">
        <v>8.65</v>
      </c>
      <c r="F8464" t="n">
        <v>1</v>
      </c>
      <c r="G8464" t="n">
        <v>17</v>
      </c>
      <c r="H8464" s="5">
        <f>HYPERLINK("https://api.qogita.com/variants/link/4744183010130/", "View Product")</f>
        <v/>
      </c>
    </row>
    <row r="8465">
      <c r="A8465" t="inlineStr">
        <is>
          <t>4770001003367</t>
        </is>
      </c>
      <c r="B8465" t="inlineStr">
        <is>
          <t>Ecodenta Orange Charcoal Toothpaste Fluoride Free Whitening Toothpaste</t>
        </is>
      </c>
      <c r="C8465" t="inlineStr">
        <is>
          <t>Toothpaste</t>
        </is>
      </c>
      <c r="D8465" t="inlineStr">
        <is>
          <t>Ecodenta</t>
        </is>
      </c>
      <c r="E8465" t="n">
        <v>3.71</v>
      </c>
      <c r="F8465" t="n">
        <v>1</v>
      </c>
      <c r="G8465" t="n">
        <v>159</v>
      </c>
      <c r="H8465" s="5">
        <f>HYPERLINK("https://api.qogita.com/variants/link/4770001003367/", "View Product")</f>
        <v/>
      </c>
    </row>
    <row r="8466">
      <c r="A8466" t="inlineStr">
        <is>
          <t>4770001331743</t>
        </is>
      </c>
      <c r="B8466" t="inlineStr">
        <is>
          <t>Ecodenta Wild Strawberry Scented Toothpaste For Children 75 Ml</t>
        </is>
      </c>
      <c r="C8466" t="inlineStr">
        <is>
          <t>Dental Care For Children</t>
        </is>
      </c>
      <c r="D8466" t="inlineStr">
        <is>
          <t>Ecodenta</t>
        </is>
      </c>
      <c r="E8466" t="n">
        <v>3.14</v>
      </c>
      <c r="F8466" t="n">
        <v>1</v>
      </c>
      <c r="G8466" t="n">
        <v>161</v>
      </c>
      <c r="H8466" s="5">
        <f>HYPERLINK("https://api.qogita.com/variants/link/4770001331743/", "View Product")</f>
        <v/>
      </c>
    </row>
    <row r="8467">
      <c r="A8467" t="inlineStr">
        <is>
          <t>4770001336991</t>
        </is>
      </c>
      <c r="B8467" t="inlineStr">
        <is>
          <t>Ecodenta Black Whitening Toothpaste</t>
        </is>
      </c>
      <c r="C8467" t="inlineStr">
        <is>
          <t>Teeth Whiteners</t>
        </is>
      </c>
      <c r="D8467" t="inlineStr">
        <is>
          <t>Ecodenta</t>
        </is>
      </c>
      <c r="E8467" t="n">
        <v>3.79</v>
      </c>
      <c r="F8467" t="n">
        <v>1</v>
      </c>
      <c r="G8467" t="n">
        <v>521</v>
      </c>
      <c r="H8467" s="5">
        <f>HYPERLINK("https://api.qogita.com/variants/link/4770001336991/", "View Product")</f>
        <v/>
      </c>
    </row>
    <row r="8468">
      <c r="A8468" t="inlineStr">
        <is>
          <t>4820121590046</t>
        </is>
      </c>
      <c r="B8468" t="inlineStr">
        <is>
          <t>Staleks Cuticle Nippers Classic 10 6 Mm</t>
        </is>
      </c>
      <c r="C8468" t="inlineStr">
        <is>
          <t>Nail Clippers &amp; Tools</t>
        </is>
      </c>
      <c r="D8468" t="inlineStr">
        <is>
          <t>Staleks</t>
        </is>
      </c>
      <c r="E8468" t="n">
        <v>13.75</v>
      </c>
      <c r="F8468" t="n">
        <v>1</v>
      </c>
      <c r="G8468" t="n">
        <v>25</v>
      </c>
      <c r="H8468" s="5">
        <f>HYPERLINK("https://api.qogita.com/variants/link/4820121590046/", "View Product")</f>
        <v/>
      </c>
    </row>
    <row r="8469">
      <c r="A8469" t="inlineStr">
        <is>
          <t>4820121590220</t>
        </is>
      </c>
      <c r="B8469" t="inlineStr">
        <is>
          <t>Staleks Classic 10 Type 3 Wide Beveled Tip Eyebrow Tweezers</t>
        </is>
      </c>
      <c r="C8469" t="inlineStr">
        <is>
          <t>Other</t>
        </is>
      </c>
      <c r="D8469" t="inlineStr">
        <is>
          <t>Staleks</t>
        </is>
      </c>
      <c r="E8469" t="n">
        <v>5.02</v>
      </c>
      <c r="F8469" t="n">
        <v>1</v>
      </c>
      <c r="G8469" t="n">
        <v>11</v>
      </c>
      <c r="H8469" s="5">
        <f>HYPERLINK("https://api.qogita.com/variants/link/4820121590220/", "View Product")</f>
        <v/>
      </c>
    </row>
    <row r="8470">
      <c r="A8470" t="inlineStr">
        <is>
          <t>4820121591203</t>
        </is>
      </c>
      <c r="B8470" t="inlineStr">
        <is>
          <t>Staleks Professional Cuticle Nippers Expert 10 9 Mm Perfect For Nail Care</t>
        </is>
      </c>
      <c r="C8470" t="inlineStr">
        <is>
          <t>Nail Clippers &amp; Tools</t>
        </is>
      </c>
      <c r="D8470" t="inlineStr">
        <is>
          <t>Staleks</t>
        </is>
      </c>
      <c r="E8470" t="n">
        <v>26.53</v>
      </c>
      <c r="F8470" t="n">
        <v>1</v>
      </c>
      <c r="G8470" t="n">
        <v>5</v>
      </c>
      <c r="H8470" s="5">
        <f>HYPERLINK("https://api.qogita.com/variants/link/4820121591203/", "View Product")</f>
        <v/>
      </c>
    </row>
    <row r="8471">
      <c r="A8471" t="inlineStr">
        <is>
          <t>4820121591890</t>
        </is>
      </c>
      <c r="B8471" t="inlineStr">
        <is>
          <t>Staleks Expert 61 12 Mm Professional Nippers For Ingrown Toenails</t>
        </is>
      </c>
      <c r="C8471" t="inlineStr">
        <is>
          <t>Nail Clippers &amp; Tools</t>
        </is>
      </c>
      <c r="D8471" t="inlineStr">
        <is>
          <t>Staleks</t>
        </is>
      </c>
      <c r="E8471" t="n">
        <v>27.86</v>
      </c>
      <c r="F8471" t="n">
        <v>1</v>
      </c>
      <c r="G8471" t="n">
        <v>3</v>
      </c>
      <c r="H8471" s="5">
        <f>HYPERLINK("https://api.qogita.com/variants/link/4820121591890/", "View Product")</f>
        <v/>
      </c>
    </row>
    <row r="8472">
      <c r="A8472" t="inlineStr">
        <is>
          <t>4820121592521</t>
        </is>
      </c>
      <c r="B8472" t="inlineStr">
        <is>
          <t>Staleks Expert 30 Type 5 Manicure Pusher Professional Nail Care Tool</t>
        </is>
      </c>
      <c r="C8472" t="inlineStr">
        <is>
          <t>Nail Clippers &amp; Tools</t>
        </is>
      </c>
      <c r="D8472" t="inlineStr">
        <is>
          <t>Staleks</t>
        </is>
      </c>
      <c r="E8472" t="n">
        <v>6.3</v>
      </c>
      <c r="F8472" t="n">
        <v>1</v>
      </c>
      <c r="G8472" t="n">
        <v>4</v>
      </c>
      <c r="H8472" s="5">
        <f>HYPERLINK("https://api.qogita.com/variants/link/4820121592521/", "View Product")</f>
        <v/>
      </c>
    </row>
    <row r="8473">
      <c r="A8473" t="inlineStr">
        <is>
          <t>4820121592613</t>
        </is>
      </c>
      <c r="B8473" t="inlineStr">
        <is>
          <t>Staleks Expert 40 Type 2 Professional Eyelash Tweezers</t>
        </is>
      </c>
      <c r="C8473" t="inlineStr">
        <is>
          <t>Eyelash Extension Accessories</t>
        </is>
      </c>
      <c r="D8473" t="inlineStr">
        <is>
          <t>Staleks</t>
        </is>
      </c>
      <c r="E8473" t="n">
        <v>11.77</v>
      </c>
      <c r="F8473" t="n">
        <v>1</v>
      </c>
      <c r="G8473" t="n">
        <v>5</v>
      </c>
      <c r="H8473" s="5">
        <f>HYPERLINK("https://api.qogita.com/variants/link/4820121592613/", "View Product")</f>
        <v/>
      </c>
    </row>
    <row r="8474">
      <c r="A8474" t="inlineStr">
        <is>
          <t>4820121594372</t>
        </is>
      </c>
      <c r="B8474" t="inlineStr">
        <is>
          <t>Metal Base for Interchangeable Sand Nail File STALEKS</t>
        </is>
      </c>
      <c r="C8474" t="inlineStr">
        <is>
          <t>Nail Clippers &amp; Tools</t>
        </is>
      </c>
      <c r="D8474" t="inlineStr">
        <is>
          <t>Staleks</t>
        </is>
      </c>
      <c r="E8474" t="n">
        <v>5.73</v>
      </c>
      <c r="F8474" t="n">
        <v>1</v>
      </c>
      <c r="G8474" t="n">
        <v>30</v>
      </c>
      <c r="H8474" s="5">
        <f>HYPERLINK("https://api.qogita.com/variants/link/4820121594372/", "View Product")</f>
        <v/>
      </c>
    </row>
    <row r="8475">
      <c r="A8475" t="inlineStr">
        <is>
          <t>4820121595959</t>
        </is>
      </c>
      <c r="B8475" t="inlineStr">
        <is>
          <t>Staleks Pro Smart 80 Ns-80 Cuticle Nippers - Blade Size Variations</t>
        </is>
      </c>
      <c r="C8475" t="inlineStr">
        <is>
          <t>Nail Clippers &amp; Tools</t>
        </is>
      </c>
      <c r="D8475" t="inlineStr">
        <is>
          <t>Staleks Pro</t>
        </is>
      </c>
      <c r="E8475" t="n">
        <v>17.35</v>
      </c>
      <c r="F8475" t="n">
        <v>1</v>
      </c>
      <c r="G8475" t="n">
        <v>3</v>
      </c>
      <c r="H8475" s="5">
        <f>HYPERLINK("https://api.qogita.com/variants/link/4820121595959/", "View Product")</f>
        <v/>
      </c>
    </row>
    <row r="8476">
      <c r="A8476" t="inlineStr">
        <is>
          <t>4820121599391</t>
        </is>
      </c>
      <c r="B8476" t="inlineStr">
        <is>
          <t>Staleks Pro Expert 100 Full Jaw 7mm Blade Professional Cuticle Nippers</t>
        </is>
      </c>
      <c r="C8476" t="inlineStr">
        <is>
          <t>Nail Clippers &amp; Tools</t>
        </is>
      </c>
      <c r="D8476" t="inlineStr">
        <is>
          <t>Staleks Pro</t>
        </is>
      </c>
      <c r="E8476" t="n">
        <v>25.87</v>
      </c>
      <c r="F8476" t="n">
        <v>1</v>
      </c>
      <c r="G8476" t="n">
        <v>3</v>
      </c>
      <c r="H8476" s="5">
        <f>HYPERLINK("https://api.qogita.com/variants/link/4820121599391/", "View Product")</f>
        <v/>
      </c>
    </row>
    <row r="8477">
      <c r="A8477" t="inlineStr">
        <is>
          <t>4820121599469</t>
        </is>
      </c>
      <c r="B8477" t="inlineStr">
        <is>
          <t>Staleks Pro NS-80-4 Professional 4mm Spring Cuticle Cutter Pliers Stainless Steel Manual Sharpening</t>
        </is>
      </c>
      <c r="C8477" t="inlineStr">
        <is>
          <t>Nail Clippers &amp; Tools</t>
        </is>
      </c>
      <c r="D8477" t="inlineStr">
        <is>
          <t>Staleks Pro</t>
        </is>
      </c>
      <c r="E8477" t="n">
        <v>17.35</v>
      </c>
      <c r="F8477" t="n">
        <v>1</v>
      </c>
      <c r="G8477" t="n">
        <v>3</v>
      </c>
      <c r="H8477" s="5">
        <f>HYPERLINK("https://api.qogita.com/variants/link/4820121599469/", "View Product")</f>
        <v/>
      </c>
    </row>
    <row r="8478">
      <c r="A8478" t="inlineStr">
        <is>
          <t>4820121599735</t>
        </is>
      </c>
      <c r="B8478" t="inlineStr">
        <is>
          <t>Staleks Pro Smart 22 Type 1 Professional Cuticle Scissors</t>
        </is>
      </c>
      <c r="C8478" t="inlineStr">
        <is>
          <t>Nail Clippers &amp; Tools</t>
        </is>
      </c>
      <c r="D8478" t="inlineStr">
        <is>
          <t>Staleks Pro</t>
        </is>
      </c>
      <c r="E8478" t="n">
        <v>13.1</v>
      </c>
      <c r="F8478" t="n">
        <v>1</v>
      </c>
      <c r="G8478" t="n">
        <v>3</v>
      </c>
      <c r="H8478" s="5">
        <f>HYPERLINK("https://api.qogita.com/variants/link/4820121599735/", "View Product")</f>
        <v/>
      </c>
    </row>
    <row r="8479">
      <c r="A8479" t="inlineStr">
        <is>
          <t>4820121599780</t>
        </is>
      </c>
      <c r="B8479" t="inlineStr">
        <is>
          <t>Pro Expert Cuticle Scissors 18mm</t>
        </is>
      </c>
      <c r="C8479" t="inlineStr">
        <is>
          <t>Nail Clippers &amp; Tools</t>
        </is>
      </c>
      <c r="D8479" t="inlineStr">
        <is>
          <t>ProExpert</t>
        </is>
      </c>
      <c r="E8479" t="n">
        <v>14.06</v>
      </c>
      <c r="F8479" t="n">
        <v>1</v>
      </c>
      <c r="G8479" t="n">
        <v>20</v>
      </c>
      <c r="H8479" s="5">
        <f>HYPERLINK("https://api.qogita.com/variants/link/4820121599780/", "View Product")</f>
        <v/>
      </c>
    </row>
    <row r="8480">
      <c r="A8480" t="inlineStr">
        <is>
          <t>4820121599834</t>
        </is>
      </c>
      <c r="B8480" t="inlineStr">
        <is>
          <t>Staleks Pododisc Expert Pedicure Disc Stainless Steel</t>
        </is>
      </c>
      <c r="C8480" t="inlineStr">
        <is>
          <t>Foot Care Sets</t>
        </is>
      </c>
      <c r="D8480" t="inlineStr">
        <is>
          <t>Staleks</t>
        </is>
      </c>
      <c r="E8480" t="n">
        <v>11.32</v>
      </c>
      <c r="F8480" t="n">
        <v>1</v>
      </c>
      <c r="G8480" t="n">
        <v>6</v>
      </c>
      <c r="H8480" s="5">
        <f>HYPERLINK("https://api.qogita.com/variants/link/4820121599834/", "View Product")</f>
        <v/>
      </c>
    </row>
    <row r="8481">
      <c r="A8481" t="inlineStr">
        <is>
          <t>4820241060306</t>
        </is>
      </c>
      <c r="B8481" t="inlineStr">
        <is>
          <t>Staleks Classic Nail Nippers 14mm Blades Pedicure Salon</t>
        </is>
      </c>
      <c r="C8481" t="inlineStr">
        <is>
          <t>Nail Clippers &amp; Tools</t>
        </is>
      </c>
      <c r="D8481" t="inlineStr">
        <is>
          <t>Staleks Pro</t>
        </is>
      </c>
      <c r="E8481" t="n">
        <v>13.75</v>
      </c>
      <c r="F8481" t="n">
        <v>1</v>
      </c>
      <c r="G8481" t="n">
        <v>12</v>
      </c>
      <c r="H8481" s="5">
        <f>HYPERLINK("https://api.qogita.com/variants/link/4820241060306/", "View Product")</f>
        <v/>
      </c>
    </row>
    <row r="8482">
      <c r="A8482" t="inlineStr">
        <is>
          <t>4820241062089</t>
        </is>
      </c>
      <c r="B8482" t="inlineStr">
        <is>
          <t>Staleks Expert 20 Straight Beveled Plastic Nail File Base</t>
        </is>
      </c>
      <c r="C8482" t="inlineStr">
        <is>
          <t>Nail Clippers &amp; Tools</t>
        </is>
      </c>
      <c r="D8482" t="inlineStr">
        <is>
          <t>Staleks</t>
        </is>
      </c>
      <c r="E8482" t="n">
        <v>3.82</v>
      </c>
      <c r="F8482" t="n">
        <v>1</v>
      </c>
      <c r="G8482" t="n">
        <v>2</v>
      </c>
      <c r="H8482" s="5">
        <f>HYPERLINK("https://api.qogita.com/variants/link/4820241062089/", "View Product")</f>
        <v/>
      </c>
    </row>
    <row r="8483">
      <c r="A8483" t="inlineStr">
        <is>
          <t>4820241063390</t>
        </is>
      </c>
      <c r="B8483" t="inlineStr">
        <is>
          <t>Staleks Pro Cuticle Scissors Manicure Pedicure Nails Tools Exclusive SX-23/1 Magnolia</t>
        </is>
      </c>
      <c r="C8483" t="inlineStr">
        <is>
          <t>Nail Clippers &amp; Tools</t>
        </is>
      </c>
      <c r="D8483" t="inlineStr">
        <is>
          <t>Staleks</t>
        </is>
      </c>
      <c r="E8483" t="n">
        <v>27.53</v>
      </c>
      <c r="F8483" t="n">
        <v>1</v>
      </c>
      <c r="G8483" t="n">
        <v>5</v>
      </c>
      <c r="H8483" s="5">
        <f>HYPERLINK("https://api.qogita.com/variants/link/4820241063390/", "View Product")</f>
        <v/>
      </c>
    </row>
    <row r="8484">
      <c r="A8484" t="inlineStr">
        <is>
          <t>4820241064144</t>
        </is>
      </c>
      <c r="B8484" t="inlineStr">
        <is>
          <t>Exclusive 21 Professional Cuticle Scissors with Curved Tip Type 2 Design Fior di Magnolia</t>
        </is>
      </c>
      <c r="C8484" t="inlineStr">
        <is>
          <t>Nail Clippers &amp; Tools</t>
        </is>
      </c>
      <c r="D8484" t="inlineStr">
        <is>
          <t>Staleks Pro</t>
        </is>
      </c>
      <c r="E8484" t="n">
        <v>27.53</v>
      </c>
      <c r="F8484" t="n">
        <v>1</v>
      </c>
      <c r="G8484" t="n">
        <v>5</v>
      </c>
      <c r="H8484" s="5">
        <f>HYPERLINK("https://api.qogita.com/variants/link/4820241064144/", "View Product")</f>
        <v/>
      </c>
    </row>
    <row r="8485">
      <c r="A8485" t="inlineStr">
        <is>
          <t>4820241064182</t>
        </is>
      </c>
      <c r="B8485" t="inlineStr">
        <is>
          <t>Staleks Exclusive 23 Type 2 Magnolia Professional Cuticle Scissors With Hook</t>
        </is>
      </c>
      <c r="C8485" t="inlineStr">
        <is>
          <t>Nail Clippers &amp; Tools</t>
        </is>
      </c>
      <c r="D8485" t="inlineStr">
        <is>
          <t>Staleks</t>
        </is>
      </c>
      <c r="E8485" t="n">
        <v>27.53</v>
      </c>
      <c r="F8485" t="n">
        <v>1</v>
      </c>
      <c r="G8485" t="n">
        <v>2</v>
      </c>
      <c r="H8485" s="5">
        <f>HYPERLINK("https://api.qogita.com/variants/link/4820241064182/", "View Product")</f>
        <v/>
      </c>
    </row>
    <row r="8486">
      <c r="A8486" t="inlineStr">
        <is>
          <t>4820241065530</t>
        </is>
      </c>
      <c r="B8486" t="inlineStr">
        <is>
          <t>Staleks Replacement Sandpaper For Pedicure Disc Pro L Grit 100 50 Pcs</t>
        </is>
      </c>
      <c r="C8486" t="inlineStr">
        <is>
          <t>Nail Clippers &amp; Tools</t>
        </is>
      </c>
      <c r="D8486" t="inlineStr">
        <is>
          <t>Staleks</t>
        </is>
      </c>
      <c r="E8486" t="n">
        <v>5.41</v>
      </c>
      <c r="F8486" t="n">
        <v>1</v>
      </c>
      <c r="G8486" t="n">
        <v>2</v>
      </c>
      <c r="H8486" s="5">
        <f>HYPERLINK("https://api.qogita.com/variants/link/4820241065530/", "View Product")</f>
        <v/>
      </c>
    </row>
    <row r="8487">
      <c r="A8487" t="inlineStr">
        <is>
          <t>4820241067312</t>
        </is>
      </c>
      <c r="B8487" t="inlineStr">
        <is>
          <t>Pro Expert Set Of Replacement Nail File Tips 100/180 50 Pieces</t>
        </is>
      </c>
      <c r="C8487" t="inlineStr">
        <is>
          <t>Nail Clippers &amp; Tools</t>
        </is>
      </c>
      <c r="D8487" t="inlineStr">
        <is>
          <t>Pro-Expert</t>
        </is>
      </c>
      <c r="E8487" t="n">
        <v>11.44</v>
      </c>
      <c r="F8487" t="n">
        <v>1</v>
      </c>
      <c r="G8487" t="n">
        <v>3</v>
      </c>
      <c r="H8487" s="5">
        <f>HYPERLINK("https://api.qogita.com/variants/link/4820241067312/", "View Product")</f>
        <v/>
      </c>
    </row>
    <row r="8488">
      <c r="A8488" t="inlineStr">
        <is>
          <t>4820241067619</t>
        </is>
      </c>
      <c r="B8488" t="inlineStr">
        <is>
          <t>Staleks Smart Ns-50 Cuticle Nippers Stainless Steel Double Spring Various Blades</t>
        </is>
      </c>
      <c r="C8488" t="inlineStr">
        <is>
          <t>Nail Clippers &amp; Tools</t>
        </is>
      </c>
      <c r="D8488" t="inlineStr">
        <is>
          <t>Staleks</t>
        </is>
      </c>
      <c r="E8488" t="n">
        <v>17.35</v>
      </c>
      <c r="F8488" t="n">
        <v>1</v>
      </c>
      <c r="G8488" t="n">
        <v>3</v>
      </c>
      <c r="H8488" s="5">
        <f>HYPERLINK("https://api.qogita.com/variants/link/4820241067619/", "View Product")</f>
        <v/>
      </c>
    </row>
    <row r="8489">
      <c r="A8489" t="inlineStr">
        <is>
          <t>4820241067640</t>
        </is>
      </c>
      <c r="B8489" t="inlineStr">
        <is>
          <t>Staleks Ballerina Uniq 10 Type 3 Professional Cuticle Scissors</t>
        </is>
      </c>
      <c r="C8489" t="inlineStr">
        <is>
          <t>Nail Clippers &amp; Tools</t>
        </is>
      </c>
      <c r="D8489" t="inlineStr">
        <is>
          <t>Staleks</t>
        </is>
      </c>
      <c r="E8489" t="n">
        <v>15.06</v>
      </c>
      <c r="F8489" t="n">
        <v>1</v>
      </c>
      <c r="G8489" t="n">
        <v>6</v>
      </c>
      <c r="H8489" s="5">
        <f>HYPERLINK("https://api.qogita.com/variants/link/4820241067640/", "View Product")</f>
        <v/>
      </c>
    </row>
    <row r="8490">
      <c r="A8490" t="inlineStr">
        <is>
          <t>4820241069187</t>
        </is>
      </c>
      <c r="B8490" t="inlineStr">
        <is>
          <t>Staleks Type 5 spingipelle</t>
        </is>
      </c>
      <c r="C8490" t="inlineStr">
        <is>
          <t>Nail Clippers &amp; Tools</t>
        </is>
      </c>
      <c r="D8490" t="inlineStr">
        <is>
          <t>Staleks</t>
        </is>
      </c>
      <c r="E8490" t="n">
        <v>6.22</v>
      </c>
      <c r="F8490" t="n">
        <v>1</v>
      </c>
      <c r="G8490" t="n">
        <v>6</v>
      </c>
      <c r="H8490" s="5">
        <f>HYPERLINK("https://api.qogita.com/variants/link/4820241069187/", "View Product")</f>
        <v/>
      </c>
    </row>
    <row r="8491">
      <c r="A8491" t="inlineStr">
        <is>
          <t>4820241069217</t>
        </is>
      </c>
      <c r="B8491" t="inlineStr">
        <is>
          <t>Manicure Double Instrument with Silicone Handle STALEKS UNIQ PQ-10/2 Narrow Round Pusher + Hoof Stick</t>
        </is>
      </c>
      <c r="C8491" t="inlineStr">
        <is>
          <t>Nail Clippers &amp; Tools</t>
        </is>
      </c>
      <c r="D8491" t="inlineStr">
        <is>
          <t>Staleks</t>
        </is>
      </c>
      <c r="E8491" t="n">
        <v>6.22</v>
      </c>
      <c r="F8491" t="n">
        <v>1</v>
      </c>
      <c r="G8491" t="n">
        <v>9</v>
      </c>
      <c r="H8491" s="5">
        <f>HYPERLINK("https://api.qogita.com/variants/link/4820241069217/", "View Product")</f>
        <v/>
      </c>
    </row>
    <row r="8492">
      <c r="A8492" t="inlineStr">
        <is>
          <t>4820241069392</t>
        </is>
      </c>
      <c r="B8492" t="inlineStr">
        <is>
          <t>Staleks Pro Polishing Buff Crescent Expert 41 400/3000 Grit</t>
        </is>
      </c>
      <c r="C8492" t="inlineStr">
        <is>
          <t>Nail Clippers &amp; Tools</t>
        </is>
      </c>
      <c r="D8492" t="inlineStr">
        <is>
          <t>Staleks Pro</t>
        </is>
      </c>
      <c r="E8492" t="n">
        <v>2.37</v>
      </c>
      <c r="F8492" t="n">
        <v>1</v>
      </c>
      <c r="G8492" t="n">
        <v>25</v>
      </c>
      <c r="H8492" s="5">
        <f>HYPERLINK("https://api.qogita.com/variants/link/4820241069392/", "View Product")</f>
        <v/>
      </c>
    </row>
    <row r="8493">
      <c r="A8493" t="inlineStr">
        <is>
          <t>4823126600697</t>
        </is>
      </c>
      <c r="B8493" t="inlineStr">
        <is>
          <t>Staleks Handle For Manicure Tools Uniq 10 Handle Of The Pusher Combo</t>
        </is>
      </c>
      <c r="C8493" t="inlineStr">
        <is>
          <t>Nail Clippers &amp; Tools</t>
        </is>
      </c>
      <c r="D8493" t="inlineStr">
        <is>
          <t>Staleks</t>
        </is>
      </c>
      <c r="E8493" t="n">
        <v>3.26</v>
      </c>
      <c r="F8493" t="n">
        <v>1</v>
      </c>
      <c r="G8493" t="n">
        <v>14</v>
      </c>
      <c r="H8493" s="5">
        <f>HYPERLINK("https://api.qogita.com/variants/link/4823126600697/", "View Product")</f>
        <v/>
      </c>
    </row>
    <row r="8494">
      <c r="A8494" t="inlineStr">
        <is>
          <t>4897028690780</t>
        </is>
      </c>
      <c r="B8494" t="inlineStr">
        <is>
          <t>Travalo Classic HD Bag Sprays Set of 3 Refills Black</t>
        </is>
      </c>
      <c r="C8494" t="inlineStr">
        <is>
          <t>Refillable Fragrances &amp; Refills</t>
        </is>
      </c>
      <c r="D8494" t="inlineStr">
        <is>
          <t>Travalo</t>
        </is>
      </c>
      <c r="E8494" t="n">
        <v>14.18</v>
      </c>
      <c r="F8494" t="n">
        <v>1</v>
      </c>
      <c r="G8494" t="n">
        <v>158</v>
      </c>
      <c r="H8494" s="5">
        <f>HYPERLINK("https://api.qogita.com/variants/link/4897028690780/", "View Product")</f>
        <v/>
      </c>
    </row>
    <row r="8495">
      <c r="A8495" t="inlineStr">
        <is>
          <t>4897028693903</t>
        </is>
      </c>
      <c r="B8495" t="inlineStr">
        <is>
          <t>Travalo Classic Refillable Perfume Spray High-Tech Aviation Material 0.13oz Gold</t>
        </is>
      </c>
      <c r="C8495" t="inlineStr">
        <is>
          <t>Refillable Fragrances &amp; Refills</t>
        </is>
      </c>
      <c r="D8495" t="inlineStr">
        <is>
          <t>Travalo</t>
        </is>
      </c>
      <c r="E8495" t="n">
        <v>7.16</v>
      </c>
      <c r="F8495" t="n">
        <v>1</v>
      </c>
      <c r="G8495" t="n">
        <v>540</v>
      </c>
      <c r="H8495" s="5">
        <f>HYPERLINK("https://api.qogita.com/variants/link/4897028693903/", "View Product")</f>
        <v/>
      </c>
    </row>
    <row r="8496">
      <c r="A8496" t="inlineStr">
        <is>
          <t>4897028694139</t>
        </is>
      </c>
      <c r="B8496" t="inlineStr">
        <is>
          <t>Travalo Classic Perfume Atomizer Revamped Refill System Elegant Metal Travel Atomizer TSA Flight Approved Portable Perfume Bottle 5ml</t>
        </is>
      </c>
      <c r="C8496" t="inlineStr">
        <is>
          <t>Refillable Fragrances &amp; Refills</t>
        </is>
      </c>
      <c r="D8496" t="inlineStr">
        <is>
          <t>Travalo</t>
        </is>
      </c>
      <c r="E8496" t="n">
        <v>7.16</v>
      </c>
      <c r="F8496" t="n">
        <v>1</v>
      </c>
      <c r="G8496" t="n">
        <v>565</v>
      </c>
      <c r="H8496" s="5">
        <f>HYPERLINK("https://api.qogita.com/variants/link/4897028694139/", "View Product")</f>
        <v/>
      </c>
    </row>
    <row r="8497">
      <c r="A8497" t="inlineStr">
        <is>
          <t>4897028695204</t>
        </is>
      </c>
      <c r="B8497" t="inlineStr">
        <is>
          <t>Travalo Walzer Black Perfume Atomizer</t>
        </is>
      </c>
      <c r="C8497" t="inlineStr">
        <is>
          <t>Refillable Fragrances &amp; Refills</t>
        </is>
      </c>
      <c r="D8497" t="inlineStr">
        <is>
          <t>Travalo</t>
        </is>
      </c>
      <c r="E8497" t="n">
        <v>8.93</v>
      </c>
      <c r="F8497" t="n">
        <v>1</v>
      </c>
      <c r="G8497" t="n">
        <v>147</v>
      </c>
      <c r="H8497" s="5">
        <f>HYPERLINK("https://api.qogita.com/variants/link/4897028695204/", "View Product")</f>
        <v/>
      </c>
    </row>
    <row r="8498">
      <c r="A8498" t="inlineStr">
        <is>
          <t>4897028695211</t>
        </is>
      </c>
      <c r="B8498" t="inlineStr">
        <is>
          <t>Travalo Walzer White Perfume Atomizer</t>
        </is>
      </c>
      <c r="C8498" t="inlineStr">
        <is>
          <t>Refillable Fragrances &amp; Refills</t>
        </is>
      </c>
      <c r="D8498" t="inlineStr">
        <is>
          <t>Travalo</t>
        </is>
      </c>
      <c r="E8498" t="n">
        <v>8.93</v>
      </c>
      <c r="F8498" t="n">
        <v>1</v>
      </c>
      <c r="G8498" t="n">
        <v>154</v>
      </c>
      <c r="H8498" s="5">
        <f>HYPERLINK("https://api.qogita.com/variants/link/4897028695211/", "View Product")</f>
        <v/>
      </c>
    </row>
    <row r="8499">
      <c r="A8499" t="inlineStr">
        <is>
          <t>4897028696317</t>
        </is>
      </c>
      <c r="B8499" t="inlineStr">
        <is>
          <t>Travel Refillable Atomiser</t>
        </is>
      </c>
      <c r="C8499" t="inlineStr">
        <is>
          <t>Refillable Fragrances &amp; Refills</t>
        </is>
      </c>
      <c r="D8499" t="inlineStr">
        <is>
          <t>Etravel</t>
        </is>
      </c>
      <c r="E8499" t="n">
        <v>4.63</v>
      </c>
      <c r="F8499" t="n">
        <v>1</v>
      </c>
      <c r="G8499" t="n">
        <v>229</v>
      </c>
      <c r="H8499" s="5">
        <f>HYPERLINK("https://api.qogita.com/variants/link/4897028696317/", "View Product")</f>
        <v/>
      </c>
    </row>
    <row r="8500">
      <c r="A8500" t="inlineStr">
        <is>
          <t>4935421761734</t>
        </is>
      </c>
      <c r="B8500" t="inlineStr">
        <is>
          <t>Yves Saint Laurent Glossy Lipstick Rouge Volupte Candy 32 G Healthyglow Plumper</t>
        </is>
      </c>
      <c r="C8500" t="inlineStr">
        <is>
          <t>Lipstick</t>
        </is>
      </c>
      <c r="D8500" t="inlineStr">
        <is>
          <t>Yves Saint Laurent</t>
        </is>
      </c>
      <c r="E8500" t="n">
        <v>32.56</v>
      </c>
      <c r="F8500" t="n">
        <v>1</v>
      </c>
      <c r="G8500" t="n">
        <v>2</v>
      </c>
      <c r="H8500" s="5">
        <f>HYPERLINK("https://api.qogita.com/variants/link/4935421761734/", "View Product")</f>
        <v/>
      </c>
    </row>
    <row r="8501">
      <c r="A8501" t="inlineStr">
        <is>
          <t>4936968817861</t>
        </is>
      </c>
      <c r="B8501" t="inlineStr">
        <is>
          <t>Yves Saint Laurent Glossy Lipstick Rouge Volupte Candy 32 G Shade 15 Showcasing Nude</t>
        </is>
      </c>
      <c r="C8501" t="inlineStr">
        <is>
          <t>Lipstick</t>
        </is>
      </c>
      <c r="D8501" t="inlineStr">
        <is>
          <t>Yves Saint Laurent</t>
        </is>
      </c>
      <c r="E8501" t="n">
        <v>32.42</v>
      </c>
      <c r="F8501" t="n">
        <v>1</v>
      </c>
      <c r="G8501" t="n">
        <v>8</v>
      </c>
      <c r="H8501" s="5">
        <f>HYPERLINK("https://api.qogita.com/variants/link/4936968817861/", "View Product")</f>
        <v/>
      </c>
    </row>
    <row r="8502">
      <c r="A8502" t="inlineStr">
        <is>
          <t>4973167074848</t>
        </is>
      </c>
      <c r="B8502" t="inlineStr">
        <is>
          <t>Sensai Absolute Silk Micro Mousse Wash 180ml</t>
        </is>
      </c>
      <c r="C8502" t="inlineStr">
        <is>
          <t>Facial Soap</t>
        </is>
      </c>
      <c r="D8502" t="inlineStr">
        <is>
          <t>Sensai</t>
        </is>
      </c>
      <c r="E8502" t="n">
        <v>62.41</v>
      </c>
      <c r="F8502" t="n">
        <v>1</v>
      </c>
      <c r="G8502" t="n">
        <v>6</v>
      </c>
      <c r="H8502" s="5">
        <f>HYPERLINK("https://api.qogita.com/variants/link/4973167074848/", "View Product")</f>
        <v/>
      </c>
    </row>
    <row r="8503">
      <c r="A8503" t="inlineStr">
        <is>
          <t>4973167079713</t>
        </is>
      </c>
      <c r="B8503" t="inlineStr">
        <is>
          <t>Sensai Cellular Performance Intensive Hand Treatment 100ml Intensive Hand Cream</t>
        </is>
      </c>
      <c r="C8503" t="inlineStr">
        <is>
          <t>Hand Cream</t>
        </is>
      </c>
      <c r="D8503" t="inlineStr">
        <is>
          <t>Sensai</t>
        </is>
      </c>
      <c r="E8503" t="n">
        <v>62.08</v>
      </c>
      <c r="F8503" t="n">
        <v>1</v>
      </c>
      <c r="G8503" t="n">
        <v>9</v>
      </c>
      <c r="H8503" s="5">
        <f>HYPERLINK("https://api.qogita.com/variants/link/4973167079713/", "View Product")</f>
        <v/>
      </c>
    </row>
    <row r="8504">
      <c r="A8504" t="inlineStr">
        <is>
          <t>4973167079737</t>
        </is>
      </c>
      <c r="B8504" t="inlineStr">
        <is>
          <t>Sensai Sensai Cellular Performance Treatment Gloves</t>
        </is>
      </c>
      <c r="C8504" t="inlineStr">
        <is>
          <t>Hand Mask</t>
        </is>
      </c>
      <c r="D8504" t="inlineStr">
        <is>
          <t>Sensai</t>
        </is>
      </c>
      <c r="E8504" t="n">
        <v>21.37</v>
      </c>
      <c r="F8504" t="n">
        <v>1</v>
      </c>
      <c r="G8504" t="n">
        <v>5</v>
      </c>
      <c r="H8504" s="5">
        <f>HYPERLINK("https://api.qogita.com/variants/link/4973167079737/", "View Product")</f>
        <v/>
      </c>
    </row>
    <row r="8505">
      <c r="A8505" t="inlineStr">
        <is>
          <t>4973167100714</t>
        </is>
      </c>
      <c r="B8505" t="inlineStr">
        <is>
          <t>Sensai Cellular Performance Wrinkle Repair Eye Cream 15ml</t>
        </is>
      </c>
      <c r="C8505" t="inlineStr">
        <is>
          <t>Eye Cream</t>
        </is>
      </c>
      <c r="D8505" t="inlineStr">
        <is>
          <t>Sensai</t>
        </is>
      </c>
      <c r="E8505" t="n">
        <v>125.48</v>
      </c>
      <c r="F8505" t="n">
        <v>1</v>
      </c>
      <c r="G8505" t="n">
        <v>5</v>
      </c>
      <c r="H8505" s="5">
        <f>HYPERLINK("https://api.qogita.com/variants/link/4973167100714/", "View Product")</f>
        <v/>
      </c>
    </row>
    <row r="8506">
      <c r="A8506" t="inlineStr">
        <is>
          <t>4973167187029</t>
        </is>
      </c>
      <c r="B8506" t="inlineStr">
        <is>
          <t>Sensai Sensai Cellular Performance Lifting Radiance Concentrate 40ml Brightening Serum With Lifting Effect</t>
        </is>
      </c>
      <c r="C8506" t="inlineStr">
        <is>
          <t>Glow Serum</t>
        </is>
      </c>
      <c r="D8506" t="inlineStr">
        <is>
          <t>Sensai</t>
        </is>
      </c>
      <c r="E8506" t="n">
        <v>174.96</v>
      </c>
      <c r="F8506" t="n">
        <v>1</v>
      </c>
      <c r="G8506" t="n">
        <v>5</v>
      </c>
      <c r="H8506" s="5">
        <f>HYPERLINK("https://api.qogita.com/variants/link/4973167187029/", "View Product")</f>
        <v/>
      </c>
    </row>
    <row r="8507">
      <c r="A8507" t="inlineStr">
        <is>
          <t>4973167207451</t>
        </is>
      </c>
      <c r="B8507" t="inlineStr">
        <is>
          <t>SENSAI Foundations Supreme Illuminator 4g</t>
        </is>
      </c>
      <c r="C8507" t="inlineStr">
        <is>
          <t>Foundation</t>
        </is>
      </c>
      <c r="D8507" t="inlineStr">
        <is>
          <t>Sensai</t>
        </is>
      </c>
      <c r="E8507" t="n">
        <v>36.24</v>
      </c>
      <c r="F8507" t="n">
        <v>1</v>
      </c>
      <c r="G8507" t="n">
        <v>5</v>
      </c>
      <c r="H8507" s="5">
        <f>HYPERLINK("https://api.qogita.com/variants/link/4973167207451/", "View Product")</f>
        <v/>
      </c>
    </row>
    <row r="8508">
      <c r="A8508" t="inlineStr">
        <is>
          <t>4973167228715</t>
        </is>
      </c>
      <c r="B8508" t="inlineStr">
        <is>
          <t>Sensai Translucent Loose Powder</t>
        </is>
      </c>
      <c r="C8508" t="inlineStr">
        <is>
          <t>Powder</t>
        </is>
      </c>
      <c r="D8508" t="inlineStr">
        <is>
          <t>Sensai</t>
        </is>
      </c>
      <c r="E8508" t="n">
        <v>38.8</v>
      </c>
      <c r="F8508" t="n">
        <v>1</v>
      </c>
      <c r="G8508" t="n">
        <v>12</v>
      </c>
      <c r="H8508" s="5">
        <f>HYPERLINK("https://api.qogita.com/variants/link/4973167228715/", "View Product")</f>
        <v/>
      </c>
    </row>
    <row r="8509">
      <c r="A8509" t="inlineStr">
        <is>
          <t>4973167294284</t>
        </is>
      </c>
      <c r="B8509" t="inlineStr">
        <is>
          <t>Sensai Blooming Blush 05 Beige 4g</t>
        </is>
      </c>
      <c r="C8509" t="inlineStr">
        <is>
          <t>Blush</t>
        </is>
      </c>
      <c r="D8509" t="inlineStr">
        <is>
          <t>Sensai</t>
        </is>
      </c>
      <c r="E8509" t="n">
        <v>37.82</v>
      </c>
      <c r="F8509" t="n">
        <v>1</v>
      </c>
      <c r="G8509" t="n">
        <v>3</v>
      </c>
      <c r="H8509" s="5">
        <f>HYPERLINK("https://api.qogita.com/variants/link/4973167294284/", "View Product")</f>
        <v/>
      </c>
    </row>
    <row r="8510">
      <c r="A8510" t="inlineStr">
        <is>
          <t>4973167343531</t>
        </is>
      </c>
      <c r="B8510" t="inlineStr">
        <is>
          <t>Sensai The Lipstick 03 Shakuyaku Red 35 G</t>
        </is>
      </c>
      <c r="C8510" t="inlineStr">
        <is>
          <t>Lipstick</t>
        </is>
      </c>
      <c r="D8510" t="inlineStr">
        <is>
          <t>Sensai</t>
        </is>
      </c>
      <c r="E8510" t="n">
        <v>38.64</v>
      </c>
      <c r="F8510" t="n">
        <v>1</v>
      </c>
      <c r="G8510" t="n">
        <v>6</v>
      </c>
      <c r="H8510" s="5">
        <f>HYPERLINK("https://api.qogita.com/variants/link/4973167343531/", "View Product")</f>
        <v/>
      </c>
    </row>
    <row r="8511">
      <c r="A8511" t="inlineStr">
        <is>
          <t>4973167525531</t>
        </is>
      </c>
      <c r="B8511" t="inlineStr">
        <is>
          <t>Sensai Silky Bronze Protective Suncare Cream for Face SPF 30 50ml</t>
        </is>
      </c>
      <c r="C8511" t="inlineStr">
        <is>
          <t>Face Sun Protection</t>
        </is>
      </c>
      <c r="D8511" t="inlineStr">
        <is>
          <t>Sensai</t>
        </is>
      </c>
      <c r="E8511" t="n">
        <v>83.89</v>
      </c>
      <c r="F8511" t="n">
        <v>1</v>
      </c>
      <c r="G8511" t="n">
        <v>5</v>
      </c>
      <c r="H8511" s="5">
        <f>HYPERLINK("https://api.qogita.com/variants/link/4973167525531/", "View Product")</f>
        <v/>
      </c>
    </row>
    <row r="8512">
      <c r="A8512" t="inlineStr">
        <is>
          <t>4973167525883</t>
        </is>
      </c>
      <c r="B8512" t="inlineStr">
        <is>
          <t>Sensai Sensai Total Finish Spf 10 Refill Tf204 5amber Beige 11g</t>
        </is>
      </c>
      <c r="C8512" t="inlineStr">
        <is>
          <t>Foundation</t>
        </is>
      </c>
      <c r="D8512" t="inlineStr">
        <is>
          <t>Sensai</t>
        </is>
      </c>
      <c r="E8512" t="n">
        <v>33.35</v>
      </c>
      <c r="F8512" t="n">
        <v>1</v>
      </c>
      <c r="G8512" t="n">
        <v>5</v>
      </c>
      <c r="H8512" s="5">
        <f>HYPERLINK("https://api.qogita.com/variants/link/4973167525883/", "View Product")</f>
        <v/>
      </c>
    </row>
    <row r="8513">
      <c r="A8513" t="inlineStr">
        <is>
          <t>4973167810576</t>
        </is>
      </c>
      <c r="B8513" t="inlineStr">
        <is>
          <t>Sensai Sensai Lash Conditioner 10ml Nourishing Essence For Eyelashes</t>
        </is>
      </c>
      <c r="C8513" t="inlineStr">
        <is>
          <t>Eyelash Serum &amp; Eyebrow Serum</t>
        </is>
      </c>
      <c r="D8513" t="inlineStr">
        <is>
          <t>Sensai</t>
        </is>
      </c>
      <c r="E8513" t="n">
        <v>44.23</v>
      </c>
      <c r="F8513" t="n">
        <v>1</v>
      </c>
      <c r="G8513" t="n">
        <v>3</v>
      </c>
      <c r="H8513" s="5">
        <f>HYPERLINK("https://api.qogita.com/variants/link/4973167810576/", "View Product")</f>
        <v/>
      </c>
    </row>
    <row r="8514">
      <c r="A8514" t="inlineStr">
        <is>
          <t>4973167837030</t>
        </is>
      </c>
      <c r="B8514" t="inlineStr">
        <is>
          <t>Sensai Ultimate The Creamy Soap 125ml Cleansing Soap</t>
        </is>
      </c>
      <c r="C8514" t="inlineStr">
        <is>
          <t>Facial Soap</t>
        </is>
      </c>
      <c r="D8514" t="inlineStr">
        <is>
          <t>Sensai</t>
        </is>
      </c>
      <c r="E8514" t="n">
        <v>107.44</v>
      </c>
      <c r="F8514" t="n">
        <v>1</v>
      </c>
      <c r="G8514" t="n">
        <v>6</v>
      </c>
      <c r="H8514" s="5">
        <f>HYPERLINK("https://api.qogita.com/variants/link/4973167837030/", "View Product")</f>
        <v/>
      </c>
    </row>
    <row r="8515">
      <c r="A8515" t="inlineStr">
        <is>
          <t>4973167840856</t>
        </is>
      </c>
      <c r="B8515" t="inlineStr">
        <is>
          <t>Sensai Sensai Flawless Satin Foundation Spf 20 30ml 203 Neutral Beige</t>
        </is>
      </c>
      <c r="C8515" t="inlineStr">
        <is>
          <t>Foundation</t>
        </is>
      </c>
      <c r="D8515" t="inlineStr">
        <is>
          <t>Sensai</t>
        </is>
      </c>
      <c r="E8515" t="n">
        <v>39.6</v>
      </c>
      <c r="F8515" t="n">
        <v>1</v>
      </c>
      <c r="G8515" t="n">
        <v>5</v>
      </c>
      <c r="H8515" s="5">
        <f>HYPERLINK("https://api.qogita.com/variants/link/4973167840856/", "View Product")</f>
        <v/>
      </c>
    </row>
    <row r="8516">
      <c r="A8516" t="inlineStr">
        <is>
          <t>4973167903698</t>
        </is>
      </c>
      <c r="B8516" t="inlineStr">
        <is>
          <t>Sensai Silky Purifying Cleansing Milk 150ml Gentle Cleansing Milk For Face</t>
        </is>
      </c>
      <c r="C8516" t="inlineStr">
        <is>
          <t>Cleansing Milk</t>
        </is>
      </c>
      <c r="D8516" t="inlineStr">
        <is>
          <t>Sensai</t>
        </is>
      </c>
      <c r="E8516" t="n">
        <v>40.84</v>
      </c>
      <c r="F8516" t="n">
        <v>1</v>
      </c>
      <c r="G8516" t="n">
        <v>5</v>
      </c>
      <c r="H8516" s="5">
        <f>HYPERLINK("https://api.qogita.com/variants/link/4973167903698/", "View Product")</f>
        <v/>
      </c>
    </row>
    <row r="8517">
      <c r="A8517" t="inlineStr">
        <is>
          <t>4973167904640</t>
        </is>
      </c>
      <c r="B8517" t="inlineStr">
        <is>
          <t>Sensai Silky Purifying Step One Cleansing Balm 125 Ml</t>
        </is>
      </c>
      <c r="C8517" t="inlineStr">
        <is>
          <t>Cleansing Cream</t>
        </is>
      </c>
      <c r="D8517" t="inlineStr">
        <is>
          <t>Sensai</t>
        </is>
      </c>
      <c r="E8517" t="n">
        <v>39.23</v>
      </c>
      <c r="F8517" t="n">
        <v>1</v>
      </c>
      <c r="G8517" t="n">
        <v>5</v>
      </c>
      <c r="H8517" s="5">
        <f>HYPERLINK("https://api.qogita.com/variants/link/4973167904640/", "View Product")</f>
        <v/>
      </c>
    </row>
    <row r="8518">
      <c r="A8518" t="inlineStr">
        <is>
          <t>4973167907382</t>
        </is>
      </c>
      <c r="B8518" t="inlineStr">
        <is>
          <t>Sensai Cellular Performance Cream Foundation CF23 Almond Beige 30ml</t>
        </is>
      </c>
      <c r="C8518" t="inlineStr">
        <is>
          <t>Foundation</t>
        </is>
      </c>
      <c r="D8518" t="inlineStr">
        <is>
          <t>Sensai</t>
        </is>
      </c>
      <c r="E8518" t="n">
        <v>65.11</v>
      </c>
      <c r="F8518" t="n">
        <v>1</v>
      </c>
      <c r="G8518" t="n">
        <v>8</v>
      </c>
      <c r="H8518" s="5">
        <f>HYPERLINK("https://api.qogita.com/variants/link/4973167907382/", "View Product")</f>
        <v/>
      </c>
    </row>
    <row r="8519">
      <c r="A8519" t="inlineStr">
        <is>
          <t>4973167907580</t>
        </is>
      </c>
      <c r="B8519" t="inlineStr">
        <is>
          <t>Sensai Kanebo Cellular Performance Total Finish Foundation Tf22 Natural Beige 11g Refill</t>
        </is>
      </c>
      <c r="C8519" t="inlineStr">
        <is>
          <t>Foundation</t>
        </is>
      </c>
      <c r="D8519" t="inlineStr">
        <is>
          <t>Sensai</t>
        </is>
      </c>
      <c r="E8519" t="n">
        <v>56.91</v>
      </c>
      <c r="F8519" t="n">
        <v>1</v>
      </c>
      <c r="G8519" t="n">
        <v>4</v>
      </c>
      <c r="H8519" s="5">
        <f>HYPERLINK("https://api.qogita.com/variants/link/4973167907580/", "View Product")</f>
        <v/>
      </c>
    </row>
    <row r="8520">
      <c r="A8520" t="inlineStr">
        <is>
          <t>4973167928585</t>
        </is>
      </c>
      <c r="B8520" t="inlineStr">
        <is>
          <t>Sensai The Silk Eau De Toilette Spray 50 Ml</t>
        </is>
      </c>
      <c r="C8520" t="inlineStr">
        <is>
          <t>Eau De Toilette</t>
        </is>
      </c>
      <c r="D8520" t="inlineStr">
        <is>
          <t>Sensai</t>
        </is>
      </c>
      <c r="E8520" t="n">
        <v>76.89</v>
      </c>
      <c r="F8520" t="n">
        <v>1</v>
      </c>
      <c r="G8520" t="n">
        <v>5</v>
      </c>
      <c r="H8520" s="5">
        <f>HYPERLINK("https://api.qogita.com/variants/link/4973167928585/", "View Product")</f>
        <v/>
      </c>
    </row>
    <row r="8521">
      <c r="A8521" t="inlineStr">
        <is>
          <t>4973167930267</t>
        </is>
      </c>
      <c r="B8521" t="inlineStr">
        <is>
          <t>Sensai Total Finish Foundation Sponge</t>
        </is>
      </c>
      <c r="C8521" t="inlineStr">
        <is>
          <t>Foundation</t>
        </is>
      </c>
      <c r="D8521" t="inlineStr">
        <is>
          <t>Sensai</t>
        </is>
      </c>
      <c r="E8521" t="n">
        <v>8.67</v>
      </c>
      <c r="F8521" t="n">
        <v>1</v>
      </c>
      <c r="G8521" t="n">
        <v>3</v>
      </c>
      <c r="H8521" s="5">
        <f>HYPERLINK("https://api.qogita.com/variants/link/4973167930267/", "View Product")</f>
        <v/>
      </c>
    </row>
    <row r="8522">
      <c r="A8522" t="inlineStr">
        <is>
          <t>4973167930281</t>
        </is>
      </c>
      <c r="B8522" t="inlineStr">
        <is>
          <t>Sensai Kanebo Silky Purifying Cleansing Oil 150ml A Luxurious Cleansing Oil For A Silky Clean</t>
        </is>
      </c>
      <c r="C8522" t="inlineStr">
        <is>
          <t>Cleansing Oil</t>
        </is>
      </c>
      <c r="D8522" t="inlineStr">
        <is>
          <t>Sensai</t>
        </is>
      </c>
      <c r="E8522" t="n">
        <v>38.71</v>
      </c>
      <c r="F8522" t="n">
        <v>1</v>
      </c>
      <c r="G8522" t="n">
        <v>13</v>
      </c>
      <c r="H8522" s="5">
        <f>HYPERLINK("https://api.qogita.com/variants/link/4973167930281/", "View Product")</f>
        <v/>
      </c>
    </row>
    <row r="8523">
      <c r="A8523" t="inlineStr">
        <is>
          <t>4973167930304</t>
        </is>
      </c>
      <c r="B8523" t="inlineStr">
        <is>
          <t>Sensai Silky Purifying Cleansing Cream 125ml</t>
        </is>
      </c>
      <c r="C8523" t="inlineStr">
        <is>
          <t>Cleansing Cream</t>
        </is>
      </c>
      <c r="D8523" t="inlineStr">
        <is>
          <t>Sensai</t>
        </is>
      </c>
      <c r="E8523" t="n">
        <v>39.89</v>
      </c>
      <c r="F8523" t="n">
        <v>1</v>
      </c>
      <c r="G8523" t="n">
        <v>5</v>
      </c>
      <c r="H8523" s="5">
        <f>HYPERLINK("https://api.qogita.com/variants/link/4973167930304/", "View Product")</f>
        <v/>
      </c>
    </row>
    <row r="8524">
      <c r="A8524" t="inlineStr">
        <is>
          <t>4973167943410</t>
        </is>
      </c>
      <c r="B8524" t="inlineStr">
        <is>
          <t>Sensai Total Lip Gloss 45 Ml Colour 01 Akatsuki Black</t>
        </is>
      </c>
      <c r="C8524" t="inlineStr">
        <is>
          <t>Lip Gloss</t>
        </is>
      </c>
      <c r="D8524" t="inlineStr">
        <is>
          <t>Sensai</t>
        </is>
      </c>
      <c r="E8524" t="n">
        <v>34.25</v>
      </c>
      <c r="F8524" t="n">
        <v>1</v>
      </c>
      <c r="G8524" t="n">
        <v>5</v>
      </c>
      <c r="H8524" s="5">
        <f>HYPERLINK("https://api.qogita.com/variants/link/4973167943410/", "View Product")</f>
        <v/>
      </c>
    </row>
    <row r="8525">
      <c r="A8525" t="inlineStr">
        <is>
          <t>4973167953952</t>
        </is>
      </c>
      <c r="B8525" t="inlineStr">
        <is>
          <t>Kanebo Sensai Silky Bronze Self Tanning For Face 50ml/1.7oz</t>
        </is>
      </c>
      <c r="C8525" t="inlineStr">
        <is>
          <t>Face Self-Tanner</t>
        </is>
      </c>
      <c r="D8525" t="inlineStr">
        <is>
          <t>Kanebo</t>
        </is>
      </c>
      <c r="E8525" t="n">
        <v>51.94</v>
      </c>
      <c r="F8525" t="n">
        <v>1</v>
      </c>
      <c r="G8525" t="n">
        <v>5</v>
      </c>
      <c r="H8525" s="5">
        <f>HYPERLINK("https://api.qogita.com/variants/link/4973167953952/", "View Product")</f>
        <v/>
      </c>
    </row>
    <row r="8526">
      <c r="A8526" t="inlineStr">
        <is>
          <t>4973167954157</t>
        </is>
      </c>
      <c r="B8526" t="inlineStr">
        <is>
          <t>Sensai Kanebo Cellular Performance Eye Contour Balm 15ml Eye Balm</t>
        </is>
      </c>
      <c r="C8526" t="inlineStr">
        <is>
          <t>Eye Cream</t>
        </is>
      </c>
      <c r="D8526" t="inlineStr">
        <is>
          <t>Sensai</t>
        </is>
      </c>
      <c r="E8526" t="n">
        <v>82.67</v>
      </c>
      <c r="F8526" t="n">
        <v>1</v>
      </c>
      <c r="G8526" t="n">
        <v>9</v>
      </c>
      <c r="H8526" s="5">
        <f>HYPERLINK("https://api.qogita.com/variants/link/4973167954157/", "View Product")</f>
        <v/>
      </c>
    </row>
    <row r="8527">
      <c r="A8527" t="inlineStr">
        <is>
          <t>4973167962091</t>
        </is>
      </c>
      <c r="B8527" t="inlineStr">
        <is>
          <t>Sensai Kanebo Cellular Performance Lifting Cream 40ml</t>
        </is>
      </c>
      <c r="C8527" t="inlineStr">
        <is>
          <t>Anti-Aging Facial Care</t>
        </is>
      </c>
      <c r="D8527" t="inlineStr">
        <is>
          <t>Sensai</t>
        </is>
      </c>
      <c r="E8527" t="n">
        <v>175.39</v>
      </c>
      <c r="F8527" t="n">
        <v>1</v>
      </c>
      <c r="G8527" t="n">
        <v>6</v>
      </c>
      <c r="H8527" s="5">
        <f>HYPERLINK("https://api.qogita.com/variants/link/4973167962091/", "View Product")</f>
        <v/>
      </c>
    </row>
    <row r="8528">
      <c r="A8528" t="inlineStr">
        <is>
          <t>5000386008466</t>
        </is>
      </c>
      <c r="B8528" t="inlineStr">
        <is>
          <t>Revlon Charlie Red Eau De Toilette Spray 100ml</t>
        </is>
      </c>
      <c r="C8528" t="inlineStr">
        <is>
          <t>Eau De Toilette</t>
        </is>
      </c>
      <c r="D8528" t="inlineStr">
        <is>
          <t>Revlon</t>
        </is>
      </c>
      <c r="E8528" t="n">
        <v>3.64</v>
      </c>
      <c r="F8528" t="n">
        <v>1</v>
      </c>
      <c r="G8528" t="n">
        <v>189</v>
      </c>
      <c r="H8528" s="5">
        <f>HYPERLINK("https://api.qogita.com/variants/link/5000386008466/", "View Product")</f>
        <v/>
      </c>
    </row>
    <row r="8529">
      <c r="A8529" t="inlineStr">
        <is>
          <t>5010724526798</t>
        </is>
      </c>
      <c r="B8529" t="inlineStr">
        <is>
          <t>Batiste Cherry Dry Shampoo 200 Ml With A Fruity Cheeky Fragrance</t>
        </is>
      </c>
      <c r="C8529" t="inlineStr">
        <is>
          <t>Dry Shampoo</t>
        </is>
      </c>
      <c r="D8529" t="inlineStr">
        <is>
          <t>Batiste</t>
        </is>
      </c>
      <c r="E8529" t="n">
        <v>2.89</v>
      </c>
      <c r="F8529" t="n">
        <v>1</v>
      </c>
      <c r="G8529" t="n">
        <v>44</v>
      </c>
      <c r="H8529" s="5">
        <f>HYPERLINK("https://api.qogita.com/variants/link/5010724526798/", "View Product")</f>
        <v/>
      </c>
    </row>
    <row r="8530">
      <c r="A8530" t="inlineStr">
        <is>
          <t>5010724527450</t>
        </is>
      </c>
      <c r="B8530" t="inlineStr">
        <is>
          <t>Batiste Fresh Dry Shampoo 200ml With A Cool Crisp Fragrance</t>
        </is>
      </c>
      <c r="C8530" t="inlineStr">
        <is>
          <t>Dry Shampoo</t>
        </is>
      </c>
      <c r="D8530" t="inlineStr">
        <is>
          <t>Batiste</t>
        </is>
      </c>
      <c r="E8530" t="n">
        <v>2.95</v>
      </c>
      <c r="F8530" t="n">
        <v>1</v>
      </c>
      <c r="G8530" t="n">
        <v>3</v>
      </c>
      <c r="H8530" s="5">
        <f>HYPERLINK("https://api.qogita.com/variants/link/5010724527450/", "View Product")</f>
        <v/>
      </c>
    </row>
    <row r="8531">
      <c r="A8531" t="inlineStr">
        <is>
          <t>5010724527467</t>
        </is>
      </c>
      <c r="B8531" t="inlineStr">
        <is>
          <t>Batiste Dry Shampoo Light Blonde 200ml - Refresh Your Hair With This Dry Shampoo</t>
        </is>
      </c>
      <c r="C8531" t="inlineStr">
        <is>
          <t>Dry Shampoo</t>
        </is>
      </c>
      <c r="D8531" t="inlineStr">
        <is>
          <t>Batiste</t>
        </is>
      </c>
      <c r="E8531" t="n">
        <v>3.07</v>
      </c>
      <c r="F8531" t="n">
        <v>1</v>
      </c>
      <c r="G8531" t="n">
        <v>49</v>
      </c>
      <c r="H8531" s="5">
        <f>HYPERLINK("https://api.qogita.com/variants/link/5010724527467/", "View Product")</f>
        <v/>
      </c>
    </row>
    <row r="8532">
      <c r="A8532" t="inlineStr">
        <is>
          <t>5010724527474</t>
        </is>
      </c>
      <c r="B8532" t="inlineStr">
        <is>
          <t>Batiste Dry Shampoo Hint Of Colour Medium Brunette 200 Ml</t>
        </is>
      </c>
      <c r="C8532" t="inlineStr">
        <is>
          <t>Dry Shampoo</t>
        </is>
      </c>
      <c r="D8532" t="inlineStr">
        <is>
          <t>Batiste</t>
        </is>
      </c>
      <c r="E8532" t="n">
        <v>3.24</v>
      </c>
      <c r="F8532" t="n">
        <v>1</v>
      </c>
      <c r="G8532" t="n">
        <v>44</v>
      </c>
      <c r="H8532" s="5">
        <f>HYPERLINK("https://api.qogita.com/variants/link/5010724527474/", "View Product")</f>
        <v/>
      </c>
    </row>
    <row r="8533">
      <c r="A8533" t="inlineStr">
        <is>
          <t>5010724527481</t>
        </is>
      </c>
      <c r="B8533" t="inlineStr">
        <is>
          <t>Batiste Dry Shampoo Original 200 Ml</t>
        </is>
      </c>
      <c r="C8533" t="inlineStr">
        <is>
          <t>Dry Shampoo</t>
        </is>
      </c>
      <c r="D8533" t="inlineStr">
        <is>
          <t>Batiste</t>
        </is>
      </c>
      <c r="E8533" t="n">
        <v>2.95</v>
      </c>
      <c r="F8533" t="n">
        <v>1</v>
      </c>
      <c r="G8533" t="n">
        <v>5</v>
      </c>
      <c r="H8533" s="5">
        <f>HYPERLINK("https://api.qogita.com/variants/link/5010724527481/", "View Product")</f>
        <v/>
      </c>
    </row>
    <row r="8534">
      <c r="A8534" t="inlineStr">
        <is>
          <t>5010724528105</t>
        </is>
      </c>
      <c r="B8534" t="inlineStr">
        <is>
          <t>Batiste Oriental Dry Shampoo 200 Ml</t>
        </is>
      </c>
      <c r="C8534" t="inlineStr">
        <is>
          <t>Dry Shampoo</t>
        </is>
      </c>
      <c r="D8534" t="inlineStr">
        <is>
          <t>Batiste</t>
        </is>
      </c>
      <c r="E8534" t="n">
        <v>2.61</v>
      </c>
      <c r="F8534" t="n">
        <v>1</v>
      </c>
      <c r="G8534" t="n">
        <v>10</v>
      </c>
      <c r="H8534" s="5">
        <f>HYPERLINK("https://api.qogita.com/variants/link/5010724528105/", "View Product")</f>
        <v/>
      </c>
    </row>
    <row r="8535">
      <c r="A8535" t="inlineStr">
        <is>
          <t>5010724528938</t>
        </is>
      </c>
      <c r="B8535" t="inlineStr">
        <is>
          <t>Batiste Heavenly Volume Dry Shampoo 200ml</t>
        </is>
      </c>
      <c r="C8535" t="inlineStr">
        <is>
          <t>Dry Shampoo</t>
        </is>
      </c>
      <c r="D8535" t="inlineStr">
        <is>
          <t>Batiste</t>
        </is>
      </c>
      <c r="E8535" t="n">
        <v>3.19</v>
      </c>
      <c r="F8535" t="n">
        <v>1</v>
      </c>
      <c r="G8535" t="n">
        <v>11</v>
      </c>
      <c r="H8535" s="5">
        <f>HYPERLINK("https://api.qogita.com/variants/link/5010724528938/", "View Product")</f>
        <v/>
      </c>
    </row>
    <row r="8536">
      <c r="A8536" t="inlineStr">
        <is>
          <t>5010724535950</t>
        </is>
      </c>
      <c r="B8536" t="inlineStr">
        <is>
          <t>Batiste Original Dry Shampoo 350ml</t>
        </is>
      </c>
      <c r="C8536" t="inlineStr">
        <is>
          <t>Dry Shampoo</t>
        </is>
      </c>
      <c r="D8536" t="inlineStr">
        <is>
          <t>Batiste</t>
        </is>
      </c>
      <c r="E8536" t="n">
        <v>4.4</v>
      </c>
      <c r="F8536" t="n">
        <v>1</v>
      </c>
      <c r="G8536" t="n">
        <v>6</v>
      </c>
      <c r="H8536" s="5">
        <f>HYPERLINK("https://api.qogita.com/variants/link/5010724535950/", "View Product")</f>
        <v/>
      </c>
    </row>
    <row r="8537">
      <c r="A8537" t="inlineStr">
        <is>
          <t>5010724536148</t>
        </is>
      </c>
      <c r="B8537" t="inlineStr">
        <is>
          <t>NU Razor Shaver</t>
        </is>
      </c>
      <c r="C8537" t="inlineStr">
        <is>
          <t>Razors &amp; Hair Removal Tools</t>
        </is>
      </c>
      <c r="D8537" t="inlineStr">
        <is>
          <t>Finishing Touch Flawless</t>
        </is>
      </c>
      <c r="E8537" t="n">
        <v>43.24</v>
      </c>
      <c r="F8537" t="n">
        <v>1</v>
      </c>
      <c r="G8537" t="n">
        <v>11</v>
      </c>
      <c r="H8537" s="5">
        <f>HYPERLINK("https://api.qogita.com/variants/link/5010724536148/", "View Product")</f>
        <v/>
      </c>
    </row>
    <row r="8538">
      <c r="A8538" t="inlineStr">
        <is>
          <t>5011408030501</t>
        </is>
      </c>
      <c r="B8538" t="inlineStr">
        <is>
          <t>L'Oreal Paris Revitalift Anti-Aging + Firming Pro Retinol Day Cream 50ml</t>
        </is>
      </c>
      <c r="C8538" t="inlineStr">
        <is>
          <t>Day Cream</t>
        </is>
      </c>
      <c r="D8538" t="inlineStr">
        <is>
          <t>L'Oréal</t>
        </is>
      </c>
      <c r="E8538" t="n">
        <v>8.27</v>
      </c>
      <c r="F8538" t="n">
        <v>1</v>
      </c>
      <c r="G8538" t="n">
        <v>32</v>
      </c>
      <c r="H8538" s="5">
        <f>HYPERLINK("https://api.qogita.com/variants/link/5011408030501/", "View Product")</f>
        <v/>
      </c>
    </row>
    <row r="8539">
      <c r="A8539" t="inlineStr">
        <is>
          <t>5012209042441</t>
        </is>
      </c>
      <c r="B8539" t="inlineStr">
        <is>
          <t>L'Aimant by Coty Parfum de Toilette 50ml</t>
        </is>
      </c>
      <c r="C8539" t="inlineStr">
        <is>
          <t>Eau De Toilette</t>
        </is>
      </c>
      <c r="D8539" t="inlineStr">
        <is>
          <t>L'Aimant</t>
        </is>
      </c>
      <c r="E8539" t="n">
        <v>6.11</v>
      </c>
      <c r="F8539" t="n">
        <v>1</v>
      </c>
      <c r="G8539" t="n">
        <v>198</v>
      </c>
      <c r="H8539" s="5">
        <f>HYPERLINK("https://api.qogita.com/variants/link/5012209042441/", "View Product")</f>
        <v/>
      </c>
    </row>
    <row r="8540">
      <c r="A8540" t="inlineStr">
        <is>
          <t>5016365004282</t>
        </is>
      </c>
      <c r="B8540" t="inlineStr">
        <is>
          <t>Scottish Fine Soaps Ginger, Clove &amp; Mistletoe Festive Treats 50ml &amp; 40g</t>
        </is>
      </c>
      <c r="C8540" t="inlineStr">
        <is>
          <t>Body Care Sets</t>
        </is>
      </c>
      <c r="D8540" t="inlineStr">
        <is>
          <t>Scottish Fine Soaps</t>
        </is>
      </c>
      <c r="E8540" t="n">
        <v>4.54</v>
      </c>
      <c r="F8540" t="n">
        <v>1</v>
      </c>
      <c r="G8540" t="n">
        <v>10</v>
      </c>
      <c r="H8540" s="5">
        <f>HYPERLINK("https://api.qogita.com/variants/link/5016365004282/", "View Product")</f>
        <v/>
      </c>
    </row>
    <row r="8541">
      <c r="A8541" t="inlineStr">
        <is>
          <t>5019301053375</t>
        </is>
      </c>
      <c r="B8541" t="inlineStr">
        <is>
          <t>Barry M Ultra Brow 2-in-1 Defining Browliner and Nourishing Serum Black Tone</t>
        </is>
      </c>
      <c r="C8541" t="inlineStr">
        <is>
          <t>Eyebrow Pencil</t>
        </is>
      </c>
      <c r="D8541" t="inlineStr">
        <is>
          <t>Barry M</t>
        </is>
      </c>
      <c r="E8541" t="n">
        <v>4.79</v>
      </c>
      <c r="F8541" t="n">
        <v>1</v>
      </c>
      <c r="G8541" t="n">
        <v>2</v>
      </c>
      <c r="H8541" s="5">
        <f>HYPERLINK("https://api.qogita.com/variants/link/5019301053375/", "View Product")</f>
        <v/>
      </c>
    </row>
    <row r="8542">
      <c r="A8542" t="inlineStr">
        <is>
          <t>5019487084484</t>
        </is>
      </c>
      <c r="B8542" t="inlineStr">
        <is>
          <t>RIO Anti-Rides Lift Plus 60 Second FALI6</t>
        </is>
      </c>
      <c r="C8542" t="inlineStr">
        <is>
          <t>Anti-Aging Facial Care</t>
        </is>
      </c>
      <c r="D8542" t="inlineStr">
        <is>
          <t>Rio Beauty</t>
        </is>
      </c>
      <c r="E8542" t="n">
        <v>156.89</v>
      </c>
      <c r="F8542" t="n">
        <v>1</v>
      </c>
      <c r="G8542" t="n">
        <v>3</v>
      </c>
      <c r="H8542" s="5">
        <f>HYPERLINK("https://api.qogita.com/variants/link/5019487084484/", "View Product")</f>
        <v/>
      </c>
    </row>
    <row r="8543">
      <c r="A8543" t="inlineStr">
        <is>
          <t>5019487086549</t>
        </is>
      </c>
      <c r="B8543" t="inlineStr">
        <is>
          <t>Salco Rio Sonic Facial Cleansing Brush Aquamarine</t>
        </is>
      </c>
      <c r="C8543" t="inlineStr">
        <is>
          <t>Facial Cleansing Brushes</t>
        </is>
      </c>
      <c r="D8543" t="inlineStr">
        <is>
          <t>Rio</t>
        </is>
      </c>
      <c r="E8543" t="n">
        <v>23.89</v>
      </c>
      <c r="F8543" t="n">
        <v>1</v>
      </c>
      <c r="G8543" t="n">
        <v>2</v>
      </c>
      <c r="H8543" s="5">
        <f>HYPERLINK("https://api.qogita.com/variants/link/5019487086549/", "View Product")</f>
        <v/>
      </c>
    </row>
    <row r="8544">
      <c r="A8544" t="inlineStr">
        <is>
          <t>5019487086860</t>
        </is>
      </c>
      <c r="B8544" t="inlineStr">
        <is>
          <t>Salco Rio Aroma/Air Diffuser For Fragrance Oils</t>
        </is>
      </c>
      <c r="C8544" t="inlineStr">
        <is>
          <t>Diffusers</t>
        </is>
      </c>
      <c r="D8544" t="inlineStr">
        <is>
          <t>Rio</t>
        </is>
      </c>
      <c r="E8544" t="n">
        <v>53.8</v>
      </c>
      <c r="F8544" t="n">
        <v>1</v>
      </c>
      <c r="G8544" t="n">
        <v>4</v>
      </c>
      <c r="H8544" s="5">
        <f>HYPERLINK("https://api.qogita.com/variants/link/5019487086860/", "View Product")</f>
        <v/>
      </c>
    </row>
    <row r="8545">
      <c r="A8545" t="inlineStr">
        <is>
          <t>5019487086877</t>
        </is>
      </c>
      <c r="B8545" t="inlineStr">
        <is>
          <t>Riobeauty Spa Pedi Hard Skin Remover</t>
        </is>
      </c>
      <c r="C8545" t="inlineStr">
        <is>
          <t>Callus Remover</t>
        </is>
      </c>
      <c r="D8545" t="inlineStr">
        <is>
          <t>Rio Beauty</t>
        </is>
      </c>
      <c r="E8545" t="n">
        <v>24.86</v>
      </c>
      <c r="F8545" t="n">
        <v>1</v>
      </c>
      <c r="G8545" t="n">
        <v>2</v>
      </c>
      <c r="H8545" s="5">
        <f>HYPERLINK("https://api.qogita.com/variants/link/5019487086877/", "View Product")</f>
        <v/>
      </c>
    </row>
    <row r="8546">
      <c r="A8546" t="inlineStr">
        <is>
          <t>5019487087003</t>
        </is>
      </c>
      <c r="B8546" t="inlineStr">
        <is>
          <t>Rio Lola Aroma Diffuser Humidifier and Nightlight</t>
        </is>
      </c>
      <c r="C8546" t="inlineStr">
        <is>
          <t>Diffusers</t>
        </is>
      </c>
      <c r="D8546" t="inlineStr">
        <is>
          <t>Rio Beauty</t>
        </is>
      </c>
      <c r="E8546" t="n">
        <v>22.98</v>
      </c>
      <c r="F8546" t="n">
        <v>1</v>
      </c>
      <c r="G8546" t="n">
        <v>4</v>
      </c>
      <c r="H8546" s="5">
        <f>HYPERLINK("https://api.qogita.com/variants/link/5019487087003/", "View Product")</f>
        <v/>
      </c>
    </row>
    <row r="8547">
      <c r="A8547" t="inlineStr">
        <is>
          <t>5019487088253</t>
        </is>
      </c>
      <c r="B8547" t="inlineStr">
        <is>
          <t>Aroma Diffuser</t>
        </is>
      </c>
      <c r="C8547" t="inlineStr">
        <is>
          <t>Diffusers</t>
        </is>
      </c>
      <c r="D8547" t="inlineStr">
        <is>
          <t>Rio Beauty</t>
        </is>
      </c>
      <c r="E8547" t="n">
        <v>42.27</v>
      </c>
      <c r="F8547" t="n">
        <v>1</v>
      </c>
      <c r="G8547" t="n">
        <v>6</v>
      </c>
      <c r="H8547" s="5">
        <f>HYPERLINK("https://api.qogita.com/variants/link/5019487088253/", "View Product")</f>
        <v/>
      </c>
    </row>
    <row r="8548">
      <c r="A8548" t="inlineStr">
        <is>
          <t>5021044013332</t>
        </is>
      </c>
      <c r="B8548" t="inlineStr">
        <is>
          <t>Maybelline Volum Express Mascara Black 10 Ml For Immediate Volume</t>
        </is>
      </c>
      <c r="C8548" t="inlineStr">
        <is>
          <t>Mascara</t>
        </is>
      </c>
      <c r="D8548" t="inlineStr">
        <is>
          <t>Maybelline</t>
        </is>
      </c>
      <c r="E8548" t="n">
        <v>4.11</v>
      </c>
      <c r="F8548" t="n">
        <v>1</v>
      </c>
      <c r="G8548" t="n">
        <v>61</v>
      </c>
      <c r="H8548" s="5">
        <f>HYPERLINK("https://api.qogita.com/variants/link/5021044013332/", "View Product")</f>
        <v/>
      </c>
    </row>
    <row r="8549">
      <c r="A8549" t="inlineStr">
        <is>
          <t>5021044013455</t>
        </is>
      </c>
      <c r="B8549" t="inlineStr">
        <is>
          <t>Maybelline Volum Express Waterproof Mascara Black 85 Ml</t>
        </is>
      </c>
      <c r="C8549" t="inlineStr">
        <is>
          <t>Mascara</t>
        </is>
      </c>
      <c r="D8549" t="inlineStr">
        <is>
          <t>Maybelline</t>
        </is>
      </c>
      <c r="E8549" t="n">
        <v>5.43</v>
      </c>
      <c r="F8549" t="n">
        <v>1</v>
      </c>
      <c r="G8549" t="n">
        <v>16</v>
      </c>
      <c r="H8549" s="5">
        <f>HYPERLINK("https://api.qogita.com/variants/link/5021044013455/", "View Product")</f>
        <v/>
      </c>
    </row>
    <row r="8550">
      <c r="A8550" t="inlineStr">
        <is>
          <t>5023977030400</t>
        </is>
      </c>
      <c r="B8550" t="inlineStr">
        <is>
          <t>Je Reviens by Worth Eau de Toilette Spray 50ml</t>
        </is>
      </c>
      <c r="C8550" t="inlineStr">
        <is>
          <t>Eau De Toilette</t>
        </is>
      </c>
      <c r="D8550" t="inlineStr">
        <is>
          <t>Worth</t>
        </is>
      </c>
      <c r="E8550" t="n">
        <v>7.25</v>
      </c>
      <c r="F8550" t="n">
        <v>1</v>
      </c>
      <c r="G8550" t="n">
        <v>32</v>
      </c>
      <c r="H8550" s="5">
        <f>HYPERLINK("https://api.qogita.com/variants/link/5023977030400/", "View Product")</f>
        <v/>
      </c>
    </row>
    <row r="8551">
      <c r="A8551" t="inlineStr">
        <is>
          <t>5023977159637</t>
        </is>
      </c>
      <c r="B8551" t="inlineStr">
        <is>
          <t>Worth Je Reviens Perfume 30ml</t>
        </is>
      </c>
      <c r="C8551" t="inlineStr">
        <is>
          <t>Eau De Parfum</t>
        </is>
      </c>
      <c r="D8551" t="inlineStr">
        <is>
          <t>Worth</t>
        </is>
      </c>
      <c r="E8551" t="n">
        <v>28.19</v>
      </c>
      <c r="F8551" t="n">
        <v>1</v>
      </c>
      <c r="G8551" t="n">
        <v>2</v>
      </c>
      <c r="H8551" s="5">
        <f>HYPERLINK("https://api.qogita.com/variants/link/5023977159637/", "View Product")</f>
        <v/>
      </c>
    </row>
    <row r="8552">
      <c r="A8552" t="inlineStr">
        <is>
          <t>5025452000564</t>
        </is>
      </c>
      <c r="B8552" t="inlineStr">
        <is>
          <t>Salt Of The Earth Deospray Vetiver &amp; Citrus Natural Deodorant For Men 100 Ml</t>
        </is>
      </c>
      <c r="C8552" t="inlineStr">
        <is>
          <t>Deodorant &amp; Anti-Perspirant</t>
        </is>
      </c>
      <c r="D8552" t="inlineStr">
        <is>
          <t>Salt Of The Earth</t>
        </is>
      </c>
      <c r="E8552" t="n">
        <v>10.27</v>
      </c>
      <c r="F8552" t="n">
        <v>1</v>
      </c>
      <c r="G8552" t="n">
        <v>19</v>
      </c>
      <c r="H8552" s="5">
        <f>HYPERLINK("https://api.qogita.com/variants/link/5025452000564/", "View Product")</f>
        <v/>
      </c>
    </row>
    <row r="8553">
      <c r="A8553" t="inlineStr">
        <is>
          <t>5025452000571</t>
        </is>
      </c>
      <c r="B8553" t="inlineStr">
        <is>
          <t>Salt Of The Earth 100 Natural Deodorant Melon &amp; Cucumber 100 Ml</t>
        </is>
      </c>
      <c r="C8553" t="inlineStr">
        <is>
          <t>Deodorant &amp; Anti-Perspirant</t>
        </is>
      </c>
      <c r="D8553" t="inlineStr">
        <is>
          <t>Salt Of The Earth</t>
        </is>
      </c>
      <c r="E8553" t="n">
        <v>10.27</v>
      </c>
      <c r="F8553" t="n">
        <v>1</v>
      </c>
      <c r="G8553" t="n">
        <v>16</v>
      </c>
      <c r="H8553" s="5">
        <f>HYPERLINK("https://api.qogita.com/variants/link/5025452000571/", "View Product")</f>
        <v/>
      </c>
    </row>
    <row r="8554">
      <c r="A8554" t="inlineStr">
        <is>
          <t>5025452000588</t>
        </is>
      </c>
      <c r="B8554" t="inlineStr">
        <is>
          <t>Salt Of The Earth Natural Deodorant Spray Rock Chick Sweet Strawberry 100 Ml</t>
        </is>
      </c>
      <c r="C8554" t="inlineStr">
        <is>
          <t>Deodorant &amp; Anti-Perspirant</t>
        </is>
      </c>
      <c r="D8554" t="inlineStr">
        <is>
          <t>Salt Of The Earth</t>
        </is>
      </c>
      <c r="E8554" t="n">
        <v>10.27</v>
      </c>
      <c r="F8554" t="n">
        <v>1</v>
      </c>
      <c r="G8554" t="n">
        <v>6</v>
      </c>
      <c r="H8554" s="5">
        <f>HYPERLINK("https://api.qogita.com/variants/link/5025452000588/", "View Product")</f>
        <v/>
      </c>
    </row>
    <row r="8555">
      <c r="A8555" t="inlineStr">
        <is>
          <t>5025452000748</t>
        </is>
      </c>
      <c r="B8555" t="inlineStr">
        <is>
          <t>Salt Of The Earth Ambra Sandalwood Natural Roll On Deodorant 75 Ml</t>
        </is>
      </c>
      <c r="C8555" t="inlineStr">
        <is>
          <t>Deodorant &amp; Anti-Perspirant</t>
        </is>
      </c>
      <c r="D8555" t="inlineStr">
        <is>
          <t>Salt Of The Earth</t>
        </is>
      </c>
      <c r="E8555" t="n">
        <v>9.24</v>
      </c>
      <c r="F8555" t="n">
        <v>1</v>
      </c>
      <c r="G8555" t="n">
        <v>19</v>
      </c>
      <c r="H8555" s="5">
        <f>HYPERLINK("https://api.qogita.com/variants/link/5025452000748/", "View Product")</f>
        <v/>
      </c>
    </row>
    <row r="8556">
      <c r="A8556" t="inlineStr">
        <is>
          <t>5025452000892</t>
        </is>
      </c>
      <c r="B8556" t="inlineStr">
        <is>
          <t>Salt Of The Earth Coconut Natural Ball Deodorant 75 Ml</t>
        </is>
      </c>
      <c r="C8556" t="inlineStr">
        <is>
          <t>Deodorant &amp; Anti-Perspirant</t>
        </is>
      </c>
      <c r="D8556" t="inlineStr">
        <is>
          <t>Salt Of The Earth</t>
        </is>
      </c>
      <c r="E8556" t="n">
        <v>9.24</v>
      </c>
      <c r="F8556" t="n">
        <v>1</v>
      </c>
      <c r="G8556" t="n">
        <v>20</v>
      </c>
      <c r="H8556" s="5">
        <f>HYPERLINK("https://api.qogita.com/variants/link/5025452000892/", "View Product")</f>
        <v/>
      </c>
    </row>
    <row r="8557">
      <c r="A8557" t="inlineStr">
        <is>
          <t>5025452001905</t>
        </is>
      </c>
      <c r="B8557" t="inlineStr">
        <is>
          <t>Salt Of The Earth Natural Rollon Deodorant Melon &amp; Cucumber 75 Ml</t>
        </is>
      </c>
      <c r="C8557" t="inlineStr">
        <is>
          <t>Deodorant &amp; Anti-Perspirant</t>
        </is>
      </c>
      <c r="D8557" t="inlineStr">
        <is>
          <t>Salt Of The Earth</t>
        </is>
      </c>
      <c r="E8557" t="n">
        <v>9.800000000000001</v>
      </c>
      <c r="F8557" t="n">
        <v>1</v>
      </c>
      <c r="G8557" t="n">
        <v>4</v>
      </c>
      <c r="H8557" s="5">
        <f>HYPERLINK("https://api.qogita.com/variants/link/5025452001905/", "View Product")</f>
        <v/>
      </c>
    </row>
    <row r="8558">
      <c r="A8558" t="inlineStr">
        <is>
          <t>5028197189594</t>
        </is>
      </c>
      <c r="B8558" t="inlineStr">
        <is>
          <t>The Body Shop Grapeseed Glossing Serum 60ml</t>
        </is>
      </c>
      <c r="C8558" t="inlineStr">
        <is>
          <t>Glow Serum</t>
        </is>
      </c>
      <c r="D8558" t="inlineStr">
        <is>
          <t>The Body Shop</t>
        </is>
      </c>
      <c r="E8558" t="n">
        <v>10.91</v>
      </c>
      <c r="F8558" t="n">
        <v>1</v>
      </c>
      <c r="G8558" t="n">
        <v>23</v>
      </c>
      <c r="H8558" s="5">
        <f>HYPERLINK("https://api.qogita.com/variants/link/5028197189594/", "View Product")</f>
        <v/>
      </c>
    </row>
    <row r="8559">
      <c r="A8559" t="inlineStr">
        <is>
          <t>5028197234881</t>
        </is>
      </c>
      <c r="B8559" t="inlineStr">
        <is>
          <t>The Body Shop Pink Grapefruit Shower Gel</t>
        </is>
      </c>
      <c r="C8559" t="inlineStr">
        <is>
          <t>Shower Gel</t>
        </is>
      </c>
      <c r="D8559" t="inlineStr">
        <is>
          <t>The Body Shop</t>
        </is>
      </c>
      <c r="E8559" t="n">
        <v>7.11</v>
      </c>
      <c r="F8559" t="n">
        <v>1</v>
      </c>
      <c r="G8559" t="n">
        <v>62</v>
      </c>
      <c r="H8559" s="5">
        <f>HYPERLINK("https://api.qogita.com/variants/link/5028197234881/", "View Product")</f>
        <v/>
      </c>
    </row>
    <row r="8560">
      <c r="A8560" t="inlineStr">
        <is>
          <t>5028197235475</t>
        </is>
      </c>
      <c r="B8560" t="inlineStr">
        <is>
          <t>The Body Shop Satsuma Shower Gel</t>
        </is>
      </c>
      <c r="C8560" t="inlineStr">
        <is>
          <t>Shower Gel</t>
        </is>
      </c>
      <c r="D8560" t="inlineStr">
        <is>
          <t>The Body Shop</t>
        </is>
      </c>
      <c r="E8560" t="n">
        <v>7.41</v>
      </c>
      <c r="F8560" t="n">
        <v>1</v>
      </c>
      <c r="G8560" t="n">
        <v>123</v>
      </c>
      <c r="H8560" s="5">
        <f>HYPERLINK("https://api.qogita.com/variants/link/5028197235475/", "View Product")</f>
        <v/>
      </c>
    </row>
    <row r="8561">
      <c r="A8561" t="inlineStr">
        <is>
          <t>5028197235741</t>
        </is>
      </c>
      <c r="B8561" t="inlineStr">
        <is>
          <t>The Body Shop British Rose Shower Gel 250ml</t>
        </is>
      </c>
      <c r="C8561" t="inlineStr">
        <is>
          <t>Shower Gel</t>
        </is>
      </c>
      <c r="D8561" t="inlineStr">
        <is>
          <t>The Body Shop</t>
        </is>
      </c>
      <c r="E8561" t="n">
        <v>7.07</v>
      </c>
      <c r="F8561" t="n">
        <v>1</v>
      </c>
      <c r="G8561" t="n">
        <v>34</v>
      </c>
      <c r="H8561" s="5">
        <f>HYPERLINK("https://api.qogita.com/variants/link/5028197235741/", "View Product")</f>
        <v/>
      </c>
    </row>
    <row r="8562">
      <c r="A8562" t="inlineStr">
        <is>
          <t>5028197252533</t>
        </is>
      </c>
      <c r="B8562" t="inlineStr">
        <is>
          <t>The Body Shop Hemp Hand Protector 100ml</t>
        </is>
      </c>
      <c r="C8562" t="inlineStr">
        <is>
          <t>Hand Cream</t>
        </is>
      </c>
      <c r="D8562" t="inlineStr">
        <is>
          <t>The Body Shop</t>
        </is>
      </c>
      <c r="E8562" t="n">
        <v>12.36</v>
      </c>
      <c r="F8562" t="n">
        <v>1</v>
      </c>
      <c r="G8562" t="n">
        <v>35</v>
      </c>
      <c r="H8562" s="5">
        <f>HYPERLINK("https://api.qogita.com/variants/link/5028197252533/", "View Product")</f>
        <v/>
      </c>
    </row>
    <row r="8563">
      <c r="A8563" t="inlineStr">
        <is>
          <t>5028197268602</t>
        </is>
      </c>
      <c r="B8563" t="inlineStr">
        <is>
          <t>The Body Shop Seaweed Oil-Control Face Wash 125ml</t>
        </is>
      </c>
      <c r="C8563" t="inlineStr">
        <is>
          <t>Cleansing Foam</t>
        </is>
      </c>
      <c r="D8563" t="inlineStr">
        <is>
          <t>The Body Shop</t>
        </is>
      </c>
      <c r="E8563" t="n">
        <v>11.54</v>
      </c>
      <c r="F8563" t="n">
        <v>1</v>
      </c>
      <c r="G8563" t="n">
        <v>5</v>
      </c>
      <c r="H8563" s="5">
        <f>HYPERLINK("https://api.qogita.com/variants/link/5028197268602/", "View Product")</f>
        <v/>
      </c>
    </row>
    <row r="8564">
      <c r="A8564" t="inlineStr">
        <is>
          <t>5028197268923</t>
        </is>
      </c>
      <c r="B8564" t="inlineStr">
        <is>
          <t>The Body Shop Seaweed Oil-Balancing Toner 100% Vegan 8.4 Fl. Oz</t>
        </is>
      </c>
      <c r="C8564" t="inlineStr">
        <is>
          <t>Facial Spray</t>
        </is>
      </c>
      <c r="D8564" t="inlineStr">
        <is>
          <t>The Body Shop</t>
        </is>
      </c>
      <c r="E8564" t="n">
        <v>12.13</v>
      </c>
      <c r="F8564" t="n">
        <v>1</v>
      </c>
      <c r="G8564" t="n">
        <v>14</v>
      </c>
      <c r="H8564" s="5">
        <f>HYPERLINK("https://api.qogita.com/variants/link/5028197268923/", "View Product")</f>
        <v/>
      </c>
    </row>
    <row r="8565">
      <c r="A8565" t="inlineStr">
        <is>
          <t>5028197270346</t>
        </is>
      </c>
      <c r="B8565" t="inlineStr">
        <is>
          <t>The Body Shop Vitamin E Moisture Sleeping Mask 75ml</t>
        </is>
      </c>
      <c r="C8565" t="inlineStr">
        <is>
          <t>Hydrating Mask</t>
        </is>
      </c>
      <c r="D8565" t="inlineStr">
        <is>
          <t>The Body Shop</t>
        </is>
      </c>
      <c r="E8565" t="n">
        <v>20.3</v>
      </c>
      <c r="F8565" t="n">
        <v>1</v>
      </c>
      <c r="G8565" t="n">
        <v>12</v>
      </c>
      <c r="H8565" s="5">
        <f>HYPERLINK("https://api.qogita.com/variants/link/5028197270346/", "View Product")</f>
        <v/>
      </c>
    </row>
    <row r="8566">
      <c r="A8566" t="inlineStr">
        <is>
          <t>5028197277666</t>
        </is>
      </c>
      <c r="B8566" t="inlineStr">
        <is>
          <t>The Body Shop Camomile Gentle Eye Makeup Remover for All Skin Types 250ml</t>
        </is>
      </c>
      <c r="C8566" t="inlineStr">
        <is>
          <t>Makeup Remover</t>
        </is>
      </c>
      <c r="D8566" t="inlineStr">
        <is>
          <t>The Body Shop</t>
        </is>
      </c>
      <c r="E8566" t="n">
        <v>10.53</v>
      </c>
      <c r="F8566" t="n">
        <v>1</v>
      </c>
      <c r="G8566" t="n">
        <v>43</v>
      </c>
      <c r="H8566" s="5">
        <f>HYPERLINK("https://api.qogita.com/variants/link/5028197277666/", "View Product")</f>
        <v/>
      </c>
    </row>
    <row r="8567">
      <c r="A8567" t="inlineStr">
        <is>
          <t>5028197314019</t>
        </is>
      </c>
      <c r="B8567" t="inlineStr">
        <is>
          <t>The Body Shop Almond Milk Hand Balm For Dry Skin</t>
        </is>
      </c>
      <c r="C8567" t="inlineStr">
        <is>
          <t>Hand Cream</t>
        </is>
      </c>
      <c r="D8567" t="inlineStr">
        <is>
          <t>The Body Shop</t>
        </is>
      </c>
      <c r="E8567" t="n">
        <v>7.41</v>
      </c>
      <c r="F8567" t="n">
        <v>1</v>
      </c>
      <c r="G8567" t="n">
        <v>2</v>
      </c>
      <c r="H8567" s="5">
        <f>HYPERLINK("https://api.qogita.com/variants/link/5028197314019/", "View Product")</f>
        <v/>
      </c>
    </row>
    <row r="8568">
      <c r="A8568" t="inlineStr">
        <is>
          <t>5028197332600</t>
        </is>
      </c>
      <c r="B8568" t="inlineStr">
        <is>
          <t>The Body Shop Shea Shower Cream For Dry Skin</t>
        </is>
      </c>
      <c r="C8568" t="inlineStr">
        <is>
          <t>Shower Gel</t>
        </is>
      </c>
      <c r="D8568" t="inlineStr">
        <is>
          <t>The Body Shop</t>
        </is>
      </c>
      <c r="E8568" t="n">
        <v>4.83</v>
      </c>
      <c r="F8568" t="n">
        <v>1</v>
      </c>
      <c r="G8568" t="n">
        <v>8</v>
      </c>
      <c r="H8568" s="5">
        <f>HYPERLINK("https://api.qogita.com/variants/link/5028197332600/", "View Product")</f>
        <v/>
      </c>
    </row>
    <row r="8569">
      <c r="A8569" t="inlineStr">
        <is>
          <t>5028197345181</t>
        </is>
      </c>
      <c r="B8569" t="inlineStr">
        <is>
          <t>Moringa Body Lotion 200ml Eucalyptus</t>
        </is>
      </c>
      <c r="C8569" t="inlineStr">
        <is>
          <t>Body Lotion</t>
        </is>
      </c>
      <c r="D8569" t="inlineStr">
        <is>
          <t>The Body Shop</t>
        </is>
      </c>
      <c r="E8569" t="n">
        <v>10.89</v>
      </c>
      <c r="F8569" t="n">
        <v>1</v>
      </c>
      <c r="G8569" t="n">
        <v>57</v>
      </c>
      <c r="H8569" s="5">
        <f>HYPERLINK("https://api.qogita.com/variants/link/5028197345181/", "View Product")</f>
        <v/>
      </c>
    </row>
    <row r="8570">
      <c r="A8570" t="inlineStr">
        <is>
          <t>5028197345402</t>
        </is>
      </c>
      <c r="B8570" t="inlineStr">
        <is>
          <t>The Body Shop Olive Nourishing Body Lotion 200ml for Dry to Very Dry Skin</t>
        </is>
      </c>
      <c r="C8570" t="inlineStr">
        <is>
          <t>Body Lotion</t>
        </is>
      </c>
      <c r="D8570" t="inlineStr">
        <is>
          <t>The Body Shop</t>
        </is>
      </c>
      <c r="E8570" t="n">
        <v>10.48</v>
      </c>
      <c r="F8570" t="n">
        <v>1</v>
      </c>
      <c r="G8570" t="n">
        <v>41</v>
      </c>
      <c r="H8570" s="5">
        <f>HYPERLINK("https://api.qogita.com/variants/link/5028197345402/", "View Product")</f>
        <v/>
      </c>
    </row>
    <row r="8571">
      <c r="A8571" t="inlineStr">
        <is>
          <t>5028197345433</t>
        </is>
      </c>
      <c r="B8571" t="inlineStr">
        <is>
          <t>The Body Shop Almond Milk Body Lotion Moisturizing Lotion For Dry And Sensitive Skin</t>
        </is>
      </c>
      <c r="C8571" t="inlineStr">
        <is>
          <t>Body Lotion</t>
        </is>
      </c>
      <c r="D8571" t="inlineStr">
        <is>
          <t>The Body Shop</t>
        </is>
      </c>
      <c r="E8571" t="n">
        <v>10.61</v>
      </c>
      <c r="F8571" t="n">
        <v>1</v>
      </c>
      <c r="G8571" t="n">
        <v>8</v>
      </c>
      <c r="H8571" s="5">
        <f>HYPERLINK("https://api.qogita.com/variants/link/5028197345433/", "View Product")</f>
        <v/>
      </c>
    </row>
    <row r="8572">
      <c r="A8572" t="inlineStr">
        <is>
          <t>5028197370305</t>
        </is>
      </c>
      <c r="B8572" t="inlineStr">
        <is>
          <t>The Body Shop Solid Shampoo For Frizzy Hair Banana Shampoo Bar 60 G</t>
        </is>
      </c>
      <c r="C8572" t="inlineStr">
        <is>
          <t>Shampoo</t>
        </is>
      </c>
      <c r="D8572" t="inlineStr">
        <is>
          <t>The Body Shop</t>
        </is>
      </c>
      <c r="E8572" t="n">
        <v>13.41</v>
      </c>
      <c r="F8572" t="n">
        <v>1</v>
      </c>
      <c r="G8572" t="n">
        <v>18</v>
      </c>
      <c r="H8572" s="5">
        <f>HYPERLINK("https://api.qogita.com/variants/link/5028197370305/", "View Product")</f>
        <v/>
      </c>
    </row>
    <row r="8573">
      <c r="A8573" t="inlineStr">
        <is>
          <t>5028197375171</t>
        </is>
      </c>
      <c r="B8573" t="inlineStr">
        <is>
          <t>The Body Shop Vitamin C Glow Boosting Intense Moisturiser 50 Ml</t>
        </is>
      </c>
      <c r="C8573" t="inlineStr">
        <is>
          <t>Day Cream</t>
        </is>
      </c>
      <c r="D8573" t="inlineStr">
        <is>
          <t>The Body Shop</t>
        </is>
      </c>
      <c r="E8573" t="n">
        <v>20.63</v>
      </c>
      <c r="F8573" t="n">
        <v>1</v>
      </c>
      <c r="G8573" t="n">
        <v>7</v>
      </c>
      <c r="H8573" s="5">
        <f>HYPERLINK("https://api.qogita.com/variants/link/5028197375171/", "View Product")</f>
        <v/>
      </c>
    </row>
    <row r="8574">
      <c r="A8574" t="inlineStr">
        <is>
          <t>5028197388683</t>
        </is>
      </c>
      <c r="B8574" t="inlineStr">
        <is>
          <t>Shampoo Bar Travel Case</t>
        </is>
      </c>
      <c r="C8574" t="inlineStr">
        <is>
          <t>Shampoo</t>
        </is>
      </c>
      <c r="D8574" t="inlineStr">
        <is>
          <t>The Body Shop</t>
        </is>
      </c>
      <c r="E8574" t="n">
        <v>6.95</v>
      </c>
      <c r="F8574" t="n">
        <v>1</v>
      </c>
      <c r="G8574" t="n">
        <v>9</v>
      </c>
      <c r="H8574" s="5">
        <f>HYPERLINK("https://api.qogita.com/variants/link/5028197388683/", "View Product")</f>
        <v/>
      </c>
    </row>
    <row r="8575">
      <c r="A8575" t="inlineStr">
        <is>
          <t>5028197389529</t>
        </is>
      </c>
      <c r="B8575" t="inlineStr">
        <is>
          <t>The Body Shop Perfumed Body Mist Blue Musk Zest - 100 Ml</t>
        </is>
      </c>
      <c r="C8575" t="inlineStr">
        <is>
          <t>Eau De Toilette</t>
        </is>
      </c>
      <c r="D8575" t="inlineStr">
        <is>
          <t>The Body Shop</t>
        </is>
      </c>
      <c r="E8575" t="n">
        <v>19</v>
      </c>
      <c r="F8575" t="n">
        <v>1</v>
      </c>
      <c r="G8575" t="n">
        <v>15</v>
      </c>
      <c r="H8575" s="5">
        <f>HYPERLINK("https://api.qogita.com/variants/link/5028197389529/", "View Product")</f>
        <v/>
      </c>
    </row>
    <row r="8576">
      <c r="A8576" t="inlineStr">
        <is>
          <t>5028197418021</t>
        </is>
      </c>
      <c r="B8576" t="inlineStr">
        <is>
          <t>The Body Shop Vitamin E Skincare Gift Set</t>
        </is>
      </c>
      <c r="C8576" t="inlineStr">
        <is>
          <t>Facial Care Sets</t>
        </is>
      </c>
      <c r="D8576" t="inlineStr">
        <is>
          <t>The Body Shop</t>
        </is>
      </c>
      <c r="E8576" t="n">
        <v>22.93</v>
      </c>
      <c r="F8576" t="n">
        <v>1</v>
      </c>
      <c r="G8576" t="n">
        <v>44</v>
      </c>
      <c r="H8576" s="5">
        <f>HYPERLINK("https://api.qogita.com/variants/link/5028197418021/", "View Product")</f>
        <v/>
      </c>
    </row>
    <row r="8577">
      <c r="A8577" t="inlineStr">
        <is>
          <t>5028197419981</t>
        </is>
      </c>
      <c r="B8577" t="inlineStr">
        <is>
          <t>The Body Shop Satsuma Body Butter Travel Size 50ml Vegan</t>
        </is>
      </c>
      <c r="C8577" t="inlineStr">
        <is>
          <t>Body Butter</t>
        </is>
      </c>
      <c r="D8577" t="inlineStr">
        <is>
          <t>The Body Shop</t>
        </is>
      </c>
      <c r="E8577" t="n">
        <v>6.65</v>
      </c>
      <c r="F8577" t="n">
        <v>1</v>
      </c>
      <c r="G8577" t="n">
        <v>29</v>
      </c>
      <c r="H8577" s="5">
        <f>HYPERLINK("https://api.qogita.com/variants/link/5028197419981/", "View Product")</f>
        <v/>
      </c>
    </row>
    <row r="8578">
      <c r="A8578" t="inlineStr">
        <is>
          <t>5028197420109</t>
        </is>
      </c>
      <c r="B8578" t="inlineStr">
        <is>
          <t>The Body Shop Satsuma Hand Cream 1 Fluid Ounce</t>
        </is>
      </c>
      <c r="C8578" t="inlineStr">
        <is>
          <t>Hand Cream</t>
        </is>
      </c>
      <c r="D8578" t="inlineStr">
        <is>
          <t>The Body Shop</t>
        </is>
      </c>
      <c r="E8578" t="n">
        <v>6.71</v>
      </c>
      <c r="F8578" t="n">
        <v>1</v>
      </c>
      <c r="G8578" t="n">
        <v>11</v>
      </c>
      <c r="H8578" s="5">
        <f>HYPERLINK("https://api.qogita.com/variants/link/5028197420109/", "View Product")</f>
        <v/>
      </c>
    </row>
    <row r="8579">
      <c r="A8579" t="inlineStr">
        <is>
          <t>5028197425876</t>
        </is>
      </c>
      <c r="B8579" t="inlineStr">
        <is>
          <t>The Body Shop Ginger Scalp Serum - 50 Ml For Dry And Scaly Scalp</t>
        </is>
      </c>
      <c r="C8579" t="inlineStr">
        <is>
          <t>Scalp Care</t>
        </is>
      </c>
      <c r="D8579" t="inlineStr">
        <is>
          <t>The Body Shop</t>
        </is>
      </c>
      <c r="E8579" t="n">
        <v>19.65</v>
      </c>
      <c r="F8579" t="n">
        <v>1</v>
      </c>
      <c r="G8579" t="n">
        <v>7</v>
      </c>
      <c r="H8579" s="5">
        <f>HYPERLINK("https://api.qogita.com/variants/link/5028197425876/", "View Product")</f>
        <v/>
      </c>
    </row>
    <row r="8580">
      <c r="A8580" t="inlineStr">
        <is>
          <t>5028197554095</t>
        </is>
      </c>
      <c r="B8580" t="inlineStr">
        <is>
          <t>The Body Shop Maca Root and Aloe Softening Shaving Cream 200ml</t>
        </is>
      </c>
      <c r="C8580" t="inlineStr">
        <is>
          <t>Shaving Creams &amp; Foams</t>
        </is>
      </c>
      <c r="D8580" t="inlineStr">
        <is>
          <t>The Body Shop</t>
        </is>
      </c>
      <c r="E8580" t="n">
        <v>14.01</v>
      </c>
      <c r="F8580" t="n">
        <v>1</v>
      </c>
      <c r="G8580" t="n">
        <v>6</v>
      </c>
      <c r="H8580" s="5">
        <f>HYPERLINK("https://api.qogita.com/variants/link/5028197554095/", "View Product")</f>
        <v/>
      </c>
    </row>
    <row r="8581">
      <c r="A8581" t="inlineStr">
        <is>
          <t>5028197973612</t>
        </is>
      </c>
      <c r="B8581" t="inlineStr">
        <is>
          <t>The Body Shop Pink Grapefruit Body Butter 200 Ml For Normal Skin</t>
        </is>
      </c>
      <c r="C8581" t="inlineStr">
        <is>
          <t>Body Butter</t>
        </is>
      </c>
      <c r="D8581" t="inlineStr">
        <is>
          <t>The Body Shop</t>
        </is>
      </c>
      <c r="E8581" t="n">
        <v>15.22</v>
      </c>
      <c r="F8581" t="n">
        <v>1</v>
      </c>
      <c r="G8581" t="n">
        <v>13</v>
      </c>
      <c r="H8581" s="5">
        <f>HYPERLINK("https://api.qogita.com/variants/link/5028197973612/", "View Product")</f>
        <v/>
      </c>
    </row>
    <row r="8582">
      <c r="A8582" t="inlineStr">
        <is>
          <t>5028197973858</t>
        </is>
      </c>
      <c r="B8582" t="inlineStr">
        <is>
          <t>The Body Shop Coconut Body Butter For Very Dry Skin 50 Ml</t>
        </is>
      </c>
      <c r="C8582" t="inlineStr">
        <is>
          <t>Body Butter</t>
        </is>
      </c>
      <c r="D8582" t="inlineStr">
        <is>
          <t>The Body Shop</t>
        </is>
      </c>
      <c r="E8582" t="n">
        <v>6.88</v>
      </c>
      <c r="F8582" t="n">
        <v>1</v>
      </c>
      <c r="G8582" t="n">
        <v>25</v>
      </c>
      <c r="H8582" s="5">
        <f>HYPERLINK("https://api.qogita.com/variants/link/5028197973858/", "View Product")</f>
        <v/>
      </c>
    </row>
    <row r="8583">
      <c r="A8583" t="inlineStr">
        <is>
          <t>5028197976422</t>
        </is>
      </c>
      <c r="B8583" t="inlineStr">
        <is>
          <t>The Body Shop Lip Butter Strawberry 10ml</t>
        </is>
      </c>
      <c r="C8583" t="inlineStr">
        <is>
          <t>Lip Balm</t>
        </is>
      </c>
      <c r="D8583" t="inlineStr">
        <is>
          <t>The Body Shop</t>
        </is>
      </c>
      <c r="E8583" t="n">
        <v>7.3</v>
      </c>
      <c r="F8583" t="n">
        <v>1</v>
      </c>
      <c r="G8583" t="n">
        <v>20</v>
      </c>
      <c r="H8583" s="5">
        <f>HYPERLINK("https://api.qogita.com/variants/link/5028197976422/", "View Product")</f>
        <v/>
      </c>
    </row>
    <row r="8584">
      <c r="A8584" t="inlineStr">
        <is>
          <t>5028197980672</t>
        </is>
      </c>
      <c r="B8584" t="inlineStr">
        <is>
          <t>The Body Shop Mango Body Mist 100 Ml</t>
        </is>
      </c>
      <c r="C8584" t="inlineStr">
        <is>
          <t>Body Mist</t>
        </is>
      </c>
      <c r="D8584" t="inlineStr">
        <is>
          <t>The Body Shop</t>
        </is>
      </c>
      <c r="E8584" t="n">
        <v>10.84</v>
      </c>
      <c r="F8584" t="n">
        <v>1</v>
      </c>
      <c r="G8584" t="n">
        <v>28</v>
      </c>
      <c r="H8584" s="5">
        <f>HYPERLINK("https://api.qogita.com/variants/link/5028197980672/", "View Product")</f>
        <v/>
      </c>
    </row>
    <row r="8585">
      <c r="A8585" t="inlineStr">
        <is>
          <t>5028197982294</t>
        </is>
      </c>
      <c r="B8585" t="inlineStr">
        <is>
          <t>The Body Shop Green Tea Lemon Mattifying Moisturiser Cream</t>
        </is>
      </c>
      <c r="C8585" t="inlineStr">
        <is>
          <t>Day Cream</t>
        </is>
      </c>
      <c r="D8585" t="inlineStr">
        <is>
          <t>The Body Shop</t>
        </is>
      </c>
      <c r="E8585" t="n">
        <v>14.35</v>
      </c>
      <c r="F8585" t="n">
        <v>1</v>
      </c>
      <c r="G8585" t="n">
        <v>27</v>
      </c>
      <c r="H8585" s="5">
        <f>HYPERLINK("https://api.qogita.com/variants/link/5028197982294/", "View Product")</f>
        <v/>
      </c>
    </row>
    <row r="8586">
      <c r="A8586" t="inlineStr">
        <is>
          <t>5029066043481</t>
        </is>
      </c>
      <c r="B8586" t="inlineStr">
        <is>
          <t>Makeup Revolution Ultra Sculpt and Contour Kit Fair C01 Bronzer Highlighter 11g</t>
        </is>
      </c>
      <c r="C8586" t="inlineStr">
        <is>
          <t>Complexion Sets &amp; Pallets</t>
        </is>
      </c>
      <c r="D8586" t="inlineStr">
        <is>
          <t>Makeup Revolution</t>
        </is>
      </c>
      <c r="E8586" t="n">
        <v>5.4</v>
      </c>
      <c r="F8586" t="n">
        <v>1</v>
      </c>
      <c r="G8586" t="n">
        <v>23</v>
      </c>
      <c r="H8586" s="5">
        <f>HYPERLINK("https://api.qogita.com/variants/link/5029066043481/", "View Product")</f>
        <v/>
      </c>
    </row>
    <row r="8587">
      <c r="A8587" t="inlineStr">
        <is>
          <t>5029066080219</t>
        </is>
      </c>
      <c r="B8587" t="inlineStr">
        <is>
          <t>Makeup Revolution Brow Pomade Dark Brown 2.5g</t>
        </is>
      </c>
      <c r="C8587" t="inlineStr">
        <is>
          <t>Other</t>
        </is>
      </c>
      <c r="D8587" t="inlineStr">
        <is>
          <t>Revolution Beauty</t>
        </is>
      </c>
      <c r="E8587" t="n">
        <v>8.06</v>
      </c>
      <c r="F8587" t="n">
        <v>1</v>
      </c>
      <c r="G8587" t="n">
        <v>15</v>
      </c>
      <c r="H8587" s="5">
        <f>HYPERLINK("https://api.qogita.com/variants/link/5029066080219/", "View Product")</f>
        <v/>
      </c>
    </row>
    <row r="8588">
      <c r="A8588" t="inlineStr">
        <is>
          <t>5029066080271</t>
        </is>
      </c>
      <c r="B8588" t="inlineStr">
        <is>
          <t>Makeup Revolution Brow Pomade Soft Brown</t>
        </is>
      </c>
      <c r="C8588" t="inlineStr">
        <is>
          <t>Other</t>
        </is>
      </c>
      <c r="D8588" t="inlineStr">
        <is>
          <t>Revolution Beauty</t>
        </is>
      </c>
      <c r="E8588" t="n">
        <v>8.06</v>
      </c>
      <c r="F8588" t="n">
        <v>1</v>
      </c>
      <c r="G8588" t="n">
        <v>5</v>
      </c>
      <c r="H8588" s="5">
        <f>HYPERLINK("https://api.qogita.com/variants/link/5029066080271/", "View Product")</f>
        <v/>
      </c>
    </row>
    <row r="8589">
      <c r="A8589" t="inlineStr">
        <is>
          <t>5029066099730</t>
        </is>
      </c>
      <c r="B8589" t="inlineStr">
        <is>
          <t>Makeup Revolution Illuminating Fixing Spray 100 Ml</t>
        </is>
      </c>
      <c r="C8589" t="inlineStr">
        <is>
          <t>Setting Spray</t>
        </is>
      </c>
      <c r="D8589" t="inlineStr">
        <is>
          <t>Makeup Revolution</t>
        </is>
      </c>
      <c r="E8589" t="n">
        <v>7.88</v>
      </c>
      <c r="F8589" t="n">
        <v>1</v>
      </c>
      <c r="G8589" t="n">
        <v>13</v>
      </c>
      <c r="H8589" s="5">
        <f>HYPERLINK("https://api.qogita.com/variants/link/5029066099730/", "View Product")</f>
        <v/>
      </c>
    </row>
    <row r="8590">
      <c r="A8590" t="inlineStr">
        <is>
          <t>5030805000016</t>
        </is>
      </c>
      <c r="B8590" t="inlineStr">
        <is>
          <t>Hand Cream 40ml</t>
        </is>
      </c>
      <c r="C8590" t="inlineStr">
        <is>
          <t>Hand Cream</t>
        </is>
      </c>
      <c r="D8590" t="inlineStr">
        <is>
          <t>Molton Brown</t>
        </is>
      </c>
      <c r="E8590" t="n">
        <v>9.75</v>
      </c>
      <c r="F8590" t="n">
        <v>1</v>
      </c>
      <c r="G8590" t="n">
        <v>7</v>
      </c>
      <c r="H8590" s="5">
        <f>HYPERLINK("https://api.qogita.com/variants/link/5030805000016/", "View Product")</f>
        <v/>
      </c>
    </row>
    <row r="8591">
      <c r="A8591" t="inlineStr">
        <is>
          <t>5030805000054</t>
        </is>
      </c>
      <c r="B8591" t="inlineStr">
        <is>
          <t>Hand Cream 40ml</t>
        </is>
      </c>
      <c r="C8591" t="inlineStr">
        <is>
          <t>Hand Cream</t>
        </is>
      </c>
      <c r="D8591" t="inlineStr">
        <is>
          <t>Molton Brown</t>
        </is>
      </c>
      <c r="E8591" t="n">
        <v>9.640000000000001</v>
      </c>
      <c r="F8591" t="n">
        <v>1</v>
      </c>
      <c r="G8591" t="n">
        <v>22</v>
      </c>
      <c r="H8591" s="5">
        <f>HYPERLINK("https://api.qogita.com/variants/link/5030805000054/", "View Product")</f>
        <v/>
      </c>
    </row>
    <row r="8592">
      <c r="A8592" t="inlineStr">
        <is>
          <t>5030805002669</t>
        </is>
      </c>
      <c r="B8592" t="inlineStr">
        <is>
          <t>Molton Brown Fiery Pink Pepper Shower Gel 300ml</t>
        </is>
      </c>
      <c r="C8592" t="inlineStr">
        <is>
          <t>Shower Gel</t>
        </is>
      </c>
      <c r="D8592" t="inlineStr">
        <is>
          <t>Molton Brown</t>
        </is>
      </c>
      <c r="E8592" t="n">
        <v>16.96</v>
      </c>
      <c r="F8592" t="n">
        <v>1</v>
      </c>
      <c r="G8592" t="n">
        <v>42</v>
      </c>
      <c r="H8592" s="5">
        <f>HYPERLINK("https://api.qogita.com/variants/link/5030805002669/", "View Product")</f>
        <v/>
      </c>
    </row>
    <row r="8593">
      <c r="A8593" t="inlineStr">
        <is>
          <t>5030805002706</t>
        </is>
      </c>
      <c r="B8593" t="inlineStr">
        <is>
          <t>Molton Brown Relaxing Ylang-Ylang Bath and Shower Gel 300ml New Version</t>
        </is>
      </c>
      <c r="C8593" t="inlineStr">
        <is>
          <t>Shower Gel</t>
        </is>
      </c>
      <c r="D8593" t="inlineStr">
        <is>
          <t>Molton Brown</t>
        </is>
      </c>
      <c r="E8593" t="n">
        <v>19.66</v>
      </c>
      <c r="F8593" t="n">
        <v>1</v>
      </c>
      <c r="G8593" t="n">
        <v>14</v>
      </c>
      <c r="H8593" s="5">
        <f>HYPERLINK("https://api.qogita.com/variants/link/5030805002706/", "View Product")</f>
        <v/>
      </c>
    </row>
    <row r="8594">
      <c r="A8594" t="inlineStr">
        <is>
          <t>5030805002904</t>
        </is>
      </c>
      <c r="B8594" t="inlineStr">
        <is>
          <t>Molton Brown Delicious Rhubarb &amp; Rose Hand Lotion 300ml New Version</t>
        </is>
      </c>
      <c r="C8594" t="inlineStr">
        <is>
          <t>Hand Cream</t>
        </is>
      </c>
      <c r="D8594" t="inlineStr">
        <is>
          <t>Molton Brown</t>
        </is>
      </c>
      <c r="E8594" t="n">
        <v>22.67</v>
      </c>
      <c r="F8594" t="n">
        <v>1</v>
      </c>
      <c r="G8594" t="n">
        <v>16</v>
      </c>
      <c r="H8594" s="5">
        <f>HYPERLINK("https://api.qogita.com/variants/link/5030805002904/", "View Product")</f>
        <v/>
      </c>
    </row>
    <row r="8595">
      <c r="A8595" t="inlineStr">
        <is>
          <t>5030805003246</t>
        </is>
      </c>
      <c r="B8595" t="inlineStr">
        <is>
          <t>Molton Brown Flora Luminare Body Lotion 300ml</t>
        </is>
      </c>
      <c r="C8595" t="inlineStr">
        <is>
          <t>Body Lotion</t>
        </is>
      </c>
      <c r="D8595" t="inlineStr">
        <is>
          <t>Molton Brown</t>
        </is>
      </c>
      <c r="E8595" t="n">
        <v>23.43</v>
      </c>
      <c r="F8595" t="n">
        <v>1</v>
      </c>
      <c r="G8595" t="n">
        <v>18</v>
      </c>
      <c r="H8595" s="5">
        <f>HYPERLINK("https://api.qogita.com/variants/link/5030805003246/", "View Product")</f>
        <v/>
      </c>
    </row>
    <row r="8596">
      <c r="A8596" t="inlineStr">
        <is>
          <t>5030805003468</t>
        </is>
      </c>
      <c r="B8596" t="inlineStr">
        <is>
          <t>Molton Brown Orange and Bergamot Fine Liquid Hand Wash 300ml</t>
        </is>
      </c>
      <c r="C8596" t="inlineStr">
        <is>
          <t>Hand Soap</t>
        </is>
      </c>
      <c r="D8596" t="inlineStr">
        <is>
          <t>Molton Brown</t>
        </is>
      </c>
      <c r="E8596" t="n">
        <v>16.82</v>
      </c>
      <c r="F8596" t="n">
        <v>1</v>
      </c>
      <c r="G8596" t="n">
        <v>44</v>
      </c>
      <c r="H8596" s="5">
        <f>HYPERLINK("https://api.qogita.com/variants/link/5030805003468/", "View Product")</f>
        <v/>
      </c>
    </row>
    <row r="8597">
      <c r="A8597" t="inlineStr">
        <is>
          <t>5030805003765</t>
        </is>
      </c>
      <c r="B8597" t="inlineStr">
        <is>
          <t>Molton Brown Coastal Cypress and Sea Fennel Hand Lotion 300ml</t>
        </is>
      </c>
      <c r="C8597" t="inlineStr">
        <is>
          <t>Body Lotion</t>
        </is>
      </c>
      <c r="D8597" t="inlineStr">
        <is>
          <t>Molton Brown</t>
        </is>
      </c>
      <c r="E8597" t="n">
        <v>19.19</v>
      </c>
      <c r="F8597" t="n">
        <v>1</v>
      </c>
      <c r="G8597" t="n">
        <v>18</v>
      </c>
      <c r="H8597" s="5">
        <f>HYPERLINK("https://api.qogita.com/variants/link/5030805003765/", "View Product")</f>
        <v/>
      </c>
    </row>
    <row r="8598">
      <c r="A8598" t="inlineStr">
        <is>
          <t>5030805005844</t>
        </is>
      </c>
      <c r="B8598" t="inlineStr">
        <is>
          <t>Molton Brown Mesmerising Oudh Accord and Gold Precious Body Oil 200ml</t>
        </is>
      </c>
      <c r="C8598" t="inlineStr">
        <is>
          <t>Body Oil</t>
        </is>
      </c>
      <c r="D8598" t="inlineStr">
        <is>
          <t>Molton Brown</t>
        </is>
      </c>
      <c r="E8598" t="n">
        <v>33.9</v>
      </c>
      <c r="F8598" t="n">
        <v>1</v>
      </c>
      <c r="G8598" t="n">
        <v>19</v>
      </c>
      <c r="H8598" s="5">
        <f>HYPERLINK("https://api.qogita.com/variants/link/5030805005844/", "View Product")</f>
        <v/>
      </c>
    </row>
    <row r="8599">
      <c r="A8599" t="inlineStr">
        <is>
          <t>5030805005868</t>
        </is>
      </c>
      <c r="B8599" t="inlineStr">
        <is>
          <t>Molton Brown Flora Luminare Glowing Body Oil 100ml</t>
        </is>
      </c>
      <c r="C8599" t="inlineStr">
        <is>
          <t>Body Oil</t>
        </is>
      </c>
      <c r="D8599" t="inlineStr">
        <is>
          <t>Molton Brown</t>
        </is>
      </c>
      <c r="E8599" t="n">
        <v>30.51</v>
      </c>
      <c r="F8599" t="n">
        <v>1</v>
      </c>
      <c r="G8599" t="n">
        <v>23</v>
      </c>
      <c r="H8599" s="5">
        <f>HYPERLINK("https://api.qogita.com/variants/link/5030805005868/", "View Product")</f>
        <v/>
      </c>
    </row>
    <row r="8600">
      <c r="A8600" t="inlineStr">
        <is>
          <t>5030805005882</t>
        </is>
      </c>
      <c r="B8600" t="inlineStr">
        <is>
          <t>Molton Brown Orange and Bergamot Radiant Bathing Oil 200ml</t>
        </is>
      </c>
      <c r="C8600" t="inlineStr">
        <is>
          <t>Bath Oil &amp; Bath Milk</t>
        </is>
      </c>
      <c r="D8600" t="inlineStr">
        <is>
          <t>Molton Brown</t>
        </is>
      </c>
      <c r="E8600" t="n">
        <v>35.76</v>
      </c>
      <c r="F8600" t="n">
        <v>1</v>
      </c>
      <c r="G8600" t="n">
        <v>15</v>
      </c>
      <c r="H8600" s="5">
        <f>HYPERLINK("https://api.qogita.com/variants/link/5030805005882/", "View Product")</f>
        <v/>
      </c>
    </row>
    <row r="8601">
      <c r="A8601" t="inlineStr">
        <is>
          <t>5030805005929</t>
        </is>
      </c>
      <c r="B8601" t="inlineStr">
        <is>
          <t>Molton Brown Recharge Black Pepper Scented Candle 190 G</t>
        </is>
      </c>
      <c r="C8601" t="inlineStr">
        <is>
          <t>Candles</t>
        </is>
      </c>
      <c r="D8601" t="inlineStr">
        <is>
          <t>Molton Brown</t>
        </is>
      </c>
      <c r="E8601" t="n">
        <v>31.79</v>
      </c>
      <c r="F8601" t="n">
        <v>1</v>
      </c>
      <c r="G8601" t="n">
        <v>16</v>
      </c>
      <c r="H8601" s="5">
        <f>HYPERLINK("https://api.qogita.com/variants/link/5030805005929/", "View Product")</f>
        <v/>
      </c>
    </row>
    <row r="8602">
      <c r="A8602" t="inlineStr">
        <is>
          <t>5030805005981</t>
        </is>
      </c>
      <c r="B8602" t="inlineStr">
        <is>
          <t>Molton Brown Luxury Triple Wick Candle Lid</t>
        </is>
      </c>
      <c r="C8602" t="inlineStr">
        <is>
          <t>Candles</t>
        </is>
      </c>
      <c r="D8602" t="inlineStr">
        <is>
          <t>Molton Brown</t>
        </is>
      </c>
      <c r="E8602" t="n">
        <v>37.69</v>
      </c>
      <c r="F8602" t="n">
        <v>1</v>
      </c>
      <c r="G8602" t="n">
        <v>6</v>
      </c>
      <c r="H8602" s="5">
        <f>HYPERLINK("https://api.qogita.com/variants/link/5030805005981/", "View Product")</f>
        <v/>
      </c>
    </row>
    <row r="8603">
      <c r="A8603" t="inlineStr">
        <is>
          <t>5030805006353</t>
        </is>
      </c>
      <c r="B8603" t="inlineStr">
        <is>
          <t>Molton Brown Reviving Rosemary Conditioner 300ml</t>
        </is>
      </c>
      <c r="C8603" t="inlineStr">
        <is>
          <t>Conditioner</t>
        </is>
      </c>
      <c r="D8603" t="inlineStr">
        <is>
          <t>Molton Brown</t>
        </is>
      </c>
      <c r="E8603" t="n">
        <v>17.35</v>
      </c>
      <c r="F8603" t="n">
        <v>1</v>
      </c>
      <c r="G8603" t="n">
        <v>16</v>
      </c>
      <c r="H8603" s="5">
        <f>HYPERLINK("https://api.qogita.com/variants/link/5030805006353/", "View Product")</f>
        <v/>
      </c>
    </row>
    <row r="8604">
      <c r="A8604" t="inlineStr">
        <is>
          <t>5030805009682</t>
        </is>
      </c>
      <c r="B8604" t="inlineStr">
        <is>
          <t>Molton Brown Merry Berries and Mimosa Body Lotion 300ml - Old Version</t>
        </is>
      </c>
      <c r="C8604" t="inlineStr">
        <is>
          <t>Body Lotion</t>
        </is>
      </c>
      <c r="D8604" t="inlineStr">
        <is>
          <t>Molton Brown</t>
        </is>
      </c>
      <c r="E8604" t="n">
        <v>29.85</v>
      </c>
      <c r="F8604" t="n">
        <v>1</v>
      </c>
      <c r="G8604" t="n">
        <v>9</v>
      </c>
      <c r="H8604" s="5">
        <f>HYPERLINK("https://api.qogita.com/variants/link/5030805009682/", "View Product")</f>
        <v/>
      </c>
    </row>
    <row r="8605">
      <c r="A8605" t="inlineStr">
        <is>
          <t>5030805009743</t>
        </is>
      </c>
      <c r="B8605" t="inlineStr">
        <is>
          <t>Molton Brown Fiery Pink Pepper Bath And Shower Gel 75 Ml</t>
        </is>
      </c>
      <c r="C8605" t="inlineStr">
        <is>
          <t>Shower Gel</t>
        </is>
      </c>
      <c r="D8605" t="inlineStr">
        <is>
          <t>Molton Brown</t>
        </is>
      </c>
      <c r="E8605" t="n">
        <v>9.949999999999999</v>
      </c>
      <c r="F8605" t="n">
        <v>1</v>
      </c>
      <c r="G8605" t="n">
        <v>62</v>
      </c>
      <c r="H8605" s="5">
        <f>HYPERLINK("https://api.qogita.com/variants/link/5030805009743/", "View Product")</f>
        <v/>
      </c>
    </row>
    <row r="8606">
      <c r="A8606" t="inlineStr">
        <is>
          <t>5030805014068</t>
        </is>
      </c>
      <c r="B8606" t="inlineStr">
        <is>
          <t>Molton Brown Coastal Cypress &amp; Sea Fennel Diffuser</t>
        </is>
      </c>
      <c r="C8606" t="inlineStr">
        <is>
          <t>Diffusers</t>
        </is>
      </c>
      <c r="D8606" t="inlineStr">
        <is>
          <t>Molton Brown</t>
        </is>
      </c>
      <c r="E8606" t="n">
        <v>45.89</v>
      </c>
      <c r="F8606" t="n">
        <v>1</v>
      </c>
      <c r="G8606" t="n">
        <v>18</v>
      </c>
      <c r="H8606" s="5">
        <f>HYPERLINK("https://api.qogita.com/variants/link/5030805014068/", "View Product")</f>
        <v/>
      </c>
    </row>
    <row r="8607">
      <c r="A8607" t="inlineStr">
        <is>
          <t>5030805015089</t>
        </is>
      </c>
      <c r="B8607" t="inlineStr">
        <is>
          <t>Molton Brown Orange &amp; Bergamot Soap 150g Solid Perfumed Soap</t>
        </is>
      </c>
      <c r="C8607" t="inlineStr">
        <is>
          <t>Soap</t>
        </is>
      </c>
      <c r="D8607" t="inlineStr">
        <is>
          <t>Molton Brown</t>
        </is>
      </c>
      <c r="E8607" t="n">
        <v>20.75</v>
      </c>
      <c r="F8607" t="n">
        <v>1</v>
      </c>
      <c r="G8607" t="n">
        <v>25</v>
      </c>
      <c r="H8607" s="5">
        <f>HYPERLINK("https://api.qogita.com/variants/link/5030805015089/", "View Product")</f>
        <v/>
      </c>
    </row>
    <row r="8608">
      <c r="A8608" t="inlineStr">
        <is>
          <t>5030805021936</t>
        </is>
      </c>
      <c r="B8608" t="inlineStr">
        <is>
          <t>Molton Brown London Unisex Ultralight Bai Ji Hydrator 3.3 Oz</t>
        </is>
      </c>
      <c r="C8608" t="inlineStr">
        <is>
          <t>Face Cream</t>
        </is>
      </c>
      <c r="D8608" t="inlineStr">
        <is>
          <t>Molton Brown</t>
        </is>
      </c>
      <c r="E8608" t="n">
        <v>24.24</v>
      </c>
      <c r="F8608" t="n">
        <v>1</v>
      </c>
      <c r="G8608" t="n">
        <v>9</v>
      </c>
      <c r="H8608" s="5">
        <f>HYPERLINK("https://api.qogita.com/variants/link/5030805021936/", "View Product")</f>
        <v/>
      </c>
    </row>
    <row r="8609">
      <c r="A8609" t="inlineStr">
        <is>
          <t>5030805023121</t>
        </is>
      </c>
      <c r="B8609" t="inlineStr">
        <is>
          <t>Molton Brown Coastal Cypress &amp; Sea Fennel Travel Gift Set</t>
        </is>
      </c>
      <c r="C8609" t="inlineStr">
        <is>
          <t>Body Care Sets</t>
        </is>
      </c>
      <c r="D8609" t="inlineStr">
        <is>
          <t>Molton Brown</t>
        </is>
      </c>
      <c r="E8609" t="n">
        <v>31.86</v>
      </c>
      <c r="F8609" t="n">
        <v>1</v>
      </c>
      <c r="G8609" t="n">
        <v>3</v>
      </c>
      <c r="H8609" s="5">
        <f>HYPERLINK("https://api.qogita.com/variants/link/5030805023121/", "View Product")</f>
        <v/>
      </c>
    </row>
    <row r="8610">
      <c r="A8610" t="inlineStr">
        <is>
          <t>5030805023145</t>
        </is>
      </c>
      <c r="B8610" t="inlineStr">
        <is>
          <t>Molton Brown Festive Bath &amp; Shower Gel Bauble Gift Set</t>
        </is>
      </c>
      <c r="C8610" t="inlineStr">
        <is>
          <t>Shower &amp; Bath Sets</t>
        </is>
      </c>
      <c r="D8610" t="inlineStr">
        <is>
          <t>Molton Brown</t>
        </is>
      </c>
      <c r="E8610" t="n">
        <v>37.57</v>
      </c>
      <c r="F8610" t="n">
        <v>1</v>
      </c>
      <c r="G8610" t="n">
        <v>47</v>
      </c>
      <c r="H8610" s="5">
        <f>HYPERLINK("https://api.qogita.com/variants/link/5030805023145/", "View Product")</f>
        <v/>
      </c>
    </row>
    <row r="8611">
      <c r="A8611" t="inlineStr">
        <is>
          <t>5030805023206</t>
        </is>
      </c>
      <c r="B8611" t="inlineStr">
        <is>
          <t>Molton Brown Orange Bergamot Hand Care Collection Gift Set</t>
        </is>
      </c>
      <c r="C8611" t="inlineStr">
        <is>
          <t>Hand Care Sets</t>
        </is>
      </c>
      <c r="D8611" t="inlineStr">
        <is>
          <t>Molton Brown</t>
        </is>
      </c>
      <c r="E8611" t="n">
        <v>47.9</v>
      </c>
      <c r="F8611" t="n">
        <v>1</v>
      </c>
      <c r="G8611" t="n">
        <v>36</v>
      </c>
      <c r="H8611" s="5">
        <f>HYPERLINK("https://api.qogita.com/variants/link/5030805023206/", "View Product")</f>
        <v/>
      </c>
    </row>
    <row r="8612">
      <c r="A8612" t="inlineStr">
        <is>
          <t>5030805023589</t>
        </is>
      </c>
      <c r="B8612" t="inlineStr">
        <is>
          <t>Molton Brown Vintage Hand Cream With Elderflower Hand Lotion, 300 Ml</t>
        </is>
      </c>
      <c r="C8612" t="inlineStr">
        <is>
          <t>Hand Cream</t>
        </is>
      </c>
      <c r="D8612" t="inlineStr">
        <is>
          <t>Molton Brown</t>
        </is>
      </c>
      <c r="E8612" t="n">
        <v>27.94</v>
      </c>
      <c r="F8612" t="n">
        <v>1</v>
      </c>
      <c r="G8612" t="n">
        <v>30</v>
      </c>
      <c r="H8612" s="5">
        <f>HYPERLINK("https://api.qogita.com/variants/link/5030805023589/", "View Product")</f>
        <v/>
      </c>
    </row>
    <row r="8613">
      <c r="A8613" t="inlineStr">
        <is>
          <t>5030805023794</t>
        </is>
      </c>
      <c r="B8613" t="inlineStr">
        <is>
          <t>Molton Brown Heavenly Gingerlily Fine Liquid Hand Wash Glass Bottle</t>
        </is>
      </c>
      <c r="C8613" t="inlineStr">
        <is>
          <t>Hand Soap</t>
        </is>
      </c>
      <c r="D8613" t="inlineStr">
        <is>
          <t>Molton Brown</t>
        </is>
      </c>
      <c r="E8613" t="n">
        <v>20.83</v>
      </c>
      <c r="F8613" t="n">
        <v>1</v>
      </c>
      <c r="G8613" t="n">
        <v>45</v>
      </c>
      <c r="H8613" s="5">
        <f>HYPERLINK("https://api.qogita.com/variants/link/5030805023794/", "View Product")</f>
        <v/>
      </c>
    </row>
    <row r="8614">
      <c r="A8614" t="inlineStr">
        <is>
          <t>5030805023831</t>
        </is>
      </c>
      <c r="B8614" t="inlineStr">
        <is>
          <t>Molton Brown Heavenly Gingerlily Fine Liquid Hand Wash Refill 400ml</t>
        </is>
      </c>
      <c r="C8614" t="inlineStr">
        <is>
          <t>Hand Soap</t>
        </is>
      </c>
      <c r="D8614" t="inlineStr">
        <is>
          <t>Molton Brown</t>
        </is>
      </c>
      <c r="E8614" t="n">
        <v>18.34</v>
      </c>
      <c r="F8614" t="n">
        <v>1</v>
      </c>
      <c r="G8614" t="n">
        <v>28</v>
      </c>
      <c r="H8614" s="5">
        <f>HYPERLINK("https://api.qogita.com/variants/link/5030805023831/", "View Product")</f>
        <v/>
      </c>
    </row>
    <row r="8615">
      <c r="A8615" t="inlineStr">
        <is>
          <t>5030805023916</t>
        </is>
      </c>
      <c r="B8615" t="inlineStr">
        <is>
          <t>Molton Brown Coastal Cypress &amp; Sea Fennel Candela - 3 Wicks</t>
        </is>
      </c>
      <c r="C8615" t="inlineStr">
        <is>
          <t>Candles</t>
        </is>
      </c>
      <c r="D8615" t="inlineStr">
        <is>
          <t>Molton Brown</t>
        </is>
      </c>
      <c r="E8615" t="n">
        <v>68.56</v>
      </c>
      <c r="F8615" t="n">
        <v>1</v>
      </c>
      <c r="G8615" t="n">
        <v>9</v>
      </c>
      <c r="H8615" s="5">
        <f>HYPERLINK("https://api.qogita.com/variants/link/5030805023916/", "View Product")</f>
        <v/>
      </c>
    </row>
    <row r="8616">
      <c r="A8616" t="inlineStr">
        <is>
          <t>5030805024036</t>
        </is>
      </c>
      <c r="B8616" t="inlineStr">
        <is>
          <t>Molton Brown Sunlit Clementine &amp; Vetiver Body Lotion 300ml</t>
        </is>
      </c>
      <c r="C8616" t="inlineStr">
        <is>
          <t>Body Lotion</t>
        </is>
      </c>
      <c r="D8616" t="inlineStr">
        <is>
          <t>Molton Brown</t>
        </is>
      </c>
      <c r="E8616" t="n">
        <v>21.94</v>
      </c>
      <c r="F8616" t="n">
        <v>1</v>
      </c>
      <c r="G8616" t="n">
        <v>33</v>
      </c>
      <c r="H8616" s="5">
        <f>HYPERLINK("https://api.qogita.com/variants/link/5030805024036/", "View Product")</f>
        <v/>
      </c>
    </row>
    <row r="8617">
      <c r="A8617" t="inlineStr">
        <is>
          <t>5030805025736</t>
        </is>
      </c>
      <c r="B8617" t="inlineStr">
        <is>
          <t>Molton Brown Delicious Rhubarb and Rose Bath and Shower Gel Infinite Bottle 400ml</t>
        </is>
      </c>
      <c r="C8617" t="inlineStr">
        <is>
          <t>Shower Gel</t>
        </is>
      </c>
      <c r="D8617" t="inlineStr">
        <is>
          <t>Molton Brown</t>
        </is>
      </c>
      <c r="E8617" t="n">
        <v>27.13</v>
      </c>
      <c r="F8617" t="n">
        <v>1</v>
      </c>
      <c r="G8617" t="n">
        <v>42</v>
      </c>
      <c r="H8617" s="5">
        <f>HYPERLINK("https://api.qogita.com/variants/link/5030805025736/", "View Product")</f>
        <v/>
      </c>
    </row>
    <row r="8618">
      <c r="A8618" t="inlineStr">
        <is>
          <t>5030805025750</t>
        </is>
      </c>
      <c r="B8618" t="inlineStr">
        <is>
          <t>Molton Brown Orange and Bergamot Bath and Shower Gel 400ml</t>
        </is>
      </c>
      <c r="C8618" t="inlineStr">
        <is>
          <t>Shower Gel</t>
        </is>
      </c>
      <c r="D8618" t="inlineStr">
        <is>
          <t>Molton Brown</t>
        </is>
      </c>
      <c r="E8618" t="n">
        <v>27.13</v>
      </c>
      <c r="F8618" t="n">
        <v>1</v>
      </c>
      <c r="G8618" t="n">
        <v>36</v>
      </c>
      <c r="H8618" s="5">
        <f>HYPERLINK("https://api.qogita.com/variants/link/5030805025750/", "View Product")</f>
        <v/>
      </c>
    </row>
    <row r="8619">
      <c r="A8619" t="inlineStr">
        <is>
          <t>5030805025774</t>
        </is>
      </c>
      <c r="B8619" t="inlineStr">
        <is>
          <t>Molton Brown Heavenly Gingerlily Bath and Shower Gel Refill 400ml</t>
        </is>
      </c>
      <c r="C8619" t="inlineStr">
        <is>
          <t>Shower Gel</t>
        </is>
      </c>
      <c r="D8619" t="inlineStr">
        <is>
          <t>Molton Brown</t>
        </is>
      </c>
      <c r="E8619" t="n">
        <v>22.93</v>
      </c>
      <c r="F8619" t="n">
        <v>1</v>
      </c>
      <c r="G8619" t="n">
        <v>27</v>
      </c>
      <c r="H8619" s="5">
        <f>HYPERLINK("https://api.qogita.com/variants/link/5030805025774/", "View Product")</f>
        <v/>
      </c>
    </row>
    <row r="8620">
      <c r="A8620" t="inlineStr">
        <is>
          <t>5030805026917</t>
        </is>
      </c>
      <c r="B8620" t="inlineStr">
        <is>
          <t>Molton Brown Festive Frankincense Allspice Hand Lotion - 300 Ml</t>
        </is>
      </c>
      <c r="C8620" t="inlineStr">
        <is>
          <t>Body Lotion</t>
        </is>
      </c>
      <c r="D8620" t="inlineStr">
        <is>
          <t>Molton Brown</t>
        </is>
      </c>
      <c r="E8620" t="n">
        <v>26.01</v>
      </c>
      <c r="F8620" t="n">
        <v>1</v>
      </c>
      <c r="G8620" t="n">
        <v>9</v>
      </c>
      <c r="H8620" s="5">
        <f>HYPERLINK("https://api.qogita.com/variants/link/5030805026917/", "View Product")</f>
        <v/>
      </c>
    </row>
    <row r="8621">
      <c r="A8621" t="inlineStr">
        <is>
          <t>5031550000306</t>
        </is>
      </c>
      <c r="B8621" t="inlineStr">
        <is>
          <t>Fudge Professional All Blonde Colour Lock Conditioner 250ml</t>
        </is>
      </c>
      <c r="C8621" t="inlineStr">
        <is>
          <t>Conditioner</t>
        </is>
      </c>
      <c r="D8621" t="inlineStr">
        <is>
          <t>Fudge</t>
        </is>
      </c>
      <c r="E8621" t="n">
        <v>7.75</v>
      </c>
      <c r="F8621" t="n">
        <v>1</v>
      </c>
      <c r="G8621" t="n">
        <v>5</v>
      </c>
      <c r="H8621" s="5">
        <f>HYPERLINK("https://api.qogita.com/variants/link/5031550000306/", "View Product")</f>
        <v/>
      </c>
    </row>
    <row r="8622">
      <c r="A8622" t="inlineStr">
        <is>
          <t>5034843001134</t>
        </is>
      </c>
      <c r="B8622" t="inlineStr">
        <is>
          <t>La Riche Directions Hair Dye 100ml</t>
        </is>
      </c>
      <c r="C8622" t="inlineStr">
        <is>
          <t>Hair Dye</t>
        </is>
      </c>
      <c r="D8622" t="inlineStr">
        <is>
          <t>La Riche</t>
        </is>
      </c>
      <c r="E8622" t="n">
        <v>3.94</v>
      </c>
      <c r="F8622" t="n">
        <v>1</v>
      </c>
      <c r="G8622" t="n">
        <v>5</v>
      </c>
      <c r="H8622" s="5">
        <f>HYPERLINK("https://api.qogita.com/variants/link/5034843001134/", "View Product")</f>
        <v/>
      </c>
    </row>
    <row r="8623">
      <c r="A8623" t="inlineStr">
        <is>
          <t>5034843001257</t>
        </is>
      </c>
      <c r="B8623" t="inlineStr">
        <is>
          <t>La Riche Directions Semi-Permanent Hair Color Midnight Blue 88ml</t>
        </is>
      </c>
      <c r="C8623" t="inlineStr">
        <is>
          <t>Hair Dye</t>
        </is>
      </c>
      <c r="D8623" t="inlineStr">
        <is>
          <t>La Riche</t>
        </is>
      </c>
      <c r="E8623" t="n">
        <v>3.92</v>
      </c>
      <c r="F8623" t="n">
        <v>1</v>
      </c>
      <c r="G8623" t="n">
        <v>3</v>
      </c>
      <c r="H8623" s="5">
        <f>HYPERLINK("https://api.qogita.com/variants/link/5034843001257/", "View Product")</f>
        <v/>
      </c>
    </row>
    <row r="8624">
      <c r="A8624" t="inlineStr">
        <is>
          <t>5034843001301</t>
        </is>
      </c>
      <c r="B8624" t="inlineStr">
        <is>
          <t>La Riche Directions Semipermanent Conditioning Hair Color In Carnation Pink</t>
        </is>
      </c>
      <c r="C8624" t="inlineStr">
        <is>
          <t>Hair Dye</t>
        </is>
      </c>
      <c r="D8624" t="inlineStr">
        <is>
          <t>La Riche</t>
        </is>
      </c>
      <c r="E8624" t="n">
        <v>3.96</v>
      </c>
      <c r="F8624" t="n">
        <v>1</v>
      </c>
      <c r="G8624" t="n">
        <v>10</v>
      </c>
      <c r="H8624" s="5">
        <f>HYPERLINK("https://api.qogita.com/variants/link/5034843001301/", "View Product")</f>
        <v/>
      </c>
    </row>
    <row r="8625">
      <c r="A8625" t="inlineStr">
        <is>
          <t>5034843001370</t>
        </is>
      </c>
      <c r="B8625" t="inlineStr">
        <is>
          <t>La Riche Directions Semi-Permanent Hair Color Neon Blue 88ml</t>
        </is>
      </c>
      <c r="C8625" t="inlineStr">
        <is>
          <t>Hair Dye</t>
        </is>
      </c>
      <c r="D8625" t="inlineStr">
        <is>
          <t>La Riche</t>
        </is>
      </c>
      <c r="E8625" t="n">
        <v>3.96</v>
      </c>
      <c r="F8625" t="n">
        <v>1</v>
      </c>
      <c r="G8625" t="n">
        <v>7</v>
      </c>
      <c r="H8625" s="5">
        <f>HYPERLINK("https://api.qogita.com/variants/link/5034843001370/", "View Product")</f>
        <v/>
      </c>
    </row>
    <row r="8626">
      <c r="A8626" t="inlineStr">
        <is>
          <t>5034843001851</t>
        </is>
      </c>
      <c r="B8626" t="inlineStr">
        <is>
          <t>La Riche Directions Hair Dye Color Cream of Your Choice 88ml</t>
        </is>
      </c>
      <c r="C8626" t="inlineStr">
        <is>
          <t>Hair Dye</t>
        </is>
      </c>
      <c r="D8626" t="inlineStr">
        <is>
          <t>La Riche</t>
        </is>
      </c>
      <c r="E8626" t="n">
        <v>3.92</v>
      </c>
      <c r="F8626" t="n">
        <v>1</v>
      </c>
      <c r="G8626" t="n">
        <v>7</v>
      </c>
      <c r="H8626" s="5">
        <f>HYPERLINK("https://api.qogita.com/variants/link/5034843001851/", "View Product")</f>
        <v/>
      </c>
    </row>
    <row r="8627">
      <c r="A8627" t="inlineStr">
        <is>
          <t>5037028250778</t>
        </is>
      </c>
      <c r="B8627" t="inlineStr">
        <is>
          <t>Bomb Cosmetics All You Need Is Love Bath Fizzer 160 G</t>
        </is>
      </c>
      <c r="C8627" t="inlineStr">
        <is>
          <t>Bath Salts &amp; Bath Bombs</t>
        </is>
      </c>
      <c r="D8627" t="inlineStr">
        <is>
          <t>Bomb Cosmetics</t>
        </is>
      </c>
      <c r="E8627" t="n">
        <v>4.3</v>
      </c>
      <c r="F8627" t="n">
        <v>1</v>
      </c>
      <c r="G8627" t="n">
        <v>4</v>
      </c>
      <c r="H8627" s="5">
        <f>HYPERLINK("https://api.qogita.com/variants/link/5037028250778/", "View Product")</f>
        <v/>
      </c>
    </row>
    <row r="8628">
      <c r="A8628" t="inlineStr">
        <is>
          <t>5037028272251</t>
        </is>
      </c>
      <c r="B8628" t="inlineStr">
        <is>
          <t>Bomb Cosmetics Fairy Godmother Cracker Handmade Bath Blaster Gift Pack 160g Pink</t>
        </is>
      </c>
      <c r="C8628" t="inlineStr">
        <is>
          <t>Bath Salts &amp; Bath Bombs</t>
        </is>
      </c>
      <c r="D8628" t="inlineStr">
        <is>
          <t>Bomb Cosmetics</t>
        </is>
      </c>
      <c r="E8628" t="n">
        <v>10.54</v>
      </c>
      <c r="F8628" t="n">
        <v>1</v>
      </c>
      <c r="G8628" t="n">
        <v>19</v>
      </c>
      <c r="H8628" s="5">
        <f>HYPERLINK("https://api.qogita.com/variants/link/5037028272251/", "View Product")</f>
        <v/>
      </c>
    </row>
    <row r="8629">
      <c r="A8629" t="inlineStr">
        <is>
          <t>5037028274514</t>
        </is>
      </c>
      <c r="B8629" t="inlineStr">
        <is>
          <t>Bomb Cosmetics You Are Magic Gift Set</t>
        </is>
      </c>
      <c r="C8629" t="inlineStr">
        <is>
          <t>Toiletries Bags</t>
        </is>
      </c>
      <c r="D8629" t="inlineStr">
        <is>
          <t>Bomb Cosmetics</t>
        </is>
      </c>
      <c r="E8629" t="n">
        <v>16.46</v>
      </c>
      <c r="F8629" t="n">
        <v>1</v>
      </c>
      <c r="G8629" t="n">
        <v>5</v>
      </c>
      <c r="H8629" s="5">
        <f>HYPERLINK("https://api.qogita.com/variants/link/5037028274514/", "View Product")</f>
        <v/>
      </c>
    </row>
    <row r="8630">
      <c r="A8630" t="inlineStr">
        <is>
          <t>5037028275078</t>
        </is>
      </c>
      <c r="B8630" t="inlineStr">
        <is>
          <t>Bomb Cosmetics Gift Set Love You Mum</t>
        </is>
      </c>
      <c r="C8630" t="inlineStr">
        <is>
          <t>Toiletries Bags</t>
        </is>
      </c>
      <c r="D8630" t="inlineStr">
        <is>
          <t>Bomb Cosmetics</t>
        </is>
      </c>
      <c r="E8630" t="n">
        <v>16.46</v>
      </c>
      <c r="F8630" t="n">
        <v>1</v>
      </c>
      <c r="G8630" t="n">
        <v>5</v>
      </c>
      <c r="H8630" s="5">
        <f>HYPERLINK("https://api.qogita.com/variants/link/5037028275078/", "View Product")</f>
        <v/>
      </c>
    </row>
    <row r="8631">
      <c r="A8631" t="inlineStr">
        <is>
          <t>5037028275689</t>
        </is>
      </c>
      <c r="B8631" t="inlineStr">
        <is>
          <t>Bomb Cosmetics Bff Bath Bomb 160g</t>
        </is>
      </c>
      <c r="C8631" t="inlineStr">
        <is>
          <t>Bath Salts &amp; Bath Bombs</t>
        </is>
      </c>
      <c r="D8631" t="inlineStr">
        <is>
          <t>Bomb Cosmetics</t>
        </is>
      </c>
      <c r="E8631" t="n">
        <v>4.41</v>
      </c>
      <c r="F8631" t="n">
        <v>1</v>
      </c>
      <c r="G8631" t="n">
        <v>23</v>
      </c>
      <c r="H8631" s="5">
        <f>HYPERLINK("https://api.qogita.com/variants/link/5037028275689/", "View Product")</f>
        <v/>
      </c>
    </row>
    <row r="8632">
      <c r="A8632" t="inlineStr">
        <is>
          <t>5037028276549</t>
        </is>
      </c>
      <c r="B8632" t="inlineStr">
        <is>
          <t>Bomb Cosmetics Christmas Chillin' With My Gnomies Handmade Wrapped Bath</t>
        </is>
      </c>
      <c r="C8632" t="inlineStr">
        <is>
          <t>Bath Salts &amp; Bath Bombs</t>
        </is>
      </c>
      <c r="D8632" t="inlineStr">
        <is>
          <t>Bomb Cosmetics</t>
        </is>
      </c>
      <c r="E8632" t="n">
        <v>16.46</v>
      </c>
      <c r="F8632" t="n">
        <v>1</v>
      </c>
      <c r="G8632" t="n">
        <v>17</v>
      </c>
      <c r="H8632" s="5">
        <f>HYPERLINK("https://api.qogita.com/variants/link/5037028276549/", "View Product")</f>
        <v/>
      </c>
    </row>
    <row r="8633">
      <c r="A8633" t="inlineStr">
        <is>
          <t>5037028276600</t>
        </is>
      </c>
      <c r="B8633" t="inlineStr">
        <is>
          <t>Santa's Coming Bath Gift Set</t>
        </is>
      </c>
      <c r="C8633" t="inlineStr">
        <is>
          <t>Toiletries Bags</t>
        </is>
      </c>
      <c r="D8633" t="inlineStr">
        <is>
          <t>Bomb Cosmetics</t>
        </is>
      </c>
      <c r="E8633" t="n">
        <v>15.56</v>
      </c>
      <c r="F8633" t="n">
        <v>1</v>
      </c>
      <c r="G8633" t="n">
        <v>29</v>
      </c>
      <c r="H8633" s="5">
        <f>HYPERLINK("https://api.qogita.com/variants/link/5037028276600/", "View Product")</f>
        <v/>
      </c>
    </row>
    <row r="8634">
      <c r="A8634" t="inlineStr">
        <is>
          <t>5037028276723</t>
        </is>
      </c>
      <c r="B8634" t="inlineStr">
        <is>
          <t>Bomb Cosmetics The Christmas Gonk Bath Bomb - 160g</t>
        </is>
      </c>
      <c r="C8634" t="inlineStr">
        <is>
          <t>Bath Salts &amp; Bath Bombs</t>
        </is>
      </c>
      <c r="D8634" t="inlineStr">
        <is>
          <t>Bomb Cosmetics</t>
        </is>
      </c>
      <c r="E8634" t="n">
        <v>4.41</v>
      </c>
      <c r="F8634" t="n">
        <v>1</v>
      </c>
      <c r="G8634" t="n">
        <v>23</v>
      </c>
      <c r="H8634" s="5">
        <f>HYPERLINK("https://api.qogita.com/variants/link/5037028276723/", "View Product")</f>
        <v/>
      </c>
    </row>
    <row r="8635">
      <c r="A8635" t="inlineStr">
        <is>
          <t>5037028277072</t>
        </is>
      </c>
      <c r="B8635" t="inlineStr">
        <is>
          <t>Bomb Cosmetics Snowlady Handmade Bath Bombs</t>
        </is>
      </c>
      <c r="C8635" t="inlineStr">
        <is>
          <t>Bath Salts &amp; Bath Bombs</t>
        </is>
      </c>
      <c r="D8635" t="inlineStr">
        <is>
          <t>Bomb Cosmetics</t>
        </is>
      </c>
      <c r="E8635" t="n">
        <v>15.81</v>
      </c>
      <c r="F8635" t="n">
        <v>1</v>
      </c>
      <c r="G8635" t="n">
        <v>40</v>
      </c>
      <c r="H8635" s="5">
        <f>HYPERLINK("https://api.qogita.com/variants/link/5037028277072/", "View Product")</f>
        <v/>
      </c>
    </row>
    <row r="8636">
      <c r="A8636" t="inlineStr">
        <is>
          <t>5037028278598</t>
        </is>
      </c>
      <c r="B8636" t="inlineStr">
        <is>
          <t>Bomb Cosmetics Just Bee Yourself Bath Bomb Set 4 Pieces + Soap 1 Piece</t>
        </is>
      </c>
      <c r="C8636" t="inlineStr">
        <is>
          <t>Bath Salts &amp; Bath Bombs</t>
        </is>
      </c>
      <c r="D8636" t="inlineStr">
        <is>
          <t>Bomb Cosmetics</t>
        </is>
      </c>
      <c r="E8636" t="n">
        <v>16.46</v>
      </c>
      <c r="F8636" t="n">
        <v>1</v>
      </c>
      <c r="G8636" t="n">
        <v>5</v>
      </c>
      <c r="H8636" s="5">
        <f>HYPERLINK("https://api.qogita.com/variants/link/5037028278598/", "View Product")</f>
        <v/>
      </c>
    </row>
    <row r="8637">
      <c r="A8637" t="inlineStr">
        <is>
          <t>5037156271522</t>
        </is>
      </c>
      <c r="B8637" t="inlineStr">
        <is>
          <t>John Frieda Frizz-Ease Brazilian Sleek Frizz Immunity Shampoo 250ml</t>
        </is>
      </c>
      <c r="C8637" t="inlineStr">
        <is>
          <t>Shampoo</t>
        </is>
      </c>
      <c r="D8637" t="inlineStr">
        <is>
          <t>John Frieda</t>
        </is>
      </c>
      <c r="E8637" t="n">
        <v>4.38</v>
      </c>
      <c r="F8637" t="n">
        <v>1</v>
      </c>
      <c r="G8637" t="n">
        <v>2</v>
      </c>
      <c r="H8637" s="5">
        <f>HYPERLINK("https://api.qogita.com/variants/link/5037156271522/", "View Product")</f>
        <v/>
      </c>
    </row>
    <row r="8638">
      <c r="A8638" t="inlineStr">
        <is>
          <t>5038483224168</t>
        </is>
      </c>
      <c r="B8638" t="inlineStr">
        <is>
          <t>Scholl Pillows For Sensitive Feet On Gelactiv 6 Pieces</t>
        </is>
      </c>
      <c r="C8638" t="inlineStr">
        <is>
          <t>Foot Care Sets</t>
        </is>
      </c>
      <c r="D8638" t="inlineStr">
        <is>
          <t>Scholl</t>
        </is>
      </c>
      <c r="E8638" t="n">
        <v>5.72</v>
      </c>
      <c r="F8638" t="n">
        <v>1</v>
      </c>
      <c r="G8638" t="n">
        <v>32</v>
      </c>
      <c r="H8638" s="5">
        <f>HYPERLINK("https://api.qogita.com/variants/link/5038483224168/", "View Product")</f>
        <v/>
      </c>
    </row>
    <row r="8639">
      <c r="A8639" t="inlineStr">
        <is>
          <t>5038483677681</t>
        </is>
      </c>
      <c r="B8639" t="inlineStr">
        <is>
          <t>Scholl Shoe Deodorant Fresh Personal Care</t>
        </is>
      </c>
      <c r="C8639" t="inlineStr">
        <is>
          <t>Foot Spray</t>
        </is>
      </c>
      <c r="D8639" t="inlineStr">
        <is>
          <t>Scholl</t>
        </is>
      </c>
      <c r="E8639" t="n">
        <v>5.99</v>
      </c>
      <c r="F8639" t="n">
        <v>1</v>
      </c>
      <c r="G8639" t="n">
        <v>13</v>
      </c>
      <c r="H8639" s="5">
        <f>HYPERLINK("https://api.qogita.com/variants/link/5038483677681/", "View Product")</f>
        <v/>
      </c>
    </row>
    <row r="8640">
      <c r="A8640" t="inlineStr">
        <is>
          <t>5038483998427</t>
        </is>
      </c>
      <c r="B8640" t="inlineStr">
        <is>
          <t>Scholl Hard Skin Softening Remover Cream with Salicylic and Lactic Acid 60ml</t>
        </is>
      </c>
      <c r="C8640" t="inlineStr">
        <is>
          <t>Callus Remover</t>
        </is>
      </c>
      <c r="D8640" t="inlineStr">
        <is>
          <t>Scholl</t>
        </is>
      </c>
      <c r="E8640" t="n">
        <v>6.13</v>
      </c>
      <c r="F8640" t="n">
        <v>1</v>
      </c>
      <c r="G8640" t="n">
        <v>42</v>
      </c>
      <c r="H8640" s="5">
        <f>HYPERLINK("https://api.qogita.com/variants/link/5038483998427/", "View Product")</f>
        <v/>
      </c>
    </row>
    <row r="8641">
      <c r="A8641" t="inlineStr">
        <is>
          <t>5038580001242</t>
        </is>
      </c>
      <c r="B8641" t="inlineStr">
        <is>
          <t>Yankee Candle Baby Powder Aromatic Candle 49 G</t>
        </is>
      </c>
      <c r="C8641" t="inlineStr">
        <is>
          <t>Candles</t>
        </is>
      </c>
      <c r="D8641" t="inlineStr">
        <is>
          <t>Yankee Candle</t>
        </is>
      </c>
      <c r="E8641" t="n">
        <v>3.16</v>
      </c>
      <c r="F8641" t="n">
        <v>1</v>
      </c>
      <c r="G8641" t="n">
        <v>502</v>
      </c>
      <c r="H8641" s="5">
        <f>HYPERLINK("https://api.qogita.com/variants/link/5038580001242/", "View Product")</f>
        <v/>
      </c>
    </row>
    <row r="8642">
      <c r="A8642" t="inlineStr">
        <is>
          <t>5038580003789</t>
        </is>
      </c>
      <c r="B8642" t="inlineStr">
        <is>
          <t>Yankee Candle Fluffy Towels Candle Scented Candle 623 G</t>
        </is>
      </c>
      <c r="C8642" t="inlineStr">
        <is>
          <t>Candles</t>
        </is>
      </c>
      <c r="D8642" t="inlineStr">
        <is>
          <t>Yankee Candle</t>
        </is>
      </c>
      <c r="E8642" t="n">
        <v>18.36</v>
      </c>
      <c r="F8642" t="n">
        <v>1</v>
      </c>
      <c r="G8642" t="n">
        <v>31</v>
      </c>
      <c r="H8642" s="5">
        <f>HYPERLINK("https://api.qogita.com/variants/link/5038580003789/", "View Product")</f>
        <v/>
      </c>
    </row>
    <row r="8643">
      <c r="A8643" t="inlineStr">
        <is>
          <t>5038580003796</t>
        </is>
      </c>
      <c r="B8643" t="inlineStr">
        <is>
          <t>Yankee Candle Fluffy Towels Candle Scented Candle 411 G</t>
        </is>
      </c>
      <c r="C8643" t="inlineStr">
        <is>
          <t>Candles</t>
        </is>
      </c>
      <c r="D8643" t="inlineStr">
        <is>
          <t>Yankee Candle</t>
        </is>
      </c>
      <c r="E8643" t="n">
        <v>13.28</v>
      </c>
      <c r="F8643" t="n">
        <v>1</v>
      </c>
      <c r="G8643" t="n">
        <v>10</v>
      </c>
      <c r="H8643" s="5">
        <f>HYPERLINK("https://api.qogita.com/variants/link/5038580003796/", "View Product")</f>
        <v/>
      </c>
    </row>
    <row r="8644">
      <c r="A8644" t="inlineStr">
        <is>
          <t>5038580005554</t>
        </is>
      </c>
      <c r="B8644" t="inlineStr">
        <is>
          <t>Yankee Candle Clean Cotton Ultimate Car Jar Luxury Car Tag 1 Piece</t>
        </is>
      </c>
      <c r="C8644" t="inlineStr">
        <is>
          <t>Candles</t>
        </is>
      </c>
      <c r="D8644" t="inlineStr">
        <is>
          <t>Yankee Candle</t>
        </is>
      </c>
      <c r="E8644" t="n">
        <v>4.56</v>
      </c>
      <c r="F8644" t="n">
        <v>1</v>
      </c>
      <c r="G8644" t="n">
        <v>15</v>
      </c>
      <c r="H8644" s="5">
        <f>HYPERLINK("https://api.qogita.com/variants/link/5038580005554/", "View Product")</f>
        <v/>
      </c>
    </row>
    <row r="8645">
      <c r="A8645" t="inlineStr">
        <is>
          <t>5038580069686</t>
        </is>
      </c>
      <c r="B8645" t="inlineStr">
        <is>
          <t>Yankee Candle Car Jar Scented Air Freshener Clean Cotton</t>
        </is>
      </c>
      <c r="C8645" t="inlineStr">
        <is>
          <t>Incense</t>
        </is>
      </c>
      <c r="D8645" t="inlineStr">
        <is>
          <t>Yankee Candle</t>
        </is>
      </c>
      <c r="E8645" t="n">
        <v>6.58</v>
      </c>
      <c r="F8645" t="n">
        <v>1</v>
      </c>
      <c r="G8645" t="n">
        <v>140</v>
      </c>
      <c r="H8645" s="5">
        <f>HYPERLINK("https://api.qogita.com/variants/link/5038580069686/", "View Product")</f>
        <v/>
      </c>
    </row>
    <row r="8646">
      <c r="A8646" t="inlineStr">
        <is>
          <t>5038581016931</t>
        </is>
      </c>
      <c r="B8646" t="inlineStr">
        <is>
          <t>Yankee Candle Fragrant Votive Candle Warm Cashmere 49 G</t>
        </is>
      </c>
      <c r="C8646" t="inlineStr">
        <is>
          <t>Candles</t>
        </is>
      </c>
      <c r="D8646" t="inlineStr">
        <is>
          <t>Yankee Candle</t>
        </is>
      </c>
      <c r="E8646" t="n">
        <v>3.16</v>
      </c>
      <c r="F8646" t="n">
        <v>1</v>
      </c>
      <c r="G8646" t="n">
        <v>389</v>
      </c>
      <c r="H8646" s="5">
        <f>HYPERLINK("https://api.qogita.com/variants/link/5038581016931/", "View Product")</f>
        <v/>
      </c>
    </row>
    <row r="8647">
      <c r="A8647" t="inlineStr">
        <is>
          <t>5038581028897</t>
        </is>
      </c>
      <c r="B8647" t="inlineStr">
        <is>
          <t>Yankee Candle Home Inspiration Large Stony Cove Scented Candle 538 G</t>
        </is>
      </c>
      <c r="C8647" t="inlineStr">
        <is>
          <t>Candles</t>
        </is>
      </c>
      <c r="D8647" t="inlineStr">
        <is>
          <t>Yankee Candle</t>
        </is>
      </c>
      <c r="E8647" t="n">
        <v>13.71</v>
      </c>
      <c r="F8647" t="n">
        <v>1</v>
      </c>
      <c r="G8647" t="n">
        <v>88</v>
      </c>
      <c r="H8647" s="5">
        <f>HYPERLINK("https://api.qogita.com/variants/link/5038581028897/", "View Product")</f>
        <v/>
      </c>
    </row>
    <row r="8648">
      <c r="A8648" t="inlineStr">
        <is>
          <t>5038581033747</t>
        </is>
      </c>
      <c r="B8648" t="inlineStr">
        <is>
          <t>Yankee Candle Tropical Jungle Candle Scented Candle</t>
        </is>
      </c>
      <c r="C8648" t="inlineStr">
        <is>
          <t>Candles</t>
        </is>
      </c>
      <c r="D8648" t="inlineStr">
        <is>
          <t>Yankee Candle</t>
        </is>
      </c>
      <c r="E8648" t="n">
        <v>14.78</v>
      </c>
      <c r="F8648" t="n">
        <v>1</v>
      </c>
      <c r="G8648" t="n">
        <v>2</v>
      </c>
      <c r="H8648" s="5">
        <f>HYPERLINK("https://api.qogita.com/variants/link/5038581033747/", "View Product")</f>
        <v/>
      </c>
    </row>
    <row r="8649">
      <c r="A8649" t="inlineStr">
        <is>
          <t>5038581054469</t>
        </is>
      </c>
      <c r="B8649" t="inlineStr">
        <is>
          <t>Woodwick Sun Ripened Berries Trilogy Vase Scented Candle 6095 G</t>
        </is>
      </c>
      <c r="C8649" t="inlineStr">
        <is>
          <t>Candles</t>
        </is>
      </c>
      <c r="D8649" t="inlineStr">
        <is>
          <t>Woodwick</t>
        </is>
      </c>
      <c r="E8649" t="n">
        <v>20.37</v>
      </c>
      <c r="F8649" t="n">
        <v>1</v>
      </c>
      <c r="G8649" t="n">
        <v>241</v>
      </c>
      <c r="H8649" s="5">
        <f>HYPERLINK("https://api.qogita.com/variants/link/5038581054469/", "View Product")</f>
        <v/>
      </c>
    </row>
    <row r="8650">
      <c r="A8650" t="inlineStr">
        <is>
          <t>5038581054612</t>
        </is>
      </c>
      <c r="B8650" t="inlineStr">
        <is>
          <t>Woodwick Cinnamon Chai Vase Scented Candle 6095 G</t>
        </is>
      </c>
      <c r="C8650" t="inlineStr">
        <is>
          <t>Candles</t>
        </is>
      </c>
      <c r="D8650" t="inlineStr">
        <is>
          <t>Woodwick</t>
        </is>
      </c>
      <c r="E8650" t="n">
        <v>20.59</v>
      </c>
      <c r="F8650" t="n">
        <v>1</v>
      </c>
      <c r="G8650" t="n">
        <v>296</v>
      </c>
      <c r="H8650" s="5">
        <f>HYPERLINK("https://api.qogita.com/variants/link/5038581054612/", "View Product")</f>
        <v/>
      </c>
    </row>
    <row r="8651">
      <c r="A8651" t="inlineStr">
        <is>
          <t>5038581054698</t>
        </is>
      </c>
      <c r="B8651" t="inlineStr">
        <is>
          <t>Woodwick Scented Candle Vase Lavender Spa 6095 G</t>
        </is>
      </c>
      <c r="C8651" t="inlineStr">
        <is>
          <t>Candles</t>
        </is>
      </c>
      <c r="D8651" t="inlineStr">
        <is>
          <t>Woodwick</t>
        </is>
      </c>
      <c r="E8651" t="n">
        <v>22.7</v>
      </c>
      <c r="F8651" t="n">
        <v>1</v>
      </c>
      <c r="G8651" t="n">
        <v>41</v>
      </c>
      <c r="H8651" s="5">
        <f>HYPERLINK("https://api.qogita.com/variants/link/5038581054698/", "View Product")</f>
        <v/>
      </c>
    </row>
    <row r="8652">
      <c r="A8652" t="inlineStr">
        <is>
          <t>5038581054728</t>
        </is>
      </c>
      <c r="B8652" t="inlineStr">
        <is>
          <t>Woodwick Scented Candle Vase Linen 6095 G</t>
        </is>
      </c>
      <c r="C8652" t="inlineStr">
        <is>
          <t>Candles</t>
        </is>
      </c>
      <c r="D8652" t="inlineStr">
        <is>
          <t>Woodwick</t>
        </is>
      </c>
      <c r="E8652" t="n">
        <v>19.65</v>
      </c>
      <c r="F8652" t="n">
        <v>1</v>
      </c>
      <c r="G8652" t="n">
        <v>312</v>
      </c>
      <c r="H8652" s="5">
        <f>HYPERLINK("https://api.qogita.com/variants/link/5038581054728/", "View Product")</f>
        <v/>
      </c>
    </row>
    <row r="8653">
      <c r="A8653" t="inlineStr">
        <is>
          <t>5038581054780</t>
        </is>
      </c>
      <c r="B8653" t="inlineStr">
        <is>
          <t>Woodwick White Tea &amp; Jasmine Scented Candle Large Vase 6095 Grams</t>
        </is>
      </c>
      <c r="C8653" t="inlineStr">
        <is>
          <t>Candles</t>
        </is>
      </c>
      <c r="D8653" t="inlineStr">
        <is>
          <t>Woodwick</t>
        </is>
      </c>
      <c r="E8653" t="n">
        <v>20.42</v>
      </c>
      <c r="F8653" t="n">
        <v>1</v>
      </c>
      <c r="G8653" t="n">
        <v>605</v>
      </c>
      <c r="H8653" s="5">
        <f>HYPERLINK("https://api.qogita.com/variants/link/5038581054780/", "View Product")</f>
        <v/>
      </c>
    </row>
    <row r="8654">
      <c r="A8654" t="inlineStr">
        <is>
          <t>5038581054803</t>
        </is>
      </c>
      <c r="B8654" t="inlineStr">
        <is>
          <t>Woodwick Scented Candle Coastal Sunset 609 G</t>
        </is>
      </c>
      <c r="C8654" t="inlineStr">
        <is>
          <t>Candles</t>
        </is>
      </c>
      <c r="D8654" t="inlineStr">
        <is>
          <t>Woodwick</t>
        </is>
      </c>
      <c r="E8654" t="n">
        <v>19.65</v>
      </c>
      <c r="F8654" t="n">
        <v>1</v>
      </c>
      <c r="G8654" t="n">
        <v>199</v>
      </c>
      <c r="H8654" s="5">
        <f>HYPERLINK("https://api.qogita.com/variants/link/5038581054803/", "View Product")</f>
        <v/>
      </c>
    </row>
    <row r="8655">
      <c r="A8655" t="inlineStr">
        <is>
          <t>5038581054841</t>
        </is>
      </c>
      <c r="B8655" t="inlineStr">
        <is>
          <t>Woodwick Spiced Blackberry Scented Candle Vase 6095 G</t>
        </is>
      </c>
      <c r="C8655" t="inlineStr">
        <is>
          <t>Candles</t>
        </is>
      </c>
      <c r="D8655" t="inlineStr">
        <is>
          <t>Woodwick</t>
        </is>
      </c>
      <c r="E8655" t="n">
        <v>20.24</v>
      </c>
      <c r="F8655" t="n">
        <v>1</v>
      </c>
      <c r="G8655" t="n">
        <v>300</v>
      </c>
      <c r="H8655" s="5">
        <f>HYPERLINK("https://api.qogita.com/variants/link/5038581054841/", "View Product")</f>
        <v/>
      </c>
    </row>
    <row r="8656">
      <c r="A8656" t="inlineStr">
        <is>
          <t>5038581056487</t>
        </is>
      </c>
      <c r="B8656" t="inlineStr">
        <is>
          <t>Woodwick Fireside Scented Candle Vase 85 G</t>
        </is>
      </c>
      <c r="C8656" t="inlineStr">
        <is>
          <t>Candles</t>
        </is>
      </c>
      <c r="D8656" t="inlineStr">
        <is>
          <t>Woodwick</t>
        </is>
      </c>
      <c r="E8656" t="n">
        <v>7.47</v>
      </c>
      <c r="F8656" t="n">
        <v>1</v>
      </c>
      <c r="G8656" t="n">
        <v>82</v>
      </c>
      <c r="H8656" s="5">
        <f>HYPERLINK("https://api.qogita.com/variants/link/5038581056487/", "View Product")</f>
        <v/>
      </c>
    </row>
    <row r="8657">
      <c r="A8657" t="inlineStr">
        <is>
          <t>5038581056678</t>
        </is>
      </c>
      <c r="B8657" t="inlineStr">
        <is>
          <t>Woodwick Scented Candle Vase Crimson Berries Available In 85 G And 275 G</t>
        </is>
      </c>
      <c r="C8657" t="inlineStr">
        <is>
          <t>Candles</t>
        </is>
      </c>
      <c r="D8657" t="inlineStr">
        <is>
          <t>Woodwick</t>
        </is>
      </c>
      <c r="E8657" t="n">
        <v>7.45</v>
      </c>
      <c r="F8657" t="n">
        <v>1</v>
      </c>
      <c r="G8657" t="n">
        <v>53</v>
      </c>
      <c r="H8657" s="5">
        <f>HYPERLINK("https://api.qogita.com/variants/link/5038581056678/", "View Product")</f>
        <v/>
      </c>
    </row>
    <row r="8658">
      <c r="A8658" t="inlineStr">
        <is>
          <t>5038581056906</t>
        </is>
      </c>
      <c r="B8658" t="inlineStr">
        <is>
          <t>Woodwick Lavender Spa Scented Candle 4536 Grams</t>
        </is>
      </c>
      <c r="C8658" t="inlineStr">
        <is>
          <t>Candles</t>
        </is>
      </c>
      <c r="D8658" t="inlineStr">
        <is>
          <t>Woodwick</t>
        </is>
      </c>
      <c r="E8658" t="n">
        <v>20.51</v>
      </c>
      <c r="F8658" t="n">
        <v>1</v>
      </c>
      <c r="G8658" t="n">
        <v>936</v>
      </c>
      <c r="H8658" s="5">
        <f>HYPERLINK("https://api.qogita.com/variants/link/5038581056906/", "View Product")</f>
        <v/>
      </c>
    </row>
    <row r="8659">
      <c r="A8659" t="inlineStr">
        <is>
          <t>5038581056975</t>
        </is>
      </c>
      <c r="B8659" t="inlineStr">
        <is>
          <t>Woodwick Scented Candle Boat White Tea &amp; Jasmine 453 G</t>
        </is>
      </c>
      <c r="C8659" t="inlineStr">
        <is>
          <t>Candles</t>
        </is>
      </c>
      <c r="D8659" t="inlineStr">
        <is>
          <t>Woodwick</t>
        </is>
      </c>
      <c r="E8659" t="n">
        <v>20.56</v>
      </c>
      <c r="F8659" t="n">
        <v>1</v>
      </c>
      <c r="G8659" t="n">
        <v>987</v>
      </c>
      <c r="H8659" s="5">
        <f>HYPERLINK("https://api.qogita.com/variants/link/5038581056975/", "View Product")</f>
        <v/>
      </c>
    </row>
    <row r="8660">
      <c r="A8660" t="inlineStr">
        <is>
          <t>5038581057033</t>
        </is>
      </c>
      <c r="B8660" t="inlineStr">
        <is>
          <t>Woodwick Spiced Blackberry Scented Candle 4536 G</t>
        </is>
      </c>
      <c r="C8660" t="inlineStr">
        <is>
          <t>Candles</t>
        </is>
      </c>
      <c r="D8660" t="inlineStr">
        <is>
          <t>Woodwick</t>
        </is>
      </c>
      <c r="E8660" t="n">
        <v>20.6</v>
      </c>
      <c r="F8660" t="n">
        <v>1</v>
      </c>
      <c r="G8660" t="n">
        <v>878</v>
      </c>
      <c r="H8660" s="5">
        <f>HYPERLINK("https://api.qogita.com/variants/link/5038581057033/", "View Product")</f>
        <v/>
      </c>
    </row>
    <row r="8661">
      <c r="A8661" t="inlineStr">
        <is>
          <t>5038581057965</t>
        </is>
      </c>
      <c r="B8661" t="inlineStr">
        <is>
          <t>Woodwick Medium Hourglass Scented Candle Sand &amp; Driftwood with Crackling</t>
        </is>
      </c>
      <c r="C8661" t="inlineStr">
        <is>
          <t>Candles</t>
        </is>
      </c>
      <c r="D8661" t="inlineStr">
        <is>
          <t>Woodwick</t>
        </is>
      </c>
      <c r="E8661" t="n">
        <v>14.73</v>
      </c>
      <c r="F8661" t="n">
        <v>1</v>
      </c>
      <c r="G8661" t="n">
        <v>94</v>
      </c>
      <c r="H8661" s="5">
        <f>HYPERLINK("https://api.qogita.com/variants/link/5038581057965/", "View Product")</f>
        <v/>
      </c>
    </row>
    <row r="8662">
      <c r="A8662" t="inlineStr">
        <is>
          <t>5038581058177</t>
        </is>
      </c>
      <c r="B8662" t="inlineStr">
        <is>
          <t>WoodWick Medium Hourglass Scented Candle with Pluswick Innovation Paraffin Coastal Sunset</t>
        </is>
      </c>
      <c r="C8662" t="inlineStr">
        <is>
          <t>Candles</t>
        </is>
      </c>
      <c r="D8662" t="inlineStr">
        <is>
          <t>Woodwick</t>
        </is>
      </c>
      <c r="E8662" t="n">
        <v>14.73</v>
      </c>
      <c r="F8662" t="n">
        <v>1</v>
      </c>
      <c r="G8662" t="n">
        <v>52</v>
      </c>
      <c r="H8662" s="5">
        <f>HYPERLINK("https://api.qogita.com/variants/link/5038581058177/", "View Product")</f>
        <v/>
      </c>
    </row>
    <row r="8663">
      <c r="A8663" t="inlineStr">
        <is>
          <t>5038581058191</t>
        </is>
      </c>
      <c r="B8663" t="inlineStr">
        <is>
          <t>Woodwick Seaside Mimosa Scented Candle Vase 275 G</t>
        </is>
      </c>
      <c r="C8663" t="inlineStr">
        <is>
          <t>Candles</t>
        </is>
      </c>
      <c r="D8663" t="inlineStr">
        <is>
          <t>Woodwick</t>
        </is>
      </c>
      <c r="E8663" t="n">
        <v>14.73</v>
      </c>
      <c r="F8663" t="n">
        <v>1</v>
      </c>
      <c r="G8663" t="n">
        <v>95</v>
      </c>
      <c r="H8663" s="5">
        <f>HYPERLINK("https://api.qogita.com/variants/link/5038581058191/", "View Product")</f>
        <v/>
      </c>
    </row>
    <row r="8664">
      <c r="A8664" t="inlineStr">
        <is>
          <t>5038581061528</t>
        </is>
      </c>
      <c r="B8664" t="inlineStr">
        <is>
          <t>Yankee Candle Sugared Blossom Scented Candle 538 G</t>
        </is>
      </c>
      <c r="C8664" t="inlineStr">
        <is>
          <t>Candles</t>
        </is>
      </c>
      <c r="D8664" t="inlineStr">
        <is>
          <t>Yankee Candle</t>
        </is>
      </c>
      <c r="E8664" t="n">
        <v>13.55</v>
      </c>
      <c r="F8664" t="n">
        <v>1</v>
      </c>
      <c r="G8664" t="n">
        <v>78</v>
      </c>
      <c r="H8664" s="5">
        <f>HYPERLINK("https://api.qogita.com/variants/link/5038581061528/", "View Product")</f>
        <v/>
      </c>
    </row>
    <row r="8665">
      <c r="A8665" t="inlineStr">
        <is>
          <t>5038581062136</t>
        </is>
      </c>
      <c r="B8665" t="inlineStr">
        <is>
          <t>Woodwick Scented Candle Vase White Teak 6095 G</t>
        </is>
      </c>
      <c r="C8665" t="inlineStr">
        <is>
          <t>Candles</t>
        </is>
      </c>
      <c r="D8665" t="inlineStr">
        <is>
          <t>Woodwick</t>
        </is>
      </c>
      <c r="E8665" t="n">
        <v>20.42</v>
      </c>
      <c r="F8665" t="n">
        <v>1</v>
      </c>
      <c r="G8665" t="n">
        <v>426</v>
      </c>
      <c r="H8665" s="5">
        <f>HYPERLINK("https://api.qogita.com/variants/link/5038581062136/", "View Product")</f>
        <v/>
      </c>
    </row>
    <row r="8666">
      <c r="A8666" t="inlineStr">
        <is>
          <t>5038581065892</t>
        </is>
      </c>
      <c r="B8666" t="inlineStr">
        <is>
          <t>Yankee Candle Scented Candle Home Inspiration Small Exotic Fruits 104 G</t>
        </is>
      </c>
      <c r="C8666" t="inlineStr">
        <is>
          <t>Candles</t>
        </is>
      </c>
      <c r="D8666" t="inlineStr">
        <is>
          <t>Yankee Candle</t>
        </is>
      </c>
      <c r="E8666" t="n">
        <v>7.13</v>
      </c>
      <c r="F8666" t="n">
        <v>1</v>
      </c>
      <c r="G8666" t="n">
        <v>44</v>
      </c>
      <c r="H8666" s="5">
        <f>HYPERLINK("https://api.qogita.com/variants/link/5038581065892/", "View Product")</f>
        <v/>
      </c>
    </row>
    <row r="8667">
      <c r="A8667" t="inlineStr">
        <is>
          <t>5038581077956</t>
        </is>
      </c>
      <c r="B8667" t="inlineStr">
        <is>
          <t>Woodwick Rosewood Vase Scented Candle</t>
        </is>
      </c>
      <c r="C8667" t="inlineStr">
        <is>
          <t>Candles</t>
        </is>
      </c>
      <c r="D8667" t="inlineStr">
        <is>
          <t>Woodwick</t>
        </is>
      </c>
      <c r="E8667" t="n">
        <v>20.34</v>
      </c>
      <c r="F8667" t="n">
        <v>1</v>
      </c>
      <c r="G8667" t="n">
        <v>299</v>
      </c>
      <c r="H8667" s="5">
        <f>HYPERLINK("https://api.qogita.com/variants/link/5038581077956/", "View Product")</f>
        <v/>
      </c>
    </row>
    <row r="8668">
      <c r="A8668" t="inlineStr">
        <is>
          <t>5038581087313</t>
        </is>
      </c>
      <c r="B8668" t="inlineStr">
        <is>
          <t>Woodwick Scented Candle Vase Solar Ylang 609 G</t>
        </is>
      </c>
      <c r="C8668" t="inlineStr">
        <is>
          <t>Candles</t>
        </is>
      </c>
      <c r="D8668" t="inlineStr">
        <is>
          <t>Woodwick</t>
        </is>
      </c>
      <c r="E8668" t="n">
        <v>20.19</v>
      </c>
      <c r="F8668" t="n">
        <v>1</v>
      </c>
      <c r="G8668" t="n">
        <v>1131</v>
      </c>
      <c r="H8668" s="5">
        <f>HYPERLINK("https://api.qogita.com/variants/link/5038581087313/", "View Product")</f>
        <v/>
      </c>
    </row>
    <row r="8669">
      <c r="A8669" t="inlineStr">
        <is>
          <t>5038581087979</t>
        </is>
      </c>
      <c r="B8669" t="inlineStr">
        <is>
          <t>Yankee Candle Scented Candle Home Inspiration Small Vanilla Frosting 104 G</t>
        </is>
      </c>
      <c r="C8669" t="inlineStr">
        <is>
          <t>Candles</t>
        </is>
      </c>
      <c r="D8669" t="inlineStr">
        <is>
          <t>Yankee Candle</t>
        </is>
      </c>
      <c r="E8669" t="n">
        <v>7.13</v>
      </c>
      <c r="F8669" t="n">
        <v>1</v>
      </c>
      <c r="G8669" t="n">
        <v>58</v>
      </c>
      <c r="H8669" s="5">
        <f>HYPERLINK("https://api.qogita.com/variants/link/5038581087979/", "View Product")</f>
        <v/>
      </c>
    </row>
    <row r="8670">
      <c r="A8670" t="inlineStr">
        <is>
          <t>5038581091303</t>
        </is>
      </c>
      <c r="B8670" t="inlineStr">
        <is>
          <t>Yankee Candle Sunny Daydream Candle Scented Aromatic Candle Classic Small 104 Grams</t>
        </is>
      </c>
      <c r="C8670" t="inlineStr">
        <is>
          <t>Candles</t>
        </is>
      </c>
      <c r="D8670" t="inlineStr">
        <is>
          <t>Yankee Candle</t>
        </is>
      </c>
      <c r="E8670" t="n">
        <v>8.710000000000001</v>
      </c>
      <c r="F8670" t="n">
        <v>1</v>
      </c>
      <c r="G8670" t="n">
        <v>2</v>
      </c>
      <c r="H8670" s="5">
        <f>HYPERLINK("https://api.qogita.com/variants/link/5038581091303/", "View Product")</f>
        <v/>
      </c>
    </row>
    <row r="8671">
      <c r="A8671" t="inlineStr">
        <is>
          <t>5038581091617</t>
        </is>
      </c>
      <c r="B8671" t="inlineStr">
        <is>
          <t>Yankee Candle Calamansi Cocktail Candle Scented Candle</t>
        </is>
      </c>
      <c r="C8671" t="inlineStr">
        <is>
          <t>Candles</t>
        </is>
      </c>
      <c r="D8671" t="inlineStr">
        <is>
          <t>Yankee Candle</t>
        </is>
      </c>
      <c r="E8671" t="n">
        <v>14.46</v>
      </c>
      <c r="F8671" t="n">
        <v>1</v>
      </c>
      <c r="G8671" t="n">
        <v>4</v>
      </c>
      <c r="H8671" s="5">
        <f>HYPERLINK("https://api.qogita.com/variants/link/5038581091617/", "View Product")</f>
        <v/>
      </c>
    </row>
    <row r="8672">
      <c r="A8672" t="inlineStr">
        <is>
          <t>5038581103006</t>
        </is>
      </c>
      <c r="B8672" t="inlineStr">
        <is>
          <t>Woodwick Medium Lavender &amp; Cedar Scented Candle Vase 275 G</t>
        </is>
      </c>
      <c r="C8672" t="inlineStr">
        <is>
          <t>Candles</t>
        </is>
      </c>
      <c r="D8672" t="inlineStr">
        <is>
          <t>Woodwick</t>
        </is>
      </c>
      <c r="E8672" t="n">
        <v>14.73</v>
      </c>
      <c r="F8672" t="n">
        <v>1</v>
      </c>
      <c r="G8672" t="n">
        <v>136</v>
      </c>
      <c r="H8672" s="5">
        <f>HYPERLINK("https://api.qogita.com/variants/link/5038581103006/", "View Product")</f>
        <v/>
      </c>
    </row>
    <row r="8673">
      <c r="A8673" t="inlineStr">
        <is>
          <t>5038581103068</t>
        </is>
      </c>
      <c r="B8673" t="inlineStr">
        <is>
          <t>Woodwick Scented Candle Vase Large Lavender &amp; Cedar 6095 G</t>
        </is>
      </c>
      <c r="C8673" t="inlineStr">
        <is>
          <t>Candles</t>
        </is>
      </c>
      <c r="D8673" t="inlineStr">
        <is>
          <t>Woodwick</t>
        </is>
      </c>
      <c r="E8673" t="n">
        <v>20.53</v>
      </c>
      <c r="F8673" t="n">
        <v>1</v>
      </c>
      <c r="G8673" t="n">
        <v>873</v>
      </c>
      <c r="H8673" s="5">
        <f>HYPERLINK("https://api.qogita.com/variants/link/5038581103068/", "View Product")</f>
        <v/>
      </c>
    </row>
    <row r="8674">
      <c r="A8674" t="inlineStr">
        <is>
          <t>5038581103273</t>
        </is>
      </c>
      <c r="B8674" t="inlineStr">
        <is>
          <t>Woodwick Scented Candle Vase Lavender &amp; Cedar 85 G</t>
        </is>
      </c>
      <c r="C8674" t="inlineStr">
        <is>
          <t>Candles</t>
        </is>
      </c>
      <c r="D8674" t="inlineStr">
        <is>
          <t>Woodwick</t>
        </is>
      </c>
      <c r="E8674" t="n">
        <v>7.5</v>
      </c>
      <c r="F8674" t="n">
        <v>1</v>
      </c>
      <c r="G8674" t="n">
        <v>203</v>
      </c>
      <c r="H8674" s="5">
        <f>HYPERLINK("https://api.qogita.com/variants/link/5038581103273/", "View Product")</f>
        <v/>
      </c>
    </row>
    <row r="8675">
      <c r="A8675" t="inlineStr">
        <is>
          <t>5038581114170</t>
        </is>
      </c>
      <c r="B8675" t="inlineStr">
        <is>
          <t>Love Passion Candle Small Tumbler</t>
        </is>
      </c>
      <c r="C8675" t="inlineStr">
        <is>
          <t>Candles</t>
        </is>
      </c>
      <c r="D8675" t="inlineStr">
        <is>
          <t>‎- Unknown</t>
        </is>
      </c>
      <c r="E8675" t="n">
        <v>7.19</v>
      </c>
      <c r="F8675" t="n">
        <v>1</v>
      </c>
      <c r="G8675" t="n">
        <v>5</v>
      </c>
      <c r="H8675" s="5">
        <f>HYPERLINK("https://api.qogita.com/variants/link/5038581114170/", "View Product")</f>
        <v/>
      </c>
    </row>
    <row r="8676">
      <c r="A8676" t="inlineStr">
        <is>
          <t>5038581114187</t>
        </is>
      </c>
      <c r="B8676" t="inlineStr">
        <is>
          <t>Chesapeake Bay Reflection Clarity Candle Tumbler Small</t>
        </is>
      </c>
      <c r="C8676" t="inlineStr">
        <is>
          <t>Candles</t>
        </is>
      </c>
      <c r="D8676" t="inlineStr">
        <is>
          <t>Chesapeake Bay</t>
        </is>
      </c>
      <c r="E8676" t="n">
        <v>7.19</v>
      </c>
      <c r="F8676" t="n">
        <v>1</v>
      </c>
      <c r="G8676" t="n">
        <v>7</v>
      </c>
      <c r="H8676" s="5">
        <f>HYPERLINK("https://api.qogita.com/variants/link/5038581114187/", "View Product")</f>
        <v/>
      </c>
    </row>
    <row r="8677">
      <c r="A8677" t="inlineStr">
        <is>
          <t>5038581114262</t>
        </is>
      </c>
      <c r="B8677" t="inlineStr">
        <is>
          <t>Chesapeake Bay Scented Candle | Peace + Tranquility Aromatherapy Candle, Medium</t>
        </is>
      </c>
      <c r="C8677" t="inlineStr">
        <is>
          <t>Candles</t>
        </is>
      </c>
      <c r="D8677" t="inlineStr">
        <is>
          <t>Chesapeake Bay Candle</t>
        </is>
      </c>
      <c r="E8677" t="n">
        <v>12.42</v>
      </c>
      <c r="F8677" t="n">
        <v>1</v>
      </c>
      <c r="G8677" t="n">
        <v>5</v>
      </c>
      <c r="H8677" s="5">
        <f>HYPERLINK("https://api.qogita.com/variants/link/5038581114262/", "View Product")</f>
        <v/>
      </c>
    </row>
    <row r="8678">
      <c r="A8678" t="inlineStr">
        <is>
          <t>5038581114354</t>
        </is>
      </c>
      <c r="B8678" t="inlineStr">
        <is>
          <t>Chesapeake Bay Stillness Purity Candle Tumbler Medium Scented Candle</t>
        </is>
      </c>
      <c r="C8678" t="inlineStr">
        <is>
          <t>Candles</t>
        </is>
      </c>
      <c r="D8678" t="inlineStr">
        <is>
          <t>Chesapeake Bay Candle</t>
        </is>
      </c>
      <c r="E8678" t="n">
        <v>12.42</v>
      </c>
      <c r="F8678" t="n">
        <v>1</v>
      </c>
      <c r="G8678" t="n">
        <v>10</v>
      </c>
      <c r="H8678" s="5">
        <f>HYPERLINK("https://api.qogita.com/variants/link/5038581114354/", "View Product")</f>
        <v/>
      </c>
    </row>
    <row r="8679">
      <c r="A8679" t="inlineStr">
        <is>
          <t>5038581114460</t>
        </is>
      </c>
      <c r="B8679" t="inlineStr">
        <is>
          <t>Tranquility Candle</t>
        </is>
      </c>
      <c r="C8679" t="inlineStr">
        <is>
          <t>Candles</t>
        </is>
      </c>
      <c r="D8679" t="inlineStr">
        <is>
          <t>Peace</t>
        </is>
      </c>
      <c r="E8679" t="n">
        <v>19.11</v>
      </c>
      <c r="F8679" t="n">
        <v>1</v>
      </c>
      <c r="G8679" t="n">
        <v>3</v>
      </c>
      <c r="H8679" s="5">
        <f>HYPERLINK("https://api.qogita.com/variants/link/5038581114460/", "View Product")</f>
        <v/>
      </c>
    </row>
    <row r="8680">
      <c r="A8680" t="inlineStr">
        <is>
          <t>5038581114569</t>
        </is>
      </c>
      <c r="B8680" t="inlineStr">
        <is>
          <t>Chesapeake Bay Mind &amp; Body Rosewater 3 Wick Candle, 312g</t>
        </is>
      </c>
      <c r="C8680" t="inlineStr">
        <is>
          <t>Candles</t>
        </is>
      </c>
      <c r="D8680" t="inlineStr">
        <is>
          <t>Chesapeake Bay Candle</t>
        </is>
      </c>
      <c r="E8680" t="n">
        <v>19.11</v>
      </c>
      <c r="F8680" t="n">
        <v>1</v>
      </c>
      <c r="G8680" t="n">
        <v>10</v>
      </c>
      <c r="H8680" s="5">
        <f>HYPERLINK("https://api.qogita.com/variants/link/5038581114569/", "View Product")</f>
        <v/>
      </c>
    </row>
    <row r="8681">
      <c r="A8681" t="inlineStr">
        <is>
          <t>5038581120683</t>
        </is>
      </c>
      <c r="B8681" t="inlineStr">
        <is>
          <t>Yankee Candle Home Inspiration Small Scented Candle Midnight Magnolia 104 G</t>
        </is>
      </c>
      <c r="C8681" t="inlineStr">
        <is>
          <t>Candles</t>
        </is>
      </c>
      <c r="D8681" t="inlineStr">
        <is>
          <t>Yankee Candle</t>
        </is>
      </c>
      <c r="E8681" t="n">
        <v>7.21</v>
      </c>
      <c r="F8681" t="n">
        <v>1</v>
      </c>
      <c r="G8681" t="n">
        <v>79</v>
      </c>
      <c r="H8681" s="5">
        <f>HYPERLINK("https://api.qogita.com/variants/link/5038581120683/", "View Product")</f>
        <v/>
      </c>
    </row>
    <row r="8682">
      <c r="A8682" t="inlineStr">
        <is>
          <t>5038581123738</t>
        </is>
      </c>
      <c r="B8682" t="inlineStr">
        <is>
          <t>Woodwick Scented Candle Gift Set | Fireside &amp; Linen, Hourglass Glass Scented Candle With</t>
        </is>
      </c>
      <c r="C8682" t="inlineStr">
        <is>
          <t>Candles</t>
        </is>
      </c>
      <c r="D8682" t="inlineStr">
        <is>
          <t>Woodwick</t>
        </is>
      </c>
      <c r="E8682" t="n">
        <v>35.37</v>
      </c>
      <c r="F8682" t="n">
        <v>1</v>
      </c>
      <c r="G8682" t="n">
        <v>98</v>
      </c>
      <c r="H8682" s="5">
        <f>HYPERLINK("https://api.qogita.com/variants/link/5038581123738/", "View Product")</f>
        <v/>
      </c>
    </row>
    <row r="8683">
      <c r="A8683" t="inlineStr">
        <is>
          <t>5038581126319</t>
        </is>
      </c>
      <c r="B8683" t="inlineStr">
        <is>
          <t>Yankee Candle Ultra Sonic Aroma Diffuser Set | Aroma Diffuser Oil Black Cherry</t>
        </is>
      </c>
      <c r="C8683" t="inlineStr">
        <is>
          <t>Diffusers</t>
        </is>
      </c>
      <c r="D8683" t="inlineStr">
        <is>
          <t>Yankee Candle</t>
        </is>
      </c>
      <c r="E8683" t="n">
        <v>21.4</v>
      </c>
      <c r="F8683" t="n">
        <v>1</v>
      </c>
      <c r="G8683" t="n">
        <v>5</v>
      </c>
      <c r="H8683" s="5">
        <f>HYPERLINK("https://api.qogita.com/variants/link/5038581126319/", "View Product")</f>
        <v/>
      </c>
    </row>
    <row r="8684">
      <c r="A8684" t="inlineStr">
        <is>
          <t>5038581128382</t>
        </is>
      </c>
      <c r="B8684" t="inlineStr">
        <is>
          <t>Yankee Candle Tropical Breeze Set Of Votive Candles In Glass</t>
        </is>
      </c>
      <c r="C8684" t="inlineStr">
        <is>
          <t>Candles</t>
        </is>
      </c>
      <c r="D8684" t="inlineStr">
        <is>
          <t>Yankee Candle</t>
        </is>
      </c>
      <c r="E8684" t="n">
        <v>7.43</v>
      </c>
      <c r="F8684" t="n">
        <v>1</v>
      </c>
      <c r="G8684" t="n">
        <v>71</v>
      </c>
      <c r="H8684" s="5">
        <f>HYPERLINK("https://api.qogita.com/variants/link/5038581128382/", "View Product")</f>
        <v/>
      </c>
    </row>
    <row r="8685">
      <c r="A8685" t="inlineStr">
        <is>
          <t>5038581128726</t>
        </is>
      </c>
      <c r="B8685" t="inlineStr">
        <is>
          <t>Yankee Candle Lakefront Lodge Signature Candle Aromatic Candle In Large Glass 567 Grams</t>
        </is>
      </c>
      <c r="C8685" t="inlineStr">
        <is>
          <t>Candles</t>
        </is>
      </c>
      <c r="D8685" t="inlineStr">
        <is>
          <t>Yankee Candle</t>
        </is>
      </c>
      <c r="E8685" t="n">
        <v>19.29</v>
      </c>
      <c r="F8685" t="n">
        <v>1</v>
      </c>
      <c r="G8685" t="n">
        <v>3</v>
      </c>
      <c r="H8685" s="5">
        <f>HYPERLINK("https://api.qogita.com/variants/link/5038581128726/", "View Product")</f>
        <v/>
      </c>
    </row>
    <row r="8686">
      <c r="A8686" t="inlineStr">
        <is>
          <t>5038581128801</t>
        </is>
      </c>
      <c r="B8686" t="inlineStr">
        <is>
          <t>Yankee Candle Ocean Air Signature Candle Medium Glass 368 G</t>
        </is>
      </c>
      <c r="C8686" t="inlineStr">
        <is>
          <t>Candles</t>
        </is>
      </c>
      <c r="D8686" t="inlineStr">
        <is>
          <t>Yankee Candle</t>
        </is>
      </c>
      <c r="E8686" t="n">
        <v>15.35</v>
      </c>
      <c r="F8686" t="n">
        <v>1</v>
      </c>
      <c r="G8686" t="n">
        <v>11</v>
      </c>
      <c r="H8686" s="5">
        <f>HYPERLINK("https://api.qogita.com/variants/link/5038581128801/", "View Product")</f>
        <v/>
      </c>
    </row>
    <row r="8687">
      <c r="A8687" t="inlineStr">
        <is>
          <t>5038581128832</t>
        </is>
      </c>
      <c r="B8687" t="inlineStr">
        <is>
          <t>Yankee Candle Praline Birch Signature Candle</t>
        </is>
      </c>
      <c r="C8687" t="inlineStr">
        <is>
          <t>Candles</t>
        </is>
      </c>
      <c r="D8687" t="inlineStr">
        <is>
          <t>Yankee Candle</t>
        </is>
      </c>
      <c r="E8687" t="n">
        <v>20.95</v>
      </c>
      <c r="F8687" t="n">
        <v>1</v>
      </c>
      <c r="G8687" t="n">
        <v>8</v>
      </c>
      <c r="H8687" s="5">
        <f>HYPERLINK("https://api.qogita.com/variants/link/5038581128832/", "View Product")</f>
        <v/>
      </c>
    </row>
    <row r="8688">
      <c r="A8688" t="inlineStr">
        <is>
          <t>5038581128887</t>
        </is>
      </c>
      <c r="B8688" t="inlineStr">
        <is>
          <t>Yankee Candle Iced Berry Lemonade Signature Candle 368 G</t>
        </is>
      </c>
      <c r="C8688" t="inlineStr">
        <is>
          <t>Candles</t>
        </is>
      </c>
      <c r="D8688" t="inlineStr">
        <is>
          <t>Yankee Candle</t>
        </is>
      </c>
      <c r="E8688" t="n">
        <v>14.92</v>
      </c>
      <c r="F8688" t="n">
        <v>1</v>
      </c>
      <c r="G8688" t="n">
        <v>36</v>
      </c>
      <c r="H8688" s="5">
        <f>HYPERLINK("https://api.qogita.com/variants/link/5038581128887/", "View Product")</f>
        <v/>
      </c>
    </row>
    <row r="8689">
      <c r="A8689" t="inlineStr">
        <is>
          <t>5038581128900</t>
        </is>
      </c>
      <c r="B8689" t="inlineStr">
        <is>
          <t>Yankee Candle Tropical Breeze Signature Candle Aromatic Candle In Medium Signature Glass 368 Grams</t>
        </is>
      </c>
      <c r="C8689" t="inlineStr">
        <is>
          <t>Candles</t>
        </is>
      </c>
      <c r="D8689" t="inlineStr">
        <is>
          <t>Yankee Candle</t>
        </is>
      </c>
      <c r="E8689" t="n">
        <v>14.89</v>
      </c>
      <c r="F8689" t="n">
        <v>1</v>
      </c>
      <c r="G8689" t="n">
        <v>18</v>
      </c>
      <c r="H8689" s="5">
        <f>HYPERLINK("https://api.qogita.com/variants/link/5038581128900/", "View Product")</f>
        <v/>
      </c>
    </row>
    <row r="8690">
      <c r="A8690" t="inlineStr">
        <is>
          <t>5038581128993</t>
        </is>
      </c>
      <c r="B8690" t="inlineStr">
        <is>
          <t>Yankee Candle Lemon Lavender Scented Candle 368g</t>
        </is>
      </c>
      <c r="C8690" t="inlineStr">
        <is>
          <t>Candles</t>
        </is>
      </c>
      <c r="D8690" t="inlineStr">
        <is>
          <t>Yankee Candle</t>
        </is>
      </c>
      <c r="E8690" t="n">
        <v>14.89</v>
      </c>
      <c r="F8690" t="n">
        <v>1</v>
      </c>
      <c r="G8690" t="n">
        <v>23</v>
      </c>
      <c r="H8690" s="5">
        <f>HYPERLINK("https://api.qogita.com/variants/link/5038581128993/", "View Product")</f>
        <v/>
      </c>
    </row>
    <row r="8691">
      <c r="A8691" t="inlineStr">
        <is>
          <t>5038581129013</t>
        </is>
      </c>
      <c r="B8691" t="inlineStr">
        <is>
          <t>Yankee Candle Ocean Air Signature Candle Large Aromatic Candle In Glass 567 G</t>
        </is>
      </c>
      <c r="C8691" t="inlineStr">
        <is>
          <t>Candles</t>
        </is>
      </c>
      <c r="D8691" t="inlineStr">
        <is>
          <t>Yankee Candle</t>
        </is>
      </c>
      <c r="E8691" t="n">
        <v>17.91</v>
      </c>
      <c r="F8691" t="n">
        <v>1</v>
      </c>
      <c r="G8691" t="n">
        <v>3</v>
      </c>
      <c r="H8691" s="5">
        <f>HYPERLINK("https://api.qogita.com/variants/link/5038581129013/", "View Product")</f>
        <v/>
      </c>
    </row>
    <row r="8692">
      <c r="A8692" t="inlineStr">
        <is>
          <t>5038581129020</t>
        </is>
      </c>
      <c r="B8692" t="inlineStr">
        <is>
          <t>Yankee Candle Sage Citrus Signature Candle Aromatic Candle In Medium Glass 368 G</t>
        </is>
      </c>
      <c r="C8692" t="inlineStr">
        <is>
          <t>Candles</t>
        </is>
      </c>
      <c r="D8692" t="inlineStr">
        <is>
          <t>Yankee Candle</t>
        </is>
      </c>
      <c r="E8692" t="n">
        <v>17.08</v>
      </c>
      <c r="F8692" t="n">
        <v>1</v>
      </c>
      <c r="G8692" t="n">
        <v>16</v>
      </c>
      <c r="H8692" s="5">
        <f>HYPERLINK("https://api.qogita.com/variants/link/5038581129020/", "View Product")</f>
        <v/>
      </c>
    </row>
    <row r="8693">
      <c r="A8693" t="inlineStr">
        <is>
          <t>5038581129044</t>
        </is>
      </c>
      <c r="B8693" t="inlineStr">
        <is>
          <t>Yankee Candle Twinkling Lights Signature Medium Jar Candle</t>
        </is>
      </c>
      <c r="C8693" t="inlineStr">
        <is>
          <t>Candles</t>
        </is>
      </c>
      <c r="D8693" t="inlineStr">
        <is>
          <t>Yankee Candle</t>
        </is>
      </c>
      <c r="E8693" t="n">
        <v>16.83</v>
      </c>
      <c r="F8693" t="n">
        <v>1</v>
      </c>
      <c r="G8693" t="n">
        <v>7</v>
      </c>
      <c r="H8693" s="5">
        <f>HYPERLINK("https://api.qogita.com/variants/link/5038581129044/", "View Product")</f>
        <v/>
      </c>
    </row>
    <row r="8694">
      <c r="A8694" t="inlineStr">
        <is>
          <t>5038581129211</t>
        </is>
      </c>
      <c r="B8694" t="inlineStr">
        <is>
          <t>Yankee Candle Autumn Sunset Signature Candle Large 567 G</t>
        </is>
      </c>
      <c r="C8694" t="inlineStr">
        <is>
          <t>Candles</t>
        </is>
      </c>
      <c r="D8694" t="inlineStr">
        <is>
          <t>Yankee Candle</t>
        </is>
      </c>
      <c r="E8694" t="n">
        <v>19.7</v>
      </c>
      <c r="F8694" t="n">
        <v>1</v>
      </c>
      <c r="G8694" t="n">
        <v>14</v>
      </c>
      <c r="H8694" s="5">
        <f>HYPERLINK("https://api.qogita.com/variants/link/5038581129211/", "View Product")</f>
        <v/>
      </c>
    </row>
    <row r="8695">
      <c r="A8695" t="inlineStr">
        <is>
          <t>5038581129273</t>
        </is>
      </c>
      <c r="B8695" t="inlineStr">
        <is>
          <t>Yankee Candle Pink Cherry Vanilla Signature Candle Aromatic Candle In Medium Glass 368 G</t>
        </is>
      </c>
      <c r="C8695" t="inlineStr">
        <is>
          <t>Candles</t>
        </is>
      </c>
      <c r="D8695" t="inlineStr">
        <is>
          <t>Yankee Candle</t>
        </is>
      </c>
      <c r="E8695" t="n">
        <v>14.89</v>
      </c>
      <c r="F8695" t="n">
        <v>1</v>
      </c>
      <c r="G8695" t="n">
        <v>23</v>
      </c>
      <c r="H8695" s="5">
        <f>HYPERLINK("https://api.qogita.com/variants/link/5038581129273/", "View Product")</f>
        <v/>
      </c>
    </row>
    <row r="8696">
      <c r="A8696" t="inlineStr">
        <is>
          <t>5038581129341</t>
        </is>
      </c>
      <c r="B8696" t="inlineStr">
        <is>
          <t>Yankee Candle Smoked Vanilla &amp; Cashmere Signature Candle 567 G</t>
        </is>
      </c>
      <c r="C8696" t="inlineStr">
        <is>
          <t>Candles</t>
        </is>
      </c>
      <c r="D8696" t="inlineStr">
        <is>
          <t>Yankee Candle</t>
        </is>
      </c>
      <c r="E8696" t="n">
        <v>19.36</v>
      </c>
      <c r="F8696" t="n">
        <v>1</v>
      </c>
      <c r="G8696" t="n">
        <v>43</v>
      </c>
      <c r="H8696" s="5">
        <f>HYPERLINK("https://api.qogita.com/variants/link/5038581129341/", "View Product")</f>
        <v/>
      </c>
    </row>
    <row r="8697">
      <c r="A8697" t="inlineStr">
        <is>
          <t>5038581129495</t>
        </is>
      </c>
      <c r="B8697" t="inlineStr">
        <is>
          <t>Yankee Candle Farm Fresh Peach Signature Candle 368 G</t>
        </is>
      </c>
      <c r="C8697" t="inlineStr">
        <is>
          <t>Candles</t>
        </is>
      </c>
      <c r="D8697" t="inlineStr">
        <is>
          <t>Yankee Candle</t>
        </is>
      </c>
      <c r="E8697" t="n">
        <v>16.38</v>
      </c>
      <c r="F8697" t="n">
        <v>1</v>
      </c>
      <c r="G8697" t="n">
        <v>22</v>
      </c>
      <c r="H8697" s="5">
        <f>HYPERLINK("https://api.qogita.com/variants/link/5038581129495/", "View Product")</f>
        <v/>
      </c>
    </row>
    <row r="8698">
      <c r="A8698" t="inlineStr">
        <is>
          <t>5038581129501</t>
        </is>
      </c>
      <c r="B8698" t="inlineStr">
        <is>
          <t>Yankee Candle Sparkling Cinnamon Signature Candle</t>
        </is>
      </c>
      <c r="C8698" t="inlineStr">
        <is>
          <t>Candles</t>
        </is>
      </c>
      <c r="D8698" t="inlineStr">
        <is>
          <t>Yankee Candle</t>
        </is>
      </c>
      <c r="E8698" t="n">
        <v>16.66</v>
      </c>
      <c r="F8698" t="n">
        <v>1</v>
      </c>
      <c r="G8698" t="n">
        <v>30</v>
      </c>
      <c r="H8698" s="5">
        <f>HYPERLINK("https://api.qogita.com/variants/link/5038581129501/", "View Product")</f>
        <v/>
      </c>
    </row>
    <row r="8699">
      <c r="A8699" t="inlineStr">
        <is>
          <t>5038581129525</t>
        </is>
      </c>
      <c r="B8699" t="inlineStr">
        <is>
          <t>Yankee Candle Signature Scented Candle | Midsummer's Night Medium Jar Candle</t>
        </is>
      </c>
      <c r="C8699" t="inlineStr">
        <is>
          <t>Candles</t>
        </is>
      </c>
      <c r="D8699" t="inlineStr">
        <is>
          <t>Yankee Candle</t>
        </is>
      </c>
      <c r="E8699" t="n">
        <v>15.35</v>
      </c>
      <c r="F8699" t="n">
        <v>1</v>
      </c>
      <c r="G8699" t="n">
        <v>16</v>
      </c>
      <c r="H8699" s="5">
        <f>HYPERLINK("https://api.qogita.com/variants/link/5038581129525/", "View Product")</f>
        <v/>
      </c>
    </row>
    <row r="8700">
      <c r="A8700" t="inlineStr">
        <is>
          <t>5038581129556</t>
        </is>
      </c>
      <c r="B8700" t="inlineStr">
        <is>
          <t>Yankee Candle Praline Birch Signature Candle Aromatic Candle In Medium Glass 368 G</t>
        </is>
      </c>
      <c r="C8700" t="inlineStr">
        <is>
          <t>Candles</t>
        </is>
      </c>
      <c r="D8700" t="inlineStr">
        <is>
          <t>Yankee Candle</t>
        </is>
      </c>
      <c r="E8700" t="n">
        <v>14.89</v>
      </c>
      <c r="F8700" t="n">
        <v>1</v>
      </c>
      <c r="G8700" t="n">
        <v>23</v>
      </c>
      <c r="H8700" s="5">
        <f>HYPERLINK("https://api.qogita.com/variants/link/5038581129556/", "View Product")</f>
        <v/>
      </c>
    </row>
    <row r="8701">
      <c r="A8701" t="inlineStr">
        <is>
          <t>5038581129891</t>
        </is>
      </c>
      <c r="B8701" t="inlineStr">
        <is>
          <t>Woodwick Wild Berry &amp; Beets Vase Scented Candle Vase Small 85 G</t>
        </is>
      </c>
      <c r="C8701" t="inlineStr">
        <is>
          <t>Candles</t>
        </is>
      </c>
      <c r="D8701" t="inlineStr">
        <is>
          <t>Woodwick</t>
        </is>
      </c>
      <c r="E8701" t="n">
        <v>7.49</v>
      </c>
      <c r="F8701" t="n">
        <v>1</v>
      </c>
      <c r="G8701" t="n">
        <v>275</v>
      </c>
      <c r="H8701" s="5">
        <f>HYPERLINK("https://api.qogita.com/variants/link/5038581129891/", "View Product")</f>
        <v/>
      </c>
    </row>
    <row r="8702">
      <c r="A8702" t="inlineStr">
        <is>
          <t>5038581130804</t>
        </is>
      </c>
      <c r="B8702" t="inlineStr">
        <is>
          <t>Woodwick Scented Candle Vase Large Pressed Blooms &amp; Patchouli 6095 G</t>
        </is>
      </c>
      <c r="C8702" t="inlineStr">
        <is>
          <t>Candles</t>
        </is>
      </c>
      <c r="D8702" t="inlineStr">
        <is>
          <t>Woodwick</t>
        </is>
      </c>
      <c r="E8702" t="n">
        <v>20.41</v>
      </c>
      <c r="F8702" t="n">
        <v>1</v>
      </c>
      <c r="G8702" t="n">
        <v>161</v>
      </c>
      <c r="H8702" s="5">
        <f>HYPERLINK("https://api.qogita.com/variants/link/5038581130804/", "View Product")</f>
        <v/>
      </c>
    </row>
    <row r="8703">
      <c r="A8703" t="inlineStr">
        <is>
          <t>5038581133249</t>
        </is>
      </c>
      <c r="B8703" t="inlineStr">
        <is>
          <t>Woodwick Large Scented Candle Trilogy Amethyst Sky 6095 Grams</t>
        </is>
      </c>
      <c r="C8703" t="inlineStr">
        <is>
          <t>Candles</t>
        </is>
      </c>
      <c r="D8703" t="inlineStr">
        <is>
          <t>Woodwick</t>
        </is>
      </c>
      <c r="E8703" t="n">
        <v>21.14</v>
      </c>
      <c r="F8703" t="n">
        <v>1</v>
      </c>
      <c r="G8703" t="n">
        <v>430</v>
      </c>
      <c r="H8703" s="5">
        <f>HYPERLINK("https://api.qogita.com/variants/link/5038581133249/", "View Product")</f>
        <v/>
      </c>
    </row>
    <row r="8704">
      <c r="A8704" t="inlineStr">
        <is>
          <t>5038581134246</t>
        </is>
      </c>
      <c r="B8704" t="inlineStr">
        <is>
          <t>Yankee Candle Tranquil Garden Candle Aromatic Votive Candle 49 G</t>
        </is>
      </c>
      <c r="C8704" t="inlineStr">
        <is>
          <t>Candles</t>
        </is>
      </c>
      <c r="D8704" t="inlineStr">
        <is>
          <t>Yankee Candle</t>
        </is>
      </c>
      <c r="E8704" t="n">
        <v>3.41</v>
      </c>
      <c r="F8704" t="n">
        <v>1</v>
      </c>
      <c r="G8704" t="n">
        <v>176</v>
      </c>
      <c r="H8704" s="5">
        <f>HYPERLINK("https://api.qogita.com/variants/link/5038581134246/", "View Product")</f>
        <v/>
      </c>
    </row>
    <row r="8705">
      <c r="A8705" t="inlineStr">
        <is>
          <t>5038581134284</t>
        </is>
      </c>
      <c r="B8705" t="inlineStr">
        <is>
          <t>Yankee Candle Majestic Mount Fuji Aromatic Candle Classic Medium 411 G</t>
        </is>
      </c>
      <c r="C8705" t="inlineStr">
        <is>
          <t>Candles</t>
        </is>
      </c>
      <c r="D8705" t="inlineStr">
        <is>
          <t>Yankee Candle</t>
        </is>
      </c>
      <c r="E8705" t="n">
        <v>14.85</v>
      </c>
      <c r="F8705" t="n">
        <v>1</v>
      </c>
      <c r="G8705" t="n">
        <v>72</v>
      </c>
      <c r="H8705" s="5">
        <f>HYPERLINK("https://api.qogita.com/variants/link/5038581134284/", "View Product")</f>
        <v/>
      </c>
    </row>
    <row r="8706">
      <c r="A8706" t="inlineStr">
        <is>
          <t>5038581134321</t>
        </is>
      </c>
      <c r="B8706" t="inlineStr">
        <is>
          <t>Yankee Candle Aromatic Candle Classic Small Majestic Mount Fuji 104 G</t>
        </is>
      </c>
      <c r="C8706" t="inlineStr">
        <is>
          <t>Candles</t>
        </is>
      </c>
      <c r="D8706" t="inlineStr">
        <is>
          <t>Yankee Candle</t>
        </is>
      </c>
      <c r="E8706" t="n">
        <v>7.32</v>
      </c>
      <c r="F8706" t="n">
        <v>1</v>
      </c>
      <c r="G8706" t="n">
        <v>20</v>
      </c>
      <c r="H8706" s="5">
        <f>HYPERLINK("https://api.qogita.com/variants/link/5038581134321/", "View Product")</f>
        <v/>
      </c>
    </row>
    <row r="8707">
      <c r="A8707" t="inlineStr">
        <is>
          <t>5038581137025</t>
        </is>
      </c>
      <c r="B8707" t="inlineStr">
        <is>
          <t>Chesapeake Bay Candle Tumbler Gift Set Gifts</t>
        </is>
      </c>
      <c r="C8707" t="inlineStr">
        <is>
          <t>Candles</t>
        </is>
      </c>
      <c r="D8707" t="inlineStr">
        <is>
          <t>Chesapeake Bay Candle</t>
        </is>
      </c>
      <c r="E8707" t="n">
        <v>21.1</v>
      </c>
      <c r="F8707" t="n">
        <v>1</v>
      </c>
      <c r="G8707" t="n">
        <v>42</v>
      </c>
      <c r="H8707" s="5">
        <f>HYPERLINK("https://api.qogita.com/variants/link/5038581137025/", "View Product")</f>
        <v/>
      </c>
    </row>
    <row r="8708">
      <c r="A8708" t="inlineStr">
        <is>
          <t>5038581140445</t>
        </is>
      </c>
      <c r="B8708" t="inlineStr">
        <is>
          <t>Yankee Candle Aromatic Candle Classic Medium Peppermint Pinwheels 411 G</t>
        </is>
      </c>
      <c r="C8708" t="inlineStr">
        <is>
          <t>Candles</t>
        </is>
      </c>
      <c r="D8708" t="inlineStr">
        <is>
          <t>Yankee Candle</t>
        </is>
      </c>
      <c r="E8708" t="n">
        <v>18.79</v>
      </c>
      <c r="F8708" t="n">
        <v>1</v>
      </c>
      <c r="G8708" t="n">
        <v>5</v>
      </c>
      <c r="H8708" s="5">
        <f>HYPERLINK("https://api.qogita.com/variants/link/5038581140445/", "View Product")</f>
        <v/>
      </c>
    </row>
    <row r="8709">
      <c r="A8709" t="inlineStr">
        <is>
          <t>5038581141879</t>
        </is>
      </c>
      <c r="B8709" t="inlineStr">
        <is>
          <t>Scented Candle Woodwick Magnolia Birch Large 609.5 G</t>
        </is>
      </c>
      <c r="C8709" t="inlineStr">
        <is>
          <t>Candles</t>
        </is>
      </c>
      <c r="D8709" t="inlineStr">
        <is>
          <t>Woodwick</t>
        </is>
      </c>
      <c r="E8709" t="n">
        <v>20.53</v>
      </c>
      <c r="F8709" t="n">
        <v>1</v>
      </c>
      <c r="G8709" t="n">
        <v>31</v>
      </c>
      <c r="H8709" s="5">
        <f>HYPERLINK("https://api.qogita.com/variants/link/5038581141879/", "View Product")</f>
        <v/>
      </c>
    </row>
    <row r="8710">
      <c r="A8710" t="inlineStr">
        <is>
          <t>5038581141947</t>
        </is>
      </c>
      <c r="B8710" t="inlineStr">
        <is>
          <t>Woodwick Mint Leaves &amp; Oak Scented Candle Medium 275 G</t>
        </is>
      </c>
      <c r="C8710" t="inlineStr">
        <is>
          <t>Candles</t>
        </is>
      </c>
      <c r="D8710" t="inlineStr">
        <is>
          <t>Woodwick</t>
        </is>
      </c>
      <c r="E8710" t="n">
        <v>13.96</v>
      </c>
      <c r="F8710" t="n">
        <v>1</v>
      </c>
      <c r="G8710" t="n">
        <v>4</v>
      </c>
      <c r="H8710" s="5">
        <f>HYPERLINK("https://api.qogita.com/variants/link/5038581141947/", "View Product")</f>
        <v/>
      </c>
    </row>
    <row r="8711">
      <c r="A8711" t="inlineStr">
        <is>
          <t>5038581141978</t>
        </is>
      </c>
      <c r="B8711" t="inlineStr">
        <is>
          <t>Woodwick Mint Leaves &amp; Oak Vase Scented Candle 85 G</t>
        </is>
      </c>
      <c r="C8711" t="inlineStr">
        <is>
          <t>Candles</t>
        </is>
      </c>
      <c r="D8711" t="inlineStr">
        <is>
          <t>Woodwick</t>
        </is>
      </c>
      <c r="E8711" t="n">
        <v>7</v>
      </c>
      <c r="F8711" t="n">
        <v>1</v>
      </c>
      <c r="G8711" t="n">
        <v>5</v>
      </c>
      <c r="H8711" s="5">
        <f>HYPERLINK("https://api.qogita.com/variants/link/5038581141978/", "View Product")</f>
        <v/>
      </c>
    </row>
    <row r="8712">
      <c r="A8712" t="inlineStr">
        <is>
          <t>5038581142074</t>
        </is>
      </c>
      <c r="B8712" t="inlineStr">
        <is>
          <t>Woodwick Mint Leaves &amp; Oak Scented Candle Boat 4536 G</t>
        </is>
      </c>
      <c r="C8712" t="inlineStr">
        <is>
          <t>Candles</t>
        </is>
      </c>
      <c r="D8712" t="inlineStr">
        <is>
          <t>Woodwick</t>
        </is>
      </c>
      <c r="E8712" t="n">
        <v>20.56</v>
      </c>
      <c r="F8712" t="n">
        <v>1</v>
      </c>
      <c r="G8712" t="n">
        <v>140</v>
      </c>
      <c r="H8712" s="5">
        <f>HYPERLINK("https://api.qogita.com/variants/link/5038581142074/", "View Product")</f>
        <v/>
      </c>
    </row>
    <row r="8713">
      <c r="A8713" t="inlineStr">
        <is>
          <t>5038581142227</t>
        </is>
      </c>
      <c r="B8713" t="inlineStr">
        <is>
          <t>Yankee Candle Pink Sands Ultimate Car Jar Luxury Car Tag</t>
        </is>
      </c>
      <c r="C8713" t="inlineStr">
        <is>
          <t>Candles</t>
        </is>
      </c>
      <c r="D8713" t="inlineStr">
        <is>
          <t>Yankee Candle</t>
        </is>
      </c>
      <c r="E8713" t="n">
        <v>4.56</v>
      </c>
      <c r="F8713" t="n">
        <v>1</v>
      </c>
      <c r="G8713" t="n">
        <v>14</v>
      </c>
      <c r="H8713" s="5">
        <f>HYPERLINK("https://api.qogita.com/variants/link/5038581142227/", "View Product")</f>
        <v/>
      </c>
    </row>
    <row r="8714">
      <c r="A8714" t="inlineStr">
        <is>
          <t>5038581142906</t>
        </is>
      </c>
      <c r="B8714" t="inlineStr">
        <is>
          <t>Yankee Candle Black Coconut Signature Tumbler Candle Large 567 G</t>
        </is>
      </c>
      <c r="C8714" t="inlineStr">
        <is>
          <t>Candles</t>
        </is>
      </c>
      <c r="D8714" t="inlineStr">
        <is>
          <t>Yankee Candle</t>
        </is>
      </c>
      <c r="E8714" t="n">
        <v>20.09</v>
      </c>
      <c r="F8714" t="n">
        <v>1</v>
      </c>
      <c r="G8714" t="n">
        <v>41</v>
      </c>
      <c r="H8714" s="5">
        <f>HYPERLINK("https://api.qogita.com/variants/link/5038581142906/", "View Product")</f>
        <v/>
      </c>
    </row>
    <row r="8715">
      <c r="A8715" t="inlineStr">
        <is>
          <t>5038581142951</t>
        </is>
      </c>
      <c r="B8715" t="inlineStr">
        <is>
          <t>Yankee Candle Wild Orchid Signature Tumbler Candle 340 G</t>
        </is>
      </c>
      <c r="C8715" t="inlineStr">
        <is>
          <t>Candles</t>
        </is>
      </c>
      <c r="D8715" t="inlineStr">
        <is>
          <t>Yankee Candle</t>
        </is>
      </c>
      <c r="E8715" t="n">
        <v>17.18</v>
      </c>
      <c r="F8715" t="n">
        <v>1</v>
      </c>
      <c r="G8715" t="n">
        <v>14</v>
      </c>
      <c r="H8715" s="5">
        <f>HYPERLINK("https://api.qogita.com/variants/link/5038581142951/", "View Product")</f>
        <v/>
      </c>
    </row>
    <row r="8716">
      <c r="A8716" t="inlineStr">
        <is>
          <t>5038581143064</t>
        </is>
      </c>
      <c r="B8716" t="inlineStr">
        <is>
          <t>Yankee Candle Vanilla Cupcake Signature Tumbler Candle 567 G</t>
        </is>
      </c>
      <c r="C8716" t="inlineStr">
        <is>
          <t>Candles</t>
        </is>
      </c>
      <c r="D8716" t="inlineStr">
        <is>
          <t>Yankee Candle</t>
        </is>
      </c>
      <c r="E8716" t="n">
        <v>19.51</v>
      </c>
      <c r="F8716" t="n">
        <v>1</v>
      </c>
      <c r="G8716" t="n">
        <v>76</v>
      </c>
      <c r="H8716" s="5">
        <f>HYPERLINK("https://api.qogita.com/variants/link/5038581143064/", "View Product")</f>
        <v/>
      </c>
    </row>
    <row r="8717">
      <c r="A8717" t="inlineStr">
        <is>
          <t>5038581143071</t>
        </is>
      </c>
      <c r="B8717" t="inlineStr">
        <is>
          <t>Yankee Candle Signature Scented Candle | Coconut Beach Large Tumbler Candle With</t>
        </is>
      </c>
      <c r="C8717" t="inlineStr">
        <is>
          <t>Candles</t>
        </is>
      </c>
      <c r="D8717" t="inlineStr">
        <is>
          <t>Yankee Candle</t>
        </is>
      </c>
      <c r="E8717" t="n">
        <v>20.13</v>
      </c>
      <c r="F8717" t="n">
        <v>1</v>
      </c>
      <c r="G8717" t="n">
        <v>34</v>
      </c>
      <c r="H8717" s="5">
        <f>HYPERLINK("https://api.qogita.com/variants/link/5038581143071/", "View Product")</f>
        <v/>
      </c>
    </row>
    <row r="8718">
      <c r="A8718" t="inlineStr">
        <is>
          <t>5038581143095</t>
        </is>
      </c>
      <c r="B8718" t="inlineStr">
        <is>
          <t>Yankee Candle Vanilla Cashmere Signature Tumbler Candle Large 567 G</t>
        </is>
      </c>
      <c r="C8718" t="inlineStr">
        <is>
          <t>Candles</t>
        </is>
      </c>
      <c r="D8718" t="inlineStr">
        <is>
          <t>Yankee Candle</t>
        </is>
      </c>
      <c r="E8718" t="n">
        <v>19.88</v>
      </c>
      <c r="F8718" t="n">
        <v>1</v>
      </c>
      <c r="G8718" t="n">
        <v>46</v>
      </c>
      <c r="H8718" s="5">
        <f>HYPERLINK("https://api.qogita.com/variants/link/5038581143095/", "View Product")</f>
        <v/>
      </c>
    </row>
    <row r="8719">
      <c r="A8719" t="inlineStr">
        <is>
          <t>5038581143125</t>
        </is>
      </c>
      <c r="B8719" t="inlineStr">
        <is>
          <t>Yankee Candle Cinnamon Stick Signature Tumbler Candle 567 G</t>
        </is>
      </c>
      <c r="C8719" t="inlineStr">
        <is>
          <t>Candles</t>
        </is>
      </c>
      <c r="D8719" t="inlineStr">
        <is>
          <t>Yankee Candle</t>
        </is>
      </c>
      <c r="E8719" t="n">
        <v>19.5</v>
      </c>
      <c r="F8719" t="n">
        <v>1</v>
      </c>
      <c r="G8719" t="n">
        <v>64</v>
      </c>
      <c r="H8719" s="5">
        <f>HYPERLINK("https://api.qogita.com/variants/link/5038581143125/", "View Product")</f>
        <v/>
      </c>
    </row>
    <row r="8720">
      <c r="A8720" t="inlineStr">
        <is>
          <t>5038581143309</t>
        </is>
      </c>
      <c r="B8720" t="inlineStr">
        <is>
          <t>Yankee Candle Clean Cotton Signature Tumbler Candle Large 567 G</t>
        </is>
      </c>
      <c r="C8720" t="inlineStr">
        <is>
          <t>Candles</t>
        </is>
      </c>
      <c r="D8720" t="inlineStr">
        <is>
          <t>Yankee Candle</t>
        </is>
      </c>
      <c r="E8720" t="n">
        <v>18.69</v>
      </c>
      <c r="F8720" t="n">
        <v>1</v>
      </c>
      <c r="G8720" t="n">
        <v>11</v>
      </c>
      <c r="H8720" s="5">
        <f>HYPERLINK("https://api.qogita.com/variants/link/5038581143309/", "View Product")</f>
        <v/>
      </c>
    </row>
    <row r="8721">
      <c r="A8721" t="inlineStr">
        <is>
          <t>5038581143415</t>
        </is>
      </c>
      <c r="B8721" t="inlineStr">
        <is>
          <t>Yankee Candle Midsummer's Night Signature Tumbler Candle 567 G</t>
        </is>
      </c>
      <c r="C8721" t="inlineStr">
        <is>
          <t>Candles</t>
        </is>
      </c>
      <c r="D8721" t="inlineStr">
        <is>
          <t>Yankee Candle</t>
        </is>
      </c>
      <c r="E8721" t="n">
        <v>20.56</v>
      </c>
      <c r="F8721" t="n">
        <v>1</v>
      </c>
      <c r="G8721" t="n">
        <v>58</v>
      </c>
      <c r="H8721" s="5">
        <f>HYPERLINK("https://api.qogita.com/variants/link/5038581143415/", "View Product")</f>
        <v/>
      </c>
    </row>
    <row r="8722">
      <c r="A8722" t="inlineStr">
        <is>
          <t>5038581143439</t>
        </is>
      </c>
      <c r="B8722" t="inlineStr">
        <is>
          <t>Yankee Candle Praline &amp; Birch Signature Tumbler Candle 567 G</t>
        </is>
      </c>
      <c r="C8722" t="inlineStr">
        <is>
          <t>Candles</t>
        </is>
      </c>
      <c r="D8722" t="inlineStr">
        <is>
          <t>Yankee Candle</t>
        </is>
      </c>
      <c r="E8722" t="n">
        <v>20.25</v>
      </c>
      <c r="F8722" t="n">
        <v>1</v>
      </c>
      <c r="G8722" t="n">
        <v>150</v>
      </c>
      <c r="H8722" s="5">
        <f>HYPERLINK("https://api.qogita.com/variants/link/5038581143439/", "View Product")</f>
        <v/>
      </c>
    </row>
    <row r="8723">
      <c r="A8723" t="inlineStr">
        <is>
          <t>5038581143620</t>
        </is>
      </c>
      <c r="B8723" t="inlineStr">
        <is>
          <t>Yankee Candle White Gardenia Signature Tumbler Candle Large 567 G</t>
        </is>
      </c>
      <c r="C8723" t="inlineStr">
        <is>
          <t>Candles</t>
        </is>
      </c>
      <c r="D8723" t="inlineStr">
        <is>
          <t>Yankee Candle</t>
        </is>
      </c>
      <c r="E8723" t="n">
        <v>18.55</v>
      </c>
      <c r="F8723" t="n">
        <v>1</v>
      </c>
      <c r="G8723" t="n">
        <v>4</v>
      </c>
      <c r="H8723" s="5">
        <f>HYPERLINK("https://api.qogita.com/variants/link/5038581143620/", "View Product")</f>
        <v/>
      </c>
    </row>
    <row r="8724">
      <c r="A8724" t="inlineStr">
        <is>
          <t>5038581143798</t>
        </is>
      </c>
      <c r="B8724" t="inlineStr">
        <is>
          <t>Yankee Candle White Gardenia Signature Tumbler Candle Aromatic Candle Medium Size Midnight Jasmine 340 Grams</t>
        </is>
      </c>
      <c r="C8724" t="inlineStr">
        <is>
          <t>Candles</t>
        </is>
      </c>
      <c r="D8724" t="inlineStr">
        <is>
          <t>Yankee Candle</t>
        </is>
      </c>
      <c r="E8724" t="n">
        <v>17.4</v>
      </c>
      <c r="F8724" t="n">
        <v>1</v>
      </c>
      <c r="G8724" t="n">
        <v>12</v>
      </c>
      <c r="H8724" s="5">
        <f>HYPERLINK("https://api.qogita.com/variants/link/5038581143798/", "View Product")</f>
        <v/>
      </c>
    </row>
    <row r="8725">
      <c r="A8725" t="inlineStr">
        <is>
          <t>5038581145266</t>
        </is>
      </c>
      <c r="B8725" t="inlineStr">
        <is>
          <t>Woodwick Pomegranate Vase Pomegranate Scented Candle</t>
        </is>
      </c>
      <c r="C8725" t="inlineStr">
        <is>
          <t>Candles</t>
        </is>
      </c>
      <c r="D8725" t="inlineStr">
        <is>
          <t>Woodwick</t>
        </is>
      </c>
      <c r="E8725" t="n">
        <v>14.73</v>
      </c>
      <c r="F8725" t="n">
        <v>1</v>
      </c>
      <c r="G8725" t="n">
        <v>73</v>
      </c>
      <c r="H8725" s="5">
        <f>HYPERLINK("https://api.qogita.com/variants/link/5038581145266/", "View Product")</f>
        <v/>
      </c>
    </row>
    <row r="8726">
      <c r="A8726" t="inlineStr">
        <is>
          <t>5038581148359</t>
        </is>
      </c>
      <c r="B8726" t="inlineStr">
        <is>
          <t>Woodwick Scented Candle Renew Glass Medium Cherry Blossom &amp; Vanilla 184 G</t>
        </is>
      </c>
      <c r="C8726" t="inlineStr">
        <is>
          <t>Candles</t>
        </is>
      </c>
      <c r="D8726" t="inlineStr">
        <is>
          <t>Woodwick</t>
        </is>
      </c>
      <c r="E8726" t="n">
        <v>15.39</v>
      </c>
      <c r="F8726" t="n">
        <v>1</v>
      </c>
      <c r="G8726" t="n">
        <v>80</v>
      </c>
      <c r="H8726" s="5">
        <f>HYPERLINK("https://api.qogita.com/variants/link/5038581148359/", "View Product")</f>
        <v/>
      </c>
    </row>
    <row r="8727">
      <c r="A8727" t="inlineStr">
        <is>
          <t>5038581148410</t>
        </is>
      </c>
      <c r="B8727" t="inlineStr">
        <is>
          <t>Woodwick Renew Large Glass Scented Candle Cherry Blossom &amp; Vanilla 368 G</t>
        </is>
      </c>
      <c r="C8727" t="inlineStr">
        <is>
          <t>Candles</t>
        </is>
      </c>
      <c r="D8727" t="inlineStr">
        <is>
          <t>Woodwick</t>
        </is>
      </c>
      <c r="E8727" t="n">
        <v>20.48</v>
      </c>
      <c r="F8727" t="n">
        <v>1</v>
      </c>
      <c r="G8727" t="n">
        <v>119</v>
      </c>
      <c r="H8727" s="5">
        <f>HYPERLINK("https://api.qogita.com/variants/link/5038581148410/", "View Product")</f>
        <v/>
      </c>
    </row>
    <row r="8728">
      <c r="A8728" t="inlineStr">
        <is>
          <t>5038581148441</t>
        </is>
      </c>
      <c r="B8728" t="inlineStr">
        <is>
          <t>Woodwick Renew Tomato Leaf &amp; Basil Scented Candle Large Glass 368 G</t>
        </is>
      </c>
      <c r="C8728" t="inlineStr">
        <is>
          <t>Candles</t>
        </is>
      </c>
      <c r="D8728" t="inlineStr">
        <is>
          <t>Woodwick</t>
        </is>
      </c>
      <c r="E8728" t="n">
        <v>20.77</v>
      </c>
      <c r="F8728" t="n">
        <v>1</v>
      </c>
      <c r="G8728" t="n">
        <v>75</v>
      </c>
      <c r="H8728" s="5">
        <f>HYPERLINK("https://api.qogita.com/variants/link/5038581148441/", "View Product")</f>
        <v/>
      </c>
    </row>
    <row r="8729">
      <c r="A8729" t="inlineStr">
        <is>
          <t>5038581148656</t>
        </is>
      </c>
      <c r="B8729" t="inlineStr">
        <is>
          <t>Woodwick Sagewood &amp; Seagrass Boat Scented Candle 4536 G</t>
        </is>
      </c>
      <c r="C8729" t="inlineStr">
        <is>
          <t>Candles</t>
        </is>
      </c>
      <c r="D8729" t="inlineStr">
        <is>
          <t>Woodwick</t>
        </is>
      </c>
      <c r="E8729" t="n">
        <v>20.53</v>
      </c>
      <c r="F8729" t="n">
        <v>1</v>
      </c>
      <c r="G8729" t="n">
        <v>77</v>
      </c>
      <c r="H8729" s="5">
        <f>HYPERLINK("https://api.qogita.com/variants/link/5038581148656/", "View Product")</f>
        <v/>
      </c>
    </row>
    <row r="8730">
      <c r="A8730" t="inlineStr">
        <is>
          <t>5038581148670</t>
        </is>
      </c>
      <c r="B8730" t="inlineStr">
        <is>
          <t>Woodwick Scented Candle Vase Sheer Tuberose 275 G</t>
        </is>
      </c>
      <c r="C8730" t="inlineStr">
        <is>
          <t>Candles</t>
        </is>
      </c>
      <c r="D8730" t="inlineStr">
        <is>
          <t>Woodwick</t>
        </is>
      </c>
      <c r="E8730" t="n">
        <v>14.37</v>
      </c>
      <c r="F8730" t="n">
        <v>1</v>
      </c>
      <c r="G8730" t="n">
        <v>2</v>
      </c>
      <c r="H8730" s="5">
        <f>HYPERLINK("https://api.qogita.com/variants/link/5038581148670/", "View Product")</f>
        <v/>
      </c>
    </row>
    <row r="8731">
      <c r="A8731" t="inlineStr">
        <is>
          <t>5038581149448</t>
        </is>
      </c>
      <c r="B8731" t="inlineStr">
        <is>
          <t>Yankee Candle Home Inspiration Large Bubble Time Scented Candle 538 G</t>
        </is>
      </c>
      <c r="C8731" t="inlineStr">
        <is>
          <t>Candles</t>
        </is>
      </c>
      <c r="D8731" t="inlineStr">
        <is>
          <t>Yankee Candle</t>
        </is>
      </c>
      <c r="E8731" t="n">
        <v>13.44</v>
      </c>
      <c r="F8731" t="n">
        <v>1</v>
      </c>
      <c r="G8731" t="n">
        <v>75</v>
      </c>
      <c r="H8731" s="5">
        <f>HYPERLINK("https://api.qogita.com/variants/link/5038581149448/", "View Product")</f>
        <v/>
      </c>
    </row>
    <row r="8732">
      <c r="A8732" t="inlineStr">
        <is>
          <t>5038581151137</t>
        </is>
      </c>
      <c r="B8732" t="inlineStr">
        <is>
          <t>Yankee Candle Watercolor Skies Signature Candle Aromatic Candle In Large Glass 567 G</t>
        </is>
      </c>
      <c r="C8732" t="inlineStr">
        <is>
          <t>Candles</t>
        </is>
      </c>
      <c r="D8732" t="inlineStr">
        <is>
          <t>Yankee Candle</t>
        </is>
      </c>
      <c r="E8732" t="n">
        <v>18.62</v>
      </c>
      <c r="F8732" t="n">
        <v>1</v>
      </c>
      <c r="G8732" t="n">
        <v>14</v>
      </c>
      <c r="H8732" s="5">
        <f>HYPERLINK("https://api.qogita.com/variants/link/5038581151137/", "View Product")</f>
        <v/>
      </c>
    </row>
    <row r="8733">
      <c r="A8733" t="inlineStr">
        <is>
          <t>5038581151205</t>
        </is>
      </c>
      <c r="B8733" t="inlineStr">
        <is>
          <t>Yankee Candle Art In The Park Signature Tumbler Candle Large 567 G</t>
        </is>
      </c>
      <c r="C8733" t="inlineStr">
        <is>
          <t>Candles</t>
        </is>
      </c>
      <c r="D8733" t="inlineStr">
        <is>
          <t>Yankee Candle</t>
        </is>
      </c>
      <c r="E8733" t="n">
        <v>20.87</v>
      </c>
      <c r="F8733" t="n">
        <v>1</v>
      </c>
      <c r="G8733" t="n">
        <v>5</v>
      </c>
      <c r="H8733" s="5">
        <f>HYPERLINK("https://api.qogita.com/variants/link/5038581151205/", "View Product")</f>
        <v/>
      </c>
    </row>
    <row r="8734">
      <c r="A8734" t="inlineStr">
        <is>
          <t>5038581151212</t>
        </is>
      </c>
      <c r="B8734" t="inlineStr">
        <is>
          <t>Yankee Candle Banoffee Waffle Signature Tumbler Candle 567 G</t>
        </is>
      </c>
      <c r="C8734" t="inlineStr">
        <is>
          <t>Candles</t>
        </is>
      </c>
      <c r="D8734" t="inlineStr">
        <is>
          <t>Yankee Candle</t>
        </is>
      </c>
      <c r="E8734" t="n">
        <v>20.2</v>
      </c>
      <c r="F8734" t="n">
        <v>1</v>
      </c>
      <c r="G8734" t="n">
        <v>102</v>
      </c>
      <c r="H8734" s="5">
        <f>HYPERLINK("https://api.qogita.com/variants/link/5038581151212/", "View Product")</f>
        <v/>
      </c>
    </row>
    <row r="8735">
      <c r="A8735" t="inlineStr">
        <is>
          <t>5038581151243</t>
        </is>
      </c>
      <c r="B8735" t="inlineStr">
        <is>
          <t>Yankee Candle Signature Scented Candle | Watercolour Skies Large Tumbler Candle</t>
        </is>
      </c>
      <c r="C8735" t="inlineStr">
        <is>
          <t>Candles</t>
        </is>
      </c>
      <c r="D8735" t="inlineStr">
        <is>
          <t>Yankee Candle</t>
        </is>
      </c>
      <c r="E8735" t="n">
        <v>19.11</v>
      </c>
      <c r="F8735" t="n">
        <v>1</v>
      </c>
      <c r="G8735" t="n">
        <v>16</v>
      </c>
      <c r="H8735" s="5">
        <f>HYPERLINK("https://api.qogita.com/variants/link/5038581151243/", "View Product")</f>
        <v/>
      </c>
    </row>
    <row r="8736">
      <c r="A8736" t="inlineStr">
        <is>
          <t>5038581151816</t>
        </is>
      </c>
      <c r="B8736" t="inlineStr">
        <is>
          <t>Yankee Candle Love For All Signature Candle Aromatic Candle In Signature Glass Large 567 G</t>
        </is>
      </c>
      <c r="C8736" t="inlineStr">
        <is>
          <t>Candles</t>
        </is>
      </c>
      <c r="D8736" t="inlineStr">
        <is>
          <t>Yankee Candle</t>
        </is>
      </c>
      <c r="E8736" t="n">
        <v>20.03</v>
      </c>
      <c r="F8736" t="n">
        <v>1</v>
      </c>
      <c r="G8736" t="n">
        <v>35</v>
      </c>
      <c r="H8736" s="5">
        <f>HYPERLINK("https://api.qogita.com/variants/link/5038581151816/", "View Product")</f>
        <v/>
      </c>
    </row>
    <row r="8737">
      <c r="A8737" t="inlineStr">
        <is>
          <t>5038581151984</t>
        </is>
      </c>
      <c r="B8737" t="inlineStr">
        <is>
          <t>Home Inspiration Tea Light Advent Calendar</t>
        </is>
      </c>
      <c r="C8737" t="inlineStr">
        <is>
          <t>Candles</t>
        </is>
      </c>
      <c r="D8737" t="inlineStr">
        <is>
          <t>Yankee Candle</t>
        </is>
      </c>
      <c r="E8737" t="n">
        <v>19.52</v>
      </c>
      <c r="F8737" t="n">
        <v>1</v>
      </c>
      <c r="G8737" t="n">
        <v>6</v>
      </c>
      <c r="H8737" s="5">
        <f>HYPERLINK("https://api.qogita.com/variants/link/5038581151984/", "View Product")</f>
        <v/>
      </c>
    </row>
    <row r="8738">
      <c r="A8738" t="inlineStr">
        <is>
          <t>5038581152806</t>
        </is>
      </c>
      <c r="B8738" t="inlineStr">
        <is>
          <t>Yankee Candle Home Inspiration Large Candy Cane Milkshake Scented Candle 538 G</t>
        </is>
      </c>
      <c r="C8738" t="inlineStr">
        <is>
          <t>Candles</t>
        </is>
      </c>
      <c r="D8738" t="inlineStr">
        <is>
          <t>Yankee Candle</t>
        </is>
      </c>
      <c r="E8738" t="n">
        <v>13.55</v>
      </c>
      <c r="F8738" t="n">
        <v>1</v>
      </c>
      <c r="G8738" t="n">
        <v>93</v>
      </c>
      <c r="H8738" s="5">
        <f>HYPERLINK("https://api.qogita.com/variants/link/5038581152806/", "View Product")</f>
        <v/>
      </c>
    </row>
    <row r="8739">
      <c r="A8739" t="inlineStr">
        <is>
          <t>5038581154183</t>
        </is>
      </c>
      <c r="B8739" t="inlineStr">
        <is>
          <t>Yankee Candle Autumn Daydream Signature Tumbler Candle</t>
        </is>
      </c>
      <c r="C8739" t="inlineStr">
        <is>
          <t>Candles</t>
        </is>
      </c>
      <c r="D8739" t="inlineStr">
        <is>
          <t>Yankee Candle</t>
        </is>
      </c>
      <c r="E8739" t="n">
        <v>20.56</v>
      </c>
      <c r="F8739" t="n">
        <v>1</v>
      </c>
      <c r="G8739" t="n">
        <v>5</v>
      </c>
      <c r="H8739" s="5">
        <f>HYPERLINK("https://api.qogita.com/variants/link/5038581154183/", "View Product")</f>
        <v/>
      </c>
    </row>
    <row r="8740">
      <c r="A8740" t="inlineStr">
        <is>
          <t>5038581154206</t>
        </is>
      </c>
      <c r="B8740" t="inlineStr">
        <is>
          <t>Yankee Candle Magical Bright Lights Signature Candle Aromatic Candle In Medium Glass 368 G</t>
        </is>
      </c>
      <c r="C8740" t="inlineStr">
        <is>
          <t>Candles</t>
        </is>
      </c>
      <c r="D8740" t="inlineStr">
        <is>
          <t>Yankee Candle</t>
        </is>
      </c>
      <c r="E8740" t="n">
        <v>16.83</v>
      </c>
      <c r="F8740" t="n">
        <v>1</v>
      </c>
      <c r="G8740" t="n">
        <v>5</v>
      </c>
      <c r="H8740" s="5">
        <f>HYPERLINK("https://api.qogita.com/variants/link/5038581154206/", "View Product")</f>
        <v/>
      </c>
    </row>
    <row r="8741">
      <c r="A8741" t="inlineStr">
        <is>
          <t>5038581154213</t>
        </is>
      </c>
      <c r="B8741" t="inlineStr">
        <is>
          <t>Yankee Candle Autumn Daydream Signature Tumbler Candle Large 567 G</t>
        </is>
      </c>
      <c r="C8741" t="inlineStr">
        <is>
          <t>Candles</t>
        </is>
      </c>
      <c r="D8741" t="inlineStr">
        <is>
          <t>Yankee Candle</t>
        </is>
      </c>
      <c r="E8741" t="n">
        <v>20.34</v>
      </c>
      <c r="F8741" t="n">
        <v>1</v>
      </c>
      <c r="G8741" t="n">
        <v>18</v>
      </c>
      <c r="H8741" s="5">
        <f>HYPERLINK("https://api.qogita.com/variants/link/5038581154213/", "View Product")</f>
        <v/>
      </c>
    </row>
    <row r="8742">
      <c r="A8742" t="inlineStr">
        <is>
          <t>5038581155401</t>
        </is>
      </c>
      <c r="B8742" t="inlineStr">
        <is>
          <t>Yankee Candle Iced Berry Lemonade Scented Candle 122g</t>
        </is>
      </c>
      <c r="C8742" t="inlineStr">
        <is>
          <t>Candles</t>
        </is>
      </c>
      <c r="D8742" t="inlineStr">
        <is>
          <t>Yankee Candle</t>
        </is>
      </c>
      <c r="E8742" t="n">
        <v>7.27</v>
      </c>
      <c r="F8742" t="n">
        <v>1</v>
      </c>
      <c r="G8742" t="n">
        <v>11</v>
      </c>
      <c r="H8742" s="5">
        <f>HYPERLINK("https://api.qogita.com/variants/link/5038581155401/", "View Product")</f>
        <v/>
      </c>
    </row>
    <row r="8743">
      <c r="A8743" t="inlineStr">
        <is>
          <t>5038581155418</t>
        </is>
      </c>
      <c r="B8743" t="inlineStr">
        <is>
          <t>Yankee Candle Midnight Jasmine Scented Candle 122g</t>
        </is>
      </c>
      <c r="C8743" t="inlineStr">
        <is>
          <t>Candles</t>
        </is>
      </c>
      <c r="D8743" t="inlineStr">
        <is>
          <t>Yankee Candle</t>
        </is>
      </c>
      <c r="E8743" t="n">
        <v>7.32</v>
      </c>
      <c r="F8743" t="n">
        <v>1</v>
      </c>
      <c r="G8743" t="n">
        <v>13</v>
      </c>
      <c r="H8743" s="5">
        <f>HYPERLINK("https://api.qogita.com/variants/link/5038581155418/", "View Product")</f>
        <v/>
      </c>
    </row>
    <row r="8744">
      <c r="A8744" t="inlineStr">
        <is>
          <t>5038581155449</t>
        </is>
      </c>
      <c r="B8744" t="inlineStr">
        <is>
          <t>Yankee Candle Midsummer's Night Scented Candle 122g</t>
        </is>
      </c>
      <c r="C8744" t="inlineStr">
        <is>
          <t>Candles</t>
        </is>
      </c>
      <c r="D8744" t="inlineStr">
        <is>
          <t>Yankee Candle</t>
        </is>
      </c>
      <c r="E8744" t="n">
        <v>7.32</v>
      </c>
      <c r="F8744" t="n">
        <v>1</v>
      </c>
      <c r="G8744" t="n">
        <v>28</v>
      </c>
      <c r="H8744" s="5">
        <f>HYPERLINK("https://api.qogita.com/variants/link/5038581155449/", "View Product")</f>
        <v/>
      </c>
    </row>
    <row r="8745">
      <c r="A8745" t="inlineStr">
        <is>
          <t>5038581155654</t>
        </is>
      </c>
      <c r="B8745" t="inlineStr">
        <is>
          <t>Woodwick Evergreen Cashmere Scented Candle Boat 4536 G</t>
        </is>
      </c>
      <c r="C8745" t="inlineStr">
        <is>
          <t>Candles</t>
        </is>
      </c>
      <c r="D8745" t="inlineStr">
        <is>
          <t>Woodwick</t>
        </is>
      </c>
      <c r="E8745" t="n">
        <v>20.67</v>
      </c>
      <c r="F8745" t="n">
        <v>1</v>
      </c>
      <c r="G8745" t="n">
        <v>20</v>
      </c>
      <c r="H8745" s="5">
        <f>HYPERLINK("https://api.qogita.com/variants/link/5038581155654/", "View Product")</f>
        <v/>
      </c>
    </row>
    <row r="8746">
      <c r="A8746" t="inlineStr">
        <is>
          <t>5038581155746</t>
        </is>
      </c>
      <c r="B8746" t="inlineStr">
        <is>
          <t>Woodwick Evening Luxe Trilogy Vase Scented Candle Vase 6095 G</t>
        </is>
      </c>
      <c r="C8746" t="inlineStr">
        <is>
          <t>Candles</t>
        </is>
      </c>
      <c r="D8746" t="inlineStr">
        <is>
          <t>Woodwick</t>
        </is>
      </c>
      <c r="E8746" t="n">
        <v>20.3</v>
      </c>
      <c r="F8746" t="n">
        <v>1</v>
      </c>
      <c r="G8746" t="n">
        <v>99</v>
      </c>
      <c r="H8746" s="5">
        <f>HYPERLINK("https://api.qogita.com/variants/link/5038581155746/", "View Product")</f>
        <v/>
      </c>
    </row>
    <row r="8747">
      <c r="A8747" t="inlineStr">
        <is>
          <t>5038581156132</t>
        </is>
      </c>
      <c r="B8747" t="inlineStr">
        <is>
          <t>Yankee Candle Signature Wild Orchid Reed Diffuser Refill 200 Ml</t>
        </is>
      </c>
      <c r="C8747" t="inlineStr">
        <is>
          <t>Diffusers</t>
        </is>
      </c>
      <c r="D8747" t="inlineStr">
        <is>
          <t>Yankee Candle</t>
        </is>
      </c>
      <c r="E8747" t="n">
        <v>10.15</v>
      </c>
      <c r="F8747" t="n">
        <v>1</v>
      </c>
      <c r="G8747" t="n">
        <v>26</v>
      </c>
      <c r="H8747" s="5">
        <f>HYPERLINK("https://api.qogita.com/variants/link/5038581156132/", "View Product")</f>
        <v/>
      </c>
    </row>
    <row r="8748">
      <c r="A8748" t="inlineStr">
        <is>
          <t>5038581156156</t>
        </is>
      </c>
      <c r="B8748" t="inlineStr">
        <is>
          <t>Yankee Candle Signature Midnight Jasmine Reed Diffuser</t>
        </is>
      </c>
      <c r="C8748" t="inlineStr">
        <is>
          <t>Diffusers</t>
        </is>
      </c>
      <c r="D8748" t="inlineStr">
        <is>
          <t>Yankee Candle</t>
        </is>
      </c>
      <c r="E8748" t="n">
        <v>11.46</v>
      </c>
      <c r="F8748" t="n">
        <v>1</v>
      </c>
      <c r="G8748" t="n">
        <v>20</v>
      </c>
      <c r="H8748" s="5">
        <f>HYPERLINK("https://api.qogita.com/variants/link/5038581156156/", "View Product")</f>
        <v/>
      </c>
    </row>
    <row r="8749">
      <c r="A8749" t="inlineStr">
        <is>
          <t>5038581156224</t>
        </is>
      </c>
      <c r="B8749" t="inlineStr">
        <is>
          <t>Yankee Candle Signature Midsummers Night Reed Diffuser Refill</t>
        </is>
      </c>
      <c r="C8749" t="inlineStr">
        <is>
          <t>Diffusers</t>
        </is>
      </c>
      <c r="D8749" t="inlineStr">
        <is>
          <t>Yankee Candle</t>
        </is>
      </c>
      <c r="E8749" t="n">
        <v>8.06</v>
      </c>
      <c r="F8749" t="n">
        <v>1</v>
      </c>
      <c r="G8749" t="n">
        <v>14</v>
      </c>
      <c r="H8749" s="5">
        <f>HYPERLINK("https://api.qogita.com/variants/link/5038581156224/", "View Product")</f>
        <v/>
      </c>
    </row>
    <row r="8750">
      <c r="A8750" t="inlineStr">
        <is>
          <t>5038581156408</t>
        </is>
      </c>
      <c r="B8750" t="inlineStr">
        <is>
          <t>Yankee Candle Signature Midnight Jasmine Reed Diffuser Refill 200 Ml</t>
        </is>
      </c>
      <c r="C8750" t="inlineStr">
        <is>
          <t>Diffusers</t>
        </is>
      </c>
      <c r="D8750" t="inlineStr">
        <is>
          <t>Yankee Candle</t>
        </is>
      </c>
      <c r="E8750" t="n">
        <v>8.06</v>
      </c>
      <c r="F8750" t="n">
        <v>1</v>
      </c>
      <c r="G8750" t="n">
        <v>10</v>
      </c>
      <c r="H8750" s="5">
        <f>HYPERLINK("https://api.qogita.com/variants/link/5038581156408/", "View Product")</f>
        <v/>
      </c>
    </row>
    <row r="8751">
      <c r="A8751" t="inlineStr">
        <is>
          <t>5038581158853</t>
        </is>
      </c>
      <c r="B8751" t="inlineStr">
        <is>
          <t>Yankee Candle Desert Blooms Signature Tumbler Candle 567 G</t>
        </is>
      </c>
      <c r="C8751" t="inlineStr">
        <is>
          <t>Candles</t>
        </is>
      </c>
      <c r="D8751" t="inlineStr">
        <is>
          <t>Yankee Candle</t>
        </is>
      </c>
      <c r="E8751" t="n">
        <v>20.48</v>
      </c>
      <c r="F8751" t="n">
        <v>1</v>
      </c>
      <c r="G8751" t="n">
        <v>31</v>
      </c>
      <c r="H8751" s="5">
        <f>HYPERLINK("https://api.qogita.com/variants/link/5038581158853/", "View Product")</f>
        <v/>
      </c>
    </row>
    <row r="8752">
      <c r="A8752" t="inlineStr">
        <is>
          <t>5038581161099</t>
        </is>
      </c>
      <c r="B8752" t="inlineStr">
        <is>
          <t>Woodwick Tempest Vase Scented Candle 6095 G</t>
        </is>
      </c>
      <c r="C8752" t="inlineStr">
        <is>
          <t>Candles</t>
        </is>
      </c>
      <c r="D8752" t="inlineStr">
        <is>
          <t>Woodwick</t>
        </is>
      </c>
      <c r="E8752" t="n">
        <v>20.22</v>
      </c>
      <c r="F8752" t="n">
        <v>1</v>
      </c>
      <c r="G8752" t="n">
        <v>296</v>
      </c>
      <c r="H8752" s="5">
        <f>HYPERLINK("https://api.qogita.com/variants/link/5038581161099/", "View Product")</f>
        <v/>
      </c>
    </row>
    <row r="8753">
      <c r="A8753" t="inlineStr">
        <is>
          <t>5038581161945</t>
        </is>
      </c>
      <c r="B8753" t="inlineStr">
        <is>
          <t>Yankee Candle Afternoon Scrapbooking Signature Candle 368 G</t>
        </is>
      </c>
      <c r="C8753" t="inlineStr">
        <is>
          <t>Candles</t>
        </is>
      </c>
      <c r="D8753" t="inlineStr">
        <is>
          <t>Yankee Candle</t>
        </is>
      </c>
      <c r="E8753" t="n">
        <v>16.17</v>
      </c>
      <c r="F8753" t="n">
        <v>1</v>
      </c>
      <c r="G8753" t="n">
        <v>37</v>
      </c>
      <c r="H8753" s="5">
        <f>HYPERLINK("https://api.qogita.com/variants/link/5038581161945/", "View Product")</f>
        <v/>
      </c>
    </row>
    <row r="8754">
      <c r="A8754" t="inlineStr">
        <is>
          <t>5038581162379</t>
        </is>
      </c>
      <c r="B8754" t="inlineStr">
        <is>
          <t>Woodwick Scented Candle Ship Gilded Sands 4536 G</t>
        </is>
      </c>
      <c r="C8754" t="inlineStr">
        <is>
          <t>Candles</t>
        </is>
      </c>
      <c r="D8754" t="inlineStr">
        <is>
          <t>Woodwick</t>
        </is>
      </c>
      <c r="E8754" t="n">
        <v>20.58</v>
      </c>
      <c r="F8754" t="n">
        <v>1</v>
      </c>
      <c r="G8754" t="n">
        <v>170</v>
      </c>
      <c r="H8754" s="5">
        <f>HYPERLINK("https://api.qogita.com/variants/link/5038581162379/", "View Product")</f>
        <v/>
      </c>
    </row>
    <row r="8755">
      <c r="A8755" t="inlineStr">
        <is>
          <t>5038581162409</t>
        </is>
      </c>
      <c r="B8755" t="inlineStr">
        <is>
          <t>Woodwick Scented Candle Ship Antiquarium 4536 G</t>
        </is>
      </c>
      <c r="C8755" t="inlineStr">
        <is>
          <t>Candles</t>
        </is>
      </c>
      <c r="D8755" t="inlineStr">
        <is>
          <t>Woodwick</t>
        </is>
      </c>
      <c r="E8755" t="n">
        <v>20.52</v>
      </c>
      <c r="F8755" t="n">
        <v>1</v>
      </c>
      <c r="G8755" t="n">
        <v>68</v>
      </c>
      <c r="H8755" s="5">
        <f>HYPERLINK("https://api.qogita.com/variants/link/5038581162409/", "View Product")</f>
        <v/>
      </c>
    </row>
    <row r="8756">
      <c r="A8756" t="inlineStr">
        <is>
          <t>5038581162423</t>
        </is>
      </c>
      <c r="B8756" t="inlineStr">
        <is>
          <t>Woodwick Scented Candle Vase Medium Antiquarium 275 G</t>
        </is>
      </c>
      <c r="C8756" t="inlineStr">
        <is>
          <t>Candles</t>
        </is>
      </c>
      <c r="D8756" t="inlineStr">
        <is>
          <t>Woodwick</t>
        </is>
      </c>
      <c r="E8756" t="n">
        <v>14.73</v>
      </c>
      <c r="F8756" t="n">
        <v>1</v>
      </c>
      <c r="G8756" t="n">
        <v>115</v>
      </c>
      <c r="H8756" s="5">
        <f>HYPERLINK("https://api.qogita.com/variants/link/5038581162423/", "View Product")</f>
        <v/>
      </c>
    </row>
    <row r="8757">
      <c r="A8757" t="inlineStr">
        <is>
          <t>5038581162461</t>
        </is>
      </c>
      <c r="B8757" t="inlineStr">
        <is>
          <t>Woodwick Scented Candle Vase Antiquarium 6095 G</t>
        </is>
      </c>
      <c r="C8757" t="inlineStr">
        <is>
          <t>Candles</t>
        </is>
      </c>
      <c r="D8757" t="inlineStr">
        <is>
          <t>Woodwick</t>
        </is>
      </c>
      <c r="E8757" t="n">
        <v>20.07</v>
      </c>
      <c r="F8757" t="n">
        <v>1</v>
      </c>
      <c r="G8757" t="n">
        <v>54</v>
      </c>
      <c r="H8757" s="5">
        <f>HYPERLINK("https://api.qogita.com/variants/link/5038581162461/", "View Product")</f>
        <v/>
      </c>
    </row>
    <row r="8758">
      <c r="A8758" t="inlineStr">
        <is>
          <t>5038581162515</t>
        </is>
      </c>
      <c r="B8758" t="inlineStr">
        <is>
          <t>Yankee Candle Afternoon Scrapbooking Candle</t>
        </is>
      </c>
      <c r="C8758" t="inlineStr">
        <is>
          <t>Candles</t>
        </is>
      </c>
      <c r="D8758" t="inlineStr">
        <is>
          <t>Yankee Candle</t>
        </is>
      </c>
      <c r="E8758" t="n">
        <v>3.04</v>
      </c>
      <c r="F8758" t="n">
        <v>1</v>
      </c>
      <c r="G8758" t="n">
        <v>10</v>
      </c>
      <c r="H8758" s="5">
        <f>HYPERLINK("https://api.qogita.com/variants/link/5038581162515/", "View Product")</f>
        <v/>
      </c>
    </row>
    <row r="8759">
      <c r="A8759" t="inlineStr">
        <is>
          <t>5038581167268</t>
        </is>
      </c>
      <c r="B8759" t="inlineStr">
        <is>
          <t>Yankee Candle Large Jar Enchanted Orchard Signature Candle</t>
        </is>
      </c>
      <c r="C8759" t="inlineStr">
        <is>
          <t>Candles</t>
        </is>
      </c>
      <c r="D8759" t="inlineStr">
        <is>
          <t>Yankee Candle</t>
        </is>
      </c>
      <c r="E8759" t="n">
        <v>25.09</v>
      </c>
      <c r="F8759" t="n">
        <v>1</v>
      </c>
      <c r="G8759" t="n">
        <v>15</v>
      </c>
      <c r="H8759" s="5">
        <f>HYPERLINK("https://api.qogita.com/variants/link/5038581167268/", "View Product")</f>
        <v/>
      </c>
    </row>
    <row r="8760">
      <c r="A8760" t="inlineStr">
        <is>
          <t>5038581167527</t>
        </is>
      </c>
      <c r="B8760" t="inlineStr">
        <is>
          <t>Yankee Candle Aromatic Candle Signature Tumbler Small Cinnamon Stick 122 G</t>
        </is>
      </c>
      <c r="C8760" t="inlineStr">
        <is>
          <t>Candles</t>
        </is>
      </c>
      <c r="D8760" t="inlineStr">
        <is>
          <t>Yankee Candle</t>
        </is>
      </c>
      <c r="E8760" t="n">
        <v>7.46</v>
      </c>
      <c r="F8760" t="n">
        <v>1</v>
      </c>
      <c r="G8760" t="n">
        <v>34</v>
      </c>
      <c r="H8760" s="5">
        <f>HYPERLINK("https://api.qogita.com/variants/link/5038581167527/", "View Product")</f>
        <v/>
      </c>
    </row>
    <row r="8761">
      <c r="A8761" t="inlineStr">
        <is>
          <t>5038581167862</t>
        </is>
      </c>
      <c r="B8761" t="inlineStr">
        <is>
          <t>Woodwick Scented Candle with Crackling Wick Golden Bourbon Medium Hourglass</t>
        </is>
      </c>
      <c r="C8761" t="inlineStr">
        <is>
          <t>Candles</t>
        </is>
      </c>
      <c r="D8761" t="inlineStr">
        <is>
          <t>Woodwick</t>
        </is>
      </c>
      <c r="E8761" t="n">
        <v>17.9</v>
      </c>
      <c r="F8761" t="n">
        <v>1</v>
      </c>
      <c r="G8761" t="n">
        <v>10</v>
      </c>
      <c r="H8761" s="5">
        <f>HYPERLINK("https://api.qogita.com/variants/link/5038581167862/", "View Product")</f>
        <v/>
      </c>
    </row>
    <row r="8762">
      <c r="A8762" t="inlineStr">
        <is>
          <t>5038633043694</t>
        </is>
      </c>
      <c r="B8762" t="inlineStr">
        <is>
          <t>Mayfair Lavender Herbal Bath and Shower Essence 200ml</t>
        </is>
      </c>
      <c r="C8762" t="inlineStr">
        <is>
          <t>Bath Oil &amp; Bath Milk</t>
        </is>
      </c>
      <c r="D8762" t="inlineStr">
        <is>
          <t>Mayfair</t>
        </is>
      </c>
      <c r="E8762" t="n">
        <v>2.27</v>
      </c>
      <c r="F8762" t="n">
        <v>1</v>
      </c>
      <c r="G8762" t="n">
        <v>5</v>
      </c>
      <c r="H8762" s="5">
        <f>HYPERLINK("https://api.qogita.com/variants/link/5038633043694/", "View Product")</f>
        <v/>
      </c>
    </row>
    <row r="8763">
      <c r="A8763" t="inlineStr">
        <is>
          <t>5050456001491</t>
        </is>
      </c>
      <c r="B8763" t="inlineStr">
        <is>
          <t>Jean-Louis Scherrer Pop Delights 01 Eau de Toilette Spray 100ml</t>
        </is>
      </c>
      <c r="C8763" t="inlineStr">
        <is>
          <t>Eau De Toilette</t>
        </is>
      </c>
      <c r="D8763" t="inlineStr">
        <is>
          <t>Jean Louis Scherrer</t>
        </is>
      </c>
      <c r="E8763" t="n">
        <v>14.5</v>
      </c>
      <c r="F8763" t="n">
        <v>1</v>
      </c>
      <c r="G8763" t="n">
        <v>4</v>
      </c>
      <c r="H8763" s="5">
        <f>HYPERLINK("https://api.qogita.com/variants/link/5050456001491/", "View Product")</f>
        <v/>
      </c>
    </row>
    <row r="8764">
      <c r="A8764" t="inlineStr">
        <is>
          <t>5050456001545</t>
        </is>
      </c>
      <c r="B8764" t="inlineStr">
        <is>
          <t>Jean Louis Scherrer Pop Delights 03 Eau de Toilette Spray 50ml</t>
        </is>
      </c>
      <c r="C8764" t="inlineStr">
        <is>
          <t>Eau De Toilette</t>
        </is>
      </c>
      <c r="D8764" t="inlineStr">
        <is>
          <t>Jean Louis Scherrer</t>
        </is>
      </c>
      <c r="E8764" t="n">
        <v>11</v>
      </c>
      <c r="F8764" t="n">
        <v>1</v>
      </c>
      <c r="G8764" t="n">
        <v>2</v>
      </c>
      <c r="H8764" s="5">
        <f>HYPERLINK("https://api.qogita.com/variants/link/5050456001545/", "View Product")</f>
        <v/>
      </c>
    </row>
    <row r="8765">
      <c r="A8765" t="inlineStr">
        <is>
          <t>5050456002467</t>
        </is>
      </c>
      <c r="B8765" t="inlineStr">
        <is>
          <t>Jeanlouis Scherrer Scherrer 2 Femme Eau De Toilette 50ml Spray</t>
        </is>
      </c>
      <c r="C8765" t="inlineStr">
        <is>
          <t>Eau De Toilette</t>
        </is>
      </c>
      <c r="D8765" t="inlineStr">
        <is>
          <t>Jean Louis Scherrer</t>
        </is>
      </c>
      <c r="E8765" t="n">
        <v>24.83</v>
      </c>
      <c r="F8765" t="n">
        <v>1</v>
      </c>
      <c r="G8765" t="n">
        <v>3</v>
      </c>
      <c r="H8765" s="5">
        <f>HYPERLINK("https://api.qogita.com/variants/link/5050456002467/", "View Product")</f>
        <v/>
      </c>
    </row>
    <row r="8766">
      <c r="A8766" t="inlineStr">
        <is>
          <t>5050456007806</t>
        </is>
      </c>
      <c r="B8766" t="inlineStr">
        <is>
          <t>Jean-Louis Scherrer No. 2 Eau de Toilette Spray for Women 100ml</t>
        </is>
      </c>
      <c r="C8766" t="inlineStr">
        <is>
          <t>Eau De Toilette</t>
        </is>
      </c>
      <c r="D8766" t="inlineStr">
        <is>
          <t>Jean Louis Scherrer</t>
        </is>
      </c>
      <c r="E8766" t="n">
        <v>35.32</v>
      </c>
      <c r="F8766" t="n">
        <v>1</v>
      </c>
      <c r="G8766" t="n">
        <v>14</v>
      </c>
      <c r="H8766" s="5">
        <f>HYPERLINK("https://api.qogita.com/variants/link/5050456007806/", "View Product")</f>
        <v/>
      </c>
    </row>
    <row r="8767">
      <c r="A8767" t="inlineStr">
        <is>
          <t>5050456080205</t>
        </is>
      </c>
      <c r="B8767" t="inlineStr">
        <is>
          <t>Jennifer Lopez Glow Eau De Toilette 50ml Women Spray</t>
        </is>
      </c>
      <c r="C8767" t="inlineStr">
        <is>
          <t>Eau De Toilette</t>
        </is>
      </c>
      <c r="D8767" t="inlineStr">
        <is>
          <t>Jennifer Lopez</t>
        </is>
      </c>
      <c r="E8767" t="n">
        <v>15.93</v>
      </c>
      <c r="F8767" t="n">
        <v>1</v>
      </c>
      <c r="G8767" t="n">
        <v>27</v>
      </c>
      <c r="H8767" s="5">
        <f>HYPERLINK("https://api.qogita.com/variants/link/5050456080205/", "View Product")</f>
        <v/>
      </c>
    </row>
    <row r="8768">
      <c r="A8768" t="inlineStr">
        <is>
          <t>5050456080502</t>
        </is>
      </c>
      <c r="B8768" t="inlineStr">
        <is>
          <t>Jennifer Lopez Still Eau De Parfum Spray 50ml</t>
        </is>
      </c>
      <c r="C8768" t="inlineStr">
        <is>
          <t>Eau De Parfum</t>
        </is>
      </c>
      <c r="D8768" t="inlineStr">
        <is>
          <t>Jennifer Lopez</t>
        </is>
      </c>
      <c r="E8768" t="n">
        <v>17.64</v>
      </c>
      <c r="F8768" t="n">
        <v>1</v>
      </c>
      <c r="G8768" t="n">
        <v>8</v>
      </c>
      <c r="H8768" s="5">
        <f>HYPERLINK("https://api.qogita.com/variants/link/5050456080502/", "View Product")</f>
        <v/>
      </c>
    </row>
    <row r="8769">
      <c r="A8769" t="inlineStr">
        <is>
          <t>5050456311224</t>
        </is>
      </c>
      <c r="B8769" t="inlineStr">
        <is>
          <t>Ghost Ghost Eau De Toilette Spray 30ml</t>
        </is>
      </c>
      <c r="C8769" t="inlineStr">
        <is>
          <t>Eau De Toilette</t>
        </is>
      </c>
      <c r="D8769" t="inlineStr">
        <is>
          <t>Ghost</t>
        </is>
      </c>
      <c r="E8769" t="n">
        <v>20.56</v>
      </c>
      <c r="F8769" t="n">
        <v>1</v>
      </c>
      <c r="G8769" t="n">
        <v>3</v>
      </c>
      <c r="H8769" s="5">
        <f>HYPERLINK("https://api.qogita.com/variants/link/5050456311224/", "View Product")</f>
        <v/>
      </c>
    </row>
    <row r="8770">
      <c r="A8770" t="inlineStr">
        <is>
          <t>5050456522767</t>
        </is>
      </c>
      <c r="B8770" t="inlineStr">
        <is>
          <t>Cerruti 1881 Femme Eau De Toilette 30ml - Authentic and Subtle Fragrance</t>
        </is>
      </c>
      <c r="C8770" t="inlineStr">
        <is>
          <t>Eau De Toilette</t>
        </is>
      </c>
      <c r="D8770" t="inlineStr">
        <is>
          <t>Cerruti 1881</t>
        </is>
      </c>
      <c r="E8770" t="n">
        <v>12.49</v>
      </c>
      <c r="F8770" t="n">
        <v>1</v>
      </c>
      <c r="G8770" t="n">
        <v>45</v>
      </c>
      <c r="H8770" s="5">
        <f>HYPERLINK("https://api.qogita.com/variants/link/5050456522767/", "View Product")</f>
        <v/>
      </c>
    </row>
    <row r="8771">
      <c r="A8771" t="inlineStr">
        <is>
          <t>5050456522781</t>
        </is>
      </c>
      <c r="B8771" t="inlineStr">
        <is>
          <t>Cerruti 1881 Men Eau De Toilette Spray 200ml</t>
        </is>
      </c>
      <c r="C8771" t="inlineStr">
        <is>
          <t>Eau De Toilette</t>
        </is>
      </c>
      <c r="D8771" t="inlineStr">
        <is>
          <t xml:space="preserve">Cerruti </t>
        </is>
      </c>
      <c r="E8771" t="n">
        <v>34.45</v>
      </c>
      <c r="F8771" t="n">
        <v>1</v>
      </c>
      <c r="G8771" t="n">
        <v>10</v>
      </c>
      <c r="H8771" s="5">
        <f>HYPERLINK("https://api.qogita.com/variants/link/5050456522781/", "View Product")</f>
        <v/>
      </c>
    </row>
    <row r="8772">
      <c r="A8772" t="inlineStr">
        <is>
          <t>5050456522798</t>
        </is>
      </c>
      <c r="B8772" t="inlineStr">
        <is>
          <t>Cerruti 1881 Pour After Shave 100ml</t>
        </is>
      </c>
      <c r="C8772" t="inlineStr">
        <is>
          <t>Aftershave</t>
        </is>
      </c>
      <c r="D8772" t="inlineStr">
        <is>
          <t xml:space="preserve">Cerruti </t>
        </is>
      </c>
      <c r="E8772" t="n">
        <v>18.87</v>
      </c>
      <c r="F8772" t="n">
        <v>1</v>
      </c>
      <c r="G8772" t="n">
        <v>41</v>
      </c>
      <c r="H8772" s="5">
        <f>HYPERLINK("https://api.qogita.com/variants/link/5050456522798/", "View Product")</f>
        <v/>
      </c>
    </row>
    <row r="8773">
      <c r="A8773" t="inlineStr">
        <is>
          <t>5050456523726</t>
        </is>
      </c>
      <c r="B8773" t="inlineStr">
        <is>
          <t>Cerruti 1881 Silver Eau De Toilette 100ml For Men</t>
        </is>
      </c>
      <c r="C8773" t="inlineStr">
        <is>
          <t>Eau De Toilette</t>
        </is>
      </c>
      <c r="D8773" t="inlineStr">
        <is>
          <t xml:space="preserve">Cerruti </t>
        </is>
      </c>
      <c r="E8773" t="n">
        <v>29.09</v>
      </c>
      <c r="F8773" t="n">
        <v>1</v>
      </c>
      <c r="G8773" t="n">
        <v>10</v>
      </c>
      <c r="H8773" s="5">
        <f>HYPERLINK("https://api.qogita.com/variants/link/5050456523726/", "View Product")</f>
        <v/>
      </c>
    </row>
    <row r="8774">
      <c r="A8774" t="inlineStr">
        <is>
          <t>5050456998593</t>
        </is>
      </c>
      <c r="B8774" t="inlineStr">
        <is>
          <t>F1 Parfums Overtake 320 Eau De Toilette 75ml Men Spray</t>
        </is>
      </c>
      <c r="C8774" t="inlineStr">
        <is>
          <t>Eau De Toilette</t>
        </is>
      </c>
      <c r="D8774" t="inlineStr">
        <is>
          <t>F1 Parfums</t>
        </is>
      </c>
      <c r="E8774" t="n">
        <v>26.88</v>
      </c>
      <c r="F8774" t="n">
        <v>1</v>
      </c>
      <c r="G8774" t="n">
        <v>5</v>
      </c>
      <c r="H8774" s="5">
        <f>HYPERLINK("https://api.qogita.com/variants/link/5050456998593/", "View Product")</f>
        <v/>
      </c>
    </row>
    <row r="8775">
      <c r="A8775" t="inlineStr">
        <is>
          <t>5050456998654</t>
        </is>
      </c>
      <c r="B8775" t="inlineStr">
        <is>
          <t>F1 Parfums Precious Mettle Eau De Toilette 75ml Unisex Spray</t>
        </is>
      </c>
      <c r="C8775" t="inlineStr">
        <is>
          <t>Eau De Toilette</t>
        </is>
      </c>
      <c r="D8775" t="inlineStr">
        <is>
          <t>F1 Parfums</t>
        </is>
      </c>
      <c r="E8775" t="n">
        <v>20.22</v>
      </c>
      <c r="F8775" t="n">
        <v>1</v>
      </c>
      <c r="G8775" t="n">
        <v>3</v>
      </c>
      <c r="H8775" s="5">
        <f>HYPERLINK("https://api.qogita.com/variants/link/5050456998654/", "View Product")</f>
        <v/>
      </c>
    </row>
    <row r="8776">
      <c r="A8776" t="inlineStr">
        <is>
          <t>5051198486034</t>
        </is>
      </c>
      <c r="B8776" t="inlineStr">
        <is>
          <t>Miller Harris Le Cedre Eau De Parfum Spray 100ml</t>
        </is>
      </c>
      <c r="C8776" t="inlineStr">
        <is>
          <t>Eau De Parfum</t>
        </is>
      </c>
      <c r="D8776" t="inlineStr">
        <is>
          <t>Miller Harris</t>
        </is>
      </c>
      <c r="E8776" t="n">
        <v>117.37</v>
      </c>
      <c r="F8776" t="n">
        <v>1</v>
      </c>
      <c r="G8776" t="n">
        <v>2</v>
      </c>
      <c r="H8776" s="5">
        <f>HYPERLINK("https://api.qogita.com/variants/link/5051198486034/", "View Product")</f>
        <v/>
      </c>
    </row>
    <row r="8777">
      <c r="A8777" t="inlineStr">
        <is>
          <t>5051198556041</t>
        </is>
      </c>
      <c r="B8777" t="inlineStr">
        <is>
          <t>Miller Harris La Fumee Alexandrie Perfume</t>
        </is>
      </c>
      <c r="C8777" t="inlineStr">
        <is>
          <t>Eau De Parfum</t>
        </is>
      </c>
      <c r="D8777" t="inlineStr">
        <is>
          <t>Miller Harris</t>
        </is>
      </c>
      <c r="E8777" t="n">
        <v>110.72</v>
      </c>
      <c r="F8777" t="n">
        <v>1</v>
      </c>
      <c r="G8777" t="n">
        <v>4</v>
      </c>
      <c r="H8777" s="5">
        <f>HYPERLINK("https://api.qogita.com/variants/link/5051198556041/", "View Product")</f>
        <v/>
      </c>
    </row>
    <row r="8778">
      <c r="A8778" t="inlineStr">
        <is>
          <t>5051198670686</t>
        </is>
      </c>
      <c r="B8778" t="inlineStr">
        <is>
          <t>Miller Harris Vetiver Insolent - Unisex Eau De Parfum 17 Oz</t>
        </is>
      </c>
      <c r="C8778" t="inlineStr">
        <is>
          <t>Eau De Parfum</t>
        </is>
      </c>
      <c r="D8778" t="inlineStr">
        <is>
          <t>Miller Harris</t>
        </is>
      </c>
      <c r="E8778" t="n">
        <v>64.64</v>
      </c>
      <c r="F8778" t="n">
        <v>1</v>
      </c>
      <c r="G8778" t="n">
        <v>2</v>
      </c>
      <c r="H8778" s="5">
        <f>HYPERLINK("https://api.qogita.com/variants/link/5051198670686/", "View Product")</f>
        <v/>
      </c>
    </row>
    <row r="8779">
      <c r="A8779" t="inlineStr">
        <is>
          <t>5051198697010</t>
        </is>
      </c>
      <c r="B8779" t="inlineStr">
        <is>
          <t>Miller Harris Lumiere Doree Eau De Parfum Spray 100ml</t>
        </is>
      </c>
      <c r="C8779" t="inlineStr">
        <is>
          <t>Eau De Parfum</t>
        </is>
      </c>
      <c r="D8779" t="inlineStr">
        <is>
          <t>Miller Harris</t>
        </is>
      </c>
      <c r="E8779" t="n">
        <v>88.88</v>
      </c>
      <c r="F8779" t="n">
        <v>1</v>
      </c>
      <c r="G8779" t="n">
        <v>2</v>
      </c>
      <c r="H8779" s="5">
        <f>HYPERLINK("https://api.qogita.com/variants/link/5051198697010/", "View Product")</f>
        <v/>
      </c>
    </row>
    <row r="8780">
      <c r="A8780" t="inlineStr">
        <is>
          <t>5051198740082</t>
        </is>
      </c>
      <c r="B8780" t="inlineStr">
        <is>
          <t>Miller Harris Secret Gardenia Eau De Parfum Spray 50ml</t>
        </is>
      </c>
      <c r="C8780" t="inlineStr">
        <is>
          <t>Eau De Parfum</t>
        </is>
      </c>
      <c r="D8780" t="inlineStr">
        <is>
          <t>Miller Harris</t>
        </is>
      </c>
      <c r="E8780" t="n">
        <v>68.81999999999999</v>
      </c>
      <c r="F8780" t="n">
        <v>1</v>
      </c>
      <c r="G8780" t="n">
        <v>8</v>
      </c>
      <c r="H8780" s="5">
        <f>HYPERLINK("https://api.qogita.com/variants/link/5051198740082/", "View Product")</f>
        <v/>
      </c>
    </row>
    <row r="8781">
      <c r="A8781" t="inlineStr">
        <is>
          <t>5051198881013</t>
        </is>
      </c>
      <c r="B8781" t="inlineStr">
        <is>
          <t>Miller Harris Myrica Muse Eau De Parfum Spray 100ml</t>
        </is>
      </c>
      <c r="C8781" t="inlineStr">
        <is>
          <t>Eau De Parfum</t>
        </is>
      </c>
      <c r="D8781" t="inlineStr">
        <is>
          <t>Miller Harris</t>
        </is>
      </c>
      <c r="E8781" t="n">
        <v>91.65000000000001</v>
      </c>
      <c r="F8781" t="n">
        <v>1</v>
      </c>
      <c r="G8781" t="n">
        <v>10</v>
      </c>
      <c r="H8781" s="5">
        <f>HYPERLINK("https://api.qogita.com/variants/link/5051198881013/", "View Product")</f>
        <v/>
      </c>
    </row>
    <row r="8782">
      <c r="A8782" t="inlineStr">
        <is>
          <t>5054563014757</t>
        </is>
      </c>
      <c r="B8782" t="inlineStr">
        <is>
          <t>Sensodyne Advanced Clean Toothpaste 75ml</t>
        </is>
      </c>
      <c r="C8782" t="inlineStr">
        <is>
          <t>Toothpaste</t>
        </is>
      </c>
      <c r="D8782" t="inlineStr">
        <is>
          <t>Sensodyne</t>
        </is>
      </c>
      <c r="E8782" t="n">
        <v>3.21</v>
      </c>
      <c r="F8782" t="n">
        <v>1</v>
      </c>
      <c r="G8782" t="n">
        <v>4</v>
      </c>
      <c r="H8782" s="5">
        <f>HYPERLINK("https://api.qogita.com/variants/link/5054563014757/", "View Product")</f>
        <v/>
      </c>
    </row>
    <row r="8783">
      <c r="A8783" t="inlineStr">
        <is>
          <t>5054563949066</t>
        </is>
      </c>
      <c r="B8783" t="inlineStr">
        <is>
          <t>Parodontax Toothpaste Against Fluoride Bleeding</t>
        </is>
      </c>
      <c r="C8783" t="inlineStr">
        <is>
          <t>Toothpaste</t>
        </is>
      </c>
      <c r="D8783" t="inlineStr">
        <is>
          <t>Parodontax</t>
        </is>
      </c>
      <c r="E8783" t="n">
        <v>3.8</v>
      </c>
      <c r="F8783" t="n">
        <v>1</v>
      </c>
      <c r="G8783" t="n">
        <v>64</v>
      </c>
      <c r="H8783" s="5">
        <f>HYPERLINK("https://api.qogita.com/variants/link/5054563949066/", "View Product")</f>
        <v/>
      </c>
    </row>
    <row r="8784">
      <c r="A8784" t="inlineStr">
        <is>
          <t>5055443650300</t>
        </is>
      </c>
      <c r="B8784" t="inlineStr">
        <is>
          <t>Gift Set Hand Care Lavender 2 pcs</t>
        </is>
      </c>
      <c r="C8784" t="inlineStr">
        <is>
          <t>Hand Care Sets</t>
        </is>
      </c>
      <c r="D8784" t="inlineStr">
        <is>
          <t>Grace Cole</t>
        </is>
      </c>
      <c r="E8784" t="n">
        <v>17.38</v>
      </c>
      <c r="F8784" t="n">
        <v>1</v>
      </c>
      <c r="G8784" t="n">
        <v>18</v>
      </c>
      <c r="H8784" s="5">
        <f>HYPERLINK("https://api.qogita.com/variants/link/5055443650300/", "View Product")</f>
        <v/>
      </c>
    </row>
    <row r="8785">
      <c r="A8785" t="inlineStr">
        <is>
          <t>5055810012168</t>
        </is>
      </c>
      <c r="B8785" t="inlineStr">
        <is>
          <t>Al Wataniah Sultan Al Lail Eau De Parfum Spray 100ml</t>
        </is>
      </c>
      <c r="C8785" t="inlineStr">
        <is>
          <t>Eau De Parfum</t>
        </is>
      </c>
      <c r="D8785" t="inlineStr">
        <is>
          <t>Al Wataniah</t>
        </is>
      </c>
      <c r="E8785" t="n">
        <v>12.7</v>
      </c>
      <c r="F8785" t="n">
        <v>1</v>
      </c>
      <c r="G8785" t="n">
        <v>10</v>
      </c>
      <c r="H8785" s="5">
        <f>HYPERLINK("https://api.qogita.com/variants/link/5055810012168/", "View Product")</f>
        <v/>
      </c>
    </row>
    <row r="8786">
      <c r="A8786" t="inlineStr">
        <is>
          <t>5055810012786</t>
        </is>
      </c>
      <c r="B8786" t="inlineStr">
        <is>
          <t>Al Wataniah Durrat Al Aroos Eau De Parfum Spray 85ml</t>
        </is>
      </c>
      <c r="C8786" t="inlineStr">
        <is>
          <t>Eau De Parfum</t>
        </is>
      </c>
      <c r="D8786" t="inlineStr">
        <is>
          <t>Al Wataniah</t>
        </is>
      </c>
      <c r="E8786" t="n">
        <v>10.67</v>
      </c>
      <c r="F8786" t="n">
        <v>1</v>
      </c>
      <c r="G8786" t="n">
        <v>82</v>
      </c>
      <c r="H8786" s="5">
        <f>HYPERLINK("https://api.qogita.com/variants/link/5055810012786/", "View Product")</f>
        <v/>
      </c>
    </row>
    <row r="8787">
      <c r="A8787" t="inlineStr">
        <is>
          <t>5055810030124</t>
        </is>
      </c>
      <c r="B8787" t="inlineStr">
        <is>
          <t>Al Wataniah Al Wataniha- Lazuli Perfume</t>
        </is>
      </c>
      <c r="C8787" t="inlineStr">
        <is>
          <t>Eau De Parfum</t>
        </is>
      </c>
      <c r="D8787" t="inlineStr">
        <is>
          <t>Al Wataniah</t>
        </is>
      </c>
      <c r="E8787" t="n">
        <v>19.17</v>
      </c>
      <c r="F8787" t="n">
        <v>1</v>
      </c>
      <c r="G8787" t="n">
        <v>44</v>
      </c>
      <c r="H8787" s="5">
        <f>HYPERLINK("https://api.qogita.com/variants/link/5055810030124/", "View Product")</f>
        <v/>
      </c>
    </row>
    <row r="8788">
      <c r="A8788" t="inlineStr">
        <is>
          <t>5055810030292</t>
        </is>
      </c>
      <c r="B8788" t="inlineStr">
        <is>
          <t>Al Wataniah Zaeem Luxury Perfume for Men Eau De Parfum 100ml</t>
        </is>
      </c>
      <c r="C8788" t="inlineStr">
        <is>
          <t>Eau De Parfum</t>
        </is>
      </c>
      <c r="D8788" t="inlineStr">
        <is>
          <t>Al Wataniah</t>
        </is>
      </c>
      <c r="E8788" t="n">
        <v>22.05</v>
      </c>
      <c r="F8788" t="n">
        <v>1</v>
      </c>
      <c r="G8788" t="n">
        <v>40</v>
      </c>
      <c r="H8788" s="5">
        <f>HYPERLINK("https://api.qogita.com/variants/link/5055810030292/", "View Product")</f>
        <v/>
      </c>
    </row>
    <row r="8789">
      <c r="A8789" t="inlineStr">
        <is>
          <t>5055810030476</t>
        </is>
      </c>
      <c r="B8789" t="inlineStr">
        <is>
          <t>Al Wataniah Regina Rawaee Eau De Parfum 100ml</t>
        </is>
      </c>
      <c r="C8789" t="inlineStr">
        <is>
          <t>Eau De Parfum</t>
        </is>
      </c>
      <c r="D8789" t="inlineStr">
        <is>
          <t>Al Wataniah</t>
        </is>
      </c>
      <c r="E8789" t="n">
        <v>17.48</v>
      </c>
      <c r="F8789" t="n">
        <v>1</v>
      </c>
      <c r="G8789" t="n">
        <v>4</v>
      </c>
      <c r="H8789" s="5">
        <f>HYPERLINK("https://api.qogita.com/variants/link/5055810030476/", "View Product")</f>
        <v/>
      </c>
    </row>
    <row r="8790">
      <c r="A8790" t="inlineStr">
        <is>
          <t>5055810038977</t>
        </is>
      </c>
      <c r="B8790" t="inlineStr">
        <is>
          <t>Al Wataniah Suroor - Eau De Parfum</t>
        </is>
      </c>
      <c r="C8790" t="inlineStr">
        <is>
          <t>Eau De Parfum</t>
        </is>
      </c>
      <c r="D8790" t="inlineStr">
        <is>
          <t>Al Wataniah</t>
        </is>
      </c>
      <c r="E8790" t="n">
        <v>13.51</v>
      </c>
      <c r="F8790" t="n">
        <v>1</v>
      </c>
      <c r="G8790" t="n">
        <v>79</v>
      </c>
      <c r="H8790" s="5">
        <f>HYPERLINK("https://api.qogita.com/variants/link/5055810038977/", "View Product")</f>
        <v/>
      </c>
    </row>
    <row r="8791">
      <c r="A8791" t="inlineStr">
        <is>
          <t>5055810039004</t>
        </is>
      </c>
      <c r="B8791" t="inlineStr">
        <is>
          <t>Al Wataniah Tiger Eye Eau De Parfum For Unisex</t>
        </is>
      </c>
      <c r="C8791" t="inlineStr">
        <is>
          <t>Eau De Parfum</t>
        </is>
      </c>
      <c r="D8791" t="inlineStr">
        <is>
          <t>Al Wataniah</t>
        </is>
      </c>
      <c r="E8791" t="n">
        <v>10.66</v>
      </c>
      <c r="F8791" t="n">
        <v>1</v>
      </c>
      <c r="G8791" t="n">
        <v>93</v>
      </c>
      <c r="H8791" s="5">
        <f>HYPERLINK("https://api.qogita.com/variants/link/5055810039004/", "View Product")</f>
        <v/>
      </c>
    </row>
    <row r="8792">
      <c r="A8792" t="inlineStr">
        <is>
          <t>5055810039011</t>
        </is>
      </c>
      <c r="B8792" t="inlineStr">
        <is>
          <t>Al Wataniah Graphite Eau De Parfum For Unisex</t>
        </is>
      </c>
      <c r="C8792" t="inlineStr">
        <is>
          <t>Eau De Parfum</t>
        </is>
      </c>
      <c r="D8792" t="inlineStr">
        <is>
          <t>Al Wataniah</t>
        </is>
      </c>
      <c r="E8792" t="n">
        <v>9.050000000000001</v>
      </c>
      <c r="F8792" t="n">
        <v>1</v>
      </c>
      <c r="G8792" t="n">
        <v>35</v>
      </c>
      <c r="H8792" s="5">
        <f>HYPERLINK("https://api.qogita.com/variants/link/5055810039011/", "View Product")</f>
        <v/>
      </c>
    </row>
    <row r="8793">
      <c r="A8793" t="inlineStr">
        <is>
          <t>5055810039165</t>
        </is>
      </c>
      <c r="B8793" t="inlineStr">
        <is>
          <t>Grandeur Tubbees Unicorn Vanilla - Women's Fragrance</t>
        </is>
      </c>
      <c r="C8793" t="inlineStr">
        <is>
          <t>Eau De Parfum</t>
        </is>
      </c>
      <c r="D8793" t="inlineStr">
        <is>
          <t>Grandeur</t>
        </is>
      </c>
      <c r="E8793" t="n">
        <v>6.86</v>
      </c>
      <c r="F8793" t="n">
        <v>1</v>
      </c>
      <c r="G8793" t="n">
        <v>37</v>
      </c>
      <c r="H8793" s="5">
        <f>HYPERLINK("https://api.qogita.com/variants/link/5055810039165/", "View Product")</f>
        <v/>
      </c>
    </row>
    <row r="8794">
      <c r="A8794" t="inlineStr">
        <is>
          <t>5055810039189</t>
        </is>
      </c>
      <c r="B8794" t="inlineStr">
        <is>
          <t>Grandeur Tubbees Perfume 50ml Unicorn Vanilla - Unisex Kid-Friendly Gourmand</t>
        </is>
      </c>
      <c r="C8794" t="inlineStr">
        <is>
          <t>Eau De Parfum</t>
        </is>
      </c>
      <c r="D8794" t="inlineStr">
        <is>
          <t>Tejan</t>
        </is>
      </c>
      <c r="E8794" t="n">
        <v>6.86</v>
      </c>
      <c r="F8794" t="n">
        <v>1</v>
      </c>
      <c r="G8794" t="n">
        <v>30</v>
      </c>
      <c r="H8794" s="5">
        <f>HYPERLINK("https://api.qogita.com/variants/link/5055810039189/", "View Product")</f>
        <v/>
      </c>
    </row>
    <row r="8795">
      <c r="A8795" t="inlineStr">
        <is>
          <t>5055810042738</t>
        </is>
      </c>
      <c r="B8795" t="inlineStr">
        <is>
          <t>Al Wataniah Ain Emarat Extrait - Eau De Parfum</t>
        </is>
      </c>
      <c r="C8795" t="inlineStr">
        <is>
          <t>Eau De Parfum</t>
        </is>
      </c>
      <c r="D8795" t="inlineStr">
        <is>
          <t>Al Wataniah</t>
        </is>
      </c>
      <c r="E8795" t="n">
        <v>22.72</v>
      </c>
      <c r="F8795" t="n">
        <v>1</v>
      </c>
      <c r="G8795" t="n">
        <v>100</v>
      </c>
      <c r="H8795" s="5">
        <f>HYPERLINK("https://api.qogita.com/variants/link/5055810042738/", "View Product")</f>
        <v/>
      </c>
    </row>
    <row r="8796">
      <c r="A8796" t="inlineStr">
        <is>
          <t>5055810099367</t>
        </is>
      </c>
      <c r="B8796" t="inlineStr">
        <is>
          <t>Al Wataniah Musk Dubai Body Mist 250ml</t>
        </is>
      </c>
      <c r="C8796" t="inlineStr">
        <is>
          <t>Eau De Toilette</t>
        </is>
      </c>
      <c r="D8796" t="inlineStr">
        <is>
          <t>Al Wataniah</t>
        </is>
      </c>
      <c r="E8796" t="n">
        <v>4.41</v>
      </c>
      <c r="F8796" t="n">
        <v>1</v>
      </c>
      <c r="G8796" t="n">
        <v>59</v>
      </c>
      <c r="H8796" s="5">
        <f>HYPERLINK("https://api.qogita.com/variants/link/5055810099367/", "View Product")</f>
        <v/>
      </c>
    </row>
    <row r="8797">
      <c r="A8797" t="inlineStr">
        <is>
          <t>5055810099527</t>
        </is>
      </c>
      <c r="B8797" t="inlineStr">
        <is>
          <t>Al Wataniah Musk Collection Vanilla Musk Body Mist 250ml</t>
        </is>
      </c>
      <c r="C8797" t="inlineStr">
        <is>
          <t>Eau De Toilette</t>
        </is>
      </c>
      <c r="D8797" t="inlineStr">
        <is>
          <t>Al Wataniah</t>
        </is>
      </c>
      <c r="E8797" t="n">
        <v>4.41</v>
      </c>
      <c r="F8797" t="n">
        <v>1</v>
      </c>
      <c r="G8797" t="n">
        <v>10</v>
      </c>
      <c r="H8797" s="5">
        <f>HYPERLINK("https://api.qogita.com/variants/link/5055810099527/", "View Product")</f>
        <v/>
      </c>
    </row>
    <row r="8798">
      <c r="A8798" t="inlineStr">
        <is>
          <t>5055810099565</t>
        </is>
      </c>
      <c r="B8798" t="inlineStr">
        <is>
          <t>Al Wataniah Musk Collection Coconut Musk Body Mist 250ml</t>
        </is>
      </c>
      <c r="C8798" t="inlineStr">
        <is>
          <t>Eau De Toilette</t>
        </is>
      </c>
      <c r="D8798" t="inlineStr">
        <is>
          <t>Al Wataniah</t>
        </is>
      </c>
      <c r="E8798" t="n">
        <v>4.41</v>
      </c>
      <c r="F8798" t="n">
        <v>1</v>
      </c>
      <c r="G8798" t="n">
        <v>12</v>
      </c>
      <c r="H8798" s="5">
        <f>HYPERLINK("https://api.qogita.com/variants/link/5055810099565/", "View Product")</f>
        <v/>
      </c>
    </row>
    <row r="8799">
      <c r="A8799" t="inlineStr">
        <is>
          <t>5056002600569</t>
        </is>
      </c>
      <c r="B8799" t="inlineStr">
        <is>
          <t>Roja Parfums Enigma Aoud Pour Femme Perfume</t>
        </is>
      </c>
      <c r="C8799" t="inlineStr">
        <is>
          <t>Eau De Parfum</t>
        </is>
      </c>
      <c r="D8799" t="inlineStr">
        <is>
          <t>Roja Parfums</t>
        </is>
      </c>
      <c r="E8799" t="n">
        <v>287.41</v>
      </c>
      <c r="F8799" t="n">
        <v>1</v>
      </c>
      <c r="G8799" t="n">
        <v>4</v>
      </c>
      <c r="H8799" s="5">
        <f>HYPERLINK("https://api.qogita.com/variants/link/5056002600569/", "View Product")</f>
        <v/>
      </c>
    </row>
    <row r="8800">
      <c r="A8800" t="inlineStr">
        <is>
          <t>5056002602105</t>
        </is>
      </c>
      <c r="B8800" t="inlineStr">
        <is>
          <t>Roja Parfums Apex Parfum Spray 50ml</t>
        </is>
      </c>
      <c r="C8800" t="inlineStr">
        <is>
          <t>Eau De Parfum</t>
        </is>
      </c>
      <c r="D8800" t="inlineStr">
        <is>
          <t>Roja Parfums</t>
        </is>
      </c>
      <c r="E8800" t="n">
        <v>186.42</v>
      </c>
      <c r="F8800" t="n">
        <v>1</v>
      </c>
      <c r="G8800" t="n">
        <v>7</v>
      </c>
      <c r="H8800" s="5">
        <f>HYPERLINK("https://api.qogita.com/variants/link/5056002602105/", "View Product")</f>
        <v/>
      </c>
    </row>
    <row r="8801">
      <c r="A8801" t="inlineStr">
        <is>
          <t>5056043216767</t>
        </is>
      </c>
      <c r="B8801" t="inlineStr">
        <is>
          <t>LABEL.M Diamond Dust Nourishing Shampoo 300ml</t>
        </is>
      </c>
      <c r="C8801" t="inlineStr">
        <is>
          <t>Shampoo</t>
        </is>
      </c>
      <c r="D8801" t="inlineStr">
        <is>
          <t>label.m</t>
        </is>
      </c>
      <c r="E8801" t="n">
        <v>16.72</v>
      </c>
      <c r="F8801" t="n">
        <v>1</v>
      </c>
      <c r="G8801" t="n">
        <v>6</v>
      </c>
      <c r="H8801" s="5">
        <f>HYPERLINK("https://api.qogita.com/variants/link/5056043216767/", "View Product")</f>
        <v/>
      </c>
    </row>
    <row r="8802">
      <c r="A8802" t="inlineStr">
        <is>
          <t>5056043216941</t>
        </is>
      </c>
      <c r="B8802" t="inlineStr">
        <is>
          <t>LABEL M Organic Lemongrass Conditioner 200ml</t>
        </is>
      </c>
      <c r="C8802" t="inlineStr">
        <is>
          <t>Conditioner</t>
        </is>
      </c>
      <c r="D8802" t="inlineStr">
        <is>
          <t>LABEL M</t>
        </is>
      </c>
      <c r="E8802" t="n">
        <v>16.51</v>
      </c>
      <c r="F8802" t="n">
        <v>1</v>
      </c>
      <c r="G8802" t="n">
        <v>2</v>
      </c>
      <c r="H8802" s="5">
        <f>HYPERLINK("https://api.qogita.com/variants/link/5056043216941/", "View Product")</f>
        <v/>
      </c>
    </row>
    <row r="8803">
      <c r="A8803" t="inlineStr">
        <is>
          <t>5056043217405</t>
        </is>
      </c>
      <c r="B8803" t="inlineStr">
        <is>
          <t>Label.M Pure Botanical Nourishing Conditioner - Vyzivujici A Hydratacni Kondicioner Pro Suche Vlasy</t>
        </is>
      </c>
      <c r="C8803" t="inlineStr">
        <is>
          <t>Conditioner</t>
        </is>
      </c>
      <c r="D8803" t="inlineStr">
        <is>
          <t>label.m</t>
        </is>
      </c>
      <c r="E8803" t="n">
        <v>39.35</v>
      </c>
      <c r="F8803" t="n">
        <v>1</v>
      </c>
      <c r="G8803" t="n">
        <v>2</v>
      </c>
      <c r="H8803" s="5">
        <f>HYPERLINK("https://api.qogita.com/variants/link/5056043217405/", "View Product")</f>
        <v/>
      </c>
    </row>
    <row r="8804">
      <c r="A8804" t="inlineStr">
        <is>
          <t>5056043217412</t>
        </is>
      </c>
      <c r="B8804" t="inlineStr">
        <is>
          <t>Labelm Organic Orange Blossom Volumising Conditioner</t>
        </is>
      </c>
      <c r="C8804" t="inlineStr">
        <is>
          <t>Conditioner</t>
        </is>
      </c>
      <c r="D8804" t="inlineStr">
        <is>
          <t>label.m</t>
        </is>
      </c>
      <c r="E8804" t="n">
        <v>42.6</v>
      </c>
      <c r="F8804" t="n">
        <v>1</v>
      </c>
      <c r="G8804" t="n">
        <v>3</v>
      </c>
      <c r="H8804" s="5">
        <f>HYPERLINK("https://api.qogita.com/variants/link/5056043217412/", "View Product")</f>
        <v/>
      </c>
    </row>
    <row r="8805">
      <c r="A8805" t="inlineStr">
        <is>
          <t>5056245021237</t>
        </is>
      </c>
      <c r="B8805" t="inlineStr">
        <is>
          <t>Penhaligon's The Revenge Of Lady Blanche Eau De Parfum Spray 75ml</t>
        </is>
      </c>
      <c r="C8805" t="inlineStr">
        <is>
          <t>Eau De Parfum</t>
        </is>
      </c>
      <c r="D8805" t="inlineStr">
        <is>
          <t>Penhaligon's London</t>
        </is>
      </c>
      <c r="E8805" t="n">
        <v>176.2</v>
      </c>
      <c r="F8805" t="n">
        <v>1</v>
      </c>
      <c r="G8805" t="n">
        <v>3</v>
      </c>
      <c r="H8805" s="5">
        <f>HYPERLINK("https://api.qogita.com/variants/link/5056245021237/", "View Product")</f>
        <v/>
      </c>
    </row>
    <row r="8806">
      <c r="A8806" t="inlineStr">
        <is>
          <t>5056245026409</t>
        </is>
      </c>
      <c r="B8806" t="inlineStr">
        <is>
          <t>Penhaligon's Liquid Love Eau De Parfum 100 Milliliters</t>
        </is>
      </c>
      <c r="C8806" t="inlineStr">
        <is>
          <t>Eau De Parfum</t>
        </is>
      </c>
      <c r="D8806" t="inlineStr">
        <is>
          <t>Penhaligon's London</t>
        </is>
      </c>
      <c r="E8806" t="n">
        <v>162.82</v>
      </c>
      <c r="F8806" t="n">
        <v>1</v>
      </c>
      <c r="G8806" t="n">
        <v>4</v>
      </c>
      <c r="H8806" s="5">
        <f>HYPERLINK("https://api.qogita.com/variants/link/5056245026409/", "View Product")</f>
        <v/>
      </c>
    </row>
    <row r="8807">
      <c r="A8807" t="inlineStr">
        <is>
          <t>5056245026416</t>
        </is>
      </c>
      <c r="B8807" t="inlineStr">
        <is>
          <t>Penhaligon's A Balm Of Calm Eau De Parfum Spray 3.4 Oz</t>
        </is>
      </c>
      <c r="C8807" t="inlineStr">
        <is>
          <t>Eau De Parfum</t>
        </is>
      </c>
      <c r="D8807" t="inlineStr">
        <is>
          <t>Penhaligon's London</t>
        </is>
      </c>
      <c r="E8807" t="n">
        <v>162.86</v>
      </c>
      <c r="F8807" t="n">
        <v>1</v>
      </c>
      <c r="G8807" t="n">
        <v>5</v>
      </c>
      <c r="H8807" s="5">
        <f>HYPERLINK("https://api.qogita.com/variants/link/5056245026416/", "View Product")</f>
        <v/>
      </c>
    </row>
    <row r="8808">
      <c r="A8808" t="inlineStr">
        <is>
          <t>5056264705262</t>
        </is>
      </c>
      <c r="B8808" t="inlineStr">
        <is>
          <t>Ren Cosmetics Glycol Lactic Gel Face Mask Radiance Renewal Mask 50ml</t>
        </is>
      </c>
      <c r="C8808" t="inlineStr">
        <is>
          <t>Glow Mask</t>
        </is>
      </c>
      <c r="D8808" t="inlineStr">
        <is>
          <t>Ren Clean Skincare</t>
        </is>
      </c>
      <c r="E8808" t="n">
        <v>23.26</v>
      </c>
      <c r="F8808" t="n">
        <v>1</v>
      </c>
      <c r="G8808" t="n">
        <v>2</v>
      </c>
      <c r="H8808" s="5">
        <f>HYPERLINK("https://api.qogita.com/variants/link/5056264705262/", "View Product")</f>
        <v/>
      </c>
    </row>
    <row r="8809">
      <c r="A8809" t="inlineStr">
        <is>
          <t>5056264708690</t>
        </is>
      </c>
      <c r="B8809" t="inlineStr">
        <is>
          <t>Ren Clean Skincare Body Cream for Unisex Adults</t>
        </is>
      </c>
      <c r="C8809" t="inlineStr">
        <is>
          <t>Body Lotion</t>
        </is>
      </c>
      <c r="D8809" t="inlineStr">
        <is>
          <t>Ren Clean Skincare</t>
        </is>
      </c>
      <c r="E8809" t="n">
        <v>31.14</v>
      </c>
      <c r="F8809" t="n">
        <v>1</v>
      </c>
      <c r="G8809" t="n">
        <v>14</v>
      </c>
      <c r="H8809" s="5">
        <f>HYPERLINK("https://api.qogita.com/variants/link/5056264708690/", "View Product")</f>
        <v/>
      </c>
    </row>
    <row r="8810">
      <c r="A8810" t="inlineStr">
        <is>
          <t>5056379589672</t>
        </is>
      </c>
      <c r="B8810" t="inlineStr">
        <is>
          <t>Christophe Robin Purifying Mud Mask 250ml</t>
        </is>
      </c>
      <c r="C8810" t="inlineStr">
        <is>
          <t>Hair Masks</t>
        </is>
      </c>
      <c r="D8810" t="inlineStr">
        <is>
          <t>Christophe Robin</t>
        </is>
      </c>
      <c r="E8810" t="n">
        <v>23.6</v>
      </c>
      <c r="F8810" t="n">
        <v>1</v>
      </c>
      <c r="G8810" t="n">
        <v>3</v>
      </c>
      <c r="H8810" s="5">
        <f>HYPERLINK("https://api.qogita.com/variants/link/5056379589672/", "View Product")</f>
        <v/>
      </c>
    </row>
    <row r="8811">
      <c r="A8811" t="inlineStr">
        <is>
          <t>5056379590678</t>
        </is>
      </c>
      <c r="B8811" t="inlineStr">
        <is>
          <t>Christophe Robin Colour Shield Shampoo 250ml</t>
        </is>
      </c>
      <c r="C8811" t="inlineStr">
        <is>
          <t>Shampoo</t>
        </is>
      </c>
      <c r="D8811" t="inlineStr">
        <is>
          <t>Christophe Robin</t>
        </is>
      </c>
      <c r="E8811" t="n">
        <v>18.09</v>
      </c>
      <c r="F8811" t="n">
        <v>1</v>
      </c>
      <c r="G8811" t="n">
        <v>5</v>
      </c>
      <c r="H8811" s="5">
        <f>HYPERLINK("https://api.qogita.com/variants/link/5056379590678/", "View Product")</f>
        <v/>
      </c>
    </row>
    <row r="8812">
      <c r="A8812" t="inlineStr">
        <is>
          <t>5056585803104</t>
        </is>
      </c>
      <c r="B8812" t="inlineStr">
        <is>
          <t>Scholl Cracked Heel Repair Restoring Balm Effective Treatment For Cracked Heels</t>
        </is>
      </c>
      <c r="C8812" t="inlineStr">
        <is>
          <t>Foot Cream</t>
        </is>
      </c>
      <c r="D8812" t="inlineStr">
        <is>
          <t>Scholl</t>
        </is>
      </c>
      <c r="E8812" t="n">
        <v>9.91</v>
      </c>
      <c r="F8812" t="n">
        <v>1</v>
      </c>
      <c r="G8812" t="n">
        <v>14</v>
      </c>
      <c r="H8812" s="5">
        <f>HYPERLINK("https://api.qogita.com/variants/link/5056585803104/", "View Product")</f>
        <v/>
      </c>
    </row>
    <row r="8813">
      <c r="A8813" t="inlineStr">
        <is>
          <t>5056634234859</t>
        </is>
      </c>
      <c r="B8813" t="inlineStr">
        <is>
          <t>Grace Cole Body Care Gift Set Praline Vanilla - 4 Pieces</t>
        </is>
      </c>
      <c r="C8813" t="inlineStr">
        <is>
          <t>Body Care Sets</t>
        </is>
      </c>
      <c r="D8813" t="inlineStr">
        <is>
          <t>Grace Cole</t>
        </is>
      </c>
      <c r="E8813" t="n">
        <v>9.970000000000001</v>
      </c>
      <c r="F8813" t="n">
        <v>1</v>
      </c>
      <c r="G8813" t="n">
        <v>11</v>
      </c>
      <c r="H8813" s="5">
        <f>HYPERLINK("https://api.qogita.com/variants/link/5056634234859/", "View Product")</f>
        <v/>
      </c>
    </row>
    <row r="8814">
      <c r="A8814" t="inlineStr">
        <is>
          <t>5056634242069</t>
        </is>
      </c>
      <c r="B8814" t="inlineStr">
        <is>
          <t>Grace Cole Body Care Gift Set In A Bag Orange Ylang Ylang 5 Pieces</t>
        </is>
      </c>
      <c r="C8814" t="inlineStr">
        <is>
          <t>Body Care Sets</t>
        </is>
      </c>
      <c r="D8814" t="inlineStr">
        <is>
          <t>Grace Cole</t>
        </is>
      </c>
      <c r="E8814" t="n">
        <v>15.3</v>
      </c>
      <c r="F8814" t="n">
        <v>1</v>
      </c>
      <c r="G8814" t="n">
        <v>5</v>
      </c>
      <c r="H8814" s="5">
        <f>HYPERLINK("https://api.qogita.com/variants/link/5056634242069/", "View Product")</f>
        <v/>
      </c>
    </row>
    <row r="8815">
      <c r="A8815" t="inlineStr">
        <is>
          <t>5056634249082</t>
        </is>
      </c>
      <c r="B8815" t="inlineStr">
        <is>
          <t>Grace Cole Sparkling Pear Body Care Set 4 Pieces</t>
        </is>
      </c>
      <c r="C8815" t="inlineStr">
        <is>
          <t>Body Care Sets</t>
        </is>
      </c>
      <c r="D8815" t="inlineStr">
        <is>
          <t>Grace Cole</t>
        </is>
      </c>
      <c r="E8815" t="n">
        <v>9.859999999999999</v>
      </c>
      <c r="F8815" t="n">
        <v>1</v>
      </c>
      <c r="G8815" t="n">
        <v>7</v>
      </c>
      <c r="H8815" s="5">
        <f>HYPERLINK("https://api.qogita.com/variants/link/5056634249082/", "View Product")</f>
        <v/>
      </c>
    </row>
    <row r="8816">
      <c r="A8816" t="inlineStr">
        <is>
          <t>5056634256714</t>
        </is>
      </c>
      <c r="B8816" t="inlineStr">
        <is>
          <t>Grace Cole Gift Set Of Lavender Effervescent Bath Tablets - 4 X 50 Grams</t>
        </is>
      </c>
      <c r="C8816" t="inlineStr">
        <is>
          <t>Bath Salts &amp; Bath Bombs</t>
        </is>
      </c>
      <c r="D8816" t="inlineStr">
        <is>
          <t>Grace Cole</t>
        </is>
      </c>
      <c r="E8816" t="n">
        <v>7.1</v>
      </c>
      <c r="F8816" t="n">
        <v>1</v>
      </c>
      <c r="G8816" t="n">
        <v>16</v>
      </c>
      <c r="H8816" s="5">
        <f>HYPERLINK("https://api.qogita.com/variants/link/5056634256714/", "View Product")</f>
        <v/>
      </c>
    </row>
    <row r="8817">
      <c r="A8817" t="inlineStr">
        <is>
          <t>5056634265198</t>
        </is>
      </c>
      <c r="B8817" t="inlineStr">
        <is>
          <t>Grace Cole Sparkling Pear Body Care Set Pear &amp; Nectarine Flower 4 Pieces</t>
        </is>
      </c>
      <c r="C8817" t="inlineStr">
        <is>
          <t>Body Care Sets</t>
        </is>
      </c>
      <c r="D8817" t="inlineStr">
        <is>
          <t>Grace Cole</t>
        </is>
      </c>
      <c r="E8817" t="n">
        <v>11.47</v>
      </c>
      <c r="F8817" t="n">
        <v>1</v>
      </c>
      <c r="G8817" t="n">
        <v>11</v>
      </c>
      <c r="H8817" s="5">
        <f>HYPERLINK("https://api.qogita.com/variants/link/5056634265198/", "View Product")</f>
        <v/>
      </c>
    </row>
    <row r="8818">
      <c r="A8818" t="inlineStr">
        <is>
          <t>5056634273988</t>
        </is>
      </c>
      <c r="B8818" t="inlineStr">
        <is>
          <t>Grace Cole Body Care Gift Set In A Tin - Christmas Sweets Cocoa &amp; Vanilla 4 Pieces</t>
        </is>
      </c>
      <c r="C8818" t="inlineStr">
        <is>
          <t>Body Care Sets</t>
        </is>
      </c>
      <c r="D8818" t="inlineStr">
        <is>
          <t>Grace Cole</t>
        </is>
      </c>
      <c r="E8818" t="n">
        <v>12.83</v>
      </c>
      <c r="F8818" t="n">
        <v>1</v>
      </c>
      <c r="G8818" t="n">
        <v>14</v>
      </c>
      <c r="H8818" s="5">
        <f>HYPERLINK("https://api.qogita.com/variants/link/5056634273988/", "View Product")</f>
        <v/>
      </c>
    </row>
    <row r="8819">
      <c r="A8819" t="inlineStr">
        <is>
          <t>5056634286957</t>
        </is>
      </c>
      <c r="B8819" t="inlineStr">
        <is>
          <t>Grace Cole Toasted Praline Body Care Set With Thermos Christmas Cookies Vanilla 4 Pieces</t>
        </is>
      </c>
      <c r="C8819" t="inlineStr">
        <is>
          <t>Body Care Sets</t>
        </is>
      </c>
      <c r="D8819" t="inlineStr">
        <is>
          <t>Grace Cole</t>
        </is>
      </c>
      <c r="E8819" t="n">
        <v>23.54</v>
      </c>
      <c r="F8819" t="n">
        <v>1</v>
      </c>
      <c r="G8819" t="n">
        <v>9</v>
      </c>
      <c r="H8819" s="5">
        <f>HYPERLINK("https://api.qogita.com/variants/link/5056634286957/", "View Product")</f>
        <v/>
      </c>
    </row>
    <row r="8820">
      <c r="A8820" t="inlineStr">
        <is>
          <t>5056634298165</t>
        </is>
      </c>
      <c r="B8820" t="inlineStr">
        <is>
          <t>Grace Cole Body Care Gift Set In A Cosmetic Bag Vanilla &amp; Almond 5 Pieces</t>
        </is>
      </c>
      <c r="C8820" t="inlineStr">
        <is>
          <t>Body Care Sets</t>
        </is>
      </c>
      <c r="D8820" t="inlineStr">
        <is>
          <t>Grace Cole</t>
        </is>
      </c>
      <c r="E8820" t="n">
        <v>19.31</v>
      </c>
      <c r="F8820" t="n">
        <v>1</v>
      </c>
      <c r="G8820" t="n">
        <v>5</v>
      </c>
      <c r="H8820" s="5">
        <f>HYPERLINK("https://api.qogita.com/variants/link/5056634298165/", "View Product")</f>
        <v/>
      </c>
    </row>
    <row r="8821">
      <c r="A8821" t="inlineStr">
        <is>
          <t>5056663800049</t>
        </is>
      </c>
      <c r="B8821" t="inlineStr">
        <is>
          <t>Roja Parfums Isola Blu Perfume Spray for Unisex 50g</t>
        </is>
      </c>
      <c r="C8821" t="inlineStr">
        <is>
          <t>Eau De Parfum</t>
        </is>
      </c>
      <c r="D8821" t="inlineStr">
        <is>
          <t>Roja Parfums</t>
        </is>
      </c>
      <c r="E8821" t="n">
        <v>249.12</v>
      </c>
      <c r="F8821" t="n">
        <v>1</v>
      </c>
      <c r="G8821" t="n">
        <v>64</v>
      </c>
      <c r="H8821" s="5">
        <f>HYPERLINK("https://api.qogita.com/variants/link/5056663800049/", "View Product")</f>
        <v/>
      </c>
    </row>
    <row r="8822">
      <c r="A8822" t="inlineStr">
        <is>
          <t>5056663800315</t>
        </is>
      </c>
      <c r="B8822" t="inlineStr">
        <is>
          <t>Roja Parfums Enigma Eau De Parfum For Women 75ml</t>
        </is>
      </c>
      <c r="C8822" t="inlineStr">
        <is>
          <t>Eau De Parfum</t>
        </is>
      </c>
      <c r="D8822" t="inlineStr">
        <is>
          <t>Roja Parfums</t>
        </is>
      </c>
      <c r="E8822" t="n">
        <v>185.12</v>
      </c>
      <c r="F8822" t="n">
        <v>1</v>
      </c>
      <c r="G8822" t="n">
        <v>5</v>
      </c>
      <c r="H8822" s="5">
        <f>HYPERLINK("https://api.qogita.com/variants/link/5056663800315/", "View Product")</f>
        <v/>
      </c>
    </row>
    <row r="8823">
      <c r="A8823" t="inlineStr">
        <is>
          <t>5056663800339</t>
        </is>
      </c>
      <c r="B8823" t="inlineStr">
        <is>
          <t>Roja Parfums Scandal Eau De Parfum Spray 75ml</t>
        </is>
      </c>
      <c r="C8823" t="inlineStr">
        <is>
          <t>Eau De Parfum</t>
        </is>
      </c>
      <c r="D8823" t="inlineStr">
        <is>
          <t>Roja Parfums</t>
        </is>
      </c>
      <c r="E8823" t="n">
        <v>138.73</v>
      </c>
      <c r="F8823" t="n">
        <v>1</v>
      </c>
      <c r="G8823" t="n">
        <v>3</v>
      </c>
      <c r="H8823" s="5">
        <f>HYPERLINK("https://api.qogita.com/variants/link/5056663800339/", "View Product")</f>
        <v/>
      </c>
    </row>
    <row r="8824">
      <c r="A8824" t="inlineStr">
        <is>
          <t>5056663801282</t>
        </is>
      </c>
      <c r="B8824" t="inlineStr">
        <is>
          <t>Roja Parfums Taif Aoud Parfum Spray 50ml</t>
        </is>
      </c>
      <c r="C8824" t="inlineStr">
        <is>
          <t>Eau De Parfum</t>
        </is>
      </c>
      <c r="D8824" t="inlineStr">
        <is>
          <t>Roja Parfums</t>
        </is>
      </c>
      <c r="E8824" t="n">
        <v>186.85</v>
      </c>
      <c r="F8824" t="n">
        <v>1</v>
      </c>
      <c r="G8824" t="n">
        <v>7</v>
      </c>
      <c r="H8824" s="5">
        <f>HYPERLINK("https://api.qogita.com/variants/link/5056663801282/", "View Product")</f>
        <v/>
      </c>
    </row>
    <row r="8825">
      <c r="A8825" t="inlineStr">
        <is>
          <t>5057566011792</t>
        </is>
      </c>
      <c r="B8825" t="inlineStr">
        <is>
          <t>Revolution Make Up Sport Fix Extra Hold Makeup Fixing Spray 100ml</t>
        </is>
      </c>
      <c r="C8825" t="inlineStr">
        <is>
          <t>Setting Spray</t>
        </is>
      </c>
      <c r="D8825" t="inlineStr">
        <is>
          <t>Revolution</t>
        </is>
      </c>
      <c r="E8825" t="n">
        <v>7.88</v>
      </c>
      <c r="F8825" t="n">
        <v>1</v>
      </c>
      <c r="G8825" t="n">
        <v>19</v>
      </c>
      <c r="H8825" s="5">
        <f>HYPERLINK("https://api.qogita.com/variants/link/5057566011792/", "View Product")</f>
        <v/>
      </c>
    </row>
    <row r="8826">
      <c r="A8826" t="inlineStr">
        <is>
          <t>5057566028325</t>
        </is>
      </c>
      <c r="B8826" t="inlineStr">
        <is>
          <t>Revolution Pro Bare Lipstick Collection Set Of Five Lipsticks 5 X 32 G</t>
        </is>
      </c>
      <c r="C8826" t="inlineStr">
        <is>
          <t>Lip Sets</t>
        </is>
      </c>
      <c r="D8826" t="inlineStr">
        <is>
          <t>Makeup Revolution</t>
        </is>
      </c>
      <c r="E8826" t="n">
        <v>8.77</v>
      </c>
      <c r="F8826" t="n">
        <v>1</v>
      </c>
      <c r="G8826" t="n">
        <v>3</v>
      </c>
      <c r="H8826" s="5">
        <f>HYPERLINK("https://api.qogita.com/variants/link/5057566028325/", "View Product")</f>
        <v/>
      </c>
    </row>
    <row r="8827">
      <c r="A8827" t="inlineStr">
        <is>
          <t>5057566051866</t>
        </is>
      </c>
      <c r="B8827" t="inlineStr">
        <is>
          <t>Makeup Revolution Define Blend Set With Color Switching Sponge Gift Set Of Brushes</t>
        </is>
      </c>
      <c r="C8827" t="inlineStr">
        <is>
          <t>Brush Sets</t>
        </is>
      </c>
      <c r="D8827" t="inlineStr">
        <is>
          <t>Makeup Revolution</t>
        </is>
      </c>
      <c r="E8827" t="n">
        <v>10.34</v>
      </c>
      <c r="F8827" t="n">
        <v>1</v>
      </c>
      <c r="G8827" t="n">
        <v>3</v>
      </c>
      <c r="H8827" s="5">
        <f>HYPERLINK("https://api.qogita.com/variants/link/5057566051866/", "View Product")</f>
        <v/>
      </c>
    </row>
    <row r="8828">
      <c r="A8828" t="inlineStr">
        <is>
          <t>5057566064958</t>
        </is>
      </c>
      <c r="B8828" t="inlineStr">
        <is>
          <t>Makeup Revolution Cheek Kit Palette Palette Of Brighteners And Bronzers 8 G</t>
        </is>
      </c>
      <c r="C8828" t="inlineStr">
        <is>
          <t>Complexion Sets &amp; Pallets</t>
        </is>
      </c>
      <c r="D8828" t="inlineStr">
        <is>
          <t>Makeup Revolution</t>
        </is>
      </c>
      <c r="E8828" t="n">
        <v>6.18</v>
      </c>
      <c r="F8828" t="n">
        <v>1</v>
      </c>
      <c r="G8828" t="n">
        <v>5</v>
      </c>
      <c r="H8828" s="5">
        <f>HYPERLINK("https://api.qogita.com/variants/link/5057566064958/", "View Product")</f>
        <v/>
      </c>
    </row>
    <row r="8829">
      <c r="A8829" t="inlineStr">
        <is>
          <t>5057566072182</t>
        </is>
      </c>
      <c r="B8829" t="inlineStr">
        <is>
          <t>Makeup Revolution Baking Powder Loose Powder 32 G Banana Deep</t>
        </is>
      </c>
      <c r="C8829" t="inlineStr">
        <is>
          <t>Powder</t>
        </is>
      </c>
      <c r="D8829" t="inlineStr">
        <is>
          <t>Makeup Revolution</t>
        </is>
      </c>
      <c r="E8829" t="n">
        <v>5.37</v>
      </c>
      <c r="F8829" t="n">
        <v>1</v>
      </c>
      <c r="G8829" t="n">
        <v>3</v>
      </c>
      <c r="H8829" s="5">
        <f>HYPERLINK("https://api.qogita.com/variants/link/5057566072182/", "View Product")</f>
        <v/>
      </c>
    </row>
    <row r="8830">
      <c r="A8830" t="inlineStr">
        <is>
          <t>5057566082266</t>
        </is>
      </c>
      <c r="B8830" t="inlineStr">
        <is>
          <t>Makeup Revolution Precise Brow Pencil Dual Ended Eyebrow Pencil and Spoolie Brush Fine Tip Dark Brown 9g</t>
        </is>
      </c>
      <c r="C8830" t="inlineStr">
        <is>
          <t>Eyebrow Pencil</t>
        </is>
      </c>
      <c r="D8830" t="inlineStr">
        <is>
          <t>Makeup Revolution</t>
        </is>
      </c>
      <c r="E8830" t="n">
        <v>5.35</v>
      </c>
      <c r="F8830" t="n">
        <v>1</v>
      </c>
      <c r="G8830" t="n">
        <v>12</v>
      </c>
      <c r="H8830" s="5">
        <f>HYPERLINK("https://api.qogita.com/variants/link/5057566082266/", "View Product")</f>
        <v/>
      </c>
    </row>
    <row r="8831">
      <c r="A8831" t="inlineStr">
        <is>
          <t>5057566082310</t>
        </is>
      </c>
      <c r="B8831" t="inlineStr">
        <is>
          <t>Makeup Revolution Precise Brow Pencil Light Brown With 005 G Brush</t>
        </is>
      </c>
      <c r="C8831" t="inlineStr">
        <is>
          <t>Eyebrow Pencil</t>
        </is>
      </c>
      <c r="D8831" t="inlineStr">
        <is>
          <t>Makeup Revolution</t>
        </is>
      </c>
      <c r="E8831" t="n">
        <v>5.35</v>
      </c>
      <c r="F8831" t="n">
        <v>1</v>
      </c>
      <c r="G8831" t="n">
        <v>5</v>
      </c>
      <c r="H8831" s="5">
        <f>HYPERLINK("https://api.qogita.com/variants/link/5057566082310/", "View Product")</f>
        <v/>
      </c>
    </row>
    <row r="8832">
      <c r="A8832" t="inlineStr">
        <is>
          <t>5057566086769</t>
        </is>
      </c>
      <c r="B8832" t="inlineStr">
        <is>
          <t>Makeup Revolution Highlight Reloaded Highly Pigmented Shimmer Glow Finish Face</t>
        </is>
      </c>
      <c r="C8832" t="inlineStr">
        <is>
          <t>Highlighter</t>
        </is>
      </c>
      <c r="D8832" t="inlineStr">
        <is>
          <t>Makeup Revolution</t>
        </is>
      </c>
      <c r="E8832" t="n">
        <v>5.35</v>
      </c>
      <c r="F8832" t="n">
        <v>1</v>
      </c>
      <c r="G8832" t="n">
        <v>10</v>
      </c>
      <c r="H8832" s="5">
        <f>HYPERLINK("https://api.qogita.com/variants/link/5057566086769/", "View Product")</f>
        <v/>
      </c>
    </row>
    <row r="8833">
      <c r="A8833" t="inlineStr">
        <is>
          <t>5057566108188</t>
        </is>
      </c>
      <c r="B8833" t="inlineStr">
        <is>
          <t>Makeup Revolution Hydrate Fix Fixation Spray For Makeup</t>
        </is>
      </c>
      <c r="C8833" t="inlineStr">
        <is>
          <t>Setting Spray</t>
        </is>
      </c>
      <c r="D8833" t="inlineStr">
        <is>
          <t>Makeup Revolution</t>
        </is>
      </c>
      <c r="E8833" t="n">
        <v>9.640000000000001</v>
      </c>
      <c r="F8833" t="n">
        <v>1</v>
      </c>
      <c r="G8833" t="n">
        <v>2</v>
      </c>
      <c r="H8833" s="5">
        <f>HYPERLINK("https://api.qogita.com/variants/link/5057566108188/", "View Product")</f>
        <v/>
      </c>
    </row>
    <row r="8834">
      <c r="A8834" t="inlineStr">
        <is>
          <t>5057566108720</t>
        </is>
      </c>
      <c r="B8834" t="inlineStr">
        <is>
          <t>Makeup Revolution Blusher Reloaded Peaches &amp; Cream Rhubarb &amp; Vanilla Pudding</t>
        </is>
      </c>
      <c r="C8834" t="inlineStr">
        <is>
          <t>Blush</t>
        </is>
      </c>
      <c r="D8834" t="inlineStr">
        <is>
          <t>Revolution Beauty</t>
        </is>
      </c>
      <c r="E8834" t="n">
        <v>5.35</v>
      </c>
      <c r="F8834" t="n">
        <v>1</v>
      </c>
      <c r="G8834" t="n">
        <v>2</v>
      </c>
      <c r="H8834" s="5">
        <f>HYPERLINK("https://api.qogita.com/variants/link/5057566108720/", "View Product")</f>
        <v/>
      </c>
    </row>
    <row r="8835">
      <c r="A8835" t="inlineStr">
        <is>
          <t>5057566120531</t>
        </is>
      </c>
      <c r="B8835" t="inlineStr">
        <is>
          <t>Revolution Beauty London Skincare Dark Spot Corrector 30ml</t>
        </is>
      </c>
      <c r="C8835" t="inlineStr">
        <is>
          <t>Vitamin Serum</t>
        </is>
      </c>
      <c r="D8835" t="inlineStr">
        <is>
          <t>Revolution Beauty</t>
        </is>
      </c>
      <c r="E8835" t="n">
        <v>10.82</v>
      </c>
      <c r="F8835" t="n">
        <v>1</v>
      </c>
      <c r="G8835" t="n">
        <v>20</v>
      </c>
      <c r="H8835" s="5">
        <f>HYPERLINK("https://api.qogita.com/variants/link/5057566120531/", "View Product")</f>
        <v/>
      </c>
    </row>
    <row r="8836">
      <c r="A8836" t="inlineStr">
        <is>
          <t>5057566121613</t>
        </is>
      </c>
      <c r="B8836" t="inlineStr">
        <is>
          <t>Makeup Revolution Blusher Reloaded Ballerina 7.5g</t>
        </is>
      </c>
      <c r="C8836" t="inlineStr">
        <is>
          <t>Blush</t>
        </is>
      </c>
      <c r="D8836" t="inlineStr">
        <is>
          <t>I Heart Revolution</t>
        </is>
      </c>
      <c r="E8836" t="n">
        <v>5.35</v>
      </c>
      <c r="F8836" t="n">
        <v>1</v>
      </c>
      <c r="G8836" t="n">
        <v>11</v>
      </c>
      <c r="H8836" s="5">
        <f>HYPERLINK("https://api.qogita.com/variants/link/5057566121613/", "View Product")</f>
        <v/>
      </c>
    </row>
    <row r="8837">
      <c r="A8837" t="inlineStr">
        <is>
          <t>5057566125956</t>
        </is>
      </c>
      <c r="B8837" t="inlineStr">
        <is>
          <t>Makeup Revolution London Pro Hydra Matte Primer Serum 30ml</t>
        </is>
      </c>
      <c r="C8837" t="inlineStr">
        <is>
          <t>Primer</t>
        </is>
      </c>
      <c r="D8837" t="inlineStr">
        <is>
          <t>Revolution Pro</t>
        </is>
      </c>
      <c r="E8837" t="n">
        <v>11.48</v>
      </c>
      <c r="F8837" t="n">
        <v>1</v>
      </c>
      <c r="G8837" t="n">
        <v>5</v>
      </c>
      <c r="H8837" s="5">
        <f>HYPERLINK("https://api.qogita.com/variants/link/5057566125956/", "View Product")</f>
        <v/>
      </c>
    </row>
    <row r="8838">
      <c r="A8838" t="inlineStr">
        <is>
          <t>5057566132305</t>
        </is>
      </c>
      <c r="B8838" t="inlineStr">
        <is>
          <t>Makeup Revolution Conceal Hydrate Radiance Concealer Hydration Concealer 13 G C3</t>
        </is>
      </c>
      <c r="C8838" t="inlineStr">
        <is>
          <t>Concealer</t>
        </is>
      </c>
      <c r="D8838" t="inlineStr">
        <is>
          <t>Makeup Revolution</t>
        </is>
      </c>
      <c r="E8838" t="n">
        <v>4</v>
      </c>
      <c r="F8838" t="n">
        <v>1</v>
      </c>
      <c r="G8838" t="n">
        <v>20</v>
      </c>
      <c r="H8838" s="5">
        <f>HYPERLINK("https://api.qogita.com/variants/link/5057566132305/", "View Product")</f>
        <v/>
      </c>
    </row>
    <row r="8839">
      <c r="A8839" t="inlineStr">
        <is>
          <t>5057566145794</t>
        </is>
      </c>
      <c r="B8839" t="inlineStr">
        <is>
          <t>Makeup Revolution Ultra Blush And Contour Blush Palette Golden Sugar 8 X 16g</t>
        </is>
      </c>
      <c r="C8839" t="inlineStr">
        <is>
          <t>Complexion Sets &amp; Pallets</t>
        </is>
      </c>
      <c r="D8839" t="inlineStr">
        <is>
          <t>Makeup Revolution</t>
        </is>
      </c>
      <c r="E8839" t="n">
        <v>8.77</v>
      </c>
      <c r="F8839" t="n">
        <v>1</v>
      </c>
      <c r="G8839" t="n">
        <v>5</v>
      </c>
      <c r="H8839" s="5">
        <f>HYPERLINK("https://api.qogita.com/variants/link/5057566145794/", "View Product")</f>
        <v/>
      </c>
    </row>
    <row r="8840">
      <c r="A8840" t="inlineStr">
        <is>
          <t>5057566169905</t>
        </is>
      </c>
      <c r="B8840" t="inlineStr">
        <is>
          <t>Makeup Revolution Pout Bomb Plumping Lip Gloss 46 Ml Glaze</t>
        </is>
      </c>
      <c r="C8840" t="inlineStr">
        <is>
          <t>Lip Gloss</t>
        </is>
      </c>
      <c r="D8840" t="inlineStr">
        <is>
          <t>Makeup Revolution</t>
        </is>
      </c>
      <c r="E8840" t="n">
        <v>7.04</v>
      </c>
      <c r="F8840" t="n">
        <v>1</v>
      </c>
      <c r="G8840" t="n">
        <v>3</v>
      </c>
      <c r="H8840" s="5">
        <f>HYPERLINK("https://api.qogita.com/variants/link/5057566169905/", "View Product")</f>
        <v/>
      </c>
    </row>
    <row r="8841">
      <c r="A8841" t="inlineStr">
        <is>
          <t>5057566170024</t>
        </is>
      </c>
      <c r="B8841" t="inlineStr">
        <is>
          <t>Makeup Revolution Lip Vinyl Intense Shine Lipgloss Liquid Lipstick 36 Ml Ruby</t>
        </is>
      </c>
      <c r="C8841" t="inlineStr">
        <is>
          <t>Lip Gloss</t>
        </is>
      </c>
      <c r="D8841" t="inlineStr">
        <is>
          <t>Makeup Revolution</t>
        </is>
      </c>
      <c r="E8841" t="n">
        <v>6.54</v>
      </c>
      <c r="F8841" t="n">
        <v>1</v>
      </c>
      <c r="G8841" t="n">
        <v>3</v>
      </c>
      <c r="H8841" s="5">
        <f>HYPERLINK("https://api.qogita.com/variants/link/5057566170024/", "View Product")</f>
        <v/>
      </c>
    </row>
    <row r="8842">
      <c r="A8842" t="inlineStr">
        <is>
          <t>5057566174619</t>
        </is>
      </c>
      <c r="B8842" t="inlineStr">
        <is>
          <t>Makeup Revolution Big Lash Xl Volume Waterproof Mascara 8 G Black</t>
        </is>
      </c>
      <c r="C8842" t="inlineStr">
        <is>
          <t>Mascara</t>
        </is>
      </c>
      <c r="D8842" t="inlineStr">
        <is>
          <t>Makeup Revolution</t>
        </is>
      </c>
      <c r="E8842" t="n">
        <v>6.56</v>
      </c>
      <c r="F8842" t="n">
        <v>1</v>
      </c>
      <c r="G8842" t="n">
        <v>7</v>
      </c>
      <c r="H8842" s="5">
        <f>HYPERLINK("https://api.qogita.com/variants/link/5057566174619/", "View Product")</f>
        <v/>
      </c>
    </row>
    <row r="8843">
      <c r="A8843" t="inlineStr">
        <is>
          <t>5057566174824</t>
        </is>
      </c>
      <c r="B8843" t="inlineStr">
        <is>
          <t>Makeup Revolution High Brow Gel Eyebrow Fixing Gel 6 Ml Clear</t>
        </is>
      </c>
      <c r="C8843" t="inlineStr">
        <is>
          <t>Eyebrow Gel</t>
        </is>
      </c>
      <c r="D8843" t="inlineStr">
        <is>
          <t>Makeup Revolution</t>
        </is>
      </c>
      <c r="E8843" t="n">
        <v>6.56</v>
      </c>
      <c r="F8843" t="n">
        <v>1</v>
      </c>
      <c r="G8843" t="n">
        <v>6</v>
      </c>
      <c r="H8843" s="5">
        <f>HYPERLINK("https://api.qogita.com/variants/link/5057566174824/", "View Product")</f>
        <v/>
      </c>
    </row>
    <row r="8844">
      <c r="A8844" t="inlineStr">
        <is>
          <t>5057566194822</t>
        </is>
      </c>
      <c r="B8844" t="inlineStr">
        <is>
          <t>Revolution Pro New Neutral Lipstick Satin Matte Lipstick 32 G</t>
        </is>
      </c>
      <c r="C8844" t="inlineStr">
        <is>
          <t>Lipstick</t>
        </is>
      </c>
      <c r="D8844" t="inlineStr">
        <is>
          <t>Revolution Pro</t>
        </is>
      </c>
      <c r="E8844" t="n">
        <v>7.23</v>
      </c>
      <c r="F8844" t="n">
        <v>1</v>
      </c>
      <c r="G8844" t="n">
        <v>2</v>
      </c>
      <c r="H8844" s="5">
        <f>HYPERLINK("https://api.qogita.com/variants/link/5057566194822/", "View Product")</f>
        <v/>
      </c>
    </row>
    <row r="8845">
      <c r="A8845" t="inlineStr">
        <is>
          <t>5057566220859</t>
        </is>
      </c>
      <c r="B8845" t="inlineStr">
        <is>
          <t>Makeup Revolution Maxi Reloaded Eyeshadow Palette Monster Mattes 6075 G</t>
        </is>
      </c>
      <c r="C8845" t="inlineStr">
        <is>
          <t>Eyeshadow</t>
        </is>
      </c>
      <c r="D8845" t="inlineStr">
        <is>
          <t>Makeup Revolution</t>
        </is>
      </c>
      <c r="E8845" t="n">
        <v>15.69</v>
      </c>
      <c r="F8845" t="n">
        <v>1</v>
      </c>
      <c r="G8845" t="n">
        <v>5</v>
      </c>
      <c r="H8845" s="5">
        <f>HYPERLINK("https://api.qogita.com/variants/link/5057566220859/", "View Product")</f>
        <v/>
      </c>
    </row>
    <row r="8846">
      <c r="A8846" t="inlineStr">
        <is>
          <t>5057566229487</t>
        </is>
      </c>
      <c r="B8846" t="inlineStr">
        <is>
          <t>Makeup Revolution Infinite Translucent Pressed Powder Transparent Pressed Powder 7 G</t>
        </is>
      </c>
      <c r="C8846" t="inlineStr">
        <is>
          <t>Powder</t>
        </is>
      </c>
      <c r="D8846" t="inlineStr">
        <is>
          <t>Makeup Revolution</t>
        </is>
      </c>
      <c r="E8846" t="n">
        <v>8.85</v>
      </c>
      <c r="F8846" t="n">
        <v>1</v>
      </c>
      <c r="G8846" t="n">
        <v>3</v>
      </c>
      <c r="H8846" s="5">
        <f>HYPERLINK("https://api.qogita.com/variants/link/5057566229487/", "View Product")</f>
        <v/>
      </c>
    </row>
    <row r="8847">
      <c r="A8847" t="inlineStr">
        <is>
          <t>5057566262842</t>
        </is>
      </c>
      <c r="B8847" t="inlineStr">
        <is>
          <t>Makeup Revolution Skincare Splash Boost Cream 50ml</t>
        </is>
      </c>
      <c r="C8847" t="inlineStr">
        <is>
          <t>Face Cream</t>
        </is>
      </c>
      <c r="D8847" t="inlineStr">
        <is>
          <t>Makeup Revolution</t>
        </is>
      </c>
      <c r="E8847" t="n">
        <v>5.3</v>
      </c>
      <c r="F8847" t="n">
        <v>1</v>
      </c>
      <c r="G8847" t="n">
        <v>7</v>
      </c>
      <c r="H8847" s="5">
        <f>HYPERLINK("https://api.qogita.com/variants/link/5057566262842/", "View Product")</f>
        <v/>
      </c>
    </row>
    <row r="8848">
      <c r="A8848" t="inlineStr">
        <is>
          <t>5057566283281</t>
        </is>
      </c>
      <c r="B8848" t="inlineStr">
        <is>
          <t>Makeup Revolution Create Sculpting Powder Brush R9</t>
        </is>
      </c>
      <c r="C8848" t="inlineStr">
        <is>
          <t>Powder Brushes</t>
        </is>
      </c>
      <c r="D8848" t="inlineStr">
        <is>
          <t>Makeup Revolution</t>
        </is>
      </c>
      <c r="E8848" t="n">
        <v>8.06</v>
      </c>
      <c r="F8848" t="n">
        <v>1</v>
      </c>
      <c r="G8848" t="n">
        <v>3</v>
      </c>
      <c r="H8848" s="5">
        <f>HYPERLINK("https://api.qogita.com/variants/link/5057566283281/", "View Product")</f>
        <v/>
      </c>
    </row>
    <row r="8849">
      <c r="A8849" t="inlineStr">
        <is>
          <t>5057566296373</t>
        </is>
      </c>
      <c r="B8849" t="inlineStr">
        <is>
          <t>Makeup Revolution Balayage Brow Eyebrow Pencil Ash Brown 38 Grams</t>
        </is>
      </c>
      <c r="C8849" t="inlineStr">
        <is>
          <t>Eyebrow Pencil</t>
        </is>
      </c>
      <c r="D8849" t="inlineStr">
        <is>
          <t>Makeup Revolution</t>
        </is>
      </c>
      <c r="E8849" t="n">
        <v>8.77</v>
      </c>
      <c r="F8849" t="n">
        <v>1</v>
      </c>
      <c r="G8849" t="n">
        <v>5</v>
      </c>
      <c r="H8849" s="5">
        <f>HYPERLINK("https://api.qogita.com/variants/link/5057566296373/", "View Product")</f>
        <v/>
      </c>
    </row>
    <row r="8850">
      <c r="A8850" t="inlineStr">
        <is>
          <t>5057566311458</t>
        </is>
      </c>
      <c r="B8850" t="inlineStr">
        <is>
          <t>Makeup Revolution London Superdewy 50ml</t>
        </is>
      </c>
      <c r="C8850" t="inlineStr">
        <is>
          <t>Bb Cream &amp; Cc Cream</t>
        </is>
      </c>
      <c r="D8850" t="inlineStr">
        <is>
          <t>Makeup Revolution</t>
        </is>
      </c>
      <c r="E8850" t="n">
        <v>9.56</v>
      </c>
      <c r="F8850" t="n">
        <v>1</v>
      </c>
      <c r="G8850" t="n">
        <v>2</v>
      </c>
      <c r="H8850" s="5">
        <f>HYPERLINK("https://api.qogita.com/variants/link/5057566311458/", "View Product")</f>
        <v/>
      </c>
    </row>
    <row r="8851">
      <c r="A8851" t="inlineStr">
        <is>
          <t>5057566328302</t>
        </is>
      </c>
      <c r="B8851" t="inlineStr">
        <is>
          <t>Revolution Skincare Body Skincare Vitamin C Glow Moisture Cream 200 Ml Nourishing Body Cream</t>
        </is>
      </c>
      <c r="C8851" t="inlineStr">
        <is>
          <t>Body Lotion</t>
        </is>
      </c>
      <c r="D8851" t="inlineStr">
        <is>
          <t>Revolution Skincare</t>
        </is>
      </c>
      <c r="E8851" t="n">
        <v>11.38</v>
      </c>
      <c r="F8851" t="n">
        <v>1</v>
      </c>
      <c r="G8851" t="n">
        <v>5</v>
      </c>
      <c r="H8851" s="5">
        <f>HYPERLINK("https://api.qogita.com/variants/link/5057566328302/", "View Product")</f>
        <v/>
      </c>
    </row>
    <row r="8852">
      <c r="A8852" t="inlineStr">
        <is>
          <t>5057566328760</t>
        </is>
      </c>
      <c r="B8852" t="inlineStr">
        <is>
          <t>Revolution Skincare Jake Jamie Watermelon Hydrating Undereye Patches 30 Pairs</t>
        </is>
      </c>
      <c r="C8852" t="inlineStr">
        <is>
          <t>Eye Masks &amp; Eye Pads</t>
        </is>
      </c>
      <c r="D8852" t="inlineStr">
        <is>
          <t>Revolution Skincare</t>
        </is>
      </c>
      <c r="E8852" t="n">
        <v>16.73</v>
      </c>
      <c r="F8852" t="n">
        <v>1</v>
      </c>
      <c r="G8852" t="n">
        <v>6</v>
      </c>
      <c r="H8852" s="5">
        <f>HYPERLINK("https://api.qogita.com/variants/link/5057566328760/", "View Product")</f>
        <v/>
      </c>
    </row>
    <row r="8853">
      <c r="A8853" t="inlineStr">
        <is>
          <t>5057566361910</t>
        </is>
      </c>
      <c r="B8853" t="inlineStr">
        <is>
          <t>Forever Flawless Dynamic Eyeshadow Palette Serenity 8g</t>
        </is>
      </c>
      <c r="C8853" t="inlineStr">
        <is>
          <t>Eye Sets &amp; Pallets</t>
        </is>
      </c>
      <c r="D8853" t="inlineStr">
        <is>
          <t>Revolution Beauty</t>
        </is>
      </c>
      <c r="E8853" t="n">
        <v>8.06</v>
      </c>
      <c r="F8853" t="n">
        <v>1</v>
      </c>
      <c r="G8853" t="n">
        <v>5</v>
      </c>
      <c r="H8853" s="5">
        <f>HYPERLINK("https://api.qogita.com/variants/link/5057566361910/", "View Product")</f>
        <v/>
      </c>
    </row>
    <row r="8854">
      <c r="A8854" t="inlineStr">
        <is>
          <t>5057566361934</t>
        </is>
      </c>
      <c r="B8854" t="inlineStr">
        <is>
          <t>Makeup Revolution Forever Flawless Dynamic Eyeshadow Palette 8 G</t>
        </is>
      </c>
      <c r="C8854" t="inlineStr">
        <is>
          <t>Eye Sets &amp; Pallets</t>
        </is>
      </c>
      <c r="D8854" t="inlineStr">
        <is>
          <t>Makeup Revolution</t>
        </is>
      </c>
      <c r="E8854" t="n">
        <v>8.06</v>
      </c>
      <c r="F8854" t="n">
        <v>1</v>
      </c>
      <c r="G8854" t="n">
        <v>6</v>
      </c>
      <c r="H8854" s="5">
        <f>HYPERLINK("https://api.qogita.com/variants/link/5057566361934/", "View Product")</f>
        <v/>
      </c>
    </row>
    <row r="8855">
      <c r="A8855" t="inlineStr">
        <is>
          <t>5057566377065</t>
        </is>
      </c>
      <c r="B8855" t="inlineStr">
        <is>
          <t>Makeup Revolution Forever Flawless Dynamic Eyeshadow Palette Mesmerized 8 G</t>
        </is>
      </c>
      <c r="C8855" t="inlineStr">
        <is>
          <t>Eye Sets &amp; Pallets</t>
        </is>
      </c>
      <c r="D8855" t="inlineStr">
        <is>
          <t>Makeup Revolution</t>
        </is>
      </c>
      <c r="E8855" t="n">
        <v>8.06</v>
      </c>
      <c r="F8855" t="n">
        <v>1</v>
      </c>
      <c r="G8855" t="n">
        <v>5</v>
      </c>
      <c r="H8855" s="5">
        <f>HYPERLINK("https://api.qogita.com/variants/link/5057566377065/", "View Product")</f>
        <v/>
      </c>
    </row>
    <row r="8856">
      <c r="A8856" t="inlineStr">
        <is>
          <t>5057566377072</t>
        </is>
      </c>
      <c r="B8856" t="inlineStr">
        <is>
          <t>Makeup Revolution Forever Flawless Dynamic Eyeshadow Palette 8 G</t>
        </is>
      </c>
      <c r="C8856" t="inlineStr">
        <is>
          <t>Eye Sets &amp; Pallets</t>
        </is>
      </c>
      <c r="D8856" t="inlineStr">
        <is>
          <t>Makeup Revolution</t>
        </is>
      </c>
      <c r="E8856" t="n">
        <v>8.06</v>
      </c>
      <c r="F8856" t="n">
        <v>1</v>
      </c>
      <c r="G8856" t="n">
        <v>5</v>
      </c>
      <c r="H8856" s="5">
        <f>HYPERLINK("https://api.qogita.com/variants/link/5057566377072/", "View Product")</f>
        <v/>
      </c>
    </row>
    <row r="8857">
      <c r="A8857" t="inlineStr">
        <is>
          <t>5057566382182</t>
        </is>
      </c>
      <c r="B8857" t="inlineStr">
        <is>
          <t>Makeup Revolution Create Fluffy Blending Brush Vegan and Cruelty-Free R4</t>
        </is>
      </c>
      <c r="C8857" t="inlineStr">
        <is>
          <t>Eyeshadow Brushes</t>
        </is>
      </c>
      <c r="D8857" t="inlineStr">
        <is>
          <t>Makeup Revolution</t>
        </is>
      </c>
      <c r="E8857" t="n">
        <v>5.48</v>
      </c>
      <c r="F8857" t="n">
        <v>1</v>
      </c>
      <c r="G8857" t="n">
        <v>4</v>
      </c>
      <c r="H8857" s="5">
        <f>HYPERLINK("https://api.qogita.com/variants/link/5057566382182/", "View Product")</f>
        <v/>
      </c>
    </row>
    <row r="8858">
      <c r="A8858" t="inlineStr">
        <is>
          <t>5057566398534</t>
        </is>
      </c>
      <c r="B8858" t="inlineStr">
        <is>
          <t>Makeup Revolution Create Ultimate Blending Sponge</t>
        </is>
      </c>
      <c r="C8858" t="inlineStr">
        <is>
          <t>Makeup Sponges</t>
        </is>
      </c>
      <c r="D8858" t="inlineStr">
        <is>
          <t>Makeup Revolution</t>
        </is>
      </c>
      <c r="E8858" t="n">
        <v>6.18</v>
      </c>
      <c r="F8858" t="n">
        <v>1</v>
      </c>
      <c r="G8858" t="n">
        <v>5</v>
      </c>
      <c r="H8858" s="5">
        <f>HYPERLINK("https://api.qogita.com/variants/link/5057566398534/", "View Product")</f>
        <v/>
      </c>
    </row>
    <row r="8859">
      <c r="A8859" t="inlineStr">
        <is>
          <t>5057566408288</t>
        </is>
      </c>
      <c r="B8859" t="inlineStr">
        <is>
          <t>Revolution Haircare Vitamin C Shine &amp; Gloss Shampoo 250 Ml</t>
        </is>
      </c>
      <c r="C8859" t="inlineStr">
        <is>
          <t>Shampoo</t>
        </is>
      </c>
      <c r="D8859" t="inlineStr">
        <is>
          <t>Revolution Haircare</t>
        </is>
      </c>
      <c r="E8859" t="n">
        <v>4.56</v>
      </c>
      <c r="F8859" t="n">
        <v>1</v>
      </c>
      <c r="G8859" t="n">
        <v>22</v>
      </c>
      <c r="H8859" s="5">
        <f>HYPERLINK("https://api.qogita.com/variants/link/5057566408288/", "View Product")</f>
        <v/>
      </c>
    </row>
    <row r="8860">
      <c r="A8860" t="inlineStr">
        <is>
          <t>5057566410038</t>
        </is>
      </c>
      <c r="B8860" t="inlineStr">
        <is>
          <t>Makeup Revolution Revolution Pro Moments Enchanting Palette Eyeshadow Palette 6 X 113 G</t>
        </is>
      </c>
      <c r="C8860" t="inlineStr">
        <is>
          <t>Eye Sets &amp; Pallets</t>
        </is>
      </c>
      <c r="D8860" t="inlineStr">
        <is>
          <t>Makeup Revolution</t>
        </is>
      </c>
      <c r="E8860" t="n">
        <v>11.29</v>
      </c>
      <c r="F8860" t="n">
        <v>1</v>
      </c>
      <c r="G8860" t="n">
        <v>7</v>
      </c>
      <c r="H8860" s="5">
        <f>HYPERLINK("https://api.qogita.com/variants/link/5057566410038/", "View Product")</f>
        <v/>
      </c>
    </row>
    <row r="8861">
      <c r="A8861" t="inlineStr">
        <is>
          <t>5057566410298</t>
        </is>
      </c>
      <c r="B8861" t="inlineStr">
        <is>
          <t>Revolution Pro New Neutral Lipliner 018 G</t>
        </is>
      </c>
      <c r="C8861" t="inlineStr">
        <is>
          <t>Lip Liner</t>
        </is>
      </c>
      <c r="D8861" t="inlineStr">
        <is>
          <t>Revolution Pro</t>
        </is>
      </c>
      <c r="E8861" t="n">
        <v>3.22</v>
      </c>
      <c r="F8861" t="n">
        <v>1</v>
      </c>
      <c r="G8861" t="n">
        <v>6</v>
      </c>
      <c r="H8861" s="5">
        <f>HYPERLINK("https://api.qogita.com/variants/link/5057566410298/", "View Product")</f>
        <v/>
      </c>
    </row>
    <row r="8862">
      <c r="A8862" t="inlineStr">
        <is>
          <t>5057566417310</t>
        </is>
      </c>
      <c r="B8862" t="inlineStr">
        <is>
          <t>Revolution Skincare Clear Quartz Roller Face Massage Roller</t>
        </is>
      </c>
      <c r="C8862" t="inlineStr">
        <is>
          <t>Facial Massage</t>
        </is>
      </c>
      <c r="D8862" t="inlineStr">
        <is>
          <t>Revolution Skincare</t>
        </is>
      </c>
      <c r="E8862" t="n">
        <v>6.7</v>
      </c>
      <c r="F8862" t="n">
        <v>1</v>
      </c>
      <c r="G8862" t="n">
        <v>6</v>
      </c>
      <c r="H8862" s="5">
        <f>HYPERLINK("https://api.qogita.com/variants/link/5057566417310/", "View Product")</f>
        <v/>
      </c>
    </row>
    <row r="8863">
      <c r="A8863" t="inlineStr">
        <is>
          <t>5057566418270</t>
        </is>
      </c>
      <c r="B8863" t="inlineStr">
        <is>
          <t>Makeup Revolution Laminate Brow Pencil 21 G Ash Brown</t>
        </is>
      </c>
      <c r="C8863" t="inlineStr">
        <is>
          <t>Eyebrow Pencil</t>
        </is>
      </c>
      <c r="D8863" t="inlineStr">
        <is>
          <t>Makeup Revolution</t>
        </is>
      </c>
      <c r="E8863" t="n">
        <v>8.77</v>
      </c>
      <c r="F8863" t="n">
        <v>1</v>
      </c>
      <c r="G8863" t="n">
        <v>3</v>
      </c>
      <c r="H8863" s="5">
        <f>HYPERLINK("https://api.qogita.com/variants/link/5057566418270/", "View Product")</f>
        <v/>
      </c>
    </row>
    <row r="8864">
      <c r="A8864" t="inlineStr">
        <is>
          <t>5057566421508</t>
        </is>
      </c>
      <c r="B8864" t="inlineStr">
        <is>
          <t>Revolution Skincare London Aloe Vera Gentle Micellar Water Makeup Remover 400ml</t>
        </is>
      </c>
      <c r="C8864" t="inlineStr">
        <is>
          <t>Micellar Water</t>
        </is>
      </c>
      <c r="D8864" t="inlineStr">
        <is>
          <t>Revolution Skincare</t>
        </is>
      </c>
      <c r="E8864" t="n">
        <v>4.17</v>
      </c>
      <c r="F8864" t="n">
        <v>1</v>
      </c>
      <c r="G8864" t="n">
        <v>11</v>
      </c>
      <c r="H8864" s="5">
        <f>HYPERLINK("https://api.qogita.com/variants/link/5057566421508/", "View Product")</f>
        <v/>
      </c>
    </row>
    <row r="8865">
      <c r="A8865" t="inlineStr">
        <is>
          <t>5057566423786</t>
        </is>
      </c>
      <c r="B8865" t="inlineStr">
        <is>
          <t>Revolution Haircare Semi-Permanent Coloring for Women</t>
        </is>
      </c>
      <c r="C8865" t="inlineStr">
        <is>
          <t>Hair Dye</t>
        </is>
      </c>
      <c r="D8865" t="inlineStr">
        <is>
          <t>Revolution Haircare</t>
        </is>
      </c>
      <c r="E8865" t="n">
        <v>11.55</v>
      </c>
      <c r="F8865" t="n">
        <v>1</v>
      </c>
      <c r="G8865" t="n">
        <v>2</v>
      </c>
      <c r="H8865" s="5">
        <f>HYPERLINK("https://api.qogita.com/variants/link/5057566423786/", "View Product")</f>
        <v/>
      </c>
    </row>
    <row r="8866">
      <c r="A8866" t="inlineStr">
        <is>
          <t>5057566430531</t>
        </is>
      </c>
      <c r="B8866" t="inlineStr">
        <is>
          <t>Makeup Revolution Rehab Brow Care Serum Nourishing And Hydrating Serum Supporting Eyebrow Growth</t>
        </is>
      </c>
      <c r="C8866" t="inlineStr">
        <is>
          <t>Other</t>
        </is>
      </c>
      <c r="D8866" t="inlineStr">
        <is>
          <t>Makeup Revolution</t>
        </is>
      </c>
      <c r="E8866" t="n">
        <v>10.56</v>
      </c>
      <c r="F8866" t="n">
        <v>1</v>
      </c>
      <c r="G8866" t="n">
        <v>4</v>
      </c>
      <c r="H8866" s="5">
        <f>HYPERLINK("https://api.qogita.com/variants/link/5057566430531/", "View Product")</f>
        <v/>
      </c>
    </row>
    <row r="8867">
      <c r="A8867" t="inlineStr">
        <is>
          <t>5057566455053</t>
        </is>
      </c>
      <c r="B8867" t="inlineStr">
        <is>
          <t>Revolution Haircare Volume Dry Shampoo 200 Ml</t>
        </is>
      </c>
      <c r="C8867" t="inlineStr">
        <is>
          <t>Dry Shampoo</t>
        </is>
      </c>
      <c r="D8867" t="inlineStr">
        <is>
          <t>Revolution Haircare</t>
        </is>
      </c>
      <c r="E8867" t="n">
        <v>6.52</v>
      </c>
      <c r="F8867" t="n">
        <v>1</v>
      </c>
      <c r="G8867" t="n">
        <v>10</v>
      </c>
      <c r="H8867" s="5">
        <f>HYPERLINK("https://api.qogita.com/variants/link/5057566455053/", "View Product")</f>
        <v/>
      </c>
    </row>
    <row r="8868">
      <c r="A8868" t="inlineStr">
        <is>
          <t>5057566456746</t>
        </is>
      </c>
      <c r="B8868" t="inlineStr">
        <is>
          <t>Revolution Skincare Intense Skin Exfoliator-Peeling</t>
        </is>
      </c>
      <c r="C8868" t="inlineStr">
        <is>
          <t>Facial Scrub &amp; Peeling</t>
        </is>
      </c>
      <c r="D8868" t="inlineStr">
        <is>
          <t>Revolution Beauty</t>
        </is>
      </c>
      <c r="E8868" t="n">
        <v>7.95</v>
      </c>
      <c r="F8868" t="n">
        <v>1</v>
      </c>
      <c r="G8868" t="n">
        <v>2</v>
      </c>
      <c r="H8868" s="5">
        <f>HYPERLINK("https://api.qogita.com/variants/link/5057566456746/", "View Product")</f>
        <v/>
      </c>
    </row>
    <row r="8869">
      <c r="A8869" t="inlineStr">
        <is>
          <t>5057566456913</t>
        </is>
      </c>
      <c r="B8869" t="inlineStr">
        <is>
          <t>Hylaboost Skin Serum (Multiweight Serum) 30 ml</t>
        </is>
      </c>
      <c r="C8869" t="inlineStr">
        <is>
          <t>Hyaluronic Acid Serum</t>
        </is>
      </c>
      <c r="D8869" t="inlineStr">
        <is>
          <t>Revolution Beauty</t>
        </is>
      </c>
      <c r="E8869" t="n">
        <v>11.6</v>
      </c>
      <c r="F8869" t="n">
        <v>1</v>
      </c>
      <c r="G8869" t="n">
        <v>4</v>
      </c>
      <c r="H8869" s="5">
        <f>HYPERLINK("https://api.qogita.com/variants/link/5057566456913/", "View Product")</f>
        <v/>
      </c>
    </row>
    <row r="8870">
      <c r="A8870" t="inlineStr">
        <is>
          <t>5057566464840</t>
        </is>
      </c>
      <c r="B8870" t="inlineStr">
        <is>
          <t>Hylaboost Lip Gloss (Lip Fix) 3.3 grams</t>
        </is>
      </c>
      <c r="C8870" t="inlineStr">
        <is>
          <t>Lip Gloss</t>
        </is>
      </c>
      <c r="D8870" t="inlineStr">
        <is>
          <t>Revolution Beauty</t>
        </is>
      </c>
      <c r="E8870" t="n">
        <v>9.4</v>
      </c>
      <c r="F8870" t="n">
        <v>1</v>
      </c>
      <c r="G8870" t="n">
        <v>4</v>
      </c>
      <c r="H8870" s="5">
        <f>HYPERLINK("https://api.qogita.com/variants/link/5057566464840/", "View Product")</f>
        <v/>
      </c>
    </row>
    <row r="8871">
      <c r="A8871" t="inlineStr">
        <is>
          <t>5057566465625</t>
        </is>
      </c>
      <c r="B8871" t="inlineStr">
        <is>
          <t>Revolution Maxi Reloaded Eyeshadow Palette Ultimate Nudes</t>
        </is>
      </c>
      <c r="C8871" t="inlineStr">
        <is>
          <t>Eye Sets &amp; Pallets</t>
        </is>
      </c>
      <c r="D8871" t="inlineStr">
        <is>
          <t>Makeup Revolution</t>
        </is>
      </c>
      <c r="E8871" t="n">
        <v>15.69</v>
      </c>
      <c r="F8871" t="n">
        <v>1</v>
      </c>
      <c r="G8871" t="n">
        <v>2</v>
      </c>
      <c r="H8871" s="5">
        <f>HYPERLINK("https://api.qogita.com/variants/link/5057566465625/", "View Product")</f>
        <v/>
      </c>
    </row>
    <row r="8872">
      <c r="A8872" t="inlineStr">
        <is>
          <t>5057566468626</t>
        </is>
      </c>
      <c r="B8872" t="inlineStr">
        <is>
          <t>Revolution Pro Rockstar Matte Liquid Eyeliner 4 Ml</t>
        </is>
      </c>
      <c r="C8872" t="inlineStr">
        <is>
          <t>Eyeliner</t>
        </is>
      </c>
      <c r="D8872" t="inlineStr">
        <is>
          <t>Revolution Pro</t>
        </is>
      </c>
      <c r="E8872" t="n">
        <v>11.72</v>
      </c>
      <c r="F8872" t="n">
        <v>1</v>
      </c>
      <c r="G8872" t="n">
        <v>3</v>
      </c>
      <c r="H8872" s="5">
        <f>HYPERLINK("https://api.qogita.com/variants/link/5057566468626/", "View Product")</f>
        <v/>
      </c>
    </row>
    <row r="8873">
      <c r="A8873" t="inlineStr">
        <is>
          <t>5057566469883</t>
        </is>
      </c>
      <c r="B8873" t="inlineStr">
        <is>
          <t>Makeup Revolution X Soph Mini Palette Eyeshadow Palette 88 G</t>
        </is>
      </c>
      <c r="C8873" t="inlineStr">
        <is>
          <t>Eyeshadow</t>
        </is>
      </c>
      <c r="D8873" t="inlineStr">
        <is>
          <t>Makeup Revolution</t>
        </is>
      </c>
      <c r="E8873" t="n">
        <v>4</v>
      </c>
      <c r="F8873" t="n">
        <v>1</v>
      </c>
      <c r="G8873" t="n">
        <v>7</v>
      </c>
      <c r="H8873" s="5">
        <f>HYPERLINK("https://api.qogita.com/variants/link/5057566469883/", "View Product")</f>
        <v/>
      </c>
    </row>
    <row r="8874">
      <c r="A8874" t="inlineStr">
        <is>
          <t>5057566479172</t>
        </is>
      </c>
      <c r="B8874" t="inlineStr">
        <is>
          <t>Revolution Relove Power Fix Primer</t>
        </is>
      </c>
      <c r="C8874" t="inlineStr">
        <is>
          <t>Primer</t>
        </is>
      </c>
      <c r="D8874" t="inlineStr">
        <is>
          <t>Revolution Relove</t>
        </is>
      </c>
      <c r="E8874" t="n">
        <v>5.86</v>
      </c>
      <c r="F8874" t="n">
        <v>1</v>
      </c>
      <c r="G8874" t="n">
        <v>6</v>
      </c>
      <c r="H8874" s="5">
        <f>HYPERLINK("https://api.qogita.com/variants/link/5057566479172/", "View Product")</f>
        <v/>
      </c>
    </row>
    <row r="8875">
      <c r="A8875" t="inlineStr">
        <is>
          <t>5057566479448</t>
        </is>
      </c>
      <c r="B8875" t="inlineStr">
        <is>
          <t>Makeup Revolution Super Serum Hyaluronic Acid Foundation Moisturizing Makeup 25 Ml</t>
        </is>
      </c>
      <c r="C8875" t="inlineStr">
        <is>
          <t>Foundation</t>
        </is>
      </c>
      <c r="D8875" t="inlineStr">
        <is>
          <t>Makeup Revolution</t>
        </is>
      </c>
      <c r="E8875" t="n">
        <v>5.12</v>
      </c>
      <c r="F8875" t="n">
        <v>1</v>
      </c>
      <c r="G8875" t="n">
        <v>1</v>
      </c>
      <c r="H8875" s="5">
        <f>HYPERLINK("https://api.qogita.com/variants/link/5057566479448/", "View Product")</f>
        <v/>
      </c>
    </row>
    <row r="8876">
      <c r="A8876" t="inlineStr">
        <is>
          <t>5057566495950</t>
        </is>
      </c>
      <c r="B8876" t="inlineStr">
        <is>
          <t>Makeup Revolution Ultra Golden Soul Palette Blush Palette 128 G</t>
        </is>
      </c>
      <c r="C8876" t="inlineStr">
        <is>
          <t>Blush</t>
        </is>
      </c>
      <c r="D8876" t="inlineStr">
        <is>
          <t>Makeup Revolution</t>
        </is>
      </c>
      <c r="E8876" t="n">
        <v>8.56</v>
      </c>
      <c r="F8876" t="n">
        <v>1</v>
      </c>
      <c r="G8876" t="n">
        <v>3</v>
      </c>
      <c r="H8876" s="5">
        <f>HYPERLINK("https://api.qogita.com/variants/link/5057566495950/", "View Product")</f>
        <v/>
      </c>
    </row>
    <row r="8877">
      <c r="A8877" t="inlineStr">
        <is>
          <t>5057566517836</t>
        </is>
      </c>
      <c r="B8877" t="inlineStr">
        <is>
          <t>Revolution Pro Blushed Nudes Lipstick Collection - Pack of 5</t>
        </is>
      </c>
      <c r="C8877" t="inlineStr">
        <is>
          <t>Lip Sets</t>
        </is>
      </c>
      <c r="D8877" t="inlineStr">
        <is>
          <t>Revolution Pro</t>
        </is>
      </c>
      <c r="E8877" t="n">
        <v>8.77</v>
      </c>
      <c r="F8877" t="n">
        <v>1</v>
      </c>
      <c r="G8877" t="n">
        <v>7</v>
      </c>
      <c r="H8877" s="5">
        <f>HYPERLINK("https://api.qogita.com/variants/link/5057566517836/", "View Product")</f>
        <v/>
      </c>
    </row>
    <row r="8878">
      <c r="A8878" t="inlineStr">
        <is>
          <t>5057566518468</t>
        </is>
      </c>
      <c r="B8878" t="inlineStr">
        <is>
          <t>Makeup Revolution Glow Up Liquid Highlighter Lit Up 8ml</t>
        </is>
      </c>
      <c r="C8878" t="inlineStr">
        <is>
          <t>Highlighter</t>
        </is>
      </c>
      <c r="D8878" t="inlineStr">
        <is>
          <t>Makeup Revolution</t>
        </is>
      </c>
      <c r="E8878" t="n">
        <v>5.35</v>
      </c>
      <c r="F8878" t="n">
        <v>1</v>
      </c>
      <c r="G8878" t="n">
        <v>2</v>
      </c>
      <c r="H8878" s="5">
        <f>HYPERLINK("https://api.qogita.com/variants/link/5057566518468/", "View Product")</f>
        <v/>
      </c>
    </row>
    <row r="8879">
      <c r="A8879" t="inlineStr">
        <is>
          <t>5057566521413</t>
        </is>
      </c>
      <c r="B8879" t="inlineStr">
        <is>
          <t>Makeup Revolution Pro Nath Night Eyeshadow Palette New</t>
        </is>
      </c>
      <c r="C8879" t="inlineStr">
        <is>
          <t>Eye Sets &amp; Pallets</t>
        </is>
      </c>
      <c r="D8879" t="inlineStr">
        <is>
          <t>Makeup Revolution</t>
        </is>
      </c>
      <c r="E8879" t="n">
        <v>4.54</v>
      </c>
      <c r="F8879" t="n">
        <v>1</v>
      </c>
      <c r="G8879" t="n">
        <v>23</v>
      </c>
      <c r="H8879" s="5">
        <f>HYPERLINK("https://api.qogita.com/variants/link/5057566521413/", "View Product")</f>
        <v/>
      </c>
    </row>
    <row r="8880">
      <c r="A8880" t="inlineStr">
        <is>
          <t>5057566550567</t>
        </is>
      </c>
      <c r="B8880" t="inlineStr">
        <is>
          <t>Revolution Pro Cosmetic Set For Lips X Marilyn Red 378 G</t>
        </is>
      </c>
      <c r="C8880" t="inlineStr">
        <is>
          <t>Lip Sets</t>
        </is>
      </c>
      <c r="D8880" t="inlineStr">
        <is>
          <t>Revolution Pro</t>
        </is>
      </c>
      <c r="E8880" t="n">
        <v>16</v>
      </c>
      <c r="F8880" t="n">
        <v>1</v>
      </c>
      <c r="G8880" t="n">
        <v>3</v>
      </c>
      <c r="H8880" s="5">
        <f>HYPERLINK("https://api.qogita.com/variants/link/5057566550567/", "View Product")</f>
        <v/>
      </c>
    </row>
    <row r="8881">
      <c r="A8881" t="inlineStr">
        <is>
          <t>5057566554220</t>
        </is>
      </c>
      <c r="B8881" t="inlineStr">
        <is>
          <t>Revolution Beauty Passion 10ml Purse Spray Women's Perfume</t>
        </is>
      </c>
      <c r="C8881" t="inlineStr">
        <is>
          <t>Eau De Parfum</t>
        </is>
      </c>
      <c r="D8881" t="inlineStr">
        <is>
          <t>Makeup Revolution</t>
        </is>
      </c>
      <c r="E8881" t="n">
        <v>5.58</v>
      </c>
      <c r="F8881" t="n">
        <v>1</v>
      </c>
      <c r="G8881" t="n">
        <v>4</v>
      </c>
      <c r="H8881" s="5">
        <f>HYPERLINK("https://api.qogita.com/variants/link/5057566554220/", "View Product")</f>
        <v/>
      </c>
    </row>
    <row r="8882">
      <c r="A8882" t="inlineStr">
        <is>
          <t>5057566556095</t>
        </is>
      </c>
      <c r="B8882" t="inlineStr">
        <is>
          <t>Makeup Revolution Rehab Plump Me Up Lip Serum Orange Glaze with Vitamin E</t>
        </is>
      </c>
      <c r="C8882" t="inlineStr">
        <is>
          <t>Lip Plumper</t>
        </is>
      </c>
      <c r="D8882" t="inlineStr">
        <is>
          <t>Makeup Revolution</t>
        </is>
      </c>
      <c r="E8882" t="n">
        <v>7.3</v>
      </c>
      <c r="F8882" t="n">
        <v>1</v>
      </c>
      <c r="G8882" t="n">
        <v>5</v>
      </c>
      <c r="H8882" s="5">
        <f>HYPERLINK("https://api.qogita.com/variants/link/5057566556095/", "View Product")</f>
        <v/>
      </c>
    </row>
    <row r="8883">
      <c r="A8883" t="inlineStr">
        <is>
          <t>5057566558945</t>
        </is>
      </c>
      <c r="B8883" t="inlineStr">
        <is>
          <t>Revolution Home Pomegranate Fig Scented Candle</t>
        </is>
      </c>
      <c r="C8883" t="inlineStr">
        <is>
          <t>Candles</t>
        </is>
      </c>
      <c r="D8883" t="inlineStr">
        <is>
          <t>Revolution Home</t>
        </is>
      </c>
      <c r="E8883" t="n">
        <v>5.32</v>
      </c>
      <c r="F8883" t="n">
        <v>1</v>
      </c>
      <c r="G8883" t="n">
        <v>2</v>
      </c>
      <c r="H8883" s="5">
        <f>HYPERLINK("https://api.qogita.com/variants/link/5057566558945/", "View Product")</f>
        <v/>
      </c>
    </row>
    <row r="8884">
      <c r="A8884" t="inlineStr">
        <is>
          <t>5057566560498</t>
        </is>
      </c>
      <c r="B8884" t="inlineStr">
        <is>
          <t>Makeup Revolution Fast Base Blush 14 G In Mauve</t>
        </is>
      </c>
      <c r="C8884" t="inlineStr">
        <is>
          <t>Blush</t>
        </is>
      </c>
      <c r="D8884" t="inlineStr">
        <is>
          <t>Makeup Revolution</t>
        </is>
      </c>
      <c r="E8884" t="n">
        <v>7.3</v>
      </c>
      <c r="F8884" t="n">
        <v>1</v>
      </c>
      <c r="G8884" t="n">
        <v>3</v>
      </c>
      <c r="H8884" s="5">
        <f>HYPERLINK("https://api.qogita.com/variants/link/5057566560498/", "View Product")</f>
        <v/>
      </c>
    </row>
    <row r="8885">
      <c r="A8885" t="inlineStr">
        <is>
          <t>5057566563321</t>
        </is>
      </c>
      <c r="B8885" t="inlineStr">
        <is>
          <t>Revolution Pro Supreme Stay 24h Lip Duo Seclusion Doublesided Lipstick With Balm 25 Ml</t>
        </is>
      </c>
      <c r="C8885" t="inlineStr">
        <is>
          <t>Lipstick</t>
        </is>
      </c>
      <c r="D8885" t="inlineStr">
        <is>
          <t>Revolution Pro</t>
        </is>
      </c>
      <c r="E8885" t="n">
        <v>8.789999999999999</v>
      </c>
      <c r="F8885" t="n">
        <v>1</v>
      </c>
      <c r="G8885" t="n">
        <v>4</v>
      </c>
      <c r="H8885" s="5">
        <f>HYPERLINK("https://api.qogita.com/variants/link/5057566563321/", "View Product")</f>
        <v/>
      </c>
    </row>
    <row r="8886">
      <c r="A8886" t="inlineStr">
        <is>
          <t>5057566585453</t>
        </is>
      </c>
      <c r="B8886" t="inlineStr">
        <is>
          <t>Niacinamide Serum - Beauty Skincare Serum</t>
        </is>
      </c>
      <c r="C8886" t="inlineStr">
        <is>
          <t>Vitamin Serum</t>
        </is>
      </c>
      <c r="D8886" t="inlineStr">
        <is>
          <t>Revolution Skincare</t>
        </is>
      </c>
      <c r="E8886" t="n">
        <v>5.46</v>
      </c>
      <c r="F8886" t="n">
        <v>1</v>
      </c>
      <c r="G8886" t="n">
        <v>4</v>
      </c>
      <c r="H8886" s="5">
        <f>HYPERLINK("https://api.qogita.com/variants/link/5057566585453/", "View Product")</f>
        <v/>
      </c>
    </row>
    <row r="8887">
      <c r="A8887" t="inlineStr">
        <is>
          <t>5057566589239</t>
        </is>
      </c>
      <c r="B8887" t="inlineStr">
        <is>
          <t>Roxi x Revolution Beauty Cherry Blossom Lip Kits Gloss Liner Limited Ed</t>
        </is>
      </c>
      <c r="C8887" t="inlineStr">
        <is>
          <t>Lip Sets</t>
        </is>
      </c>
      <c r="D8887" t="inlineStr">
        <is>
          <t>Makeup Revolution</t>
        </is>
      </c>
      <c r="E8887" t="n">
        <v>4.54</v>
      </c>
      <c r="F8887" t="n">
        <v>1</v>
      </c>
      <c r="G8887" t="n">
        <v>4</v>
      </c>
      <c r="H8887" s="5">
        <f>HYPERLINK("https://api.qogita.com/variants/link/5057566589239/", "View Product")</f>
        <v/>
      </c>
    </row>
    <row r="8888">
      <c r="A8888" t="inlineStr">
        <is>
          <t>5057566640329</t>
        </is>
      </c>
      <c r="B8888" t="inlineStr">
        <is>
          <t>Revolution Pro Glam Starter Kit Decorative And Skin Care Gift Set</t>
        </is>
      </c>
      <c r="C8888" t="inlineStr">
        <is>
          <t>Face Cream</t>
        </is>
      </c>
      <c r="D8888" t="inlineStr">
        <is>
          <t>Revolution Pro</t>
        </is>
      </c>
      <c r="E8888" t="n">
        <v>41.49</v>
      </c>
      <c r="F8888" t="n">
        <v>1</v>
      </c>
      <c r="G8888" t="n">
        <v>3</v>
      </c>
      <c r="H8888" s="5">
        <f>HYPERLINK("https://api.qogita.com/variants/link/5057566640329/", "View Product")</f>
        <v/>
      </c>
    </row>
    <row r="8889">
      <c r="A8889" t="inlineStr">
        <is>
          <t>5057566645317</t>
        </is>
      </c>
      <c r="B8889" t="inlineStr">
        <is>
          <t>Revolution Women's Perfume Love Eau De Toilette 100ml</t>
        </is>
      </c>
      <c r="C8889" t="inlineStr">
        <is>
          <t>Eau De Toilette</t>
        </is>
      </c>
      <c r="D8889" t="inlineStr">
        <is>
          <t>Makeup Revolution</t>
        </is>
      </c>
      <c r="E8889" t="n">
        <v>16.05</v>
      </c>
      <c r="F8889" t="n">
        <v>1</v>
      </c>
      <c r="G8889" t="n">
        <v>4</v>
      </c>
      <c r="H8889" s="5">
        <f>HYPERLINK("https://api.qogita.com/variants/link/5057566645317/", "View Product")</f>
        <v/>
      </c>
    </row>
    <row r="8890">
      <c r="A8890" t="inlineStr">
        <is>
          <t>5057566691758</t>
        </is>
      </c>
      <c r="B8890" t="inlineStr">
        <is>
          <t>Revolution Skincare Vitamin C Brightening Micellar Water 400 Ml</t>
        </is>
      </c>
      <c r="C8890" t="inlineStr">
        <is>
          <t>Micellar Water</t>
        </is>
      </c>
      <c r="D8890" t="inlineStr">
        <is>
          <t>Revolution Skincare</t>
        </is>
      </c>
      <c r="E8890" t="n">
        <v>8.35</v>
      </c>
      <c r="F8890" t="n">
        <v>1</v>
      </c>
      <c r="G8890" t="n">
        <v>3</v>
      </c>
      <c r="H8890" s="5">
        <f>HYPERLINK("https://api.qogita.com/variants/link/5057566691758/", "View Product")</f>
        <v/>
      </c>
    </row>
    <row r="8891">
      <c r="A8891" t="inlineStr">
        <is>
          <t>5057566694681</t>
        </is>
      </c>
      <c r="B8891" t="inlineStr">
        <is>
          <t>Revolution Pro Miracle Cream 50 Ml For All Skin Types</t>
        </is>
      </c>
      <c r="C8891" t="inlineStr">
        <is>
          <t>Face Cream</t>
        </is>
      </c>
      <c r="D8891" t="inlineStr">
        <is>
          <t>Revolution Pro</t>
        </is>
      </c>
      <c r="E8891" t="n">
        <v>13.41</v>
      </c>
      <c r="F8891" t="n">
        <v>1</v>
      </c>
      <c r="G8891" t="n">
        <v>5</v>
      </c>
      <c r="H8891" s="5">
        <f>HYPERLINK("https://api.qogita.com/variants/link/5057566694681/", "View Product")</f>
        <v/>
      </c>
    </row>
    <row r="8892">
      <c r="A8892" t="inlineStr">
        <is>
          <t>5057566788977</t>
        </is>
      </c>
      <c r="B8892" t="inlineStr">
        <is>
          <t>Revolution Haircare Winter Hair Mask Gift Set</t>
        </is>
      </c>
      <c r="C8892" t="inlineStr">
        <is>
          <t>Hair Care Sets</t>
        </is>
      </c>
      <c r="D8892" t="inlineStr">
        <is>
          <t>Makeup Revolution</t>
        </is>
      </c>
      <c r="E8892" t="n">
        <v>17.37</v>
      </c>
      <c r="F8892" t="n">
        <v>1</v>
      </c>
      <c r="G8892" t="n">
        <v>14</v>
      </c>
      <c r="H8892" s="5">
        <f>HYPERLINK("https://api.qogita.com/variants/link/5057566788977/", "View Product")</f>
        <v/>
      </c>
    </row>
    <row r="8893">
      <c r="A8893" t="inlineStr">
        <is>
          <t>5057566795654</t>
        </is>
      </c>
      <c r="B8893" t="inlineStr">
        <is>
          <t>Revolution Pro Glow Edit Cream Contour &amp; Bronze Face Contour Wand Lightweight Creamy Formula Matte Finish Light 15ml</t>
        </is>
      </c>
      <c r="C8893" t="inlineStr">
        <is>
          <t>Contouring</t>
        </is>
      </c>
      <c r="D8893" t="inlineStr">
        <is>
          <t>Makeup Revolution</t>
        </is>
      </c>
      <c r="E8893" t="n">
        <v>8.77</v>
      </c>
      <c r="F8893" t="n">
        <v>1</v>
      </c>
      <c r="G8893" t="n">
        <v>3</v>
      </c>
      <c r="H8893" s="5">
        <f>HYPERLINK("https://api.qogita.com/variants/link/5057566795654/", "View Product")</f>
        <v/>
      </c>
    </row>
    <row r="8894">
      <c r="A8894" t="inlineStr">
        <is>
          <t>5057566795661</t>
        </is>
      </c>
      <c r="B8894" t="inlineStr">
        <is>
          <t>Makeup Revolution Revolution Pro Glow Edit Cream Contour Bronze 15 Ml Medium</t>
        </is>
      </c>
      <c r="C8894" t="inlineStr">
        <is>
          <t>Contouring</t>
        </is>
      </c>
      <c r="D8894" t="inlineStr">
        <is>
          <t>Makeup Revolution</t>
        </is>
      </c>
      <c r="E8894" t="n">
        <v>7.51</v>
      </c>
      <c r="F8894" t="n">
        <v>1</v>
      </c>
      <c r="G8894" t="n">
        <v>6</v>
      </c>
      <c r="H8894" s="5">
        <f>HYPERLINK("https://api.qogita.com/variants/link/5057566795661/", "View Product")</f>
        <v/>
      </c>
    </row>
    <row r="8895">
      <c r="A8895" t="inlineStr">
        <is>
          <t>5060103310029</t>
        </is>
      </c>
      <c r="B8895" t="inlineStr">
        <is>
          <t>Escentric Molecules Molecule 01 Eau De Toilette 100ml Unisex Spray</t>
        </is>
      </c>
      <c r="C8895" t="inlineStr">
        <is>
          <t>Eau De Toilette</t>
        </is>
      </c>
      <c r="D8895" t="inlineStr">
        <is>
          <t>Escentric Molecules</t>
        </is>
      </c>
      <c r="E8895" t="n">
        <v>133.51</v>
      </c>
      <c r="F8895" t="n">
        <v>1</v>
      </c>
      <c r="G8895" t="n">
        <v>5</v>
      </c>
      <c r="H8895" s="5">
        <f>HYPERLINK("https://api.qogita.com/variants/link/5060103310029/", "View Product")</f>
        <v/>
      </c>
    </row>
    <row r="8896">
      <c r="A8896" t="inlineStr">
        <is>
          <t>5060120164063</t>
        </is>
      </c>
      <c r="B8896" t="inlineStr">
        <is>
          <t>Argan Oil Shampoo 300ml</t>
        </is>
      </c>
      <c r="C8896" t="inlineStr">
        <is>
          <t>Shampoo</t>
        </is>
      </c>
      <c r="D8896" t="inlineStr">
        <is>
          <t>Moroccanoil</t>
        </is>
      </c>
      <c r="E8896" t="n">
        <v>1.89</v>
      </c>
      <c r="F8896" t="n">
        <v>1</v>
      </c>
      <c r="G8896" t="n">
        <v>11</v>
      </c>
      <c r="H8896" s="5">
        <f>HYPERLINK("https://api.qogita.com/variants/link/5060120164063/", "View Product")</f>
        <v/>
      </c>
    </row>
    <row r="8897">
      <c r="A8897" t="inlineStr">
        <is>
          <t>5060120164131</t>
        </is>
      </c>
      <c r="B8897" t="inlineStr">
        <is>
          <t>Argan Oil Hydrating Hair Mask with Moroccan Extract 220ml 7.43oz</t>
        </is>
      </c>
      <c r="C8897" t="inlineStr">
        <is>
          <t>Hair Masks</t>
        </is>
      </c>
      <c r="D8897" t="inlineStr">
        <is>
          <t>Argan Oil</t>
        </is>
      </c>
      <c r="E8897" t="n">
        <v>2.13</v>
      </c>
      <c r="F8897" t="n">
        <v>1</v>
      </c>
      <c r="G8897" t="n">
        <v>17</v>
      </c>
      <c r="H8897" s="5">
        <f>HYPERLINK("https://api.qogita.com/variants/link/5060120164131/", "View Product")</f>
        <v/>
      </c>
    </row>
    <row r="8898">
      <c r="A8898" t="inlineStr">
        <is>
          <t>5060143207891</t>
        </is>
      </c>
      <c r="B8898" t="inlineStr">
        <is>
          <t>Dark Stag Sea Salt Spray for Hair Professional Styling Product for Men 200ml</t>
        </is>
      </c>
      <c r="C8898" t="inlineStr">
        <is>
          <t>Styling Sprays</t>
        </is>
      </c>
      <c r="D8898" t="inlineStr">
        <is>
          <t>Dark Stag</t>
        </is>
      </c>
      <c r="E8898" t="n">
        <v>8.34</v>
      </c>
      <c r="F8898" t="n">
        <v>1</v>
      </c>
      <c r="G8898" t="n">
        <v>4</v>
      </c>
      <c r="H8898" s="5">
        <f>HYPERLINK("https://api.qogita.com/variants/link/5060143207891/", "View Product")</f>
        <v/>
      </c>
    </row>
    <row r="8899">
      <c r="A8899" t="inlineStr">
        <is>
          <t>5060143208508</t>
        </is>
      </c>
      <c r="B8899" t="inlineStr">
        <is>
          <t>Dark Stag Sea Salt Cream Light Hold Professional Hair Styling Cream</t>
        </is>
      </c>
      <c r="C8899" t="inlineStr">
        <is>
          <t>Styling Creams</t>
        </is>
      </c>
      <c r="D8899" t="inlineStr">
        <is>
          <t>Dark Stag</t>
        </is>
      </c>
      <c r="E8899" t="n">
        <v>9.369999999999999</v>
      </c>
      <c r="F8899" t="n">
        <v>1</v>
      </c>
      <c r="G8899" t="n">
        <v>24</v>
      </c>
      <c r="H8899" s="5">
        <f>HYPERLINK("https://api.qogita.com/variants/link/5060143208508/", "View Product")</f>
        <v/>
      </c>
    </row>
    <row r="8900">
      <c r="A8900" t="inlineStr">
        <is>
          <t>5060144640024</t>
        </is>
      </c>
      <c r="B8900" t="inlineStr">
        <is>
          <t>Bulldog Original Skincare Moisture for Men 100ml</t>
        </is>
      </c>
      <c r="C8900" t="inlineStr">
        <is>
          <t>Face Cream</t>
        </is>
      </c>
      <c r="D8900" t="inlineStr">
        <is>
          <t>Bulldog</t>
        </is>
      </c>
      <c r="E8900" t="n">
        <v>7.75</v>
      </c>
      <c r="F8900" t="n">
        <v>1</v>
      </c>
      <c r="G8900" t="n">
        <v>13</v>
      </c>
      <c r="H8900" s="5">
        <f>HYPERLINK("https://api.qogita.com/variants/link/5060144640024/", "View Product")</f>
        <v/>
      </c>
    </row>
    <row r="8901">
      <c r="A8901" t="inlineStr">
        <is>
          <t>5060144643889</t>
        </is>
      </c>
      <c r="B8901" t="inlineStr">
        <is>
          <t>Bulldog Sensitive Shave Gel 175ml</t>
        </is>
      </c>
      <c r="C8901" t="inlineStr">
        <is>
          <t>Shaving</t>
        </is>
      </c>
      <c r="D8901" t="inlineStr">
        <is>
          <t>Bulldog</t>
        </is>
      </c>
      <c r="E8901" t="n">
        <v>6.67</v>
      </c>
      <c r="F8901" t="n">
        <v>1</v>
      </c>
      <c r="G8901" t="n">
        <v>4</v>
      </c>
      <c r="H8901" s="5">
        <f>HYPERLINK("https://api.qogita.com/variants/link/5060144643889/", "View Product")</f>
        <v/>
      </c>
    </row>
    <row r="8902">
      <c r="A8902" t="inlineStr">
        <is>
          <t>5060144646132</t>
        </is>
      </c>
      <c r="B8902" t="inlineStr">
        <is>
          <t>Bulldog Skincare Energising Face Wash for Men 150ml</t>
        </is>
      </c>
      <c r="C8902" t="inlineStr">
        <is>
          <t>Cleansing Gel</t>
        </is>
      </c>
      <c r="D8902" t="inlineStr">
        <is>
          <t>Bulldog</t>
        </is>
      </c>
      <c r="E8902" t="n">
        <v>6.14</v>
      </c>
      <c r="F8902" t="n">
        <v>1</v>
      </c>
      <c r="G8902" t="n">
        <v>6</v>
      </c>
      <c r="H8902" s="5">
        <f>HYPERLINK("https://api.qogita.com/variants/link/5060144646132/", "View Product")</f>
        <v/>
      </c>
    </row>
    <row r="8903">
      <c r="A8903" t="inlineStr">
        <is>
          <t>5060144646217</t>
        </is>
      </c>
      <c r="B8903" t="inlineStr">
        <is>
          <t>Bulldog Vetiver And Black Pepper Shower Gel 500 Ml</t>
        </is>
      </c>
      <c r="C8903" t="inlineStr">
        <is>
          <t>Shower Gel</t>
        </is>
      </c>
      <c r="D8903" t="inlineStr">
        <is>
          <t>Bulldog</t>
        </is>
      </c>
      <c r="E8903" t="n">
        <v>7.3</v>
      </c>
      <c r="F8903" t="n">
        <v>1</v>
      </c>
      <c r="G8903" t="n">
        <v>5</v>
      </c>
      <c r="H8903" s="5">
        <f>HYPERLINK("https://api.qogita.com/variants/link/5060144646217/", "View Product")</f>
        <v/>
      </c>
    </row>
    <row r="8904">
      <c r="A8904" t="inlineStr">
        <is>
          <t>5060144648747</t>
        </is>
      </c>
      <c r="B8904" t="inlineStr">
        <is>
          <t>Bulldog Skincare Sensitive Shampoo 300ml</t>
        </is>
      </c>
      <c r="C8904" t="inlineStr">
        <is>
          <t>Shampoo</t>
        </is>
      </c>
      <c r="D8904" t="inlineStr">
        <is>
          <t>Bulldog</t>
        </is>
      </c>
      <c r="E8904" t="n">
        <v>6.58</v>
      </c>
      <c r="F8904" t="n">
        <v>1</v>
      </c>
      <c r="G8904" t="n">
        <v>6</v>
      </c>
      <c r="H8904" s="5">
        <f>HYPERLINK("https://api.qogita.com/variants/link/5060144648747/", "View Product")</f>
        <v/>
      </c>
    </row>
    <row r="8905">
      <c r="A8905" t="inlineStr">
        <is>
          <t>5060144648815</t>
        </is>
      </c>
      <c r="B8905" t="inlineStr">
        <is>
          <t>Bulldog Shower Gel Ginger And Patchouli 500 Ml</t>
        </is>
      </c>
      <c r="C8905" t="inlineStr">
        <is>
          <t>Shower Gel</t>
        </is>
      </c>
      <c r="D8905" t="inlineStr">
        <is>
          <t>Bulldog</t>
        </is>
      </c>
      <c r="E8905" t="n">
        <v>7.3</v>
      </c>
      <c r="F8905" t="n">
        <v>1</v>
      </c>
      <c r="G8905" t="n">
        <v>14</v>
      </c>
      <c r="H8905" s="5">
        <f>HYPERLINK("https://api.qogita.com/variants/link/5060144648815/", "View Product")</f>
        <v/>
      </c>
    </row>
    <row r="8906">
      <c r="A8906" t="inlineStr">
        <is>
          <t>5060150182112</t>
        </is>
      </c>
      <c r="B8906" t="inlineStr">
        <is>
          <t>Color Wow Color Security Conditioner 75ml</t>
        </is>
      </c>
      <c r="C8906" t="inlineStr">
        <is>
          <t>Conditioner</t>
        </is>
      </c>
      <c r="D8906" t="inlineStr">
        <is>
          <t>Color Wow</t>
        </is>
      </c>
      <c r="E8906" t="n">
        <v>10.47</v>
      </c>
      <c r="F8906" t="n">
        <v>1</v>
      </c>
      <c r="G8906" t="n">
        <v>23</v>
      </c>
      <c r="H8906" s="5">
        <f>HYPERLINK("https://api.qogita.com/variants/link/5060150182112/", "View Product")</f>
        <v/>
      </c>
    </row>
    <row r="8907">
      <c r="A8907" t="inlineStr">
        <is>
          <t>5060150185083</t>
        </is>
      </c>
      <c r="B8907" t="inlineStr">
        <is>
          <t>Color Wow Extra Shine Spray Lightweight Non-Greasy Formula</t>
        </is>
      </c>
      <c r="C8907" t="inlineStr">
        <is>
          <t>Styling Sprays</t>
        </is>
      </c>
      <c r="D8907" t="inlineStr">
        <is>
          <t>Color Wow</t>
        </is>
      </c>
      <c r="E8907" t="n">
        <v>24.06</v>
      </c>
      <c r="F8907" t="n">
        <v>1</v>
      </c>
      <c r="G8907" t="n">
        <v>21</v>
      </c>
      <c r="H8907" s="5">
        <f>HYPERLINK("https://api.qogita.com/variants/link/5060150185083/", "View Product")</f>
        <v/>
      </c>
    </row>
    <row r="8908">
      <c r="A8908" t="inlineStr">
        <is>
          <t>5060150185151</t>
        </is>
      </c>
      <c r="B8908" t="inlineStr">
        <is>
          <t>Color Wow Dream Cocktail Instant Volume Hair Tonic Leavein Thickening Treatment Carb Cocktail Bionic Tonic</t>
        </is>
      </c>
      <c r="C8908" t="inlineStr">
        <is>
          <t>Hair Tonic</t>
        </is>
      </c>
      <c r="D8908" t="inlineStr">
        <is>
          <t>Color Wow</t>
        </is>
      </c>
      <c r="E8908" t="n">
        <v>23.29</v>
      </c>
      <c r="F8908" t="n">
        <v>1</v>
      </c>
      <c r="G8908" t="n">
        <v>40</v>
      </c>
      <c r="H8908" s="5">
        <f>HYPERLINK("https://api.qogita.com/variants/link/5060150185151/", "View Product")</f>
        <v/>
      </c>
    </row>
    <row r="8909">
      <c r="A8909" t="inlineStr">
        <is>
          <t>5060150185250</t>
        </is>
      </c>
      <c r="B8909" t="inlineStr">
        <is>
          <t>Color Wow Raise The Root 150ml</t>
        </is>
      </c>
      <c r="C8909" t="inlineStr">
        <is>
          <t>Hair Tonic</t>
        </is>
      </c>
      <c r="D8909" t="inlineStr">
        <is>
          <t>Color Wow</t>
        </is>
      </c>
      <c r="E8909" t="n">
        <v>20.77</v>
      </c>
      <c r="F8909" t="n">
        <v>1</v>
      </c>
      <c r="G8909" t="n">
        <v>44</v>
      </c>
      <c r="H8909" s="5">
        <f>HYPERLINK("https://api.qogita.com/variants/link/5060150185250/", "View Product")</f>
        <v/>
      </c>
    </row>
    <row r="8910">
      <c r="A8910" t="inlineStr">
        <is>
          <t>5060150185304</t>
        </is>
      </c>
      <c r="B8910" t="inlineStr">
        <is>
          <t>Color Wow Dream Coat For Curly Hair Anti Frizz 200 Ml</t>
        </is>
      </c>
      <c r="C8910" t="inlineStr">
        <is>
          <t>Hair Care Sets</t>
        </is>
      </c>
      <c r="D8910" t="inlineStr">
        <is>
          <t>Color Wow</t>
        </is>
      </c>
      <c r="E8910" t="n">
        <v>25.42</v>
      </c>
      <c r="F8910" t="n">
        <v>1</v>
      </c>
      <c r="G8910" t="n">
        <v>6</v>
      </c>
      <c r="H8910" s="5">
        <f>HYPERLINK("https://api.qogita.com/variants/link/5060150185304/", "View Product")</f>
        <v/>
      </c>
    </row>
    <row r="8911">
      <c r="A8911" t="inlineStr">
        <is>
          <t>5060150185311</t>
        </is>
      </c>
      <c r="B8911" t="inlineStr">
        <is>
          <t>Color Wow Dream Coat For Curly Hair - 500ml</t>
        </is>
      </c>
      <c r="C8911" t="inlineStr">
        <is>
          <t>Uv Protection</t>
        </is>
      </c>
      <c r="D8911" t="inlineStr">
        <is>
          <t>Color Wow</t>
        </is>
      </c>
      <c r="E8911" t="n">
        <v>58.54</v>
      </c>
      <c r="F8911" t="n">
        <v>1</v>
      </c>
      <c r="G8911" t="n">
        <v>4</v>
      </c>
      <c r="H8911" s="5">
        <f>HYPERLINK("https://api.qogita.com/variants/link/5060150185311/", "View Product")</f>
        <v/>
      </c>
    </row>
    <row r="8912">
      <c r="A8912" t="inlineStr">
        <is>
          <t>5060150185373</t>
        </is>
      </c>
      <c r="B8912" t="inlineStr">
        <is>
          <t>Color Wow Dream Coat Supernatural Spray Smoothing And Polishing 500ml</t>
        </is>
      </c>
      <c r="C8912" t="inlineStr">
        <is>
          <t>Uv Protection</t>
        </is>
      </c>
      <c r="D8912" t="inlineStr">
        <is>
          <t>Color Wow</t>
        </is>
      </c>
      <c r="E8912" t="n">
        <v>53.99</v>
      </c>
      <c r="F8912" t="n">
        <v>1</v>
      </c>
      <c r="G8912" t="n">
        <v>2</v>
      </c>
      <c r="H8912" s="5">
        <f>HYPERLINK("https://api.qogita.com/variants/link/5060150185373/", "View Product")</f>
        <v/>
      </c>
    </row>
    <row r="8913">
      <c r="A8913" t="inlineStr">
        <is>
          <t>5060150185427</t>
        </is>
      </c>
      <c r="B8913" t="inlineStr">
        <is>
          <t>Color Wow Root Cover Up Light Brown Powder For Roots 2.1g</t>
        </is>
      </c>
      <c r="C8913" t="inlineStr">
        <is>
          <t>Hairline Paint</t>
        </is>
      </c>
      <c r="D8913" t="inlineStr">
        <is>
          <t>Color Wow</t>
        </is>
      </c>
      <c r="E8913" t="n">
        <v>29.09</v>
      </c>
      <c r="F8913" t="n">
        <v>1</v>
      </c>
      <c r="G8913" t="n">
        <v>5</v>
      </c>
      <c r="H8913" s="5">
        <f>HYPERLINK("https://api.qogita.com/variants/link/5060150185427/", "View Product")</f>
        <v/>
      </c>
    </row>
    <row r="8914">
      <c r="A8914" t="inlineStr">
        <is>
          <t>5060150185458</t>
        </is>
      </c>
      <c r="B8914" t="inlineStr">
        <is>
          <t>Color Wow Root Cover Up Black</t>
        </is>
      </c>
      <c r="C8914" t="inlineStr">
        <is>
          <t>Hairline Paint</t>
        </is>
      </c>
      <c r="D8914" t="inlineStr">
        <is>
          <t>Color Wow</t>
        </is>
      </c>
      <c r="E8914" t="n">
        <v>24.81</v>
      </c>
      <c r="F8914" t="n">
        <v>1</v>
      </c>
      <c r="G8914" t="n">
        <v>6</v>
      </c>
      <c r="H8914" s="5">
        <f>HYPERLINK("https://api.qogita.com/variants/link/5060150185458/", "View Product")</f>
        <v/>
      </c>
    </row>
    <row r="8915">
      <c r="A8915" t="inlineStr">
        <is>
          <t>5060150185625</t>
        </is>
      </c>
      <c r="B8915" t="inlineStr">
        <is>
          <t>Color Wow Color Control Purple Toning Foam For Blonde Hair 200ml</t>
        </is>
      </c>
      <c r="C8915" t="inlineStr">
        <is>
          <t>Hair Dye</t>
        </is>
      </c>
      <c r="D8915" t="inlineStr">
        <is>
          <t>Color Wow</t>
        </is>
      </c>
      <c r="E8915" t="n">
        <v>18.14</v>
      </c>
      <c r="F8915" t="n">
        <v>1</v>
      </c>
      <c r="G8915" t="n">
        <v>31</v>
      </c>
      <c r="H8915" s="5">
        <f>HYPERLINK("https://api.qogita.com/variants/link/5060150185625/", "View Product")</f>
        <v/>
      </c>
    </row>
    <row r="8916">
      <c r="A8916" t="inlineStr">
        <is>
          <t>5060150185694</t>
        </is>
      </c>
      <c r="B8916" t="inlineStr">
        <is>
          <t>Color Wow Curl Flo-Entry Vital Natural Hair Serum 295ml</t>
        </is>
      </c>
      <c r="C8916" t="inlineStr">
        <is>
          <t>Hair Oil &amp; Hair Serum</t>
        </is>
      </c>
      <c r="D8916" t="inlineStr">
        <is>
          <t>Color Wow</t>
        </is>
      </c>
      <c r="E8916" t="n">
        <v>23.63</v>
      </c>
      <c r="F8916" t="n">
        <v>1</v>
      </c>
      <c r="G8916" t="n">
        <v>15</v>
      </c>
      <c r="H8916" s="5">
        <f>HYPERLINK("https://api.qogita.com/variants/link/5060150185694/", "View Product")</f>
        <v/>
      </c>
    </row>
    <row r="8917">
      <c r="A8917" t="inlineStr">
        <is>
          <t>5060150185700</t>
        </is>
      </c>
      <c r="B8917" t="inlineStr">
        <is>
          <t>Color Wow Curl Wow Snagfree Pre Shampoo Detangler 295 Ml</t>
        </is>
      </c>
      <c r="C8917" t="inlineStr">
        <is>
          <t>Conditioner</t>
        </is>
      </c>
      <c r="D8917" t="inlineStr">
        <is>
          <t>Color Wow</t>
        </is>
      </c>
      <c r="E8917" t="n">
        <v>22.23</v>
      </c>
      <c r="F8917" t="n">
        <v>1</v>
      </c>
      <c r="G8917" t="n">
        <v>2</v>
      </c>
      <c r="H8917" s="5">
        <f>HYPERLINK("https://api.qogita.com/variants/link/5060150185700/", "View Product")</f>
        <v/>
      </c>
    </row>
    <row r="8918">
      <c r="A8918" t="inlineStr">
        <is>
          <t>5060173372606</t>
        </is>
      </c>
      <c r="B8918" t="inlineStr">
        <is>
          <t>Tangle Teezer The Compact Styler Detangling Hairbrush Travel-Friendly</t>
        </is>
      </c>
      <c r="C8918" t="inlineStr">
        <is>
          <t>Detanglers</t>
        </is>
      </c>
      <c r="D8918" t="inlineStr">
        <is>
          <t>Tangle Teezer</t>
        </is>
      </c>
      <c r="E8918" t="n">
        <v>11.9</v>
      </c>
      <c r="F8918" t="n">
        <v>1</v>
      </c>
      <c r="G8918" t="n">
        <v>11</v>
      </c>
      <c r="H8918" s="5">
        <f>HYPERLINK("https://api.qogita.com/variants/link/5060173372606/", "View Product")</f>
        <v/>
      </c>
    </row>
    <row r="8919">
      <c r="A8919" t="inlineStr">
        <is>
          <t>5060173373979</t>
        </is>
      </c>
      <c r="B8919" t="inlineStr">
        <is>
          <t>Tangle Teezer Professional Hair Brush Rose Gold Cream Compact Styler</t>
        </is>
      </c>
      <c r="C8919" t="inlineStr">
        <is>
          <t>Detanglers</t>
        </is>
      </c>
      <c r="D8919" t="inlineStr">
        <is>
          <t>Tangle Teezer</t>
        </is>
      </c>
      <c r="E8919" t="n">
        <v>11.9</v>
      </c>
      <c r="F8919" t="n">
        <v>1</v>
      </c>
      <c r="G8919" t="n">
        <v>42</v>
      </c>
      <c r="H8919" s="5">
        <f>HYPERLINK("https://api.qogita.com/variants/link/5060173373979/", "View Product")</f>
        <v/>
      </c>
    </row>
    <row r="8920">
      <c r="A8920" t="inlineStr">
        <is>
          <t>5060215061857</t>
        </is>
      </c>
      <c r="B8920" t="inlineStr">
        <is>
          <t>Boadicea The Victorious Nemer Parfum 100ml</t>
        </is>
      </c>
      <c r="C8920" t="inlineStr">
        <is>
          <t>Eau De Parfum</t>
        </is>
      </c>
      <c r="D8920" t="inlineStr">
        <is>
          <t>Boadicea The Victorious</t>
        </is>
      </c>
      <c r="E8920" t="n">
        <v>227.38</v>
      </c>
      <c r="F8920" t="n">
        <v>1</v>
      </c>
      <c r="G8920" t="n">
        <v>3</v>
      </c>
      <c r="H8920" s="5">
        <f>HYPERLINK("https://api.qogita.com/variants/link/5060215061857/", "View Product")</f>
        <v/>
      </c>
    </row>
    <row r="8921">
      <c r="A8921" t="inlineStr">
        <is>
          <t>5060215062106</t>
        </is>
      </c>
      <c r="B8921" t="inlineStr">
        <is>
          <t>Boadicea The Victorious Lavish Eau De Parfum 100 Milliliters</t>
        </is>
      </c>
      <c r="C8921" t="inlineStr">
        <is>
          <t>Eau De Parfum</t>
        </is>
      </c>
      <c r="D8921" t="inlineStr">
        <is>
          <t>Boadicea The Victorious</t>
        </is>
      </c>
      <c r="E8921" t="n">
        <v>177.15</v>
      </c>
      <c r="F8921" t="n">
        <v>1</v>
      </c>
      <c r="G8921" t="n">
        <v>8</v>
      </c>
      <c r="H8921" s="5">
        <f>HYPERLINK("https://api.qogita.com/variants/link/5060215062106/", "View Product")</f>
        <v/>
      </c>
    </row>
    <row r="8922">
      <c r="A8922" t="inlineStr">
        <is>
          <t>5060238284615</t>
        </is>
      </c>
      <c r="B8922" t="inlineStr">
        <is>
          <t>Ormonde Jayne Sakura Eau De Parfum</t>
        </is>
      </c>
      <c r="C8922" t="inlineStr">
        <is>
          <t>Eau De Parfum</t>
        </is>
      </c>
      <c r="D8922" t="inlineStr">
        <is>
          <t>Ormonde Jayne</t>
        </is>
      </c>
      <c r="E8922" t="n">
        <v>118.84</v>
      </c>
      <c r="F8922" t="n">
        <v>1</v>
      </c>
      <c r="G8922" t="n">
        <v>3</v>
      </c>
      <c r="H8922" s="5">
        <f>HYPERLINK("https://api.qogita.com/variants/link/5060238284615/", "View Product")</f>
        <v/>
      </c>
    </row>
    <row r="8923">
      <c r="A8923" t="inlineStr">
        <is>
          <t>5060238284653</t>
        </is>
      </c>
      <c r="B8923" t="inlineStr">
        <is>
          <t>Ormonde Jayne Arabesque Eau De Parfum For Unisex</t>
        </is>
      </c>
      <c r="C8923" t="inlineStr">
        <is>
          <t>Eau De Parfum</t>
        </is>
      </c>
      <c r="D8923" t="inlineStr">
        <is>
          <t>Ormonde Jayne</t>
        </is>
      </c>
      <c r="E8923" t="n">
        <v>129.19</v>
      </c>
      <c r="F8923" t="n">
        <v>1</v>
      </c>
      <c r="G8923" t="n">
        <v>5</v>
      </c>
      <c r="H8923" s="5">
        <f>HYPERLINK("https://api.qogita.com/variants/link/5060238284653/", "View Product")</f>
        <v/>
      </c>
    </row>
    <row r="8924">
      <c r="A8924" t="inlineStr">
        <is>
          <t>5060238285667</t>
        </is>
      </c>
      <c r="B8924" t="inlineStr">
        <is>
          <t>Ormonde Jayne Babylonia Eau De Parfum</t>
        </is>
      </c>
      <c r="C8924" t="inlineStr">
        <is>
          <t>Eau De Parfum</t>
        </is>
      </c>
      <c r="D8924" t="inlineStr">
        <is>
          <t>Ormonde Jayne</t>
        </is>
      </c>
      <c r="E8924" t="n">
        <v>111.06</v>
      </c>
      <c r="F8924" t="n">
        <v>1</v>
      </c>
      <c r="G8924" t="n">
        <v>2</v>
      </c>
      <c r="H8924" s="5">
        <f>HYPERLINK("https://api.qogita.com/variants/link/5060238285667/", "View Product")</f>
        <v/>
      </c>
    </row>
    <row r="8925">
      <c r="A8925" t="inlineStr">
        <is>
          <t>5060270290018</t>
        </is>
      </c>
      <c r="B8925" t="inlineStr">
        <is>
          <t>Roja Parfums Scandal Pour Femme Parfum Spray 50ml</t>
        </is>
      </c>
      <c r="C8925" t="inlineStr">
        <is>
          <t>Eau De Parfum</t>
        </is>
      </c>
      <c r="D8925" t="inlineStr">
        <is>
          <t>Roja Parfums</t>
        </is>
      </c>
      <c r="E8925" t="n">
        <v>206.22</v>
      </c>
      <c r="F8925" t="n">
        <v>1</v>
      </c>
      <c r="G8925" t="n">
        <v>11</v>
      </c>
      <c r="H8925" s="5">
        <f>HYPERLINK("https://api.qogita.com/variants/link/5060270290018/", "View Product")</f>
        <v/>
      </c>
    </row>
    <row r="8926">
      <c r="A8926" t="inlineStr">
        <is>
          <t>5060338440485</t>
        </is>
      </c>
      <c r="B8926" t="inlineStr">
        <is>
          <t>Captain Fawcett The Gentleman's Soap 165g</t>
        </is>
      </c>
      <c r="C8926" t="inlineStr">
        <is>
          <t>Soap</t>
        </is>
      </c>
      <c r="D8926" t="inlineStr">
        <is>
          <t>Captain Fawcett</t>
        </is>
      </c>
      <c r="E8926" t="n">
        <v>14.41</v>
      </c>
      <c r="F8926" t="n">
        <v>1</v>
      </c>
      <c r="G8926" t="n">
        <v>2</v>
      </c>
      <c r="H8926" s="5">
        <f>HYPERLINK("https://api.qogita.com/variants/link/5060338440485/", "View Product")</f>
        <v/>
      </c>
    </row>
    <row r="8927">
      <c r="A8927" t="inlineStr">
        <is>
          <t>5060338440676</t>
        </is>
      </c>
      <c r="B8927" t="inlineStr">
        <is>
          <t>Capt. Fawcett's Sid Sottung's Barberism Beard Balm</t>
        </is>
      </c>
      <c r="C8927" t="inlineStr">
        <is>
          <t>Beard Care Accessories</t>
        </is>
      </c>
      <c r="D8927" t="inlineStr">
        <is>
          <t>Captain Fawcett</t>
        </is>
      </c>
      <c r="E8927" t="n">
        <v>19.65</v>
      </c>
      <c r="F8927" t="n">
        <v>1</v>
      </c>
      <c r="G8927" t="n">
        <v>3</v>
      </c>
      <c r="H8927" s="5">
        <f>HYPERLINK("https://api.qogita.com/variants/link/5060338440676/", "View Product")</f>
        <v/>
      </c>
    </row>
    <row r="8928">
      <c r="A8928" t="inlineStr">
        <is>
          <t>5060338441468</t>
        </is>
      </c>
      <c r="B8928" t="inlineStr">
        <is>
          <t>CAPTAIN FAWCETT Maharajah Beard Balm 60ml</t>
        </is>
      </c>
      <c r="C8928" t="inlineStr">
        <is>
          <t>Beard Care Accessories</t>
        </is>
      </c>
      <c r="D8928" t="inlineStr">
        <is>
          <t>Captain Fawcett</t>
        </is>
      </c>
      <c r="E8928" t="n">
        <v>19.65</v>
      </c>
      <c r="F8928" t="n">
        <v>1</v>
      </c>
      <c r="G8928" t="n">
        <v>2</v>
      </c>
      <c r="H8928" s="5">
        <f>HYPERLINK("https://api.qogita.com/variants/link/5060338441468/", "View Product")</f>
        <v/>
      </c>
    </row>
    <row r="8929">
      <c r="A8929" t="inlineStr">
        <is>
          <t>5060338441482</t>
        </is>
      </c>
      <c r="B8929" t="inlineStr">
        <is>
          <t>Captain Fawcett Maharajah Beard Oil 50ml</t>
        </is>
      </c>
      <c r="C8929" t="inlineStr">
        <is>
          <t>Beard Care Accessories</t>
        </is>
      </c>
      <c r="D8929" t="inlineStr">
        <is>
          <t>Captain Fawcett</t>
        </is>
      </c>
      <c r="E8929" t="n">
        <v>39.03</v>
      </c>
      <c r="F8929" t="n">
        <v>1</v>
      </c>
      <c r="G8929" t="n">
        <v>3</v>
      </c>
      <c r="H8929" s="5">
        <f>HYPERLINK("https://api.qogita.com/variants/link/5060338441482/", "View Product")</f>
        <v/>
      </c>
    </row>
    <row r="8930">
      <c r="A8930" t="inlineStr">
        <is>
          <t>5060338441574</t>
        </is>
      </c>
      <c r="B8930" t="inlineStr">
        <is>
          <t>Captain Fawcett's Sea Salt Spray 250ml</t>
        </is>
      </c>
      <c r="C8930" t="inlineStr">
        <is>
          <t>Styling Sprays</t>
        </is>
      </c>
      <c r="D8930" t="inlineStr">
        <is>
          <t>Captain Fawcett</t>
        </is>
      </c>
      <c r="E8930" t="n">
        <v>21.63</v>
      </c>
      <c r="F8930" t="n">
        <v>1</v>
      </c>
      <c r="G8930" t="n">
        <v>2</v>
      </c>
      <c r="H8930" s="5">
        <f>HYPERLINK("https://api.qogita.com/variants/link/5060338441574/", "View Product")</f>
        <v/>
      </c>
    </row>
    <row r="8931">
      <c r="A8931" t="inlineStr">
        <is>
          <t>5060338441697</t>
        </is>
      </c>
      <c r="B8931" t="inlineStr">
        <is>
          <t>John Petrucci's Nebula Beard Balm</t>
        </is>
      </c>
      <c r="C8931" t="inlineStr">
        <is>
          <t>Beard Care Accessories</t>
        </is>
      </c>
      <c r="D8931" t="inlineStr">
        <is>
          <t>Captain Fawcett</t>
        </is>
      </c>
      <c r="E8931" t="n">
        <v>19.65</v>
      </c>
      <c r="F8931" t="n">
        <v>1</v>
      </c>
      <c r="G8931" t="n">
        <v>3</v>
      </c>
      <c r="H8931" s="5">
        <f>HYPERLINK("https://api.qogita.com/variants/link/5060338441697/", "View Product")</f>
        <v/>
      </c>
    </row>
    <row r="8932">
      <c r="A8932" t="inlineStr">
        <is>
          <t>5060338441703</t>
        </is>
      </c>
      <c r="B8932" t="inlineStr">
        <is>
          <t>Captain Fawcett John Petrucci's Nebula Mustache Wax 15 Ml</t>
        </is>
      </c>
      <c r="C8932" t="inlineStr">
        <is>
          <t>Beard Care Accessories</t>
        </is>
      </c>
      <c r="D8932" t="inlineStr">
        <is>
          <t>Captain Fawcett</t>
        </is>
      </c>
      <c r="E8932" t="n">
        <v>12.43</v>
      </c>
      <c r="F8932" t="n">
        <v>1</v>
      </c>
      <c r="G8932" t="n">
        <v>3</v>
      </c>
      <c r="H8932" s="5">
        <f>HYPERLINK("https://api.qogita.com/variants/link/5060338441703/", "View Product")</f>
        <v/>
      </c>
    </row>
    <row r="8933">
      <c r="A8933" t="inlineStr">
        <is>
          <t>5060338441758</t>
        </is>
      </c>
      <c r="B8933" t="inlineStr">
        <is>
          <t>Expedition Reserve Hand Cream</t>
        </is>
      </c>
      <c r="C8933" t="inlineStr">
        <is>
          <t>Hand Cream</t>
        </is>
      </c>
      <c r="D8933" t="inlineStr">
        <is>
          <t>Captain Fawcett</t>
        </is>
      </c>
      <c r="E8933" t="n">
        <v>14.41</v>
      </c>
      <c r="F8933" t="n">
        <v>1</v>
      </c>
      <c r="G8933" t="n">
        <v>6</v>
      </c>
      <c r="H8933" s="5">
        <f>HYPERLINK("https://api.qogita.com/variants/link/5060338441758/", "View Product")</f>
        <v/>
      </c>
    </row>
    <row r="8934">
      <c r="A8934" t="inlineStr">
        <is>
          <t>5060338442359</t>
        </is>
      </c>
      <c r="B8934" t="inlineStr">
        <is>
          <t>Captain Fawcett's Hair Oil</t>
        </is>
      </c>
      <c r="C8934" t="inlineStr">
        <is>
          <t>Hair Oil &amp; Hair Serum</t>
        </is>
      </c>
      <c r="D8934" t="inlineStr">
        <is>
          <t>Captain Fawcett</t>
        </is>
      </c>
      <c r="E8934" t="n">
        <v>20.96</v>
      </c>
      <c r="F8934" t="n">
        <v>1</v>
      </c>
      <c r="G8934" t="n">
        <v>2</v>
      </c>
      <c r="H8934" s="5">
        <f>HYPERLINK("https://api.qogita.com/variants/link/5060338442359/", "View Product")</f>
        <v/>
      </c>
    </row>
    <row r="8935">
      <c r="A8935" t="inlineStr">
        <is>
          <t>5060338442779</t>
        </is>
      </c>
      <c r="B8935" t="inlineStr">
        <is>
          <t>Captain Fawcett John Petrucci's 'Nebula' Eau De Parfum 50ml</t>
        </is>
      </c>
      <c r="C8935" t="inlineStr">
        <is>
          <t>Eau De Parfum</t>
        </is>
      </c>
      <c r="D8935" t="inlineStr">
        <is>
          <t>Captain Fawcett</t>
        </is>
      </c>
      <c r="E8935" t="n">
        <v>71.83</v>
      </c>
      <c r="F8935" t="n">
        <v>1</v>
      </c>
      <c r="G8935" t="n">
        <v>3</v>
      </c>
      <c r="H8935" s="5">
        <f>HYPERLINK("https://api.qogita.com/variants/link/5060338442779/", "View Product")</f>
        <v/>
      </c>
    </row>
    <row r="8936">
      <c r="A8936" t="inlineStr">
        <is>
          <t>5060370916955</t>
        </is>
      </c>
      <c r="B8936" t="inlineStr">
        <is>
          <t>Roja Parfums Enigma Pour Homme Parfum Cologne Spray 100ml</t>
        </is>
      </c>
      <c r="C8936" t="inlineStr">
        <is>
          <t>Eau De Parfum</t>
        </is>
      </c>
      <c r="D8936" t="inlineStr">
        <is>
          <t>Roja Parfums</t>
        </is>
      </c>
      <c r="E8936" t="n">
        <v>189</v>
      </c>
      <c r="F8936" t="n">
        <v>1</v>
      </c>
      <c r="G8936" t="n">
        <v>12</v>
      </c>
      <c r="H8936" s="5">
        <f>HYPERLINK("https://api.qogita.com/variants/link/5060370916955/", "View Product")</f>
        <v/>
      </c>
    </row>
    <row r="8937">
      <c r="A8937" t="inlineStr">
        <is>
          <t>5060370917389</t>
        </is>
      </c>
      <c r="B8937" t="inlineStr">
        <is>
          <t>Roja Parfums Oceania Eau De Parfum</t>
        </is>
      </c>
      <c r="C8937" t="inlineStr">
        <is>
          <t>Eau De Parfum</t>
        </is>
      </c>
      <c r="D8937" t="inlineStr">
        <is>
          <t>Roja Parfums</t>
        </is>
      </c>
      <c r="E8937" t="n">
        <v>193.94</v>
      </c>
      <c r="F8937" t="n">
        <v>1</v>
      </c>
      <c r="G8937" t="n">
        <v>12</v>
      </c>
      <c r="H8937" s="5">
        <f>HYPERLINK("https://api.qogita.com/variants/link/5060370917389/", "View Product")</f>
        <v/>
      </c>
    </row>
    <row r="8938">
      <c r="A8938" t="inlineStr">
        <is>
          <t>5060370919208</t>
        </is>
      </c>
      <c r="B8938" t="inlineStr">
        <is>
          <t>Roja Parfums Danger Essence De Parfum Eau De Parfum 100ml</t>
        </is>
      </c>
      <c r="C8938" t="inlineStr">
        <is>
          <t>Eau De Parfum</t>
        </is>
      </c>
      <c r="D8938" t="inlineStr">
        <is>
          <t>Roja Parfums</t>
        </is>
      </c>
      <c r="E8938" t="n">
        <v>131.48</v>
      </c>
      <c r="F8938" t="n">
        <v>1</v>
      </c>
      <c r="G8938" t="n">
        <v>15</v>
      </c>
      <c r="H8938" s="5">
        <f>HYPERLINK("https://api.qogita.com/variants/link/5060370919208/", "View Product")</f>
        <v/>
      </c>
    </row>
    <row r="8939">
      <c r="A8939" t="inlineStr">
        <is>
          <t>5060373520562</t>
        </is>
      </c>
      <c r="B8939" t="inlineStr">
        <is>
          <t>The Organic Pharmacy Precision Liquid Eye Liner Matte &amp; Intense Black 5 Ml</t>
        </is>
      </c>
      <c r="C8939" t="inlineStr">
        <is>
          <t>Eyeliner</t>
        </is>
      </c>
      <c r="D8939" t="inlineStr">
        <is>
          <t>The Organic Pharmacy</t>
        </is>
      </c>
      <c r="E8939" t="n">
        <v>17.54</v>
      </c>
      <c r="F8939" t="n">
        <v>1</v>
      </c>
      <c r="G8939" t="n">
        <v>2</v>
      </c>
      <c r="H8939" s="5">
        <f>HYPERLINK("https://api.qogita.com/variants/link/5060373520562/", "View Product")</f>
        <v/>
      </c>
    </row>
    <row r="8940">
      <c r="A8940" t="inlineStr">
        <is>
          <t>5060399679688</t>
        </is>
      </c>
      <c r="B8940" t="inlineStr">
        <is>
          <t>Roja Sweetie Aoud Extrait De Parfum Spray Unisex 1.7 Oz</t>
        </is>
      </c>
      <c r="C8940" t="inlineStr">
        <is>
          <t>Extrait De Parfum</t>
        </is>
      </c>
      <c r="D8940" t="inlineStr">
        <is>
          <t>Roja Parfums</t>
        </is>
      </c>
      <c r="E8940" t="n">
        <v>241.03</v>
      </c>
      <c r="F8940" t="n">
        <v>1</v>
      </c>
      <c r="G8940" t="n">
        <v>4</v>
      </c>
      <c r="H8940" s="5">
        <f>HYPERLINK("https://api.qogita.com/variants/link/5060399679688/", "View Product")</f>
        <v/>
      </c>
    </row>
    <row r="8941">
      <c r="A8941" t="inlineStr">
        <is>
          <t>5060403580993</t>
        </is>
      </c>
      <c r="B8941" t="inlineStr">
        <is>
          <t>Bouclème Root Refresh Dry Shampoo for Fresh Curls 200ml</t>
        </is>
      </c>
      <c r="C8941" t="inlineStr">
        <is>
          <t>Dry Shampoo</t>
        </is>
      </c>
      <c r="D8941" t="inlineStr">
        <is>
          <t>Bouclème</t>
        </is>
      </c>
      <c r="E8941" t="n">
        <v>26.58</v>
      </c>
      <c r="F8941" t="n">
        <v>1</v>
      </c>
      <c r="G8941" t="n">
        <v>14</v>
      </c>
      <c r="H8941" s="5">
        <f>HYPERLINK("https://api.qogita.com/variants/link/5060403580993/", "View Product")</f>
        <v/>
      </c>
    </row>
    <row r="8942">
      <c r="A8942" t="inlineStr">
        <is>
          <t>5060412110198</t>
        </is>
      </c>
      <c r="B8942" t="inlineStr">
        <is>
          <t>No 4 Apres Lamour Eau De Parfum 250ml 8.45oz</t>
        </is>
      </c>
      <c r="C8942" t="inlineStr">
        <is>
          <t>Eau De Parfum</t>
        </is>
      </c>
      <c r="D8942" t="inlineStr">
        <is>
          <t>Thomas Kosmala</t>
        </is>
      </c>
      <c r="E8942" t="n">
        <v>127.17</v>
      </c>
      <c r="F8942" t="n">
        <v>1</v>
      </c>
      <c r="G8942" t="n">
        <v>21</v>
      </c>
      <c r="H8942" s="5">
        <f>HYPERLINK("https://api.qogita.com/variants/link/5060412110198/", "View Product")</f>
        <v/>
      </c>
    </row>
    <row r="8943">
      <c r="A8943" t="inlineStr">
        <is>
          <t>5060412110204</t>
        </is>
      </c>
      <c r="B8943" t="inlineStr">
        <is>
          <t>Thomas Kosmala No. 1 Tonic Blanc Eau De Parfum Unisex 100ml</t>
        </is>
      </c>
      <c r="C8943" t="inlineStr">
        <is>
          <t>Eau De Parfum</t>
        </is>
      </c>
      <c r="D8943" t="inlineStr">
        <is>
          <t>Thomas Kosmala</t>
        </is>
      </c>
      <c r="E8943" t="n">
        <v>59.06</v>
      </c>
      <c r="F8943" t="n">
        <v>1</v>
      </c>
      <c r="G8943" t="n">
        <v>16</v>
      </c>
      <c r="H8943" s="5">
        <f>HYPERLINK("https://api.qogita.com/variants/link/5060412110204/", "View Product")</f>
        <v/>
      </c>
    </row>
    <row r="8944">
      <c r="A8944" t="inlineStr">
        <is>
          <t>5060412110235</t>
        </is>
      </c>
      <c r="B8944" t="inlineStr">
        <is>
          <t>Thomas Kosmala No 4 Apres L'Amour Eau De Parfum 100ml</t>
        </is>
      </c>
      <c r="C8944" t="inlineStr">
        <is>
          <t>Eau De Parfum</t>
        </is>
      </c>
      <c r="D8944" t="inlineStr">
        <is>
          <t>Thomas Kosmala</t>
        </is>
      </c>
      <c r="E8944" t="n">
        <v>68.45</v>
      </c>
      <c r="F8944" t="n">
        <v>1</v>
      </c>
      <c r="G8944" t="n">
        <v>55</v>
      </c>
      <c r="H8944" s="5">
        <f>HYPERLINK("https://api.qogita.com/variants/link/5060412110235/", "View Product")</f>
        <v/>
      </c>
    </row>
    <row r="8945">
      <c r="A8945" t="inlineStr">
        <is>
          <t>5060412110266</t>
        </is>
      </c>
      <c r="B8945" t="inlineStr">
        <is>
          <t>Thomas Kosmala No 7 Le Sel De La Terre Eau De Parfum 100ml Unisex Spray</t>
        </is>
      </c>
      <c r="C8945" t="inlineStr">
        <is>
          <t>Eau De Parfum</t>
        </is>
      </c>
      <c r="D8945" t="inlineStr">
        <is>
          <t>Thomas Kosmala</t>
        </is>
      </c>
      <c r="E8945" t="n">
        <v>86.06999999999999</v>
      </c>
      <c r="F8945" t="n">
        <v>1</v>
      </c>
      <c r="G8945" t="n">
        <v>5</v>
      </c>
      <c r="H8945" s="5">
        <f>HYPERLINK("https://api.qogita.com/variants/link/5060412110266/", "View Product")</f>
        <v/>
      </c>
    </row>
    <row r="8946">
      <c r="A8946" t="inlineStr">
        <is>
          <t>5060412110532</t>
        </is>
      </c>
      <c r="B8946" t="inlineStr">
        <is>
          <t>Thomas Kosmala Song In The Wind Eau De Parfum 100ml Unisex Spray</t>
        </is>
      </c>
      <c r="C8946" t="inlineStr">
        <is>
          <t>Eau De Parfum</t>
        </is>
      </c>
      <c r="D8946" t="inlineStr">
        <is>
          <t>Thomas Kosmala</t>
        </is>
      </c>
      <c r="E8946" t="n">
        <v>71.59</v>
      </c>
      <c r="F8946" t="n">
        <v>1</v>
      </c>
      <c r="G8946" t="n">
        <v>2</v>
      </c>
      <c r="H8946" s="5">
        <f>HYPERLINK("https://api.qogita.com/variants/link/5060412110532/", "View Product")</f>
        <v/>
      </c>
    </row>
    <row r="8947">
      <c r="A8947" t="inlineStr">
        <is>
          <t>5060412110815</t>
        </is>
      </c>
      <c r="B8947" t="inlineStr">
        <is>
          <t>Thomas Kosmala No.10 Desir Du Coeur Elixir Eau De Parfum Spray 100ml</t>
        </is>
      </c>
      <c r="C8947" t="inlineStr">
        <is>
          <t>Eau De Parfum</t>
        </is>
      </c>
      <c r="D8947" t="inlineStr">
        <is>
          <t>Thomas Kosmala</t>
        </is>
      </c>
      <c r="E8947" t="n">
        <v>83.81</v>
      </c>
      <c r="F8947" t="n">
        <v>1</v>
      </c>
      <c r="G8947" t="n">
        <v>4</v>
      </c>
      <c r="H8947" s="5">
        <f>HYPERLINK("https://api.qogita.com/variants/link/5060412110815/", "View Product")</f>
        <v/>
      </c>
    </row>
    <row r="8948">
      <c r="A8948" t="inlineStr">
        <is>
          <t>5060420335521</t>
        </is>
      </c>
      <c r="B8948" t="inlineStr">
        <is>
          <t>Fudge Professional Damage Rewind Reconstructing Conditioner For Weak And Damaged Hair 250ml</t>
        </is>
      </c>
      <c r="C8948" t="inlineStr">
        <is>
          <t>Conditioner</t>
        </is>
      </c>
      <c r="D8948" t="inlineStr">
        <is>
          <t>Fudge Professional</t>
        </is>
      </c>
      <c r="E8948" t="n">
        <v>6.98</v>
      </c>
      <c r="F8948" t="n">
        <v>1</v>
      </c>
      <c r="G8948" t="n">
        <v>2</v>
      </c>
      <c r="H8948" s="5">
        <f>HYPERLINK("https://api.qogita.com/variants/link/5060420335521/", "View Product")</f>
        <v/>
      </c>
    </row>
    <row r="8949">
      <c r="A8949" t="inlineStr">
        <is>
          <t>5060420335576</t>
        </is>
      </c>
      <c r="B8949" t="inlineStr">
        <is>
          <t>Fudge Professional Luminizer Conditioner 85% Stronger Hair for Frizzy Hair</t>
        </is>
      </c>
      <c r="C8949" t="inlineStr">
        <is>
          <t>Conditioner</t>
        </is>
      </c>
      <c r="D8949" t="inlineStr">
        <is>
          <t>Fudge</t>
        </is>
      </c>
      <c r="E8949" t="n">
        <v>7.11</v>
      </c>
      <c r="F8949" t="n">
        <v>1</v>
      </c>
      <c r="G8949" t="n">
        <v>4</v>
      </c>
      <c r="H8949" s="5">
        <f>HYPERLINK("https://api.qogita.com/variants/link/5060420335576/", "View Product")</f>
        <v/>
      </c>
    </row>
    <row r="8950">
      <c r="A8950" t="inlineStr">
        <is>
          <t>5060420335644</t>
        </is>
      </c>
      <c r="B8950" t="inlineStr">
        <is>
          <t>Fudge Professional Clean Blonde Damage Rewind Violet Toning Conditioner 1000ml</t>
        </is>
      </c>
      <c r="C8950" t="inlineStr">
        <is>
          <t>Conditioner</t>
        </is>
      </c>
      <c r="D8950" t="inlineStr">
        <is>
          <t>Fudge Professional</t>
        </is>
      </c>
      <c r="E8950" t="n">
        <v>20.26</v>
      </c>
      <c r="F8950" t="n">
        <v>1</v>
      </c>
      <c r="G8950" t="n">
        <v>26</v>
      </c>
      <c r="H8950" s="5">
        <f>HYPERLINK("https://api.qogita.com/variants/link/5060420335644/", "View Product")</f>
        <v/>
      </c>
    </row>
    <row r="8951">
      <c r="A8951" t="inlineStr">
        <is>
          <t>5060420338010</t>
        </is>
      </c>
      <c r="B8951" t="inlineStr">
        <is>
          <t>Fudge Professional Membrane Gas Extra Strong Hair 150g</t>
        </is>
      </c>
      <c r="C8951" t="inlineStr">
        <is>
          <t>Gel</t>
        </is>
      </c>
      <c r="D8951" t="inlineStr">
        <is>
          <t>Fudge</t>
        </is>
      </c>
      <c r="E8951" t="n">
        <v>7.04</v>
      </c>
      <c r="F8951" t="n">
        <v>1</v>
      </c>
      <c r="G8951" t="n">
        <v>21</v>
      </c>
      <c r="H8951" s="5">
        <f>HYPERLINK("https://api.qogita.com/variants/link/5060420338010/", "View Product")</f>
        <v/>
      </c>
    </row>
    <row r="8952">
      <c r="A8952" t="inlineStr">
        <is>
          <t>5060426157820</t>
        </is>
      </c>
      <c r="B8952" t="inlineStr">
        <is>
          <t>Sarah Jessica Parker Lovely Lights Eau De Parfum Spray 100ml</t>
        </is>
      </c>
      <c r="C8952" t="inlineStr">
        <is>
          <t>Eau De Parfum</t>
        </is>
      </c>
      <c r="D8952" t="inlineStr">
        <is>
          <t>Sarah Jessica Parker</t>
        </is>
      </c>
      <c r="E8952" t="n">
        <v>21.74</v>
      </c>
      <c r="F8952" t="n">
        <v>1</v>
      </c>
      <c r="G8952" t="n">
        <v>2</v>
      </c>
      <c r="H8952" s="5">
        <f>HYPERLINK("https://api.qogita.com/variants/link/5060426157820/", "View Product")</f>
        <v/>
      </c>
    </row>
    <row r="8953">
      <c r="A8953" t="inlineStr">
        <is>
          <t>5060475232462</t>
        </is>
      </c>
      <c r="B8953" t="inlineStr">
        <is>
          <t>Boadicea The Victorious Dasman Parfum 100ml</t>
        </is>
      </c>
      <c r="C8953" t="inlineStr">
        <is>
          <t>Eau De Parfum</t>
        </is>
      </c>
      <c r="D8953" t="inlineStr">
        <is>
          <t>Boadicea The Victorious</t>
        </is>
      </c>
      <c r="E8953" t="n">
        <v>349.69</v>
      </c>
      <c r="F8953" t="n">
        <v>1</v>
      </c>
      <c r="G8953" t="n">
        <v>3</v>
      </c>
      <c r="H8953" s="5">
        <f>HYPERLINK("https://api.qogita.com/variants/link/5060475232462/", "View Product")</f>
        <v/>
      </c>
    </row>
    <row r="8954">
      <c r="A8954" t="inlineStr">
        <is>
          <t>5060480281288</t>
        </is>
      </c>
      <c r="B8954" t="inlineStr">
        <is>
          <t>Pump'd Up Hand Sanitizer 70ml</t>
        </is>
      </c>
      <c r="C8954" t="inlineStr">
        <is>
          <t>Hand Cleaning</t>
        </is>
      </c>
      <c r="D8954" t="inlineStr">
        <is>
          <t>Pamp;D</t>
        </is>
      </c>
      <c r="E8954" t="n">
        <v>5.13</v>
      </c>
      <c r="F8954" t="n">
        <v>1</v>
      </c>
      <c r="G8954" t="n">
        <v>5</v>
      </c>
      <c r="H8954" s="5">
        <f>HYPERLINK("https://api.qogita.com/variants/link/5060480281288/", "View Product")</f>
        <v/>
      </c>
    </row>
    <row r="8955">
      <c r="A8955" t="inlineStr">
        <is>
          <t>5060486268177</t>
        </is>
      </c>
      <c r="B8955" t="inlineStr">
        <is>
          <t>Q+A Vitamin C Face Cream 50g</t>
        </is>
      </c>
      <c r="C8955" t="inlineStr">
        <is>
          <t>Face Cream</t>
        </is>
      </c>
      <c r="D8955" t="inlineStr">
        <is>
          <t>Q+A</t>
        </is>
      </c>
      <c r="E8955" t="n">
        <v>9.81</v>
      </c>
      <c r="F8955" t="n">
        <v>1</v>
      </c>
      <c r="G8955" t="n">
        <v>3</v>
      </c>
      <c r="H8955" s="5">
        <f>HYPERLINK("https://api.qogita.com/variants/link/5060486268177/", "View Product")</f>
        <v/>
      </c>
    </row>
    <row r="8956">
      <c r="A8956" t="inlineStr">
        <is>
          <t>5060495673535</t>
        </is>
      </c>
      <c r="B8956" t="inlineStr">
        <is>
          <t>Hawkins &amp; Brimble Elemi &amp; Ginseng Luxury Hand Wash 300 Ml</t>
        </is>
      </c>
      <c r="C8956" t="inlineStr">
        <is>
          <t>Hand Soap</t>
        </is>
      </c>
      <c r="D8956" t="inlineStr">
        <is>
          <t>Hawkins &amp; Brimble</t>
        </is>
      </c>
      <c r="E8956" t="n">
        <v>8.44</v>
      </c>
      <c r="F8956" t="n">
        <v>1</v>
      </c>
      <c r="G8956" t="n">
        <v>2</v>
      </c>
      <c r="H8956" s="5">
        <f>HYPERLINK("https://api.qogita.com/variants/link/5060495673535/", "View Product")</f>
        <v/>
      </c>
    </row>
    <row r="8957">
      <c r="A8957" t="inlineStr">
        <is>
          <t>5060548390143</t>
        </is>
      </c>
      <c r="B8957" t="inlineStr">
        <is>
          <t>Breakoutaid Emergency Dots Patches For Sensitive Skin Prone To Acne 72 Pieces</t>
        </is>
      </c>
      <c r="C8957" t="inlineStr">
        <is>
          <t>Acne</t>
        </is>
      </c>
      <c r="D8957" t="inlineStr">
        <is>
          <t>Breakout Aid</t>
        </is>
      </c>
      <c r="E8957" t="n">
        <v>7.97</v>
      </c>
      <c r="F8957" t="n">
        <v>1</v>
      </c>
      <c r="G8957" t="n">
        <v>13</v>
      </c>
      <c r="H8957" s="5">
        <f>HYPERLINK("https://api.qogita.com/variants/link/5060548390143/", "View Product")</f>
        <v/>
      </c>
    </row>
    <row r="8958">
      <c r="A8958" t="inlineStr">
        <is>
          <t>5060548390259</t>
        </is>
      </c>
      <c r="B8958" t="inlineStr">
        <is>
          <t>My White Secret Tooth Stain Remover - Removes Discoloration, Tartar, and Plaque - Easy to Use - Pack of 2</t>
        </is>
      </c>
      <c r="C8958" t="inlineStr">
        <is>
          <t>Teeth Whiteners</t>
        </is>
      </c>
      <c r="D8958" t="inlineStr">
        <is>
          <t>My White Secret</t>
        </is>
      </c>
      <c r="E8958" t="n">
        <v>7.54</v>
      </c>
      <c r="F8958" t="n">
        <v>1</v>
      </c>
      <c r="G8958" t="n">
        <v>21</v>
      </c>
      <c r="H8958" s="5">
        <f>HYPERLINK("https://api.qogita.com/variants/link/5060548390259/", "View Product")</f>
        <v/>
      </c>
    </row>
    <row r="8959">
      <c r="A8959" t="inlineStr">
        <is>
          <t>5060548390488</t>
        </is>
      </c>
      <c r="B8959" t="inlineStr">
        <is>
          <t>Ultra Sonic Stain and Dental Plaque Ultra (Plaque and Stain Remover)</t>
        </is>
      </c>
      <c r="C8959" t="inlineStr">
        <is>
          <t>Mouth &amp; Gum Care</t>
        </is>
      </c>
      <c r="D8959" t="inlineStr">
        <is>
          <t>My White Secret</t>
        </is>
      </c>
      <c r="E8959" t="n">
        <v>29.87</v>
      </c>
      <c r="F8959" t="n">
        <v>1</v>
      </c>
      <c r="G8959" t="n">
        <v>5</v>
      </c>
      <c r="H8959" s="5">
        <f>HYPERLINK("https://api.qogita.com/variants/link/5060548390488/", "View Product")</f>
        <v/>
      </c>
    </row>
    <row r="8960">
      <c r="A8960" t="inlineStr">
        <is>
          <t>5060548390501</t>
        </is>
      </c>
      <c r="B8960" t="inlineStr">
        <is>
          <t>Breakoutaid Spot Blemish Stick Kaolin Mask For Problematic Skin In A Stick 40 G</t>
        </is>
      </c>
      <c r="C8960" t="inlineStr">
        <is>
          <t>Anti-Pimple Mask</t>
        </is>
      </c>
      <c r="D8960" t="inlineStr">
        <is>
          <t>Breakout Aid</t>
        </is>
      </c>
      <c r="E8960" t="n">
        <v>8.52</v>
      </c>
      <c r="F8960" t="n">
        <v>1</v>
      </c>
      <c r="G8960" t="n">
        <v>9</v>
      </c>
      <c r="H8960" s="5">
        <f>HYPERLINK("https://api.qogita.com/variants/link/5060548390501/", "View Product")</f>
        <v/>
      </c>
    </row>
    <row r="8961">
      <c r="A8961" t="inlineStr">
        <is>
          <t>5060548390549</t>
        </is>
      </c>
      <c r="B8961" t="inlineStr">
        <is>
          <t>My White Secret Fine Menthol Toothpaste 60 G</t>
        </is>
      </c>
      <c r="C8961" t="inlineStr">
        <is>
          <t>Toothpaste</t>
        </is>
      </c>
      <c r="D8961" t="inlineStr">
        <is>
          <t>My White Secret</t>
        </is>
      </c>
      <c r="E8961" t="n">
        <v>6.77</v>
      </c>
      <c r="F8961" t="n">
        <v>1</v>
      </c>
      <c r="G8961" t="n">
        <v>9</v>
      </c>
      <c r="H8961" s="5">
        <f>HYPERLINK("https://api.qogita.com/variants/link/5060548390549/", "View Product")</f>
        <v/>
      </c>
    </row>
    <row r="8962">
      <c r="A8962" t="inlineStr">
        <is>
          <t>5060548390556</t>
        </is>
      </c>
      <c r="B8962" t="inlineStr">
        <is>
          <t>Whipped Coconut Toothpaste 60g</t>
        </is>
      </c>
      <c r="C8962" t="inlineStr">
        <is>
          <t>Toothpaste</t>
        </is>
      </c>
      <c r="D8962" t="inlineStr">
        <is>
          <t>My White Secret</t>
        </is>
      </c>
      <c r="E8962" t="n">
        <v>6.09</v>
      </c>
      <c r="F8962" t="n">
        <v>1</v>
      </c>
      <c r="G8962" t="n">
        <v>9</v>
      </c>
      <c r="H8962" s="5">
        <f>HYPERLINK("https://api.qogita.com/variants/link/5060548390556/", "View Product")</f>
        <v/>
      </c>
    </row>
    <row r="8963">
      <c r="A8963" t="inlineStr">
        <is>
          <t>5060548390693</t>
        </is>
      </c>
      <c r="B8963" t="inlineStr">
        <is>
          <t>My White Secret Mango Sorbet Toothpaste - 60 G</t>
        </is>
      </c>
      <c r="C8963" t="inlineStr">
        <is>
          <t>Toothpaste</t>
        </is>
      </c>
      <c r="D8963" t="inlineStr">
        <is>
          <t>My White Secret</t>
        </is>
      </c>
      <c r="E8963" t="n">
        <v>6.09</v>
      </c>
      <c r="F8963" t="n">
        <v>1</v>
      </c>
      <c r="G8963" t="n">
        <v>3</v>
      </c>
      <c r="H8963" s="5">
        <f>HYPERLINK("https://api.qogita.com/variants/link/5060548390693/", "View Product")</f>
        <v/>
      </c>
    </row>
    <row r="8964">
      <c r="A8964" t="inlineStr">
        <is>
          <t>5060548390839</t>
        </is>
      </c>
      <c r="B8964" t="inlineStr">
        <is>
          <t>My White Secret Dental Floss - 3 Pieces</t>
        </is>
      </c>
      <c r="C8964" t="inlineStr">
        <is>
          <t>Mouth &amp; Gum Care</t>
        </is>
      </c>
      <c r="D8964" t="inlineStr">
        <is>
          <t>My White Secret</t>
        </is>
      </c>
      <c r="E8964" t="n">
        <v>8.050000000000001</v>
      </c>
      <c r="F8964" t="n">
        <v>1</v>
      </c>
      <c r="G8964" t="n">
        <v>6</v>
      </c>
      <c r="H8964" s="5">
        <f>HYPERLINK("https://api.qogita.com/variants/link/5060548390839/", "View Product")</f>
        <v/>
      </c>
    </row>
    <row r="8965">
      <c r="A8965" t="inlineStr">
        <is>
          <t>5060630040611</t>
        </is>
      </c>
      <c r="B8965" t="inlineStr">
        <is>
          <t>Tangle Teezer Wet Detangler Fine &amp; Fragile Mint Hairbrush Jade Lagoon</t>
        </is>
      </c>
      <c r="C8965" t="inlineStr">
        <is>
          <t>Detanglers</t>
        </is>
      </c>
      <c r="D8965" t="inlineStr">
        <is>
          <t>Tangle Teezer</t>
        </is>
      </c>
      <c r="E8965" t="n">
        <v>9.4</v>
      </c>
      <c r="F8965" t="n">
        <v>1</v>
      </c>
      <c r="G8965" t="n">
        <v>41</v>
      </c>
      <c r="H8965" s="5">
        <f>HYPERLINK("https://api.qogita.com/variants/link/5060630040611/", "View Product")</f>
        <v/>
      </c>
    </row>
    <row r="8966">
      <c r="A8966" t="inlineStr">
        <is>
          <t>5060630043841</t>
        </is>
      </c>
      <c r="B8966" t="inlineStr">
        <is>
          <t>Tangle Teezer The Scalp Exfoliator &amp; Massager Onyx Black Exfoliating Massage Brush For The Scalp</t>
        </is>
      </c>
      <c r="C8966" t="inlineStr">
        <is>
          <t>Scalp Care</t>
        </is>
      </c>
      <c r="D8966" t="inlineStr">
        <is>
          <t>Tangle Teezer</t>
        </is>
      </c>
      <c r="E8966" t="n">
        <v>8.359999999999999</v>
      </c>
      <c r="F8966" t="n">
        <v>1</v>
      </c>
      <c r="G8966" t="n">
        <v>14</v>
      </c>
      <c r="H8966" s="5">
        <f>HYPERLINK("https://api.qogita.com/variants/link/5060630043841/", "View Product")</f>
        <v/>
      </c>
    </row>
    <row r="8967">
      <c r="A8967" t="inlineStr">
        <is>
          <t>5060630045029</t>
        </is>
      </c>
      <c r="B8967" t="inlineStr">
        <is>
          <t>Tangle Teezer Compact Styler Pink Matte Chrome Hairbrush For Detangling</t>
        </is>
      </c>
      <c r="C8967" t="inlineStr">
        <is>
          <t>Detanglers</t>
        </is>
      </c>
      <c r="D8967" t="inlineStr">
        <is>
          <t>Tangle Teezer</t>
        </is>
      </c>
      <c r="E8967" t="n">
        <v>11.44</v>
      </c>
      <c r="F8967" t="n">
        <v>1</v>
      </c>
      <c r="G8967" t="n">
        <v>21</v>
      </c>
      <c r="H8967" s="5">
        <f>HYPERLINK("https://api.qogita.com/variants/link/5060630045029/", "View Product")</f>
        <v/>
      </c>
    </row>
    <row r="8968">
      <c r="A8968" t="inlineStr">
        <is>
          <t>5060630047979</t>
        </is>
      </c>
      <c r="B8968" t="inlineStr">
        <is>
          <t>Tangle Teezer The Ultimate Styler Millennial Pink Hair Brush</t>
        </is>
      </c>
      <c r="C8968" t="inlineStr">
        <is>
          <t>Detanglers</t>
        </is>
      </c>
      <c r="D8968" t="inlineStr">
        <is>
          <t>Tangle Teezer</t>
        </is>
      </c>
      <c r="E8968" t="n">
        <v>11.75</v>
      </c>
      <c r="F8968" t="n">
        <v>1</v>
      </c>
      <c r="G8968" t="n">
        <v>3</v>
      </c>
      <c r="H8968" s="5">
        <f>HYPERLINK("https://api.qogita.com/variants/link/5060630047979/", "View Product")</f>
        <v/>
      </c>
    </row>
    <row r="8969">
      <c r="A8969" t="inlineStr">
        <is>
          <t>5060656210753</t>
        </is>
      </c>
      <c r="B8969" t="inlineStr">
        <is>
          <t>Slick Gorilla Neutralizing Shampoo For Blonde Hair No Yellow Shampoo - 200 Ml</t>
        </is>
      </c>
      <c r="C8969" t="inlineStr">
        <is>
          <t>Shampoo</t>
        </is>
      </c>
      <c r="D8969" t="inlineStr">
        <is>
          <t>Slick Gorilla</t>
        </is>
      </c>
      <c r="E8969" t="n">
        <v>8.529999999999999</v>
      </c>
      <c r="F8969" t="n">
        <v>1</v>
      </c>
      <c r="G8969" t="n">
        <v>2</v>
      </c>
      <c r="H8969" s="5">
        <f>HYPERLINK("https://api.qogita.com/variants/link/5060656210753/", "View Product")</f>
        <v/>
      </c>
    </row>
    <row r="8970">
      <c r="A8970" t="inlineStr">
        <is>
          <t>5060656211125</t>
        </is>
      </c>
      <c r="B8970" t="inlineStr">
        <is>
          <t>Slick Gorilla Neutralizing Conditioner For Blonde Hair No Yellow Conditioner 200 Ml</t>
        </is>
      </c>
      <c r="C8970" t="inlineStr">
        <is>
          <t>Conditioner</t>
        </is>
      </c>
      <c r="D8970" t="inlineStr">
        <is>
          <t>Slick Gorilla</t>
        </is>
      </c>
      <c r="E8970" t="n">
        <v>8.529999999999999</v>
      </c>
      <c r="F8970" t="n">
        <v>1</v>
      </c>
      <c r="G8970" t="n">
        <v>3</v>
      </c>
      <c r="H8970" s="5">
        <f>HYPERLINK("https://api.qogita.com/variants/link/5060656211125/", "View Product")</f>
        <v/>
      </c>
    </row>
    <row r="8971">
      <c r="A8971" t="inlineStr">
        <is>
          <t>5060743580646</t>
        </is>
      </c>
      <c r="B8971" t="inlineStr">
        <is>
          <t>Hair Burst Hydrating Hair Mask with Avocado Oil, Coconut &amp; Black Oat Extract 220ml</t>
        </is>
      </c>
      <c r="C8971" t="inlineStr">
        <is>
          <t>Hair Masks</t>
        </is>
      </c>
      <c r="D8971" t="inlineStr">
        <is>
          <t>Hairburst</t>
        </is>
      </c>
      <c r="E8971" t="n">
        <v>30.65</v>
      </c>
      <c r="F8971" t="n">
        <v>1</v>
      </c>
      <c r="G8971" t="n">
        <v>2</v>
      </c>
      <c r="H8971" s="5">
        <f>HYPERLINK("https://api.qogita.com/variants/link/5060743580646/", "View Product")</f>
        <v/>
      </c>
    </row>
    <row r="8972">
      <c r="A8972" t="inlineStr">
        <is>
          <t>5060743581483</t>
        </is>
      </c>
      <c r="B8972" t="inlineStr">
        <is>
          <t>Hairburst Hydrating &amp; Moisturising Scalp Repair Tonic 100 Ml</t>
        </is>
      </c>
      <c r="C8972" t="inlineStr">
        <is>
          <t>Scalp Care</t>
        </is>
      </c>
      <c r="D8972" t="inlineStr">
        <is>
          <t>Hairburst</t>
        </is>
      </c>
      <c r="E8972" t="n">
        <v>24.86</v>
      </c>
      <c r="F8972" t="n">
        <v>1</v>
      </c>
      <c r="G8972" t="n">
        <v>5</v>
      </c>
      <c r="H8972" s="5">
        <f>HYPERLINK("https://api.qogita.com/variants/link/5060743581483/", "View Product")</f>
        <v/>
      </c>
    </row>
    <row r="8973">
      <c r="A8973" t="inlineStr">
        <is>
          <t>5060796560091</t>
        </is>
      </c>
      <c r="B8973" t="inlineStr">
        <is>
          <t>Men Rock Premium Beard Shaving Brush with Soft Synthetic Bristles</t>
        </is>
      </c>
      <c r="C8973" t="inlineStr">
        <is>
          <t>Beard Care Accessories</t>
        </is>
      </c>
      <c r="D8973" t="inlineStr">
        <is>
          <t>Menrock</t>
        </is>
      </c>
      <c r="E8973" t="n">
        <v>9.1</v>
      </c>
      <c r="F8973" t="n">
        <v>1</v>
      </c>
      <c r="G8973" t="n">
        <v>3</v>
      </c>
      <c r="H8973" s="5">
        <f>HYPERLINK("https://api.qogita.com/variants/link/5060796560091/", "View Product")</f>
        <v/>
      </c>
    </row>
    <row r="8974">
      <c r="A8974" t="inlineStr">
        <is>
          <t>5060796560121</t>
        </is>
      </c>
      <c r="B8974" t="inlineStr">
        <is>
          <t>Men Rock London Oak Moss Soothing Beard Wash 100 Ml</t>
        </is>
      </c>
      <c r="C8974" t="inlineStr">
        <is>
          <t>Beard Care Sets</t>
        </is>
      </c>
      <c r="D8974" t="inlineStr">
        <is>
          <t>Men Rock</t>
        </is>
      </c>
      <c r="E8974" t="n">
        <v>9.199999999999999</v>
      </c>
      <c r="F8974" t="n">
        <v>1</v>
      </c>
      <c r="G8974" t="n">
        <v>2</v>
      </c>
      <c r="H8974" s="5">
        <f>HYPERLINK("https://api.qogita.com/variants/link/5060796560121/", "View Product")</f>
        <v/>
      </c>
    </row>
    <row r="8975">
      <c r="A8975" t="inlineStr">
        <is>
          <t>5060796560145</t>
        </is>
      </c>
      <c r="B8975" t="inlineStr">
        <is>
          <t>Menrock Awakening Beard Soap Sicilian Lime And Caffeine 100ml</t>
        </is>
      </c>
      <c r="C8975" t="inlineStr">
        <is>
          <t>Beard Care Sets</t>
        </is>
      </c>
      <c r="D8975" t="inlineStr">
        <is>
          <t>Menrock</t>
        </is>
      </c>
      <c r="E8975" t="n">
        <v>9.199999999999999</v>
      </c>
      <c r="F8975" t="n">
        <v>1</v>
      </c>
      <c r="G8975" t="n">
        <v>4</v>
      </c>
      <c r="H8975" s="5">
        <f>HYPERLINK("https://api.qogita.com/variants/link/5060796560145/", "View Product")</f>
        <v/>
      </c>
    </row>
    <row r="8976">
      <c r="A8976" t="inlineStr">
        <is>
          <t>5060896571300</t>
        </is>
      </c>
      <c r="B8976" t="inlineStr">
        <is>
          <t>Bulldog Skincare for Men Original Hair Styling Pomade 75g</t>
        </is>
      </c>
      <c r="C8976" t="inlineStr">
        <is>
          <t>Wax</t>
        </is>
      </c>
      <c r="D8976" t="inlineStr">
        <is>
          <t>Bulldog Skincare</t>
        </is>
      </c>
      <c r="E8976" t="n">
        <v>8.09</v>
      </c>
      <c r="F8976" t="n">
        <v>1</v>
      </c>
      <c r="G8976" t="n">
        <v>9</v>
      </c>
      <c r="H8976" s="5">
        <f>HYPERLINK("https://api.qogita.com/variants/link/5060896571300/", "View Product")</f>
        <v/>
      </c>
    </row>
    <row r="8977">
      <c r="A8977" t="inlineStr">
        <is>
          <t>5060896575506</t>
        </is>
      </c>
      <c r="B8977" t="inlineStr">
        <is>
          <t>Bulldog Fresh Mint &amp; Cedarwood Deodorant Spray 125 Ml</t>
        </is>
      </c>
      <c r="C8977" t="inlineStr">
        <is>
          <t>Deodorant &amp; Anti-Perspirant</t>
        </is>
      </c>
      <c r="D8977" t="inlineStr">
        <is>
          <t>Bulldog</t>
        </is>
      </c>
      <c r="E8977" t="n">
        <v>6.67</v>
      </c>
      <c r="F8977" t="n">
        <v>1</v>
      </c>
      <c r="G8977" t="n">
        <v>4</v>
      </c>
      <c r="H8977" s="5">
        <f>HYPERLINK("https://api.qogita.com/variants/link/5060896575506/", "View Product")</f>
        <v/>
      </c>
    </row>
    <row r="8978">
      <c r="A8978" t="inlineStr">
        <is>
          <t>5060896575513</t>
        </is>
      </c>
      <c r="B8978" t="inlineStr">
        <is>
          <t>Bulldog Bergamot Sandalwood Spray Deodorant - Men's Natural Deodorant, 125ml</t>
        </is>
      </c>
      <c r="C8978" t="inlineStr">
        <is>
          <t>Deodorant &amp; Anti-Perspirant</t>
        </is>
      </c>
      <c r="D8978" t="inlineStr">
        <is>
          <t>Bulldog</t>
        </is>
      </c>
      <c r="E8978" t="n">
        <v>6.67</v>
      </c>
      <c r="F8978" t="n">
        <v>1</v>
      </c>
      <c r="G8978" t="n">
        <v>4</v>
      </c>
      <c r="H8978" s="5">
        <f>HYPERLINK("https://api.qogita.com/variants/link/5060896575513/", "View Product")</f>
        <v/>
      </c>
    </row>
    <row r="8979">
      <c r="A8979" t="inlineStr">
        <is>
          <t>5060896576268</t>
        </is>
      </c>
      <c r="B8979" t="inlineStr">
        <is>
          <t>Bulldog Gift Set Duo Lemon Bergamot</t>
        </is>
      </c>
      <c r="C8979" t="inlineStr">
        <is>
          <t>Diffusers</t>
        </is>
      </c>
      <c r="D8979" t="inlineStr">
        <is>
          <t>Bulldog</t>
        </is>
      </c>
      <c r="E8979" t="n">
        <v>14.73</v>
      </c>
      <c r="F8979" t="n">
        <v>1</v>
      </c>
      <c r="G8979" t="n">
        <v>5</v>
      </c>
      <c r="H8979" s="5">
        <f>HYPERLINK("https://api.qogita.com/variants/link/5060896576268/", "View Product")</f>
        <v/>
      </c>
    </row>
    <row r="8980">
      <c r="A8980" t="inlineStr">
        <is>
          <t>5060896576329</t>
        </is>
      </c>
      <c r="B8980" t="inlineStr">
        <is>
          <t>Bulldog Lemon Bergamot Body Care Duo Gift Set</t>
        </is>
      </c>
      <c r="C8980" t="inlineStr">
        <is>
          <t>Body Care Sets</t>
        </is>
      </c>
      <c r="D8980" t="inlineStr">
        <is>
          <t>Bulldog</t>
        </is>
      </c>
      <c r="E8980" t="n">
        <v>13.1</v>
      </c>
      <c r="F8980" t="n">
        <v>1</v>
      </c>
      <c r="G8980" t="n">
        <v>5</v>
      </c>
      <c r="H8980" s="5">
        <f>HYPERLINK("https://api.qogita.com/variants/link/5060896576329/", "View Product")</f>
        <v/>
      </c>
    </row>
    <row r="8981">
      <c r="A8981" t="inlineStr">
        <is>
          <t>5060896578217</t>
        </is>
      </c>
      <c r="B8981" t="inlineStr">
        <is>
          <t>Bulldog Moisturizing Face Cream Spf 15 Protective Moisturiser - 100 Ml</t>
        </is>
      </c>
      <c r="C8981" t="inlineStr">
        <is>
          <t>Day Cream</t>
        </is>
      </c>
      <c r="D8981" t="inlineStr">
        <is>
          <t>Bulldog</t>
        </is>
      </c>
      <c r="E8981" t="n">
        <v>10.48</v>
      </c>
      <c r="F8981" t="n">
        <v>1</v>
      </c>
      <c r="G8981" t="n">
        <v>3</v>
      </c>
      <c r="H8981" s="5">
        <f>HYPERLINK("https://api.qogita.com/variants/link/5060896578217/", "View Product")</f>
        <v/>
      </c>
    </row>
    <row r="8982">
      <c r="A8982" t="inlineStr">
        <is>
          <t>5060905831845</t>
        </is>
      </c>
      <c r="B8982" t="inlineStr">
        <is>
          <t>Thameen Regent Leather Extrait De Parfum Spray 50ml</t>
        </is>
      </c>
      <c r="C8982" t="inlineStr">
        <is>
          <t>Extrait De Parfum</t>
        </is>
      </c>
      <c r="D8982" t="inlineStr">
        <is>
          <t>Thameen</t>
        </is>
      </c>
      <c r="E8982" t="n">
        <v>115.57</v>
      </c>
      <c r="F8982" t="n">
        <v>1</v>
      </c>
      <c r="G8982" t="n">
        <v>5</v>
      </c>
      <c r="H8982" s="5">
        <f>HYPERLINK("https://api.qogita.com/variants/link/5060905831845/", "View Product")</f>
        <v/>
      </c>
    </row>
    <row r="8983">
      <c r="A8983" t="inlineStr">
        <is>
          <t>5060905832507</t>
        </is>
      </c>
      <c r="B8983" t="inlineStr">
        <is>
          <t>Thameen Green Pearl Extrait De Parfum - 100ml</t>
        </is>
      </c>
      <c r="C8983" t="inlineStr">
        <is>
          <t>Extrait De Parfum</t>
        </is>
      </c>
      <c r="D8983" t="inlineStr">
        <is>
          <t>Thameen</t>
        </is>
      </c>
      <c r="E8983" t="n">
        <v>141.86</v>
      </c>
      <c r="F8983" t="n">
        <v>1</v>
      </c>
      <c r="G8983" t="n">
        <v>4</v>
      </c>
      <c r="H8983" s="5">
        <f>HYPERLINK("https://api.qogita.com/variants/link/5060905832507/", "View Product")</f>
        <v/>
      </c>
    </row>
    <row r="8984">
      <c r="A8984" t="inlineStr">
        <is>
          <t>5060905833689</t>
        </is>
      </c>
      <c r="B8984" t="inlineStr">
        <is>
          <t>Thameen Unisex Blue Heart Extrait De Parfum Spray 3.4 Oz</t>
        </is>
      </c>
      <c r="C8984" t="inlineStr">
        <is>
          <t>Extrait De Parfum</t>
        </is>
      </c>
      <c r="D8984" t="inlineStr">
        <is>
          <t>Thameen</t>
        </is>
      </c>
      <c r="E8984" t="n">
        <v>158.66</v>
      </c>
      <c r="F8984" t="n">
        <v>1</v>
      </c>
      <c r="G8984" t="n">
        <v>4</v>
      </c>
      <c r="H8984" s="5">
        <f>HYPERLINK("https://api.qogita.com/variants/link/5060905833689/", "View Product")</f>
        <v/>
      </c>
    </row>
    <row r="8985">
      <c r="A8985" t="inlineStr">
        <is>
          <t>5060905833924</t>
        </is>
      </c>
      <c r="B8985" t="inlineStr">
        <is>
          <t>Thameen Chords 100ml Unisex Fragrance</t>
        </is>
      </c>
      <c r="C8985" t="inlineStr">
        <is>
          <t>Eau De Parfum</t>
        </is>
      </c>
      <c r="D8985" t="inlineStr">
        <is>
          <t>Thameen</t>
        </is>
      </c>
      <c r="E8985" t="n">
        <v>132.87</v>
      </c>
      <c r="F8985" t="n">
        <v>1</v>
      </c>
      <c r="G8985" t="n">
        <v>4</v>
      </c>
      <c r="H8985" s="5">
        <f>HYPERLINK("https://api.qogita.com/variants/link/5060905833924/", "View Product")</f>
        <v/>
      </c>
    </row>
    <row r="8986">
      <c r="A8986" t="inlineStr">
        <is>
          <t>5060925450682</t>
        </is>
      </c>
      <c r="B8986" t="inlineStr">
        <is>
          <t>Carbon Theory Supacylic Acne Patches Zap Patch With Salicylic Acid - 20 Pieces</t>
        </is>
      </c>
      <c r="C8986" t="inlineStr">
        <is>
          <t>Pimple &amp; Blackhead Treatments</t>
        </is>
      </c>
      <c r="D8986" t="inlineStr">
        <is>
          <t>Carbon Theory</t>
        </is>
      </c>
      <c r="E8986" t="n">
        <v>5.06</v>
      </c>
      <c r="F8986" t="n">
        <v>1</v>
      </c>
      <c r="G8986" t="n">
        <v>10</v>
      </c>
      <c r="H8986" s="5">
        <f>HYPERLINK("https://api.qogita.com/variants/link/5060925450682/", "View Product")</f>
        <v/>
      </c>
    </row>
    <row r="8987">
      <c r="A8987" t="inlineStr">
        <is>
          <t>5060926680736</t>
        </is>
      </c>
      <c r="B8987" t="inlineStr">
        <is>
          <t>Tangle Teezer The Original Detangling Hairbrush for Wet &amp; Dry Hair</t>
        </is>
      </c>
      <c r="C8987" t="inlineStr">
        <is>
          <t>Detanglers</t>
        </is>
      </c>
      <c r="D8987" t="inlineStr">
        <is>
          <t>Tangle Teezer</t>
        </is>
      </c>
      <c r="E8987" t="n">
        <v>8.93</v>
      </c>
      <c r="F8987" t="n">
        <v>1</v>
      </c>
      <c r="G8987" t="n">
        <v>12</v>
      </c>
      <c r="H8987" s="5">
        <f>HYPERLINK("https://api.qogita.com/variants/link/5060926680736/", "View Product")</f>
        <v/>
      </c>
    </row>
    <row r="8988">
      <c r="A8988" t="inlineStr">
        <is>
          <t>5060926680927</t>
        </is>
      </c>
      <c r="B8988" t="inlineStr">
        <is>
          <t>Tangle Teezer The Ultimate Detangler Lilac &amp; Blue Hairbrush</t>
        </is>
      </c>
      <c r="C8988" t="inlineStr">
        <is>
          <t>Detanglers</t>
        </is>
      </c>
      <c r="D8988" t="inlineStr">
        <is>
          <t>Tangle Teezer</t>
        </is>
      </c>
      <c r="E8988" t="n">
        <v>13.61</v>
      </c>
      <c r="F8988" t="n">
        <v>1</v>
      </c>
      <c r="G8988" t="n">
        <v>13</v>
      </c>
      <c r="H8988" s="5">
        <f>HYPERLINK("https://api.qogita.com/variants/link/5060926680927/", "View Product")</f>
        <v/>
      </c>
    </row>
    <row r="8989">
      <c r="A8989" t="inlineStr">
        <is>
          <t>5060926681672</t>
        </is>
      </c>
      <c r="B8989" t="inlineStr">
        <is>
          <t>Tangle Teezer The Wet Detangler Hairbrush Lavender Mini</t>
        </is>
      </c>
      <c r="C8989" t="inlineStr">
        <is>
          <t>Detanglers</t>
        </is>
      </c>
      <c r="D8989" t="inlineStr">
        <is>
          <t>Tangle Teezer</t>
        </is>
      </c>
      <c r="E8989" t="n">
        <v>7.95</v>
      </c>
      <c r="F8989" t="n">
        <v>1</v>
      </c>
      <c r="G8989" t="n">
        <v>14</v>
      </c>
      <c r="H8989" s="5">
        <f>HYPERLINK("https://api.qogita.com/variants/link/5060926681672/", "View Product")</f>
        <v/>
      </c>
    </row>
    <row r="8990">
      <c r="A8990" t="inlineStr">
        <is>
          <t>5060926681702</t>
        </is>
      </c>
      <c r="B8990" t="inlineStr">
        <is>
          <t>Tangle Teezer The Wet Detangler Hairbrush Pink Punch Mini</t>
        </is>
      </c>
      <c r="C8990" t="inlineStr">
        <is>
          <t>Detanglers</t>
        </is>
      </c>
      <c r="D8990" t="inlineStr">
        <is>
          <t>Tangle Teezer</t>
        </is>
      </c>
      <c r="E8990" t="n">
        <v>8.039999999999999</v>
      </c>
      <c r="F8990" t="n">
        <v>1</v>
      </c>
      <c r="G8990" t="n">
        <v>13</v>
      </c>
      <c r="H8990" s="5">
        <f>HYPERLINK("https://api.qogita.com/variants/link/5060926681702/", "View Product")</f>
        <v/>
      </c>
    </row>
    <row r="8991">
      <c r="A8991" t="inlineStr">
        <is>
          <t>5060926683065</t>
        </is>
      </c>
      <c r="B8991" t="inlineStr">
        <is>
          <t>Tangle Teezer The Ultimate Detangler Hairbrush for Wet and Dry Hair Two-Tiered Teeth and Comfortable Handle Morello Cherry and Violet</t>
        </is>
      </c>
      <c r="C8991" t="inlineStr">
        <is>
          <t>Detanglers</t>
        </is>
      </c>
      <c r="D8991" t="inlineStr">
        <is>
          <t>Tangle Teezer</t>
        </is>
      </c>
      <c r="E8991" t="n">
        <v>13.61</v>
      </c>
      <c r="F8991" t="n">
        <v>1</v>
      </c>
      <c r="G8991" t="n">
        <v>7</v>
      </c>
      <c r="H8991" s="5">
        <f>HYPERLINK("https://api.qogita.com/variants/link/5060926683065/", "View Product")</f>
        <v/>
      </c>
    </row>
    <row r="8992">
      <c r="A8992" t="inlineStr">
        <is>
          <t>5060926684512</t>
        </is>
      </c>
      <c r="B8992" t="inlineStr">
        <is>
          <t>Ultimate Detangler Large Salmon Pink Hairbrush by Ultimate</t>
        </is>
      </c>
      <c r="C8992" t="inlineStr">
        <is>
          <t>Detanglers</t>
        </is>
      </c>
      <c r="D8992" t="inlineStr">
        <is>
          <t>Tangle Teezer</t>
        </is>
      </c>
      <c r="E8992" t="n">
        <v>10.25</v>
      </c>
      <c r="F8992" t="n">
        <v>1</v>
      </c>
      <c r="G8992" t="n">
        <v>3</v>
      </c>
      <c r="H8992" s="5">
        <f>HYPERLINK("https://api.qogita.com/variants/link/5060926684512/", "View Product")</f>
        <v/>
      </c>
    </row>
    <row r="8993">
      <c r="A8993" t="inlineStr">
        <is>
          <t>5060926684543</t>
        </is>
      </c>
      <c r="B8993" t="inlineStr">
        <is>
          <t>Tangle Teezer Original Mini Marine Teal And Rosebud Hairbrush</t>
        </is>
      </c>
      <c r="C8993" t="inlineStr">
        <is>
          <t>Detanglers</t>
        </is>
      </c>
      <c r="D8993" t="inlineStr">
        <is>
          <t>Tangle Teezer</t>
        </is>
      </c>
      <c r="E8993" t="n">
        <v>9.68</v>
      </c>
      <c r="F8993" t="n">
        <v>1</v>
      </c>
      <c r="G8993" t="n">
        <v>20</v>
      </c>
      <c r="H8993" s="5">
        <f>HYPERLINK("https://api.qogita.com/variants/link/5060926684543/", "View Product")</f>
        <v/>
      </c>
    </row>
    <row r="8994">
      <c r="A8994" t="inlineStr">
        <is>
          <t>5060926685359</t>
        </is>
      </c>
      <c r="B8994" t="inlineStr">
        <is>
          <t>Tangle Teezer The Ultimate Detangler Hairbrush for Wet &amp; Dry Hair</t>
        </is>
      </c>
      <c r="C8994" t="inlineStr">
        <is>
          <t>Detanglers</t>
        </is>
      </c>
      <c r="D8994" t="inlineStr">
        <is>
          <t>Tangle Teezer</t>
        </is>
      </c>
      <c r="E8994" t="n">
        <v>12.19</v>
      </c>
      <c r="F8994" t="n">
        <v>1</v>
      </c>
      <c r="G8994" t="n">
        <v>14</v>
      </c>
      <c r="H8994" s="5">
        <f>HYPERLINK("https://api.qogita.com/variants/link/5060926685359/", "View Product")</f>
        <v/>
      </c>
    </row>
    <row r="8995">
      <c r="A8995" t="inlineStr">
        <is>
          <t>5060926686783</t>
        </is>
      </c>
      <c r="B8995" t="inlineStr">
        <is>
          <t>Tangle Teezer Fine and Fragile Ultimate Detangler Hairbrush for Coloured Fine Hair</t>
        </is>
      </c>
      <c r="C8995" t="inlineStr">
        <is>
          <t>Detanglers</t>
        </is>
      </c>
      <c r="D8995" t="inlineStr">
        <is>
          <t>Tangle Teezer</t>
        </is>
      </c>
      <c r="E8995" t="n">
        <v>12.19</v>
      </c>
      <c r="F8995" t="n">
        <v>1</v>
      </c>
      <c r="G8995" t="n">
        <v>6</v>
      </c>
      <c r="H8995" s="5">
        <f>HYPERLINK("https://api.qogita.com/variants/link/5060926686783/", "View Product")</f>
        <v/>
      </c>
    </row>
    <row r="8996">
      <c r="A8996" t="inlineStr">
        <is>
          <t>5060926687568</t>
        </is>
      </c>
      <c r="B8996" t="inlineStr">
        <is>
          <t>Tangle Teezer Extra Gentle Ultimate Detangler Hairbrush</t>
        </is>
      </c>
      <c r="C8996" t="inlineStr">
        <is>
          <t>Detanglers</t>
        </is>
      </c>
      <c r="D8996" t="inlineStr">
        <is>
          <t>Tangle Teezer</t>
        </is>
      </c>
      <c r="E8996" t="n">
        <v>12.76</v>
      </c>
      <c r="F8996" t="n">
        <v>1</v>
      </c>
      <c r="G8996" t="n">
        <v>5</v>
      </c>
      <c r="H8996" s="5">
        <f>HYPERLINK("https://api.qogita.com/variants/link/5060926687568/", "View Product")</f>
        <v/>
      </c>
    </row>
    <row r="8997">
      <c r="A8997" t="inlineStr">
        <is>
          <t>5060926687582</t>
        </is>
      </c>
      <c r="B8997" t="inlineStr">
        <is>
          <t>Tangle Teezer Extra Gentle Ultimate Detangler Hairbrush</t>
        </is>
      </c>
      <c r="C8997" t="inlineStr">
        <is>
          <t>Detanglers</t>
        </is>
      </c>
      <c r="D8997" t="inlineStr">
        <is>
          <t>Tangle Teezer</t>
        </is>
      </c>
      <c r="E8997" t="n">
        <v>12.76</v>
      </c>
      <c r="F8997" t="n">
        <v>1</v>
      </c>
      <c r="G8997" t="n">
        <v>5</v>
      </c>
      <c r="H8997" s="5">
        <f>HYPERLINK("https://api.qogita.com/variants/link/5060926687582/", "View Product")</f>
        <v/>
      </c>
    </row>
    <row r="8998">
      <c r="A8998" t="inlineStr">
        <is>
          <t>5065009151004</t>
        </is>
      </c>
      <c r="B8998" t="inlineStr">
        <is>
          <t>Fragrance Du Bois Cavort Unisex Perfume 100ml</t>
        </is>
      </c>
      <c r="C8998" t="inlineStr">
        <is>
          <t>Eau De Parfum</t>
        </is>
      </c>
      <c r="D8998" t="inlineStr">
        <is>
          <t>Fragrance Du Bois</t>
        </is>
      </c>
      <c r="E8998" t="n">
        <v>183.43</v>
      </c>
      <c r="F8998" t="n">
        <v>1</v>
      </c>
      <c r="G8998" t="n">
        <v>2</v>
      </c>
      <c r="H8998" s="5">
        <f>HYPERLINK("https://api.qogita.com/variants/link/5065009151004/", "View Product")</f>
        <v/>
      </c>
    </row>
    <row r="8999">
      <c r="A8999" t="inlineStr">
        <is>
          <t>5081304300909</t>
        </is>
      </c>
      <c r="B8999" t="inlineStr">
        <is>
          <t>Oud Bleu Intense Parfum 1.69 Fl Oz</t>
        </is>
      </c>
      <c r="C8999" t="inlineStr">
        <is>
          <t>Eau De Parfum</t>
        </is>
      </c>
      <c r="D8999" t="inlineStr">
        <is>
          <t>Fragrance Du Bois</t>
        </is>
      </c>
      <c r="E8999" t="n">
        <v>176</v>
      </c>
      <c r="F8999" t="n">
        <v>1</v>
      </c>
      <c r="G8999" t="n">
        <v>4</v>
      </c>
      <c r="H8999" s="5">
        <f>HYPERLINK("https://api.qogita.com/variants/link/5081304300909/", "View Product")</f>
        <v/>
      </c>
    </row>
    <row r="9000">
      <c r="A9000" t="inlineStr">
        <is>
          <t>5081304301005</t>
        </is>
      </c>
      <c r="B9000" t="inlineStr">
        <is>
          <t>Fragrance Du Bois Unisex Oud Vert Intense Perfume 100ml</t>
        </is>
      </c>
      <c r="C9000" t="inlineStr">
        <is>
          <t>Eau De Parfum</t>
        </is>
      </c>
      <c r="D9000" t="inlineStr">
        <is>
          <t>Fragrance Du Bois</t>
        </is>
      </c>
      <c r="E9000" t="n">
        <v>293.99</v>
      </c>
      <c r="F9000" t="n">
        <v>1</v>
      </c>
      <c r="G9000" t="n">
        <v>8</v>
      </c>
      <c r="H9000" s="5">
        <f>HYPERLINK("https://api.qogita.com/variants/link/5081304301005/", "View Product")</f>
        <v/>
      </c>
    </row>
    <row r="9001">
      <c r="A9001" t="inlineStr">
        <is>
          <t>5081304448434</t>
        </is>
      </c>
      <c r="B9001" t="inlineStr">
        <is>
          <t>Fragrance Du Bois Unisex New York 5th Avenue Perfume 100ml</t>
        </is>
      </c>
      <c r="C9001" t="inlineStr">
        <is>
          <t>Eau De Parfum</t>
        </is>
      </c>
      <c r="D9001" t="inlineStr">
        <is>
          <t>Fragrance Du Bois</t>
        </is>
      </c>
      <c r="E9001" t="n">
        <v>155.02</v>
      </c>
      <c r="F9001" t="n">
        <v>1</v>
      </c>
      <c r="G9001" t="n">
        <v>2</v>
      </c>
      <c r="H9001" s="5">
        <f>HYPERLINK("https://api.qogita.com/variants/link/5081304448434/", "View Product")</f>
        <v/>
      </c>
    </row>
    <row r="9002">
      <c r="A9002" t="inlineStr">
        <is>
          <t>5099821001841</t>
        </is>
      </c>
      <c r="B9002" t="inlineStr">
        <is>
          <t>Hawaiian Tropic Sun Lotion Spf 30 Glowing Protection Mini 100 Ml</t>
        </is>
      </c>
      <c r="C9002" t="inlineStr">
        <is>
          <t>Body Sun Protection</t>
        </is>
      </c>
      <c r="D9002" t="inlineStr">
        <is>
          <t>Hawaiian Tropic</t>
        </is>
      </c>
      <c r="E9002" t="n">
        <v>7.26</v>
      </c>
      <c r="F9002" t="n">
        <v>1</v>
      </c>
      <c r="G9002" t="n">
        <v>7</v>
      </c>
      <c r="H9002" s="5">
        <f>HYPERLINK("https://api.qogita.com/variants/link/5099821001841/", "View Product")</f>
        <v/>
      </c>
    </row>
    <row r="9003">
      <c r="A9003" t="inlineStr">
        <is>
          <t>5099821001919</t>
        </is>
      </c>
      <c r="B9003" t="inlineStr">
        <is>
          <t>Hawaiian Tropic Hydrating Protection Face Balm Spf 30 50ml</t>
        </is>
      </c>
      <c r="C9003" t="inlineStr">
        <is>
          <t>Face Sun Protection</t>
        </is>
      </c>
      <c r="D9003" t="inlineStr">
        <is>
          <t>Hawaiian Tropic</t>
        </is>
      </c>
      <c r="E9003" t="n">
        <v>9.859999999999999</v>
      </c>
      <c r="F9003" t="n">
        <v>1</v>
      </c>
      <c r="G9003" t="n">
        <v>2</v>
      </c>
      <c r="H9003" s="5">
        <f>HYPERLINK("https://api.qogita.com/variants/link/5099821001919/", "View Product")</f>
        <v/>
      </c>
    </row>
    <row r="9004">
      <c r="A9004" t="inlineStr">
        <is>
          <t>5099821002084</t>
        </is>
      </c>
      <c r="B9004" t="inlineStr">
        <is>
          <t>Hawaiian Tropic Silk Hydration Air Soft After Sun Lotion 60ml</t>
        </is>
      </c>
      <c r="C9004" t="inlineStr">
        <is>
          <t>Aftersun</t>
        </is>
      </c>
      <c r="D9004" t="inlineStr">
        <is>
          <t>Hawaiian Tropic</t>
        </is>
      </c>
      <c r="E9004" t="n">
        <v>6.23</v>
      </c>
      <c r="F9004" t="n">
        <v>1</v>
      </c>
      <c r="G9004" t="n">
        <v>6</v>
      </c>
      <c r="H9004" s="5">
        <f>HYPERLINK("https://api.qogita.com/variants/link/5099821002084/", "View Product")</f>
        <v/>
      </c>
    </row>
    <row r="9005">
      <c r="A9005" t="inlineStr">
        <is>
          <t>5099821107505</t>
        </is>
      </c>
      <c r="B9005" t="inlineStr">
        <is>
          <t>Hawaiian Tropic Mineral Skin Milk Facial Spf 30 50ml</t>
        </is>
      </c>
      <c r="C9005" t="inlineStr">
        <is>
          <t>Face Sun Protection</t>
        </is>
      </c>
      <c r="D9005" t="inlineStr">
        <is>
          <t>Hawaiian Tropic</t>
        </is>
      </c>
      <c r="E9005" t="n">
        <v>14.43</v>
      </c>
      <c r="F9005" t="n">
        <v>1</v>
      </c>
      <c r="G9005" t="n">
        <v>11</v>
      </c>
      <c r="H9005" s="5">
        <f>HYPERLINK("https://api.qogita.com/variants/link/5099821107505/", "View Product")</f>
        <v/>
      </c>
    </row>
    <row r="9006">
      <c r="A9006" t="inlineStr">
        <is>
          <t>5201279070342</t>
        </is>
      </c>
      <c r="B9006" t="inlineStr">
        <is>
          <t>Apivita Pure Jasmine Essential Oils Bath Gel 250ml</t>
        </is>
      </c>
      <c r="C9006" t="inlineStr">
        <is>
          <t>Shower Gel</t>
        </is>
      </c>
      <c r="D9006" t="inlineStr">
        <is>
          <t>Apivita</t>
        </is>
      </c>
      <c r="E9006" t="n">
        <v>6.16</v>
      </c>
      <c r="F9006" t="n">
        <v>1</v>
      </c>
      <c r="G9006" t="n">
        <v>4</v>
      </c>
      <c r="H9006" s="5">
        <f>HYPERLINK("https://api.qogita.com/variants/link/5201279070342/", "View Product")</f>
        <v/>
      </c>
    </row>
    <row r="9007">
      <c r="A9007" t="inlineStr">
        <is>
          <t>5201279073220</t>
        </is>
      </c>
      <c r="B9007" t="inlineStr">
        <is>
          <t>Apivita Royal Honey Shower Gel 250ml</t>
        </is>
      </c>
      <c r="C9007" t="inlineStr">
        <is>
          <t>Shower Gel</t>
        </is>
      </c>
      <c r="D9007" t="inlineStr">
        <is>
          <t>Apivita</t>
        </is>
      </c>
      <c r="E9007" t="n">
        <v>6.35</v>
      </c>
      <c r="F9007" t="n">
        <v>1</v>
      </c>
      <c r="G9007" t="n">
        <v>4</v>
      </c>
      <c r="H9007" s="5">
        <f>HYPERLINK("https://api.qogita.com/variants/link/5201279073220/", "View Product")</f>
        <v/>
      </c>
    </row>
    <row r="9008">
      <c r="A9008" t="inlineStr">
        <is>
          <t>5201279073527</t>
        </is>
      </c>
      <c r="B9008" t="inlineStr">
        <is>
          <t>Apivita Nature's Hair Miracle Hair Oil 50ml Apivita</t>
        </is>
      </c>
      <c r="C9008" t="inlineStr">
        <is>
          <t>Hair Oil &amp; Hair Serum</t>
        </is>
      </c>
      <c r="D9008" t="inlineStr">
        <is>
          <t>Apivita</t>
        </is>
      </c>
      <c r="E9008" t="n">
        <v>11.2</v>
      </c>
      <c r="F9008" t="n">
        <v>1</v>
      </c>
      <c r="G9008" t="n">
        <v>6</v>
      </c>
      <c r="H9008" s="5">
        <f>HYPERLINK("https://api.qogita.com/variants/link/5201279073527/", "View Product")</f>
        <v/>
      </c>
    </row>
    <row r="9009">
      <c r="A9009" t="inlineStr">
        <is>
          <t>5201279086046</t>
        </is>
      </c>
      <c r="B9009" t="inlineStr">
        <is>
          <t>Apivita Tonic Mountain Tea Moisturizing Body Milk 200ml</t>
        </is>
      </c>
      <c r="C9009" t="inlineStr">
        <is>
          <t>Body Lotion</t>
        </is>
      </c>
      <c r="D9009" t="inlineStr">
        <is>
          <t>Apivita</t>
        </is>
      </c>
      <c r="E9009" t="n">
        <v>8.68</v>
      </c>
      <c r="F9009" t="n">
        <v>1</v>
      </c>
      <c r="G9009" t="n">
        <v>3</v>
      </c>
      <c r="H9009" s="5">
        <f>HYPERLINK("https://api.qogita.com/variants/link/5201279086046/", "View Product")</f>
        <v/>
      </c>
    </row>
    <row r="9010">
      <c r="A9010" t="inlineStr">
        <is>
          <t>5201279094614</t>
        </is>
      </c>
      <c r="B9010" t="inlineStr">
        <is>
          <t>Apivita Keratin Repair Nourish Repair Conditioner 150ml For Very Dry And Damaged Hair</t>
        </is>
      </c>
      <c r="C9010" t="inlineStr">
        <is>
          <t>Conditioner</t>
        </is>
      </c>
      <c r="D9010" t="inlineStr">
        <is>
          <t>Apivita</t>
        </is>
      </c>
      <c r="E9010" t="n">
        <v>8.890000000000001</v>
      </c>
      <c r="F9010" t="n">
        <v>1</v>
      </c>
      <c r="G9010" t="n">
        <v>2</v>
      </c>
      <c r="H9010" s="5">
        <f>HYPERLINK("https://api.qogita.com/variants/link/5201279094614/", "View Product")</f>
        <v/>
      </c>
    </row>
    <row r="9011">
      <c r="A9011" t="inlineStr">
        <is>
          <t>5201314106562</t>
        </is>
      </c>
      <c r="B9011" t="inlineStr">
        <is>
          <t>Str8 Ahead - Edt</t>
        </is>
      </c>
      <c r="C9011" t="inlineStr">
        <is>
          <t>Eau De Toilette</t>
        </is>
      </c>
      <c r="D9011" t="inlineStr">
        <is>
          <t>Str8</t>
        </is>
      </c>
      <c r="E9011" t="n">
        <v>5.98</v>
      </c>
      <c r="F9011" t="n">
        <v>1</v>
      </c>
      <c r="G9011" t="n">
        <v>33</v>
      </c>
      <c r="H9011" s="5">
        <f>HYPERLINK("https://api.qogita.com/variants/link/5201314106562/", "View Product")</f>
        <v/>
      </c>
    </row>
    <row r="9012">
      <c r="A9012" t="inlineStr">
        <is>
          <t>5201314107521</t>
        </is>
      </c>
      <c r="B9012" t="inlineStr">
        <is>
          <t>Elode So Lovely Eau De Parfum 100ml for Women</t>
        </is>
      </c>
      <c r="C9012" t="inlineStr">
        <is>
          <t>Eau De Parfum</t>
        </is>
      </c>
      <c r="D9012" t="inlineStr">
        <is>
          <t>Elode</t>
        </is>
      </c>
      <c r="E9012" t="n">
        <v>6.47</v>
      </c>
      <c r="F9012" t="n">
        <v>1</v>
      </c>
      <c r="G9012" t="n">
        <v>54</v>
      </c>
      <c r="H9012" s="5">
        <f>HYPERLINK("https://api.qogita.com/variants/link/5201314107521/", "View Product")</f>
        <v/>
      </c>
    </row>
    <row r="9013">
      <c r="A9013" t="inlineStr">
        <is>
          <t>5201314127321</t>
        </is>
      </c>
      <c r="B9013" t="inlineStr">
        <is>
          <t>Elode For Men 100ml</t>
        </is>
      </c>
      <c r="C9013" t="inlineStr">
        <is>
          <t>Eau De Toilette</t>
        </is>
      </c>
      <c r="D9013" t="inlineStr">
        <is>
          <t>Elode</t>
        </is>
      </c>
      <c r="E9013" t="n">
        <v>6.99</v>
      </c>
      <c r="F9013" t="n">
        <v>1</v>
      </c>
      <c r="G9013" t="n">
        <v>65</v>
      </c>
      <c r="H9013" s="5">
        <f>HYPERLINK("https://api.qogita.com/variants/link/5201314127321/", "View Product")</f>
        <v/>
      </c>
    </row>
    <row r="9014">
      <c r="A9014" t="inlineStr">
        <is>
          <t>5201314128663</t>
        </is>
      </c>
      <c r="B9014" t="inlineStr">
        <is>
          <t>Elode Life Is A Dream Eau De Parfum</t>
        </is>
      </c>
      <c r="C9014" t="inlineStr">
        <is>
          <t>Eau De Parfum</t>
        </is>
      </c>
      <c r="D9014" t="inlineStr">
        <is>
          <t>Elode</t>
        </is>
      </c>
      <c r="E9014" t="n">
        <v>6.47</v>
      </c>
      <c r="F9014" t="n">
        <v>1</v>
      </c>
      <c r="G9014" t="n">
        <v>38</v>
      </c>
      <c r="H9014" s="5">
        <f>HYPERLINK("https://api.qogita.com/variants/link/5201314128663/", "View Product")</f>
        <v/>
      </c>
    </row>
    <row r="9015">
      <c r="A9015" t="inlineStr">
        <is>
          <t>5201314129349</t>
        </is>
      </c>
      <c r="B9015" t="inlineStr">
        <is>
          <t>Bu Heartbeat Eau de Toilette 50ml</t>
        </is>
      </c>
      <c r="C9015" t="inlineStr">
        <is>
          <t>Eau De Toilette</t>
        </is>
      </c>
      <c r="D9015" t="inlineStr">
        <is>
          <t>Sarantis</t>
        </is>
      </c>
      <c r="E9015" t="n">
        <v>10.5</v>
      </c>
      <c r="F9015" t="n">
        <v>1</v>
      </c>
      <c r="G9015" t="n">
        <v>4</v>
      </c>
      <c r="H9015" s="5">
        <f>HYPERLINK("https://api.qogita.com/variants/link/5201314129349/", "View Product")</f>
        <v/>
      </c>
    </row>
    <row r="9016">
      <c r="A9016" t="inlineStr">
        <is>
          <t>5201314129431</t>
        </is>
      </c>
      <c r="B9016" t="inlineStr">
        <is>
          <t>B.U. Absolute Me Deosp 75ml W</t>
        </is>
      </c>
      <c r="C9016" t="inlineStr">
        <is>
          <t>Deodorant &amp; Anti-Perspirant</t>
        </is>
      </c>
      <c r="D9016" t="inlineStr">
        <is>
          <t>B.U.</t>
        </is>
      </c>
      <c r="E9016" t="n">
        <v>5.64</v>
      </c>
      <c r="F9016" t="n">
        <v>1</v>
      </c>
      <c r="G9016" t="n">
        <v>5</v>
      </c>
      <c r="H9016" s="5">
        <f>HYPERLINK("https://api.qogita.com/variants/link/5201314129431/", "View Product")</f>
        <v/>
      </c>
    </row>
    <row r="9017">
      <c r="A9017" t="inlineStr">
        <is>
          <t>5201314129455</t>
        </is>
      </c>
      <c r="B9017" t="inlineStr">
        <is>
          <t>BU Fairy Secret Natural Spray 75ml</t>
        </is>
      </c>
      <c r="C9017" t="inlineStr">
        <is>
          <t>Eau De Toilette</t>
        </is>
      </c>
      <c r="D9017" t="inlineStr">
        <is>
          <t>B.U.</t>
        </is>
      </c>
      <c r="E9017" t="n">
        <v>5.64</v>
      </c>
      <c r="F9017" t="n">
        <v>1</v>
      </c>
      <c r="G9017" t="n">
        <v>3</v>
      </c>
      <c r="H9017" s="5">
        <f>HYPERLINK("https://api.qogita.com/variants/link/5201314129455/", "View Product")</f>
        <v/>
      </c>
    </row>
    <row r="9018">
      <c r="A9018" t="inlineStr">
        <is>
          <t>5201314149798</t>
        </is>
      </c>
      <c r="B9018" t="inlineStr">
        <is>
          <t>Str8 Red Code Eau De Toilette For Men 50 Ml</t>
        </is>
      </c>
      <c r="C9018" t="inlineStr">
        <is>
          <t>Eau De Toilette</t>
        </is>
      </c>
      <c r="D9018" t="inlineStr">
        <is>
          <t>Str8</t>
        </is>
      </c>
      <c r="E9018" t="n">
        <v>5.98</v>
      </c>
      <c r="F9018" t="n">
        <v>1</v>
      </c>
      <c r="G9018" t="n">
        <v>20</v>
      </c>
      <c r="H9018" s="5">
        <f>HYPERLINK("https://api.qogita.com/variants/link/5201314149798/", "View Product")</f>
        <v/>
      </c>
    </row>
    <row r="9019">
      <c r="A9019" t="inlineStr">
        <is>
          <t>5201314153559</t>
        </is>
      </c>
      <c r="B9019" t="inlineStr">
        <is>
          <t>Str 8 Red Code Body Spray for Men Care Sport Deodorant 150ml</t>
        </is>
      </c>
      <c r="C9019" t="inlineStr">
        <is>
          <t>Deodorant &amp; Anti-Perspirant</t>
        </is>
      </c>
      <c r="D9019" t="inlineStr">
        <is>
          <t>Str8</t>
        </is>
      </c>
      <c r="E9019" t="n">
        <v>4.73</v>
      </c>
      <c r="F9019" t="n">
        <v>1</v>
      </c>
      <c r="G9019" t="n">
        <v>4</v>
      </c>
      <c r="H9019" s="5">
        <f>HYPERLINK("https://api.qogita.com/variants/link/5201314153559/", "View Product")</f>
        <v/>
      </c>
    </row>
    <row r="9020">
      <c r="A9020" t="inlineStr">
        <is>
          <t>5201314168744</t>
        </is>
      </c>
      <c r="B9020" t="inlineStr">
        <is>
          <t>Rise Deodorant with Spray Volume 85 ml</t>
        </is>
      </c>
      <c r="C9020" t="inlineStr">
        <is>
          <t>Deodorant &amp; Anti-Perspirant</t>
        </is>
      </c>
      <c r="D9020" t="inlineStr">
        <is>
          <t>Str8</t>
        </is>
      </c>
      <c r="E9020" t="n">
        <v>6.14</v>
      </c>
      <c r="F9020" t="n">
        <v>1</v>
      </c>
      <c r="G9020" t="n">
        <v>16</v>
      </c>
      <c r="H9020" s="5">
        <f>HYPERLINK("https://api.qogita.com/variants/link/5201314168744/", "View Product")</f>
        <v/>
      </c>
    </row>
    <row r="9021">
      <c r="A9021" t="inlineStr">
        <is>
          <t>5201314170365</t>
        </is>
      </c>
      <c r="B9021" t="inlineStr">
        <is>
          <t>STR8 Deodorant for Men</t>
        </is>
      </c>
      <c r="C9021" t="inlineStr">
        <is>
          <t>Deodorant &amp; Anti-Perspirant</t>
        </is>
      </c>
      <c r="D9021" t="inlineStr">
        <is>
          <t>Str8</t>
        </is>
      </c>
      <c r="E9021" t="n">
        <v>6.14</v>
      </c>
      <c r="F9021" t="n">
        <v>1</v>
      </c>
      <c r="G9021" t="n">
        <v>4</v>
      </c>
      <c r="H9021" s="5">
        <f>HYPERLINK("https://api.qogita.com/variants/link/5201314170365/", "View Product")</f>
        <v/>
      </c>
    </row>
    <row r="9022">
      <c r="A9022" t="inlineStr">
        <is>
          <t>5201314184799</t>
        </is>
      </c>
      <c r="B9022" t="inlineStr">
        <is>
          <t>B.U. Vibe Deodorant With Spray</t>
        </is>
      </c>
      <c r="C9022" t="inlineStr">
        <is>
          <t>Deodorant &amp; Anti-Perspirant</t>
        </is>
      </c>
      <c r="D9022" t="inlineStr">
        <is>
          <t>B.U.</t>
        </is>
      </c>
      <c r="E9022" t="n">
        <v>6.58</v>
      </c>
      <c r="F9022" t="n">
        <v>1</v>
      </c>
      <c r="G9022" t="n">
        <v>7</v>
      </c>
      <c r="H9022" s="5">
        <f>HYPERLINK("https://api.qogita.com/variants/link/5201314184799/", "View Product")</f>
        <v/>
      </c>
    </row>
    <row r="9023">
      <c r="A9023" t="inlineStr">
        <is>
          <t>5201314194477</t>
        </is>
      </c>
      <c r="B9023" t="inlineStr">
        <is>
          <t>Str8 Wild Beat Deodorant Spray</t>
        </is>
      </c>
      <c r="C9023" t="inlineStr">
        <is>
          <t>Deodorant &amp; Anti-Perspirant</t>
        </is>
      </c>
      <c r="D9023" t="inlineStr">
        <is>
          <t>Str8</t>
        </is>
      </c>
      <c r="E9023" t="n">
        <v>4.82</v>
      </c>
      <c r="F9023" t="n">
        <v>1</v>
      </c>
      <c r="G9023" t="n">
        <v>8</v>
      </c>
      <c r="H9023" s="5">
        <f>HYPERLINK("https://api.qogita.com/variants/link/5201314194477/", "View Product")</f>
        <v/>
      </c>
    </row>
    <row r="9024">
      <c r="A9024" t="inlineStr">
        <is>
          <t>5203069090578</t>
        </is>
      </c>
      <c r="B9024" t="inlineStr">
        <is>
          <t>Korres White Tea Eau De Toilette 50ml Unisex Spray</t>
        </is>
      </c>
      <c r="C9024" t="inlineStr">
        <is>
          <t>Eau De Toilette</t>
        </is>
      </c>
      <c r="D9024" t="inlineStr">
        <is>
          <t>Korres</t>
        </is>
      </c>
      <c r="E9024" t="n">
        <v>18.91</v>
      </c>
      <c r="F9024" t="n">
        <v>1</v>
      </c>
      <c r="G9024" t="n">
        <v>20</v>
      </c>
      <c r="H9024" s="5">
        <f>HYPERLINK("https://api.qogita.com/variants/link/5203069090578/", "View Product")</f>
        <v/>
      </c>
    </row>
    <row r="9025">
      <c r="A9025" t="inlineStr">
        <is>
          <t>5203069090639</t>
        </is>
      </c>
      <c r="B9025" t="inlineStr">
        <is>
          <t>Korres Black Pepper Eau De Toilette 50ml Men Spray</t>
        </is>
      </c>
      <c r="C9025" t="inlineStr">
        <is>
          <t>Eau De Toilette</t>
        </is>
      </c>
      <c r="D9025" t="inlineStr">
        <is>
          <t>Korres</t>
        </is>
      </c>
      <c r="E9025" t="n">
        <v>18.82</v>
      </c>
      <c r="F9025" t="n">
        <v>1</v>
      </c>
      <c r="G9025" t="n">
        <v>13</v>
      </c>
      <c r="H9025" s="5">
        <f>HYPERLINK("https://api.qogita.com/variants/link/5203069090639/", "View Product")</f>
        <v/>
      </c>
    </row>
    <row r="9026">
      <c r="A9026" t="inlineStr">
        <is>
          <t>5203069116995</t>
        </is>
      </c>
      <c r="B9026" t="inlineStr">
        <is>
          <t>KORRES KYMA EDT for Men Dermatologically Tested Vegan 50ml</t>
        </is>
      </c>
      <c r="C9026" t="inlineStr">
        <is>
          <t>Eau De Toilette</t>
        </is>
      </c>
      <c r="D9026" t="inlineStr">
        <is>
          <t>Korres</t>
        </is>
      </c>
      <c r="E9026" t="n">
        <v>19.23</v>
      </c>
      <c r="F9026" t="n">
        <v>1</v>
      </c>
      <c r="G9026" t="n">
        <v>10</v>
      </c>
      <c r="H9026" s="5">
        <f>HYPERLINK("https://api.qogita.com/variants/link/5203069116995/", "View Product")</f>
        <v/>
      </c>
    </row>
    <row r="9027">
      <c r="A9027" t="inlineStr">
        <is>
          <t>5391018043802</t>
        </is>
      </c>
      <c r="B9027" t="inlineStr">
        <is>
          <t>Sosu Cosmetics Nudist Salon Nails 24 Pcs Artificial Nails</t>
        </is>
      </c>
      <c r="C9027" t="inlineStr">
        <is>
          <t>Artificial Nails &amp; Nail Decoration</t>
        </is>
      </c>
      <c r="D9027" t="inlineStr">
        <is>
          <t>Sosu Cosmetics</t>
        </is>
      </c>
      <c r="E9027" t="n">
        <v>7.96</v>
      </c>
      <c r="F9027" t="n">
        <v>1</v>
      </c>
      <c r="G9027" t="n">
        <v>3</v>
      </c>
      <c r="H9027" s="5">
        <f>HYPERLINK("https://api.qogita.com/variants/link/5391018043802/", "View Product")</f>
        <v/>
      </c>
    </row>
    <row r="9028">
      <c r="A9028" t="inlineStr">
        <is>
          <t>5391018047343</t>
        </is>
      </c>
      <c r="B9028" t="inlineStr">
        <is>
          <t>SoSu by Suzanne Jackson Nail Glue Brush</t>
        </is>
      </c>
      <c r="C9028" t="inlineStr">
        <is>
          <t>Nail Care</t>
        </is>
      </c>
      <c r="D9028" t="inlineStr">
        <is>
          <t>Sosu By Suzanne Jackson</t>
        </is>
      </c>
      <c r="E9028" t="n">
        <v>5.94</v>
      </c>
      <c r="F9028" t="n">
        <v>1</v>
      </c>
      <c r="G9028" t="n">
        <v>3</v>
      </c>
      <c r="H9028" s="5">
        <f>HYPERLINK("https://api.qogita.com/variants/link/5391018047343/", "View Product")</f>
        <v/>
      </c>
    </row>
    <row r="9029">
      <c r="A9029" t="inlineStr">
        <is>
          <t>5391018050824</t>
        </is>
      </c>
      <c r="B9029" t="inlineStr">
        <is>
          <t>SOSUbySJ Brush On Eyelash Adhesive 5ml</t>
        </is>
      </c>
      <c r="C9029" t="inlineStr">
        <is>
          <t>False Eyelashes</t>
        </is>
      </c>
      <c r="D9029" t="inlineStr">
        <is>
          <t>Sosu By Sj</t>
        </is>
      </c>
      <c r="E9029" t="n">
        <v>5.91</v>
      </c>
      <c r="F9029" t="n">
        <v>1</v>
      </c>
      <c r="G9029" t="n">
        <v>7</v>
      </c>
      <c r="H9029" s="5">
        <f>HYPERLINK("https://api.qogita.com/variants/link/5391018050824/", "View Product")</f>
        <v/>
      </c>
    </row>
    <row r="9030">
      <c r="A9030" t="inlineStr">
        <is>
          <t>5391537260322</t>
        </is>
      </c>
      <c r="B9030" t="inlineStr">
        <is>
          <t>Sosu Cosmetics Indulge Sinful Lashes False Eyelashes</t>
        </is>
      </c>
      <c r="C9030" t="inlineStr">
        <is>
          <t>False Eyelashes</t>
        </is>
      </c>
      <c r="D9030" t="inlineStr">
        <is>
          <t>Sosu Cosmetics</t>
        </is>
      </c>
      <c r="E9030" t="n">
        <v>6.87</v>
      </c>
      <c r="F9030" t="n">
        <v>1</v>
      </c>
      <c r="G9030" t="n">
        <v>5</v>
      </c>
      <c r="H9030" s="5">
        <f>HYPERLINK("https://api.qogita.com/variants/link/5391537260322/", "View Product")</f>
        <v/>
      </c>
    </row>
    <row r="9031">
      <c r="A9031" t="inlineStr">
        <is>
          <t>5391537260780</t>
        </is>
      </c>
      <c r="B9031" t="inlineStr">
        <is>
          <t>Sosu Cosmetics Eye Voltage Bouncy Brow Duo Light Medium</t>
        </is>
      </c>
      <c r="C9031" t="inlineStr">
        <is>
          <t>Eyebrow Sets &amp; Pallets</t>
        </is>
      </c>
      <c r="D9031" t="inlineStr">
        <is>
          <t>Sosu Cosmetics</t>
        </is>
      </c>
      <c r="E9031" t="n">
        <v>9.81</v>
      </c>
      <c r="F9031" t="n">
        <v>1</v>
      </c>
      <c r="G9031" t="n">
        <v>2</v>
      </c>
      <c r="H9031" s="5">
        <f>HYPERLINK("https://api.qogita.com/variants/link/5391537260780/", "View Product")</f>
        <v/>
      </c>
    </row>
    <row r="9032">
      <c r="A9032" t="inlineStr">
        <is>
          <t>5391537260995</t>
        </is>
      </c>
      <c r="B9032" t="inlineStr">
        <is>
          <t>Sosu Cosmetics Cc Me In Foundation 32 Ml</t>
        </is>
      </c>
      <c r="C9032" t="inlineStr">
        <is>
          <t>Foundation</t>
        </is>
      </c>
      <c r="D9032" t="inlineStr">
        <is>
          <t>Sosu Cosmetics</t>
        </is>
      </c>
      <c r="E9032" t="n">
        <v>19.26</v>
      </c>
      <c r="F9032" t="n">
        <v>1</v>
      </c>
      <c r="G9032" t="n">
        <v>7</v>
      </c>
      <c r="H9032" s="5">
        <f>HYPERLINK("https://api.qogita.com/variants/link/5391537260995/", "View Product")</f>
        <v/>
      </c>
    </row>
    <row r="9033">
      <c r="A9033" t="inlineStr">
        <is>
          <t>5391537261114</t>
        </is>
      </c>
      <c r="B9033" t="inlineStr">
        <is>
          <t>Sosu Cosmetics Let Them Talk Lip Liner 13 G Seduction</t>
        </is>
      </c>
      <c r="C9033" t="inlineStr">
        <is>
          <t>Lip Liner</t>
        </is>
      </c>
      <c r="D9033" t="inlineStr">
        <is>
          <t>Sosu Cosmetics</t>
        </is>
      </c>
      <c r="E9033" t="n">
        <v>5.43</v>
      </c>
      <c r="F9033" t="n">
        <v>1</v>
      </c>
      <c r="G9033" t="n">
        <v>2</v>
      </c>
      <c r="H9033" s="5">
        <f>HYPERLINK("https://api.qogita.com/variants/link/5391537261114/", "View Product")</f>
        <v/>
      </c>
    </row>
    <row r="9034">
      <c r="A9034" t="inlineStr">
        <is>
          <t>5391541760368</t>
        </is>
      </c>
      <c r="B9034" t="inlineStr">
        <is>
          <t>Sosu Cosmetics Radiance Base Brightening Makeup Base 18 Ml</t>
        </is>
      </c>
      <c r="C9034" t="inlineStr">
        <is>
          <t>Primer</t>
        </is>
      </c>
      <c r="D9034" t="inlineStr">
        <is>
          <t>Sosu Cosmetics</t>
        </is>
      </c>
      <c r="E9034" t="n">
        <v>12.37</v>
      </c>
      <c r="F9034" t="n">
        <v>1</v>
      </c>
      <c r="G9034" t="n">
        <v>3</v>
      </c>
      <c r="H9034" s="5">
        <f>HYPERLINK("https://api.qogita.com/variants/link/5391541760368/", "View Product")</f>
        <v/>
      </c>
    </row>
    <row r="9035">
      <c r="A9035" t="inlineStr">
        <is>
          <t>5391541765516</t>
        </is>
      </c>
      <c r="B9035" t="inlineStr">
        <is>
          <t>Sosu Cosmetics Shimmer Lip Glaze 6 Ml Golden Lip Gloss</t>
        </is>
      </c>
      <c r="C9035" t="inlineStr">
        <is>
          <t>Lip Gloss</t>
        </is>
      </c>
      <c r="D9035" t="inlineStr">
        <is>
          <t>Sosu Cosmetics</t>
        </is>
      </c>
      <c r="E9035" t="n">
        <v>9.74</v>
      </c>
      <c r="F9035" t="n">
        <v>1</v>
      </c>
      <c r="G9035" t="n">
        <v>4</v>
      </c>
      <c r="H9035" s="5">
        <f>HYPERLINK("https://api.qogita.com/variants/link/5391541765516/", "View Product")</f>
        <v/>
      </c>
    </row>
    <row r="9036">
      <c r="A9036" t="inlineStr">
        <is>
          <t>5391541766100</t>
        </is>
      </c>
      <c r="B9036" t="inlineStr">
        <is>
          <t>Precision Lipliner Contour Pencil 1.4g Shade Sugar</t>
        </is>
      </c>
      <c r="C9036" t="inlineStr">
        <is>
          <t>Lip Liner</t>
        </is>
      </c>
      <c r="D9036" t="inlineStr">
        <is>
          <t>Sosu Cosmetics</t>
        </is>
      </c>
      <c r="E9036" t="n">
        <v>6.75</v>
      </c>
      <c r="F9036" t="n">
        <v>1</v>
      </c>
      <c r="G9036" t="n">
        <v>3</v>
      </c>
      <c r="H9036" s="5">
        <f>HYPERLINK("https://api.qogita.com/variants/link/5391541766100/", "View Product")</f>
        <v/>
      </c>
    </row>
    <row r="9037">
      <c r="A9037" t="inlineStr">
        <is>
          <t>5391541766261</t>
        </is>
      </c>
      <c r="B9037" t="inlineStr">
        <is>
          <t>Sosu Cosmetics Matte Lipsticks Te Amo 32 G</t>
        </is>
      </c>
      <c r="C9037" t="inlineStr">
        <is>
          <t>Lipstick</t>
        </is>
      </c>
      <c r="D9037" t="inlineStr">
        <is>
          <t>Sosu Cosmetics</t>
        </is>
      </c>
      <c r="E9037" t="n">
        <v>9.74</v>
      </c>
      <c r="F9037" t="n">
        <v>1</v>
      </c>
      <c r="G9037" t="n">
        <v>3</v>
      </c>
      <c r="H9037" s="5">
        <f>HYPERLINK("https://api.qogita.com/variants/link/5391541766261/", "View Product")</f>
        <v/>
      </c>
    </row>
    <row r="9038">
      <c r="A9038" t="inlineStr">
        <is>
          <t>5391545371607</t>
        </is>
      </c>
      <c r="B9038" t="inlineStr">
        <is>
          <t>Sosu Cosmetics Blush Glow Trio Gift Set Of Decorative Cosmetics</t>
        </is>
      </c>
      <c r="C9038" t="inlineStr">
        <is>
          <t>Blush</t>
        </is>
      </c>
      <c r="D9038" t="inlineStr">
        <is>
          <t>Sosu Cosmetics</t>
        </is>
      </c>
      <c r="E9038" t="n">
        <v>29.65</v>
      </c>
      <c r="F9038" t="n">
        <v>1</v>
      </c>
      <c r="G9038" t="n">
        <v>11</v>
      </c>
      <c r="H9038" s="5">
        <f>HYPERLINK("https://api.qogita.com/variants/link/5391545371607/", "View Product")</f>
        <v/>
      </c>
    </row>
    <row r="9039">
      <c r="A9039" t="inlineStr">
        <is>
          <t>5391545371614</t>
        </is>
      </c>
      <c r="B9039" t="inlineStr">
        <is>
          <t>Sosu Cosmetics Lip Luxe Duo Nude Gift Set</t>
        </is>
      </c>
      <c r="C9039" t="inlineStr">
        <is>
          <t>Lip Sets</t>
        </is>
      </c>
      <c r="D9039" t="inlineStr">
        <is>
          <t>Sosu Cosmetics</t>
        </is>
      </c>
      <c r="E9039" t="n">
        <v>19.15</v>
      </c>
      <c r="F9039" t="n">
        <v>1</v>
      </c>
      <c r="G9039" t="n">
        <v>20</v>
      </c>
      <c r="H9039" s="5">
        <f>HYPERLINK("https://api.qogita.com/variants/link/5391545371614/", "View Product")</f>
        <v/>
      </c>
    </row>
    <row r="9040">
      <c r="A9040" t="inlineStr">
        <is>
          <t>5410091768942</t>
        </is>
      </c>
      <c r="B9040" t="inlineStr">
        <is>
          <t>Diadermine Hydra Nutrition Day Cream - Hydrating Cream For Dry And Sensitive Skin</t>
        </is>
      </c>
      <c r="C9040" t="inlineStr">
        <is>
          <t>Day Cream</t>
        </is>
      </c>
      <c r="D9040" t="inlineStr">
        <is>
          <t>Diadermine</t>
        </is>
      </c>
      <c r="E9040" t="n">
        <v>6.78</v>
      </c>
      <c r="F9040" t="n">
        <v>1</v>
      </c>
      <c r="G9040" t="n">
        <v>4</v>
      </c>
      <c r="H9040" s="5">
        <f>HYPERLINK("https://api.qogita.com/variants/link/5410091768942/", "View Product")</f>
        <v/>
      </c>
    </row>
    <row r="9041">
      <c r="A9041" t="inlineStr">
        <is>
          <t>5414343020048</t>
        </is>
      </c>
      <c r="B9041" t="inlineStr">
        <is>
          <t>Olivia Garden Expert Blowout Shine Hairbrush White and Grey 35mm</t>
        </is>
      </c>
      <c r="C9041" t="inlineStr">
        <is>
          <t>Round Brushes</t>
        </is>
      </c>
      <c r="D9041" t="inlineStr">
        <is>
          <t>Olivia Garden</t>
        </is>
      </c>
      <c r="E9041" t="n">
        <v>13.11</v>
      </c>
      <c r="F9041" t="n">
        <v>1</v>
      </c>
      <c r="G9041" t="n">
        <v>5</v>
      </c>
      <c r="H9041" s="5">
        <f>HYPERLINK("https://api.qogita.com/variants/link/5414343020048/", "View Product")</f>
        <v/>
      </c>
    </row>
    <row r="9042">
      <c r="A9042" t="inlineStr">
        <is>
          <t>5414343020123</t>
        </is>
      </c>
      <c r="B9042" t="inlineStr">
        <is>
          <t>EXPERT Blowout Shine Black</t>
        </is>
      </c>
      <c r="C9042" t="inlineStr">
        <is>
          <t>Hair Oil &amp; Hair Serum</t>
        </is>
      </c>
      <c r="D9042" t="inlineStr">
        <is>
          <t>Olivia Garden</t>
        </is>
      </c>
      <c r="E9042" t="n">
        <v>11.56</v>
      </c>
      <c r="F9042" t="n">
        <v>1</v>
      </c>
      <c r="G9042" t="n">
        <v>4</v>
      </c>
      <c r="H9042" s="5">
        <f>HYPERLINK("https://api.qogita.com/variants/link/5414343020123/", "View Product")</f>
        <v/>
      </c>
    </row>
    <row r="9043">
      <c r="A9043" t="inlineStr">
        <is>
          <t>5414343020994</t>
        </is>
      </c>
      <c r="B9043" t="inlineStr">
        <is>
          <t>Olivia Garden Essential Blowout Anti-Static Hair Styling Brush Classic Silver 55mm</t>
        </is>
      </c>
      <c r="C9043" t="inlineStr">
        <is>
          <t>Round Brushes</t>
        </is>
      </c>
      <c r="D9043" t="inlineStr">
        <is>
          <t>Olivia Garden</t>
        </is>
      </c>
      <c r="E9043" t="n">
        <v>12.44</v>
      </c>
      <c r="F9043" t="n">
        <v>1</v>
      </c>
      <c r="G9043" t="n">
        <v>2</v>
      </c>
      <c r="H9043" s="5">
        <f>HYPERLINK("https://api.qogita.com/variants/link/5414343020994/", "View Product")</f>
        <v/>
      </c>
    </row>
    <row r="9044">
      <c r="A9044" t="inlineStr">
        <is>
          <t>5414343021717</t>
        </is>
      </c>
      <c r="B9044" t="inlineStr">
        <is>
          <t>Expert Blowout Speed Wavy Bristles Gold &amp; Brown 45</t>
        </is>
      </c>
      <c r="C9044" t="inlineStr">
        <is>
          <t>Round Brushes</t>
        </is>
      </c>
      <c r="D9044" t="inlineStr">
        <is>
          <t>Olivia Garden</t>
        </is>
      </c>
      <c r="E9044" t="n">
        <v>15.31</v>
      </c>
      <c r="F9044" t="n">
        <v>1</v>
      </c>
      <c r="G9044" t="n">
        <v>2</v>
      </c>
      <c r="H9044" s="5">
        <f>HYPERLINK("https://api.qogita.com/variants/link/5414343021717/", "View Product")</f>
        <v/>
      </c>
    </row>
    <row r="9045">
      <c r="A9045" t="inlineStr">
        <is>
          <t>5425017730873</t>
        </is>
      </c>
      <c r="B9045" t="inlineStr">
        <is>
          <t>New Brand Perfumes French Cancan 3.3 Oz Eau De Parfum Spray Fragrance for Women</t>
        </is>
      </c>
      <c r="C9045" t="inlineStr">
        <is>
          <t>Eau De Parfum</t>
        </is>
      </c>
      <c r="D9045" t="inlineStr">
        <is>
          <t>New Brand</t>
        </is>
      </c>
      <c r="E9045" t="n">
        <v>5.29</v>
      </c>
      <c r="F9045" t="n">
        <v>1</v>
      </c>
      <c r="G9045" t="n">
        <v>42</v>
      </c>
      <c r="H9045" s="5">
        <f>HYPERLINK("https://api.qogita.com/variants/link/5425017730873/", "View Product")</f>
        <v/>
      </c>
    </row>
    <row r="9046">
      <c r="A9046" t="inlineStr">
        <is>
          <t>5425017732167</t>
        </is>
      </c>
      <c r="B9046" t="inlineStr">
        <is>
          <t>Cuba Grey by Cuba EDT Spray 1.17 oz</t>
        </is>
      </c>
      <c r="C9046" t="inlineStr">
        <is>
          <t>Eau De Toilette</t>
        </is>
      </c>
      <c r="D9046" t="inlineStr">
        <is>
          <t>Cuba</t>
        </is>
      </c>
      <c r="E9046" t="n">
        <v>3.74</v>
      </c>
      <c r="F9046" t="n">
        <v>1</v>
      </c>
      <c r="G9046" t="n">
        <v>4</v>
      </c>
      <c r="H9046" s="5">
        <f>HYPERLINK("https://api.qogita.com/variants/link/5425017732167/", "View Product")</f>
        <v/>
      </c>
    </row>
    <row r="9047">
      <c r="A9047" t="inlineStr">
        <is>
          <t>5425017732389</t>
        </is>
      </c>
      <c r="B9047" t="inlineStr">
        <is>
          <t>Cuba Original Cuba Gold Eau De Toilette Spray 100ml</t>
        </is>
      </c>
      <c r="C9047" t="inlineStr">
        <is>
          <t>Eau De Toilette</t>
        </is>
      </c>
      <c r="D9047" t="inlineStr">
        <is>
          <t>Cuba Originals</t>
        </is>
      </c>
      <c r="E9047" t="n">
        <v>4.53</v>
      </c>
      <c r="F9047" t="n">
        <v>1</v>
      </c>
      <c r="G9047" t="n">
        <v>66</v>
      </c>
      <c r="H9047" s="5">
        <f>HYPERLINK("https://api.qogita.com/variants/link/5425017732389/", "View Product")</f>
        <v/>
      </c>
    </row>
    <row r="9048">
      <c r="A9048" t="inlineStr">
        <is>
          <t>5425017732747</t>
        </is>
      </c>
      <c r="B9048" t="inlineStr">
        <is>
          <t>Cuba Original Cuba Gold Deodorant Spray 200ml</t>
        </is>
      </c>
      <c r="C9048" t="inlineStr">
        <is>
          <t>Deodorant &amp; Anti-Perspirant</t>
        </is>
      </c>
      <c r="D9048" t="inlineStr">
        <is>
          <t>Cuba Originals</t>
        </is>
      </c>
      <c r="E9048" t="n">
        <v>2.22</v>
      </c>
      <c r="F9048" t="n">
        <v>1</v>
      </c>
      <c r="G9048" t="n">
        <v>583</v>
      </c>
      <c r="H9048" s="5">
        <f>HYPERLINK("https://api.qogita.com/variants/link/5425017732747/", "View Product")</f>
        <v/>
      </c>
    </row>
    <row r="9049">
      <c r="A9049" t="inlineStr">
        <is>
          <t>5425017732877</t>
        </is>
      </c>
      <c r="B9049" t="inlineStr">
        <is>
          <t>Cuba Mexico Maya by Cuba for Men 1.17 Oz EDT Spray</t>
        </is>
      </c>
      <c r="C9049" t="inlineStr">
        <is>
          <t>Eau De Toilette</t>
        </is>
      </c>
      <c r="D9049" t="inlineStr">
        <is>
          <t>Cuba</t>
        </is>
      </c>
      <c r="E9049" t="n">
        <v>3.64</v>
      </c>
      <c r="F9049" t="n">
        <v>1</v>
      </c>
      <c r="G9049" t="n">
        <v>3</v>
      </c>
      <c r="H9049" s="5">
        <f>HYPERLINK("https://api.qogita.com/variants/link/5425017732877/", "View Product")</f>
        <v/>
      </c>
    </row>
    <row r="9050">
      <c r="A9050" t="inlineStr">
        <is>
          <t>5425017733508</t>
        </is>
      </c>
      <c r="B9050" t="inlineStr">
        <is>
          <t>Cuba Original Prestige Eau De Toilette Spray 90ml By Cuba</t>
        </is>
      </c>
      <c r="C9050" t="inlineStr">
        <is>
          <t>Eau De Toilette</t>
        </is>
      </c>
      <c r="D9050" t="inlineStr">
        <is>
          <t>Cuba</t>
        </is>
      </c>
      <c r="E9050" t="n">
        <v>6.19</v>
      </c>
      <c r="F9050" t="n">
        <v>1</v>
      </c>
      <c r="G9050" t="n">
        <v>27</v>
      </c>
      <c r="H9050" s="5">
        <f>HYPERLINK("https://api.qogita.com/variants/link/5425017733508/", "View Product")</f>
        <v/>
      </c>
    </row>
    <row r="9051">
      <c r="A9051" t="inlineStr">
        <is>
          <t>5425017733522</t>
        </is>
      </c>
      <c r="B9051" t="inlineStr">
        <is>
          <t>Cuba Original Cuba Strass Tiger Eau De Parfum Spray 100ml</t>
        </is>
      </c>
      <c r="C9051" t="inlineStr">
        <is>
          <t>Eau De Parfum</t>
        </is>
      </c>
      <c r="D9051" t="inlineStr">
        <is>
          <t>Cuba Originals</t>
        </is>
      </c>
      <c r="E9051" t="n">
        <v>4.79</v>
      </c>
      <c r="F9051" t="n">
        <v>1</v>
      </c>
      <c r="G9051" t="n">
        <v>29</v>
      </c>
      <c r="H9051" s="5">
        <f>HYPERLINK("https://api.qogita.com/variants/link/5425017733522/", "View Product")</f>
        <v/>
      </c>
    </row>
    <row r="9052">
      <c r="A9052" t="inlineStr">
        <is>
          <t>5425017733638</t>
        </is>
      </c>
      <c r="B9052" t="inlineStr">
        <is>
          <t>Cuba Original Cuba Miami Eau De Toilette Spray 35ml</t>
        </is>
      </c>
      <c r="C9052" t="inlineStr">
        <is>
          <t>Eau De Toilette</t>
        </is>
      </c>
      <c r="D9052" t="inlineStr">
        <is>
          <t>Cuba Originals</t>
        </is>
      </c>
      <c r="E9052" t="n">
        <v>4.08</v>
      </c>
      <c r="F9052" t="n">
        <v>1</v>
      </c>
      <c r="G9052" t="n">
        <v>2</v>
      </c>
      <c r="H9052" s="5">
        <f>HYPERLINK("https://api.qogita.com/variants/link/5425017733638/", "View Product")</f>
        <v/>
      </c>
    </row>
    <row r="9053">
      <c r="A9053" t="inlineStr">
        <is>
          <t>5425017733683</t>
        </is>
      </c>
      <c r="B9053" t="inlineStr">
        <is>
          <t>New Brand Extasia Eau De Toilette Spray For Men, 3.3 Ounce</t>
        </is>
      </c>
      <c r="C9053" t="inlineStr">
        <is>
          <t>Eau De Toilette</t>
        </is>
      </c>
      <c r="D9053" t="inlineStr">
        <is>
          <t>New Brand</t>
        </is>
      </c>
      <c r="E9053" t="n">
        <v>5.29</v>
      </c>
      <c r="F9053" t="n">
        <v>1</v>
      </c>
      <c r="G9053" t="n">
        <v>43</v>
      </c>
      <c r="H9053" s="5">
        <f>HYPERLINK("https://api.qogita.com/variants/link/5425017733683/", "View Product")</f>
        <v/>
      </c>
    </row>
    <row r="9054">
      <c r="A9054" t="inlineStr">
        <is>
          <t>5425017734154</t>
        </is>
      </c>
      <c r="B9054" t="inlineStr">
        <is>
          <t>Cuba Gold by Cuba for Men 2 Piece Gift Set 3.4oz After Shave 6.7oz Body Spray</t>
        </is>
      </c>
      <c r="C9054" t="inlineStr">
        <is>
          <t>Fragrance</t>
        </is>
      </c>
      <c r="D9054" t="inlineStr">
        <is>
          <t>Cuba</t>
        </is>
      </c>
      <c r="E9054" t="n">
        <v>6.88</v>
      </c>
      <c r="F9054" t="n">
        <v>1</v>
      </c>
      <c r="G9054" t="n">
        <v>261</v>
      </c>
      <c r="H9054" s="5">
        <f>HYPERLINK("https://api.qogita.com/variants/link/5425017734154/", "View Product")</f>
        <v/>
      </c>
    </row>
    <row r="9055">
      <c r="A9055" t="inlineStr">
        <is>
          <t>5425017734192</t>
        </is>
      </c>
      <c r="B9055" t="inlineStr">
        <is>
          <t>Cuba Original Red Eau De Toilette Spray 100ml By Cuba</t>
        </is>
      </c>
      <c r="C9055" t="inlineStr">
        <is>
          <t>Eau De Toilette</t>
        </is>
      </c>
      <c r="D9055" t="inlineStr">
        <is>
          <t>Cuba</t>
        </is>
      </c>
      <c r="E9055" t="n">
        <v>4.79</v>
      </c>
      <c r="F9055" t="n">
        <v>1</v>
      </c>
      <c r="G9055" t="n">
        <v>261</v>
      </c>
      <c r="H9055" s="5">
        <f>HYPERLINK("https://api.qogita.com/variants/link/5425017734192/", "View Product")</f>
        <v/>
      </c>
    </row>
    <row r="9056">
      <c r="A9056" t="inlineStr">
        <is>
          <t>5425017735076</t>
        </is>
      </c>
      <c r="B9056" t="inlineStr">
        <is>
          <t>New Brand Perfumes Princess Dreaming Edp Spray Women 3.3 Oz Sem Numero</t>
        </is>
      </c>
      <c r="C9056" t="inlineStr">
        <is>
          <t>Eau De Parfum</t>
        </is>
      </c>
      <c r="D9056" t="inlineStr">
        <is>
          <t>New Brand</t>
        </is>
      </c>
      <c r="E9056" t="n">
        <v>5.29</v>
      </c>
      <c r="F9056" t="n">
        <v>1</v>
      </c>
      <c r="G9056" t="n">
        <v>43</v>
      </c>
      <c r="H9056" s="5">
        <f>HYPERLINK("https://api.qogita.com/variants/link/5425017735076/", "View Product")</f>
        <v/>
      </c>
    </row>
    <row r="9057">
      <c r="A9057" t="inlineStr">
        <is>
          <t>5425017735168</t>
        </is>
      </c>
      <c r="B9057" t="inlineStr">
        <is>
          <t>Cuba Paris Winner Men Eau De Toilette Spray 35ml</t>
        </is>
      </c>
      <c r="C9057" t="inlineStr">
        <is>
          <t>Eau De Toilette</t>
        </is>
      </c>
      <c r="D9057" t="inlineStr">
        <is>
          <t>Cuba</t>
        </is>
      </c>
      <c r="E9057" t="n">
        <v>3.33</v>
      </c>
      <c r="F9057" t="n">
        <v>1</v>
      </c>
      <c r="G9057" t="n">
        <v>10</v>
      </c>
      <c r="H9057" s="5">
        <f>HYPERLINK("https://api.qogita.com/variants/link/5425017735168/", "View Product")</f>
        <v/>
      </c>
    </row>
    <row r="9058">
      <c r="A9058" t="inlineStr">
        <is>
          <t>5425017735878</t>
        </is>
      </c>
      <c r="B9058" t="inlineStr">
        <is>
          <t>Cuba Original Prestige Classic Set - Eau De Toilette Spray 90ml, Shower Gel 200ml, After Shave Spray 100ml</t>
        </is>
      </c>
      <c r="C9058" t="inlineStr">
        <is>
          <t>Fragrance</t>
        </is>
      </c>
      <c r="D9058" t="inlineStr">
        <is>
          <t>Cuba</t>
        </is>
      </c>
      <c r="E9058" t="n">
        <v>8.44</v>
      </c>
      <c r="F9058" t="n">
        <v>1</v>
      </c>
      <c r="G9058" t="n">
        <v>41</v>
      </c>
      <c r="H9058" s="5">
        <f>HYPERLINK("https://api.qogita.com/variants/link/5425017735878/", "View Product")</f>
        <v/>
      </c>
    </row>
    <row r="9059">
      <c r="A9059" t="inlineStr">
        <is>
          <t>5425017736097</t>
        </is>
      </c>
      <c r="B9059" t="inlineStr">
        <is>
          <t>Cuba Original Cuba Gold Set - Edt Spray 100ml, Edt Spray 35ml, Shower Gel 200ml, After Shave Spray 100ml</t>
        </is>
      </c>
      <c r="C9059" t="inlineStr">
        <is>
          <t>Fragrance Sets</t>
        </is>
      </c>
      <c r="D9059" t="inlineStr">
        <is>
          <t>Cuba Originals</t>
        </is>
      </c>
      <c r="E9059" t="n">
        <v>10.19</v>
      </c>
      <c r="F9059" t="n">
        <v>1</v>
      </c>
      <c r="G9059" t="n">
        <v>171</v>
      </c>
      <c r="H9059" s="5">
        <f>HYPERLINK("https://api.qogita.com/variants/link/5425017736097/", "View Product")</f>
        <v/>
      </c>
    </row>
    <row r="9060">
      <c r="A9060" t="inlineStr">
        <is>
          <t>5425017736264</t>
        </is>
      </c>
      <c r="B9060" t="inlineStr">
        <is>
          <t>Cuba Original Cuba Green Eau De Toilette Spray 100ml</t>
        </is>
      </c>
      <c r="C9060" t="inlineStr">
        <is>
          <t>Eau De Toilette</t>
        </is>
      </c>
      <c r="D9060" t="inlineStr">
        <is>
          <t>Cuba Originals</t>
        </is>
      </c>
      <c r="E9060" t="n">
        <v>4.51</v>
      </c>
      <c r="F9060" t="n">
        <v>1</v>
      </c>
      <c r="G9060" t="n">
        <v>11</v>
      </c>
      <c r="H9060" s="5">
        <f>HYPERLINK("https://api.qogita.com/variants/link/5425017736264/", "View Product")</f>
        <v/>
      </c>
    </row>
    <row r="9061">
      <c r="A9061" t="inlineStr">
        <is>
          <t>5425017736271</t>
        </is>
      </c>
      <c r="B9061" t="inlineStr">
        <is>
          <t>Cuba Original Cuba Heartbreaker Eau De Parfum Spray 100ml</t>
        </is>
      </c>
      <c r="C9061" t="inlineStr">
        <is>
          <t>Eau De Parfum</t>
        </is>
      </c>
      <c r="D9061" t="inlineStr">
        <is>
          <t>Cuba Originals</t>
        </is>
      </c>
      <c r="E9061" t="n">
        <v>4.79</v>
      </c>
      <c r="F9061" t="n">
        <v>1</v>
      </c>
      <c r="G9061" t="n">
        <v>83</v>
      </c>
      <c r="H9061" s="5">
        <f>HYPERLINK("https://api.qogita.com/variants/link/5425017736271/", "View Product")</f>
        <v/>
      </c>
    </row>
    <row r="9062">
      <c r="A9062" t="inlineStr">
        <is>
          <t>5425017736288</t>
        </is>
      </c>
      <c r="B9062" t="inlineStr">
        <is>
          <t>Cuba Original Cuba Heartbreaker Eau De Parfum Spray 35ml</t>
        </is>
      </c>
      <c r="C9062" t="inlineStr">
        <is>
          <t>Eau De Parfum</t>
        </is>
      </c>
      <c r="D9062" t="inlineStr">
        <is>
          <t>Cuba Originals</t>
        </is>
      </c>
      <c r="E9062" t="n">
        <v>3.18</v>
      </c>
      <c r="F9062" t="n">
        <v>1</v>
      </c>
      <c r="G9062" t="n">
        <v>7</v>
      </c>
      <c r="H9062" s="5">
        <f>HYPERLINK("https://api.qogita.com/variants/link/5425017736288/", "View Product")</f>
        <v/>
      </c>
    </row>
    <row r="9063">
      <c r="A9063" t="inlineStr">
        <is>
          <t>5425017736776</t>
        </is>
      </c>
      <c r="B9063" t="inlineStr">
        <is>
          <t>Cuba Original Cuba Heartbreaker Deodorant Roll-On 50ml</t>
        </is>
      </c>
      <c r="C9063" t="inlineStr">
        <is>
          <t>Deodorant &amp; Anti-Perspirant</t>
        </is>
      </c>
      <c r="D9063" t="inlineStr">
        <is>
          <t>Cuba Originals</t>
        </is>
      </c>
      <c r="E9063" t="n">
        <v>1.27</v>
      </c>
      <c r="F9063" t="n">
        <v>1</v>
      </c>
      <c r="G9063" t="n">
        <v>83</v>
      </c>
      <c r="H9063" s="5">
        <f>HYPERLINK("https://api.qogita.com/variants/link/5425017736776/", "View Product")</f>
        <v/>
      </c>
    </row>
    <row r="9064">
      <c r="A9064" t="inlineStr">
        <is>
          <t>5425017737032</t>
        </is>
      </c>
      <c r="B9064" t="inlineStr">
        <is>
          <t>Cuba Original Cuba Royal Deodorant Roll-On 50ml</t>
        </is>
      </c>
      <c r="C9064" t="inlineStr">
        <is>
          <t>Deodorant &amp; Anti-Perspirant</t>
        </is>
      </c>
      <c r="D9064" t="inlineStr">
        <is>
          <t>Cuba Originals</t>
        </is>
      </c>
      <c r="E9064" t="n">
        <v>1.27</v>
      </c>
      <c r="F9064" t="n">
        <v>1</v>
      </c>
      <c r="G9064" t="n">
        <v>81</v>
      </c>
      <c r="H9064" s="5">
        <f>HYPERLINK("https://api.qogita.com/variants/link/5425017737032/", "View Product")</f>
        <v/>
      </c>
    </row>
    <row r="9065">
      <c r="A9065" t="inlineStr">
        <is>
          <t>5425039220215</t>
        </is>
      </c>
      <c r="B9065" t="inlineStr">
        <is>
          <t>New Brand Perfumes Daily Perfume Women 3.3 oz EDP Spray</t>
        </is>
      </c>
      <c r="C9065" t="inlineStr">
        <is>
          <t>Eau De Parfum</t>
        </is>
      </c>
      <c r="D9065" t="inlineStr">
        <is>
          <t>New Brand</t>
        </is>
      </c>
      <c r="E9065" t="n">
        <v>6.33</v>
      </c>
      <c r="F9065" t="n">
        <v>1</v>
      </c>
      <c r="G9065" t="n">
        <v>2</v>
      </c>
      <c r="H9065" s="5">
        <f>HYPERLINK("https://api.qogita.com/variants/link/5425039220215/", "View Product")</f>
        <v/>
      </c>
    </row>
    <row r="9066">
      <c r="A9066" t="inlineStr">
        <is>
          <t>5425039220345</t>
        </is>
      </c>
      <c r="B9066" t="inlineStr">
        <is>
          <t>New Brand Women's Perfume 3.3oz EDP Spray</t>
        </is>
      </c>
      <c r="C9066" t="inlineStr">
        <is>
          <t>Eau De Parfum</t>
        </is>
      </c>
      <c r="D9066" t="inlineStr">
        <is>
          <t>Nuwa</t>
        </is>
      </c>
      <c r="E9066" t="n">
        <v>5.29</v>
      </c>
      <c r="F9066" t="n">
        <v>1</v>
      </c>
      <c r="G9066" t="n">
        <v>42</v>
      </c>
      <c r="H9066" s="5">
        <f>HYPERLINK("https://api.qogita.com/variants/link/5425039220345/", "View Product")</f>
        <v/>
      </c>
    </row>
    <row r="9067">
      <c r="A9067" t="inlineStr">
        <is>
          <t>5425039220567</t>
        </is>
      </c>
      <c r="B9067" t="inlineStr">
        <is>
          <t>Cuba Vip For Men Eau De Toilette Spray 100ml By Cuba</t>
        </is>
      </c>
      <c r="C9067" t="inlineStr">
        <is>
          <t>Eau De Toilette</t>
        </is>
      </c>
      <c r="D9067" t="inlineStr">
        <is>
          <t>Cuba</t>
        </is>
      </c>
      <c r="E9067" t="n">
        <v>4.79</v>
      </c>
      <c r="F9067" t="n">
        <v>1</v>
      </c>
      <c r="G9067" t="n">
        <v>54</v>
      </c>
      <c r="H9067" s="5">
        <f>HYPERLINK("https://api.qogita.com/variants/link/5425039220567/", "View Product")</f>
        <v/>
      </c>
    </row>
    <row r="9068">
      <c r="A9068" t="inlineStr">
        <is>
          <t>5425039220574</t>
        </is>
      </c>
      <c r="B9068" t="inlineStr">
        <is>
          <t>Cuba Original Cuba Vip For Men Eau De Toilette Spray 35ml</t>
        </is>
      </c>
      <c r="C9068" t="inlineStr">
        <is>
          <t>Eau De Toilette</t>
        </is>
      </c>
      <c r="D9068" t="inlineStr">
        <is>
          <t>Cuba Originals</t>
        </is>
      </c>
      <c r="E9068" t="n">
        <v>3.57</v>
      </c>
      <c r="F9068" t="n">
        <v>1</v>
      </c>
      <c r="G9068" t="n">
        <v>2</v>
      </c>
      <c r="H9068" s="5">
        <f>HYPERLINK("https://api.qogita.com/variants/link/5425039220574/", "View Product")</f>
        <v/>
      </c>
    </row>
    <row r="9069">
      <c r="A9069" t="inlineStr">
        <is>
          <t>5425039220581</t>
        </is>
      </c>
      <c r="B9069" t="inlineStr">
        <is>
          <t>Cuba Original Cuba Vip For Women Eau De Parfum 100ml</t>
        </is>
      </c>
      <c r="C9069" t="inlineStr">
        <is>
          <t>Eau De Parfum</t>
        </is>
      </c>
      <c r="D9069" t="inlineStr">
        <is>
          <t>Cuba Originals</t>
        </is>
      </c>
      <c r="E9069" t="n">
        <v>4.79</v>
      </c>
      <c r="F9069" t="n">
        <v>1</v>
      </c>
      <c r="G9069" t="n">
        <v>64</v>
      </c>
      <c r="H9069" s="5">
        <f>HYPERLINK("https://api.qogita.com/variants/link/5425039220581/", "View Product")</f>
        <v/>
      </c>
    </row>
    <row r="9070">
      <c r="A9070" t="inlineStr">
        <is>
          <t>5425039221700</t>
        </is>
      </c>
      <c r="B9070" t="inlineStr">
        <is>
          <t>Cuba Vip For Women Deodorant Spray 200ml</t>
        </is>
      </c>
      <c r="C9070" t="inlineStr">
        <is>
          <t>Deodorant &amp; Anti-Perspirant</t>
        </is>
      </c>
      <c r="D9070" t="inlineStr">
        <is>
          <t>Cuba</t>
        </is>
      </c>
      <c r="E9070" t="n">
        <v>2.22</v>
      </c>
      <c r="F9070" t="n">
        <v>1</v>
      </c>
      <c r="G9070" t="n">
        <v>64</v>
      </c>
      <c r="H9070" s="5">
        <f>HYPERLINK("https://api.qogita.com/variants/link/5425039221700/", "View Product")</f>
        <v/>
      </c>
    </row>
    <row r="9071">
      <c r="A9071" t="inlineStr">
        <is>
          <t>5425039221717</t>
        </is>
      </c>
      <c r="B9071" t="inlineStr">
        <is>
          <t>Victory by Cuba for Women 6.6 oz Body Spray</t>
        </is>
      </c>
      <c r="C9071" t="inlineStr">
        <is>
          <t>Eau De Toilette</t>
        </is>
      </c>
      <c r="D9071" t="inlineStr">
        <is>
          <t>Cuba</t>
        </is>
      </c>
      <c r="E9071" t="n">
        <v>2.22</v>
      </c>
      <c r="F9071" t="n">
        <v>1</v>
      </c>
      <c r="G9071" t="n">
        <v>41</v>
      </c>
      <c r="H9071" s="5">
        <f>HYPERLINK("https://api.qogita.com/variants/link/5425039221717/", "View Product")</f>
        <v/>
      </c>
    </row>
    <row r="9072">
      <c r="A9072" t="inlineStr">
        <is>
          <t>5425039221748</t>
        </is>
      </c>
      <c r="B9072" t="inlineStr">
        <is>
          <t>New Brand Pure Sense EDT Spray for Men 3.3 oz</t>
        </is>
      </c>
      <c r="C9072" t="inlineStr">
        <is>
          <t>Eau De Toilette</t>
        </is>
      </c>
      <c r="D9072" t="inlineStr">
        <is>
          <t>New Brand</t>
        </is>
      </c>
      <c r="E9072" t="n">
        <v>5.29</v>
      </c>
      <c r="F9072" t="n">
        <v>1</v>
      </c>
      <c r="G9072" t="n">
        <v>43</v>
      </c>
      <c r="H9072" s="5">
        <f>HYPERLINK("https://api.qogita.com/variants/link/5425039221748/", "View Product")</f>
        <v/>
      </c>
    </row>
    <row r="9073">
      <c r="A9073" t="inlineStr">
        <is>
          <t>5425039221816</t>
        </is>
      </c>
      <c r="B9073" t="inlineStr">
        <is>
          <t>Bijoux Bella Vida Eau De Parfum For Women - 200ml</t>
        </is>
      </c>
      <c r="C9073" t="inlineStr">
        <is>
          <t>Eau De Parfum</t>
        </is>
      </c>
      <c r="D9073" t="inlineStr">
        <is>
          <t>Bijoux</t>
        </is>
      </c>
      <c r="E9073" t="n">
        <v>6.51</v>
      </c>
      <c r="F9073" t="n">
        <v>1</v>
      </c>
      <c r="G9073" t="n">
        <v>22</v>
      </c>
      <c r="H9073" s="5">
        <f>HYPERLINK("https://api.qogita.com/variants/link/5425039221816/", "View Product")</f>
        <v/>
      </c>
    </row>
    <row r="9074">
      <c r="A9074" t="inlineStr">
        <is>
          <t>5425039221908</t>
        </is>
      </c>
      <c r="B9074" t="inlineStr">
        <is>
          <t>Bijoux Mon Amour Eau De Parfum - 200ml</t>
        </is>
      </c>
      <c r="C9074" t="inlineStr">
        <is>
          <t>Eau De Parfum</t>
        </is>
      </c>
      <c r="D9074" t="inlineStr">
        <is>
          <t>Bijoux</t>
        </is>
      </c>
      <c r="E9074" t="n">
        <v>6.51</v>
      </c>
      <c r="F9074" t="n">
        <v>1</v>
      </c>
      <c r="G9074" t="n">
        <v>22</v>
      </c>
      <c r="H9074" s="5">
        <f>HYPERLINK("https://api.qogita.com/variants/link/5425039221908/", "View Product")</f>
        <v/>
      </c>
    </row>
    <row r="9075">
      <c r="A9075" t="inlineStr">
        <is>
          <t>5425039222059</t>
        </is>
      </c>
      <c r="B9075" t="inlineStr">
        <is>
          <t>Cuba Original Cuba Authentic Mystic For Women Eau De Parfum Spray 100ml</t>
        </is>
      </c>
      <c r="C9075" t="inlineStr">
        <is>
          <t>Eau De Parfum</t>
        </is>
      </c>
      <c r="D9075" t="inlineStr">
        <is>
          <t>Cuba Originals</t>
        </is>
      </c>
      <c r="E9075" t="n">
        <v>7.72</v>
      </c>
      <c r="F9075" t="n">
        <v>1</v>
      </c>
      <c r="G9075" t="n">
        <v>6</v>
      </c>
      <c r="H9075" s="5">
        <f>HYPERLINK("https://api.qogita.com/variants/link/5425039222059/", "View Product")</f>
        <v/>
      </c>
    </row>
    <row r="9076">
      <c r="A9076" t="inlineStr">
        <is>
          <t>5425039222073</t>
        </is>
      </c>
      <c r="B9076" t="inlineStr">
        <is>
          <t>Cuba Original Cuba Authentic Tasty For Women Eau De Parfum Spray 100ml</t>
        </is>
      </c>
      <c r="C9076" t="inlineStr">
        <is>
          <t>Eau De Parfum</t>
        </is>
      </c>
      <c r="D9076" t="inlineStr">
        <is>
          <t>Cuba Originals</t>
        </is>
      </c>
      <c r="E9076" t="n">
        <v>8.699999999999999</v>
      </c>
      <c r="F9076" t="n">
        <v>1</v>
      </c>
      <c r="G9076" t="n">
        <v>12</v>
      </c>
      <c r="H9076" s="5">
        <f>HYPERLINK("https://api.qogita.com/variants/link/5425039222073/", "View Product")</f>
        <v/>
      </c>
    </row>
    <row r="9077">
      <c r="A9077" t="inlineStr">
        <is>
          <t>5425039222080</t>
        </is>
      </c>
      <c r="B9077" t="inlineStr">
        <is>
          <t>Cuba Original Too Sexy For You For Woman Eau De Parfum Spray 100ml</t>
        </is>
      </c>
      <c r="C9077" t="inlineStr">
        <is>
          <t>Eau De Parfum</t>
        </is>
      </c>
      <c r="D9077" t="inlineStr">
        <is>
          <t>Cuba Originals</t>
        </is>
      </c>
      <c r="E9077" t="n">
        <v>4.79</v>
      </c>
      <c r="F9077" t="n">
        <v>1</v>
      </c>
      <c r="G9077" t="n">
        <v>83</v>
      </c>
      <c r="H9077" s="5">
        <f>HYPERLINK("https://api.qogita.com/variants/link/5425039222080/", "View Product")</f>
        <v/>
      </c>
    </row>
    <row r="9078">
      <c r="A9078" t="inlineStr">
        <is>
          <t>5425039222806</t>
        </is>
      </c>
      <c r="B9078" t="inlineStr">
        <is>
          <t>Cuba Variety by Cuba 0.17 Oz Authentic</t>
        </is>
      </c>
      <c r="C9078" t="inlineStr">
        <is>
          <t>Eau De Parfum</t>
        </is>
      </c>
      <c r="D9078" t="inlineStr">
        <is>
          <t>Cuba</t>
        </is>
      </c>
      <c r="E9078" t="n">
        <v>3.47</v>
      </c>
      <c r="F9078" t="n">
        <v>1</v>
      </c>
      <c r="G9078" t="n">
        <v>631</v>
      </c>
      <c r="H9078" s="5">
        <f>HYPERLINK("https://api.qogita.com/variants/link/5425039222806/", "View Product")</f>
        <v/>
      </c>
    </row>
    <row r="9079">
      <c r="A9079" t="inlineStr">
        <is>
          <t>5425039222899</t>
        </is>
      </c>
      <c r="B9079" t="inlineStr">
        <is>
          <t>Cuba After Shave Red 100ml</t>
        </is>
      </c>
      <c r="C9079" t="inlineStr">
        <is>
          <t>Aftershave</t>
        </is>
      </c>
      <c r="D9079" t="inlineStr">
        <is>
          <t>Cuba</t>
        </is>
      </c>
      <c r="E9079" t="n">
        <v>2.6</v>
      </c>
      <c r="F9079" t="n">
        <v>1</v>
      </c>
      <c r="G9079" t="n">
        <v>33</v>
      </c>
      <c r="H9079" s="5">
        <f>HYPERLINK("https://api.qogita.com/variants/link/5425039222899/", "View Product")</f>
        <v/>
      </c>
    </row>
    <row r="9080">
      <c r="A9080" t="inlineStr">
        <is>
          <t>5425039222929</t>
        </is>
      </c>
      <c r="B9080" t="inlineStr">
        <is>
          <t>Cuba Original Brown After Shave Lotion 100ml</t>
        </is>
      </c>
      <c r="C9080" t="inlineStr">
        <is>
          <t>Aftershave</t>
        </is>
      </c>
      <c r="D9080" t="inlineStr">
        <is>
          <t>Cuba Originals</t>
        </is>
      </c>
      <c r="E9080" t="n">
        <v>2.6</v>
      </c>
      <c r="F9080" t="n">
        <v>1</v>
      </c>
      <c r="G9080" t="n">
        <v>34</v>
      </c>
      <c r="H9080" s="5">
        <f>HYPERLINK("https://api.qogita.com/variants/link/5425039222929/", "View Product")</f>
        <v/>
      </c>
    </row>
    <row r="9081">
      <c r="A9081" t="inlineStr">
        <is>
          <t>5425039222936</t>
        </is>
      </c>
      <c r="B9081" t="inlineStr">
        <is>
          <t>Cuba Green For Men After Shave 3.4 Oz</t>
        </is>
      </c>
      <c r="C9081" t="inlineStr">
        <is>
          <t>Aftershave</t>
        </is>
      </c>
      <c r="D9081" t="inlineStr">
        <is>
          <t>Cuba</t>
        </is>
      </c>
      <c r="E9081" t="n">
        <v>2.6</v>
      </c>
      <c r="F9081" t="n">
        <v>1</v>
      </c>
      <c r="G9081" t="n">
        <v>41</v>
      </c>
      <c r="H9081" s="5">
        <f>HYPERLINK("https://api.qogita.com/variants/link/5425039222936/", "View Product")</f>
        <v/>
      </c>
    </row>
    <row r="9082">
      <c r="A9082" t="inlineStr">
        <is>
          <t>5425039222998</t>
        </is>
      </c>
      <c r="B9082" t="inlineStr">
        <is>
          <t>Cuba Touch For Women Eau De Parfum Spray 100ml</t>
        </is>
      </c>
      <c r="C9082" t="inlineStr">
        <is>
          <t>Eau De Parfum</t>
        </is>
      </c>
      <c r="D9082" t="inlineStr">
        <is>
          <t>Cuba</t>
        </is>
      </c>
      <c r="E9082" t="n">
        <v>4.79</v>
      </c>
      <c r="F9082" t="n">
        <v>1</v>
      </c>
      <c r="G9082" t="n">
        <v>38</v>
      </c>
      <c r="H9082" s="5">
        <f>HYPERLINK("https://api.qogita.com/variants/link/5425039222998/", "View Product")</f>
        <v/>
      </c>
    </row>
    <row r="9083">
      <c r="A9083" t="inlineStr">
        <is>
          <t>5425039223452</t>
        </is>
      </c>
      <c r="B9083" t="inlineStr">
        <is>
          <t>Prime Royal XO by Assala Unisex 3.3 Oz EDP Spray</t>
        </is>
      </c>
      <c r="C9083" t="inlineStr">
        <is>
          <t>Eau De Parfum</t>
        </is>
      </c>
      <c r="D9083" t="inlineStr">
        <is>
          <t>Asala</t>
        </is>
      </c>
      <c r="E9083" t="n">
        <v>18.99</v>
      </c>
      <c r="F9083" t="n">
        <v>1</v>
      </c>
      <c r="G9083" t="n">
        <v>3</v>
      </c>
      <c r="H9083" s="5">
        <f>HYPERLINK("https://api.qogita.com/variants/link/5425039223452/", "View Product")</f>
        <v/>
      </c>
    </row>
    <row r="9084">
      <c r="A9084" t="inlineStr">
        <is>
          <t>5701278619004</t>
        </is>
      </c>
      <c r="B9084" t="inlineStr">
        <is>
          <t>Gosh Brow Kit Eyebrow Styling Set 001</t>
        </is>
      </c>
      <c r="C9084" t="inlineStr">
        <is>
          <t>Eyebrow Sets &amp; Pallets</t>
        </is>
      </c>
      <c r="D9084" t="inlineStr">
        <is>
          <t>Gosh</t>
        </is>
      </c>
      <c r="E9084" t="n">
        <v>8.529999999999999</v>
      </c>
      <c r="F9084" t="n">
        <v>1</v>
      </c>
      <c r="G9084" t="n">
        <v>2</v>
      </c>
      <c r="H9084" s="5">
        <f>HYPERLINK("https://api.qogita.com/variants/link/5701278619004/", "View Product")</f>
        <v/>
      </c>
    </row>
    <row r="9085">
      <c r="A9085" t="inlineStr">
        <is>
          <t>5900017063911</t>
        </is>
      </c>
      <c r="B9085" t="inlineStr">
        <is>
          <t>Nivea Caring Shampoo With Milk And Silk Proteins For Glossy Hair Without Shine 250 Ml</t>
        </is>
      </c>
      <c r="C9085" t="inlineStr">
        <is>
          <t>Shampoo</t>
        </is>
      </c>
      <c r="D9085" t="inlineStr">
        <is>
          <t>Nivea</t>
        </is>
      </c>
      <c r="E9085" t="n">
        <v>5.73</v>
      </c>
      <c r="F9085" t="n">
        <v>1</v>
      </c>
      <c r="G9085" t="n">
        <v>4</v>
      </c>
      <c r="H9085" s="5">
        <f>HYPERLINK("https://api.qogita.com/variants/link/5900017063911/", "View Product")</f>
        <v/>
      </c>
    </row>
    <row r="9086">
      <c r="A9086" t="inlineStr">
        <is>
          <t>5900627064407</t>
        </is>
      </c>
      <c r="B9086" t="inlineStr">
        <is>
          <t>Veet Easywax Wax Cartridge For Feet Into Electrical Set</t>
        </is>
      </c>
      <c r="C9086" t="inlineStr">
        <is>
          <t>Foot Care Sets</t>
        </is>
      </c>
      <c r="D9086" t="inlineStr">
        <is>
          <t>Veet</t>
        </is>
      </c>
      <c r="E9086" t="n">
        <v>7.6</v>
      </c>
      <c r="F9086" t="n">
        <v>1</v>
      </c>
      <c r="G9086" t="n">
        <v>2</v>
      </c>
      <c r="H9086" s="5">
        <f>HYPERLINK("https://api.qogita.com/variants/link/5900627064407/", "View Product")</f>
        <v/>
      </c>
    </row>
    <row r="9087">
      <c r="A9087" t="inlineStr">
        <is>
          <t>5900627074246</t>
        </is>
      </c>
      <c r="B9087" t="inlineStr">
        <is>
          <t>Veet Professional Cold Wax Strips For Sensitive Skin 40 Pieces</t>
        </is>
      </c>
      <c r="C9087" t="inlineStr">
        <is>
          <t>Razors &amp; Hair Removal Tools</t>
        </is>
      </c>
      <c r="D9087" t="inlineStr">
        <is>
          <t>Veet</t>
        </is>
      </c>
      <c r="E9087" t="n">
        <v>12</v>
      </c>
      <c r="F9087" t="n">
        <v>1</v>
      </c>
      <c r="G9087" t="n">
        <v>14</v>
      </c>
      <c r="H9087" s="5">
        <f>HYPERLINK("https://api.qogita.com/variants/link/5900627074246/", "View Product")</f>
        <v/>
      </c>
    </row>
    <row r="9088">
      <c r="A9088" t="inlineStr">
        <is>
          <t>5900627099034</t>
        </is>
      </c>
      <c r="B9088" t="inlineStr">
        <is>
          <t>Veet Professional Depilatory Cream For All Skin Types</t>
        </is>
      </c>
      <c r="C9088" t="inlineStr">
        <is>
          <t>Razors &amp; Hair Removal Tools</t>
        </is>
      </c>
      <c r="D9088" t="inlineStr">
        <is>
          <t>Veet</t>
        </is>
      </c>
      <c r="E9088" t="n">
        <v>6.35</v>
      </c>
      <c r="F9088" t="n">
        <v>1</v>
      </c>
      <c r="G9088" t="n">
        <v>47</v>
      </c>
      <c r="H9088" s="5">
        <f>HYPERLINK("https://api.qogita.com/variants/link/5900627099034/", "View Product")</f>
        <v/>
      </c>
    </row>
    <row r="9089">
      <c r="A9089" t="inlineStr">
        <is>
          <t>5900627099041</t>
        </is>
      </c>
      <c r="B9089" t="inlineStr">
        <is>
          <t>Professional Depilatory Cream for All Skin Types (Hair Removal Cream) Volume 400 ml</t>
        </is>
      </c>
      <c r="C9089" t="inlineStr">
        <is>
          <t>Razors &amp; Hair Removal Tools</t>
        </is>
      </c>
      <c r="D9089" t="inlineStr">
        <is>
          <t>Veet</t>
        </is>
      </c>
      <c r="E9089" t="n">
        <v>12</v>
      </c>
      <c r="F9089" t="n">
        <v>1</v>
      </c>
      <c r="G9089" t="n">
        <v>45</v>
      </c>
      <c r="H9089" s="5">
        <f>HYPERLINK("https://api.qogita.com/variants/link/5900627099041/", "View Product")</f>
        <v/>
      </c>
    </row>
    <row r="9090">
      <c r="A9090" t="inlineStr">
        <is>
          <t>5900717060159</t>
        </is>
      </c>
      <c r="B9090" t="inlineStr">
        <is>
          <t>Lirene Nature Matte Fluid Mattifying Face Fluid 15 Tanned 30ml</t>
        </is>
      </c>
      <c r="C9090" t="inlineStr">
        <is>
          <t>Tinted Day Cream</t>
        </is>
      </c>
      <c r="D9090" t="inlineStr">
        <is>
          <t>Lirene</t>
        </is>
      </c>
      <c r="E9090" t="n">
        <v>4.75</v>
      </c>
      <c r="F9090" t="n">
        <v>1</v>
      </c>
      <c r="G9090" t="n">
        <v>2</v>
      </c>
      <c r="H9090" s="5">
        <f>HYPERLINK("https://api.qogita.com/variants/link/5900717060159/", "View Product")</f>
        <v/>
      </c>
    </row>
    <row r="9091">
      <c r="A9091" t="inlineStr">
        <is>
          <t>5900717192614</t>
        </is>
      </c>
      <c r="B9091" t="inlineStr">
        <is>
          <t>Platinum Men Hair Accelerator Thickening Shampoo 200ml</t>
        </is>
      </c>
      <c r="C9091" t="inlineStr">
        <is>
          <t>Shampoo</t>
        </is>
      </c>
      <c r="D9091" t="inlineStr">
        <is>
          <t>Platinum</t>
        </is>
      </c>
      <c r="E9091" t="n">
        <v>12.58</v>
      </c>
      <c r="F9091" t="n">
        <v>1</v>
      </c>
      <c r="G9091" t="n">
        <v>8</v>
      </c>
      <c r="H9091" s="5">
        <f>HYPERLINK("https://api.qogita.com/variants/link/5900717192614/", "View Product")</f>
        <v/>
      </c>
    </row>
    <row r="9092">
      <c r="A9092" t="inlineStr">
        <is>
          <t>5900717204317</t>
        </is>
      </c>
      <c r="B9092" t="inlineStr">
        <is>
          <t>Dr Irena Eris Lumissima Instant Smoothness and Glow Eye Cream</t>
        </is>
      </c>
      <c r="C9092" t="inlineStr">
        <is>
          <t>Eye Cream</t>
        </is>
      </c>
      <c r="D9092" t="inlineStr">
        <is>
          <t>Dr Irena Eris</t>
        </is>
      </c>
      <c r="E9092" t="n">
        <v>18.48</v>
      </c>
      <c r="F9092" t="n">
        <v>1</v>
      </c>
      <c r="G9092" t="n">
        <v>7</v>
      </c>
      <c r="H9092" s="5">
        <f>HYPERLINK("https://api.qogita.com/variants/link/5900717204317/", "View Product")</f>
        <v/>
      </c>
    </row>
    <row r="9093">
      <c r="A9093" t="inlineStr">
        <is>
          <t>5900717217713</t>
        </is>
      </c>
      <c r="B9093" t="inlineStr">
        <is>
          <t>Dr Irena Eris Cleanology Creamy Gel Detergent</t>
        </is>
      </c>
      <c r="C9093" t="inlineStr">
        <is>
          <t>Soap</t>
        </is>
      </c>
      <c r="D9093" t="inlineStr">
        <is>
          <t>Dr Irena Eris</t>
        </is>
      </c>
      <c r="E9093" t="n">
        <v>10.4</v>
      </c>
      <c r="F9093" t="n">
        <v>1</v>
      </c>
      <c r="G9093" t="n">
        <v>5</v>
      </c>
      <c r="H9093" s="5">
        <f>HYPERLINK("https://api.qogita.com/variants/link/5900717217713/", "View Product")</f>
        <v/>
      </c>
    </row>
    <row r="9094">
      <c r="A9094" t="inlineStr">
        <is>
          <t>5900717217812</t>
        </is>
      </c>
      <c r="B9094" t="inlineStr">
        <is>
          <t>Cleanology Refreshing Toner For Dry And Sensitive Skin - 200ml</t>
        </is>
      </c>
      <c r="C9094" t="inlineStr">
        <is>
          <t>Facial Spray</t>
        </is>
      </c>
      <c r="D9094" t="inlineStr">
        <is>
          <t>Cleanology</t>
        </is>
      </c>
      <c r="E9094" t="n">
        <v>9.359999999999999</v>
      </c>
      <c r="F9094" t="n">
        <v>1</v>
      </c>
      <c r="G9094" t="n">
        <v>13</v>
      </c>
      <c r="H9094" s="5">
        <f>HYPERLINK("https://api.qogita.com/variants/link/5900717217812/", "View Product")</f>
        <v/>
      </c>
    </row>
    <row r="9095">
      <c r="A9095" t="inlineStr">
        <is>
          <t>5900717224315</t>
        </is>
      </c>
      <c r="B9095" t="inlineStr">
        <is>
          <t>Dr Irena Eris Rich Anti-Aging Body Serum</t>
        </is>
      </c>
      <c r="C9095" t="inlineStr">
        <is>
          <t>Body Care Sets</t>
        </is>
      </c>
      <c r="D9095" t="inlineStr">
        <is>
          <t>Dr Irena Eris</t>
        </is>
      </c>
      <c r="E9095" t="n">
        <v>20.03</v>
      </c>
      <c r="F9095" t="n">
        <v>1</v>
      </c>
      <c r="G9095" t="n">
        <v>4</v>
      </c>
      <c r="H9095" s="5">
        <f>HYPERLINK("https://api.qogita.com/variants/link/5900717224315/", "View Product")</f>
        <v/>
      </c>
    </row>
    <row r="9096">
      <c r="A9096" t="inlineStr">
        <is>
          <t>5900717241121</t>
        </is>
      </c>
      <c r="B9096" t="inlineStr">
        <is>
          <t>Dr Irena Eris Vitaceric Revitalising and Moisturising Day Cream SPF 15 50ml</t>
        </is>
      </c>
      <c r="C9096" t="inlineStr">
        <is>
          <t>Day Cream</t>
        </is>
      </c>
      <c r="D9096" t="inlineStr">
        <is>
          <t>Dr Irena Eris</t>
        </is>
      </c>
      <c r="E9096" t="n">
        <v>17.47</v>
      </c>
      <c r="F9096" t="n">
        <v>1</v>
      </c>
      <c r="G9096" t="n">
        <v>8</v>
      </c>
      <c r="H9096" s="5">
        <f>HYPERLINK("https://api.qogita.com/variants/link/5900717241121/", "View Product")</f>
        <v/>
      </c>
    </row>
    <row r="9097">
      <c r="A9097" t="inlineStr">
        <is>
          <t>5900717267138</t>
        </is>
      </c>
      <c r="B9097" t="inlineStr">
        <is>
          <t>Dr Irena Eris Aquality Intensively Moisturizing Anti-Aging Cream 50 Ml</t>
        </is>
      </c>
      <c r="C9097" t="inlineStr">
        <is>
          <t>Anti-Aging Facial Care</t>
        </is>
      </c>
      <c r="D9097" t="inlineStr">
        <is>
          <t>Dr Irena Eris</t>
        </is>
      </c>
      <c r="E9097" t="n">
        <v>22.64</v>
      </c>
      <c r="F9097" t="n">
        <v>1</v>
      </c>
      <c r="G9097" t="n">
        <v>11</v>
      </c>
      <c r="H9097" s="5">
        <f>HYPERLINK("https://api.qogita.com/variants/link/5900717267138/", "View Product")</f>
        <v/>
      </c>
    </row>
    <row r="9098">
      <c r="A9098" t="inlineStr">
        <is>
          <t>5900717291416</t>
        </is>
      </c>
      <c r="B9098" t="inlineStr">
        <is>
          <t>Dr Irena Eris Algorithm Rebuilding Lifting Serum 2% Hpr - 30 Ml</t>
        </is>
      </c>
      <c r="C9098" t="inlineStr">
        <is>
          <t>Anti-Aging Serum</t>
        </is>
      </c>
      <c r="D9098" t="inlineStr">
        <is>
          <t>Dr Irena Eris</t>
        </is>
      </c>
      <c r="E9098" t="n">
        <v>30.64</v>
      </c>
      <c r="F9098" t="n">
        <v>1</v>
      </c>
      <c r="G9098" t="n">
        <v>2</v>
      </c>
      <c r="H9098" s="5">
        <f>HYPERLINK("https://api.qogita.com/variants/link/5900717291416/", "View Product")</f>
        <v/>
      </c>
    </row>
    <row r="9099">
      <c r="A9099" t="inlineStr">
        <is>
          <t>5900717555129</t>
        </is>
      </c>
      <c r="B9099" t="inlineStr">
        <is>
          <t>Authority Lifting Day Cream Spf20 50ml</t>
        </is>
      </c>
      <c r="C9099" t="inlineStr">
        <is>
          <t>Day Cream</t>
        </is>
      </c>
      <c r="D9099" t="inlineStr">
        <is>
          <t>Authority</t>
        </is>
      </c>
      <c r="E9099" t="n">
        <v>45.01</v>
      </c>
      <c r="F9099" t="n">
        <v>1</v>
      </c>
      <c r="G9099" t="n">
        <v>11</v>
      </c>
      <c r="H9099" s="5">
        <f>HYPERLINK("https://api.qogita.com/variants/link/5900717555129/", "View Product")</f>
        <v/>
      </c>
    </row>
    <row r="9100">
      <c r="A9100" t="inlineStr">
        <is>
          <t>5900717580824</t>
        </is>
      </c>
      <c r="B9100" t="inlineStr">
        <is>
          <t>Institute Solutions Neuro Filler Spf20 Day Cream Perfectly Contouring Face Oval 50ml</t>
        </is>
      </c>
      <c r="C9100" t="inlineStr">
        <is>
          <t>Day Cream</t>
        </is>
      </c>
      <c r="D9100" t="inlineStr">
        <is>
          <t>Institut Esthederm</t>
        </is>
      </c>
      <c r="E9100" t="n">
        <v>35.79</v>
      </c>
      <c r="F9100" t="n">
        <v>1</v>
      </c>
      <c r="G9100" t="n">
        <v>5</v>
      </c>
      <c r="H9100" s="5">
        <f>HYPERLINK("https://api.qogita.com/variants/link/5900717580824/", "View Product")</f>
        <v/>
      </c>
    </row>
    <row r="9101">
      <c r="A9101" t="inlineStr">
        <is>
          <t>5900717590410</t>
        </is>
      </c>
      <c r="B9101" t="inlineStr">
        <is>
          <t>Dr Irena Eris Face Zone Ultra Plumping Regenerating Jelly Sleeping Mask 50ml</t>
        </is>
      </c>
      <c r="C9101" t="inlineStr">
        <is>
          <t>Hydrating Mask</t>
        </is>
      </c>
      <c r="D9101" t="inlineStr">
        <is>
          <t>Dr Irena Eris</t>
        </is>
      </c>
      <c r="E9101" t="n">
        <v>16.2</v>
      </c>
      <c r="F9101" t="n">
        <v>1</v>
      </c>
      <c r="G9101" t="n">
        <v>19</v>
      </c>
      <c r="H9101" s="5">
        <f>HYPERLINK("https://api.qogita.com/variants/link/5900717590410/", "View Product")</f>
        <v/>
      </c>
    </row>
    <row r="9102">
      <c r="A9102" t="inlineStr">
        <is>
          <t>5901761913972</t>
        </is>
      </c>
      <c r="B9102" t="inlineStr">
        <is>
          <t>Eveline Slim Extreme 4d Intensive Bust Enhancing Serum - 250ml</t>
        </is>
      </c>
      <c r="C9102" t="inlineStr">
        <is>
          <t>Body Care Sets</t>
        </is>
      </c>
      <c r="D9102" t="inlineStr">
        <is>
          <t>Eveline</t>
        </is>
      </c>
      <c r="E9102" t="n">
        <v>5.59</v>
      </c>
      <c r="F9102" t="n">
        <v>1</v>
      </c>
      <c r="G9102" t="n">
        <v>10</v>
      </c>
      <c r="H9102" s="5">
        <f>HYPERLINK("https://api.qogita.com/variants/link/5901761913972/", "View Product")</f>
        <v/>
      </c>
    </row>
    <row r="9103">
      <c r="A9103" t="inlineStr">
        <is>
          <t>5901761933154</t>
        </is>
      </c>
      <c r="B9103" t="inlineStr">
        <is>
          <t>Eveline Men X-Treme Multifunctional Moisturizing Cream 200ml</t>
        </is>
      </c>
      <c r="C9103" t="inlineStr">
        <is>
          <t>Face Cream</t>
        </is>
      </c>
      <c r="D9103" t="inlineStr">
        <is>
          <t>Eveline</t>
        </is>
      </c>
      <c r="E9103" t="n">
        <v>3.96</v>
      </c>
      <c r="F9103" t="n">
        <v>1</v>
      </c>
      <c r="G9103" t="n">
        <v>2</v>
      </c>
      <c r="H9103" s="5">
        <f>HYPERLINK("https://api.qogita.com/variants/link/5901761933154/", "View Product")</f>
        <v/>
      </c>
    </row>
    <row r="9104">
      <c r="A9104" t="inlineStr">
        <is>
          <t>5901761965353</t>
        </is>
      </c>
      <c r="B9104" t="inlineStr">
        <is>
          <t>Eveline Extra Soft Body Cream Soothing Deeply Moisturizing Cream For Face And Body With Bio Oil And Aloe Vera 175ml</t>
        </is>
      </c>
      <c r="C9104" t="inlineStr">
        <is>
          <t>Body Lotion</t>
        </is>
      </c>
      <c r="D9104" t="inlineStr">
        <is>
          <t>Eveline</t>
        </is>
      </c>
      <c r="E9104" t="n">
        <v>3.48</v>
      </c>
      <c r="F9104" t="n">
        <v>1</v>
      </c>
      <c r="G9104" t="n">
        <v>2</v>
      </c>
      <c r="H9104" s="5">
        <f>HYPERLINK("https://api.qogita.com/variants/link/5901761965353/", "View Product")</f>
        <v/>
      </c>
    </row>
    <row r="9105">
      <c r="A9105" t="inlineStr">
        <is>
          <t>5901761967678</t>
        </is>
      </c>
      <c r="B9105" t="inlineStr">
        <is>
          <t>Eveline Slim Extreme 4d Scalpel Turbo Cellulite Reducer Cooling Formula 250ml</t>
        </is>
      </c>
      <c r="C9105" t="inlineStr">
        <is>
          <t>Anti-Cellulite</t>
        </is>
      </c>
      <c r="D9105" t="inlineStr">
        <is>
          <t>Eveline</t>
        </is>
      </c>
      <c r="E9105" t="n">
        <v>5.59</v>
      </c>
      <c r="F9105" t="n">
        <v>1</v>
      </c>
      <c r="G9105" t="n">
        <v>5</v>
      </c>
      <c r="H9105" s="5">
        <f>HYPERLINK("https://api.qogita.com/variants/link/5901761967678/", "View Product")</f>
        <v/>
      </c>
    </row>
    <row r="9106">
      <c r="A9106" t="inlineStr">
        <is>
          <t>5901761980974</t>
        </is>
      </c>
      <c r="B9106" t="inlineStr">
        <is>
          <t>Eveline Royal Snail 50+ Concentrated Strong Lifting Cream For Day And Night 50ml</t>
        </is>
      </c>
      <c r="C9106" t="inlineStr">
        <is>
          <t>Anti-Aging Facial Care</t>
        </is>
      </c>
      <c r="D9106" t="inlineStr">
        <is>
          <t>Eveline</t>
        </is>
      </c>
      <c r="E9106" t="n">
        <v>6.91</v>
      </c>
      <c r="F9106" t="n">
        <v>1</v>
      </c>
      <c r="G9106" t="n">
        <v>2</v>
      </c>
      <c r="H9106" s="5">
        <f>HYPERLINK("https://api.qogita.com/variants/link/5901761980974/", "View Product")</f>
        <v/>
      </c>
    </row>
    <row r="9107">
      <c r="A9107" t="inlineStr">
        <is>
          <t>5901761984620</t>
        </is>
      </c>
      <c r="B9107" t="inlineStr">
        <is>
          <t>Eveline Professional Eyeshadow Palette 03 Modern Glam 9.6g</t>
        </is>
      </c>
      <c r="C9107" t="inlineStr">
        <is>
          <t>Eye Sets &amp; Pallets</t>
        </is>
      </c>
      <c r="D9107" t="inlineStr">
        <is>
          <t>Eveline</t>
        </is>
      </c>
      <c r="E9107" t="n">
        <v>4.78</v>
      </c>
      <c r="F9107" t="n">
        <v>1</v>
      </c>
      <c r="G9107" t="n">
        <v>3</v>
      </c>
      <c r="H9107" s="5">
        <f>HYPERLINK("https://api.qogita.com/variants/link/5901761984620/", "View Product")</f>
        <v/>
      </c>
    </row>
    <row r="9108">
      <c r="A9108" t="inlineStr">
        <is>
          <t>5901832067924</t>
        </is>
      </c>
      <c r="B9108" t="inlineStr">
        <is>
          <t>La Rive Miss Dream Women's Deodorant Spray 150ml Floral Fresh Fragrance</t>
        </is>
      </c>
      <c r="C9108" t="inlineStr">
        <is>
          <t>Deodorant &amp; Anti-Perspirant</t>
        </is>
      </c>
      <c r="D9108" t="inlineStr">
        <is>
          <t>La Rive</t>
        </is>
      </c>
      <c r="E9108" t="n">
        <v>3.75</v>
      </c>
      <c r="F9108" t="n">
        <v>1</v>
      </c>
      <c r="G9108" t="n">
        <v>7</v>
      </c>
      <c r="H9108" s="5">
        <f>HYPERLINK("https://api.qogita.com/variants/link/5901832067924/", "View Product")</f>
        <v/>
      </c>
    </row>
    <row r="9109">
      <c r="A9109" t="inlineStr">
        <is>
          <t>5901887000563</t>
        </is>
      </c>
      <c r="B9109" t="inlineStr">
        <is>
          <t>ZIAJA Anti-Wrinkle Face Cream with Sunflower Oil for Mature Skin 50ml</t>
        </is>
      </c>
      <c r="C9109" t="inlineStr">
        <is>
          <t>Anti-Aging Facial Care</t>
        </is>
      </c>
      <c r="D9109" t="inlineStr">
        <is>
          <t>Ziaja</t>
        </is>
      </c>
      <c r="E9109" t="n">
        <v>2.3</v>
      </c>
      <c r="F9109" t="n">
        <v>1</v>
      </c>
      <c r="G9109" t="n">
        <v>4</v>
      </c>
      <c r="H9109" s="5">
        <f>HYPERLINK("https://api.qogita.com/variants/link/5901887000563/", "View Product")</f>
        <v/>
      </c>
    </row>
    <row r="9110">
      <c r="A9110" t="inlineStr">
        <is>
          <t>5901887002192</t>
        </is>
      </c>
      <c r="B9110" t="inlineStr">
        <is>
          <t>T?lo Butter Coconut 200ml</t>
        </is>
      </c>
      <c r="C9110" t="inlineStr">
        <is>
          <t>Body Butter</t>
        </is>
      </c>
      <c r="D9110" t="inlineStr">
        <is>
          <t>Ziaja</t>
        </is>
      </c>
      <c r="E9110" t="n">
        <v>3.61</v>
      </c>
      <c r="F9110" t="n">
        <v>1</v>
      </c>
      <c r="G9110" t="n">
        <v>12</v>
      </c>
      <c r="H9110" s="5">
        <f>HYPERLINK("https://api.qogita.com/variants/link/5901887002192/", "View Product")</f>
        <v/>
      </c>
    </row>
    <row r="9111">
      <c r="A9111" t="inlineStr">
        <is>
          <t>5901887002765</t>
        </is>
      </c>
      <c r="B9111" t="inlineStr">
        <is>
          <t>Ziaja Softening Foot Cream With Aha 60ml</t>
        </is>
      </c>
      <c r="C9111" t="inlineStr">
        <is>
          <t>Foot Cream</t>
        </is>
      </c>
      <c r="D9111" t="inlineStr">
        <is>
          <t>Ziaja</t>
        </is>
      </c>
      <c r="E9111" t="n">
        <v>2.42</v>
      </c>
      <c r="F9111" t="n">
        <v>1</v>
      </c>
      <c r="G9111" t="n">
        <v>3</v>
      </c>
      <c r="H9111" s="5">
        <f>HYPERLINK("https://api.qogita.com/variants/link/5901887002765/", "View Product")</f>
        <v/>
      </c>
    </row>
    <row r="9112">
      <c r="A9112" t="inlineStr">
        <is>
          <t>5901887003151</t>
        </is>
      </c>
      <c r="B9112" t="inlineStr">
        <is>
          <t>Ziaja Goat's Milk Moisturizing Cream For Dry Skin Prone To Wrinkles 50ml</t>
        </is>
      </c>
      <c r="C9112" t="inlineStr">
        <is>
          <t>Face Cream</t>
        </is>
      </c>
      <c r="D9112" t="inlineStr">
        <is>
          <t>Ziaja</t>
        </is>
      </c>
      <c r="E9112" t="n">
        <v>2.54</v>
      </c>
      <c r="F9112" t="n">
        <v>1</v>
      </c>
      <c r="G9112" t="n">
        <v>35</v>
      </c>
      <c r="H9112" s="5">
        <f>HYPERLINK("https://api.qogita.com/variants/link/5901887003151/", "View Product")</f>
        <v/>
      </c>
    </row>
    <row r="9113">
      <c r="A9113" t="inlineStr">
        <is>
          <t>5901887005964</t>
        </is>
      </c>
      <c r="B9113" t="inlineStr">
        <is>
          <t>Sopot Sun Sunscreen Cream For Sensitive Skin Spf 25 60ml</t>
        </is>
      </c>
      <c r="C9113" t="inlineStr">
        <is>
          <t>Face Sun Protection</t>
        </is>
      </c>
      <c r="D9113" t="inlineStr">
        <is>
          <t>Sopot Sun</t>
        </is>
      </c>
      <c r="E9113" t="n">
        <v>4.36</v>
      </c>
      <c r="F9113" t="n">
        <v>1</v>
      </c>
      <c r="G9113" t="n">
        <v>8</v>
      </c>
      <c r="H9113" s="5">
        <f>HYPERLINK("https://api.qogita.com/variants/link/5901887005964/", "View Product")</f>
        <v/>
      </c>
    </row>
    <row r="9114">
      <c r="A9114" t="inlineStr">
        <is>
          <t>5901887011996</t>
        </is>
      </c>
      <c r="B9114" t="inlineStr">
        <is>
          <t>Ziaja Marine Algae Active Firming Cream for Dry &amp; Normal Skin 50ml</t>
        </is>
      </c>
      <c r="C9114" t="inlineStr">
        <is>
          <t>Face Cream</t>
        </is>
      </c>
      <c r="D9114" t="inlineStr">
        <is>
          <t>Ziaja</t>
        </is>
      </c>
      <c r="E9114" t="n">
        <v>5.13</v>
      </c>
      <c r="F9114" t="n">
        <v>1</v>
      </c>
      <c r="G9114" t="n">
        <v>4</v>
      </c>
      <c r="H9114" s="5">
        <f>HYPERLINK("https://api.qogita.com/variants/link/5901887011996/", "View Product")</f>
        <v/>
      </c>
    </row>
    <row r="9115">
      <c r="A9115" t="inlineStr">
        <is>
          <t>5901887014355</t>
        </is>
      </c>
      <c r="B9115" t="inlineStr">
        <is>
          <t>Kids Bubble Cola Shower Gel 500ml</t>
        </is>
      </c>
      <c r="C9115" t="inlineStr">
        <is>
          <t>Baby Shower Gel &amp; Soap</t>
        </is>
      </c>
      <c r="D9115" t="inlineStr">
        <is>
          <t>Ziaja</t>
        </is>
      </c>
      <c r="E9115" t="n">
        <v>3.11</v>
      </c>
      <c r="F9115" t="n">
        <v>1</v>
      </c>
      <c r="G9115" t="n">
        <v>12</v>
      </c>
      <c r="H9115" s="5">
        <f>HYPERLINK("https://api.qogita.com/variants/link/5901887014355/", "View Product")</f>
        <v/>
      </c>
    </row>
    <row r="9116">
      <c r="A9116" t="inlineStr">
        <is>
          <t>5901887016434</t>
        </is>
      </c>
      <c r="B9116" t="inlineStr">
        <is>
          <t>Ziaja Natural Olive Oil Body Lotion 400ml</t>
        </is>
      </c>
      <c r="C9116" t="inlineStr">
        <is>
          <t>Body Lotion</t>
        </is>
      </c>
      <c r="D9116" t="inlineStr">
        <is>
          <t>Ziaja</t>
        </is>
      </c>
      <c r="E9116" t="n">
        <v>3.03</v>
      </c>
      <c r="F9116" t="n">
        <v>1</v>
      </c>
      <c r="G9116" t="n">
        <v>17</v>
      </c>
      <c r="H9116" s="5">
        <f>HYPERLINK("https://api.qogita.com/variants/link/5901887016434/", "View Product")</f>
        <v/>
      </c>
    </row>
    <row r="9117">
      <c r="A9117" t="inlineStr">
        <is>
          <t>5901887016441</t>
        </is>
      </c>
      <c r="B9117" t="inlineStr">
        <is>
          <t>Ziaja Olive Natural Massage Oil 500ml</t>
        </is>
      </c>
      <c r="C9117" t="inlineStr">
        <is>
          <t>Body Oil</t>
        </is>
      </c>
      <c r="D9117" t="inlineStr">
        <is>
          <t>Ziaja</t>
        </is>
      </c>
      <c r="E9117" t="n">
        <v>6.74</v>
      </c>
      <c r="F9117" t="n">
        <v>1</v>
      </c>
      <c r="G9117" t="n">
        <v>10</v>
      </c>
      <c r="H9117" s="5">
        <f>HYPERLINK("https://api.qogita.com/variants/link/5901887016441/", "View Product")</f>
        <v/>
      </c>
    </row>
    <row r="9118">
      <c r="A9118" t="inlineStr">
        <is>
          <t>5901887017004</t>
        </is>
      </c>
      <c r="B9118" t="inlineStr">
        <is>
          <t>Jasmine Anti-Wrinkle Essence 50+ for Day and Night 30ml by Ziaja</t>
        </is>
      </c>
      <c r="C9118" t="inlineStr">
        <is>
          <t>Anti-Aging Serum</t>
        </is>
      </c>
      <c r="D9118" t="inlineStr">
        <is>
          <t>Ziaja</t>
        </is>
      </c>
      <c r="E9118" t="n">
        <v>3.46</v>
      </c>
      <c r="F9118" t="n">
        <v>1</v>
      </c>
      <c r="G9118" t="n">
        <v>5</v>
      </c>
      <c r="H9118" s="5">
        <f>HYPERLINK("https://api.qogita.com/variants/link/5901887017004/", "View Product")</f>
        <v/>
      </c>
    </row>
    <row r="9119">
      <c r="A9119" t="inlineStr">
        <is>
          <t>5901887018919</t>
        </is>
      </c>
      <c r="B9119" t="inlineStr">
        <is>
          <t>Ziaja Cream Coconut Shower Soap 500 Ml</t>
        </is>
      </c>
      <c r="C9119" t="inlineStr">
        <is>
          <t>Shower Gel</t>
        </is>
      </c>
      <c r="D9119" t="inlineStr">
        <is>
          <t>Ziaja</t>
        </is>
      </c>
      <c r="E9119" t="n">
        <v>4.08</v>
      </c>
      <c r="F9119" t="n">
        <v>1</v>
      </c>
      <c r="G9119" t="n">
        <v>9</v>
      </c>
      <c r="H9119" s="5">
        <f>HYPERLINK("https://api.qogita.com/variants/link/5901887018919/", "View Product")</f>
        <v/>
      </c>
    </row>
    <row r="9120">
      <c r="A9120" t="inlineStr">
        <is>
          <t>5901887018988</t>
        </is>
      </c>
      <c r="B9120" t="inlineStr">
        <is>
          <t>Ziaja Marine Algae Shower Gel 500 Ml</t>
        </is>
      </c>
      <c r="C9120" t="inlineStr">
        <is>
          <t>Shower Gel</t>
        </is>
      </c>
      <c r="D9120" t="inlineStr">
        <is>
          <t>Ziaja</t>
        </is>
      </c>
      <c r="E9120" t="n">
        <v>4.08</v>
      </c>
      <c r="F9120" t="n">
        <v>1</v>
      </c>
      <c r="G9120" t="n">
        <v>5</v>
      </c>
      <c r="H9120" s="5">
        <f>HYPERLINK("https://api.qogita.com/variants/link/5901887018988/", "View Product")</f>
        <v/>
      </c>
    </row>
    <row r="9121">
      <c r="A9121" t="inlineStr">
        <is>
          <t>5901887019466</t>
        </is>
      </c>
      <c r="B9121" t="inlineStr">
        <is>
          <t>Ziaja Anti-Wrinkle Cream for Day and Night 50ml - 40 Plus</t>
        </is>
      </c>
      <c r="C9121" t="inlineStr">
        <is>
          <t>Anti-Aging Facial Care</t>
        </is>
      </c>
      <c r="D9121" t="inlineStr">
        <is>
          <t>Ziaja</t>
        </is>
      </c>
      <c r="E9121" t="n">
        <v>4.85</v>
      </c>
      <c r="F9121" t="n">
        <v>1</v>
      </c>
      <c r="G9121" t="n">
        <v>4</v>
      </c>
      <c r="H9121" s="5">
        <f>HYPERLINK("https://api.qogita.com/variants/link/5901887019466/", "View Product")</f>
        <v/>
      </c>
    </row>
    <row r="9122">
      <c r="A9122" t="inlineStr">
        <is>
          <t>5901887020059</t>
        </is>
      </c>
      <c r="B9122" t="inlineStr">
        <is>
          <t>Ziaja Regenerative Lipid Cream for Night 50ml - 30+ Anti-Wrinkle Lipid Nourishing Cream</t>
        </is>
      </c>
      <c r="C9122" t="inlineStr">
        <is>
          <t>Night Cream</t>
        </is>
      </c>
      <c r="D9122" t="inlineStr">
        <is>
          <t>Ziaja</t>
        </is>
      </c>
      <c r="E9122" t="n">
        <v>4.62</v>
      </c>
      <c r="F9122" t="n">
        <v>1</v>
      </c>
      <c r="G9122" t="n">
        <v>5</v>
      </c>
      <c r="H9122" s="5">
        <f>HYPERLINK("https://api.qogita.com/variants/link/5901887020059/", "View Product")</f>
        <v/>
      </c>
    </row>
    <row r="9123">
      <c r="A9123" t="inlineStr">
        <is>
          <t>5901887020530</t>
        </is>
      </c>
      <c r="B9123" t="inlineStr">
        <is>
          <t>Ziaja Whitening Protective Day Cream Spf 20</t>
        </is>
      </c>
      <c r="C9123" t="inlineStr">
        <is>
          <t>Day Cream</t>
        </is>
      </c>
      <c r="D9123" t="inlineStr">
        <is>
          <t>Ziaja</t>
        </is>
      </c>
      <c r="E9123" t="n">
        <v>4.54</v>
      </c>
      <c r="F9123" t="n">
        <v>1</v>
      </c>
      <c r="G9123" t="n">
        <v>7</v>
      </c>
      <c r="H9123" s="5">
        <f>HYPERLINK("https://api.qogita.com/variants/link/5901887020530/", "View Product")</f>
        <v/>
      </c>
    </row>
    <row r="9124">
      <c r="A9124" t="inlineStr">
        <is>
          <t>5901887020547</t>
        </is>
      </c>
      <c r="B9124" t="inlineStr">
        <is>
          <t>Whitening Anti-Wrinkle Night Face Cream 50ml</t>
        </is>
      </c>
      <c r="C9124" t="inlineStr">
        <is>
          <t>Night Cream</t>
        </is>
      </c>
      <c r="D9124" t="inlineStr">
        <is>
          <t>Ziaja</t>
        </is>
      </c>
      <c r="E9124" t="n">
        <v>5.74</v>
      </c>
      <c r="F9124" t="n">
        <v>1</v>
      </c>
      <c r="G9124" t="n">
        <v>8</v>
      </c>
      <c r="H9124" s="5">
        <f>HYPERLINK("https://api.qogita.com/variants/link/5901887020547/", "View Product")</f>
        <v/>
      </c>
    </row>
    <row r="9125">
      <c r="A9125" t="inlineStr">
        <is>
          <t>5901887023111</t>
        </is>
      </c>
      <c r="B9125" t="inlineStr">
        <is>
          <t>Cocoa Butter Body Emulsion 400ml</t>
        </is>
      </c>
      <c r="C9125" t="inlineStr">
        <is>
          <t>Body Butter</t>
        </is>
      </c>
      <c r="D9125" t="inlineStr">
        <is>
          <t>Ziaja</t>
        </is>
      </c>
      <c r="E9125" t="n">
        <v>5.13</v>
      </c>
      <c r="F9125" t="n">
        <v>1</v>
      </c>
      <c r="G9125" t="n">
        <v>22</v>
      </c>
      <c r="H9125" s="5">
        <f>HYPERLINK("https://api.qogita.com/variants/link/5901887023111/", "View Product")</f>
        <v/>
      </c>
    </row>
    <row r="9126">
      <c r="A9126" t="inlineStr">
        <is>
          <t>5901887023241</t>
        </is>
      </c>
      <c r="B9126" t="inlineStr">
        <is>
          <t>Ziaja Argan Regenerating Body Milk For Dry And Dehydrated Skin 400ml</t>
        </is>
      </c>
      <c r="C9126" t="inlineStr">
        <is>
          <t>Body Lotion</t>
        </is>
      </c>
      <c r="D9126" t="inlineStr">
        <is>
          <t>Ziaja</t>
        </is>
      </c>
      <c r="E9126" t="n">
        <v>3.03</v>
      </c>
      <c r="F9126" t="n">
        <v>1</v>
      </c>
      <c r="G9126" t="n">
        <v>11</v>
      </c>
      <c r="H9126" s="5">
        <f>HYPERLINK("https://api.qogita.com/variants/link/5901887023241/", "View Product")</f>
        <v/>
      </c>
    </row>
    <row r="9127">
      <c r="A9127" t="inlineStr">
        <is>
          <t>5901887023821</t>
        </is>
      </c>
      <c r="B9127" t="inlineStr">
        <is>
          <t>Men's Facial Cream with SPF6 50ml</t>
        </is>
      </c>
      <c r="C9127" t="inlineStr">
        <is>
          <t>Day Cream</t>
        </is>
      </c>
      <c r="D9127" t="inlineStr">
        <is>
          <t>Ziaja</t>
        </is>
      </c>
      <c r="E9127" t="n">
        <v>4.08</v>
      </c>
      <c r="F9127" t="n">
        <v>1</v>
      </c>
      <c r="G9127" t="n">
        <v>12</v>
      </c>
      <c r="H9127" s="5">
        <f>HYPERLINK("https://api.qogita.com/variants/link/5901887023821/", "View Product")</f>
        <v/>
      </c>
    </row>
    <row r="9128">
      <c r="A9128" t="inlineStr">
        <is>
          <t>5901887025658</t>
        </is>
      </c>
      <c r="B9128" t="inlineStr">
        <is>
          <t>Ziaja Natural Olive Body Lotion 300ml - For Dry and Normal Skin</t>
        </is>
      </c>
      <c r="C9128" t="inlineStr">
        <is>
          <t>Body Lotion</t>
        </is>
      </c>
      <c r="D9128" t="inlineStr">
        <is>
          <t>Ziaja</t>
        </is>
      </c>
      <c r="E9128" t="n">
        <v>3.28</v>
      </c>
      <c r="F9128" t="n">
        <v>1</v>
      </c>
      <c r="G9128" t="n">
        <v>18</v>
      </c>
      <c r="H9128" s="5">
        <f>HYPERLINK("https://api.qogita.com/variants/link/5901887025658/", "View Product")</f>
        <v/>
      </c>
    </row>
    <row r="9129">
      <c r="A9129" t="inlineStr">
        <is>
          <t>5901887026839</t>
        </is>
      </c>
      <c r="B9129" t="inlineStr">
        <is>
          <t>Jasmine Wrinkle Night Cream 50 ml</t>
        </is>
      </c>
      <c r="C9129" t="inlineStr">
        <is>
          <t>Night Cream</t>
        </is>
      </c>
      <c r="D9129" t="inlineStr">
        <is>
          <t>Procter Gamble</t>
        </is>
      </c>
      <c r="E9129" t="n">
        <v>3.74</v>
      </c>
      <c r="F9129" t="n">
        <v>1</v>
      </c>
      <c r="G9129" t="n">
        <v>6</v>
      </c>
      <c r="H9129" s="5">
        <f>HYPERLINK("https://api.qogita.com/variants/link/5901887026839/", "View Product")</f>
        <v/>
      </c>
    </row>
    <row r="9130">
      <c r="A9130" t="inlineStr">
        <is>
          <t>5901887027508</t>
        </is>
      </c>
      <c r="B9130" t="inlineStr">
        <is>
          <t>Ziaja Baby &amp; Kids Shampoo 270ml</t>
        </is>
      </c>
      <c r="C9130" t="inlineStr">
        <is>
          <t>Baby Shampoo</t>
        </is>
      </c>
      <c r="D9130" t="inlineStr">
        <is>
          <t>Ziaja</t>
        </is>
      </c>
      <c r="E9130" t="n">
        <v>4.08</v>
      </c>
      <c r="F9130" t="n">
        <v>1</v>
      </c>
      <c r="G9130" t="n">
        <v>9</v>
      </c>
      <c r="H9130" s="5">
        <f>HYPERLINK("https://api.qogita.com/variants/link/5901887027508/", "View Product")</f>
        <v/>
      </c>
    </row>
    <row r="9131">
      <c r="A9131" t="inlineStr">
        <is>
          <t>5901887027782</t>
        </is>
      </c>
      <c r="B9131" t="inlineStr">
        <is>
          <t>Ziaja Men Body Lotion 300ml Shea Butter 300ml</t>
        </is>
      </c>
      <c r="C9131" t="inlineStr">
        <is>
          <t>Body Lotion</t>
        </is>
      </c>
      <c r="D9131" t="inlineStr">
        <is>
          <t>Ziaja</t>
        </is>
      </c>
      <c r="E9131" t="n">
        <v>4.62</v>
      </c>
      <c r="F9131" t="n">
        <v>1</v>
      </c>
      <c r="G9131" t="n">
        <v>4</v>
      </c>
      <c r="H9131" s="5">
        <f>HYPERLINK("https://api.qogita.com/variants/link/5901887027782/", "View Product")</f>
        <v/>
      </c>
    </row>
    <row r="9132">
      <c r="A9132" t="inlineStr">
        <is>
          <t>5901887027942</t>
        </is>
      </c>
      <c r="B9132" t="inlineStr">
        <is>
          <t>Ziaja Med Treatment Dermatological Care for Skin with Neurodermatitis Regenerating</t>
        </is>
      </c>
      <c r="C9132" t="inlineStr">
        <is>
          <t>Neurodermatitis</t>
        </is>
      </c>
      <c r="D9132" t="inlineStr">
        <is>
          <t>Ziaja</t>
        </is>
      </c>
      <c r="E9132" t="n">
        <v>4.34</v>
      </c>
      <c r="F9132" t="n">
        <v>1</v>
      </c>
      <c r="G9132" t="n">
        <v>7</v>
      </c>
      <c r="H9132" s="5">
        <f>HYPERLINK("https://api.qogita.com/variants/link/5901887027942/", "View Product")</f>
        <v/>
      </c>
    </row>
    <row r="9133">
      <c r="A9133" t="inlineStr">
        <is>
          <t>5901887028956</t>
        </is>
      </c>
      <c r="B9133" t="inlineStr">
        <is>
          <t>Ziaja Silk Shower Gel 500 Ml</t>
        </is>
      </c>
      <c r="C9133" t="inlineStr">
        <is>
          <t>Shower Gel</t>
        </is>
      </c>
      <c r="D9133" t="inlineStr">
        <is>
          <t>Ziaja</t>
        </is>
      </c>
      <c r="E9133" t="n">
        <v>2.7</v>
      </c>
      <c r="F9133" t="n">
        <v>1</v>
      </c>
      <c r="G9133" t="n">
        <v>48</v>
      </c>
      <c r="H9133" s="5">
        <f>HYPERLINK("https://api.qogita.com/variants/link/5901887028956/", "View Product")</f>
        <v/>
      </c>
    </row>
    <row r="9134">
      <c r="A9134" t="inlineStr">
        <is>
          <t>5901887028994</t>
        </is>
      </c>
      <c r="B9134" t="inlineStr">
        <is>
          <t>Ziaja Shampoo For Normal Hair Fig 500 Ml</t>
        </is>
      </c>
      <c r="C9134" t="inlineStr">
        <is>
          <t>Shampoo</t>
        </is>
      </c>
      <c r="D9134" t="inlineStr">
        <is>
          <t>Ziaja</t>
        </is>
      </c>
      <c r="E9134" t="n">
        <v>4.08</v>
      </c>
      <c r="F9134" t="n">
        <v>1</v>
      </c>
      <c r="G9134" t="n">
        <v>5</v>
      </c>
      <c r="H9134" s="5">
        <f>HYPERLINK("https://api.qogita.com/variants/link/5901887028994/", "View Product")</f>
        <v/>
      </c>
    </row>
    <row r="9135">
      <c r="A9135" t="inlineStr">
        <is>
          <t>5901887029007</t>
        </is>
      </c>
      <c r="B9135" t="inlineStr">
        <is>
          <t>Ziaja Lavender Shampoo For Oily Hair 500ml</t>
        </is>
      </c>
      <c r="C9135" t="inlineStr">
        <is>
          <t>Shampoo</t>
        </is>
      </c>
      <c r="D9135" t="inlineStr">
        <is>
          <t>Ziaja</t>
        </is>
      </c>
      <c r="E9135" t="n">
        <v>4.08</v>
      </c>
      <c r="F9135" t="n">
        <v>1</v>
      </c>
      <c r="G9135" t="n">
        <v>9</v>
      </c>
      <c r="H9135" s="5">
        <f>HYPERLINK("https://api.qogita.com/variants/link/5901887029007/", "View Product")</f>
        <v/>
      </c>
    </row>
    <row r="9136">
      <c r="A9136" t="inlineStr">
        <is>
          <t>5901887030485</t>
        </is>
      </c>
      <c r="B9136" t="inlineStr">
        <is>
          <t>Ziaja Bb Cream For Oily And Combination Skin Natural Shade 50ml</t>
        </is>
      </c>
      <c r="C9136" t="inlineStr">
        <is>
          <t>Tinted Day Cream</t>
        </is>
      </c>
      <c r="D9136" t="inlineStr">
        <is>
          <t>Ziaja</t>
        </is>
      </c>
      <c r="E9136" t="n">
        <v>2.73</v>
      </c>
      <c r="F9136" t="n">
        <v>1</v>
      </c>
      <c r="G9136" t="n">
        <v>5</v>
      </c>
      <c r="H9136" s="5">
        <f>HYPERLINK("https://api.qogita.com/variants/link/5901887030485/", "View Product")</f>
        <v/>
      </c>
    </row>
    <row r="9137">
      <c r="A9137" t="inlineStr">
        <is>
          <t>5901887030492</t>
        </is>
      </c>
      <c r="B9137" t="inlineStr">
        <is>
          <t>Ziaja Bb Cream Oily And Mixed Skin Bb Cream 50 Ml Shade Dark</t>
        </is>
      </c>
      <c r="C9137" t="inlineStr">
        <is>
          <t>Tinted Day Cream</t>
        </is>
      </c>
      <c r="D9137" t="inlineStr">
        <is>
          <t>Ziaja</t>
        </is>
      </c>
      <c r="E9137" t="n">
        <v>2.73</v>
      </c>
      <c r="F9137" t="n">
        <v>1</v>
      </c>
      <c r="G9137" t="n">
        <v>11</v>
      </c>
      <c r="H9137" s="5">
        <f>HYPERLINK("https://api.qogita.com/variants/link/5901887030492/", "View Product")</f>
        <v/>
      </c>
    </row>
    <row r="9138">
      <c r="A9138" t="inlineStr">
        <is>
          <t>5901887030867</t>
        </is>
      </c>
      <c r="B9138" t="inlineStr">
        <is>
          <t>Tinted Cream for Normal Skin SPF 50+ Natural Shade 50 ml</t>
        </is>
      </c>
      <c r="C9138" t="inlineStr">
        <is>
          <t>Tinted Day Cream</t>
        </is>
      </c>
      <c r="D9138" t="inlineStr">
        <is>
          <t>Ziaja</t>
        </is>
      </c>
      <c r="E9138" t="n">
        <v>9.19</v>
      </c>
      <c r="F9138" t="n">
        <v>1</v>
      </c>
      <c r="G9138" t="n">
        <v>4</v>
      </c>
      <c r="H9138" s="5">
        <f>HYPERLINK("https://api.qogita.com/variants/link/5901887030867/", "View Product")</f>
        <v/>
      </c>
    </row>
    <row r="9139">
      <c r="A9139" t="inlineStr">
        <is>
          <t>5901887030874</t>
        </is>
      </c>
      <c r="B9139" t="inlineStr">
        <is>
          <t>Moisturizing Sunscreen SPF 50+ 50ml</t>
        </is>
      </c>
      <c r="C9139" t="inlineStr">
        <is>
          <t>Body Sun Protection</t>
        </is>
      </c>
      <c r="D9139" t="inlineStr">
        <is>
          <t>Ziaja</t>
        </is>
      </c>
      <c r="E9139" t="n">
        <v>9.18</v>
      </c>
      <c r="F9139" t="n">
        <v>1</v>
      </c>
      <c r="G9139" t="n">
        <v>11</v>
      </c>
      <c r="H9139" s="5">
        <f>HYPERLINK("https://api.qogita.com/variants/link/5901887030874/", "View Product")</f>
        <v/>
      </c>
    </row>
    <row r="9140">
      <c r="A9140" t="inlineStr">
        <is>
          <t>5901887031024</t>
        </is>
      </c>
      <c r="B9140" t="inlineStr">
        <is>
          <t>Ziaja Vitamin C Anti-Wrinkle Face Cream Formula Serum 30ml</t>
        </is>
      </c>
      <c r="C9140" t="inlineStr">
        <is>
          <t>Vitamin Serum</t>
        </is>
      </c>
      <c r="D9140" t="inlineStr">
        <is>
          <t>Ziaja</t>
        </is>
      </c>
      <c r="E9140" t="n">
        <v>4.21</v>
      </c>
      <c r="F9140" t="n">
        <v>1</v>
      </c>
      <c r="G9140" t="n">
        <v>3</v>
      </c>
      <c r="H9140" s="5">
        <f>HYPERLINK("https://api.qogita.com/variants/link/5901887031024/", "View Product")</f>
        <v/>
      </c>
    </row>
    <row r="9141">
      <c r="A9141" t="inlineStr">
        <is>
          <t>5901887031031</t>
        </is>
      </c>
      <c r="B9141" t="inlineStr">
        <is>
          <t>Ziaja Med Formula Vitamin C Revitalising Essence for Day/Night 30ml</t>
        </is>
      </c>
      <c r="C9141" t="inlineStr">
        <is>
          <t>Vitamin Serum</t>
        </is>
      </c>
      <c r="D9141" t="inlineStr">
        <is>
          <t>Ziaja</t>
        </is>
      </c>
      <c r="E9141" t="n">
        <v>7.01</v>
      </c>
      <c r="F9141" t="n">
        <v>1</v>
      </c>
      <c r="G9141" t="n">
        <v>6</v>
      </c>
      <c r="H9141" s="5">
        <f>HYPERLINK("https://api.qogita.com/variants/link/5901887031031/", "View Product")</f>
        <v/>
      </c>
    </row>
    <row r="9142">
      <c r="A9142" t="inlineStr">
        <is>
          <t>5901887031130</t>
        </is>
      </c>
      <c r="B9142" t="inlineStr">
        <is>
          <t>Ziaja Anti-Puff Eye Gel with Sage 15ml</t>
        </is>
      </c>
      <c r="C9142" t="inlineStr">
        <is>
          <t>Eye Gel</t>
        </is>
      </c>
      <c r="D9142" t="inlineStr">
        <is>
          <t>Ziaja</t>
        </is>
      </c>
      <c r="E9142" t="n">
        <v>4.36</v>
      </c>
      <c r="F9142" t="n">
        <v>1</v>
      </c>
      <c r="G9142" t="n">
        <v>4</v>
      </c>
      <c r="H9142" s="5">
        <f>HYPERLINK("https://api.qogita.com/variants/link/5901887031130/", "View Product")</f>
        <v/>
      </c>
    </row>
    <row r="9143">
      <c r="A9143" t="inlineStr">
        <is>
          <t>5901887033851</t>
        </is>
      </c>
      <c r="B9143" t="inlineStr">
        <is>
          <t>Ziaja Mintperfect Activ Dental Remineralizing Mouthwash 500ml</t>
        </is>
      </c>
      <c r="C9143" t="inlineStr">
        <is>
          <t>Mouthwash</t>
        </is>
      </c>
      <c r="D9143" t="inlineStr">
        <is>
          <t>Ziaja</t>
        </is>
      </c>
      <c r="E9143" t="n">
        <v>4.62</v>
      </c>
      <c r="F9143" t="n">
        <v>1</v>
      </c>
      <c r="G9143" t="n">
        <v>5</v>
      </c>
      <c r="H9143" s="5">
        <f>HYPERLINK("https://api.qogita.com/variants/link/5901887033851/", "View Product")</f>
        <v/>
      </c>
    </row>
    <row r="9144">
      <c r="A9144" t="inlineStr">
        <is>
          <t>5901887035749</t>
        </is>
      </c>
      <c r="B9144" t="inlineStr">
        <is>
          <t>Ziaja Cupuacu Body Milk Hydrating and Tanning 300ml</t>
        </is>
      </c>
      <c r="C9144" t="inlineStr">
        <is>
          <t>Body Lotion</t>
        </is>
      </c>
      <c r="D9144" t="inlineStr">
        <is>
          <t>Ziaja</t>
        </is>
      </c>
      <c r="E9144" t="n">
        <v>3.72</v>
      </c>
      <c r="F9144" t="n">
        <v>1</v>
      </c>
      <c r="G9144" t="n">
        <v>77</v>
      </c>
      <c r="H9144" s="5">
        <f>HYPERLINK("https://api.qogita.com/variants/link/5901887035749/", "View Product")</f>
        <v/>
      </c>
    </row>
    <row r="9145">
      <c r="A9145" t="inlineStr">
        <is>
          <t>5901887035770</t>
        </is>
      </c>
      <c r="B9145" t="inlineStr">
        <is>
          <t>Ziaja Cupuacu Crystal Sugar Peeling Exfoliating For All Skin Types 200ml</t>
        </is>
      </c>
      <c r="C9145" t="inlineStr">
        <is>
          <t>Body Scrub &amp; Peeling</t>
        </is>
      </c>
      <c r="D9145" t="inlineStr">
        <is>
          <t>Ziaja</t>
        </is>
      </c>
      <c r="E9145" t="n">
        <v>3.61</v>
      </c>
      <c r="F9145" t="n">
        <v>1</v>
      </c>
      <c r="G9145" t="n">
        <v>32</v>
      </c>
      <c r="H9145" s="5">
        <f>HYPERLINK("https://api.qogita.com/variants/link/5901887035770/", "View Product")</f>
        <v/>
      </c>
    </row>
    <row r="9146">
      <c r="A9146" t="inlineStr">
        <is>
          <t>5901887036289</t>
        </is>
      </c>
      <c r="B9146" t="inlineStr">
        <is>
          <t>Ziaja Med Anti-Wrinkle Eye Care 15ml</t>
        </is>
      </c>
      <c r="C9146" t="inlineStr">
        <is>
          <t>Eye Cream</t>
        </is>
      </c>
      <c r="D9146" t="inlineStr">
        <is>
          <t>Ziaja</t>
        </is>
      </c>
      <c r="E9146" t="n">
        <v>3.48</v>
      </c>
      <c r="F9146" t="n">
        <v>1</v>
      </c>
      <c r="G9146" t="n">
        <v>3</v>
      </c>
      <c r="H9146" s="5">
        <f>HYPERLINK("https://api.qogita.com/variants/link/5901887036289/", "View Product")</f>
        <v/>
      </c>
    </row>
    <row r="9147">
      <c r="A9147" t="inlineStr">
        <is>
          <t>5901887036319</t>
        </is>
      </c>
      <c r="B9147" t="inlineStr">
        <is>
          <t>Ziaja Atopic Treatment Azs Shampoo Daily Shampoo For Atopic Skin 300 Ml</t>
        </is>
      </c>
      <c r="C9147" t="inlineStr">
        <is>
          <t>Shampoo</t>
        </is>
      </c>
      <c r="D9147" t="inlineStr">
        <is>
          <t>Ziaja</t>
        </is>
      </c>
      <c r="E9147" t="n">
        <v>3.18</v>
      </c>
      <c r="F9147" t="n">
        <v>1</v>
      </c>
      <c r="G9147" t="n">
        <v>5</v>
      </c>
      <c r="H9147" s="5">
        <f>HYPERLINK("https://api.qogita.com/variants/link/5901887036319/", "View Product")</f>
        <v/>
      </c>
    </row>
    <row r="9148">
      <c r="A9148" t="inlineStr">
        <is>
          <t>5901887038399</t>
        </is>
      </c>
      <c r="B9148" t="inlineStr">
        <is>
          <t>Ziaja Bb Cream For Oily And Combination Skin Spf 15 Light Tone 50 Ml</t>
        </is>
      </c>
      <c r="C9148" t="inlineStr">
        <is>
          <t>Tinted Day Cream</t>
        </is>
      </c>
      <c r="D9148" t="inlineStr">
        <is>
          <t>Ziaja</t>
        </is>
      </c>
      <c r="E9148" t="n">
        <v>5.4</v>
      </c>
      <c r="F9148" t="n">
        <v>1</v>
      </c>
      <c r="G9148" t="n">
        <v>8</v>
      </c>
      <c r="H9148" s="5">
        <f>HYPERLINK("https://api.qogita.com/variants/link/5901887038399/", "View Product")</f>
        <v/>
      </c>
    </row>
    <row r="9149">
      <c r="A9149" t="inlineStr">
        <is>
          <t>5901887042266</t>
        </is>
      </c>
      <c r="B9149" t="inlineStr">
        <is>
          <t>Ziaja Ziaja Acai Day Cream Spf 10 50ml</t>
        </is>
      </c>
      <c r="C9149" t="inlineStr">
        <is>
          <t>Day Cream</t>
        </is>
      </c>
      <c r="D9149" t="inlineStr">
        <is>
          <t>Ziaja</t>
        </is>
      </c>
      <c r="E9149" t="n">
        <v>5.13</v>
      </c>
      <c r="F9149" t="n">
        <v>1</v>
      </c>
      <c r="G9149" t="n">
        <v>9</v>
      </c>
      <c r="H9149" s="5">
        <f>HYPERLINK("https://api.qogita.com/variants/link/5901887042266/", "View Product")</f>
        <v/>
      </c>
    </row>
    <row r="9150">
      <c r="A9150" t="inlineStr">
        <is>
          <t>5901887042280</t>
        </is>
      </c>
      <c r="B9150" t="inlineStr">
        <is>
          <t>Ziaja Acai Berry Antioxidant Satin Body Mousse 200ml</t>
        </is>
      </c>
      <c r="C9150" t="inlineStr">
        <is>
          <t>Body Mousse</t>
        </is>
      </c>
      <c r="D9150" t="inlineStr">
        <is>
          <t>Ziaja</t>
        </is>
      </c>
      <c r="E9150" t="n">
        <v>3.94</v>
      </c>
      <c r="F9150" t="n">
        <v>1</v>
      </c>
      <c r="G9150" t="n">
        <v>5</v>
      </c>
      <c r="H9150" s="5">
        <f>HYPERLINK("https://api.qogita.com/variants/link/5901887042280/", "View Product")</f>
        <v/>
      </c>
    </row>
    <row r="9151">
      <c r="A9151" t="inlineStr">
        <is>
          <t>5901887042914</t>
        </is>
      </c>
      <c r="B9151" t="inlineStr">
        <is>
          <t>Ziaja Gdanskin Glycerin Body Wash And Bath Soap 300ml</t>
        </is>
      </c>
      <c r="C9151" t="inlineStr">
        <is>
          <t>Soap</t>
        </is>
      </c>
      <c r="D9151" t="inlineStr">
        <is>
          <t>Ziaja</t>
        </is>
      </c>
      <c r="E9151" t="n">
        <v>4.53</v>
      </c>
      <c r="F9151" t="n">
        <v>1</v>
      </c>
      <c r="G9151" t="n">
        <v>2</v>
      </c>
      <c r="H9151" s="5">
        <f>HYPERLINK("https://api.qogita.com/variants/link/5901887042914/", "View Product")</f>
        <v/>
      </c>
    </row>
    <row r="9152">
      <c r="A9152" t="inlineStr">
        <is>
          <t>5901887043669</t>
        </is>
      </c>
      <c r="B9152" t="inlineStr">
        <is>
          <t>Ziaja Tanning Spray Accelerator 100ml</t>
        </is>
      </c>
      <c r="C9152" t="inlineStr">
        <is>
          <t>Body Self-Tanner</t>
        </is>
      </c>
      <c r="D9152" t="inlineStr">
        <is>
          <t>Ziaja</t>
        </is>
      </c>
      <c r="E9152" t="n">
        <v>4.85</v>
      </c>
      <c r="F9152" t="n">
        <v>1</v>
      </c>
      <c r="G9152" t="n">
        <v>14</v>
      </c>
      <c r="H9152" s="5">
        <f>HYPERLINK("https://api.qogita.com/variants/link/5901887043669/", "View Product")</f>
        <v/>
      </c>
    </row>
    <row r="9153">
      <c r="A9153" t="inlineStr">
        <is>
          <t>5901887043751</t>
        </is>
      </c>
      <c r="B9153" t="inlineStr">
        <is>
          <t>Ziaja Goat's Milk Energizing and Soothing Facial Serum 50ml</t>
        </is>
      </c>
      <c r="C9153" t="inlineStr">
        <is>
          <t>Hydrating Serum</t>
        </is>
      </c>
      <c r="D9153" t="inlineStr">
        <is>
          <t>Ziaja</t>
        </is>
      </c>
      <c r="E9153" t="n">
        <v>3.58</v>
      </c>
      <c r="F9153" t="n">
        <v>1</v>
      </c>
      <c r="G9153" t="n">
        <v>5</v>
      </c>
      <c r="H9153" s="5">
        <f>HYPERLINK("https://api.qogita.com/variants/link/5901887043751/", "View Product")</f>
        <v/>
      </c>
    </row>
    <row r="9154">
      <c r="A9154" t="inlineStr">
        <is>
          <t>5901887044024</t>
        </is>
      </c>
      <c r="B9154" t="inlineStr">
        <is>
          <t>ZIAJA Goat Milk and Keratin Shampoo 400ml</t>
        </is>
      </c>
      <c r="C9154" t="inlineStr">
        <is>
          <t>Shampoo</t>
        </is>
      </c>
      <c r="D9154" t="inlineStr">
        <is>
          <t>Ziaja</t>
        </is>
      </c>
      <c r="E9154" t="n">
        <v>4.08</v>
      </c>
      <c r="F9154" t="n">
        <v>1</v>
      </c>
      <c r="G9154" t="n">
        <v>7</v>
      </c>
      <c r="H9154" s="5">
        <f>HYPERLINK("https://api.qogita.com/variants/link/5901887044024/", "View Product")</f>
        <v/>
      </c>
    </row>
    <row r="9155">
      <c r="A9155" t="inlineStr">
        <is>
          <t>5901887044307</t>
        </is>
      </c>
      <c r="B9155" t="inlineStr">
        <is>
          <t>Ziaja Moisturizing Cream for Unisex Adults</t>
        </is>
      </c>
      <c r="C9155" t="inlineStr">
        <is>
          <t>Body Lotion</t>
        </is>
      </c>
      <c r="D9155" t="inlineStr">
        <is>
          <t>Ziaja</t>
        </is>
      </c>
      <c r="E9155" t="n">
        <v>5.67</v>
      </c>
      <c r="F9155" t="n">
        <v>1</v>
      </c>
      <c r="G9155" t="n">
        <v>6</v>
      </c>
      <c r="H9155" s="5">
        <f>HYPERLINK("https://api.qogita.com/variants/link/5901887044307/", "View Product")</f>
        <v/>
      </c>
    </row>
    <row r="9156">
      <c r="A9156" t="inlineStr">
        <is>
          <t>5901887044871</t>
        </is>
      </c>
      <c r="B9156" t="inlineStr">
        <is>
          <t>Ziaja Marshmallow Bath Jelly 260ml</t>
        </is>
      </c>
      <c r="C9156" t="inlineStr">
        <is>
          <t>Bath Foam</t>
        </is>
      </c>
      <c r="D9156" t="inlineStr">
        <is>
          <t>Ziaja</t>
        </is>
      </c>
      <c r="E9156" t="n">
        <v>3.48</v>
      </c>
      <c r="F9156" t="n">
        <v>1</v>
      </c>
      <c r="G9156" t="n">
        <v>6</v>
      </c>
      <c r="H9156" s="5">
        <f>HYPERLINK("https://api.qogita.com/variants/link/5901887044871/", "View Product")</f>
        <v/>
      </c>
    </row>
    <row r="9157">
      <c r="A9157" t="inlineStr">
        <is>
          <t>5901887045090</t>
        </is>
      </c>
      <c r="B9157" t="inlineStr">
        <is>
          <t>Ziaja Jeju Face Toner Spray 200ml</t>
        </is>
      </c>
      <c r="C9157" t="inlineStr">
        <is>
          <t>Facial Spray</t>
        </is>
      </c>
      <c r="D9157" t="inlineStr">
        <is>
          <t>Ziaja</t>
        </is>
      </c>
      <c r="E9157" t="n">
        <v>4.36</v>
      </c>
      <c r="F9157" t="n">
        <v>1</v>
      </c>
      <c r="G9157" t="n">
        <v>4</v>
      </c>
      <c r="H9157" s="5">
        <f>HYPERLINK("https://api.qogita.com/variants/link/5901887045090/", "View Product")</f>
        <v/>
      </c>
    </row>
    <row r="9158">
      <c r="A9158" t="inlineStr">
        <is>
          <t>5901887045205</t>
        </is>
      </c>
      <c r="B9158" t="inlineStr">
        <is>
          <t>Ziaja Jeju Black Sugar Body Scrub Mango Coconut Papaya</t>
        </is>
      </c>
      <c r="C9158" t="inlineStr">
        <is>
          <t>Body Scrub &amp; Peeling</t>
        </is>
      </c>
      <c r="D9158" t="inlineStr">
        <is>
          <t>Ziaja</t>
        </is>
      </c>
      <c r="E9158" t="n">
        <v>6.2</v>
      </c>
      <c r="F9158" t="n">
        <v>1</v>
      </c>
      <c r="G9158" t="n">
        <v>11</v>
      </c>
      <c r="H9158" s="5">
        <f>HYPERLINK("https://api.qogita.com/variants/link/5901887045205/", "View Product")</f>
        <v/>
      </c>
    </row>
    <row r="9159">
      <c r="A9159" t="inlineStr">
        <is>
          <t>5901887045687</t>
        </is>
      </c>
      <c r="B9159" t="inlineStr">
        <is>
          <t>Ziaja Baltic Home Spa Fit Moisturizing Body Mousse Anti-Cellulite And Firming Mango 300ml</t>
        </is>
      </c>
      <c r="C9159" t="inlineStr">
        <is>
          <t>Body Mousse</t>
        </is>
      </c>
      <c r="D9159" t="inlineStr">
        <is>
          <t>Ziaja</t>
        </is>
      </c>
      <c r="E9159" t="n">
        <v>8.34</v>
      </c>
      <c r="F9159" t="n">
        <v>1</v>
      </c>
      <c r="G9159" t="n">
        <v>5</v>
      </c>
      <c r="H9159" s="5">
        <f>HYPERLINK("https://api.qogita.com/variants/link/5901887045687/", "View Product")</f>
        <v/>
      </c>
    </row>
    <row r="9160">
      <c r="A9160" t="inlineStr">
        <is>
          <t>5901887045700</t>
        </is>
      </c>
      <c r="B9160" t="inlineStr">
        <is>
          <t>Ziaja BALTIC HOME SPA FIT Line Fragrance Mist</t>
        </is>
      </c>
      <c r="C9160" t="inlineStr">
        <is>
          <t>Diffusers</t>
        </is>
      </c>
      <c r="D9160" t="inlineStr">
        <is>
          <t>Ziaja</t>
        </is>
      </c>
      <c r="E9160" t="n">
        <v>4.36</v>
      </c>
      <c r="F9160" t="n">
        <v>1</v>
      </c>
      <c r="G9160" t="n">
        <v>12</v>
      </c>
      <c r="H9160" s="5">
        <f>HYPERLINK("https://api.qogita.com/variants/link/5901887045700/", "View Product")</f>
        <v/>
      </c>
    </row>
    <row r="9161">
      <c r="A9161" t="inlineStr">
        <is>
          <t>5901887045823</t>
        </is>
      </c>
      <c r="B9161" t="inlineStr">
        <is>
          <t>Ziaja Baltic Home Spa Wellness Nourishing And Moisturizing Body Cream For Dry Skin 300ml</t>
        </is>
      </c>
      <c r="C9161" t="inlineStr">
        <is>
          <t>Body Lotion</t>
        </is>
      </c>
      <c r="D9161" t="inlineStr">
        <is>
          <t>Ziaja</t>
        </is>
      </c>
      <c r="E9161" t="n">
        <v>5.4</v>
      </c>
      <c r="F9161" t="n">
        <v>1</v>
      </c>
      <c r="G9161" t="n">
        <v>5</v>
      </c>
      <c r="H9161" s="5">
        <f>HYPERLINK("https://api.qogita.com/variants/link/5901887045823/", "View Product")</f>
        <v/>
      </c>
    </row>
    <row r="9162">
      <c r="A9162" t="inlineStr">
        <is>
          <t>5901887047292</t>
        </is>
      </c>
      <c r="B9162" t="inlineStr">
        <is>
          <t>Jeju Natural Tone Liquid Skin Corrector (No Make-up Foundation) 30 ml</t>
        </is>
      </c>
      <c r="C9162" t="inlineStr">
        <is>
          <t>Tinted Day Cream</t>
        </is>
      </c>
      <c r="D9162" t="inlineStr">
        <is>
          <t>Ziaja</t>
        </is>
      </c>
      <c r="E9162" t="n">
        <v>5.93</v>
      </c>
      <c r="F9162" t="n">
        <v>1</v>
      </c>
      <c r="G9162" t="n">
        <v>7</v>
      </c>
      <c r="H9162" s="5">
        <f>HYPERLINK("https://api.qogita.com/variants/link/5901887047292/", "View Product")</f>
        <v/>
      </c>
    </row>
    <row r="9163">
      <c r="A9163" t="inlineStr">
        <is>
          <t>5901887047988</t>
        </is>
      </c>
      <c r="B9163" t="inlineStr">
        <is>
          <t>Ziaja Pineapple Skin Training Light Body Mousse 160ml</t>
        </is>
      </c>
      <c r="C9163" t="inlineStr">
        <is>
          <t>Body Mousse</t>
        </is>
      </c>
      <c r="D9163" t="inlineStr">
        <is>
          <t>Ziaja</t>
        </is>
      </c>
      <c r="E9163" t="n">
        <v>3.06</v>
      </c>
      <c r="F9163" t="n">
        <v>1</v>
      </c>
      <c r="G9163" t="n">
        <v>7</v>
      </c>
      <c r="H9163" s="5">
        <f>HYPERLINK("https://api.qogita.com/variants/link/5901887047988/", "View Product")</f>
        <v/>
      </c>
    </row>
    <row r="9164">
      <c r="A9164" t="inlineStr">
        <is>
          <t>5901887050377</t>
        </is>
      </c>
      <c r="B9164" t="inlineStr">
        <is>
          <t>Ziaja Pineapple Skin Energizing And Moisturizing Shot For Face, Neck, And Decollete 50ml</t>
        </is>
      </c>
      <c r="C9164" t="inlineStr">
        <is>
          <t>Neck &amp; Decollete</t>
        </is>
      </c>
      <c r="D9164" t="inlineStr">
        <is>
          <t>Ziaja</t>
        </is>
      </c>
      <c r="E9164" t="n">
        <v>3.02</v>
      </c>
      <c r="F9164" t="n">
        <v>1</v>
      </c>
      <c r="G9164" t="n">
        <v>8</v>
      </c>
      <c r="H9164" s="5">
        <f>HYPERLINK("https://api.qogita.com/variants/link/5901887050377/", "View Product")</f>
        <v/>
      </c>
    </row>
    <row r="9165">
      <c r="A9165" t="inlineStr">
        <is>
          <t>5901887051879</t>
        </is>
      </c>
      <c r="B9165" t="inlineStr">
        <is>
          <t>Piña Shampoo with Caffeine 160ml</t>
        </is>
      </c>
      <c r="C9165" t="inlineStr">
        <is>
          <t>Shampoo</t>
        </is>
      </c>
      <c r="D9165" t="inlineStr">
        <is>
          <t>Ziaja</t>
        </is>
      </c>
      <c r="E9165" t="n">
        <v>4.36</v>
      </c>
      <c r="F9165" t="n">
        <v>1</v>
      </c>
      <c r="G9165" t="n">
        <v>6</v>
      </c>
      <c r="H9165" s="5">
        <f>HYPERLINK("https://api.qogita.com/variants/link/5901887051879/", "View Product")</f>
        <v/>
      </c>
    </row>
    <row r="9166">
      <c r="A9166" t="inlineStr">
        <is>
          <t>5901887053279</t>
        </is>
      </c>
      <c r="B9166" t="inlineStr">
        <is>
          <t>GdanSkin Multi-moisturising Serum 50 ml</t>
        </is>
      </c>
      <c r="C9166" t="inlineStr">
        <is>
          <t>Hydrating Serum</t>
        </is>
      </c>
      <c r="D9166" t="inlineStr">
        <is>
          <t>Ziaja</t>
        </is>
      </c>
      <c r="E9166" t="n">
        <v>5.4</v>
      </c>
      <c r="F9166" t="n">
        <v>1</v>
      </c>
      <c r="G9166" t="n">
        <v>5</v>
      </c>
      <c r="H9166" s="5">
        <f>HYPERLINK("https://api.qogita.com/variants/link/5901887053279/", "View Product")</f>
        <v/>
      </c>
    </row>
    <row r="9167">
      <c r="A9167" t="inlineStr">
        <is>
          <t>5901887054689</t>
        </is>
      </c>
      <c r="B9167" t="inlineStr">
        <is>
          <t>Ziajka Face Cream Spf30 Waterproof For Children Over 3 Months 50ml</t>
        </is>
      </c>
      <c r="C9167" t="inlineStr">
        <is>
          <t>Sun Protection For Children</t>
        </is>
      </c>
      <c r="D9167" t="inlineStr">
        <is>
          <t>Ziaja</t>
        </is>
      </c>
      <c r="E9167" t="n">
        <v>5.93</v>
      </c>
      <c r="F9167" t="n">
        <v>1</v>
      </c>
      <c r="G9167" t="n">
        <v>4</v>
      </c>
      <c r="H9167" s="5">
        <f>HYPERLINK("https://api.qogita.com/variants/link/5901887054689/", "View Product")</f>
        <v/>
      </c>
    </row>
    <row r="9168">
      <c r="A9168" t="inlineStr">
        <is>
          <t>5901887055136</t>
        </is>
      </c>
      <c r="B9168" t="inlineStr">
        <is>
          <t>Ziaja Med for Children Hypoallergenic Ultra Soothing Cream</t>
        </is>
      </c>
      <c r="C9168" t="inlineStr">
        <is>
          <t>Baby Cream &amp; Oil</t>
        </is>
      </c>
      <c r="D9168" t="inlineStr">
        <is>
          <t>Ziaja</t>
        </is>
      </c>
      <c r="E9168" t="n">
        <v>3.6</v>
      </c>
      <c r="F9168" t="n">
        <v>1</v>
      </c>
      <c r="G9168" t="n">
        <v>2</v>
      </c>
      <c r="H9168" s="5">
        <f>HYPERLINK("https://api.qogita.com/variants/link/5901887055136/", "View Product")</f>
        <v/>
      </c>
    </row>
    <row r="9169">
      <c r="A9169" t="inlineStr">
        <is>
          <t>5901887056713</t>
        </is>
      </c>
      <c r="B9169" t="inlineStr">
        <is>
          <t>Ziaja Sweet Mirabelle Plum Lip Scrub 12 Ml</t>
        </is>
      </c>
      <c r="C9169" t="inlineStr">
        <is>
          <t>Lip Scrub</t>
        </is>
      </c>
      <c r="D9169" t="inlineStr">
        <is>
          <t>Ziaja</t>
        </is>
      </c>
      <c r="E9169" t="n">
        <v>5.13</v>
      </c>
      <c r="F9169" t="n">
        <v>1</v>
      </c>
      <c r="G9169" t="n">
        <v>5</v>
      </c>
      <c r="H9169" s="5">
        <f>HYPERLINK("https://api.qogita.com/variants/link/5901887056713/", "View Product")</f>
        <v/>
      </c>
    </row>
    <row r="9170">
      <c r="A9170" t="inlineStr">
        <is>
          <t>5903018900094</t>
        </is>
      </c>
      <c r="B9170" t="inlineStr">
        <is>
          <t>Mimo Makeup Brush Set Kabuki White 10 Pcs</t>
        </is>
      </c>
      <c r="C9170" t="inlineStr">
        <is>
          <t>Brush Sets</t>
        </is>
      </c>
      <c r="D9170" t="inlineStr">
        <is>
          <t>‎Mimo</t>
        </is>
      </c>
      <c r="E9170" t="n">
        <v>7.23</v>
      </c>
      <c r="F9170" t="n">
        <v>1</v>
      </c>
      <c r="G9170" t="n">
        <v>5</v>
      </c>
      <c r="H9170" s="5">
        <f>HYPERLINK("https://api.qogita.com/variants/link/5903018900094/", "View Product")</f>
        <v/>
      </c>
    </row>
    <row r="9171">
      <c r="A9171" t="inlineStr">
        <is>
          <t>5903018900179</t>
        </is>
      </c>
      <c r="B9171" t="inlineStr">
        <is>
          <t>T4B MIMO Olive Shaped Makeup Sponge - Pink</t>
        </is>
      </c>
      <c r="C9171" t="inlineStr">
        <is>
          <t>Makeup Sponges</t>
        </is>
      </c>
      <c r="D9171" t="inlineStr">
        <is>
          <t>Tb Tools For Beauty</t>
        </is>
      </c>
      <c r="E9171" t="n">
        <v>0.9</v>
      </c>
      <c r="F9171" t="n">
        <v>1</v>
      </c>
      <c r="G9171" t="n">
        <v>21</v>
      </c>
      <c r="H9171" s="5">
        <f>HYPERLINK("https://api.qogita.com/variants/link/5903018900179/", "View Product")</f>
        <v/>
      </c>
    </row>
    <row r="9172">
      <c r="A9172" t="inlineStr">
        <is>
          <t>5903018900193</t>
        </is>
      </c>
      <c r="B9172" t="inlineStr">
        <is>
          <t>T4B MIMO Multi-Purpose Makeup Sponge - Pink</t>
        </is>
      </c>
      <c r="C9172" t="inlineStr">
        <is>
          <t>Makeup Sponges</t>
        </is>
      </c>
      <c r="D9172" t="inlineStr">
        <is>
          <t>Tb Tools For Beauty</t>
        </is>
      </c>
      <c r="E9172" t="n">
        <v>0.92</v>
      </c>
      <c r="F9172" t="n">
        <v>1</v>
      </c>
      <c r="G9172" t="n">
        <v>5</v>
      </c>
      <c r="H9172" s="5">
        <f>HYPERLINK("https://api.qogita.com/variants/link/5903018900193/", "View Product")</f>
        <v/>
      </c>
    </row>
    <row r="9173">
      <c r="A9173" t="inlineStr">
        <is>
          <t>5903018900209</t>
        </is>
      </c>
      <c r="B9173" t="inlineStr">
        <is>
          <t>Mimo Multipurpose Makeup Sponge Light Pink</t>
        </is>
      </c>
      <c r="C9173" t="inlineStr">
        <is>
          <t>Makeup Sponges</t>
        </is>
      </c>
      <c r="D9173" t="inlineStr">
        <is>
          <t>‎Mimo</t>
        </is>
      </c>
      <c r="E9173" t="n">
        <v>0.9399999999999999</v>
      </c>
      <c r="F9173" t="n">
        <v>1</v>
      </c>
      <c r="G9173" t="n">
        <v>10</v>
      </c>
      <c r="H9173" s="5">
        <f>HYPERLINK("https://api.qogita.com/variants/link/5903018900209/", "View Product")</f>
        <v/>
      </c>
    </row>
    <row r="9174">
      <c r="A9174" t="inlineStr">
        <is>
          <t>5903018900223</t>
        </is>
      </c>
      <c r="B9174" t="inlineStr">
        <is>
          <t>Mimo Mini Concealer Sponge Pink Pack Of 2</t>
        </is>
      </c>
      <c r="C9174" t="inlineStr">
        <is>
          <t>Makeup Sponges</t>
        </is>
      </c>
      <c r="D9174" t="inlineStr">
        <is>
          <t>‎Mimo</t>
        </is>
      </c>
      <c r="E9174" t="n">
        <v>3.04</v>
      </c>
      <c r="F9174" t="n">
        <v>1</v>
      </c>
      <c r="G9174" t="n">
        <v>22</v>
      </c>
      <c r="H9174" s="5">
        <f>HYPERLINK("https://api.qogita.com/variants/link/5903018900223/", "View Product")</f>
        <v/>
      </c>
    </row>
    <row r="9175">
      <c r="A9175" t="inlineStr">
        <is>
          <t>5903018919645</t>
        </is>
      </c>
      <c r="B9175" t="inlineStr">
        <is>
          <t>T4B MIMO Set of 24 Makeup Brushes with Case - Black</t>
        </is>
      </c>
      <c r="C9175" t="inlineStr">
        <is>
          <t>Brush Sets</t>
        </is>
      </c>
      <c r="D9175" t="inlineStr">
        <is>
          <t>Tb Tools For Beauty</t>
        </is>
      </c>
      <c r="E9175" t="n">
        <v>7.76</v>
      </c>
      <c r="F9175" t="n">
        <v>1</v>
      </c>
      <c r="G9175" t="n">
        <v>5</v>
      </c>
      <c r="H9175" s="5">
        <f>HYPERLINK("https://api.qogita.com/variants/link/5903018919645/", "View Product")</f>
        <v/>
      </c>
    </row>
    <row r="9176">
      <c r="A9176" t="inlineStr">
        <is>
          <t>5903018919959</t>
        </is>
      </c>
      <c r="B9176" t="inlineStr">
        <is>
          <t>T4B MIMO 9 Piece Makeup Brush Set White</t>
        </is>
      </c>
      <c r="C9176" t="inlineStr">
        <is>
          <t>Brush Sets</t>
        </is>
      </c>
      <c r="D9176" t="inlineStr">
        <is>
          <t>Tb Tools For Beauty</t>
        </is>
      </c>
      <c r="E9176" t="n">
        <v>3.24</v>
      </c>
      <c r="F9176" t="n">
        <v>1</v>
      </c>
      <c r="G9176" t="n">
        <v>5</v>
      </c>
      <c r="H9176" s="5">
        <f>HYPERLINK("https://api.qogita.com/variants/link/5903018919959/", "View Product")</f>
        <v/>
      </c>
    </row>
    <row r="9177">
      <c r="A9177" t="inlineStr">
        <is>
          <t>5903416001904</t>
        </is>
      </c>
      <c r="B9177" t="inlineStr">
        <is>
          <t>Eveline Oh My Lips Lip Maximizer Lip Gloss With Hyaluronic Acid Chili 4.5ml</t>
        </is>
      </c>
      <c r="C9177" t="inlineStr">
        <is>
          <t>Lip Gloss</t>
        </is>
      </c>
      <c r="D9177" t="inlineStr">
        <is>
          <t>Eveline</t>
        </is>
      </c>
      <c r="E9177" t="n">
        <v>3.98</v>
      </c>
      <c r="F9177" t="n">
        <v>1</v>
      </c>
      <c r="G9177" t="n">
        <v>2</v>
      </c>
      <c r="H9177" s="5">
        <f>HYPERLINK("https://api.qogita.com/variants/link/5903416001904/", "View Product")</f>
        <v/>
      </c>
    </row>
    <row r="9178">
      <c r="A9178" t="inlineStr">
        <is>
          <t>5903416030249</t>
        </is>
      </c>
      <c r="B9178" t="inlineStr">
        <is>
          <t>Eveline Rich Coconut Ultra-Nourishing Coconut Face Cream 50ml</t>
        </is>
      </c>
      <c r="C9178" t="inlineStr">
        <is>
          <t>Face Cream</t>
        </is>
      </c>
      <c r="D9178" t="inlineStr">
        <is>
          <t>Eveline</t>
        </is>
      </c>
      <c r="E9178" t="n">
        <v>6.98</v>
      </c>
      <c r="F9178" t="n">
        <v>1</v>
      </c>
      <c r="G9178" t="n">
        <v>2</v>
      </c>
      <c r="H9178" s="5">
        <f>HYPERLINK("https://api.qogita.com/variants/link/5903416030249/", "View Product")</f>
        <v/>
      </c>
    </row>
    <row r="9179">
      <c r="A9179" t="inlineStr">
        <is>
          <t>5905076587866</t>
        </is>
      </c>
      <c r="B9179" t="inlineStr">
        <is>
          <t>Vichy Liftactiv Supreme Skin Care Gift Set</t>
        </is>
      </c>
      <c r="C9179" t="inlineStr">
        <is>
          <t>Face</t>
        </is>
      </c>
      <c r="D9179" t="inlineStr">
        <is>
          <t>Vichy</t>
        </is>
      </c>
      <c r="E9179" t="n">
        <v>64.78</v>
      </c>
      <c r="F9179" t="n">
        <v>1</v>
      </c>
      <c r="G9179" t="n">
        <v>11</v>
      </c>
      <c r="H9179" s="5">
        <f>HYPERLINK("https://api.qogita.com/variants/link/5905076587866/", "View Product")</f>
        <v/>
      </c>
    </row>
    <row r="9180">
      <c r="A9180" t="inlineStr">
        <is>
          <t>5905669547055</t>
        </is>
      </c>
      <c r="B9180" t="inlineStr">
        <is>
          <t>Nanoil Liquid Silk Hair Mask - 300ml</t>
        </is>
      </c>
      <c r="C9180" t="inlineStr">
        <is>
          <t>Hair Masks</t>
        </is>
      </c>
      <c r="D9180" t="inlineStr">
        <is>
          <t>Nanoil</t>
        </is>
      </c>
      <c r="E9180" t="n">
        <v>10.4</v>
      </c>
      <c r="F9180" t="n">
        <v>1</v>
      </c>
      <c r="G9180" t="n">
        <v>3</v>
      </c>
      <c r="H9180" s="5">
        <f>HYPERLINK("https://api.qogita.com/variants/link/5905669547055/", "View Product")</f>
        <v/>
      </c>
    </row>
    <row r="9181">
      <c r="A9181" t="inlineStr">
        <is>
          <t>5905669547192</t>
        </is>
      </c>
      <c r="B9181" t="inlineStr">
        <is>
          <t>Lashcode Eyelash Serum 5ml - Serum for Faster Eyelash and Eyebrow Growth</t>
        </is>
      </c>
      <c r="C9181" t="inlineStr">
        <is>
          <t>Eyelash Serum &amp; Eyebrow Serum</t>
        </is>
      </c>
      <c r="D9181" t="inlineStr">
        <is>
          <t>Nanoil</t>
        </is>
      </c>
      <c r="E9181" t="n">
        <v>27.97</v>
      </c>
      <c r="F9181" t="n">
        <v>1</v>
      </c>
      <c r="G9181" t="n">
        <v>31</v>
      </c>
      <c r="H9181" s="5">
        <f>HYPERLINK("https://api.qogita.com/variants/link/5905669547192/", "View Product")</f>
        <v/>
      </c>
    </row>
    <row r="9182">
      <c r="A9182" t="inlineStr">
        <is>
          <t>5905669547246</t>
        </is>
      </c>
      <c r="B9182" t="inlineStr">
        <is>
          <t>Nanoil Liquid Silk Hair Conditioner With Silk 125ml</t>
        </is>
      </c>
      <c r="C9182" t="inlineStr">
        <is>
          <t>Conditioner</t>
        </is>
      </c>
      <c r="D9182" t="inlineStr">
        <is>
          <t>Nanoil</t>
        </is>
      </c>
      <c r="E9182" t="n">
        <v>10.29</v>
      </c>
      <c r="F9182" t="n">
        <v>1</v>
      </c>
      <c r="G9182" t="n">
        <v>5</v>
      </c>
      <c r="H9182" s="5">
        <f>HYPERLINK("https://api.qogita.com/variants/link/5905669547246/", "View Product")</f>
        <v/>
      </c>
    </row>
    <row r="9183">
      <c r="A9183" t="inlineStr">
        <is>
          <t>5905669547253</t>
        </is>
      </c>
      <c r="B9183" t="inlineStr">
        <is>
          <t>Nanoil Argan Hair Conditioner 125ml Bi-Phase Strengthening</t>
        </is>
      </c>
      <c r="C9183" t="inlineStr">
        <is>
          <t>Conditioner</t>
        </is>
      </c>
      <c r="D9183" t="inlineStr">
        <is>
          <t>Nanoil</t>
        </is>
      </c>
      <c r="E9183" t="n">
        <v>10.28</v>
      </c>
      <c r="F9183" t="n">
        <v>1</v>
      </c>
      <c r="G9183" t="n">
        <v>4</v>
      </c>
      <c r="H9183" s="5">
        <f>HYPERLINK("https://api.qogita.com/variants/link/5905669547253/", "View Product")</f>
        <v/>
      </c>
    </row>
    <row r="9184">
      <c r="A9184" t="inlineStr">
        <is>
          <t>5905669547284</t>
        </is>
      </c>
      <c r="B9184" t="inlineStr">
        <is>
          <t>Nanoil Algae Micellar Shampoo - 300ml</t>
        </is>
      </c>
      <c r="C9184" t="inlineStr">
        <is>
          <t>Shampoo</t>
        </is>
      </c>
      <c r="D9184" t="inlineStr">
        <is>
          <t>Nanoil</t>
        </is>
      </c>
      <c r="E9184" t="n">
        <v>8.970000000000001</v>
      </c>
      <c r="F9184" t="n">
        <v>1</v>
      </c>
      <c r="G9184" t="n">
        <v>5</v>
      </c>
      <c r="H9184" s="5">
        <f>HYPERLINK("https://api.qogita.com/variants/link/5905669547284/", "View Product")</f>
        <v/>
      </c>
    </row>
    <row r="9185">
      <c r="A9185" t="inlineStr">
        <is>
          <t>5905669547291</t>
        </is>
      </c>
      <c r="B9185" t="inlineStr">
        <is>
          <t>Nanoil Argan Micellar Shampoo - 300ml</t>
        </is>
      </c>
      <c r="C9185" t="inlineStr">
        <is>
          <t>Shampoo</t>
        </is>
      </c>
      <c r="D9185" t="inlineStr">
        <is>
          <t>Nanoil</t>
        </is>
      </c>
      <c r="E9185" t="n">
        <v>8.890000000000001</v>
      </c>
      <c r="F9185" t="n">
        <v>1</v>
      </c>
      <c r="G9185" t="n">
        <v>5</v>
      </c>
      <c r="H9185" s="5">
        <f>HYPERLINK("https://api.qogita.com/variants/link/5905669547291/", "View Product")</f>
        <v/>
      </c>
    </row>
    <row r="9186">
      <c r="A9186" t="inlineStr">
        <is>
          <t>5905669547338</t>
        </is>
      </c>
      <c r="B9186" t="inlineStr">
        <is>
          <t>Nanoil Heat Protectant Spray 200ml - Thermal Protection &amp; Easier Styling</t>
        </is>
      </c>
      <c r="C9186" t="inlineStr">
        <is>
          <t>Heat Protection</t>
        </is>
      </c>
      <c r="D9186" t="inlineStr">
        <is>
          <t>Nanoil</t>
        </is>
      </c>
      <c r="E9186" t="n">
        <v>10.47</v>
      </c>
      <c r="F9186" t="n">
        <v>1</v>
      </c>
      <c r="G9186" t="n">
        <v>4</v>
      </c>
      <c r="H9186" s="5">
        <f>HYPERLINK("https://api.qogita.com/variants/link/5905669547338/", "View Product")</f>
        <v/>
      </c>
    </row>
    <row r="9187">
      <c r="A9187" t="inlineStr">
        <is>
          <t>5905669547352</t>
        </is>
      </c>
      <c r="B9187" t="inlineStr">
        <is>
          <t>Shape Mascara Black - Mascara for Eyebrows, Perfect Brow Definition</t>
        </is>
      </c>
      <c r="C9187" t="inlineStr">
        <is>
          <t>Other</t>
        </is>
      </c>
      <c r="D9187" t="inlineStr">
        <is>
          <t>Nanobrow</t>
        </is>
      </c>
      <c r="E9187" t="n">
        <v>74.65000000000001</v>
      </c>
      <c r="F9187" t="n">
        <v>1</v>
      </c>
      <c r="G9187" t="n">
        <v>2</v>
      </c>
      <c r="H9187" s="5">
        <f>HYPERLINK("https://api.qogita.com/variants/link/5905669547352/", "View Product")</f>
        <v/>
      </c>
    </row>
    <row r="9188">
      <c r="A9188" t="inlineStr">
        <is>
          <t>5905669547413</t>
        </is>
      </c>
      <c r="B9188" t="inlineStr">
        <is>
          <t>Nanobrow Lamination Gel Brow Gel for Precisely Styled and Filled In Brows - Black</t>
        </is>
      </c>
      <c r="C9188" t="inlineStr">
        <is>
          <t>Eyebrow Gel</t>
        </is>
      </c>
      <c r="D9188" t="inlineStr">
        <is>
          <t>Nanobrow</t>
        </is>
      </c>
      <c r="E9188" t="n">
        <v>38.77</v>
      </c>
      <c r="F9188" t="n">
        <v>1</v>
      </c>
      <c r="G9188" t="n">
        <v>4</v>
      </c>
      <c r="H9188" s="5">
        <f>HYPERLINK("https://api.qogita.com/variants/link/5905669547413/", "View Product")</f>
        <v/>
      </c>
    </row>
    <row r="9189">
      <c r="A9189" t="inlineStr">
        <is>
          <t>5905669547420</t>
        </is>
      </c>
      <c r="B9189" t="inlineStr">
        <is>
          <t>Nanobrow Eyebrow Styling Soap Gel Eyebrow Styling Soap 30g</t>
        </is>
      </c>
      <c r="C9189" t="inlineStr">
        <is>
          <t>Eyebrow Gel</t>
        </is>
      </c>
      <c r="D9189" t="inlineStr">
        <is>
          <t>Nanobrow</t>
        </is>
      </c>
      <c r="E9189" t="n">
        <v>49.58</v>
      </c>
      <c r="F9189" t="n">
        <v>1</v>
      </c>
      <c r="G9189" t="n">
        <v>5</v>
      </c>
      <c r="H9189" s="5">
        <f>HYPERLINK("https://api.qogita.com/variants/link/5905669547420/", "View Product")</f>
        <v/>
      </c>
    </row>
    <row r="9190">
      <c r="A9190" t="inlineStr">
        <is>
          <t>5905669547550</t>
        </is>
      </c>
      <c r="B9190" t="inlineStr">
        <is>
          <t>Nanobrow Styling Brush Set Perfect For Eyebrow Styling</t>
        </is>
      </c>
      <c r="C9190" t="inlineStr">
        <is>
          <t>Eyebrow Brushes</t>
        </is>
      </c>
      <c r="D9190" t="inlineStr">
        <is>
          <t>Nanobrow</t>
        </is>
      </c>
      <c r="E9190" t="n">
        <v>72.8</v>
      </c>
      <c r="F9190" t="n">
        <v>1</v>
      </c>
      <c r="G9190" t="n">
        <v>2</v>
      </c>
      <c r="H9190" s="5">
        <f>HYPERLINK("https://api.qogita.com/variants/link/5905669547550/", "View Product")</f>
        <v/>
      </c>
    </row>
    <row r="9191">
      <c r="A9191" t="inlineStr">
        <is>
          <t>5907609327826</t>
        </is>
      </c>
      <c r="B9191" t="inlineStr">
        <is>
          <t>Eveline Volume Celebrities Mascara Deep Black 8ml</t>
        </is>
      </c>
      <c r="C9191" t="inlineStr">
        <is>
          <t>Mascara</t>
        </is>
      </c>
      <c r="D9191" t="inlineStr">
        <is>
          <t>Eveline</t>
        </is>
      </c>
      <c r="E9191" t="n">
        <v>4.13</v>
      </c>
      <c r="F9191" t="n">
        <v>1</v>
      </c>
      <c r="G9191" t="n">
        <v>2</v>
      </c>
      <c r="H9191" s="5">
        <f>HYPERLINK("https://api.qogita.com/variants/link/5907609327826/", "View Product")</f>
        <v/>
      </c>
    </row>
    <row r="9192">
      <c r="A9192" t="inlineStr">
        <is>
          <t>5998889502041</t>
        </is>
      </c>
      <c r="B9192" t="inlineStr">
        <is>
          <t>Kallos Kjmn Hair Spray Silk Protein Super Strong Hair Lacquer 750ml</t>
        </is>
      </c>
      <c r="C9192" t="inlineStr">
        <is>
          <t>Hairspray</t>
        </is>
      </c>
      <c r="D9192" t="inlineStr">
        <is>
          <t>Kallos</t>
        </is>
      </c>
      <c r="E9192" t="n">
        <v>5</v>
      </c>
      <c r="F9192" t="n">
        <v>1</v>
      </c>
      <c r="G9192" t="n">
        <v>3</v>
      </c>
      <c r="H9192" s="5">
        <f>HYPERLINK("https://api.qogita.com/variants/link/5998889502041/", "View Product")</f>
        <v/>
      </c>
    </row>
    <row r="9193">
      <c r="A9193" t="inlineStr">
        <is>
          <t>5998889502133</t>
        </is>
      </c>
      <c r="B9193" t="inlineStr">
        <is>
          <t>Kallos Silver Reflex Shampoo For Gray And Blonde Hair</t>
        </is>
      </c>
      <c r="C9193" t="inlineStr">
        <is>
          <t>Shampoo</t>
        </is>
      </c>
      <c r="D9193" t="inlineStr">
        <is>
          <t>Kallos</t>
        </is>
      </c>
      <c r="E9193" t="n">
        <v>2.55</v>
      </c>
      <c r="F9193" t="n">
        <v>1</v>
      </c>
      <c r="G9193" t="n">
        <v>24</v>
      </c>
      <c r="H9193" s="5">
        <f>HYPERLINK("https://api.qogita.com/variants/link/5998889502133/", "View Product")</f>
        <v/>
      </c>
    </row>
    <row r="9194">
      <c r="A9194" t="inlineStr">
        <is>
          <t>5998889504137</t>
        </is>
      </c>
      <c r="B9194" t="inlineStr">
        <is>
          <t>Kallos Florillum Silver Gloss Lotion Hair Rinse 100ml</t>
        </is>
      </c>
      <c r="C9194" t="inlineStr">
        <is>
          <t>Conditioner</t>
        </is>
      </c>
      <c r="D9194" t="inlineStr">
        <is>
          <t>Kallos</t>
        </is>
      </c>
      <c r="E9194" t="n">
        <v>2.31</v>
      </c>
      <c r="F9194" t="n">
        <v>1</v>
      </c>
      <c r="G9194" t="n">
        <v>5</v>
      </c>
      <c r="H9194" s="5">
        <f>HYPERLINK("https://api.qogita.com/variants/link/5998889504137/", "View Product")</f>
        <v/>
      </c>
    </row>
    <row r="9195">
      <c r="A9195" t="inlineStr">
        <is>
          <t>5998889505226</t>
        </is>
      </c>
      <c r="B9195" t="inlineStr">
        <is>
          <t>Kallos Ultra Strong Hold Hair Styling Gel, 250ml - Professional Firm Control Formula</t>
        </is>
      </c>
      <c r="C9195" t="inlineStr">
        <is>
          <t>Gel</t>
        </is>
      </c>
      <c r="D9195" t="inlineStr">
        <is>
          <t>Kallos</t>
        </is>
      </c>
      <c r="E9195" t="n">
        <v>1.79</v>
      </c>
      <c r="F9195" t="n">
        <v>1</v>
      </c>
      <c r="G9195" t="n">
        <v>5</v>
      </c>
      <c r="H9195" s="5">
        <f>HYPERLINK("https://api.qogita.com/variants/link/5998889505226/", "View Product")</f>
        <v/>
      </c>
    </row>
    <row r="9196">
      <c r="A9196" t="inlineStr">
        <is>
          <t>5998889506216</t>
        </is>
      </c>
      <c r="B9196" t="inlineStr">
        <is>
          <t>Kallos Vanilla Mask For Dry Hair 275 Ml</t>
        </is>
      </c>
      <c r="C9196" t="inlineStr">
        <is>
          <t>Hair Masks</t>
        </is>
      </c>
      <c r="D9196" t="inlineStr">
        <is>
          <t>Kallos</t>
        </is>
      </c>
      <c r="E9196" t="n">
        <v>2.2</v>
      </c>
      <c r="F9196" t="n">
        <v>1</v>
      </c>
      <c r="G9196" t="n">
        <v>4</v>
      </c>
      <c r="H9196" s="5">
        <f>HYPERLINK("https://api.qogita.com/variants/link/5998889506216/", "View Product")</f>
        <v/>
      </c>
    </row>
    <row r="9197">
      <c r="A9197" t="inlineStr">
        <is>
          <t>5998889507404</t>
        </is>
      </c>
      <c r="B9197" t="inlineStr">
        <is>
          <t>Kallos Gogo Regenerating Hair Treatment for Dry, Brittle, and Damaged Hair 200ml</t>
        </is>
      </c>
      <c r="C9197" t="inlineStr">
        <is>
          <t>Hair Masks</t>
        </is>
      </c>
      <c r="D9197" t="inlineStr">
        <is>
          <t>Kallos</t>
        </is>
      </c>
      <c r="E9197" t="n">
        <v>1.5</v>
      </c>
      <c r="F9197" t="n">
        <v>1</v>
      </c>
      <c r="G9197" t="n">
        <v>14</v>
      </c>
      <c r="H9197" s="5">
        <f>HYPERLINK("https://api.qogita.com/variants/link/5998889507404/", "View Product")</f>
        <v/>
      </c>
    </row>
    <row r="9198">
      <c r="A9198" t="inlineStr">
        <is>
          <t>5998889507978</t>
        </is>
      </c>
      <c r="B9198" t="inlineStr">
        <is>
          <t>Kallos Kjmn Hair Straightener Spray - 200ml</t>
        </is>
      </c>
      <c r="C9198" t="inlineStr">
        <is>
          <t>Heat Protection</t>
        </is>
      </c>
      <c r="D9198" t="inlineStr">
        <is>
          <t>Kallos</t>
        </is>
      </c>
      <c r="E9198" t="n">
        <v>2.38</v>
      </c>
      <c r="F9198" t="n">
        <v>1</v>
      </c>
      <c r="G9198" t="n">
        <v>5</v>
      </c>
      <c r="H9198" s="5">
        <f>HYPERLINK("https://api.qogita.com/variants/link/5998889507978/", "View Product")</f>
        <v/>
      </c>
    </row>
    <row r="9199">
      <c r="A9199" t="inlineStr">
        <is>
          <t>5998889508081</t>
        </is>
      </c>
      <c r="B9199" t="inlineStr">
        <is>
          <t>Kallos Latte Hair Mask With Milk Protein - 800ml</t>
        </is>
      </c>
      <c r="C9199" t="inlineStr">
        <is>
          <t>Hair Masks</t>
        </is>
      </c>
      <c r="D9199" t="inlineStr">
        <is>
          <t>Kallos</t>
        </is>
      </c>
      <c r="E9199" t="n">
        <v>3.65</v>
      </c>
      <c r="F9199" t="n">
        <v>1</v>
      </c>
      <c r="G9199" t="n">
        <v>4</v>
      </c>
      <c r="H9199" s="5">
        <f>HYPERLINK("https://api.qogita.com/variants/link/5998889508081/", "View Product")</f>
        <v/>
      </c>
    </row>
    <row r="9200">
      <c r="A9200" t="inlineStr">
        <is>
          <t>5998889508272</t>
        </is>
      </c>
      <c r="B9200" t="inlineStr">
        <is>
          <t>Kallos Gogo Silver Reflex Shampoo</t>
        </is>
      </c>
      <c r="C9200" t="inlineStr">
        <is>
          <t>Shampoo</t>
        </is>
      </c>
      <c r="D9200" t="inlineStr">
        <is>
          <t>Kallos</t>
        </is>
      </c>
      <c r="E9200" t="n">
        <v>1.62</v>
      </c>
      <c r="F9200" t="n">
        <v>1</v>
      </c>
      <c r="G9200" t="n">
        <v>11</v>
      </c>
      <c r="H9200" s="5">
        <f>HYPERLINK("https://api.qogita.com/variants/link/5998889508272/", "View Product")</f>
        <v/>
      </c>
    </row>
    <row r="9201">
      <c r="A9201" t="inlineStr">
        <is>
          <t>5998889508425</t>
        </is>
      </c>
      <c r="B9201" t="inlineStr">
        <is>
          <t>Kallos Color Shampoo With Linseed Oil And Uv Filter For Colored Hair 1000ml</t>
        </is>
      </c>
      <c r="C9201" t="inlineStr">
        <is>
          <t>Shampoo</t>
        </is>
      </c>
      <c r="D9201" t="inlineStr">
        <is>
          <t>Kallos</t>
        </is>
      </c>
      <c r="E9201" t="n">
        <v>3.1</v>
      </c>
      <c r="F9201" t="n">
        <v>1</v>
      </c>
      <c r="G9201" t="n">
        <v>8</v>
      </c>
      <c r="H9201" s="5">
        <f>HYPERLINK("https://api.qogita.com/variants/link/5998889508425/", "View Product")</f>
        <v/>
      </c>
    </row>
    <row r="9202">
      <c r="A9202" t="inlineStr">
        <is>
          <t>5998889510435</t>
        </is>
      </c>
      <c r="B9202" t="inlineStr">
        <is>
          <t>Kallos Nourishing Shampoo For Dry And Damaged Hair</t>
        </is>
      </c>
      <c r="C9202" t="inlineStr">
        <is>
          <t>Shampoo</t>
        </is>
      </c>
      <c r="D9202" t="inlineStr">
        <is>
          <t>Kallos</t>
        </is>
      </c>
      <c r="E9202" t="n">
        <v>2.34</v>
      </c>
      <c r="F9202" t="n">
        <v>1</v>
      </c>
      <c r="G9202" t="n">
        <v>13</v>
      </c>
      <c r="H9202" s="5">
        <f>HYPERLINK("https://api.qogita.com/variants/link/5998889510435/", "View Product")</f>
        <v/>
      </c>
    </row>
    <row r="9203">
      <c r="A9203" t="inlineStr">
        <is>
          <t>5998889510619</t>
        </is>
      </c>
      <c r="B9203" t="inlineStr">
        <is>
          <t>Kallos Lab 35 Signature Hair Conditioner - 500ml For Dry And Brittle Hair</t>
        </is>
      </c>
      <c r="C9203" t="inlineStr">
        <is>
          <t>Conditioner</t>
        </is>
      </c>
      <c r="D9203" t="inlineStr">
        <is>
          <t>Kallos</t>
        </is>
      </c>
      <c r="E9203" t="n">
        <v>5.44</v>
      </c>
      <c r="F9203" t="n">
        <v>1</v>
      </c>
      <c r="G9203" t="n">
        <v>6</v>
      </c>
      <c r="H9203" s="5">
        <f>HYPERLINK("https://api.qogita.com/variants/link/5998889510619/", "View Product")</f>
        <v/>
      </c>
    </row>
    <row r="9204">
      <c r="A9204" t="inlineStr">
        <is>
          <t>5998889511005</t>
        </is>
      </c>
      <c r="B9204" t="inlineStr">
        <is>
          <t>Kallos Chocolate Full Repair Shampoo - 1000ml For Dry And Brittle Hair</t>
        </is>
      </c>
      <c r="C9204" t="inlineStr">
        <is>
          <t>Shampoo</t>
        </is>
      </c>
      <c r="D9204" t="inlineStr">
        <is>
          <t>Kallos</t>
        </is>
      </c>
      <c r="E9204" t="n">
        <v>2.88</v>
      </c>
      <c r="F9204" t="n">
        <v>1</v>
      </c>
      <c r="G9204" t="n">
        <v>5</v>
      </c>
      <c r="H9204" s="5">
        <f>HYPERLINK("https://api.qogita.com/variants/link/5998889511005/", "View Product")</f>
        <v/>
      </c>
    </row>
    <row r="9205">
      <c r="A9205" t="inlineStr">
        <is>
          <t>5998889511036</t>
        </is>
      </c>
      <c r="B9205" t="inlineStr">
        <is>
          <t>Kallos Chocolate Full Repair Hair Mask - 275ml For Dry And Brittle Hair</t>
        </is>
      </c>
      <c r="C9205" t="inlineStr">
        <is>
          <t>Hair Masks</t>
        </is>
      </c>
      <c r="D9205" t="inlineStr">
        <is>
          <t>Kallos</t>
        </is>
      </c>
      <c r="E9205" t="n">
        <v>1.7</v>
      </c>
      <c r="F9205" t="n">
        <v>1</v>
      </c>
      <c r="G9205" t="n">
        <v>7</v>
      </c>
      <c r="H9205" s="5">
        <f>HYPERLINK("https://api.qogita.com/variants/link/5998889511036/", "View Product")</f>
        <v/>
      </c>
    </row>
    <row r="9206">
      <c r="A9206" t="inlineStr">
        <is>
          <t>5998889511302</t>
        </is>
      </c>
      <c r="B9206" t="inlineStr">
        <is>
          <t>Kallos Kjmn Fortifying Shampoo With Multivitamin Complex - 1000ml</t>
        </is>
      </c>
      <c r="C9206" t="inlineStr">
        <is>
          <t>Shampoo</t>
        </is>
      </c>
      <c r="D9206" t="inlineStr">
        <is>
          <t>Kallos</t>
        </is>
      </c>
      <c r="E9206" t="n">
        <v>3.09</v>
      </c>
      <c r="F9206" t="n">
        <v>1</v>
      </c>
      <c r="G9206" t="n">
        <v>14</v>
      </c>
      <c r="H9206" s="5">
        <f>HYPERLINK("https://api.qogita.com/variants/link/5998889511302/", "View Product")</f>
        <v/>
      </c>
    </row>
    <row r="9207">
      <c r="A9207" t="inlineStr">
        <is>
          <t>5998889511531</t>
        </is>
      </c>
      <c r="B9207" t="inlineStr">
        <is>
          <t>Kallos KJMN Cherry Conditioning Hair Mask with Cherry Seed Oil 1000ml</t>
        </is>
      </c>
      <c r="C9207" t="inlineStr">
        <is>
          <t>Hair Masks</t>
        </is>
      </c>
      <c r="D9207" t="inlineStr">
        <is>
          <t>Kallos</t>
        </is>
      </c>
      <c r="E9207" t="n">
        <v>2.81</v>
      </c>
      <c r="F9207" t="n">
        <v>1</v>
      </c>
      <c r="G9207" t="n">
        <v>13</v>
      </c>
      <c r="H9207" s="5">
        <f>HYPERLINK("https://api.qogita.com/variants/link/5998889511531/", "View Product")</f>
        <v/>
      </c>
    </row>
    <row r="9208">
      <c r="A9208" t="inlineStr">
        <is>
          <t>5998889511654</t>
        </is>
      </c>
      <c r="B9208" t="inlineStr">
        <is>
          <t>Kallos Milk Shampoo With Milk Protein For Dry And Damaged Hair 1000ml</t>
        </is>
      </c>
      <c r="C9208" t="inlineStr">
        <is>
          <t>Shampoo</t>
        </is>
      </c>
      <c r="D9208" t="inlineStr">
        <is>
          <t>Kallos</t>
        </is>
      </c>
      <c r="E9208" t="n">
        <v>3.37</v>
      </c>
      <c r="F9208" t="n">
        <v>1</v>
      </c>
      <c r="G9208" t="n">
        <v>5</v>
      </c>
      <c r="H9208" s="5">
        <f>HYPERLINK("https://api.qogita.com/variants/link/5998889511654/", "View Product")</f>
        <v/>
      </c>
    </row>
    <row r="9209">
      <c r="A9209" t="inlineStr">
        <is>
          <t>5998889512026</t>
        </is>
      </c>
      <c r="B9209" t="inlineStr">
        <is>
          <t>Kallos Blueberry Revitalizing Hair Mask With Blueberry Extract And Avocado Oil - 275ml</t>
        </is>
      </c>
      <c r="C9209" t="inlineStr">
        <is>
          <t>Hair Masks</t>
        </is>
      </c>
      <c r="D9209" t="inlineStr">
        <is>
          <t>Kallos</t>
        </is>
      </c>
      <c r="E9209" t="n">
        <v>1.81</v>
      </c>
      <c r="F9209" t="n">
        <v>1</v>
      </c>
      <c r="G9209" t="n">
        <v>2</v>
      </c>
      <c r="H9209" s="5">
        <f>HYPERLINK("https://api.qogita.com/variants/link/5998889512026/", "View Product")</f>
        <v/>
      </c>
    </row>
    <row r="9210">
      <c r="A9210" t="inlineStr">
        <is>
          <t>5998889512286</t>
        </is>
      </c>
      <c r="B9210" t="inlineStr">
        <is>
          <t>Kjmn Absolute Keratin Milk Smoothing Keratin Milk For Hair 50ml</t>
        </is>
      </c>
      <c r="C9210" t="inlineStr">
        <is>
          <t>Hair Oil &amp; Hair Serum</t>
        </is>
      </c>
      <c r="D9210" t="inlineStr">
        <is>
          <t>Kérastase</t>
        </is>
      </c>
      <c r="E9210" t="n">
        <v>2.45</v>
      </c>
      <c r="F9210" t="n">
        <v>1</v>
      </c>
      <c r="G9210" t="n">
        <v>15</v>
      </c>
      <c r="H9210" s="5">
        <f>HYPERLINK("https://api.qogita.com/variants/link/5998889512286/", "View Product")</f>
        <v/>
      </c>
    </row>
    <row r="9211">
      <c r="A9211" t="inlineStr">
        <is>
          <t>5998889514181</t>
        </is>
      </c>
      <c r="B9211" t="inlineStr">
        <is>
          <t>Kjmn Biotin Beautifying Hair Mask 275ml</t>
        </is>
      </c>
      <c r="C9211" t="inlineStr">
        <is>
          <t>Hair Masks</t>
        </is>
      </c>
      <c r="D9211" t="inlineStr">
        <is>
          <t>Kallos</t>
        </is>
      </c>
      <c r="E9211" t="n">
        <v>1.81</v>
      </c>
      <c r="F9211" t="n">
        <v>1</v>
      </c>
      <c r="G9211" t="n">
        <v>6</v>
      </c>
      <c r="H9211" s="5">
        <f>HYPERLINK("https://api.qogita.com/variants/link/5998889514181/", "View Product")</f>
        <v/>
      </c>
    </row>
    <row r="9212">
      <c r="A9212" t="inlineStr">
        <is>
          <t>5998889515058</t>
        </is>
      </c>
      <c r="B9212" t="inlineStr">
        <is>
          <t>Kallos Kjmn Mango Hair Mask - Strengthening Hair Mask With Mango Oil, 275ml</t>
        </is>
      </c>
      <c r="C9212" t="inlineStr">
        <is>
          <t>Hair Masks</t>
        </is>
      </c>
      <c r="D9212" t="inlineStr">
        <is>
          <t>Kallos</t>
        </is>
      </c>
      <c r="E9212" t="n">
        <v>1.81</v>
      </c>
      <c r="F9212" t="n">
        <v>1</v>
      </c>
      <c r="G9212" t="n">
        <v>8</v>
      </c>
      <c r="H9212" s="5">
        <f>HYPERLINK("https://api.qogita.com/variants/link/5998889515058/", "View Product")</f>
        <v/>
      </c>
    </row>
    <row r="9213">
      <c r="A9213" t="inlineStr">
        <is>
          <t>5998889515072</t>
        </is>
      </c>
      <c r="B9213" t="inlineStr">
        <is>
          <t>Botaniq Superfruits Strengthening Shampoo For Hair 300ml</t>
        </is>
      </c>
      <c r="C9213" t="inlineStr">
        <is>
          <t>Shampoo</t>
        </is>
      </c>
      <c r="D9213" t="inlineStr">
        <is>
          <t>Botaniq</t>
        </is>
      </c>
      <c r="E9213" t="n">
        <v>2.3</v>
      </c>
      <c r="F9213" t="n">
        <v>1</v>
      </c>
      <c r="G9213" t="n">
        <v>16</v>
      </c>
      <c r="H9213" s="5">
        <f>HYPERLINK("https://api.qogita.com/variants/link/5998889515072/", "View Product")</f>
        <v/>
      </c>
    </row>
    <row r="9214">
      <c r="A9214" t="inlineStr">
        <is>
          <t>5998889515386</t>
        </is>
      </c>
      <c r="B9214" t="inlineStr">
        <is>
          <t>Kallos Spa Moisturizing Shower and Foam Bath Cream with Algae Extracts 1000ml</t>
        </is>
      </c>
      <c r="C9214" t="inlineStr">
        <is>
          <t>Shower Foam</t>
        </is>
      </c>
      <c r="D9214" t="inlineStr">
        <is>
          <t>Kallos</t>
        </is>
      </c>
      <c r="E9214" t="n">
        <v>4.03</v>
      </c>
      <c r="F9214" t="n">
        <v>1</v>
      </c>
      <c r="G9214" t="n">
        <v>5</v>
      </c>
      <c r="H9214" s="5">
        <f>HYPERLINK("https://api.qogita.com/variants/link/5998889515386/", "View Product")</f>
        <v/>
      </c>
    </row>
    <row r="9215">
      <c r="A9215" t="inlineStr">
        <is>
          <t>5998889516116</t>
        </is>
      </c>
      <c r="B9215" t="inlineStr">
        <is>
          <t>Kallos Kjmn Nutritive Hair Strengthening Mask Coconut 1000ml</t>
        </is>
      </c>
      <c r="C9215" t="inlineStr">
        <is>
          <t>Hair Masks</t>
        </is>
      </c>
      <c r="D9215" t="inlineStr">
        <is>
          <t>Kallos</t>
        </is>
      </c>
      <c r="E9215" t="n">
        <v>3.23</v>
      </c>
      <c r="F9215" t="n">
        <v>1</v>
      </c>
      <c r="G9215" t="n">
        <v>33</v>
      </c>
      <c r="H9215" s="5">
        <f>HYPERLINK("https://api.qogita.com/variants/link/5998889516116/", "View Product")</f>
        <v/>
      </c>
    </row>
    <row r="9216">
      <c r="A9216" t="inlineStr">
        <is>
          <t>5998889516178</t>
        </is>
      </c>
      <c r="B9216" t="inlineStr">
        <is>
          <t>Kallos Honey Repairing Hair Mask 275ml</t>
        </is>
      </c>
      <c r="C9216" t="inlineStr">
        <is>
          <t>Hair Masks</t>
        </is>
      </c>
      <c r="D9216" t="inlineStr">
        <is>
          <t>Kallos Cosmetics</t>
        </is>
      </c>
      <c r="E9216" t="n">
        <v>1.81</v>
      </c>
      <c r="F9216" t="n">
        <v>1</v>
      </c>
      <c r="G9216" t="n">
        <v>5</v>
      </c>
      <c r="H9216" s="5">
        <f>HYPERLINK("https://api.qogita.com/variants/link/5998889516178/", "View Product")</f>
        <v/>
      </c>
    </row>
    <row r="9217">
      <c r="A9217" t="inlineStr">
        <is>
          <t>5998889516710</t>
        </is>
      </c>
      <c r="B9217" t="inlineStr">
        <is>
          <t>Kallos Oxi Oxidation Emulsion 12 - Oxidizing Agent During Staining</t>
        </is>
      </c>
      <c r="C9217" t="inlineStr">
        <is>
          <t>Bleaching</t>
        </is>
      </c>
      <c r="D9217" t="inlineStr">
        <is>
          <t>Kallos</t>
        </is>
      </c>
      <c r="E9217" t="n">
        <v>0.74</v>
      </c>
      <c r="F9217" t="n">
        <v>1</v>
      </c>
      <c r="G9217" t="n">
        <v>48</v>
      </c>
      <c r="H9217" s="5">
        <f>HYPERLINK("https://api.qogita.com/variants/link/5998889516710/", "View Product")</f>
        <v/>
      </c>
    </row>
    <row r="9218">
      <c r="A9218" t="inlineStr">
        <is>
          <t>5998889517632</t>
        </is>
      </c>
      <c r="B9218" t="inlineStr">
        <is>
          <t>Kallos Kjmn Professional Keratin Hair Mask - 500 Ml</t>
        </is>
      </c>
      <c r="C9218" t="inlineStr">
        <is>
          <t>Hair Masks</t>
        </is>
      </c>
      <c r="D9218" t="inlineStr">
        <is>
          <t>Kallos</t>
        </is>
      </c>
      <c r="E9218" t="n">
        <v>2.65</v>
      </c>
      <c r="F9218" t="n">
        <v>1</v>
      </c>
      <c r="G9218" t="n">
        <v>10</v>
      </c>
      <c r="H9218" s="5">
        <f>HYPERLINK("https://api.qogita.com/variants/link/5998889517632/", "View Product")</f>
        <v/>
      </c>
    </row>
    <row r="9219">
      <c r="A9219" t="inlineStr">
        <is>
          <t>5999556680024</t>
        </is>
      </c>
      <c r="B9219" t="inlineStr">
        <is>
          <t>Omorovicza Rejuvenating Night Cream 15ml</t>
        </is>
      </c>
      <c r="C9219" t="inlineStr">
        <is>
          <t>Night Cream</t>
        </is>
      </c>
      <c r="D9219" t="inlineStr">
        <is>
          <t>Omorovicza</t>
        </is>
      </c>
      <c r="E9219" t="n">
        <v>136.76</v>
      </c>
      <c r="F9219" t="n">
        <v>1</v>
      </c>
      <c r="G9219" t="n">
        <v>2</v>
      </c>
      <c r="H9219" s="5">
        <f>HYPERLINK("https://api.qogita.com/variants/link/5999556680024/", "View Product")</f>
        <v/>
      </c>
    </row>
    <row r="9220">
      <c r="A9220" t="inlineStr">
        <is>
          <t>5999556680079</t>
        </is>
      </c>
      <c r="B9220" t="inlineStr">
        <is>
          <t>Omorovicza Queen Of Hungary Mist 100ml Refreshing Facial Mist</t>
        </is>
      </c>
      <c r="C9220" t="inlineStr">
        <is>
          <t>Facial Spray</t>
        </is>
      </c>
      <c r="D9220" t="inlineStr">
        <is>
          <t>Omorovicza</t>
        </is>
      </c>
      <c r="E9220" t="n">
        <v>66.89</v>
      </c>
      <c r="F9220" t="n">
        <v>1</v>
      </c>
      <c r="G9220" t="n">
        <v>2</v>
      </c>
      <c r="H9220" s="5">
        <f>HYPERLINK("https://api.qogita.com/variants/link/5999556680079/", "View Product")</f>
        <v/>
      </c>
    </row>
    <row r="9221">
      <c r="A9221" t="inlineStr">
        <is>
          <t>6001051006267</t>
        </is>
      </c>
      <c r="B9221" t="inlineStr">
        <is>
          <t>Nivea Invisible Finish Spf 50+ Sun Milk Protect &amp; Moisture Sun Milk 150 Ml</t>
        </is>
      </c>
      <c r="C9221" t="inlineStr">
        <is>
          <t>Body Sun Protection</t>
        </is>
      </c>
      <c r="D9221" t="inlineStr">
        <is>
          <t>Nivea</t>
        </is>
      </c>
      <c r="E9221" t="n">
        <v>14.72</v>
      </c>
      <c r="F9221" t="n">
        <v>1</v>
      </c>
      <c r="G9221" t="n">
        <v>48</v>
      </c>
      <c r="H9221" s="5">
        <f>HYPERLINK("https://api.qogita.com/variants/link/6001051006267/", "View Product")</f>
        <v/>
      </c>
    </row>
    <row r="9222">
      <c r="A9222" t="inlineStr">
        <is>
          <t>6001087364690</t>
        </is>
      </c>
      <c r="B9222" t="inlineStr">
        <is>
          <t>Axe Deodorant Body Spray Wild Spice 150ml</t>
        </is>
      </c>
      <c r="C9222" t="inlineStr">
        <is>
          <t>Deodorant &amp; Anti-Perspirant</t>
        </is>
      </c>
      <c r="D9222" t="inlineStr">
        <is>
          <t>Axe</t>
        </is>
      </c>
      <c r="E9222" t="n">
        <v>2.84</v>
      </c>
      <c r="F9222" t="n">
        <v>1</v>
      </c>
      <c r="G9222" t="n">
        <v>2</v>
      </c>
      <c r="H9222" s="5">
        <f>HYPERLINK("https://api.qogita.com/variants/link/6001087364690/", "View Product")</f>
        <v/>
      </c>
    </row>
    <row r="9223">
      <c r="A9223" t="inlineStr">
        <is>
          <t>6001159113102</t>
        </is>
      </c>
      <c r="B9223" t="inlineStr">
        <is>
          <t>Bi-Oil Purcellin Oil Volume 125 ml</t>
        </is>
      </c>
      <c r="C9223" t="inlineStr">
        <is>
          <t>Body Oil</t>
        </is>
      </c>
      <c r="D9223" t="inlineStr">
        <is>
          <t>Bi-Oil</t>
        </is>
      </c>
      <c r="E9223" t="n">
        <v>11.31</v>
      </c>
      <c r="F9223" t="n">
        <v>1</v>
      </c>
      <c r="G9223" t="n">
        <v>5</v>
      </c>
      <c r="H9223" s="5">
        <f>HYPERLINK("https://api.qogita.com/variants/link/6001159113102/", "View Product")</f>
        <v/>
      </c>
    </row>
    <row r="9224">
      <c r="A9224" t="inlineStr">
        <is>
          <t>6084000005993</t>
        </is>
      </c>
      <c r="B9224" t="inlineStr">
        <is>
          <t>Chic Shaik No.70 by Shaik Eau de Parfum Spray 80ml</t>
        </is>
      </c>
      <c r="C9224" t="inlineStr">
        <is>
          <t>Eau De Parfum</t>
        </is>
      </c>
      <c r="D9224" t="inlineStr">
        <is>
          <t>Shaik</t>
        </is>
      </c>
      <c r="E9224" t="n">
        <v>143.84</v>
      </c>
      <c r="F9224" t="n">
        <v>1</v>
      </c>
      <c r="G9224" t="n">
        <v>3</v>
      </c>
      <c r="H9224" s="5">
        <f>HYPERLINK("https://api.qogita.com/variants/link/6084000005993/", "View Product")</f>
        <v/>
      </c>
    </row>
    <row r="9225">
      <c r="A9225" t="inlineStr">
        <is>
          <t>6084000008512</t>
        </is>
      </c>
      <c r="B9225" t="inlineStr">
        <is>
          <t>Opulent Shaik Saphire No. 77 by Shaik Eau De Parfum Spray 2.7oz 80ml for Men</t>
        </is>
      </c>
      <c r="C9225" t="inlineStr">
        <is>
          <t>Eau De Parfum</t>
        </is>
      </c>
      <c r="D9225" t="inlineStr">
        <is>
          <t>Shaik</t>
        </is>
      </c>
      <c r="E9225" t="n">
        <v>184.5</v>
      </c>
      <c r="F9225" t="n">
        <v>1</v>
      </c>
      <c r="G9225" t="n">
        <v>13</v>
      </c>
      <c r="H9225" s="5">
        <f>HYPERLINK("https://api.qogita.com/variants/link/6084000008512/", "View Product")</f>
        <v/>
      </c>
    </row>
    <row r="9226">
      <c r="A9226" t="inlineStr">
        <is>
          <t>6085010041056</t>
        </is>
      </c>
      <c r="B9226" t="inlineStr">
        <is>
          <t>ARMAF Tag Him Prestige Edition Eau De Toilette 100ml</t>
        </is>
      </c>
      <c r="C9226" t="inlineStr">
        <is>
          <t>Eau De Toilette</t>
        </is>
      </c>
      <c r="D9226" t="inlineStr">
        <is>
          <t>Armaf</t>
        </is>
      </c>
      <c r="E9226" t="n">
        <v>13.37</v>
      </c>
      <c r="F9226" t="n">
        <v>1</v>
      </c>
      <c r="G9226" t="n">
        <v>42</v>
      </c>
      <c r="H9226" s="5">
        <f>HYPERLINK("https://api.qogita.com/variants/link/6085010041056/", "View Product")</f>
        <v/>
      </c>
    </row>
    <row r="9227">
      <c r="A9227" t="inlineStr">
        <is>
          <t>6085010044965</t>
        </is>
      </c>
      <c r="B9227" t="inlineStr">
        <is>
          <t>Derby Club House Blanche Eau De Toilette Spray 100ml</t>
        </is>
      </c>
      <c r="C9227" t="inlineStr">
        <is>
          <t>Eau De Toilette</t>
        </is>
      </c>
      <c r="D9227" t="inlineStr">
        <is>
          <t>Derby Club House</t>
        </is>
      </c>
      <c r="E9227" t="n">
        <v>13.23</v>
      </c>
      <c r="F9227" t="n">
        <v>1</v>
      </c>
      <c r="G9227" t="n">
        <v>15</v>
      </c>
      <c r="H9227" s="5">
        <f>HYPERLINK("https://api.qogita.com/variants/link/6085010044965/", "View Product")</f>
        <v/>
      </c>
    </row>
    <row r="9228">
      <c r="A9228" t="inlineStr">
        <is>
          <t>6085010092072</t>
        </is>
      </c>
      <c r="B9228" t="inlineStr">
        <is>
          <t>Armaf Derby Club House Eau De Toilette Spray 100ml</t>
        </is>
      </c>
      <c r="C9228" t="inlineStr">
        <is>
          <t>Eau De Toilette</t>
        </is>
      </c>
      <c r="D9228" t="inlineStr">
        <is>
          <t>Armaf</t>
        </is>
      </c>
      <c r="E9228" t="n">
        <v>11.54</v>
      </c>
      <c r="F9228" t="n">
        <v>1</v>
      </c>
      <c r="G9228" t="n">
        <v>9</v>
      </c>
      <c r="H9228" s="5">
        <f>HYPERLINK("https://api.qogita.com/variants/link/6085010092072/", "View Product")</f>
        <v/>
      </c>
    </row>
    <row r="9229">
      <c r="A9229" t="inlineStr">
        <is>
          <t>6200000720210</t>
        </is>
      </c>
      <c r="B9229" t="inlineStr">
        <is>
          <t>Paris Corner Emir Vibrant Orange And Neroli Eau De Parfum 100ml</t>
        </is>
      </c>
      <c r="C9229" t="inlineStr">
        <is>
          <t>Eau De Parfum</t>
        </is>
      </c>
      <c r="D9229" t="inlineStr">
        <is>
          <t>Paris Corner</t>
        </is>
      </c>
      <c r="E9229" t="n">
        <v>15.19</v>
      </c>
      <c r="F9229" t="n">
        <v>1</v>
      </c>
      <c r="G9229" t="n">
        <v>31</v>
      </c>
      <c r="H9229" s="5">
        <f>HYPERLINK("https://api.qogita.com/variants/link/6200000720210/", "View Product")</f>
        <v/>
      </c>
    </row>
    <row r="9230">
      <c r="A9230" t="inlineStr">
        <is>
          <t>6246717622133</t>
        </is>
      </c>
      <c r="B9230" t="inlineStr">
        <is>
          <t>Emir Metalico Eau De Parfum 100ml</t>
        </is>
      </c>
      <c r="C9230" t="inlineStr">
        <is>
          <t>Eau De Parfum</t>
        </is>
      </c>
      <c r="D9230" t="inlineStr">
        <is>
          <t>Emir</t>
        </is>
      </c>
      <c r="E9230" t="n">
        <v>18.74</v>
      </c>
      <c r="F9230" t="n">
        <v>1</v>
      </c>
      <c r="G9230" t="n">
        <v>2</v>
      </c>
      <c r="H9230" s="5">
        <f>HYPERLINK("https://api.qogita.com/variants/link/6246717622133/", "View Product")</f>
        <v/>
      </c>
    </row>
    <row r="9231">
      <c r="A9231" t="inlineStr">
        <is>
          <t>6246717622324</t>
        </is>
      </c>
      <c r="B9231" t="inlineStr">
        <is>
          <t>Paris Corner Manaal Eau De Parfum 100ml</t>
        </is>
      </c>
      <c r="C9231" t="inlineStr">
        <is>
          <t>Eau De Parfum</t>
        </is>
      </c>
      <c r="D9231" t="inlineStr">
        <is>
          <t>Paris Corner</t>
        </is>
      </c>
      <c r="E9231" t="n">
        <v>12.08</v>
      </c>
      <c r="F9231" t="n">
        <v>1</v>
      </c>
      <c r="G9231" t="n">
        <v>47</v>
      </c>
      <c r="H9231" s="5">
        <f>HYPERLINK("https://api.qogita.com/variants/link/6246717622324/", "View Product")</f>
        <v/>
      </c>
    </row>
    <row r="9232">
      <c r="A9232" t="inlineStr">
        <is>
          <t>6285584011626</t>
        </is>
      </c>
      <c r="B9232" t="inlineStr">
        <is>
          <t>Riiffs La Nuit De Rose Eau De Parfum 100 Ml</t>
        </is>
      </c>
      <c r="C9232" t="inlineStr">
        <is>
          <t>Eau De Parfum</t>
        </is>
      </c>
      <c r="D9232" t="inlineStr">
        <is>
          <t>Riiffs</t>
        </is>
      </c>
      <c r="E9232" t="n">
        <v>13.09</v>
      </c>
      <c r="F9232" t="n">
        <v>1</v>
      </c>
      <c r="G9232" t="n">
        <v>36</v>
      </c>
      <c r="H9232" s="5">
        <f>HYPERLINK("https://api.qogita.com/variants/link/6285584011626/", "View Product")</f>
        <v/>
      </c>
    </row>
    <row r="9233">
      <c r="A9233" t="inlineStr">
        <is>
          <t>6290025488356</t>
        </is>
      </c>
      <c r="B9233" t="inlineStr">
        <is>
          <t>North Stag Expressions Iii Trois Extrait De Parfum Spray 100ml</t>
        </is>
      </c>
      <c r="C9233" t="inlineStr">
        <is>
          <t>Extrait De Parfum</t>
        </is>
      </c>
      <c r="D9233" t="inlineStr">
        <is>
          <t>Northeast Stag</t>
        </is>
      </c>
      <c r="E9233" t="n">
        <v>22.27</v>
      </c>
      <c r="F9233" t="n">
        <v>1</v>
      </c>
      <c r="G9233" t="n">
        <v>32</v>
      </c>
      <c r="H9233" s="5">
        <f>HYPERLINK("https://api.qogita.com/variants/link/6290025488356/", "View Product")</f>
        <v/>
      </c>
    </row>
    <row r="9234">
      <c r="A9234" t="inlineStr">
        <is>
          <t>6290025488363</t>
        </is>
      </c>
      <c r="B9234" t="inlineStr">
        <is>
          <t>North Stag Expressions Iv Quatre Extrait De Parfum 100ml</t>
        </is>
      </c>
      <c r="C9234" t="inlineStr">
        <is>
          <t>Extrait De Parfum</t>
        </is>
      </c>
      <c r="D9234" t="inlineStr">
        <is>
          <t>North Stag</t>
        </is>
      </c>
      <c r="E9234" t="n">
        <v>22.47</v>
      </c>
      <c r="F9234" t="n">
        <v>1</v>
      </c>
      <c r="G9234" t="n">
        <v>143</v>
      </c>
      <c r="H9234" s="5">
        <f>HYPERLINK("https://api.qogita.com/variants/link/6290025488363/", "View Product")</f>
        <v/>
      </c>
    </row>
    <row r="9235">
      <c r="A9235" t="inlineStr">
        <is>
          <t>6290064558416</t>
        </is>
      </c>
      <c r="B9235" t="inlineStr">
        <is>
          <t>Paris Corner Eternal Coffee Eau De Parfum Spray 85ml</t>
        </is>
      </c>
      <c r="C9235" t="inlineStr">
        <is>
          <t>Eau De Parfum</t>
        </is>
      </c>
      <c r="D9235" t="inlineStr">
        <is>
          <t>Paris Corner</t>
        </is>
      </c>
      <c r="E9235" t="n">
        <v>8.73</v>
      </c>
      <c r="F9235" t="n">
        <v>1</v>
      </c>
      <c r="G9235" t="n">
        <v>30</v>
      </c>
      <c r="H9235" s="5">
        <f>HYPERLINK("https://api.qogita.com/variants/link/6290064558416/", "View Product")</f>
        <v/>
      </c>
    </row>
    <row r="9236">
      <c r="A9236" t="inlineStr">
        <is>
          <t>6290066558414</t>
        </is>
      </c>
      <c r="B9236" t="inlineStr">
        <is>
          <t>Paris Corner Eternal Musk Eau De Parfum 85ml</t>
        </is>
      </c>
      <c r="C9236" t="inlineStr">
        <is>
          <t>Eau De Parfum</t>
        </is>
      </c>
      <c r="D9236" t="inlineStr">
        <is>
          <t>Paris Corner</t>
        </is>
      </c>
      <c r="E9236" t="n">
        <v>12.39</v>
      </c>
      <c r="F9236" t="n">
        <v>1</v>
      </c>
      <c r="G9236" t="n">
        <v>36</v>
      </c>
      <c r="H9236" s="5">
        <f>HYPERLINK("https://api.qogita.com/variants/link/6290066558414/", "View Product")</f>
        <v/>
      </c>
    </row>
    <row r="9237">
      <c r="A9237" t="inlineStr">
        <is>
          <t>6290171000976</t>
        </is>
      </c>
      <c r="B9237" t="inlineStr">
        <is>
          <t>Afnan Supremacy Silver Pour Homme Eau De Parfum 100ml</t>
        </is>
      </c>
      <c r="C9237" t="inlineStr">
        <is>
          <t>Eau De Parfum</t>
        </is>
      </c>
      <c r="D9237" t="inlineStr">
        <is>
          <t>Afnan</t>
        </is>
      </c>
      <c r="E9237" t="n">
        <v>19.48</v>
      </c>
      <c r="F9237" t="n">
        <v>1</v>
      </c>
      <c r="G9237" t="n">
        <v>12</v>
      </c>
      <c r="H9237" s="5">
        <f>HYPERLINK("https://api.qogita.com/variants/link/6290171000976/", "View Product")</f>
        <v/>
      </c>
    </row>
    <row r="9238">
      <c r="A9238" t="inlineStr">
        <is>
          <t>6290171001966</t>
        </is>
      </c>
      <c r="B9238" t="inlineStr">
        <is>
          <t>Afnan Modest Une Eau De Parfum 100ml For Men</t>
        </is>
      </c>
      <c r="C9238" t="inlineStr">
        <is>
          <t>Eau De Parfum</t>
        </is>
      </c>
      <c r="D9238" t="inlineStr">
        <is>
          <t>Afnan</t>
        </is>
      </c>
      <c r="E9238" t="n">
        <v>15.82</v>
      </c>
      <c r="F9238" t="n">
        <v>1</v>
      </c>
      <c r="G9238" t="n">
        <v>29</v>
      </c>
      <c r="H9238" s="5">
        <f>HYPERLINK("https://api.qogita.com/variants/link/6290171001966/", "View Product")</f>
        <v/>
      </c>
    </row>
    <row r="9239">
      <c r="A9239" t="inlineStr">
        <is>
          <t>6290171002055</t>
        </is>
      </c>
      <c r="B9239" t="inlineStr">
        <is>
          <t>Afnan Supremacy Purple Eau De Parfum Spray 100ml</t>
        </is>
      </c>
      <c r="C9239" t="inlineStr">
        <is>
          <t>Eau De Parfum</t>
        </is>
      </c>
      <c r="D9239" t="inlineStr">
        <is>
          <t>Afnan</t>
        </is>
      </c>
      <c r="E9239" t="n">
        <v>20.9</v>
      </c>
      <c r="F9239" t="n">
        <v>1</v>
      </c>
      <c r="G9239" t="n">
        <v>8</v>
      </c>
      <c r="H9239" s="5">
        <f>HYPERLINK("https://api.qogita.com/variants/link/6290171002055/", "View Product")</f>
        <v/>
      </c>
    </row>
    <row r="9240">
      <c r="A9240" t="inlineStr">
        <is>
          <t>6290171002062</t>
        </is>
      </c>
      <c r="B9240" t="inlineStr">
        <is>
          <t>Afnan Inara White Eau De Parfum 100ml Unisex Spray</t>
        </is>
      </c>
      <c r="C9240" t="inlineStr">
        <is>
          <t>Eau De Parfum</t>
        </is>
      </c>
      <c r="D9240" t="inlineStr">
        <is>
          <t>Afnan</t>
        </is>
      </c>
      <c r="E9240" t="n">
        <v>10.03</v>
      </c>
      <c r="F9240" t="n">
        <v>1</v>
      </c>
      <c r="G9240" t="n">
        <v>14</v>
      </c>
      <c r="H9240" s="5">
        <f>HYPERLINK("https://api.qogita.com/variants/link/6290171002062/", "View Product")</f>
        <v/>
      </c>
    </row>
    <row r="9241">
      <c r="A9241" t="inlineStr">
        <is>
          <t>6290171002079</t>
        </is>
      </c>
      <c r="B9241" t="inlineStr">
        <is>
          <t>Afnan Inara Black Eau De Parfum 100ml Unisex</t>
        </is>
      </c>
      <c r="C9241" t="inlineStr">
        <is>
          <t>Eau De Parfum</t>
        </is>
      </c>
      <c r="D9241" t="inlineStr">
        <is>
          <t>Afnan</t>
        </is>
      </c>
      <c r="E9241" t="n">
        <v>9.82</v>
      </c>
      <c r="F9241" t="n">
        <v>1</v>
      </c>
      <c r="G9241" t="n">
        <v>15</v>
      </c>
      <c r="H9241" s="5">
        <f>HYPERLINK("https://api.qogita.com/variants/link/6290171002079/", "View Product")</f>
        <v/>
      </c>
    </row>
    <row r="9242">
      <c r="A9242" t="inlineStr">
        <is>
          <t>6290171002154</t>
        </is>
      </c>
      <c r="B9242" t="inlineStr">
        <is>
          <t>Afnan Ornament Pour Homme Eau De Parfum Spray 100ml</t>
        </is>
      </c>
      <c r="C9242" t="inlineStr">
        <is>
          <t>Eau De Parfum</t>
        </is>
      </c>
      <c r="D9242" t="inlineStr">
        <is>
          <t>Afnan</t>
        </is>
      </c>
      <c r="E9242" t="n">
        <v>20.62</v>
      </c>
      <c r="F9242" t="n">
        <v>1</v>
      </c>
      <c r="G9242" t="n">
        <v>57</v>
      </c>
      <c r="H9242" s="5">
        <f>HYPERLINK("https://api.qogita.com/variants/link/6290171002154/", "View Product")</f>
        <v/>
      </c>
    </row>
    <row r="9243">
      <c r="A9243" t="inlineStr">
        <is>
          <t>6290171002345</t>
        </is>
      </c>
      <c r="B9243" t="inlineStr">
        <is>
          <t>Afnan 9 Am Eau De Parfum 100ml For Women</t>
        </is>
      </c>
      <c r="C9243" t="inlineStr">
        <is>
          <t>Eau De Parfum</t>
        </is>
      </c>
      <c r="D9243" t="inlineStr">
        <is>
          <t>Afnan</t>
        </is>
      </c>
      <c r="E9243" t="n">
        <v>18.7</v>
      </c>
      <c r="F9243" t="n">
        <v>1</v>
      </c>
      <c r="G9243" t="n">
        <v>432</v>
      </c>
      <c r="H9243" s="5">
        <f>HYPERLINK("https://api.qogita.com/variants/link/6290171002345/", "View Product")</f>
        <v/>
      </c>
    </row>
    <row r="9244">
      <c r="A9244" t="inlineStr">
        <is>
          <t>6290171002413</t>
        </is>
      </c>
      <c r="B9244" t="inlineStr">
        <is>
          <t>Afnan Naseej Al Zafaran Eau De Parfum 50ml Unisex Spray</t>
        </is>
      </c>
      <c r="C9244" t="inlineStr">
        <is>
          <t>Eau De Parfum</t>
        </is>
      </c>
      <c r="D9244" t="inlineStr">
        <is>
          <t>Afnan</t>
        </is>
      </c>
      <c r="E9244" t="n">
        <v>29.83</v>
      </c>
      <c r="F9244" t="n">
        <v>1</v>
      </c>
      <c r="G9244" t="n">
        <v>10</v>
      </c>
      <c r="H9244" s="5">
        <f>HYPERLINK("https://api.qogita.com/variants/link/6290171002413/", "View Product")</f>
        <v/>
      </c>
    </row>
    <row r="9245">
      <c r="A9245" t="inlineStr">
        <is>
          <t>6290171002420</t>
        </is>
      </c>
      <c r="B9245" t="inlineStr">
        <is>
          <t>Afnan Naseej Al Khuzama Eau De Parfum 50ml Unisex</t>
        </is>
      </c>
      <c r="C9245" t="inlineStr">
        <is>
          <t>Eau De Parfum</t>
        </is>
      </c>
      <c r="D9245" t="inlineStr">
        <is>
          <t>Afnan</t>
        </is>
      </c>
      <c r="E9245" t="n">
        <v>45.47</v>
      </c>
      <c r="F9245" t="n">
        <v>1</v>
      </c>
      <c r="G9245" t="n">
        <v>5</v>
      </c>
      <c r="H9245" s="5">
        <f>HYPERLINK("https://api.qogita.com/variants/link/6290171002420/", "View Product")</f>
        <v/>
      </c>
    </row>
    <row r="9246">
      <c r="A9246" t="inlineStr">
        <is>
          <t>6290171010180</t>
        </is>
      </c>
      <c r="B9246" t="inlineStr">
        <is>
          <t>Rue Broca Oh Tiara Ruby Eau De Parfum for Women 100ml</t>
        </is>
      </c>
      <c r="C9246" t="inlineStr">
        <is>
          <t>Eau De Parfum</t>
        </is>
      </c>
      <c r="D9246" t="inlineStr">
        <is>
          <t>Rue Broca</t>
        </is>
      </c>
      <c r="E9246" t="n">
        <v>12.23</v>
      </c>
      <c r="F9246" t="n">
        <v>1</v>
      </c>
      <c r="G9246" t="n">
        <v>9</v>
      </c>
      <c r="H9246" s="5">
        <f>HYPERLINK("https://api.qogita.com/variants/link/6290171010180/", "View Product")</f>
        <v/>
      </c>
    </row>
    <row r="9247">
      <c r="A9247" t="inlineStr">
        <is>
          <t>6290171010203</t>
        </is>
      </c>
      <c r="B9247" t="inlineStr">
        <is>
          <t>Rue Broca Touche by Rue Broca Eau de Parfum Spray 3.4 oz</t>
        </is>
      </c>
      <c r="C9247" t="inlineStr">
        <is>
          <t>Eau De Parfum</t>
        </is>
      </c>
      <c r="D9247" t="inlineStr">
        <is>
          <t>Rue Broca</t>
        </is>
      </c>
      <c r="E9247" t="n">
        <v>13.21</v>
      </c>
      <c r="F9247" t="n">
        <v>1</v>
      </c>
      <c r="G9247" t="n">
        <v>58</v>
      </c>
      <c r="H9247" s="5">
        <f>HYPERLINK("https://api.qogita.com/variants/link/6290171010203/", "View Product")</f>
        <v/>
      </c>
    </row>
    <row r="9248">
      <c r="A9248" t="inlineStr">
        <is>
          <t>6290171010210</t>
        </is>
      </c>
      <c r="B9248" t="inlineStr">
        <is>
          <t>Rue Broca Pride Intense Eau De Parfum Spray 100ml</t>
        </is>
      </c>
      <c r="C9248" t="inlineStr">
        <is>
          <t>Eau De Parfum</t>
        </is>
      </c>
      <c r="D9248" t="inlineStr">
        <is>
          <t>Rue Broca</t>
        </is>
      </c>
      <c r="E9248" t="n">
        <v>14.1</v>
      </c>
      <c r="F9248" t="n">
        <v>1</v>
      </c>
      <c r="G9248" t="n">
        <v>7</v>
      </c>
      <c r="H9248" s="5">
        <f>HYPERLINK("https://api.qogita.com/variants/link/6290171010210/", "View Product")</f>
        <v/>
      </c>
    </row>
    <row r="9249">
      <c r="A9249" t="inlineStr">
        <is>
          <t>6290171040668</t>
        </is>
      </c>
      <c r="B9249" t="inlineStr">
        <is>
          <t>Rue Broca R U Serious Her Eau De Parfum Spray 100ml</t>
        </is>
      </c>
      <c r="C9249" t="inlineStr">
        <is>
          <t>Eau De Parfum</t>
        </is>
      </c>
      <c r="D9249" t="inlineStr">
        <is>
          <t>Rue Broca</t>
        </is>
      </c>
      <c r="E9249" t="n">
        <v>13.57</v>
      </c>
      <c r="F9249" t="n">
        <v>1</v>
      </c>
      <c r="G9249" t="n">
        <v>57</v>
      </c>
      <c r="H9249" s="5">
        <f>HYPERLINK("https://api.qogita.com/variants/link/6290171040668/", "View Product")</f>
        <v/>
      </c>
    </row>
    <row r="9250">
      <c r="A9250" t="inlineStr">
        <is>
          <t>6290171040675</t>
        </is>
      </c>
      <c r="B9250" t="inlineStr">
        <is>
          <t>Afnan Violet Bouquet Eau De Parfum Spray 80ml</t>
        </is>
      </c>
      <c r="C9250" t="inlineStr">
        <is>
          <t>Eau De Parfum</t>
        </is>
      </c>
      <c r="D9250" t="inlineStr">
        <is>
          <t>Afnan</t>
        </is>
      </c>
      <c r="E9250" t="n">
        <v>30.3</v>
      </c>
      <c r="F9250" t="n">
        <v>1</v>
      </c>
      <c r="G9250" t="n">
        <v>69</v>
      </c>
      <c r="H9250" s="5">
        <f>HYPERLINK("https://api.qogita.com/variants/link/6290171040675/", "View Product")</f>
        <v/>
      </c>
    </row>
    <row r="9251">
      <c r="A9251" t="inlineStr">
        <is>
          <t>6290171070269</t>
        </is>
      </c>
      <c r="B9251" t="inlineStr">
        <is>
          <t>Zimaya Oud Is Great Extrait De Parfum 100ml Unisex Spray</t>
        </is>
      </c>
      <c r="C9251" t="inlineStr">
        <is>
          <t>Extrait De Parfum</t>
        </is>
      </c>
      <c r="D9251" t="inlineStr">
        <is>
          <t>Afnan</t>
        </is>
      </c>
      <c r="E9251" t="n">
        <v>14.92</v>
      </c>
      <c r="F9251" t="n">
        <v>1</v>
      </c>
      <c r="G9251" t="n">
        <v>17</v>
      </c>
      <c r="H9251" s="5">
        <f>HYPERLINK("https://api.qogita.com/variants/link/6290171070269/", "View Product")</f>
        <v/>
      </c>
    </row>
    <row r="9252">
      <c r="A9252" t="inlineStr">
        <is>
          <t>6290171070337</t>
        </is>
      </c>
      <c r="B9252" t="inlineStr">
        <is>
          <t>Afnan Tribute Pink Eau De Parfum Spray 100ml</t>
        </is>
      </c>
      <c r="C9252" t="inlineStr">
        <is>
          <t>Eau De Parfum</t>
        </is>
      </c>
      <c r="D9252" t="inlineStr">
        <is>
          <t>Afnan</t>
        </is>
      </c>
      <c r="E9252" t="n">
        <v>35.34</v>
      </c>
      <c r="F9252" t="n">
        <v>1</v>
      </c>
      <c r="G9252" t="n">
        <v>18</v>
      </c>
      <c r="H9252" s="5">
        <f>HYPERLINK("https://api.qogita.com/variants/link/6290171070337/", "View Product")</f>
        <v/>
      </c>
    </row>
    <row r="9253">
      <c r="A9253" t="inlineStr">
        <is>
          <t>6290171070580</t>
        </is>
      </c>
      <c r="B9253" t="inlineStr">
        <is>
          <t>Turathi Blue Pour Homme Eau De Parfum Spray 90ml</t>
        </is>
      </c>
      <c r="C9253" t="inlineStr">
        <is>
          <t>Eau De Parfum</t>
        </is>
      </c>
      <c r="D9253" t="inlineStr">
        <is>
          <t>Turathi</t>
        </is>
      </c>
      <c r="E9253" t="n">
        <v>22.76</v>
      </c>
      <c r="F9253" t="n">
        <v>1</v>
      </c>
      <c r="G9253" t="n">
        <v>459</v>
      </c>
      <c r="H9253" s="5">
        <f>HYPERLINK("https://api.qogita.com/variants/link/6290171070580/", "View Product")</f>
        <v/>
      </c>
    </row>
    <row r="9254">
      <c r="A9254" t="inlineStr">
        <is>
          <t>6290171070597</t>
        </is>
      </c>
      <c r="B9254" t="inlineStr">
        <is>
          <t>Afnan Turathi Red Eau De Parfum Spray 90ml</t>
        </is>
      </c>
      <c r="C9254" t="inlineStr">
        <is>
          <t>Eau De Parfum</t>
        </is>
      </c>
      <c r="D9254" t="inlineStr">
        <is>
          <t>Afnan</t>
        </is>
      </c>
      <c r="E9254" t="n">
        <v>24.76</v>
      </c>
      <c r="F9254" t="n">
        <v>1</v>
      </c>
      <c r="G9254" t="n">
        <v>3</v>
      </c>
      <c r="H9254" s="5">
        <f>HYPERLINK("https://api.qogita.com/variants/link/6290171070597/", "View Product")</f>
        <v/>
      </c>
    </row>
    <row r="9255">
      <c r="A9255" t="inlineStr">
        <is>
          <t>6290171070603</t>
        </is>
      </c>
      <c r="B9255" t="inlineStr">
        <is>
          <t>Afnan Turathi Brown Eau De Parfum Spray 90ml</t>
        </is>
      </c>
      <c r="C9255" t="inlineStr">
        <is>
          <t>Eau De Parfum</t>
        </is>
      </c>
      <c r="D9255" t="inlineStr">
        <is>
          <t>Afnan</t>
        </is>
      </c>
      <c r="E9255" t="n">
        <v>19.93</v>
      </c>
      <c r="F9255" t="n">
        <v>1</v>
      </c>
      <c r="G9255" t="n">
        <v>600</v>
      </c>
      <c r="H9255" s="5">
        <f>HYPERLINK("https://api.qogita.com/variants/link/6290171070603/", "View Product")</f>
        <v/>
      </c>
    </row>
    <row r="9256">
      <c r="A9256" t="inlineStr">
        <is>
          <t>6290171071013</t>
        </is>
      </c>
      <c r="B9256" t="inlineStr">
        <is>
          <t>Zimaya Rabab Blue Eau De Parfum 100ml</t>
        </is>
      </c>
      <c r="C9256" t="inlineStr">
        <is>
          <t>Eau De Parfum</t>
        </is>
      </c>
      <c r="D9256" t="inlineStr">
        <is>
          <t>Zimaya</t>
        </is>
      </c>
      <c r="E9256" t="n">
        <v>14.03</v>
      </c>
      <c r="F9256" t="n">
        <v>1</v>
      </c>
      <c r="G9256" t="n">
        <v>459</v>
      </c>
      <c r="H9256" s="5">
        <f>HYPERLINK("https://api.qogita.com/variants/link/6290171071013/", "View Product")</f>
        <v/>
      </c>
    </row>
    <row r="9257">
      <c r="A9257" t="inlineStr">
        <is>
          <t>6290171071037</t>
        </is>
      </c>
      <c r="B9257" t="inlineStr">
        <is>
          <t>Zimaya Brave Heart Eau De Parfum 100ml</t>
        </is>
      </c>
      <c r="C9257" t="inlineStr">
        <is>
          <t>Eau De Parfum</t>
        </is>
      </c>
      <c r="D9257" t="inlineStr">
        <is>
          <t>Zimaya</t>
        </is>
      </c>
      <c r="E9257" t="n">
        <v>13.61</v>
      </c>
      <c r="F9257" t="n">
        <v>1</v>
      </c>
      <c r="G9257" t="n">
        <v>32</v>
      </c>
      <c r="H9257" s="5">
        <f>HYPERLINK("https://api.qogita.com/variants/link/6290171071037/", "View Product")</f>
        <v/>
      </c>
    </row>
    <row r="9258">
      <c r="A9258" t="inlineStr">
        <is>
          <t>6290171071921</t>
        </is>
      </c>
      <c r="B9258" t="inlineStr">
        <is>
          <t>Afnan Edict Amberrythme Unisex Eau De Parfum 80ml</t>
        </is>
      </c>
      <c r="C9258" t="inlineStr">
        <is>
          <t>Eau De Parfum</t>
        </is>
      </c>
      <c r="D9258" t="inlineStr">
        <is>
          <t>Afnan</t>
        </is>
      </c>
      <c r="E9258" t="n">
        <v>56.77</v>
      </c>
      <c r="F9258" t="n">
        <v>1</v>
      </c>
      <c r="G9258" t="n">
        <v>5</v>
      </c>
      <c r="H9258" s="5">
        <f>HYPERLINK("https://api.qogita.com/variants/link/6290171071921/", "View Product")</f>
        <v/>
      </c>
    </row>
    <row r="9259">
      <c r="A9259" t="inlineStr">
        <is>
          <t>6290171072256</t>
        </is>
      </c>
      <c r="B9259" t="inlineStr">
        <is>
          <t>Zimaya Red Carpet Paragon Eau De Parfum 100ml Unisex Spray</t>
        </is>
      </c>
      <c r="C9259" t="inlineStr">
        <is>
          <t>Eau De Parfum</t>
        </is>
      </c>
      <c r="D9259" t="inlineStr">
        <is>
          <t>Zimaya</t>
        </is>
      </c>
      <c r="E9259" t="n">
        <v>11.83</v>
      </c>
      <c r="F9259" t="n">
        <v>1</v>
      </c>
      <c r="G9259" t="n">
        <v>66</v>
      </c>
      <c r="H9259" s="5">
        <f>HYPERLINK("https://api.qogita.com/variants/link/6290171072256/", "View Product")</f>
        <v/>
      </c>
    </row>
    <row r="9260">
      <c r="A9260" t="inlineStr">
        <is>
          <t>6290171072287</t>
        </is>
      </c>
      <c r="B9260" t="inlineStr">
        <is>
          <t>Zimaya Royal Paragon Eau De Parfum 100ml Unisex Spray</t>
        </is>
      </c>
      <c r="C9260" t="inlineStr">
        <is>
          <t>Eau De Parfum</t>
        </is>
      </c>
      <c r="D9260" t="inlineStr">
        <is>
          <t>Zimaya</t>
        </is>
      </c>
      <c r="E9260" t="n">
        <v>14.09</v>
      </c>
      <c r="F9260" t="n">
        <v>1</v>
      </c>
      <c r="G9260" t="n">
        <v>122</v>
      </c>
      <c r="H9260" s="5">
        <f>HYPERLINK("https://api.qogita.com/variants/link/6290171072287/", "View Product")</f>
        <v/>
      </c>
    </row>
    <row r="9261">
      <c r="A9261" t="inlineStr">
        <is>
          <t>6290171072591</t>
        </is>
      </c>
      <c r="B9261" t="inlineStr">
        <is>
          <t>Afnan 9 Am Pour Femme Eau De Parfum Spray 100ml</t>
        </is>
      </c>
      <c r="C9261" t="inlineStr">
        <is>
          <t>Eau De Parfum</t>
        </is>
      </c>
      <c r="D9261" t="inlineStr">
        <is>
          <t>Afnan</t>
        </is>
      </c>
      <c r="E9261" t="n">
        <v>18.61</v>
      </c>
      <c r="F9261" t="n">
        <v>1</v>
      </c>
      <c r="G9261" t="n">
        <v>80</v>
      </c>
      <c r="H9261" s="5">
        <f>HYPERLINK("https://api.qogita.com/variants/link/6290171072591/", "View Product")</f>
        <v/>
      </c>
    </row>
    <row r="9262">
      <c r="A9262" t="inlineStr">
        <is>
          <t>6290171072805</t>
        </is>
      </c>
      <c r="B9262" t="inlineStr">
        <is>
          <t>Zimaya Reflect Eau De Parfum 100ml</t>
        </is>
      </c>
      <c r="C9262" t="inlineStr">
        <is>
          <t>Eau De Parfum</t>
        </is>
      </c>
      <c r="D9262" t="inlineStr">
        <is>
          <t>Zimaya</t>
        </is>
      </c>
      <c r="E9262" t="n">
        <v>13.77</v>
      </c>
      <c r="F9262" t="n">
        <v>1</v>
      </c>
      <c r="G9262" t="n">
        <v>16</v>
      </c>
      <c r="H9262" s="5">
        <f>HYPERLINK("https://api.qogita.com/variants/link/6290171072805/", "View Product")</f>
        <v/>
      </c>
    </row>
    <row r="9263">
      <c r="A9263" t="inlineStr">
        <is>
          <t>6290171072836</t>
        </is>
      </c>
      <c r="B9263" t="inlineStr">
        <is>
          <t>Afnan 9am Dive Eau De Parfum 100ml Spray Unisex Fragrance</t>
        </is>
      </c>
      <c r="C9263" t="inlineStr">
        <is>
          <t>Eau De Parfum</t>
        </is>
      </c>
      <c r="D9263" t="inlineStr">
        <is>
          <t>Afnan</t>
        </is>
      </c>
      <c r="E9263" t="n">
        <v>21.01</v>
      </c>
      <c r="F9263" t="n">
        <v>1</v>
      </c>
      <c r="G9263" t="n">
        <v>459</v>
      </c>
      <c r="H9263" s="5">
        <f>HYPERLINK("https://api.qogita.com/variants/link/6290171072836/", "View Product")</f>
        <v/>
      </c>
    </row>
    <row r="9264">
      <c r="A9264" t="inlineStr">
        <is>
          <t>6290171072898</t>
        </is>
      </c>
      <c r="B9264" t="inlineStr">
        <is>
          <t>Zimaya Luxor Eau De Parfum Spray 100ml</t>
        </is>
      </c>
      <c r="C9264" t="inlineStr">
        <is>
          <t>Eau De Parfum</t>
        </is>
      </c>
      <c r="D9264" t="inlineStr">
        <is>
          <t>Zimaya</t>
        </is>
      </c>
      <c r="E9264" t="n">
        <v>13.42</v>
      </c>
      <c r="F9264" t="n">
        <v>1</v>
      </c>
      <c r="G9264" t="n">
        <v>22</v>
      </c>
      <c r="H9264" s="5">
        <f>HYPERLINK("https://api.qogita.com/variants/link/6290171072898/", "View Product")</f>
        <v/>
      </c>
    </row>
    <row r="9265">
      <c r="A9265" t="inlineStr">
        <is>
          <t>6290171072980</t>
        </is>
      </c>
      <c r="B9265" t="inlineStr">
        <is>
          <t>Afnan 9 PM Gift Set Eau de Parfum 100ml Shower Gel 200ml Deo 250ml for Men</t>
        </is>
      </c>
      <c r="C9265" t="inlineStr">
        <is>
          <t>Fragrance Sets</t>
        </is>
      </c>
      <c r="D9265" t="inlineStr">
        <is>
          <t>Afnan</t>
        </is>
      </c>
      <c r="E9265" t="n">
        <v>40.19</v>
      </c>
      <c r="F9265" t="n">
        <v>1</v>
      </c>
      <c r="G9265" t="n">
        <v>31</v>
      </c>
      <c r="H9265" s="5">
        <f>HYPERLINK("https://api.qogita.com/variants/link/6290171072980/", "View Product")</f>
        <v/>
      </c>
    </row>
    <row r="9266">
      <c r="A9266" t="inlineStr">
        <is>
          <t>6290171073307</t>
        </is>
      </c>
      <c r="B9266" t="inlineStr">
        <is>
          <t>Zimaya Taraf White Eau De Parfum Spray 100ml</t>
        </is>
      </c>
      <c r="C9266" t="inlineStr">
        <is>
          <t>Eau De Parfum</t>
        </is>
      </c>
      <c r="D9266" t="inlineStr">
        <is>
          <t>Zimaya</t>
        </is>
      </c>
      <c r="E9266" t="n">
        <v>11.75</v>
      </c>
      <c r="F9266" t="n">
        <v>1</v>
      </c>
      <c r="G9266" t="n">
        <v>129</v>
      </c>
      <c r="H9266" s="5">
        <f>HYPERLINK("https://api.qogita.com/variants/link/6290171073307/", "View Product")</f>
        <v/>
      </c>
    </row>
    <row r="9267">
      <c r="A9267" t="inlineStr">
        <is>
          <t>6290171073314</t>
        </is>
      </c>
      <c r="B9267" t="inlineStr">
        <is>
          <t>Zimaya Taraf Black Eau De Parfum 100ml</t>
        </is>
      </c>
      <c r="C9267" t="inlineStr">
        <is>
          <t>Eau De Parfum</t>
        </is>
      </c>
      <c r="D9267" t="inlineStr">
        <is>
          <t>Zimaya</t>
        </is>
      </c>
      <c r="E9267" t="n">
        <v>9.41</v>
      </c>
      <c r="F9267" t="n">
        <v>1</v>
      </c>
      <c r="G9267" t="n">
        <v>21</v>
      </c>
      <c r="H9267" s="5">
        <f>HYPERLINK("https://api.qogita.com/variants/link/6290171073314/", "View Product")</f>
        <v/>
      </c>
    </row>
    <row r="9268">
      <c r="A9268" t="inlineStr">
        <is>
          <t>6290171073536</t>
        </is>
      </c>
      <c r="B9268" t="inlineStr">
        <is>
          <t>Rue Broca Luminus by Rue Broca Eau De Parfum Spray 3.4 oz for Women</t>
        </is>
      </c>
      <c r="C9268" t="inlineStr">
        <is>
          <t>Eau De Parfum</t>
        </is>
      </c>
      <c r="D9268" t="inlineStr">
        <is>
          <t>Rue Broca</t>
        </is>
      </c>
      <c r="E9268" t="n">
        <v>13.21</v>
      </c>
      <c r="F9268" t="n">
        <v>1</v>
      </c>
      <c r="G9268" t="n">
        <v>29</v>
      </c>
      <c r="H9268" s="5">
        <f>HYPERLINK("https://api.qogita.com/variants/link/6290171073536/", "View Product")</f>
        <v/>
      </c>
    </row>
    <row r="9269">
      <c r="A9269" t="inlineStr">
        <is>
          <t>6290171073628</t>
        </is>
      </c>
      <c r="B9269" t="inlineStr">
        <is>
          <t>Zimaya Hayam Eau De Parfum 100ml</t>
        </is>
      </c>
      <c r="C9269" t="inlineStr">
        <is>
          <t>Eau De Parfum</t>
        </is>
      </c>
      <c r="D9269" t="inlineStr">
        <is>
          <t>Zimaya</t>
        </is>
      </c>
      <c r="E9269" t="n">
        <v>11.29</v>
      </c>
      <c r="F9269" t="n">
        <v>1</v>
      </c>
      <c r="G9269" t="n">
        <v>11</v>
      </c>
      <c r="H9269" s="5">
        <f>HYPERLINK("https://api.qogita.com/variants/link/6290171073628/", "View Product")</f>
        <v/>
      </c>
    </row>
    <row r="9270">
      <c r="A9270" t="inlineStr">
        <is>
          <t>6290171073659</t>
        </is>
      </c>
      <c r="B9270" t="inlineStr">
        <is>
          <t>Riiffs Prive Noir Men's Perfume Eau de Parfum 100ml</t>
        </is>
      </c>
      <c r="C9270" t="inlineStr">
        <is>
          <t>Eau De Parfum</t>
        </is>
      </c>
      <c r="D9270" t="inlineStr">
        <is>
          <t>Riiffs</t>
        </is>
      </c>
      <c r="E9270" t="n">
        <v>12.42</v>
      </c>
      <c r="F9270" t="n">
        <v>1</v>
      </c>
      <c r="G9270" t="n">
        <v>33</v>
      </c>
      <c r="H9270" s="5">
        <f>HYPERLINK("https://api.qogita.com/variants/link/6290171073659/", "View Product")</f>
        <v/>
      </c>
    </row>
    <row r="9271">
      <c r="A9271" t="inlineStr">
        <is>
          <t>6290171073796</t>
        </is>
      </c>
      <c r="B9271" t="inlineStr">
        <is>
          <t>RiiFFS Goodness Oud Blanc for Women Eau de Parfum Natural Spray 100ml</t>
        </is>
      </c>
      <c r="C9271" t="inlineStr">
        <is>
          <t>Eau De Parfum</t>
        </is>
      </c>
      <c r="D9271" t="inlineStr">
        <is>
          <t>Riiffs</t>
        </is>
      </c>
      <c r="E9271" t="n">
        <v>12.75</v>
      </c>
      <c r="F9271" t="n">
        <v>1</v>
      </c>
      <c r="G9271" t="n">
        <v>13</v>
      </c>
      <c r="H9271" s="5">
        <f>HYPERLINK("https://api.qogita.com/variants/link/6290171073796/", "View Product")</f>
        <v/>
      </c>
    </row>
    <row r="9272">
      <c r="A9272" t="inlineStr">
        <is>
          <t>6290171073802</t>
        </is>
      </c>
      <c r="B9272" t="inlineStr">
        <is>
          <t>Goodness Oud Rouge Ladies 100ml EDP RiiFFS Free P&amp;P</t>
        </is>
      </c>
      <c r="C9272" t="inlineStr">
        <is>
          <t>Eau De Parfum</t>
        </is>
      </c>
      <c r="D9272" t="inlineStr">
        <is>
          <t>Riiffs</t>
        </is>
      </c>
      <c r="E9272" t="n">
        <v>12.75</v>
      </c>
      <c r="F9272" t="n">
        <v>1</v>
      </c>
      <c r="G9272" t="n">
        <v>36</v>
      </c>
      <c r="H9272" s="5">
        <f>HYPERLINK("https://api.qogita.com/variants/link/6290171073802/", "View Product")</f>
        <v/>
      </c>
    </row>
    <row r="9273">
      <c r="A9273" t="inlineStr">
        <is>
          <t>6290171073925</t>
        </is>
      </c>
      <c r="B9273" t="inlineStr">
        <is>
          <t>Portrait Abstract Perfumed Extract Volume 100 ml</t>
        </is>
      </c>
      <c r="C9273" t="inlineStr">
        <is>
          <t>Extrait De Parfum</t>
        </is>
      </c>
      <c r="D9273" t="inlineStr">
        <is>
          <t>Afnan</t>
        </is>
      </c>
      <c r="E9273" t="n">
        <v>29.11</v>
      </c>
      <c r="F9273" t="n">
        <v>1</v>
      </c>
      <c r="G9273" t="n">
        <v>41</v>
      </c>
      <c r="H9273" s="5">
        <f>HYPERLINK("https://api.qogita.com/variants/link/6290171073925/", "View Product")</f>
        <v/>
      </c>
    </row>
    <row r="9274">
      <c r="A9274" t="inlineStr">
        <is>
          <t>6290171073932</t>
        </is>
      </c>
      <c r="B9274" t="inlineStr">
        <is>
          <t>Afnan Portrait Revival Eau De Parfum Spray 100ml</t>
        </is>
      </c>
      <c r="C9274" t="inlineStr">
        <is>
          <t>Eau De Parfum</t>
        </is>
      </c>
      <c r="D9274" t="inlineStr">
        <is>
          <t>Afnan</t>
        </is>
      </c>
      <c r="E9274" t="n">
        <v>28.16</v>
      </c>
      <c r="F9274" t="n">
        <v>1</v>
      </c>
      <c r="G9274" t="n">
        <v>72</v>
      </c>
      <c r="H9274" s="5">
        <f>HYPERLINK("https://api.qogita.com/variants/link/6290171073932/", "View Product")</f>
        <v/>
      </c>
    </row>
    <row r="9275">
      <c r="A9275" t="inlineStr">
        <is>
          <t>6290171073956</t>
        </is>
      </c>
      <c r="B9275" t="inlineStr">
        <is>
          <t>Afnan Supremacy Gala Extrait de Parfum 90ml</t>
        </is>
      </c>
      <c r="C9275" t="inlineStr">
        <is>
          <t>Extrait De Parfum</t>
        </is>
      </c>
      <c r="D9275" t="inlineStr">
        <is>
          <t>Afnan</t>
        </is>
      </c>
      <c r="E9275" t="n">
        <v>35.33</v>
      </c>
      <c r="F9275" t="n">
        <v>1</v>
      </c>
      <c r="G9275" t="n">
        <v>44</v>
      </c>
      <c r="H9275" s="5">
        <f>HYPERLINK("https://api.qogita.com/variants/link/6290171073956/", "View Product")</f>
        <v/>
      </c>
    </row>
    <row r="9276">
      <c r="A9276" t="inlineStr">
        <is>
          <t>6290171074021</t>
        </is>
      </c>
      <c r="B9276" t="inlineStr">
        <is>
          <t>Rue Broca Exotic Heritage Eau De Parfum Spray 100ml</t>
        </is>
      </c>
      <c r="C9276" t="inlineStr">
        <is>
          <t>Eau De Parfum</t>
        </is>
      </c>
      <c r="D9276" t="inlineStr">
        <is>
          <t>Rue Broca</t>
        </is>
      </c>
      <c r="E9276" t="n">
        <v>13.65</v>
      </c>
      <c r="F9276" t="n">
        <v>1</v>
      </c>
      <c r="G9276" t="n">
        <v>2</v>
      </c>
      <c r="H9276" s="5">
        <f>HYPERLINK("https://api.qogita.com/variants/link/6290171074021/", "View Product")</f>
        <v/>
      </c>
    </row>
    <row r="9277">
      <c r="A9277" t="inlineStr">
        <is>
          <t>6290171074045</t>
        </is>
      </c>
      <c r="B9277" t="inlineStr">
        <is>
          <t>On Time Pour Homme - Eau de Parfum Volume 100 ml</t>
        </is>
      </c>
      <c r="C9277" t="inlineStr">
        <is>
          <t>Eau De Parfum</t>
        </is>
      </c>
      <c r="D9277" t="inlineStr">
        <is>
          <t>Rue Broca</t>
        </is>
      </c>
      <c r="E9277" t="n">
        <v>14.14</v>
      </c>
      <c r="F9277" t="n">
        <v>1</v>
      </c>
      <c r="G9277" t="n">
        <v>51</v>
      </c>
      <c r="H9277" s="5">
        <f>HYPERLINK("https://api.qogita.com/variants/link/6290171074045/", "View Product")</f>
        <v/>
      </c>
    </row>
    <row r="9278">
      <c r="A9278" t="inlineStr">
        <is>
          <t>6290171074052</t>
        </is>
      </c>
      <c r="B9278" t="inlineStr">
        <is>
          <t>Zimaya Mazaaj Eau De Parfum Spray 100ml</t>
        </is>
      </c>
      <c r="C9278" t="inlineStr">
        <is>
          <t>Eau De Parfum</t>
        </is>
      </c>
      <c r="D9278" t="inlineStr">
        <is>
          <t>Zimaya</t>
        </is>
      </c>
      <c r="E9278" t="n">
        <v>15.55</v>
      </c>
      <c r="F9278" t="n">
        <v>1</v>
      </c>
      <c r="G9278" t="n">
        <v>64</v>
      </c>
      <c r="H9278" s="5">
        <f>HYPERLINK("https://api.qogita.com/variants/link/6290171074052/", "View Product")</f>
        <v/>
      </c>
    </row>
    <row r="9279">
      <c r="A9279" t="inlineStr">
        <is>
          <t>6290171074083</t>
        </is>
      </c>
      <c r="B9279" t="inlineStr">
        <is>
          <t>ZIMAYA ZUKHRUF PINK 100ml Eau de Parfum Spray New &amp; Sealed - Free Postage</t>
        </is>
      </c>
      <c r="C9279" t="inlineStr">
        <is>
          <t>Eau De Parfum</t>
        </is>
      </c>
      <c r="D9279" t="inlineStr">
        <is>
          <t>Afnan</t>
        </is>
      </c>
      <c r="E9279" t="n">
        <v>11.14</v>
      </c>
      <c r="F9279" t="n">
        <v>1</v>
      </c>
      <c r="G9279" t="n">
        <v>68</v>
      </c>
      <c r="H9279" s="5">
        <f>HYPERLINK("https://api.qogita.com/variants/link/6290171074083/", "View Product")</f>
        <v/>
      </c>
    </row>
    <row r="9280">
      <c r="A9280" t="inlineStr">
        <is>
          <t>6290171074106</t>
        </is>
      </c>
      <c r="B9280" t="inlineStr">
        <is>
          <t>Ghayath Eau de Parfum Volume 100 ml</t>
        </is>
      </c>
      <c r="C9280" t="inlineStr">
        <is>
          <t>Eau De Parfum</t>
        </is>
      </c>
      <c r="D9280" t="inlineStr">
        <is>
          <t>Zimaya</t>
        </is>
      </c>
      <c r="E9280" t="n">
        <v>11.03</v>
      </c>
      <c r="F9280" t="n">
        <v>1</v>
      </c>
      <c r="G9280" t="n">
        <v>9</v>
      </c>
      <c r="H9280" s="5">
        <f>HYPERLINK("https://api.qogita.com/variants/link/6290171074106/", "View Product")</f>
        <v/>
      </c>
    </row>
    <row r="9281">
      <c r="A9281" t="inlineStr">
        <is>
          <t>6290171074113</t>
        </is>
      </c>
      <c r="B9281" t="inlineStr">
        <is>
          <t>Zimaya Al Kaser Eau De Parfum 100 ml - Men</t>
        </is>
      </c>
      <c r="C9281" t="inlineStr">
        <is>
          <t>Eau De Parfum</t>
        </is>
      </c>
      <c r="D9281" t="inlineStr">
        <is>
          <t>Zimaya</t>
        </is>
      </c>
      <c r="E9281" t="n">
        <v>10.56</v>
      </c>
      <c r="F9281" t="n">
        <v>1</v>
      </c>
      <c r="G9281" t="n">
        <v>78</v>
      </c>
      <c r="H9281" s="5">
        <f>HYPERLINK("https://api.qogita.com/variants/link/6290171074113/", "View Product")</f>
        <v/>
      </c>
    </row>
    <row r="9282">
      <c r="A9282" t="inlineStr">
        <is>
          <t>6290171074144</t>
        </is>
      </c>
      <c r="B9282" t="inlineStr">
        <is>
          <t>Shanaya Riiffs Perfume For Women - 100 Ml</t>
        </is>
      </c>
      <c r="C9282" t="inlineStr">
        <is>
          <t>Eau De Parfum</t>
        </is>
      </c>
      <c r="D9282" t="inlineStr">
        <is>
          <t>Shanaya Rif</t>
        </is>
      </c>
      <c r="E9282" t="n">
        <v>12.75</v>
      </c>
      <c r="F9282" t="n">
        <v>1</v>
      </c>
      <c r="G9282" t="n">
        <v>34</v>
      </c>
      <c r="H9282" s="5">
        <f>HYPERLINK("https://api.qogita.com/variants/link/6290171074144/", "View Product")</f>
        <v/>
      </c>
    </row>
    <row r="9283">
      <c r="A9283" t="inlineStr">
        <is>
          <t>6290171074182</t>
        </is>
      </c>
      <c r="B9283" t="inlineStr">
        <is>
          <t>Zimaya Hawwa Red Eau De Parfum for Women</t>
        </is>
      </c>
      <c r="C9283" t="inlineStr">
        <is>
          <t>Eau De Parfum</t>
        </is>
      </c>
      <c r="D9283" t="inlineStr">
        <is>
          <t>Zimaya</t>
        </is>
      </c>
      <c r="E9283" t="n">
        <v>13.06</v>
      </c>
      <c r="F9283" t="n">
        <v>1</v>
      </c>
      <c r="G9283" t="n">
        <v>11</v>
      </c>
      <c r="H9283" s="5">
        <f>HYPERLINK("https://api.qogita.com/variants/link/6290171074182/", "View Product")</f>
        <v/>
      </c>
    </row>
    <row r="9284">
      <c r="A9284" t="inlineStr">
        <is>
          <t>6290171074205</t>
        </is>
      </c>
      <c r="B9284" t="inlineStr">
        <is>
          <t>Zimaya Sharaf Blend Extrait De Parfum 100ml Unisex Spray</t>
        </is>
      </c>
      <c r="C9284" t="inlineStr">
        <is>
          <t>Extrait De Parfum</t>
        </is>
      </c>
      <c r="D9284" t="inlineStr">
        <is>
          <t>Zimaya</t>
        </is>
      </c>
      <c r="E9284" t="n">
        <v>17.16</v>
      </c>
      <c r="F9284" t="n">
        <v>1</v>
      </c>
      <c r="G9284" t="n">
        <v>356</v>
      </c>
      <c r="H9284" s="5">
        <f>HYPERLINK("https://api.qogita.com/variants/link/6290171074205/", "View Product")</f>
        <v/>
      </c>
    </row>
    <row r="9285">
      <c r="A9285" t="inlineStr">
        <is>
          <t>6290171074243</t>
        </is>
      </c>
      <c r="B9285" t="inlineStr">
        <is>
          <t>Afnan 9 Am Dive Fragrance Set</t>
        </is>
      </c>
      <c r="C9285" t="inlineStr">
        <is>
          <t>Fragrance Sets</t>
        </is>
      </c>
      <c r="D9285" t="inlineStr">
        <is>
          <t>Afnan</t>
        </is>
      </c>
      <c r="E9285" t="n">
        <v>40.19</v>
      </c>
      <c r="F9285" t="n">
        <v>1</v>
      </c>
      <c r="G9285" t="n">
        <v>22</v>
      </c>
      <c r="H9285" s="5">
        <f>HYPERLINK("https://api.qogita.com/variants/link/6290171074243/", "View Product")</f>
        <v/>
      </c>
    </row>
    <row r="9286">
      <c r="A9286" t="inlineStr">
        <is>
          <t>6290171074458</t>
        </is>
      </c>
      <c r="B9286" t="inlineStr">
        <is>
          <t>Zimaya Noor Jazz Edp</t>
        </is>
      </c>
      <c r="C9286" t="inlineStr">
        <is>
          <t>Eau De Parfum</t>
        </is>
      </c>
      <c r="D9286" t="inlineStr">
        <is>
          <t>Zimaya</t>
        </is>
      </c>
      <c r="E9286" t="n">
        <v>14.52</v>
      </c>
      <c r="F9286" t="n">
        <v>1</v>
      </c>
      <c r="G9286" t="n">
        <v>36</v>
      </c>
      <c r="H9286" s="5">
        <f>HYPERLINK("https://api.qogita.com/variants/link/6290171074458/", "View Product")</f>
        <v/>
      </c>
    </row>
    <row r="9287">
      <c r="A9287" t="inlineStr">
        <is>
          <t>6290171074472</t>
        </is>
      </c>
      <c r="B9287" t="inlineStr">
        <is>
          <t>Afnan Cherry Bouquet Eau De Parfum for Women 2.7 Fl Oz</t>
        </is>
      </c>
      <c r="C9287" t="inlineStr">
        <is>
          <t>Eau De Parfum</t>
        </is>
      </c>
      <c r="D9287" t="inlineStr">
        <is>
          <t>Afnan</t>
        </is>
      </c>
      <c r="E9287" t="n">
        <v>27.83</v>
      </c>
      <c r="F9287" t="n">
        <v>1</v>
      </c>
      <c r="G9287" t="n">
        <v>171</v>
      </c>
      <c r="H9287" s="5">
        <f>HYPERLINK("https://api.qogita.com/variants/link/6290171074472/", "View Product")</f>
        <v/>
      </c>
    </row>
    <row r="9288">
      <c r="A9288" t="inlineStr">
        <is>
          <t>6290171074496</t>
        </is>
      </c>
      <c r="B9288" t="inlineStr">
        <is>
          <t>Zimaya Reserved Black Cedar - Eau De Parfum</t>
        </is>
      </c>
      <c r="C9288" t="inlineStr">
        <is>
          <t>Eau De Parfum</t>
        </is>
      </c>
      <c r="D9288" t="inlineStr">
        <is>
          <t>Zimaya</t>
        </is>
      </c>
      <c r="E9288" t="n">
        <v>15.03</v>
      </c>
      <c r="F9288" t="n">
        <v>1</v>
      </c>
      <c r="G9288" t="n">
        <v>34</v>
      </c>
      <c r="H9288" s="5">
        <f>HYPERLINK("https://api.qogita.com/variants/link/6290171074496/", "View Product")</f>
        <v/>
      </c>
    </row>
    <row r="9289">
      <c r="A9289" t="inlineStr">
        <is>
          <t>6290171074663</t>
        </is>
      </c>
      <c r="B9289" t="inlineStr">
        <is>
          <t>Rue Broca L'Alliance Stellar Eau De Parfum</t>
        </is>
      </c>
      <c r="C9289" t="inlineStr">
        <is>
          <t>Eau De Parfum</t>
        </is>
      </c>
      <c r="D9289" t="inlineStr">
        <is>
          <t>Rue Broca</t>
        </is>
      </c>
      <c r="E9289" t="n">
        <v>11.13</v>
      </c>
      <c r="F9289" t="n">
        <v>1</v>
      </c>
      <c r="G9289" t="n">
        <v>5</v>
      </c>
      <c r="H9289" s="5">
        <f>HYPERLINK("https://api.qogita.com/variants/link/6290171074663/", "View Product")</f>
        <v/>
      </c>
    </row>
    <row r="9290">
      <c r="A9290" t="inlineStr">
        <is>
          <t>6290171074885</t>
        </is>
      </c>
      <c r="B9290" t="inlineStr">
        <is>
          <t>Zimaya Anhaar Valley - Eau De Parfum</t>
        </is>
      </c>
      <c r="C9290" t="inlineStr">
        <is>
          <t>Eau De Parfum</t>
        </is>
      </c>
      <c r="D9290" t="inlineStr">
        <is>
          <t>Zimaya</t>
        </is>
      </c>
      <c r="E9290" t="n">
        <v>13.18</v>
      </c>
      <c r="F9290" t="n">
        <v>1</v>
      </c>
      <c r="G9290" t="n">
        <v>31</v>
      </c>
      <c r="H9290" s="5">
        <f>HYPERLINK("https://api.qogita.com/variants/link/6290171074885/", "View Product")</f>
        <v/>
      </c>
    </row>
    <row r="9291">
      <c r="A9291" t="inlineStr">
        <is>
          <t>6290171074915</t>
        </is>
      </c>
      <c r="B9291" t="inlineStr">
        <is>
          <t>Zimaya Ladies Charisma Perfume</t>
        </is>
      </c>
      <c r="C9291" t="inlineStr">
        <is>
          <t>Eau De Parfum</t>
        </is>
      </c>
      <c r="D9291" t="inlineStr">
        <is>
          <t>Zimaya</t>
        </is>
      </c>
      <c r="E9291" t="n">
        <v>11.68</v>
      </c>
      <c r="F9291" t="n">
        <v>1</v>
      </c>
      <c r="G9291" t="n">
        <v>129</v>
      </c>
      <c r="H9291" s="5">
        <f>HYPERLINK("https://api.qogita.com/variants/link/6290171074915/", "View Product")</f>
        <v/>
      </c>
    </row>
    <row r="9292">
      <c r="A9292" t="inlineStr">
        <is>
          <t>6290171074991</t>
        </is>
      </c>
      <c r="B9292" t="inlineStr">
        <is>
          <t>Awatif Pour Homme Eau De Parfum 3.4 Fl. Oz</t>
        </is>
      </c>
      <c r="C9292" t="inlineStr">
        <is>
          <t>Eau De Parfum</t>
        </is>
      </c>
      <c r="D9292" t="inlineStr">
        <is>
          <t>Zimaya</t>
        </is>
      </c>
      <c r="E9292" t="n">
        <v>13.75</v>
      </c>
      <c r="F9292" t="n">
        <v>1</v>
      </c>
      <c r="G9292" t="n">
        <v>6</v>
      </c>
      <c r="H9292" s="5">
        <f>HYPERLINK("https://api.qogita.com/variants/link/6290171074991/", "View Product")</f>
        <v/>
      </c>
    </row>
    <row r="9293">
      <c r="A9293" t="inlineStr">
        <is>
          <t>6290171075073</t>
        </is>
      </c>
      <c r="B9293" t="inlineStr">
        <is>
          <t>Afnan Afnan Supremacy Collector's Edition Eau De Parfum Spray 100ml</t>
        </is>
      </c>
      <c r="C9293" t="inlineStr">
        <is>
          <t>Eau De Parfum</t>
        </is>
      </c>
      <c r="D9293" t="inlineStr">
        <is>
          <t>Afnan</t>
        </is>
      </c>
      <c r="E9293" t="n">
        <v>38.61</v>
      </c>
      <c r="F9293" t="n">
        <v>1</v>
      </c>
      <c r="G9293" t="n">
        <v>1626</v>
      </c>
      <c r="H9293" s="5">
        <f>HYPERLINK("https://api.qogita.com/variants/link/6290171075073/", "View Product")</f>
        <v/>
      </c>
    </row>
    <row r="9294">
      <c r="A9294" t="inlineStr">
        <is>
          <t>6290171075165</t>
        </is>
      </c>
      <c r="B9294" t="inlineStr">
        <is>
          <t>Zimaya Itqan Gold Pour Homme - Eau De Parfum</t>
        </is>
      </c>
      <c r="C9294" t="inlineStr">
        <is>
          <t>Eau De Parfum</t>
        </is>
      </c>
      <c r="D9294" t="inlineStr">
        <is>
          <t>Zimaya</t>
        </is>
      </c>
      <c r="E9294" t="n">
        <v>17.45</v>
      </c>
      <c r="F9294" t="n">
        <v>1</v>
      </c>
      <c r="G9294" t="n">
        <v>18</v>
      </c>
      <c r="H9294" s="5">
        <f>HYPERLINK("https://api.qogita.com/variants/link/6290171075165/", "View Product")</f>
        <v/>
      </c>
    </row>
    <row r="9295">
      <c r="A9295" t="inlineStr">
        <is>
          <t>6290171075172</t>
        </is>
      </c>
      <c r="B9295" t="inlineStr">
        <is>
          <t>Zimaya Itqan Noir Pour Femme - Eau De Parfum</t>
        </is>
      </c>
      <c r="C9295" t="inlineStr">
        <is>
          <t>Eau De Parfum</t>
        </is>
      </c>
      <c r="D9295" t="inlineStr">
        <is>
          <t>Zimaya</t>
        </is>
      </c>
      <c r="E9295" t="n">
        <v>16.65</v>
      </c>
      <c r="F9295" t="n">
        <v>1</v>
      </c>
      <c r="G9295" t="n">
        <v>150</v>
      </c>
      <c r="H9295" s="5">
        <f>HYPERLINK("https://api.qogita.com/variants/link/6290171075172/", "View Product")</f>
        <v/>
      </c>
    </row>
    <row r="9296">
      <c r="A9296" t="inlineStr">
        <is>
          <t>6290171075189</t>
        </is>
      </c>
      <c r="B9296" t="inlineStr">
        <is>
          <t>Zimaya Rabab Pulp - Eau De Parfum</t>
        </is>
      </c>
      <c r="C9296" t="inlineStr">
        <is>
          <t>Eau De Parfum</t>
        </is>
      </c>
      <c r="D9296" t="inlineStr">
        <is>
          <t>Zimaya</t>
        </is>
      </c>
      <c r="E9296" t="n">
        <v>12.82</v>
      </c>
      <c r="F9296" t="n">
        <v>1</v>
      </c>
      <c r="G9296" t="n">
        <v>23</v>
      </c>
      <c r="H9296" s="5">
        <f>HYPERLINK("https://api.qogita.com/variants/link/6290171075189/", "View Product")</f>
        <v/>
      </c>
    </row>
    <row r="9297">
      <c r="A9297" t="inlineStr">
        <is>
          <t>6290171075301</t>
        </is>
      </c>
      <c r="B9297" t="inlineStr">
        <is>
          <t>Zimaya Ramsh Imperium Perfume</t>
        </is>
      </c>
      <c r="C9297" t="inlineStr">
        <is>
          <t>Eau De Parfum</t>
        </is>
      </c>
      <c r="D9297" t="inlineStr">
        <is>
          <t>Zimaya</t>
        </is>
      </c>
      <c r="E9297" t="n">
        <v>17.67</v>
      </c>
      <c r="F9297" t="n">
        <v>1</v>
      </c>
      <c r="G9297" t="n">
        <v>353</v>
      </c>
      <c r="H9297" s="5">
        <f>HYPERLINK("https://api.qogita.com/variants/link/6290171075301/", "View Product")</f>
        <v/>
      </c>
    </row>
    <row r="9298">
      <c r="A9298" t="inlineStr">
        <is>
          <t>6290171075622</t>
        </is>
      </c>
      <c r="B9298" t="inlineStr">
        <is>
          <t>Zimaya Tiramisu Caramel - Eau De Parfum</t>
        </is>
      </c>
      <c r="C9298" t="inlineStr">
        <is>
          <t>Eau De Parfum</t>
        </is>
      </c>
      <c r="D9298" t="inlineStr">
        <is>
          <t>Zimaya</t>
        </is>
      </c>
      <c r="E9298" t="n">
        <v>17.13</v>
      </c>
      <c r="F9298" t="n">
        <v>1</v>
      </c>
      <c r="G9298" t="n">
        <v>42</v>
      </c>
      <c r="H9298" s="5">
        <f>HYPERLINK("https://api.qogita.com/variants/link/6290171075622/", "View Product")</f>
        <v/>
      </c>
    </row>
    <row r="9299">
      <c r="A9299" t="inlineStr">
        <is>
          <t>6290171075646</t>
        </is>
      </c>
      <c r="B9299" t="inlineStr">
        <is>
          <t>Afnan Zimaya Men's Modesh Aura Eau De Parfum Spray 34 Oz</t>
        </is>
      </c>
      <c r="C9299" t="inlineStr">
        <is>
          <t>Eau De Parfum</t>
        </is>
      </c>
      <c r="D9299" t="inlineStr">
        <is>
          <t>Afnan</t>
        </is>
      </c>
      <c r="E9299" t="n">
        <v>18.34</v>
      </c>
      <c r="F9299" t="n">
        <v>1</v>
      </c>
      <c r="G9299" t="n">
        <v>84</v>
      </c>
      <c r="H9299" s="5">
        <f>HYPERLINK("https://api.qogita.com/variants/link/6290171075646/", "View Product")</f>
        <v/>
      </c>
    </row>
    <row r="9300">
      <c r="A9300" t="inlineStr">
        <is>
          <t>6290360370194</t>
        </is>
      </c>
      <c r="B9300" t="inlineStr">
        <is>
          <t>Essence De Noir Eau De Parfum by Fa Paris 100ml 3.4fl oz</t>
        </is>
      </c>
      <c r="C9300" t="inlineStr">
        <is>
          <t>Eau De Parfum</t>
        </is>
      </c>
      <c r="D9300" t="inlineStr">
        <is>
          <t>Fragrance World</t>
        </is>
      </c>
      <c r="E9300" t="n">
        <v>23.28</v>
      </c>
      <c r="F9300" t="n">
        <v>1</v>
      </c>
      <c r="G9300" t="n">
        <v>39</v>
      </c>
      <c r="H9300" s="5">
        <f>HYPERLINK("https://api.qogita.com/variants/link/6290360370194/", "View Product")</f>
        <v/>
      </c>
    </row>
    <row r="9301">
      <c r="A9301" t="inlineStr">
        <is>
          <t>6290360370217</t>
        </is>
      </c>
      <c r="B9301" t="inlineStr">
        <is>
          <t>Fragrance World Roses D'Emotion Eau De Parfum 100ml</t>
        </is>
      </c>
      <c r="C9301" t="inlineStr">
        <is>
          <t>Eau De Parfum</t>
        </is>
      </c>
      <c r="D9301" t="inlineStr">
        <is>
          <t>Fragance world</t>
        </is>
      </c>
      <c r="E9301" t="n">
        <v>22.57</v>
      </c>
      <c r="F9301" t="n">
        <v>1</v>
      </c>
      <c r="G9301" t="n">
        <v>21</v>
      </c>
      <c r="H9301" s="5">
        <f>HYPERLINK("https://api.qogita.com/variants/link/6290360370217/", "View Product")</f>
        <v/>
      </c>
    </row>
    <row r="9302">
      <c r="A9302" t="inlineStr">
        <is>
          <t>6290360370668</t>
        </is>
      </c>
      <c r="B9302" t="inlineStr">
        <is>
          <t>Fragrance World Cocktail Intense Unisex Eau De Parfum 100ml</t>
        </is>
      </c>
      <c r="C9302" t="inlineStr">
        <is>
          <t>Eau De Parfum</t>
        </is>
      </c>
      <c r="D9302" t="inlineStr">
        <is>
          <t>Fragrance World</t>
        </is>
      </c>
      <c r="E9302" t="n">
        <v>14.33</v>
      </c>
      <c r="F9302" t="n">
        <v>1</v>
      </c>
      <c r="G9302" t="n">
        <v>69</v>
      </c>
      <c r="H9302" s="5">
        <f>HYPERLINK("https://api.qogita.com/variants/link/6290360370668/", "View Product")</f>
        <v/>
      </c>
    </row>
    <row r="9303">
      <c r="A9303" t="inlineStr">
        <is>
          <t>6290360371139</t>
        </is>
      </c>
      <c r="B9303" t="inlineStr">
        <is>
          <t>Fragrance World Eau De Parfum Paradox Tribute, Unisex, 100 Ml</t>
        </is>
      </c>
      <c r="C9303" t="inlineStr">
        <is>
          <t>Eau De Parfum</t>
        </is>
      </c>
      <c r="D9303" t="inlineStr">
        <is>
          <t>Fragrance World</t>
        </is>
      </c>
      <c r="E9303" t="n">
        <v>23.75</v>
      </c>
      <c r="F9303" t="n">
        <v>1</v>
      </c>
      <c r="G9303" t="n">
        <v>10</v>
      </c>
      <c r="H9303" s="5">
        <f>HYPERLINK("https://api.qogita.com/variants/link/6290360371139/", "View Product")</f>
        <v/>
      </c>
    </row>
    <row r="9304">
      <c r="A9304" t="inlineStr">
        <is>
          <t>6290360373201</t>
        </is>
      </c>
      <c r="B9304" t="inlineStr">
        <is>
          <t>Fragrance World Roses De Mai Jacques Yves Eau de Parfum Unisex Perfume 100ml</t>
        </is>
      </c>
      <c r="C9304" t="inlineStr">
        <is>
          <t>Eau De Parfum</t>
        </is>
      </c>
      <c r="D9304" t="inlineStr">
        <is>
          <t>Fragrance World</t>
        </is>
      </c>
      <c r="E9304" t="n">
        <v>9.880000000000001</v>
      </c>
      <c r="F9304" t="n">
        <v>1</v>
      </c>
      <c r="G9304" t="n">
        <v>39</v>
      </c>
      <c r="H9304" s="5">
        <f>HYPERLINK("https://api.qogita.com/variants/link/6290360373201/", "View Product")</f>
        <v/>
      </c>
    </row>
    <row r="9305">
      <c r="A9305" t="inlineStr">
        <is>
          <t>6290360373539</t>
        </is>
      </c>
      <c r="B9305" t="inlineStr">
        <is>
          <t>Fragrance World Al Qamar Eau De Parfum 100ml</t>
        </is>
      </c>
      <c r="C9305" t="inlineStr">
        <is>
          <t>Eau De Parfum</t>
        </is>
      </c>
      <c r="D9305" t="inlineStr">
        <is>
          <t>Fragrance World</t>
        </is>
      </c>
      <c r="E9305" t="n">
        <v>143.45</v>
      </c>
      <c r="F9305" t="n">
        <v>1</v>
      </c>
      <c r="G9305" t="n">
        <v>43</v>
      </c>
      <c r="H9305" s="5">
        <f>HYPERLINK("https://api.qogita.com/variants/link/6290360373539/", "View Product")</f>
        <v/>
      </c>
    </row>
    <row r="9306">
      <c r="A9306" t="inlineStr">
        <is>
          <t>6290360374048</t>
        </is>
      </c>
      <c r="B9306" t="inlineStr">
        <is>
          <t>Fragrance World Qahwa Eau De Parfum 100ml</t>
        </is>
      </c>
      <c r="C9306" t="inlineStr">
        <is>
          <t>Eau De Parfum</t>
        </is>
      </c>
      <c r="D9306" t="inlineStr">
        <is>
          <t>Fragrance World</t>
        </is>
      </c>
      <c r="E9306" t="n">
        <v>18.83</v>
      </c>
      <c r="F9306" t="n">
        <v>1</v>
      </c>
      <c r="G9306" t="n">
        <v>15</v>
      </c>
      <c r="H9306" s="5">
        <f>HYPERLINK("https://api.qogita.com/variants/link/6290360374048/", "View Product")</f>
        <v/>
      </c>
    </row>
    <row r="9307">
      <c r="A9307" t="inlineStr">
        <is>
          <t>6290360375038</t>
        </is>
      </c>
      <c r="B9307" t="inlineStr">
        <is>
          <t>Fragrance World Brown Sugar Eau De Parfum 80ml</t>
        </is>
      </c>
      <c r="C9307" t="inlineStr">
        <is>
          <t>Eau De Parfum</t>
        </is>
      </c>
      <c r="D9307" t="inlineStr">
        <is>
          <t>Fragrance World</t>
        </is>
      </c>
      <c r="E9307" t="n">
        <v>11.98</v>
      </c>
      <c r="F9307" t="n">
        <v>1</v>
      </c>
      <c r="G9307" t="n">
        <v>33</v>
      </c>
      <c r="H9307" s="5">
        <f>HYPERLINK("https://api.qogita.com/variants/link/6290360375038/", "View Product")</f>
        <v/>
      </c>
    </row>
    <row r="9308">
      <c r="A9308" t="inlineStr">
        <is>
          <t>6290360375120</t>
        </is>
      </c>
      <c r="B9308" t="inlineStr">
        <is>
          <t>Sultan The Conqueror Eau De Parfum 80ml</t>
        </is>
      </c>
      <c r="C9308" t="inlineStr">
        <is>
          <t>Eau De Parfum</t>
        </is>
      </c>
      <c r="D9308" t="inlineStr">
        <is>
          <t>French Avenue</t>
        </is>
      </c>
      <c r="E9308" t="n">
        <v>24.44</v>
      </c>
      <c r="F9308" t="n">
        <v>1</v>
      </c>
      <c r="G9308" t="n">
        <v>2</v>
      </c>
      <c r="H9308" s="5">
        <f>HYPERLINK("https://api.qogita.com/variants/link/6290360375120/", "View Product")</f>
        <v/>
      </c>
    </row>
    <row r="9309">
      <c r="A9309" t="inlineStr">
        <is>
          <t>6290360375601</t>
        </is>
      </c>
      <c r="B9309" t="inlineStr">
        <is>
          <t>Fragrance World French Avenue Royal Blend Nero Eau De Parfum 100ml</t>
        </is>
      </c>
      <c r="C9309" t="inlineStr">
        <is>
          <t>Eau De Parfum</t>
        </is>
      </c>
      <c r="D9309" t="inlineStr">
        <is>
          <t>Fragrance World</t>
        </is>
      </c>
      <c r="E9309" t="n">
        <v>22.91</v>
      </c>
      <c r="F9309" t="n">
        <v>1</v>
      </c>
      <c r="G9309" t="n">
        <v>102</v>
      </c>
      <c r="H9309" s="5">
        <f>HYPERLINK("https://api.qogita.com/variants/link/6290360375601/", "View Product")</f>
        <v/>
      </c>
    </row>
    <row r="9310">
      <c r="A9310" t="inlineStr">
        <is>
          <t>6290360375618</t>
        </is>
      </c>
      <c r="B9310" t="inlineStr">
        <is>
          <t>Fragrance World French Avenue Fierte Eau De Parfum 100ml</t>
        </is>
      </c>
      <c r="C9310" t="inlineStr">
        <is>
          <t>Eau De Parfum</t>
        </is>
      </c>
      <c r="D9310" t="inlineStr">
        <is>
          <t>Fragrance World</t>
        </is>
      </c>
      <c r="E9310" t="n">
        <v>34.72</v>
      </c>
      <c r="F9310" t="n">
        <v>1</v>
      </c>
      <c r="G9310" t="n">
        <v>81</v>
      </c>
      <c r="H9310" s="5">
        <f>HYPERLINK("https://api.qogita.com/variants/link/6290360375618/", "View Product")</f>
        <v/>
      </c>
    </row>
    <row r="9311">
      <c r="A9311" t="inlineStr">
        <is>
          <t>6290360375632</t>
        </is>
      </c>
      <c r="B9311" t="inlineStr">
        <is>
          <t>Fragrance World French Avenue Ighwa By Night Eau De Parfum 100ml</t>
        </is>
      </c>
      <c r="C9311" t="inlineStr">
        <is>
          <t>Eau De Parfum</t>
        </is>
      </c>
      <c r="D9311" t="inlineStr">
        <is>
          <t>Fragrance World</t>
        </is>
      </c>
      <c r="E9311" t="n">
        <v>30.43</v>
      </c>
      <c r="F9311" t="n">
        <v>1</v>
      </c>
      <c r="G9311" t="n">
        <v>31</v>
      </c>
      <c r="H9311" s="5">
        <f>HYPERLINK("https://api.qogita.com/variants/link/6290360375632/", "View Product")</f>
        <v/>
      </c>
    </row>
    <row r="9312">
      <c r="A9312" t="inlineStr">
        <is>
          <t>6290360375663</t>
        </is>
      </c>
      <c r="B9312" t="inlineStr">
        <is>
          <t>Lumiere Elle Eau De Parfum 100ml</t>
        </is>
      </c>
      <c r="C9312" t="inlineStr">
        <is>
          <t>Eau De Parfum</t>
        </is>
      </c>
      <c r="D9312" t="inlineStr">
        <is>
          <t>French Avenue</t>
        </is>
      </c>
      <c r="E9312" t="n">
        <v>25.41</v>
      </c>
      <c r="F9312" t="n">
        <v>1</v>
      </c>
      <c r="G9312" t="n">
        <v>5</v>
      </c>
      <c r="H9312" s="5">
        <f>HYPERLINK("https://api.qogita.com/variants/link/6290360375663/", "View Product")</f>
        <v/>
      </c>
    </row>
    <row r="9313">
      <c r="A9313" t="inlineStr">
        <is>
          <t>6290360375748</t>
        </is>
      </c>
      <c r="B9313" t="inlineStr">
        <is>
          <t>Fragrance World French Avenue Muse Parfum Eau De Parfum 100ml</t>
        </is>
      </c>
      <c r="C9313" t="inlineStr">
        <is>
          <t>Eau De Parfum</t>
        </is>
      </c>
      <c r="D9313" t="inlineStr">
        <is>
          <t>Fragrance World</t>
        </is>
      </c>
      <c r="E9313" t="n">
        <v>39.63</v>
      </c>
      <c r="F9313" t="n">
        <v>1</v>
      </c>
      <c r="G9313" t="n">
        <v>38</v>
      </c>
      <c r="H9313" s="5">
        <f>HYPERLINK("https://api.qogita.com/variants/link/6290360375748/", "View Product")</f>
        <v/>
      </c>
    </row>
    <row r="9314">
      <c r="A9314" t="inlineStr">
        <is>
          <t>6290360375892</t>
        </is>
      </c>
      <c r="B9314" t="inlineStr">
        <is>
          <t>Fragrance World Just Azraq EDP For Men 3.4 Fl Oz</t>
        </is>
      </c>
      <c r="C9314" t="inlineStr">
        <is>
          <t>Eau De Parfum</t>
        </is>
      </c>
      <c r="D9314" t="inlineStr">
        <is>
          <t>Fragrance World</t>
        </is>
      </c>
      <c r="E9314" t="n">
        <v>12.73</v>
      </c>
      <c r="F9314" t="n">
        <v>1</v>
      </c>
      <c r="G9314" t="n">
        <v>24</v>
      </c>
      <c r="H9314" s="5">
        <f>HYPERLINK("https://api.qogita.com/variants/link/6290360375892/", "View Product")</f>
        <v/>
      </c>
    </row>
    <row r="9315">
      <c r="A9315" t="inlineStr">
        <is>
          <t>6290360376011</t>
        </is>
      </c>
      <c r="B9315" t="inlineStr">
        <is>
          <t>Fragrance World Tanseeq Eau De Parfum 100ml</t>
        </is>
      </c>
      <c r="C9315" t="inlineStr">
        <is>
          <t>Eau De Parfum</t>
        </is>
      </c>
      <c r="D9315" t="inlineStr">
        <is>
          <t>Fragrance World</t>
        </is>
      </c>
      <c r="E9315" t="n">
        <v>25.2</v>
      </c>
      <c r="F9315" t="n">
        <v>1</v>
      </c>
      <c r="G9315" t="n">
        <v>35</v>
      </c>
      <c r="H9315" s="5">
        <f>HYPERLINK("https://api.qogita.com/variants/link/6290360376011/", "View Product")</f>
        <v/>
      </c>
    </row>
    <row r="9316">
      <c r="A9316" t="inlineStr">
        <is>
          <t>6290360376028</t>
        </is>
      </c>
      <c r="B9316" t="inlineStr">
        <is>
          <t>Fragrance World Tanseeq Blue Eau De Parfum 100ml</t>
        </is>
      </c>
      <c r="C9316" t="inlineStr">
        <is>
          <t>Eau De Parfum</t>
        </is>
      </c>
      <c r="D9316" t="inlineStr">
        <is>
          <t>Fragrance World</t>
        </is>
      </c>
      <c r="E9316" t="n">
        <v>25.2</v>
      </c>
      <c r="F9316" t="n">
        <v>1</v>
      </c>
      <c r="G9316" t="n">
        <v>26</v>
      </c>
      <c r="H9316" s="5">
        <f>HYPERLINK("https://api.qogita.com/variants/link/6290360376028/", "View Product")</f>
        <v/>
      </c>
    </row>
    <row r="9317">
      <c r="A9317" t="inlineStr">
        <is>
          <t>6290360376318</t>
        </is>
      </c>
      <c r="B9317" t="inlineStr">
        <is>
          <t>Fragrance World Athoor Al Alam Taj 2 Eau De Parfum 90ml</t>
        </is>
      </c>
      <c r="C9317" t="inlineStr">
        <is>
          <t>Eau De Parfum</t>
        </is>
      </c>
      <c r="D9317" t="inlineStr">
        <is>
          <t>Fragrance World</t>
        </is>
      </c>
      <c r="E9317" t="n">
        <v>21.26</v>
      </c>
      <c r="F9317" t="n">
        <v>1</v>
      </c>
      <c r="G9317" t="n">
        <v>64</v>
      </c>
      <c r="H9317" s="5">
        <f>HYPERLINK("https://api.qogita.com/variants/link/6290360376318/", "View Product")</f>
        <v/>
      </c>
    </row>
    <row r="9318">
      <c r="A9318" t="inlineStr">
        <is>
          <t>6290360376486</t>
        </is>
      </c>
      <c r="B9318" t="inlineStr">
        <is>
          <t>Diwani Rabat Eau De Parfum 100ml</t>
        </is>
      </c>
      <c r="C9318" t="inlineStr">
        <is>
          <t>Eau De Parfum</t>
        </is>
      </c>
      <c r="D9318" t="inlineStr">
        <is>
          <t>French Avenue</t>
        </is>
      </c>
      <c r="E9318" t="n">
        <v>28.33</v>
      </c>
      <c r="F9318" t="n">
        <v>1</v>
      </c>
      <c r="G9318" t="n">
        <v>23</v>
      </c>
      <c r="H9318" s="5">
        <f>HYPERLINK("https://api.qogita.com/variants/link/6290360376486/", "View Product")</f>
        <v/>
      </c>
    </row>
    <row r="9319">
      <c r="A9319" t="inlineStr">
        <is>
          <t>6290360376509</t>
        </is>
      </c>
      <c r="B9319" t="inlineStr">
        <is>
          <t>Diwani Beirut Eau De Parfum 100ml</t>
        </is>
      </c>
      <c r="C9319" t="inlineStr">
        <is>
          <t>Eau De Parfum</t>
        </is>
      </c>
      <c r="D9319" t="inlineStr">
        <is>
          <t>French Avenue</t>
        </is>
      </c>
      <c r="E9319" t="n">
        <v>25.65</v>
      </c>
      <c r="F9319" t="n">
        <v>1</v>
      </c>
      <c r="G9319" t="n">
        <v>169</v>
      </c>
      <c r="H9319" s="5">
        <f>HYPERLINK("https://api.qogita.com/variants/link/6290360376509/", "View Product")</f>
        <v/>
      </c>
    </row>
    <row r="9320">
      <c r="A9320" t="inlineStr">
        <is>
          <t>6290360376561</t>
        </is>
      </c>
      <c r="B9320" t="inlineStr">
        <is>
          <t>Fragrance World Ambroise Pour Femme Eau De Parfum 100ml</t>
        </is>
      </c>
      <c r="C9320" t="inlineStr">
        <is>
          <t>Eau De Parfum</t>
        </is>
      </c>
      <c r="D9320" t="inlineStr">
        <is>
          <t>Fragrance World</t>
        </is>
      </c>
      <c r="E9320" t="n">
        <v>13.18</v>
      </c>
      <c r="F9320" t="n">
        <v>1</v>
      </c>
      <c r="G9320" t="n">
        <v>130</v>
      </c>
      <c r="H9320" s="5">
        <f>HYPERLINK("https://api.qogita.com/variants/link/6290360376561/", "View Product")</f>
        <v/>
      </c>
    </row>
    <row r="9321">
      <c r="A9321" t="inlineStr">
        <is>
          <t>6290360376608</t>
        </is>
      </c>
      <c r="B9321" t="inlineStr">
        <is>
          <t>Aether Extrait De Parfum 100ml</t>
        </is>
      </c>
      <c r="C9321" t="inlineStr">
        <is>
          <t>Extrait De Parfum</t>
        </is>
      </c>
      <c r="D9321" t="inlineStr">
        <is>
          <t>French Avenue</t>
        </is>
      </c>
      <c r="E9321" t="n">
        <v>30.15</v>
      </c>
      <c r="F9321" t="n">
        <v>1</v>
      </c>
      <c r="G9321" t="n">
        <v>157</v>
      </c>
      <c r="H9321" s="5">
        <f>HYPERLINK("https://api.qogita.com/variants/link/6290360376608/", "View Product")</f>
        <v/>
      </c>
    </row>
    <row r="9322">
      <c r="A9322" t="inlineStr">
        <is>
          <t>6290360377339</t>
        </is>
      </c>
      <c r="B9322" t="inlineStr">
        <is>
          <t>Fragrance World Eau De Parfum Dastoor Lil Rijal For Men, 100 Ml</t>
        </is>
      </c>
      <c r="C9322" t="inlineStr">
        <is>
          <t>Eau De Parfum</t>
        </is>
      </c>
      <c r="D9322" t="inlineStr">
        <is>
          <t>Fragrance World</t>
        </is>
      </c>
      <c r="E9322" t="n">
        <v>21.73</v>
      </c>
      <c r="F9322" t="n">
        <v>1</v>
      </c>
      <c r="G9322" t="n">
        <v>30</v>
      </c>
      <c r="H9322" s="5">
        <f>HYPERLINK("https://api.qogita.com/variants/link/6290360377339/", "View Product")</f>
        <v/>
      </c>
    </row>
    <row r="9323">
      <c r="A9323" t="inlineStr">
        <is>
          <t>6290360377926</t>
        </is>
      </c>
      <c r="B9323" t="inlineStr">
        <is>
          <t>Fragrance World Pinnace Oryn Eau De Parfum 100ml</t>
        </is>
      </c>
      <c r="C9323" t="inlineStr">
        <is>
          <t>Eau De Parfum</t>
        </is>
      </c>
      <c r="D9323" t="inlineStr">
        <is>
          <t>Fragrance World</t>
        </is>
      </c>
      <c r="E9323" t="n">
        <v>30.66</v>
      </c>
      <c r="F9323" t="n">
        <v>1</v>
      </c>
      <c r="G9323" t="n">
        <v>77</v>
      </c>
      <c r="H9323" s="5">
        <f>HYPERLINK("https://api.qogita.com/variants/link/6290360377926/", "View Product")</f>
        <v/>
      </c>
    </row>
    <row r="9324">
      <c r="A9324" t="inlineStr">
        <is>
          <t>6290360377988</t>
        </is>
      </c>
      <c r="B9324" t="inlineStr">
        <is>
          <t>French Avenue Venus De Milo Eau De Parfum 100ml</t>
        </is>
      </c>
      <c r="C9324" t="inlineStr">
        <is>
          <t>Eau De Parfum</t>
        </is>
      </c>
      <c r="D9324" t="inlineStr">
        <is>
          <t>French Avenue</t>
        </is>
      </c>
      <c r="E9324" t="n">
        <v>28.18</v>
      </c>
      <c r="F9324" t="n">
        <v>1</v>
      </c>
      <c r="G9324" t="n">
        <v>36</v>
      </c>
      <c r="H9324" s="5">
        <f>HYPERLINK("https://api.qogita.com/variants/link/6290360377988/", "View Product")</f>
        <v/>
      </c>
    </row>
    <row r="9325">
      <c r="A9325" t="inlineStr">
        <is>
          <t>6290360378060</t>
        </is>
      </c>
      <c r="B9325" t="inlineStr">
        <is>
          <t>Fragrance World French Avenue Vulcan Sable EDP Unisex 3.4 Fl Oz</t>
        </is>
      </c>
      <c r="C9325" t="inlineStr">
        <is>
          <t>Eau De Parfum</t>
        </is>
      </c>
      <c r="D9325" t="inlineStr">
        <is>
          <t>Fragrance World</t>
        </is>
      </c>
      <c r="E9325" t="n">
        <v>27.74</v>
      </c>
      <c r="F9325" t="n">
        <v>1</v>
      </c>
      <c r="G9325" t="n">
        <v>459</v>
      </c>
      <c r="H9325" s="5">
        <f>HYPERLINK("https://api.qogita.com/variants/link/6290360378060/", "View Product")</f>
        <v/>
      </c>
    </row>
    <row r="9326">
      <c r="A9326" t="inlineStr">
        <is>
          <t>6290360378626</t>
        </is>
      </c>
      <c r="B9326" t="inlineStr">
        <is>
          <t>Fragrance World French Avenue Genesis Leo Eau De Parfum 90ml</t>
        </is>
      </c>
      <c r="C9326" t="inlineStr">
        <is>
          <t>Eau De Parfum</t>
        </is>
      </c>
      <c r="D9326" t="inlineStr">
        <is>
          <t>Fragrance World</t>
        </is>
      </c>
      <c r="E9326" t="n">
        <v>29.56</v>
      </c>
      <c r="F9326" t="n">
        <v>1</v>
      </c>
      <c r="G9326" t="n">
        <v>60</v>
      </c>
      <c r="H9326" s="5">
        <f>HYPERLINK("https://api.qogita.com/variants/link/6290360378626/", "View Product")</f>
        <v/>
      </c>
    </row>
    <row r="9327">
      <c r="A9327" t="inlineStr">
        <is>
          <t>6290360378657</t>
        </is>
      </c>
      <c r="B9327" t="inlineStr">
        <is>
          <t>French Avenue Genesis Cancer EDP Unisex 3.0 Fl Oz Floral</t>
        </is>
      </c>
      <c r="C9327" t="inlineStr">
        <is>
          <t>Eau De Parfum</t>
        </is>
      </c>
      <c r="D9327" t="inlineStr">
        <is>
          <t>French Avenue</t>
        </is>
      </c>
      <c r="E9327" t="n">
        <v>29.56</v>
      </c>
      <c r="F9327" t="n">
        <v>1</v>
      </c>
      <c r="G9327" t="n">
        <v>57</v>
      </c>
      <c r="H9327" s="5">
        <f>HYPERLINK("https://api.qogita.com/variants/link/6290360378657/", "View Product")</f>
        <v/>
      </c>
    </row>
    <row r="9328">
      <c r="A9328" t="inlineStr">
        <is>
          <t>6290360378701</t>
        </is>
      </c>
      <c r="B9328" t="inlineStr">
        <is>
          <t>French Avenue Genesis Capricorn EDP Unisex 3.0 Fl Oz Woody</t>
        </is>
      </c>
      <c r="C9328" t="inlineStr">
        <is>
          <t>Eau De Parfum</t>
        </is>
      </c>
      <c r="D9328" t="inlineStr">
        <is>
          <t>French Avenue</t>
        </is>
      </c>
      <c r="E9328" t="n">
        <v>29.56</v>
      </c>
      <c r="F9328" t="n">
        <v>1</v>
      </c>
      <c r="G9328" t="n">
        <v>60</v>
      </c>
      <c r="H9328" s="5">
        <f>HYPERLINK("https://api.qogita.com/variants/link/6290360378701/", "View Product")</f>
        <v/>
      </c>
    </row>
    <row r="9329">
      <c r="A9329" t="inlineStr">
        <is>
          <t>6290360378725</t>
        </is>
      </c>
      <c r="B9329" t="inlineStr">
        <is>
          <t>French Avenue Genesis Collection Pisces</t>
        </is>
      </c>
      <c r="C9329" t="inlineStr">
        <is>
          <t>Eau De Parfum</t>
        </is>
      </c>
      <c r="D9329" t="inlineStr">
        <is>
          <t>French Avenue</t>
        </is>
      </c>
      <c r="E9329" t="n">
        <v>29.56</v>
      </c>
      <c r="F9329" t="n">
        <v>1</v>
      </c>
      <c r="G9329" t="n">
        <v>63</v>
      </c>
      <c r="H9329" s="5">
        <f>HYPERLINK("https://api.qogita.com/variants/link/6290360378725/", "View Product")</f>
        <v/>
      </c>
    </row>
    <row r="9330">
      <c r="A9330" t="inlineStr">
        <is>
          <t>6290360378954</t>
        </is>
      </c>
      <c r="B9330" t="inlineStr">
        <is>
          <t>Fragrance World French Avenue Zenith Vanilla Eau De Parfum 100ml</t>
        </is>
      </c>
      <c r="C9330" t="inlineStr">
        <is>
          <t>Eau De Parfum</t>
        </is>
      </c>
      <c r="D9330" t="inlineStr">
        <is>
          <t>Fragrance World</t>
        </is>
      </c>
      <c r="E9330" t="n">
        <v>26.54</v>
      </c>
      <c r="F9330" t="n">
        <v>1</v>
      </c>
      <c r="G9330" t="n">
        <v>32</v>
      </c>
      <c r="H9330" s="5">
        <f>HYPERLINK("https://api.qogita.com/variants/link/6290360378954/", "View Product")</f>
        <v/>
      </c>
    </row>
    <row r="9331">
      <c r="A9331" t="inlineStr">
        <is>
          <t>6290360379302</t>
        </is>
      </c>
      <c r="B9331" t="inlineStr">
        <is>
          <t>Fragrance World Tabac N' Coke Eau De Parfum 100ml</t>
        </is>
      </c>
      <c r="C9331" t="inlineStr">
        <is>
          <t>Eau De Parfum</t>
        </is>
      </c>
      <c r="D9331" t="inlineStr">
        <is>
          <t>Fragrance World</t>
        </is>
      </c>
      <c r="E9331" t="n">
        <v>21.11</v>
      </c>
      <c r="F9331" t="n">
        <v>1</v>
      </c>
      <c r="G9331" t="n">
        <v>53</v>
      </c>
      <c r="H9331" s="5">
        <f>HYPERLINK("https://api.qogita.com/variants/link/6290360379302/", "View Product")</f>
        <v/>
      </c>
    </row>
    <row r="9332">
      <c r="A9332" t="inlineStr">
        <is>
          <t>6290360379432</t>
        </is>
      </c>
      <c r="B9332" t="inlineStr">
        <is>
          <t>Fragrance World Inizio For Her 100 Ml Eau De Parfum</t>
        </is>
      </c>
      <c r="C9332" t="inlineStr">
        <is>
          <t>Eau De Parfum</t>
        </is>
      </c>
      <c r="D9332" t="inlineStr">
        <is>
          <t>Fragrance World</t>
        </is>
      </c>
      <c r="E9332" t="n">
        <v>20.75</v>
      </c>
      <c r="F9332" t="n">
        <v>1</v>
      </c>
      <c r="G9332" t="n">
        <v>94</v>
      </c>
      <c r="H9332" s="5">
        <f>HYPERLINK("https://api.qogita.com/variants/link/6290360379432/", "View Product")</f>
        <v/>
      </c>
    </row>
    <row r="9333">
      <c r="A9333" t="inlineStr">
        <is>
          <t>6290360590080</t>
        </is>
      </c>
      <c r="B9333" t="inlineStr">
        <is>
          <t>Rave Pure Desire Intense Edp</t>
        </is>
      </c>
      <c r="C9333" t="inlineStr">
        <is>
          <t>Eau De Parfum</t>
        </is>
      </c>
      <c r="D9333" t="inlineStr">
        <is>
          <t>Rave</t>
        </is>
      </c>
      <c r="E9333" t="n">
        <v>11.84</v>
      </c>
      <c r="F9333" t="n">
        <v>1</v>
      </c>
      <c r="G9333" t="n">
        <v>79</v>
      </c>
      <c r="H9333" s="5">
        <f>HYPERLINK("https://api.qogita.com/variants/link/6290360590080/", "View Product")</f>
        <v/>
      </c>
    </row>
    <row r="9334">
      <c r="A9334" t="inlineStr">
        <is>
          <t>6290360590660</t>
        </is>
      </c>
      <c r="B9334" t="inlineStr">
        <is>
          <t>Maison Alhambra Gusta Eau De Parfum 100ml</t>
        </is>
      </c>
      <c r="C9334" t="inlineStr">
        <is>
          <t>Eau De Parfum</t>
        </is>
      </c>
      <c r="D9334" t="inlineStr">
        <is>
          <t>Maison Alhambra</t>
        </is>
      </c>
      <c r="E9334" t="n">
        <v>14.43</v>
      </c>
      <c r="F9334" t="n">
        <v>1</v>
      </c>
      <c r="G9334" t="n">
        <v>326</v>
      </c>
      <c r="H9334" s="5">
        <f>HYPERLINK("https://api.qogita.com/variants/link/6290360590660/", "View Product")</f>
        <v/>
      </c>
    </row>
    <row r="9335">
      <c r="A9335" t="inlineStr">
        <is>
          <t>6290360590738</t>
        </is>
      </c>
      <c r="B9335" t="inlineStr">
        <is>
          <t>Narissa Ambre by Maison Alhambra for Women 3.4 Oz EDP Spray</t>
        </is>
      </c>
      <c r="C9335" t="inlineStr">
        <is>
          <t>Eau De Parfum</t>
        </is>
      </c>
      <c r="D9335" t="inlineStr">
        <is>
          <t>Maison Alhambra</t>
        </is>
      </c>
      <c r="E9335" t="n">
        <v>18.66</v>
      </c>
      <c r="F9335" t="n">
        <v>1</v>
      </c>
      <c r="G9335" t="n">
        <v>203</v>
      </c>
      <c r="H9335" s="5">
        <f>HYPERLINK("https://api.qogita.com/variants/link/6290360590738/", "View Product")</f>
        <v/>
      </c>
    </row>
    <row r="9336">
      <c r="A9336" t="inlineStr">
        <is>
          <t>6290360590776</t>
        </is>
      </c>
      <c r="B9336" t="inlineStr">
        <is>
          <t>Salvo Elixir Maison Alhambra Eau De Parfum 60ml By Lattafa</t>
        </is>
      </c>
      <c r="C9336" t="inlineStr">
        <is>
          <t>Eau De Parfum</t>
        </is>
      </c>
      <c r="D9336" t="inlineStr">
        <is>
          <t>Lattafa</t>
        </is>
      </c>
      <c r="E9336" t="n">
        <v>11.14</v>
      </c>
      <c r="F9336" t="n">
        <v>1</v>
      </c>
      <c r="G9336" t="n">
        <v>327</v>
      </c>
      <c r="H9336" s="5">
        <f>HYPERLINK("https://api.qogita.com/variants/link/6290360590776/", "View Product")</f>
        <v/>
      </c>
    </row>
    <row r="9337">
      <c r="A9337" t="inlineStr">
        <is>
          <t>6290360590837</t>
        </is>
      </c>
      <c r="B9337" t="inlineStr">
        <is>
          <t>Precious Pink Eau De Parfum 80ml by Maison Alhambra</t>
        </is>
      </c>
      <c r="C9337" t="inlineStr">
        <is>
          <t>Eau De Parfum</t>
        </is>
      </c>
      <c r="D9337" t="inlineStr">
        <is>
          <t>Maison Alhambra</t>
        </is>
      </c>
      <c r="E9337" t="n">
        <v>10.53</v>
      </c>
      <c r="F9337" t="n">
        <v>1</v>
      </c>
      <c r="G9337" t="n">
        <v>146</v>
      </c>
      <c r="H9337" s="5">
        <f>HYPERLINK("https://api.qogita.com/variants/link/6290360590837/", "View Product")</f>
        <v/>
      </c>
    </row>
    <row r="9338">
      <c r="A9338" t="inlineStr">
        <is>
          <t>6290360591148</t>
        </is>
      </c>
      <c r="B9338" t="inlineStr">
        <is>
          <t>Maison Alhambra Parfum Victoria Flower Orchid Eau de Parfum 100 ml</t>
        </is>
      </c>
      <c r="C9338" t="inlineStr">
        <is>
          <t>Eau De Parfum</t>
        </is>
      </c>
      <c r="D9338" t="inlineStr">
        <is>
          <t>Maison Alhambra</t>
        </is>
      </c>
      <c r="E9338" t="n">
        <v>9.359999999999999</v>
      </c>
      <c r="F9338" t="n">
        <v>1</v>
      </c>
      <c r="G9338" t="n">
        <v>459</v>
      </c>
      <c r="H9338" s="5">
        <f>HYPERLINK("https://api.qogita.com/variants/link/6290360591148/", "View Product")</f>
        <v/>
      </c>
    </row>
    <row r="9339">
      <c r="A9339" t="inlineStr">
        <is>
          <t>6290360591438</t>
        </is>
      </c>
      <c r="B9339" t="inlineStr">
        <is>
          <t>Rave Nardo Red Eau De Parfum Spray 100ml</t>
        </is>
      </c>
      <c r="C9339" t="inlineStr">
        <is>
          <t>Eau De Parfum</t>
        </is>
      </c>
      <c r="D9339" t="inlineStr">
        <is>
          <t>Rave</t>
        </is>
      </c>
      <c r="E9339" t="n">
        <v>14.36</v>
      </c>
      <c r="F9339" t="n">
        <v>1</v>
      </c>
      <c r="G9339" t="n">
        <v>111</v>
      </c>
      <c r="H9339" s="5">
        <f>HYPERLINK("https://api.qogita.com/variants/link/6290360591438/", "View Product")</f>
        <v/>
      </c>
    </row>
    <row r="9340">
      <c r="A9340" t="inlineStr">
        <is>
          <t>6290360591445</t>
        </is>
      </c>
      <c r="B9340" t="inlineStr">
        <is>
          <t>Rave Nardo Black Eau De Parfum Spray 100ml</t>
        </is>
      </c>
      <c r="C9340" t="inlineStr">
        <is>
          <t>Eau De Parfum</t>
        </is>
      </c>
      <c r="D9340" t="inlineStr">
        <is>
          <t>Rave</t>
        </is>
      </c>
      <c r="E9340" t="n">
        <v>12.68</v>
      </c>
      <c r="F9340" t="n">
        <v>1</v>
      </c>
      <c r="G9340" t="n">
        <v>4</v>
      </c>
      <c r="H9340" s="5">
        <f>HYPERLINK("https://api.qogita.com/variants/link/6290360591445/", "View Product")</f>
        <v/>
      </c>
    </row>
    <row r="9341">
      <c r="A9341" t="inlineStr">
        <is>
          <t>6290360591537</t>
        </is>
      </c>
      <c r="B9341" t="inlineStr">
        <is>
          <t>Lattafa Perfumes Liam Grey Eau De Parfum 100ml</t>
        </is>
      </c>
      <c r="C9341" t="inlineStr">
        <is>
          <t>Eau De Parfum</t>
        </is>
      </c>
      <c r="D9341" t="inlineStr">
        <is>
          <t>Lattafa</t>
        </is>
      </c>
      <c r="E9341" t="n">
        <v>16.74</v>
      </c>
      <c r="F9341" t="n">
        <v>1</v>
      </c>
      <c r="G9341" t="n">
        <v>64</v>
      </c>
      <c r="H9341" s="5">
        <f>HYPERLINK("https://api.qogita.com/variants/link/6290360591537/", "View Product")</f>
        <v/>
      </c>
    </row>
    <row r="9342">
      <c r="A9342" t="inlineStr">
        <is>
          <t>6290360591971</t>
        </is>
      </c>
      <c r="B9342" t="inlineStr">
        <is>
          <t>Lattafa Pride Art Of Arabia Iii Eau De Parfum Spray 100ml</t>
        </is>
      </c>
      <c r="C9342" t="inlineStr">
        <is>
          <t>Eau De Parfum</t>
        </is>
      </c>
      <c r="D9342" t="inlineStr">
        <is>
          <t>Lattafa</t>
        </is>
      </c>
      <c r="E9342" t="n">
        <v>28.71</v>
      </c>
      <c r="F9342" t="n">
        <v>1</v>
      </c>
      <c r="G9342" t="n">
        <v>459</v>
      </c>
      <c r="H9342" s="5">
        <f>HYPERLINK("https://api.qogita.com/variants/link/6290360591971/", "View Product")</f>
        <v/>
      </c>
    </row>
    <row r="9343">
      <c r="A9343" t="inlineStr">
        <is>
          <t>6290360591995</t>
        </is>
      </c>
      <c r="B9343" t="inlineStr">
        <is>
          <t>La Collection D'Antiquites Watch 100ml</t>
        </is>
      </c>
      <c r="C9343" t="inlineStr">
        <is>
          <t>Eau De Parfum</t>
        </is>
      </c>
      <c r="D9343" t="inlineStr">
        <is>
          <t>Lattafa</t>
        </is>
      </c>
      <c r="E9343" t="n">
        <v>29.83</v>
      </c>
      <c r="F9343" t="n">
        <v>1</v>
      </c>
      <c r="G9343" t="n">
        <v>311</v>
      </c>
      <c r="H9343" s="5">
        <f>HYPERLINK("https://api.qogita.com/variants/link/6290360591995/", "View Product")</f>
        <v/>
      </c>
    </row>
    <row r="9344">
      <c r="A9344" t="inlineStr">
        <is>
          <t>6290360592039</t>
        </is>
      </c>
      <c r="B9344" t="inlineStr">
        <is>
          <t>Lattafa Peace Love - Eau De Parfum</t>
        </is>
      </c>
      <c r="C9344" t="inlineStr">
        <is>
          <t>Eau De Parfum</t>
        </is>
      </c>
      <c r="D9344" t="inlineStr">
        <is>
          <t>Lattafa</t>
        </is>
      </c>
      <c r="E9344" t="n">
        <v>29.18</v>
      </c>
      <c r="F9344" t="n">
        <v>1</v>
      </c>
      <c r="G9344" t="n">
        <v>418</v>
      </c>
      <c r="H9344" s="5">
        <f>HYPERLINK("https://api.qogita.com/variants/link/6290360592039/", "View Product")</f>
        <v/>
      </c>
    </row>
    <row r="9345">
      <c r="A9345" t="inlineStr">
        <is>
          <t>6290360592169</t>
        </is>
      </c>
      <c r="B9345" t="inlineStr">
        <is>
          <t>Lattafa Niche Emarati Lujain Eau De Parfum Spray 100ml</t>
        </is>
      </c>
      <c r="C9345" t="inlineStr">
        <is>
          <t>Eau De Parfum</t>
        </is>
      </c>
      <c r="D9345" t="inlineStr">
        <is>
          <t>Lattafa</t>
        </is>
      </c>
      <c r="E9345" t="n">
        <v>33.72</v>
      </c>
      <c r="F9345" t="n">
        <v>1</v>
      </c>
      <c r="G9345" t="n">
        <v>29</v>
      </c>
      <c r="H9345" s="5">
        <f>HYPERLINK("https://api.qogita.com/variants/link/6290360592169/", "View Product")</f>
        <v/>
      </c>
    </row>
    <row r="9346">
      <c r="A9346" t="inlineStr">
        <is>
          <t>6290360592305</t>
        </is>
      </c>
      <c r="B9346" t="inlineStr">
        <is>
          <t>Lattafa Pride Leen Eau De Parfum Spray 100ml</t>
        </is>
      </c>
      <c r="C9346" t="inlineStr">
        <is>
          <t>Eau De Parfum</t>
        </is>
      </c>
      <c r="D9346" t="inlineStr">
        <is>
          <t>Lattafa</t>
        </is>
      </c>
      <c r="E9346" t="n">
        <v>20.52</v>
      </c>
      <c r="F9346" t="n">
        <v>1</v>
      </c>
      <c r="G9346" t="n">
        <v>10</v>
      </c>
      <c r="H9346" s="5">
        <f>HYPERLINK("https://api.qogita.com/variants/link/6290360592305/", "View Product")</f>
        <v/>
      </c>
    </row>
    <row r="9347">
      <c r="A9347" t="inlineStr">
        <is>
          <t>6290360592718</t>
        </is>
      </c>
      <c r="B9347" t="inlineStr">
        <is>
          <t>Lattafa Artisan Ethnique Eau De Parfum Spray 100ml</t>
        </is>
      </c>
      <c r="C9347" t="inlineStr">
        <is>
          <t>Eau De Parfum</t>
        </is>
      </c>
      <c r="D9347" t="inlineStr">
        <is>
          <t>Lattafa</t>
        </is>
      </c>
      <c r="E9347" t="n">
        <v>20.17</v>
      </c>
      <c r="F9347" t="n">
        <v>1</v>
      </c>
      <c r="G9347" t="n">
        <v>329</v>
      </c>
      <c r="H9347" s="5">
        <f>HYPERLINK("https://api.qogita.com/variants/link/6290360592718/", "View Product")</f>
        <v/>
      </c>
    </row>
    <row r="9348">
      <c r="A9348" t="inlineStr">
        <is>
          <t>6290360592725</t>
        </is>
      </c>
      <c r="B9348" t="inlineStr">
        <is>
          <t>Lattafa Raw Human Eau De Parfum Spray 100ml</t>
        </is>
      </c>
      <c r="C9348" t="inlineStr">
        <is>
          <t>Eau De Parfum</t>
        </is>
      </c>
      <c r="D9348" t="inlineStr">
        <is>
          <t>Lattafa</t>
        </is>
      </c>
      <c r="E9348" t="n">
        <v>15.86</v>
      </c>
      <c r="F9348" t="n">
        <v>1</v>
      </c>
      <c r="G9348" t="n">
        <v>41</v>
      </c>
      <c r="H9348" s="5">
        <f>HYPERLINK("https://api.qogita.com/variants/link/6290360592725/", "View Product")</f>
        <v/>
      </c>
    </row>
    <row r="9349">
      <c r="A9349" t="inlineStr">
        <is>
          <t>6290360592756</t>
        </is>
      </c>
      <c r="B9349" t="inlineStr">
        <is>
          <t>Lattafa Kashan - Eau De Parfum</t>
        </is>
      </c>
      <c r="C9349" t="inlineStr">
        <is>
          <t>Eau De Parfum</t>
        </is>
      </c>
      <c r="D9349" t="inlineStr">
        <is>
          <t>Lattafa</t>
        </is>
      </c>
      <c r="E9349" t="n">
        <v>18.82</v>
      </c>
      <c r="F9349" t="n">
        <v>1</v>
      </c>
      <c r="G9349" t="n">
        <v>282</v>
      </c>
      <c r="H9349" s="5">
        <f>HYPERLINK("https://api.qogita.com/variants/link/6290360592756/", "View Product")</f>
        <v/>
      </c>
    </row>
    <row r="9350">
      <c r="A9350" t="inlineStr">
        <is>
          <t>6290360592800</t>
        </is>
      </c>
      <c r="B9350" t="inlineStr">
        <is>
          <t>Lattafa Pride Natural Oud Eau De Parfum Spray 100ml</t>
        </is>
      </c>
      <c r="C9350" t="inlineStr">
        <is>
          <t>Eau De Parfum</t>
        </is>
      </c>
      <c r="D9350" t="inlineStr">
        <is>
          <t>Lattafa</t>
        </is>
      </c>
      <c r="E9350" t="n">
        <v>16.91</v>
      </c>
      <c r="F9350" t="n">
        <v>1</v>
      </c>
      <c r="G9350" t="n">
        <v>544</v>
      </c>
      <c r="H9350" s="5">
        <f>HYPERLINK("https://api.qogita.com/variants/link/6290360592800/", "View Product")</f>
        <v/>
      </c>
    </row>
    <row r="9351">
      <c r="A9351" t="inlineStr">
        <is>
          <t>6290360592893</t>
        </is>
      </c>
      <c r="B9351" t="inlineStr">
        <is>
          <t>Lattafa Pride La African Drummer Eau De Parfum Spray 100ml</t>
        </is>
      </c>
      <c r="C9351" t="inlineStr">
        <is>
          <t>Eau De Parfum</t>
        </is>
      </c>
      <c r="D9351" t="inlineStr">
        <is>
          <t>Lattafa</t>
        </is>
      </c>
      <c r="E9351" t="n">
        <v>18.94</v>
      </c>
      <c r="F9351" t="n">
        <v>1</v>
      </c>
      <c r="G9351" t="n">
        <v>275</v>
      </c>
      <c r="H9351" s="5">
        <f>HYPERLINK("https://api.qogita.com/variants/link/6290360592893/", "View Product")</f>
        <v/>
      </c>
    </row>
    <row r="9352">
      <c r="A9352" t="inlineStr">
        <is>
          <t>6290360592930</t>
        </is>
      </c>
      <c r="B9352" t="inlineStr">
        <is>
          <t>Lattafa Niche Emarati Hayaam Eau De Parfum Spray 100ml</t>
        </is>
      </c>
      <c r="C9352" t="inlineStr">
        <is>
          <t>Eau De Parfum</t>
        </is>
      </c>
      <c r="D9352" t="inlineStr">
        <is>
          <t>Lattafa</t>
        </is>
      </c>
      <c r="E9352" t="n">
        <v>36.19</v>
      </c>
      <c r="F9352" t="n">
        <v>1</v>
      </c>
      <c r="G9352" t="n">
        <v>59</v>
      </c>
      <c r="H9352" s="5">
        <f>HYPERLINK("https://api.qogita.com/variants/link/6290360592930/", "View Product")</f>
        <v/>
      </c>
    </row>
    <row r="9353">
      <c r="A9353" t="inlineStr">
        <is>
          <t>6290360592954</t>
        </is>
      </c>
      <c r="B9353" t="inlineStr">
        <is>
          <t>Lattafa Pride Gharam Eau De Parfum Spray 100ml</t>
        </is>
      </c>
      <c r="C9353" t="inlineStr">
        <is>
          <t>Eau De Parfum</t>
        </is>
      </c>
      <c r="D9353" t="inlineStr">
        <is>
          <t>Lattafa</t>
        </is>
      </c>
      <c r="E9353" t="n">
        <v>24.81</v>
      </c>
      <c r="F9353" t="n">
        <v>1</v>
      </c>
      <c r="G9353" t="n">
        <v>191</v>
      </c>
      <c r="H9353" s="5">
        <f>HYPERLINK("https://api.qogita.com/variants/link/6290360592954/", "View Product")</f>
        <v/>
      </c>
    </row>
    <row r="9354">
      <c r="A9354" t="inlineStr">
        <is>
          <t>6290360592961</t>
        </is>
      </c>
      <c r="B9354" t="inlineStr">
        <is>
          <t>Lattafa Niche Emarati Ghinwa Eau De Parfum 100ml Spray</t>
        </is>
      </c>
      <c r="C9354" t="inlineStr">
        <is>
          <t>Eau De Parfum</t>
        </is>
      </c>
      <c r="D9354" t="inlineStr">
        <is>
          <t>Lattafa</t>
        </is>
      </c>
      <c r="E9354" t="n">
        <v>33.23</v>
      </c>
      <c r="F9354" t="n">
        <v>1</v>
      </c>
      <c r="G9354" t="n">
        <v>14</v>
      </c>
      <c r="H9354" s="5">
        <f>HYPERLINK("https://api.qogita.com/variants/link/6290360592961/", "View Product")</f>
        <v/>
      </c>
    </row>
    <row r="9355">
      <c r="A9355" t="inlineStr">
        <is>
          <t>6290360593043</t>
        </is>
      </c>
      <c r="B9355" t="inlineStr">
        <is>
          <t>Lattafa Niche Emarati Classic Stone Eau De Parfum 100ml</t>
        </is>
      </c>
      <c r="C9355" t="inlineStr">
        <is>
          <t>Eau De Parfum</t>
        </is>
      </c>
      <c r="D9355" t="inlineStr">
        <is>
          <t>Lattafa</t>
        </is>
      </c>
      <c r="E9355" t="n">
        <v>29.37</v>
      </c>
      <c r="F9355" t="n">
        <v>1</v>
      </c>
      <c r="G9355" t="n">
        <v>31</v>
      </c>
      <c r="H9355" s="5">
        <f>HYPERLINK("https://api.qogita.com/variants/link/6290360593043/", "View Product")</f>
        <v/>
      </c>
    </row>
    <row r="9356">
      <c r="A9356" t="inlineStr">
        <is>
          <t>6290360593050</t>
        </is>
      </c>
      <c r="B9356" t="inlineStr">
        <is>
          <t>Lattafa Masa Eau De Parfum 100ml Unisex Fragrance</t>
        </is>
      </c>
      <c r="C9356" t="inlineStr">
        <is>
          <t>Eau De Parfum</t>
        </is>
      </c>
      <c r="D9356" t="inlineStr">
        <is>
          <t>Lattafa</t>
        </is>
      </c>
      <c r="E9356" t="n">
        <v>24.72</v>
      </c>
      <c r="F9356" t="n">
        <v>1</v>
      </c>
      <c r="G9356" t="n">
        <v>209</v>
      </c>
      <c r="H9356" s="5">
        <f>HYPERLINK("https://api.qogita.com/variants/link/6290360593050/", "View Product")</f>
        <v/>
      </c>
    </row>
    <row r="9357">
      <c r="A9357" t="inlineStr">
        <is>
          <t>6290360593180</t>
        </is>
      </c>
      <c r="B9357" t="inlineStr">
        <is>
          <t>Hayaati Florence Perfumed Water Spray 100ml</t>
        </is>
      </c>
      <c r="C9357" t="inlineStr">
        <is>
          <t>Eau De Parfum</t>
        </is>
      </c>
      <c r="D9357" t="inlineStr">
        <is>
          <t>Lattafa</t>
        </is>
      </c>
      <c r="E9357" t="n">
        <v>11.71</v>
      </c>
      <c r="F9357" t="n">
        <v>1</v>
      </c>
      <c r="G9357" t="n">
        <v>85</v>
      </c>
      <c r="H9357" s="5">
        <f>HYPERLINK("https://api.qogita.com/variants/link/6290360593180/", "View Product")</f>
        <v/>
      </c>
    </row>
    <row r="9358">
      <c r="A9358" t="inlineStr">
        <is>
          <t>6290360593234</t>
        </is>
      </c>
      <c r="B9358" t="inlineStr">
        <is>
          <t>Lattafa Ajwad Deodorant Spray 200ml</t>
        </is>
      </c>
      <c r="C9358" t="inlineStr">
        <is>
          <t>Deodorant &amp; Anti-Perspirant</t>
        </is>
      </c>
      <c r="D9358" t="inlineStr">
        <is>
          <t>Lattafa</t>
        </is>
      </c>
      <c r="E9358" t="n">
        <v>4.58</v>
      </c>
      <c r="F9358" t="n">
        <v>1</v>
      </c>
      <c r="G9358" t="n">
        <v>433</v>
      </c>
      <c r="H9358" s="5">
        <f>HYPERLINK("https://api.qogita.com/variants/link/6290360593234/", "View Product")</f>
        <v/>
      </c>
    </row>
    <row r="9359">
      <c r="A9359" t="inlineStr">
        <is>
          <t>6290360593258</t>
        </is>
      </c>
      <c r="B9359" t="inlineStr">
        <is>
          <t>Lattafa Mayar Deodorant Spray</t>
        </is>
      </c>
      <c r="C9359" t="inlineStr">
        <is>
          <t>Deodorant &amp; Anti-Perspirant</t>
        </is>
      </c>
      <c r="D9359" t="inlineStr">
        <is>
          <t>Lattafa</t>
        </is>
      </c>
      <c r="E9359" t="n">
        <v>3.66</v>
      </c>
      <c r="F9359" t="n">
        <v>1</v>
      </c>
      <c r="G9359" t="n">
        <v>29</v>
      </c>
      <c r="H9359" s="5">
        <f>HYPERLINK("https://api.qogita.com/variants/link/6290360593258/", "View Product")</f>
        <v/>
      </c>
    </row>
    <row r="9360">
      <c r="A9360" t="inlineStr">
        <is>
          <t>6290360593722</t>
        </is>
      </c>
      <c r="B9360" t="inlineStr">
        <is>
          <t>Lattafa Atlas Eau de Parfum U 55 ml</t>
        </is>
      </c>
      <c r="C9360" t="inlineStr">
        <is>
          <t>Eau De Parfum</t>
        </is>
      </c>
      <c r="D9360" t="inlineStr">
        <is>
          <t>Lattafa</t>
        </is>
      </c>
      <c r="E9360" t="n">
        <v>27.14</v>
      </c>
      <c r="F9360" t="n">
        <v>1</v>
      </c>
      <c r="G9360" t="n">
        <v>57</v>
      </c>
      <c r="H9360" s="5">
        <f>HYPERLINK("https://api.qogita.com/variants/link/6290360593722/", "View Product")</f>
        <v/>
      </c>
    </row>
    <row r="9361">
      <c r="A9361" t="inlineStr">
        <is>
          <t>6290360594132</t>
        </is>
      </c>
      <c r="B9361" t="inlineStr">
        <is>
          <t>Rave Royal Supreme King Edp</t>
        </is>
      </c>
      <c r="C9361" t="inlineStr">
        <is>
          <t>Eau De Parfum</t>
        </is>
      </c>
      <c r="D9361" t="inlineStr">
        <is>
          <t>Rave</t>
        </is>
      </c>
      <c r="E9361" t="n">
        <v>15.63</v>
      </c>
      <c r="F9361" t="n">
        <v>1</v>
      </c>
      <c r="G9361" t="n">
        <v>32</v>
      </c>
      <c r="H9361" s="5">
        <f>HYPERLINK("https://api.qogita.com/variants/link/6290360594132/", "View Product")</f>
        <v/>
      </c>
    </row>
    <row r="9362">
      <c r="A9362" t="inlineStr">
        <is>
          <t>6290360594293</t>
        </is>
      </c>
      <c r="B9362" t="inlineStr">
        <is>
          <t>Lattafa Niche Emarati Antique Eau De Parfum Spray 100ml</t>
        </is>
      </c>
      <c r="C9362" t="inlineStr">
        <is>
          <t>Eau De Parfum</t>
        </is>
      </c>
      <c r="D9362" t="inlineStr">
        <is>
          <t>Lattafa</t>
        </is>
      </c>
      <c r="E9362" t="n">
        <v>23.38</v>
      </c>
      <c r="F9362" t="n">
        <v>1</v>
      </c>
      <c r="G9362" t="n">
        <v>11</v>
      </c>
      <c r="H9362" s="5">
        <f>HYPERLINK("https://api.qogita.com/variants/link/6290360594293/", "View Product")</f>
        <v/>
      </c>
    </row>
    <row r="9363">
      <c r="A9363" t="inlineStr">
        <is>
          <t>6290360596792</t>
        </is>
      </c>
      <c r="B9363" t="inlineStr">
        <is>
          <t>Riiffs Celesto Turquoise Eau De Parfum 100ml Perfume Fresh Imagination</t>
        </is>
      </c>
      <c r="C9363" t="inlineStr">
        <is>
          <t>Eau De Parfum</t>
        </is>
      </c>
      <c r="D9363" t="inlineStr">
        <is>
          <t>Riiffs</t>
        </is>
      </c>
      <c r="E9363" t="n">
        <v>11.74</v>
      </c>
      <c r="F9363" t="n">
        <v>1</v>
      </c>
      <c r="G9363" t="n">
        <v>63</v>
      </c>
      <c r="H9363" s="5">
        <f>HYPERLINK("https://api.qogita.com/variants/link/6290360596792/", "View Product")</f>
        <v/>
      </c>
    </row>
    <row r="9364">
      <c r="A9364" t="inlineStr">
        <is>
          <t>6290360597782</t>
        </is>
      </c>
      <c r="B9364" t="inlineStr">
        <is>
          <t>Riiffs Gemini Of Pour Femme Eau De Parfum 100ml Fruity God Fire</t>
        </is>
      </c>
      <c r="C9364" t="inlineStr">
        <is>
          <t>Eau De Parfum</t>
        </is>
      </c>
      <c r="D9364" t="inlineStr">
        <is>
          <t>Riiffs</t>
        </is>
      </c>
      <c r="E9364" t="n">
        <v>11.05</v>
      </c>
      <c r="F9364" t="n">
        <v>1</v>
      </c>
      <c r="G9364" t="n">
        <v>33</v>
      </c>
      <c r="H9364" s="5">
        <f>HYPERLINK("https://api.qogita.com/variants/link/6290360597782/", "View Product")</f>
        <v/>
      </c>
    </row>
    <row r="9365">
      <c r="A9365" t="inlineStr">
        <is>
          <t>6290360598345</t>
        </is>
      </c>
      <c r="B9365" t="inlineStr">
        <is>
          <t>Lattafa The Kingdom Eau De Parfum Spray 100ml</t>
        </is>
      </c>
      <c r="C9365" t="inlineStr">
        <is>
          <t>Eau De Parfum</t>
        </is>
      </c>
      <c r="D9365" t="inlineStr">
        <is>
          <t>Lattafa</t>
        </is>
      </c>
      <c r="E9365" t="n">
        <v>19.31</v>
      </c>
      <c r="F9365" t="n">
        <v>1</v>
      </c>
      <c r="G9365" t="n">
        <v>459</v>
      </c>
      <c r="H9365" s="5">
        <f>HYPERLINK("https://api.qogita.com/variants/link/6290360598345/", "View Product")</f>
        <v/>
      </c>
    </row>
    <row r="9366">
      <c r="A9366" t="inlineStr">
        <is>
          <t>6290360598352</t>
        </is>
      </c>
      <c r="B9366" t="inlineStr">
        <is>
          <t>Lattafa The Kingdom Woman Eau De Parfum Spray 100ml</t>
        </is>
      </c>
      <c r="C9366" t="inlineStr">
        <is>
          <t>Eau De Parfum</t>
        </is>
      </c>
      <c r="D9366" t="inlineStr">
        <is>
          <t>Lattafa</t>
        </is>
      </c>
      <c r="E9366" t="n">
        <v>17.83</v>
      </c>
      <c r="F9366" t="n">
        <v>1</v>
      </c>
      <c r="G9366" t="n">
        <v>41</v>
      </c>
      <c r="H9366" s="5">
        <f>HYPERLINK("https://api.qogita.com/variants/link/6290360598352/", "View Product")</f>
        <v/>
      </c>
    </row>
    <row r="9367">
      <c r="A9367" t="inlineStr">
        <is>
          <t>6290360599120</t>
        </is>
      </c>
      <c r="B9367" t="inlineStr">
        <is>
          <t>Lattafa Her Confession Eau De Parfum 100ml</t>
        </is>
      </c>
      <c r="C9367" t="inlineStr">
        <is>
          <t>Eau De Parfum</t>
        </is>
      </c>
      <c r="D9367" t="inlineStr">
        <is>
          <t>Lattafa</t>
        </is>
      </c>
      <c r="E9367" t="n">
        <v>24.74</v>
      </c>
      <c r="F9367" t="n">
        <v>1</v>
      </c>
      <c r="G9367" t="n">
        <v>459</v>
      </c>
      <c r="H9367" s="5">
        <f>HYPERLINK("https://api.qogita.com/variants/link/6290360599120/", "View Product")</f>
        <v/>
      </c>
    </row>
    <row r="9368">
      <c r="A9368" t="inlineStr">
        <is>
          <t>6290360599236</t>
        </is>
      </c>
      <c r="B9368" t="inlineStr">
        <is>
          <t>Maison Alhambra Camille Eau De Parfum 100ml</t>
        </is>
      </c>
      <c r="C9368" t="inlineStr">
        <is>
          <t>Eau De Parfum</t>
        </is>
      </c>
      <c r="D9368" t="inlineStr">
        <is>
          <t>Maison Alhambra</t>
        </is>
      </c>
      <c r="E9368" t="n">
        <v>12.57</v>
      </c>
      <c r="F9368" t="n">
        <v>1</v>
      </c>
      <c r="G9368" t="n">
        <v>161</v>
      </c>
      <c r="H9368" s="5">
        <f>HYPERLINK("https://api.qogita.com/variants/link/6290360599236/", "View Product")</f>
        <v/>
      </c>
    </row>
    <row r="9369">
      <c r="A9369" t="inlineStr">
        <is>
          <t>6290360599267</t>
        </is>
      </c>
      <c r="B9369" t="inlineStr">
        <is>
          <t>Maison Alhambra Lava Unisex Eau De Parfum Spray 3.4 Ounce 100ml</t>
        </is>
      </c>
      <c r="C9369" t="inlineStr">
        <is>
          <t>Eau De Parfum</t>
        </is>
      </c>
      <c r="D9369" t="inlineStr">
        <is>
          <t>Maison Alhambra</t>
        </is>
      </c>
      <c r="E9369" t="n">
        <v>11.83</v>
      </c>
      <c r="F9369" t="n">
        <v>1</v>
      </c>
      <c r="G9369" t="n">
        <v>61</v>
      </c>
      <c r="H9369" s="5">
        <f>HYPERLINK("https://api.qogita.com/variants/link/6290360599267/", "View Product")</f>
        <v/>
      </c>
    </row>
    <row r="9370">
      <c r="A9370" t="inlineStr">
        <is>
          <t>6290360599731</t>
        </is>
      </c>
      <c r="B9370" t="inlineStr">
        <is>
          <t>Lattafa Pride Happy Time For Kids Eau De Parfum Spray 75ml</t>
        </is>
      </c>
      <c r="C9370" t="inlineStr">
        <is>
          <t>Eau De Parfum</t>
        </is>
      </c>
      <c r="D9370" t="inlineStr">
        <is>
          <t>Lattafa</t>
        </is>
      </c>
      <c r="E9370" t="n">
        <v>13.34</v>
      </c>
      <c r="F9370" t="n">
        <v>1</v>
      </c>
      <c r="G9370" t="n">
        <v>183</v>
      </c>
      <c r="H9370" s="5">
        <f>HYPERLINK("https://api.qogita.com/variants/link/6290360599731/", "View Product")</f>
        <v/>
      </c>
    </row>
    <row r="9371">
      <c r="A9371" t="inlineStr">
        <is>
          <t>6290360599755</t>
        </is>
      </c>
      <c r="B9371" t="inlineStr">
        <is>
          <t>Lattafa Pride Riders For Kids Eau De Parfum Spray 75ml</t>
        </is>
      </c>
      <c r="C9371" t="inlineStr">
        <is>
          <t>Eau De Parfum</t>
        </is>
      </c>
      <c r="D9371" t="inlineStr">
        <is>
          <t>Lattafa</t>
        </is>
      </c>
      <c r="E9371" t="n">
        <v>13.34</v>
      </c>
      <c r="F9371" t="n">
        <v>1</v>
      </c>
      <c r="G9371" t="n">
        <v>187</v>
      </c>
      <c r="H9371" s="5">
        <f>HYPERLINK("https://api.qogita.com/variants/link/6290360599755/", "View Product")</f>
        <v/>
      </c>
    </row>
    <row r="9372">
      <c r="A9372" t="inlineStr">
        <is>
          <t>6290360615158</t>
        </is>
      </c>
      <c r="B9372" t="inlineStr">
        <is>
          <t>Ahmed Al Maghribi Meillure Eau De Parfum</t>
        </is>
      </c>
      <c r="C9372" t="inlineStr">
        <is>
          <t>Eau De Parfum</t>
        </is>
      </c>
      <c r="D9372" t="inlineStr">
        <is>
          <t>Ahmed Al Maghribi</t>
        </is>
      </c>
      <c r="E9372" t="n">
        <v>9.41</v>
      </c>
      <c r="F9372" t="n">
        <v>1</v>
      </c>
      <c r="G9372" t="n">
        <v>5</v>
      </c>
      <c r="H9372" s="5">
        <f>HYPERLINK("https://api.qogita.com/variants/link/6290360615158/", "View Product")</f>
        <v/>
      </c>
    </row>
    <row r="9373">
      <c r="A9373" t="inlineStr">
        <is>
          <t>6290362340256</t>
        </is>
      </c>
      <c r="B9373" t="inlineStr">
        <is>
          <t>Riiffs Eau De Parfum Prive Blue Intense - 80ml Unisex Fragrance</t>
        </is>
      </c>
      <c r="C9373" t="inlineStr">
        <is>
          <t>Eau De Parfum</t>
        </is>
      </c>
      <c r="D9373" t="inlineStr">
        <is>
          <t>Riiffs</t>
        </is>
      </c>
      <c r="E9373" t="n">
        <v>16.5</v>
      </c>
      <c r="F9373" t="n">
        <v>1</v>
      </c>
      <c r="G9373" t="n">
        <v>33</v>
      </c>
      <c r="H9373" s="5">
        <f>HYPERLINK("https://api.qogita.com/variants/link/6290362340256/", "View Product")</f>
        <v/>
      </c>
    </row>
    <row r="9374">
      <c r="A9374" t="inlineStr">
        <is>
          <t>6290362340522</t>
        </is>
      </c>
      <c r="B9374" t="inlineStr">
        <is>
          <t>Maison Alhambra Galactic Men Elixir Eau De Parfum Spray 100ml 3.4oz - Smoky</t>
        </is>
      </c>
      <c r="C9374" t="inlineStr">
        <is>
          <t>Eau De Parfum</t>
        </is>
      </c>
      <c r="D9374" t="inlineStr">
        <is>
          <t>Maison Alhambra</t>
        </is>
      </c>
      <c r="E9374" t="n">
        <v>9.289999999999999</v>
      </c>
      <c r="F9374" t="n">
        <v>1</v>
      </c>
      <c r="G9374" t="n">
        <v>102</v>
      </c>
      <c r="H9374" s="5">
        <f>HYPERLINK("https://api.qogita.com/variants/link/6290362340522/", "View Product")</f>
        <v/>
      </c>
    </row>
    <row r="9375">
      <c r="A9375" t="inlineStr">
        <is>
          <t>6290362340560</t>
        </is>
      </c>
      <c r="B9375" t="inlineStr">
        <is>
          <t>Alhambra Mia Dolcezza - Eau De Parfum</t>
        </is>
      </c>
      <c r="C9375" t="inlineStr">
        <is>
          <t>Eau De Parfum</t>
        </is>
      </c>
      <c r="D9375" t="inlineStr">
        <is>
          <t>Maison Alhambra</t>
        </is>
      </c>
      <c r="E9375" t="n">
        <v>12.92</v>
      </c>
      <c r="F9375" t="n">
        <v>1</v>
      </c>
      <c r="G9375" t="n">
        <v>115</v>
      </c>
      <c r="H9375" s="5">
        <f>HYPERLINK("https://api.qogita.com/variants/link/6290362340560/", "View Product")</f>
        <v/>
      </c>
    </row>
    <row r="9376">
      <c r="A9376" t="inlineStr">
        <is>
          <t>6290362340614</t>
        </is>
      </c>
      <c r="B9376" t="inlineStr">
        <is>
          <t>Maison Alhambra Ebene Unisex Eau De Parfum Spray 3.0 Ounce 90ml</t>
        </is>
      </c>
      <c r="C9376" t="inlineStr">
        <is>
          <t>Eau De Parfum</t>
        </is>
      </c>
      <c r="D9376" t="inlineStr">
        <is>
          <t>Maison Alhambra</t>
        </is>
      </c>
      <c r="E9376" t="n">
        <v>16.62</v>
      </c>
      <c r="F9376" t="n">
        <v>1</v>
      </c>
      <c r="G9376" t="n">
        <v>29</v>
      </c>
      <c r="H9376" s="5">
        <f>HYPERLINK("https://api.qogita.com/variants/link/6290362340614/", "View Product")</f>
        <v/>
      </c>
    </row>
    <row r="9377">
      <c r="A9377" t="inlineStr">
        <is>
          <t>6290362340676</t>
        </is>
      </c>
      <c r="B9377" t="inlineStr">
        <is>
          <t>Maison Alhambra Perfect Harmony Eau De Parfum 100 Ml</t>
        </is>
      </c>
      <c r="C9377" t="inlineStr">
        <is>
          <t>Eau De Parfum</t>
        </is>
      </c>
      <c r="D9377" t="inlineStr">
        <is>
          <t>Maison Alhambra</t>
        </is>
      </c>
      <c r="E9377" t="n">
        <v>16.72</v>
      </c>
      <c r="F9377" t="n">
        <v>1</v>
      </c>
      <c r="G9377" t="n">
        <v>161</v>
      </c>
      <c r="H9377" s="5">
        <f>HYPERLINK("https://api.qogita.com/variants/link/6290362340676/", "View Product")</f>
        <v/>
      </c>
    </row>
    <row r="9378">
      <c r="A9378" t="inlineStr">
        <is>
          <t>6290362340690</t>
        </is>
      </c>
      <c r="B9378" t="inlineStr">
        <is>
          <t>Maison Alhambra Spectrum Unisex Eau De Parfum 100ml</t>
        </is>
      </c>
      <c r="C9378" t="inlineStr">
        <is>
          <t>Eau De Parfum</t>
        </is>
      </c>
      <c r="D9378" t="inlineStr">
        <is>
          <t>Maison Alhambra</t>
        </is>
      </c>
      <c r="E9378" t="n">
        <v>16.51</v>
      </c>
      <c r="F9378" t="n">
        <v>1</v>
      </c>
      <c r="G9378" t="n">
        <v>171</v>
      </c>
      <c r="H9378" s="5">
        <f>HYPERLINK("https://api.qogita.com/variants/link/6290362340690/", "View Product")</f>
        <v/>
      </c>
    </row>
    <row r="9379">
      <c r="A9379" t="inlineStr">
        <is>
          <t>6290362340768</t>
        </is>
      </c>
      <c r="B9379" t="inlineStr">
        <is>
          <t>Maison Alhambra Avant Silk Eau De Parfum 100ml</t>
        </is>
      </c>
      <c r="C9379" t="inlineStr">
        <is>
          <t>Eau De Parfum</t>
        </is>
      </c>
      <c r="D9379" t="inlineStr">
        <is>
          <t>Maison Alhambra</t>
        </is>
      </c>
      <c r="E9379" t="n">
        <v>16.34</v>
      </c>
      <c r="F9379" t="n">
        <v>1</v>
      </c>
      <c r="G9379" t="n">
        <v>459</v>
      </c>
      <c r="H9379" s="5">
        <f>HYPERLINK("https://api.qogita.com/variants/link/6290362340768/", "View Product")</f>
        <v/>
      </c>
    </row>
    <row r="9380">
      <c r="A9380" t="inlineStr">
        <is>
          <t>6290362340805</t>
        </is>
      </c>
      <c r="B9380" t="inlineStr">
        <is>
          <t>Maison Alhambra Desirable Addiction Spray 100ml</t>
        </is>
      </c>
      <c r="C9380" t="inlineStr">
        <is>
          <t>Eau De Parfum</t>
        </is>
      </c>
      <c r="D9380" t="inlineStr">
        <is>
          <t>Maison Alhambra</t>
        </is>
      </c>
      <c r="E9380" t="n">
        <v>11.54</v>
      </c>
      <c r="F9380" t="n">
        <v>1</v>
      </c>
      <c r="G9380" t="n">
        <v>140</v>
      </c>
      <c r="H9380" s="5">
        <f>HYPERLINK("https://api.qogita.com/variants/link/6290362340805/", "View Product")</f>
        <v/>
      </c>
    </row>
    <row r="9381">
      <c r="A9381" t="inlineStr">
        <is>
          <t>6290362340898</t>
        </is>
      </c>
      <c r="B9381" t="inlineStr">
        <is>
          <t>Maison Alhambra Philos Messenger Eau De Parfum Spray, 100 Ml</t>
        </is>
      </c>
      <c r="C9381" t="inlineStr">
        <is>
          <t>Eau De Parfum</t>
        </is>
      </c>
      <c r="D9381" t="inlineStr">
        <is>
          <t>Maison Alhambra</t>
        </is>
      </c>
      <c r="E9381" t="n">
        <v>14.33</v>
      </c>
      <c r="F9381" t="n">
        <v>1</v>
      </c>
      <c r="G9381" t="n">
        <v>161</v>
      </c>
      <c r="H9381" s="5">
        <f>HYPERLINK("https://api.qogita.com/variants/link/6290362340898/", "View Product")</f>
        <v/>
      </c>
    </row>
    <row r="9382">
      <c r="A9382" t="inlineStr">
        <is>
          <t>6290362340911</t>
        </is>
      </c>
      <c r="B9382" t="inlineStr">
        <is>
          <t>Maison Alhambra Queenstown Pour Femme Intense Eau De Parfum 100ml</t>
        </is>
      </c>
      <c r="C9382" t="inlineStr">
        <is>
          <t>Eau De Parfum</t>
        </is>
      </c>
      <c r="D9382" t="inlineStr">
        <is>
          <t>Maison Alhambra</t>
        </is>
      </c>
      <c r="E9382" t="n">
        <v>12</v>
      </c>
      <c r="F9382" t="n">
        <v>1</v>
      </c>
      <c r="G9382" t="n">
        <v>153</v>
      </c>
      <c r="H9382" s="5">
        <f>HYPERLINK("https://api.qogita.com/variants/link/6290362340911/", "View Product")</f>
        <v/>
      </c>
    </row>
    <row r="9383">
      <c r="A9383" t="inlineStr">
        <is>
          <t>6290362341116</t>
        </is>
      </c>
      <c r="B9383" t="inlineStr">
        <is>
          <t>Maison Alhambra Luxe Journey EDP Unisex 3.4 Fl Oz</t>
        </is>
      </c>
      <c r="C9383" t="inlineStr">
        <is>
          <t>Eau De Parfum</t>
        </is>
      </c>
      <c r="D9383" t="inlineStr">
        <is>
          <t>Maison Alhambra</t>
        </is>
      </c>
      <c r="E9383" t="n">
        <v>18.28</v>
      </c>
      <c r="F9383" t="n">
        <v>1</v>
      </c>
      <c r="G9383" t="n">
        <v>156</v>
      </c>
      <c r="H9383" s="5">
        <f>HYPERLINK("https://api.qogita.com/variants/link/6290362341116/", "View Product")</f>
        <v/>
      </c>
    </row>
    <row r="9384">
      <c r="A9384" t="inlineStr">
        <is>
          <t>6290362341130</t>
        </is>
      </c>
      <c r="B9384" t="inlineStr">
        <is>
          <t>Maison Alhambra Luxe Bold Eau De Parfum 100 Ml</t>
        </is>
      </c>
      <c r="C9384" t="inlineStr">
        <is>
          <t>Eau De Parfum</t>
        </is>
      </c>
      <c r="D9384" t="inlineStr">
        <is>
          <t>Maison Alhambra</t>
        </is>
      </c>
      <c r="E9384" t="n">
        <v>17.01</v>
      </c>
      <c r="F9384" t="n">
        <v>1</v>
      </c>
      <c r="G9384" t="n">
        <v>387</v>
      </c>
      <c r="H9384" s="5">
        <f>HYPERLINK("https://api.qogita.com/variants/link/6290362341130/", "View Product")</f>
        <v/>
      </c>
    </row>
    <row r="9385">
      <c r="A9385" t="inlineStr">
        <is>
          <t>6290362341147</t>
        </is>
      </c>
      <c r="B9385" t="inlineStr">
        <is>
          <t>Maison Alhambra Luxe Chic Eau de Parfum Unisex 3.4 Fl Oz</t>
        </is>
      </c>
      <c r="C9385" t="inlineStr">
        <is>
          <t>Eau De Parfum</t>
        </is>
      </c>
      <c r="D9385" t="inlineStr">
        <is>
          <t>Maison Alhambra</t>
        </is>
      </c>
      <c r="E9385" t="n">
        <v>18.28</v>
      </c>
      <c r="F9385" t="n">
        <v>1</v>
      </c>
      <c r="G9385" t="n">
        <v>130</v>
      </c>
      <c r="H9385" s="5">
        <f>HYPERLINK("https://api.qogita.com/variants/link/6290362341147/", "View Product")</f>
        <v/>
      </c>
    </row>
    <row r="9386">
      <c r="A9386" t="inlineStr">
        <is>
          <t>6290362342373</t>
        </is>
      </c>
      <c r="B9386" t="inlineStr">
        <is>
          <t>Lattafa Khamrah Dukhan Eau De Parfum 100ml</t>
        </is>
      </c>
      <c r="C9386" t="inlineStr">
        <is>
          <t>Eau De Parfum</t>
        </is>
      </c>
      <c r="D9386" t="inlineStr">
        <is>
          <t>Lattafa</t>
        </is>
      </c>
      <c r="E9386" t="n">
        <v>21.72</v>
      </c>
      <c r="F9386" t="n">
        <v>1</v>
      </c>
      <c r="G9386" t="n">
        <v>459</v>
      </c>
      <c r="H9386" s="5">
        <f>HYPERLINK("https://api.qogita.com/variants/link/6290362342373/", "View Product")</f>
        <v/>
      </c>
    </row>
    <row r="9387">
      <c r="A9387" t="inlineStr">
        <is>
          <t>6290362343219</t>
        </is>
      </c>
      <c r="B9387" t="inlineStr">
        <is>
          <t>Maison Alhambra Forbidden Love Lovely Cherie Eau De Parfum 80ml</t>
        </is>
      </c>
      <c r="C9387" t="inlineStr">
        <is>
          <t>Eau De Parfum</t>
        </is>
      </c>
      <c r="D9387" t="inlineStr">
        <is>
          <t>Maison Alhambra</t>
        </is>
      </c>
      <c r="E9387" t="n">
        <v>12.36</v>
      </c>
      <c r="F9387" t="n">
        <v>1</v>
      </c>
      <c r="G9387" t="n">
        <v>11929</v>
      </c>
      <c r="H9387" s="5">
        <f>HYPERLINK("https://api.qogita.com/variants/link/6290362343219/", "View Product")</f>
        <v/>
      </c>
    </row>
    <row r="9388">
      <c r="A9388" t="inlineStr">
        <is>
          <t>6290362345695</t>
        </is>
      </c>
      <c r="B9388" t="inlineStr">
        <is>
          <t>Lattafa Yara Collection Yara Tous</t>
        </is>
      </c>
      <c r="C9388" t="inlineStr">
        <is>
          <t>Eau De Parfum</t>
        </is>
      </c>
      <c r="D9388" t="inlineStr">
        <is>
          <t>Lattafa</t>
        </is>
      </c>
      <c r="E9388" t="n">
        <v>13.27</v>
      </c>
      <c r="F9388" t="n">
        <v>1</v>
      </c>
      <c r="G9388" t="n">
        <v>201</v>
      </c>
      <c r="H9388" s="5">
        <f>HYPERLINK("https://api.qogita.com/variants/link/6290362345695/", "View Product")</f>
        <v/>
      </c>
    </row>
    <row r="9389">
      <c r="A9389" t="inlineStr">
        <is>
          <t>6290362347484</t>
        </is>
      </c>
      <c r="B9389" t="inlineStr">
        <is>
          <t>Lattafa Sherif Eau De Parfum 100 Ml</t>
        </is>
      </c>
      <c r="C9389" t="inlineStr">
        <is>
          <t>Eau De Parfum</t>
        </is>
      </c>
      <c r="D9389" t="inlineStr">
        <is>
          <t>Lattafa</t>
        </is>
      </c>
      <c r="E9389" t="n">
        <v>19.91</v>
      </c>
      <c r="F9389" t="n">
        <v>1</v>
      </c>
      <c r="G9389" t="n">
        <v>459</v>
      </c>
      <c r="H9389" s="5">
        <f>HYPERLINK("https://api.qogita.com/variants/link/6290362347484/", "View Product")</f>
        <v/>
      </c>
    </row>
    <row r="9390">
      <c r="A9390" t="inlineStr">
        <is>
          <t>6290362349129</t>
        </is>
      </c>
      <c r="B9390" t="inlineStr">
        <is>
          <t>Lattafa Eclaire Pistache Eau De Parfum 100ml</t>
        </is>
      </c>
      <c r="C9390" t="inlineStr">
        <is>
          <t>Eau De Parfum</t>
        </is>
      </c>
      <c r="D9390" t="inlineStr">
        <is>
          <t>Lattafa</t>
        </is>
      </c>
      <c r="E9390" t="n">
        <v>28.42</v>
      </c>
      <c r="F9390" t="n">
        <v>1</v>
      </c>
      <c r="G9390" t="n">
        <v>211</v>
      </c>
      <c r="H9390" s="5">
        <f>HYPERLINK("https://api.qogita.com/variants/link/6290362349129/", "View Product")</f>
        <v/>
      </c>
    </row>
    <row r="9391">
      <c r="A9391" t="inlineStr">
        <is>
          <t>6291100130450</t>
        </is>
      </c>
      <c r="B9391" t="inlineStr">
        <is>
          <t>Al Haramain L'Aventure Women Eau De Parfum Spray 200ml</t>
        </is>
      </c>
      <c r="C9391" t="inlineStr">
        <is>
          <t>Eau De Parfum</t>
        </is>
      </c>
      <c r="D9391" t="inlineStr">
        <is>
          <t>Al Haramain</t>
        </is>
      </c>
      <c r="E9391" t="n">
        <v>31.45</v>
      </c>
      <c r="F9391" t="n">
        <v>1</v>
      </c>
      <c r="G9391" t="n">
        <v>19</v>
      </c>
      <c r="H9391" s="5">
        <f>HYPERLINK("https://api.qogita.com/variants/link/6291100130450/", "View Product")</f>
        <v/>
      </c>
    </row>
    <row r="9392">
      <c r="A9392" t="inlineStr">
        <is>
          <t>6291100130474</t>
        </is>
      </c>
      <c r="B9392" t="inlineStr">
        <is>
          <t>Al Haramain Amber Oud White Edition Eau De Parfum Spray 200ml</t>
        </is>
      </c>
      <c r="C9392" t="inlineStr">
        <is>
          <t>Eau De Parfum</t>
        </is>
      </c>
      <c r="D9392" t="inlineStr">
        <is>
          <t>Al Haramain</t>
        </is>
      </c>
      <c r="E9392" t="n">
        <v>65.3</v>
      </c>
      <c r="F9392" t="n">
        <v>1</v>
      </c>
      <c r="G9392" t="n">
        <v>4</v>
      </c>
      <c r="H9392" s="5">
        <f>HYPERLINK("https://api.qogita.com/variants/link/6291100130474/", "View Product")</f>
        <v/>
      </c>
    </row>
    <row r="9393">
      <c r="A9393" t="inlineStr">
        <is>
          <t>6291100130498</t>
        </is>
      </c>
      <c r="B9393" t="inlineStr">
        <is>
          <t>Al Haramain Amber Oud Gold Edition Eau De Parfum 120ml Unisex Spray</t>
        </is>
      </c>
      <c r="C9393" t="inlineStr">
        <is>
          <t>Eau De Parfum</t>
        </is>
      </c>
      <c r="D9393" t="inlineStr">
        <is>
          <t>Al Haramain</t>
        </is>
      </c>
      <c r="E9393" t="n">
        <v>41</v>
      </c>
      <c r="F9393" t="n">
        <v>1</v>
      </c>
      <c r="G9393" t="n">
        <v>457</v>
      </c>
      <c r="H9393" s="5">
        <f>HYPERLINK("https://api.qogita.com/variants/link/6291100130498/", "View Product")</f>
        <v/>
      </c>
    </row>
    <row r="9394">
      <c r="A9394" t="inlineStr">
        <is>
          <t>6291100130634</t>
        </is>
      </c>
      <c r="B9394" t="inlineStr">
        <is>
          <t>Al Haramain Amber Musk Eau De Parfum Spray 100ml</t>
        </is>
      </c>
      <c r="C9394" t="inlineStr">
        <is>
          <t>Eau De Parfum</t>
        </is>
      </c>
      <c r="D9394" t="inlineStr">
        <is>
          <t>Al Haramain</t>
        </is>
      </c>
      <c r="E9394" t="n">
        <v>30.94</v>
      </c>
      <c r="F9394" t="n">
        <v>1</v>
      </c>
      <c r="G9394" t="n">
        <v>4</v>
      </c>
      <c r="H9394" s="5">
        <f>HYPERLINK("https://api.qogita.com/variants/link/6291100130634/", "View Product")</f>
        <v/>
      </c>
    </row>
    <row r="9395">
      <c r="A9395" t="inlineStr">
        <is>
          <t>6291100130818</t>
        </is>
      </c>
      <c r="B9395" t="inlineStr">
        <is>
          <t>Al Haramain Musk Noir Perfume Oil 12ml</t>
        </is>
      </c>
      <c r="C9395" t="inlineStr">
        <is>
          <t>Extrait De Parfum</t>
        </is>
      </c>
      <c r="D9395" t="inlineStr">
        <is>
          <t>Al Haramain</t>
        </is>
      </c>
      <c r="E9395" t="n">
        <v>10.59</v>
      </c>
      <c r="F9395" t="n">
        <v>1</v>
      </c>
      <c r="G9395" t="n">
        <v>12</v>
      </c>
      <c r="H9395" s="5">
        <f>HYPERLINK("https://api.qogita.com/variants/link/6291100130818/", "View Product")</f>
        <v/>
      </c>
    </row>
    <row r="9396">
      <c r="A9396" t="inlineStr">
        <is>
          <t>6291100131006</t>
        </is>
      </c>
      <c r="B9396" t="inlineStr">
        <is>
          <t>Al Haramain Tanasuk Spray 100ml Women's Luxury Eau De Parfum Floral &amp; Fruity</t>
        </is>
      </c>
      <c r="C9396" t="inlineStr">
        <is>
          <t>Eau De Parfum</t>
        </is>
      </c>
      <c r="D9396" t="inlineStr">
        <is>
          <t>Al Haramain</t>
        </is>
      </c>
      <c r="E9396" t="n">
        <v>19.36</v>
      </c>
      <c r="F9396" t="n">
        <v>1</v>
      </c>
      <c r="G9396" t="n">
        <v>12</v>
      </c>
      <c r="H9396" s="5">
        <f>HYPERLINK("https://api.qogita.com/variants/link/6291100131006/", "View Product")</f>
        <v/>
      </c>
    </row>
    <row r="9397">
      <c r="A9397" t="inlineStr">
        <is>
          <t>6291100131686</t>
        </is>
      </c>
      <c r="B9397" t="inlineStr">
        <is>
          <t>Al Haramain Portfolio Portrait Sandal Eau De Parfum Spray 75ml</t>
        </is>
      </c>
      <c r="C9397" t="inlineStr">
        <is>
          <t>Eau De Parfum</t>
        </is>
      </c>
      <c r="D9397" t="inlineStr">
        <is>
          <t>Al Haramain</t>
        </is>
      </c>
      <c r="E9397" t="n">
        <v>45.63</v>
      </c>
      <c r="F9397" t="n">
        <v>1</v>
      </c>
      <c r="G9397" t="n">
        <v>29</v>
      </c>
      <c r="H9397" s="5">
        <f>HYPERLINK("https://api.qogita.com/variants/link/6291100131686/", "View Product")</f>
        <v/>
      </c>
    </row>
    <row r="9398">
      <c r="A9398" t="inlineStr">
        <is>
          <t>6291100131693</t>
        </is>
      </c>
      <c r="B9398" t="inlineStr">
        <is>
          <t>Portfolio Neroli Canvas by Al Haramain Eau De Parfum Spray 2.5 Oz 75ml for Men</t>
        </is>
      </c>
      <c r="C9398" t="inlineStr">
        <is>
          <t>Eau De Parfum</t>
        </is>
      </c>
      <c r="D9398" t="inlineStr">
        <is>
          <t>Al Haramain</t>
        </is>
      </c>
      <c r="E9398" t="n">
        <v>52.36</v>
      </c>
      <c r="F9398" t="n">
        <v>1</v>
      </c>
      <c r="G9398" t="n">
        <v>37</v>
      </c>
      <c r="H9398" s="5">
        <f>HYPERLINK("https://api.qogita.com/variants/link/6291100131693/", "View Product")</f>
        <v/>
      </c>
    </row>
    <row r="9399">
      <c r="A9399" t="inlineStr">
        <is>
          <t>6291100131709</t>
        </is>
      </c>
      <c r="B9399" t="inlineStr">
        <is>
          <t>Al Haramain Amber Oud Eau De Parfum Spray 60ml</t>
        </is>
      </c>
      <c r="C9399" t="inlineStr">
        <is>
          <t>Eau De Parfum</t>
        </is>
      </c>
      <c r="D9399" t="inlineStr">
        <is>
          <t>Al Haramain</t>
        </is>
      </c>
      <c r="E9399" t="n">
        <v>31.01</v>
      </c>
      <c r="F9399" t="n">
        <v>1</v>
      </c>
      <c r="G9399" t="n">
        <v>13</v>
      </c>
      <c r="H9399" s="5">
        <f>HYPERLINK("https://api.qogita.com/variants/link/6291100131709/", "View Product")</f>
        <v/>
      </c>
    </row>
    <row r="9400">
      <c r="A9400" t="inlineStr">
        <is>
          <t>6291100131747</t>
        </is>
      </c>
      <c r="B9400" t="inlineStr">
        <is>
          <t>Al Haramain L'Aventure Gold Eau De Parfum Spray 200ml</t>
        </is>
      </c>
      <c r="C9400" t="inlineStr">
        <is>
          <t>Eau De Parfum</t>
        </is>
      </c>
      <c r="D9400" t="inlineStr">
        <is>
          <t>Al Haramain</t>
        </is>
      </c>
      <c r="E9400" t="n">
        <v>38.66</v>
      </c>
      <c r="F9400" t="n">
        <v>1</v>
      </c>
      <c r="G9400" t="n">
        <v>6</v>
      </c>
      <c r="H9400" s="5">
        <f>HYPERLINK("https://api.qogita.com/variants/link/6291100131747/", "View Product")</f>
        <v/>
      </c>
    </row>
    <row r="9401">
      <c r="A9401" t="inlineStr">
        <is>
          <t>6291100132645</t>
        </is>
      </c>
      <c r="B9401" t="inlineStr">
        <is>
          <t>Al Haramain L'Aventure Men Eau De Parfum Spray 200ml</t>
        </is>
      </c>
      <c r="C9401" t="inlineStr">
        <is>
          <t>Eau De Parfum</t>
        </is>
      </c>
      <c r="D9401" t="inlineStr">
        <is>
          <t>Al Haramain</t>
        </is>
      </c>
      <c r="E9401" t="n">
        <v>30.78</v>
      </c>
      <c r="F9401" t="n">
        <v>1</v>
      </c>
      <c r="G9401" t="n">
        <v>32</v>
      </c>
      <c r="H9401" s="5">
        <f>HYPERLINK("https://api.qogita.com/variants/link/6291100132645/", "View Product")</f>
        <v/>
      </c>
    </row>
    <row r="9402">
      <c r="A9402" t="inlineStr">
        <is>
          <t>6291100133420</t>
        </is>
      </c>
      <c r="B9402" t="inlineStr">
        <is>
          <t>Al Haramain Oudh Musk Eau De Parfum Spray 100ml</t>
        </is>
      </c>
      <c r="C9402" t="inlineStr">
        <is>
          <t>Eau De Parfum</t>
        </is>
      </c>
      <c r="D9402" t="inlineStr">
        <is>
          <t>Al Haramain</t>
        </is>
      </c>
      <c r="E9402" t="n">
        <v>33.96</v>
      </c>
      <c r="F9402" t="n">
        <v>1</v>
      </c>
      <c r="G9402" t="n">
        <v>23</v>
      </c>
      <c r="H9402" s="5">
        <f>HYPERLINK("https://api.qogita.com/variants/link/6291100133420/", "View Product")</f>
        <v/>
      </c>
    </row>
    <row r="9403">
      <c r="A9403" t="inlineStr">
        <is>
          <t>6291100133444</t>
        </is>
      </c>
      <c r="B9403" t="inlineStr">
        <is>
          <t>Al Haramain Amber Oud Private Edition Eau De Parfum Spray 60ml</t>
        </is>
      </c>
      <c r="C9403" t="inlineStr">
        <is>
          <t>Eau De Parfum</t>
        </is>
      </c>
      <c r="D9403" t="inlineStr">
        <is>
          <t>Al Haramain</t>
        </is>
      </c>
      <c r="E9403" t="n">
        <v>47.47</v>
      </c>
      <c r="F9403" t="n">
        <v>1</v>
      </c>
      <c r="G9403" t="n">
        <v>8</v>
      </c>
      <c r="H9403" s="5">
        <f>HYPERLINK("https://api.qogita.com/variants/link/6291100133444/", "View Product")</f>
        <v/>
      </c>
    </row>
    <row r="9404">
      <c r="A9404" t="inlineStr">
        <is>
          <t>6291100133475</t>
        </is>
      </c>
      <c r="B9404" t="inlineStr">
        <is>
          <t>Al Haramain Amber Oud Ultra Violet Eau De Parfum Spray 120ml</t>
        </is>
      </c>
      <c r="C9404" t="inlineStr">
        <is>
          <t>Eau De Parfum</t>
        </is>
      </c>
      <c r="D9404" t="inlineStr">
        <is>
          <t>Al Haramain</t>
        </is>
      </c>
      <c r="E9404" t="n">
        <v>52.26</v>
      </c>
      <c r="F9404" t="n">
        <v>1</v>
      </c>
      <c r="G9404" t="n">
        <v>128</v>
      </c>
      <c r="H9404" s="5">
        <f>HYPERLINK("https://api.qogita.com/variants/link/6291100133475/", "View Product")</f>
        <v/>
      </c>
    </row>
    <row r="9405">
      <c r="A9405" t="inlineStr">
        <is>
          <t>6291100133642</t>
        </is>
      </c>
      <c r="B9405" t="inlineStr">
        <is>
          <t>Firdous Perfume Oil Volume 15 ml</t>
        </is>
      </c>
      <c r="C9405" t="inlineStr">
        <is>
          <t>Extrait De Parfum</t>
        </is>
      </c>
      <c r="D9405" t="inlineStr">
        <is>
          <t>Al Haramain</t>
        </is>
      </c>
      <c r="E9405" t="n">
        <v>7.3</v>
      </c>
      <c r="F9405" t="n">
        <v>1</v>
      </c>
      <c r="G9405" t="n">
        <v>14</v>
      </c>
      <c r="H9405" s="5">
        <f>HYPERLINK("https://api.qogita.com/variants/link/6291100133642/", "View Product")</f>
        <v/>
      </c>
    </row>
    <row r="9406">
      <c r="A9406" t="inlineStr">
        <is>
          <t>6291100133666</t>
        </is>
      </c>
      <c r="B9406" t="inlineStr">
        <is>
          <t>Al Haramain Perfumes Madinah Perfume Oil</t>
        </is>
      </c>
      <c r="C9406" t="inlineStr">
        <is>
          <t>Eau De Parfum</t>
        </is>
      </c>
      <c r="D9406" t="inlineStr">
        <is>
          <t>Al Haramain</t>
        </is>
      </c>
      <c r="E9406" t="n">
        <v>7.34</v>
      </c>
      <c r="F9406" t="n">
        <v>1</v>
      </c>
      <c r="G9406" t="n">
        <v>12</v>
      </c>
      <c r="H9406" s="5">
        <f>HYPERLINK("https://api.qogita.com/variants/link/6291100133666/", "View Product")</f>
        <v/>
      </c>
    </row>
    <row r="9407">
      <c r="A9407" t="inlineStr">
        <is>
          <t>6291100133796</t>
        </is>
      </c>
      <c r="B9407" t="inlineStr">
        <is>
          <t>Haramain Twin Flower 12ml Perfume Attar Oil</t>
        </is>
      </c>
      <c r="C9407" t="inlineStr">
        <is>
          <t>Extrait De Parfum</t>
        </is>
      </c>
      <c r="D9407" t="inlineStr">
        <is>
          <t>Al Haramain</t>
        </is>
      </c>
      <c r="E9407" t="n">
        <v>12.07</v>
      </c>
      <c r="F9407" t="n">
        <v>1</v>
      </c>
      <c r="G9407" t="n">
        <v>2</v>
      </c>
      <c r="H9407" s="5">
        <f>HYPERLINK("https://api.qogita.com/variants/link/6291100133796/", "View Product")</f>
        <v/>
      </c>
    </row>
    <row r="9408">
      <c r="A9408" t="inlineStr">
        <is>
          <t>6291100136285</t>
        </is>
      </c>
      <c r="B9408" t="inlineStr">
        <is>
          <t>Al Haramain Junoon For Women Eau De Parfum Spray 75ml</t>
        </is>
      </c>
      <c r="C9408" t="inlineStr">
        <is>
          <t>Eau De Parfum</t>
        </is>
      </c>
      <c r="D9408" t="inlineStr">
        <is>
          <t>Al Haramain</t>
        </is>
      </c>
      <c r="E9408" t="n">
        <v>31.02</v>
      </c>
      <c r="F9408" t="n">
        <v>1</v>
      </c>
      <c r="G9408" t="n">
        <v>47</v>
      </c>
      <c r="H9408" s="5">
        <f>HYPERLINK("https://api.qogita.com/variants/link/6291100136285/", "View Product")</f>
        <v/>
      </c>
    </row>
    <row r="9409">
      <c r="A9409" t="inlineStr">
        <is>
          <t>6291100136339</t>
        </is>
      </c>
      <c r="B9409" t="inlineStr">
        <is>
          <t>Al Haramain Signature Silver Unisex Eau De Toilette Spray 100ml</t>
        </is>
      </c>
      <c r="C9409" t="inlineStr">
        <is>
          <t>Eau De Toilette</t>
        </is>
      </c>
      <c r="D9409" t="inlineStr">
        <is>
          <t>Al Haramain</t>
        </is>
      </c>
      <c r="E9409" t="n">
        <v>12.26</v>
      </c>
      <c r="F9409" t="n">
        <v>1</v>
      </c>
      <c r="G9409" t="n">
        <v>2</v>
      </c>
      <c r="H9409" s="5">
        <f>HYPERLINK("https://api.qogita.com/variants/link/6291100136339/", "View Product")</f>
        <v/>
      </c>
    </row>
    <row r="9410">
      <c r="A9410" t="inlineStr">
        <is>
          <t>6291100138630</t>
        </is>
      </c>
      <c r="B9410" t="inlineStr">
        <is>
          <t>Al Haramain Perfumes Urbanist Femme EDP Spray</t>
        </is>
      </c>
      <c r="C9410" t="inlineStr">
        <is>
          <t>Eau De Parfum</t>
        </is>
      </c>
      <c r="D9410" t="inlineStr">
        <is>
          <t>Al Haramain</t>
        </is>
      </c>
      <c r="E9410" t="n">
        <v>14.63</v>
      </c>
      <c r="F9410" t="n">
        <v>1</v>
      </c>
      <c r="G9410" t="n">
        <v>7</v>
      </c>
      <c r="H9410" s="5">
        <f>HYPERLINK("https://api.qogita.com/variants/link/6291100138630/", "View Product")</f>
        <v/>
      </c>
    </row>
    <row r="9411">
      <c r="A9411" t="inlineStr">
        <is>
          <t>6291100139033</t>
        </is>
      </c>
      <c r="B9411" t="inlineStr">
        <is>
          <t>Al Haramain Mystique Femme Luxury Alcohol-Free Arabian Perfume for Women 100ml</t>
        </is>
      </c>
      <c r="C9411" t="inlineStr">
        <is>
          <t>Eau De Parfum</t>
        </is>
      </c>
      <c r="D9411" t="inlineStr">
        <is>
          <t>Al Haramain</t>
        </is>
      </c>
      <c r="E9411" t="n">
        <v>8.289999999999999</v>
      </c>
      <c r="F9411" t="n">
        <v>1</v>
      </c>
      <c r="G9411" t="n">
        <v>8</v>
      </c>
      <c r="H9411" s="5">
        <f>HYPERLINK("https://api.qogita.com/variants/link/6291100139033/", "View Product")</f>
        <v/>
      </c>
    </row>
    <row r="9412">
      <c r="A9412" t="inlineStr">
        <is>
          <t>6291103669063</t>
        </is>
      </c>
      <c r="B9412" t="inlineStr">
        <is>
          <t>Al Fares Royal Eau de Parfum - Unisex, 100 ml</t>
        </is>
      </c>
      <c r="C9412" t="inlineStr">
        <is>
          <t>Eau De Parfum</t>
        </is>
      </c>
      <c r="D9412" t="inlineStr">
        <is>
          <t>Al Fares</t>
        </is>
      </c>
      <c r="E9412" t="n">
        <v>7.95</v>
      </c>
      <c r="F9412" t="n">
        <v>1</v>
      </c>
      <c r="G9412" t="n">
        <v>4</v>
      </c>
      <c r="H9412" s="5">
        <f>HYPERLINK("https://api.qogita.com/variants/link/6291103669063/", "View Product")</f>
        <v/>
      </c>
    </row>
    <row r="9413">
      <c r="A9413" t="inlineStr">
        <is>
          <t>6291106030044</t>
        </is>
      </c>
      <c r="B9413" t="inlineStr">
        <is>
          <t>Huda Beauty Candy Classic Lash Artificial Eyelashes 05</t>
        </is>
      </c>
      <c r="C9413" t="inlineStr">
        <is>
          <t>False Eyelashes</t>
        </is>
      </c>
      <c r="D9413" t="inlineStr">
        <is>
          <t>Huda Beauty</t>
        </is>
      </c>
      <c r="E9413" t="n">
        <v>4.89</v>
      </c>
      <c r="F9413" t="n">
        <v>1</v>
      </c>
      <c r="G9413" t="n">
        <v>66</v>
      </c>
      <c r="H9413" s="5">
        <f>HYPERLINK("https://api.qogita.com/variants/link/6291106030044/", "View Product")</f>
        <v/>
      </c>
    </row>
    <row r="9414">
      <c r="A9414" t="inlineStr">
        <is>
          <t>6291106034813</t>
        </is>
      </c>
      <c r="B9414" t="inlineStr">
        <is>
          <t>Huda Beauty Moisturizing Wand Brush For Facial Cream</t>
        </is>
      </c>
      <c r="C9414" t="inlineStr">
        <is>
          <t>Mask Brushes</t>
        </is>
      </c>
      <c r="D9414" t="inlineStr">
        <is>
          <t>Huda Beauty</t>
        </is>
      </c>
      <c r="E9414" t="n">
        <v>15.19</v>
      </c>
      <c r="F9414" t="n">
        <v>1</v>
      </c>
      <c r="G9414" t="n">
        <v>25</v>
      </c>
      <c r="H9414" s="5">
        <f>HYPERLINK("https://api.qogita.com/variants/link/6291106034813/", "View Product")</f>
        <v/>
      </c>
    </row>
    <row r="9415">
      <c r="A9415" t="inlineStr">
        <is>
          <t>6291106035339</t>
        </is>
      </c>
      <c r="B9415" t="inlineStr">
        <is>
          <t>Huda Beauty Fauxfilter Luminous Matte Foundation 35 Ml Dulce De Leche</t>
        </is>
      </c>
      <c r="C9415" t="inlineStr">
        <is>
          <t>Foundation</t>
        </is>
      </c>
      <c r="D9415" t="inlineStr">
        <is>
          <t>Huda Beauty</t>
        </is>
      </c>
      <c r="E9415" t="n">
        <v>47.92</v>
      </c>
      <c r="F9415" t="n">
        <v>1</v>
      </c>
      <c r="G9415" t="n">
        <v>19</v>
      </c>
      <c r="H9415" s="5">
        <f>HYPERLINK("https://api.qogita.com/variants/link/6291106035339/", "View Product")</f>
        <v/>
      </c>
    </row>
    <row r="9416">
      <c r="A9416" t="inlineStr">
        <is>
          <t>6291106035452</t>
        </is>
      </c>
      <c r="B9416" t="inlineStr">
        <is>
          <t>Huda Beauty Fauxfilter Luminous Matte Foundation 35 Ml 430n Gingerbread</t>
        </is>
      </c>
      <c r="C9416" t="inlineStr">
        <is>
          <t>Foundation</t>
        </is>
      </c>
      <c r="D9416" t="inlineStr">
        <is>
          <t>Huda Beauty</t>
        </is>
      </c>
      <c r="E9416" t="n">
        <v>47.92</v>
      </c>
      <c r="F9416" t="n">
        <v>1</v>
      </c>
      <c r="G9416" t="n">
        <v>17</v>
      </c>
      <c r="H9416" s="5">
        <f>HYPERLINK("https://api.qogita.com/variants/link/6291106035452/", "View Product")</f>
        <v/>
      </c>
    </row>
    <row r="9417">
      <c r="A9417" t="inlineStr">
        <is>
          <t>6291106036138</t>
        </is>
      </c>
      <c r="B9417" t="inlineStr">
        <is>
          <t>New Huda Beauty FauxFilter High Coverage Cream Foundation 230N Macaroon</t>
        </is>
      </c>
      <c r="C9417" t="inlineStr">
        <is>
          <t>Foundation</t>
        </is>
      </c>
      <c r="D9417" t="inlineStr">
        <is>
          <t>Huda Beauty</t>
        </is>
      </c>
      <c r="E9417" t="n">
        <v>49.15</v>
      </c>
      <c r="F9417" t="n">
        <v>1</v>
      </c>
      <c r="G9417" t="n">
        <v>4</v>
      </c>
      <c r="H9417" s="5">
        <f>HYPERLINK("https://api.qogita.com/variants/link/6291106036138/", "View Product")</f>
        <v/>
      </c>
    </row>
    <row r="9418">
      <c r="A9418" t="inlineStr">
        <is>
          <t>6291106036220</t>
        </is>
      </c>
      <c r="B9418" t="inlineStr">
        <is>
          <t>Huda Beauty Fauxfilter Luminous Matte Foundation 35 Ml Shade 340g Baklava</t>
        </is>
      </c>
      <c r="C9418" t="inlineStr">
        <is>
          <t>Foundation</t>
        </is>
      </c>
      <c r="D9418" t="inlineStr">
        <is>
          <t>Huda Beauty</t>
        </is>
      </c>
      <c r="E9418" t="n">
        <v>47.92</v>
      </c>
      <c r="F9418" t="n">
        <v>1</v>
      </c>
      <c r="G9418" t="n">
        <v>17</v>
      </c>
      <c r="H9418" s="5">
        <f>HYPERLINK("https://api.qogita.com/variants/link/6291106036220/", "View Product")</f>
        <v/>
      </c>
    </row>
    <row r="9419">
      <c r="A9419" t="inlineStr">
        <is>
          <t>6291106036251</t>
        </is>
      </c>
      <c r="B9419" t="inlineStr">
        <is>
          <t>Huda Beauty Fauxfilter Luminous Matte Foundation 35 Ml 410g Brown Sugar</t>
        </is>
      </c>
      <c r="C9419" t="inlineStr">
        <is>
          <t>Foundation</t>
        </is>
      </c>
      <c r="D9419" t="inlineStr">
        <is>
          <t>Huda Beauty</t>
        </is>
      </c>
      <c r="E9419" t="n">
        <v>47.92</v>
      </c>
      <c r="F9419" t="n">
        <v>1</v>
      </c>
      <c r="G9419" t="n">
        <v>16</v>
      </c>
      <c r="H9419" s="5">
        <f>HYPERLINK("https://api.qogita.com/variants/link/6291106036251/", "View Product")</f>
        <v/>
      </c>
    </row>
    <row r="9420">
      <c r="A9420" t="inlineStr">
        <is>
          <t>6291106036312</t>
        </is>
      </c>
      <c r="B9420" t="inlineStr">
        <is>
          <t>Huda Beauty Fauxfilter Luminous Matte Foundation 35 Ml In 530r Coffee Bean</t>
        </is>
      </c>
      <c r="C9420" t="inlineStr">
        <is>
          <t>Foundation</t>
        </is>
      </c>
      <c r="D9420" t="inlineStr">
        <is>
          <t>Huda Beauty</t>
        </is>
      </c>
      <c r="E9420" t="n">
        <v>49.15</v>
      </c>
      <c r="F9420" t="n">
        <v>1</v>
      </c>
      <c r="G9420" t="n">
        <v>3</v>
      </c>
      <c r="H9420" s="5">
        <f>HYPERLINK("https://api.qogita.com/variants/link/6291106036312/", "View Product")</f>
        <v/>
      </c>
    </row>
    <row r="9421">
      <c r="A9421" t="inlineStr">
        <is>
          <t>6291106036343</t>
        </is>
      </c>
      <c r="B9421" t="inlineStr">
        <is>
          <t>Huda Beauty Fauxfilter Luminous Matte Foundation 35 Ml In Shade 590r Lava Cake</t>
        </is>
      </c>
      <c r="C9421" t="inlineStr">
        <is>
          <t>Foundation</t>
        </is>
      </c>
      <c r="D9421" t="inlineStr">
        <is>
          <t>Huda Beauty</t>
        </is>
      </c>
      <c r="E9421" t="n">
        <v>47.92</v>
      </c>
      <c r="F9421" t="n">
        <v>1</v>
      </c>
      <c r="G9421" t="n">
        <v>7</v>
      </c>
      <c r="H9421" s="5">
        <f>HYPERLINK("https://api.qogita.com/variants/link/6291106036343/", "View Product")</f>
        <v/>
      </c>
    </row>
    <row r="9422">
      <c r="A9422" t="inlineStr">
        <is>
          <t>6291106037432</t>
        </is>
      </c>
      <c r="B9422" t="inlineStr">
        <is>
          <t>Kayali Vanilla Coco 21 Eau de Parfum 100ml</t>
        </is>
      </c>
      <c r="C9422" t="inlineStr">
        <is>
          <t>Eau De Parfum</t>
        </is>
      </c>
      <c r="D9422" t="inlineStr">
        <is>
          <t>Kayali</t>
        </is>
      </c>
      <c r="E9422" t="n">
        <v>150.23</v>
      </c>
      <c r="F9422" t="n">
        <v>1</v>
      </c>
      <c r="G9422" t="n">
        <v>6</v>
      </c>
      <c r="H9422" s="5">
        <f>HYPERLINK("https://api.qogita.com/variants/link/6291106037432/", "View Product")</f>
        <v/>
      </c>
    </row>
    <row r="9423">
      <c r="A9423" t="inlineStr">
        <is>
          <t>6291106037661</t>
        </is>
      </c>
      <c r="B9423" t="inlineStr">
        <is>
          <t>Huda Beauty Glowish Multidew Skin Tint Foundation 40 Ml Extra Tan</t>
        </is>
      </c>
      <c r="C9423" t="inlineStr">
        <is>
          <t>Foundation</t>
        </is>
      </c>
      <c r="D9423" t="inlineStr">
        <is>
          <t>Huda Beauty</t>
        </is>
      </c>
      <c r="E9423" t="n">
        <v>24.07</v>
      </c>
      <c r="F9423" t="n">
        <v>1</v>
      </c>
      <c r="G9423" t="n">
        <v>7</v>
      </c>
      <c r="H9423" s="5">
        <f>HYPERLINK("https://api.qogita.com/variants/link/6291106037661/", "View Product")</f>
        <v/>
      </c>
    </row>
    <row r="9424">
      <c r="A9424" t="inlineStr">
        <is>
          <t>6291106039887</t>
        </is>
      </c>
      <c r="B9424" t="inlineStr">
        <is>
          <t>Kayali Vanilla 28 Eau De Parfum Spray 1.7 Oz / 50 Ml</t>
        </is>
      </c>
      <c r="C9424" t="inlineStr">
        <is>
          <t>Eau De Parfum</t>
        </is>
      </c>
      <c r="D9424" t="inlineStr">
        <is>
          <t>Kayali</t>
        </is>
      </c>
      <c r="E9424" t="n">
        <v>111.35</v>
      </c>
      <c r="F9424" t="n">
        <v>1</v>
      </c>
      <c r="G9424" t="n">
        <v>9</v>
      </c>
      <c r="H9424" s="5">
        <f>HYPERLINK("https://api.qogita.com/variants/link/6291106039887/", "View Product")</f>
        <v/>
      </c>
    </row>
    <row r="9425">
      <c r="A9425" t="inlineStr">
        <is>
          <t>6291106060065</t>
        </is>
      </c>
      <c r="B9425" t="inlineStr">
        <is>
          <t>Lattafa Raghba For Man Eau De Parfum Spray 100ml + Deodorant Spray 50ml</t>
        </is>
      </c>
      <c r="C9425" t="inlineStr">
        <is>
          <t>Fragrance Sets</t>
        </is>
      </c>
      <c r="D9425" t="inlineStr">
        <is>
          <t>Lattafa</t>
        </is>
      </c>
      <c r="E9425" t="n">
        <v>11.84</v>
      </c>
      <c r="F9425" t="n">
        <v>1</v>
      </c>
      <c r="G9425" t="n">
        <v>84</v>
      </c>
      <c r="H9425" s="5">
        <f>HYPERLINK("https://api.qogita.com/variants/link/6291106060065/", "View Product")</f>
        <v/>
      </c>
    </row>
    <row r="9426">
      <c r="A9426" t="inlineStr">
        <is>
          <t>6291106061840</t>
        </is>
      </c>
      <c r="B9426" t="inlineStr">
        <is>
          <t>Lattafa Badee Al Oud Sublime Deodorant Spray - 200ml</t>
        </is>
      </c>
      <c r="C9426" t="inlineStr">
        <is>
          <t>Deodorant &amp; Anti-Perspirant</t>
        </is>
      </c>
      <c r="D9426" t="inlineStr">
        <is>
          <t>Lattafa</t>
        </is>
      </c>
      <c r="E9426" t="n">
        <v>3.66</v>
      </c>
      <c r="F9426" t="n">
        <v>1</v>
      </c>
      <c r="G9426" t="n">
        <v>7</v>
      </c>
      <c r="H9426" s="5">
        <f>HYPERLINK("https://api.qogita.com/variants/link/6291106061840/", "View Product")</f>
        <v/>
      </c>
    </row>
    <row r="9427">
      <c r="A9427" t="inlineStr">
        <is>
          <t>6291106063707</t>
        </is>
      </c>
      <c r="B9427" t="inlineStr">
        <is>
          <t>Lattafa Ameer Al Oudh Perfume 100ml</t>
        </is>
      </c>
      <c r="C9427" t="inlineStr">
        <is>
          <t>Eau De Parfum</t>
        </is>
      </c>
      <c r="D9427" t="inlineStr">
        <is>
          <t>Lattafa</t>
        </is>
      </c>
      <c r="E9427" t="n">
        <v>9.039999999999999</v>
      </c>
      <c r="F9427" t="n">
        <v>1</v>
      </c>
      <c r="G9427" t="n">
        <v>415</v>
      </c>
      <c r="H9427" s="5">
        <f>HYPERLINK("https://api.qogita.com/variants/link/6291106063707/", "View Product")</f>
        <v/>
      </c>
    </row>
    <row r="9428">
      <c r="A9428" t="inlineStr">
        <is>
          <t>6291106063998</t>
        </is>
      </c>
      <c r="B9428" t="inlineStr">
        <is>
          <t>Lattafa 24 Carat Pure Gold Eau De Parfum Spray 100ml</t>
        </is>
      </c>
      <c r="C9428" t="inlineStr">
        <is>
          <t>Eau De Parfum</t>
        </is>
      </c>
      <c r="D9428" t="inlineStr">
        <is>
          <t>Lattafa</t>
        </is>
      </c>
      <c r="E9428" t="n">
        <v>12.17</v>
      </c>
      <c r="F9428" t="n">
        <v>1</v>
      </c>
      <c r="G9428" t="n">
        <v>118</v>
      </c>
      <c r="H9428" s="5">
        <f>HYPERLINK("https://api.qogita.com/variants/link/6291106063998/", "View Product")</f>
        <v/>
      </c>
    </row>
    <row r="9429">
      <c r="A9429" t="inlineStr">
        <is>
          <t>6291106064698</t>
        </is>
      </c>
      <c r="B9429" t="inlineStr">
        <is>
          <t>Profumo Intensity Pour Homme Gold 100ml EDP Spray</t>
        </is>
      </c>
      <c r="C9429" t="inlineStr">
        <is>
          <t>Eau De Parfum</t>
        </is>
      </c>
      <c r="D9429" t="inlineStr">
        <is>
          <t>Vurv</t>
        </is>
      </c>
      <c r="E9429" t="n">
        <v>12.54</v>
      </c>
      <c r="F9429" t="n">
        <v>1</v>
      </c>
      <c r="G9429" t="n">
        <v>21</v>
      </c>
      <c r="H9429" s="5">
        <f>HYPERLINK("https://api.qogita.com/variants/link/6291106064698/", "View Product")</f>
        <v/>
      </c>
    </row>
    <row r="9430">
      <c r="A9430" t="inlineStr">
        <is>
          <t>6291106066159</t>
        </is>
      </c>
      <c r="B9430" t="inlineStr">
        <is>
          <t>Oud Najdia 100ml</t>
        </is>
      </c>
      <c r="C9430" t="inlineStr">
        <is>
          <t>Eau De Parfum</t>
        </is>
      </c>
      <c r="D9430" t="inlineStr">
        <is>
          <t>Lattafa</t>
        </is>
      </c>
      <c r="E9430" t="n">
        <v>10.11</v>
      </c>
      <c r="F9430" t="n">
        <v>1</v>
      </c>
      <c r="G9430" t="n">
        <v>4</v>
      </c>
      <c r="H9430" s="5">
        <f>HYPERLINK("https://api.qogita.com/variants/link/6291106066159/", "View Product")</f>
        <v/>
      </c>
    </row>
    <row r="9431">
      <c r="A9431" t="inlineStr">
        <is>
          <t>6291106068177</t>
        </is>
      </c>
      <c r="B9431" t="inlineStr">
        <is>
          <t>Lattafa Oud Mood Elixir Eau De Parfum Spray 100ml</t>
        </is>
      </c>
      <c r="C9431" t="inlineStr">
        <is>
          <t>Eau De Parfum</t>
        </is>
      </c>
      <c r="D9431" t="inlineStr">
        <is>
          <t>Lattafa</t>
        </is>
      </c>
      <c r="E9431" t="n">
        <v>12.76</v>
      </c>
      <c r="F9431" t="n">
        <v>1</v>
      </c>
      <c r="G9431" t="n">
        <v>276</v>
      </c>
      <c r="H9431" s="5">
        <f>HYPERLINK("https://api.qogita.com/variants/link/6291106068177/", "View Product")</f>
        <v/>
      </c>
    </row>
    <row r="9432">
      <c r="A9432" t="inlineStr">
        <is>
          <t>6291106068184</t>
        </is>
      </c>
      <c r="B9432" t="inlineStr">
        <is>
          <t>Lattafa Reminiscence Oud Mood Eau De Parfum Spray 100ml</t>
        </is>
      </c>
      <c r="C9432" t="inlineStr">
        <is>
          <t>Eau De Parfum</t>
        </is>
      </c>
      <c r="D9432" t="inlineStr">
        <is>
          <t>Lattafa</t>
        </is>
      </c>
      <c r="E9432" t="n">
        <v>10.72</v>
      </c>
      <c r="F9432" t="n">
        <v>1</v>
      </c>
      <c r="G9432" t="n">
        <v>87</v>
      </c>
      <c r="H9432" s="5">
        <f>HYPERLINK("https://api.qogita.com/variants/link/6291106068184/", "View Product")</f>
        <v/>
      </c>
    </row>
    <row r="9433">
      <c r="A9433" t="inlineStr">
        <is>
          <t>6291106068443</t>
        </is>
      </c>
      <c r="B9433" t="inlineStr">
        <is>
          <t>Amber Noir 100ml Rave Eau de Parfum for Men</t>
        </is>
      </c>
      <c r="C9433" t="inlineStr">
        <is>
          <t>Eau De Parfum</t>
        </is>
      </c>
      <c r="D9433" t="inlineStr">
        <is>
          <t>Rave</t>
        </is>
      </c>
      <c r="E9433" t="n">
        <v>11.64</v>
      </c>
      <c r="F9433" t="n">
        <v>1</v>
      </c>
      <c r="G9433" t="n">
        <v>261</v>
      </c>
      <c r="H9433" s="5">
        <f>HYPERLINK("https://api.qogita.com/variants/link/6291106068443/", "View Product")</f>
        <v/>
      </c>
    </row>
    <row r="9434">
      <c r="A9434" t="inlineStr">
        <is>
          <t>6291106068467</t>
        </is>
      </c>
      <c r="B9434" t="inlineStr">
        <is>
          <t>RAVE Oud Nuit EDP 100ml 3.4oz</t>
        </is>
      </c>
      <c r="C9434" t="inlineStr">
        <is>
          <t>Eau De Parfum</t>
        </is>
      </c>
      <c r="D9434" t="inlineStr">
        <is>
          <t>Lattafa</t>
        </is>
      </c>
      <c r="E9434" t="n">
        <v>13.1</v>
      </c>
      <c r="F9434" t="n">
        <v>1</v>
      </c>
      <c r="G9434" t="n">
        <v>130</v>
      </c>
      <c r="H9434" s="5">
        <f>HYPERLINK("https://api.qogita.com/variants/link/6291106068467/", "View Product")</f>
        <v/>
      </c>
    </row>
    <row r="9435">
      <c r="A9435" t="inlineStr">
        <is>
          <t>6291106486025</t>
        </is>
      </c>
      <c r="B9435" t="inlineStr">
        <is>
          <t>French Avenue Don Vintage Oud Eau De Parfum - 100ml Unisex</t>
        </is>
      </c>
      <c r="C9435" t="inlineStr">
        <is>
          <t>Eau De Parfum</t>
        </is>
      </c>
      <c r="D9435" t="inlineStr">
        <is>
          <t>French Avenue</t>
        </is>
      </c>
      <c r="E9435" t="n">
        <v>17.16</v>
      </c>
      <c r="F9435" t="n">
        <v>1</v>
      </c>
      <c r="G9435" t="n">
        <v>38</v>
      </c>
      <c r="H9435" s="5">
        <f>HYPERLINK("https://api.qogita.com/variants/link/6291106486025/", "View Product")</f>
        <v/>
      </c>
    </row>
    <row r="9436">
      <c r="A9436" t="inlineStr">
        <is>
          <t>6291106811599</t>
        </is>
      </c>
      <c r="B9436" t="inlineStr">
        <is>
          <t>Al Haramain Golden Oud Eau De Parfum 100ml</t>
        </is>
      </c>
      <c r="C9436" t="inlineStr">
        <is>
          <t>Eau De Parfum</t>
        </is>
      </c>
      <c r="D9436" t="inlineStr">
        <is>
          <t>Al Haramain</t>
        </is>
      </c>
      <c r="E9436" t="n">
        <v>37.52</v>
      </c>
      <c r="F9436" t="n">
        <v>1</v>
      </c>
      <c r="G9436" t="n">
        <v>16</v>
      </c>
      <c r="H9436" s="5">
        <f>HYPERLINK("https://api.qogita.com/variants/link/6291106811599/", "View Product")</f>
        <v/>
      </c>
    </row>
    <row r="9437">
      <c r="A9437" t="inlineStr">
        <is>
          <t>6291106813029</t>
        </is>
      </c>
      <c r="B9437" t="inlineStr">
        <is>
          <t>Al Haramain Amber Oud Ruby Edition Eau De Parfum Spray 60ml</t>
        </is>
      </c>
      <c r="C9437" t="inlineStr">
        <is>
          <t>Eau De Parfum</t>
        </is>
      </c>
      <c r="D9437" t="inlineStr">
        <is>
          <t>Al Haramain</t>
        </is>
      </c>
      <c r="E9437" t="n">
        <v>33.89</v>
      </c>
      <c r="F9437" t="n">
        <v>1</v>
      </c>
      <c r="G9437" t="n">
        <v>14</v>
      </c>
      <c r="H9437" s="5">
        <f>HYPERLINK("https://api.qogita.com/variants/link/6291106813029/", "View Product")</f>
        <v/>
      </c>
    </row>
    <row r="9438">
      <c r="A9438" t="inlineStr">
        <is>
          <t>6291106813036</t>
        </is>
      </c>
      <c r="B9438" t="inlineStr">
        <is>
          <t>Al Haramain Amber Oud Ruby Edition Eau De Parfum Spray 100ml</t>
        </is>
      </c>
      <c r="C9438" t="inlineStr">
        <is>
          <t>Eau De Parfum</t>
        </is>
      </c>
      <c r="D9438" t="inlineStr">
        <is>
          <t>Al Haramain</t>
        </is>
      </c>
      <c r="E9438" t="n">
        <v>40.04</v>
      </c>
      <c r="F9438" t="n">
        <v>1</v>
      </c>
      <c r="G9438" t="n">
        <v>63</v>
      </c>
      <c r="H9438" s="5">
        <f>HYPERLINK("https://api.qogita.com/variants/link/6291106813036/", "View Product")</f>
        <v/>
      </c>
    </row>
    <row r="9439">
      <c r="A9439" t="inlineStr">
        <is>
          <t>6291106813050</t>
        </is>
      </c>
      <c r="B9439" t="inlineStr">
        <is>
          <t>Al Haramain Amber Oud Gold Edition Extreme Eau De Parfum Spray 60ml</t>
        </is>
      </c>
      <c r="C9439" t="inlineStr">
        <is>
          <t>Eau De Parfum</t>
        </is>
      </c>
      <c r="D9439" t="inlineStr">
        <is>
          <t>Al Haramain</t>
        </is>
      </c>
      <c r="E9439" t="n">
        <v>41.06</v>
      </c>
      <c r="F9439" t="n">
        <v>1</v>
      </c>
      <c r="G9439" t="n">
        <v>11</v>
      </c>
      <c r="H9439" s="5">
        <f>HYPERLINK("https://api.qogita.com/variants/link/6291106813050/", "View Product")</f>
        <v/>
      </c>
    </row>
    <row r="9440">
      <c r="A9440" t="inlineStr">
        <is>
          <t>6291106813081</t>
        </is>
      </c>
      <c r="B9440" t="inlineStr">
        <is>
          <t>Al Haramain Rouge Eau De Parfum Spray 100ml</t>
        </is>
      </c>
      <c r="C9440" t="inlineStr">
        <is>
          <t>Eau De Parfum</t>
        </is>
      </c>
      <c r="D9440" t="inlineStr">
        <is>
          <t>Al Haramain</t>
        </is>
      </c>
      <c r="E9440" t="n">
        <v>19.96</v>
      </c>
      <c r="F9440" t="n">
        <v>1</v>
      </c>
      <c r="G9440" t="n">
        <v>46</v>
      </c>
      <c r="H9440" s="5">
        <f>HYPERLINK("https://api.qogita.com/variants/link/6291106813081/", "View Product")</f>
        <v/>
      </c>
    </row>
    <row r="9441">
      <c r="A9441" t="inlineStr">
        <is>
          <t>6291106813098</t>
        </is>
      </c>
      <c r="B9441" t="inlineStr">
        <is>
          <t>Al Haramain Noir French Collection 100ml Arabic Perfume for Women - Long Lasting</t>
        </is>
      </c>
      <c r="C9441" t="inlineStr">
        <is>
          <t>Eau De Parfum</t>
        </is>
      </c>
      <c r="D9441" t="inlineStr">
        <is>
          <t>Al Haramain</t>
        </is>
      </c>
      <c r="E9441" t="n">
        <v>33.51</v>
      </c>
      <c r="F9441" t="n">
        <v>1</v>
      </c>
      <c r="G9441" t="n">
        <v>24</v>
      </c>
      <c r="H9441" s="5">
        <f>HYPERLINK("https://api.qogita.com/variants/link/6291106813098/", "View Product")</f>
        <v/>
      </c>
    </row>
    <row r="9442">
      <c r="A9442" t="inlineStr">
        <is>
          <t>6291106813357</t>
        </is>
      </c>
      <c r="B9442" t="inlineStr">
        <is>
          <t>Al Haramain Azlan Oud Saffron Edition Extrait De Parfum Spray 100ml</t>
        </is>
      </c>
      <c r="C9442" t="inlineStr">
        <is>
          <t>Extrait De Parfum</t>
        </is>
      </c>
      <c r="D9442" t="inlineStr">
        <is>
          <t>Al Haramain</t>
        </is>
      </c>
      <c r="E9442" t="n">
        <v>53.61</v>
      </c>
      <c r="F9442" t="n">
        <v>1</v>
      </c>
      <c r="G9442" t="n">
        <v>24</v>
      </c>
      <c r="H9442" s="5">
        <f>HYPERLINK("https://api.qogita.com/variants/link/6291106813357/", "View Product")</f>
        <v/>
      </c>
    </row>
    <row r="9443">
      <c r="A9443" t="inlineStr">
        <is>
          <t>6291106813517</t>
        </is>
      </c>
      <c r="B9443" t="inlineStr">
        <is>
          <t>Al Haramain Gold Crystal Sapphire Eau De Parfum Spray 100ml</t>
        </is>
      </c>
      <c r="C9443" t="inlineStr">
        <is>
          <t>Eau De Parfum</t>
        </is>
      </c>
      <c r="D9443" t="inlineStr">
        <is>
          <t>Al Haramain</t>
        </is>
      </c>
      <c r="E9443" t="n">
        <v>26.8</v>
      </c>
      <c r="F9443" t="n">
        <v>1</v>
      </c>
      <c r="G9443" t="n">
        <v>22</v>
      </c>
      <c r="H9443" s="5">
        <f>HYPERLINK("https://api.qogita.com/variants/link/6291106813517/", "View Product")</f>
        <v/>
      </c>
    </row>
    <row r="9444">
      <c r="A9444" t="inlineStr">
        <is>
          <t>6291106814491</t>
        </is>
      </c>
      <c r="B9444" t="inlineStr">
        <is>
          <t>Al Haramain Haramain Das Ziel Glanz Extrait De Parfum 100ml</t>
        </is>
      </c>
      <c r="C9444" t="inlineStr">
        <is>
          <t>Extrait De Parfum</t>
        </is>
      </c>
      <c r="D9444" t="inlineStr">
        <is>
          <t>Al Haramain</t>
        </is>
      </c>
      <c r="E9444" t="n">
        <v>32.18</v>
      </c>
      <c r="F9444" t="n">
        <v>1</v>
      </c>
      <c r="G9444" t="n">
        <v>38</v>
      </c>
      <c r="H9444" s="5">
        <f>HYPERLINK("https://api.qogita.com/variants/link/6291106814491/", "View Product")</f>
        <v/>
      </c>
    </row>
    <row r="9445">
      <c r="A9445" t="inlineStr">
        <is>
          <t>6291106814859</t>
        </is>
      </c>
      <c r="B9445" t="inlineStr">
        <is>
          <t>Al Haramain Amber Oud Aqua Dubai Parfum</t>
        </is>
      </c>
      <c r="C9445" t="inlineStr">
        <is>
          <t>Eau De Parfum</t>
        </is>
      </c>
      <c r="D9445" t="inlineStr">
        <is>
          <t>Al Haramain</t>
        </is>
      </c>
      <c r="E9445" t="n">
        <v>39.09</v>
      </c>
      <c r="F9445" t="n">
        <v>1</v>
      </c>
      <c r="G9445" t="n">
        <v>459</v>
      </c>
      <c r="H9445" s="5">
        <f>HYPERLINK("https://api.qogita.com/variants/link/6291106814859/", "View Product")</f>
        <v/>
      </c>
    </row>
    <row r="9446">
      <c r="A9446" t="inlineStr">
        <is>
          <t>6291106814873</t>
        </is>
      </c>
      <c r="B9446" t="inlineStr">
        <is>
          <t>Al Haramain Amber Oud Aqua Dubai Extrait 100ml</t>
        </is>
      </c>
      <c r="C9446" t="inlineStr">
        <is>
          <t>Eau De Parfum</t>
        </is>
      </c>
      <c r="D9446" t="inlineStr">
        <is>
          <t>Al Haramain</t>
        </is>
      </c>
      <c r="E9446" t="n">
        <v>38.67</v>
      </c>
      <c r="F9446" t="n">
        <v>1</v>
      </c>
      <c r="G9446" t="n">
        <v>145</v>
      </c>
      <c r="H9446" s="5">
        <f>HYPERLINK("https://api.qogita.com/variants/link/6291106814873/", "View Product")</f>
        <v/>
      </c>
    </row>
    <row r="9447">
      <c r="A9447" t="inlineStr">
        <is>
          <t>6291106816280</t>
        </is>
      </c>
      <c r="B9447" t="inlineStr">
        <is>
          <t>Al Haramain Shams For Men 0.4 Oz Parfum Oil Mini</t>
        </is>
      </c>
      <c r="C9447" t="inlineStr">
        <is>
          <t>Eau De Parfum</t>
        </is>
      </c>
      <c r="D9447" t="inlineStr">
        <is>
          <t>Al Haramain</t>
        </is>
      </c>
      <c r="E9447" t="n">
        <v>12.02</v>
      </c>
      <c r="F9447" t="n">
        <v>1</v>
      </c>
      <c r="G9447" t="n">
        <v>3</v>
      </c>
      <c r="H9447" s="5">
        <f>HYPERLINK("https://api.qogita.com/variants/link/6291106816280/", "View Product")</f>
        <v/>
      </c>
    </row>
    <row r="9448">
      <c r="A9448" t="inlineStr">
        <is>
          <t>6291107162720</t>
        </is>
      </c>
      <c r="B9448" t="inlineStr">
        <is>
          <t>Beverly Hills Polo Club Woman Nine Eau De Parfum Spray 100ml</t>
        </is>
      </c>
      <c r="C9448" t="inlineStr">
        <is>
          <t>Eau De Parfum</t>
        </is>
      </c>
      <c r="D9448" t="inlineStr">
        <is>
          <t>Beverly Hills Polo Club</t>
        </is>
      </c>
      <c r="E9448" t="n">
        <v>17.64</v>
      </c>
      <c r="F9448" t="n">
        <v>1</v>
      </c>
      <c r="G9448" t="n">
        <v>3</v>
      </c>
      <c r="H9448" s="5">
        <f>HYPERLINK("https://api.qogita.com/variants/link/6291107162720/", "View Product")</f>
        <v/>
      </c>
    </row>
    <row r="9449">
      <c r="A9449" t="inlineStr">
        <is>
          <t>6291107450193</t>
        </is>
      </c>
      <c r="B9449" t="inlineStr">
        <is>
          <t>Lattafa Hayaati EDP 100 ml</t>
        </is>
      </c>
      <c r="C9449" t="inlineStr">
        <is>
          <t>Eau De Parfum</t>
        </is>
      </c>
      <c r="D9449" t="inlineStr">
        <is>
          <t>Lattafa</t>
        </is>
      </c>
      <c r="E9449" t="n">
        <v>13.52</v>
      </c>
      <c r="F9449" t="n">
        <v>1</v>
      </c>
      <c r="G9449" t="n">
        <v>38</v>
      </c>
      <c r="H9449" s="5">
        <f>HYPERLINK("https://api.qogita.com/variants/link/6291107450193/", "View Product")</f>
        <v/>
      </c>
    </row>
    <row r="9450">
      <c r="A9450" t="inlineStr">
        <is>
          <t>6291107450582</t>
        </is>
      </c>
      <c r="B9450" t="inlineStr">
        <is>
          <t>Lattafa Qimmah Eau De Parfum Spray 100ml</t>
        </is>
      </c>
      <c r="C9450" t="inlineStr">
        <is>
          <t>Eau De Parfum</t>
        </is>
      </c>
      <c r="D9450" t="inlineStr">
        <is>
          <t>Lattafa</t>
        </is>
      </c>
      <c r="E9450" t="n">
        <v>10.81</v>
      </c>
      <c r="F9450" t="n">
        <v>1</v>
      </c>
      <c r="G9450" t="n">
        <v>25</v>
      </c>
      <c r="H9450" s="5">
        <f>HYPERLINK("https://api.qogita.com/variants/link/6291107450582/", "View Product")</f>
        <v/>
      </c>
    </row>
    <row r="9451">
      <c r="A9451" t="inlineStr">
        <is>
          <t>6291107450780</t>
        </is>
      </c>
      <c r="B9451" t="inlineStr">
        <is>
          <t>Lattafa Khashabi Eau De Parfum Spray 100ml</t>
        </is>
      </c>
      <c r="C9451" t="inlineStr">
        <is>
          <t>Eau De Parfum</t>
        </is>
      </c>
      <c r="D9451" t="inlineStr">
        <is>
          <t>Lattafa</t>
        </is>
      </c>
      <c r="E9451" t="n">
        <v>11.26</v>
      </c>
      <c r="F9451" t="n">
        <v>1</v>
      </c>
      <c r="G9451" t="n">
        <v>3</v>
      </c>
      <c r="H9451" s="5">
        <f>HYPERLINK("https://api.qogita.com/variants/link/6291107450780/", "View Product")</f>
        <v/>
      </c>
    </row>
    <row r="9452">
      <c r="A9452" t="inlineStr">
        <is>
          <t>6291107454429</t>
        </is>
      </c>
      <c r="B9452" t="inlineStr">
        <is>
          <t>Lattafa Ana Abiyedh Leather Eau De Parfum 60ml</t>
        </is>
      </c>
      <c r="C9452" t="inlineStr">
        <is>
          <t>Eau De Parfum</t>
        </is>
      </c>
      <c r="D9452" t="inlineStr">
        <is>
          <t>Lattafa</t>
        </is>
      </c>
      <c r="E9452" t="n">
        <v>10.85</v>
      </c>
      <c r="F9452" t="n">
        <v>1</v>
      </c>
      <c r="G9452" t="n">
        <v>119</v>
      </c>
      <c r="H9452" s="5">
        <f>HYPERLINK("https://api.qogita.com/variants/link/6291107454429/", "View Product")</f>
        <v/>
      </c>
    </row>
    <row r="9453">
      <c r="A9453" t="inlineStr">
        <is>
          <t>6291107454818</t>
        </is>
      </c>
      <c r="B9453" t="inlineStr">
        <is>
          <t>Riiffs Bella Rouge Unisex Eau De Parfum Spray 100ml</t>
        </is>
      </c>
      <c r="C9453" t="inlineStr">
        <is>
          <t>Eau De Parfum</t>
        </is>
      </c>
      <c r="D9453" t="inlineStr">
        <is>
          <t>Riiffs</t>
        </is>
      </c>
      <c r="E9453" t="n">
        <v>12.98</v>
      </c>
      <c r="F9453" t="n">
        <v>1</v>
      </c>
      <c r="G9453" t="n">
        <v>8</v>
      </c>
      <c r="H9453" s="5">
        <f>HYPERLINK("https://api.qogita.com/variants/link/6291107454818/", "View Product")</f>
        <v/>
      </c>
    </row>
    <row r="9454">
      <c r="A9454" t="inlineStr">
        <is>
          <t>6291107454856</t>
        </is>
      </c>
      <c r="B9454" t="inlineStr">
        <is>
          <t>Riiffs Majestic Rose Eau De Parfum Spray 100ml - Unisex</t>
        </is>
      </c>
      <c r="C9454" t="inlineStr">
        <is>
          <t>Eau De Parfum</t>
        </is>
      </c>
      <c r="D9454" t="inlineStr">
        <is>
          <t>Riiffs</t>
        </is>
      </c>
      <c r="E9454" t="n">
        <v>11.05</v>
      </c>
      <c r="F9454" t="n">
        <v>1</v>
      </c>
      <c r="G9454" t="n">
        <v>36</v>
      </c>
      <c r="H9454" s="5">
        <f>HYPERLINK("https://api.qogita.com/variants/link/6291107454856/", "View Product")</f>
        <v/>
      </c>
    </row>
    <row r="9455">
      <c r="A9455" t="inlineStr">
        <is>
          <t>6291107454894</t>
        </is>
      </c>
      <c r="B9455" t="inlineStr">
        <is>
          <t>Riiffs Bleu Absolu Eau De Parfum Spray 100ml</t>
        </is>
      </c>
      <c r="C9455" t="inlineStr">
        <is>
          <t>Eau De Parfum</t>
        </is>
      </c>
      <c r="D9455" t="inlineStr">
        <is>
          <t>Riiffs</t>
        </is>
      </c>
      <c r="E9455" t="n">
        <v>11.05</v>
      </c>
      <c r="F9455" t="n">
        <v>1</v>
      </c>
      <c r="G9455" t="n">
        <v>57</v>
      </c>
      <c r="H9455" s="5">
        <f>HYPERLINK("https://api.qogita.com/variants/link/6291107454894/", "View Product")</f>
        <v/>
      </c>
    </row>
    <row r="9456">
      <c r="A9456" t="inlineStr">
        <is>
          <t>6291107458571</t>
        </is>
      </c>
      <c r="B9456" t="inlineStr">
        <is>
          <t>Lattafa Ameer Al Oudh Intense Oud Eau De Parfum Spray 100ml</t>
        </is>
      </c>
      <c r="C9456" t="inlineStr">
        <is>
          <t>Eau De Parfum</t>
        </is>
      </c>
      <c r="D9456" t="inlineStr">
        <is>
          <t>Lattafa</t>
        </is>
      </c>
      <c r="E9456" t="n">
        <v>12.7</v>
      </c>
      <c r="F9456" t="n">
        <v>1</v>
      </c>
      <c r="G9456" t="n">
        <v>139</v>
      </c>
      <c r="H9456" s="5">
        <f>HYPERLINK("https://api.qogita.com/variants/link/6291107458571/", "View Product")</f>
        <v/>
      </c>
    </row>
    <row r="9457">
      <c r="A9457" t="inlineStr">
        <is>
          <t>6291107459004</t>
        </is>
      </c>
      <c r="B9457" t="inlineStr">
        <is>
          <t>Lattafa Ser Hubbee Eau De Parfum 100ml for Women</t>
        </is>
      </c>
      <c r="C9457" t="inlineStr">
        <is>
          <t>Eau De Parfum</t>
        </is>
      </c>
      <c r="D9457" t="inlineStr">
        <is>
          <t>Lattafa</t>
        </is>
      </c>
      <c r="E9457" t="n">
        <v>11.32</v>
      </c>
      <c r="F9457" t="n">
        <v>1</v>
      </c>
      <c r="G9457" t="n">
        <v>194</v>
      </c>
      <c r="H9457" s="5">
        <f>HYPERLINK("https://api.qogita.com/variants/link/6291107459004/", "View Product")</f>
        <v/>
      </c>
    </row>
    <row r="9458">
      <c r="A9458" t="inlineStr">
        <is>
          <t>6291107459059</t>
        </is>
      </c>
      <c r="B9458" t="inlineStr">
        <is>
          <t>Lattafa Majaazi Eau De Parfum 100ml</t>
        </is>
      </c>
      <c r="C9458" t="inlineStr">
        <is>
          <t>Eau De Parfum</t>
        </is>
      </c>
      <c r="D9458" t="inlineStr">
        <is>
          <t>Lattafa</t>
        </is>
      </c>
      <c r="E9458" t="n">
        <v>11.44</v>
      </c>
      <c r="F9458" t="n">
        <v>1</v>
      </c>
      <c r="G9458" t="n">
        <v>66</v>
      </c>
      <c r="H9458" s="5">
        <f>HYPERLINK("https://api.qogita.com/variants/link/6291107459059/", "View Product")</f>
        <v/>
      </c>
    </row>
    <row r="9459">
      <c r="A9459" t="inlineStr">
        <is>
          <t>6291107459097</t>
        </is>
      </c>
      <c r="B9459" t="inlineStr">
        <is>
          <t>Maison Alhambra Aromatic Rouge 3.4oz Eau de Parfum</t>
        </is>
      </c>
      <c r="C9459" t="inlineStr">
        <is>
          <t>Eau De Parfum</t>
        </is>
      </c>
      <c r="D9459" t="inlineStr">
        <is>
          <t>Maison Alhambra</t>
        </is>
      </c>
      <c r="E9459" t="n">
        <v>9.279999999999999</v>
      </c>
      <c r="F9459" t="n">
        <v>1</v>
      </c>
      <c r="G9459" t="n">
        <v>5</v>
      </c>
      <c r="H9459" s="5">
        <f>HYPERLINK("https://api.qogita.com/variants/link/6291107459097/", "View Product")</f>
        <v/>
      </c>
    </row>
    <row r="9460">
      <c r="A9460" t="inlineStr">
        <is>
          <t>6291107459110</t>
        </is>
      </c>
      <c r="B9460" t="inlineStr">
        <is>
          <t>Avant Eau De Parfum 100ml by Maison Alhambra</t>
        </is>
      </c>
      <c r="C9460" t="inlineStr">
        <is>
          <t>Eau De Parfum</t>
        </is>
      </c>
      <c r="D9460" t="inlineStr">
        <is>
          <t>Maison Alhambra</t>
        </is>
      </c>
      <c r="E9460" t="n">
        <v>8.869999999999999</v>
      </c>
      <c r="F9460" t="n">
        <v>1</v>
      </c>
      <c r="G9460" t="n">
        <v>355</v>
      </c>
      <c r="H9460" s="5">
        <f>HYPERLINK("https://api.qogita.com/variants/link/6291107459110/", "View Product")</f>
        <v/>
      </c>
    </row>
    <row r="9461">
      <c r="A9461" t="inlineStr">
        <is>
          <t>6291107459127</t>
        </is>
      </c>
      <c r="B9461" t="inlineStr">
        <is>
          <t>BAD Femme EDP by Maison Alhambra Lattafa 100ml</t>
        </is>
      </c>
      <c r="C9461" t="inlineStr">
        <is>
          <t>Eau De Parfum</t>
        </is>
      </c>
      <c r="D9461" t="inlineStr">
        <is>
          <t>Maison Alhambra</t>
        </is>
      </c>
      <c r="E9461" t="n">
        <v>11.48</v>
      </c>
      <c r="F9461" t="n">
        <v>1</v>
      </c>
      <c r="G9461" t="n">
        <v>50</v>
      </c>
      <c r="H9461" s="5">
        <f>HYPERLINK("https://api.qogita.com/variants/link/6291107459127/", "View Product")</f>
        <v/>
      </c>
    </row>
    <row r="9462">
      <c r="A9462" t="inlineStr">
        <is>
          <t>6291107459189</t>
        </is>
      </c>
      <c r="B9462" t="inlineStr">
        <is>
          <t>Maison Alhambra Coastal Pour Femme Eau De Parfum Spray 100ml</t>
        </is>
      </c>
      <c r="C9462" t="inlineStr">
        <is>
          <t>Eau De Parfum</t>
        </is>
      </c>
      <c r="D9462" t="inlineStr">
        <is>
          <t>Maison Alhambra</t>
        </is>
      </c>
      <c r="E9462" t="n">
        <v>10.78</v>
      </c>
      <c r="F9462" t="n">
        <v>1</v>
      </c>
      <c r="G9462" t="n">
        <v>2</v>
      </c>
      <c r="H9462" s="5">
        <f>HYPERLINK("https://api.qogita.com/variants/link/6291107459189/", "View Product")</f>
        <v/>
      </c>
    </row>
    <row r="9463">
      <c r="A9463" t="inlineStr">
        <is>
          <t>6291107459257</t>
        </is>
      </c>
      <c r="B9463" t="inlineStr">
        <is>
          <t>Maison Alhambra Kismet For Men Eau De Parfum 100ml</t>
        </is>
      </c>
      <c r="C9463" t="inlineStr">
        <is>
          <t>Eau De Parfum</t>
        </is>
      </c>
      <c r="D9463" t="inlineStr">
        <is>
          <t>Maison Alhambra</t>
        </is>
      </c>
      <c r="E9463" t="n">
        <v>13.96</v>
      </c>
      <c r="F9463" t="n">
        <v>1</v>
      </c>
      <c r="G9463" t="n">
        <v>459</v>
      </c>
      <c r="H9463" s="5">
        <f>HYPERLINK("https://api.qogita.com/variants/link/6291107459257/", "View Product")</f>
        <v/>
      </c>
    </row>
    <row r="9464">
      <c r="A9464" t="inlineStr">
        <is>
          <t>6291107459318</t>
        </is>
      </c>
      <c r="B9464" t="inlineStr">
        <is>
          <t>Maison Alhambra Perseus Eau De Parfum Spray 100ml</t>
        </is>
      </c>
      <c r="C9464" t="inlineStr">
        <is>
          <t>Eau De Parfum</t>
        </is>
      </c>
      <c r="D9464" t="inlineStr">
        <is>
          <t>Maison Alhambra</t>
        </is>
      </c>
      <c r="E9464" t="n">
        <v>10.74</v>
      </c>
      <c r="F9464" t="n">
        <v>1</v>
      </c>
      <c r="G9464" t="n">
        <v>27</v>
      </c>
      <c r="H9464" s="5">
        <f>HYPERLINK("https://api.qogita.com/variants/link/6291107459318/", "View Product")</f>
        <v/>
      </c>
    </row>
    <row r="9465">
      <c r="A9465" t="inlineStr">
        <is>
          <t>6291107459325</t>
        </is>
      </c>
      <c r="B9465" t="inlineStr">
        <is>
          <t>Maison Alhambra Philos Centro Eau De Parfum Spray 100ml</t>
        </is>
      </c>
      <c r="C9465" t="inlineStr">
        <is>
          <t>Eau De Parfum</t>
        </is>
      </c>
      <c r="D9465" t="inlineStr">
        <is>
          <t>Maison Alhambra</t>
        </is>
      </c>
      <c r="E9465" t="n">
        <v>9.1</v>
      </c>
      <c r="F9465" t="n">
        <v>1</v>
      </c>
      <c r="G9465" t="n">
        <v>81</v>
      </c>
      <c r="H9465" s="5">
        <f>HYPERLINK("https://api.qogita.com/variants/link/6291107459325/", "View Product")</f>
        <v/>
      </c>
    </row>
    <row r="9466">
      <c r="A9466" t="inlineStr">
        <is>
          <t>6291107459332</t>
        </is>
      </c>
      <c r="B9466" t="inlineStr">
        <is>
          <t>Maison Alhambra Philos Opus Noir Eau De Parfum Spray 100ml</t>
        </is>
      </c>
      <c r="C9466" t="inlineStr">
        <is>
          <t>Eau De Parfum</t>
        </is>
      </c>
      <c r="D9466" t="inlineStr">
        <is>
          <t>Maison Alhambra</t>
        </is>
      </c>
      <c r="E9466" t="n">
        <v>10.61</v>
      </c>
      <c r="F9466" t="n">
        <v>1</v>
      </c>
      <c r="G9466" t="n">
        <v>84</v>
      </c>
      <c r="H9466" s="5">
        <f>HYPERLINK("https://api.qogita.com/variants/link/6291107459332/", "View Product")</f>
        <v/>
      </c>
    </row>
    <row r="9467">
      <c r="A9467" t="inlineStr">
        <is>
          <t>6291107459370</t>
        </is>
      </c>
      <c r="B9467" t="inlineStr">
        <is>
          <t>Maison Alhambra Versencia Crystal EDP Perfume</t>
        </is>
      </c>
      <c r="C9467" t="inlineStr">
        <is>
          <t>Eau De Parfum</t>
        </is>
      </c>
      <c r="D9467" t="inlineStr">
        <is>
          <t>Maison Alhambra</t>
        </is>
      </c>
      <c r="E9467" t="n">
        <v>10.09</v>
      </c>
      <c r="F9467" t="n">
        <v>1</v>
      </c>
      <c r="G9467" t="n">
        <v>183</v>
      </c>
      <c r="H9467" s="5">
        <f>HYPERLINK("https://api.qogita.com/variants/link/6291107459370/", "View Product")</f>
        <v/>
      </c>
    </row>
    <row r="9468">
      <c r="A9468" t="inlineStr">
        <is>
          <t>6291107459387</t>
        </is>
      </c>
      <c r="B9468" t="inlineStr">
        <is>
          <t>Versencia Essence Perfumed Water Spray 100ml</t>
        </is>
      </c>
      <c r="C9468" t="inlineStr">
        <is>
          <t>Eau De Parfum</t>
        </is>
      </c>
      <c r="D9468" t="inlineStr">
        <is>
          <t>Versace</t>
        </is>
      </c>
      <c r="E9468" t="n">
        <v>10.65</v>
      </c>
      <c r="F9468" t="n">
        <v>1</v>
      </c>
      <c r="G9468" t="n">
        <v>44</v>
      </c>
      <c r="H9468" s="5">
        <f>HYPERLINK("https://api.qogita.com/variants/link/6291107459387/", "View Product")</f>
        <v/>
      </c>
    </row>
    <row r="9469">
      <c r="A9469" t="inlineStr">
        <is>
          <t>6291107971018</t>
        </is>
      </c>
      <c r="B9469" t="inlineStr">
        <is>
          <t>Khadlaj Oud Pour Klassik Edp</t>
        </is>
      </c>
      <c r="C9469" t="inlineStr">
        <is>
          <t>Eau De Parfum</t>
        </is>
      </c>
      <c r="D9469" t="inlineStr">
        <is>
          <t>Khadlaj</t>
        </is>
      </c>
      <c r="E9469" t="n">
        <v>23.8</v>
      </c>
      <c r="F9469" t="n">
        <v>1</v>
      </c>
      <c r="G9469" t="n">
        <v>32</v>
      </c>
      <c r="H9469" s="5">
        <f>HYPERLINK("https://api.qogita.com/variants/link/6291107971018/", "View Product")</f>
        <v/>
      </c>
    </row>
    <row r="9470">
      <c r="A9470" t="inlineStr">
        <is>
          <t>6291107971025</t>
        </is>
      </c>
      <c r="B9470" t="inlineStr">
        <is>
          <t>Oud Pour Rouge - Eau de Parfum Volume 100 ml</t>
        </is>
      </c>
      <c r="C9470" t="inlineStr">
        <is>
          <t>Eau De Parfum</t>
        </is>
      </c>
      <c r="D9470" t="inlineStr">
        <is>
          <t>Khadlaj</t>
        </is>
      </c>
      <c r="E9470" t="n">
        <v>30.27</v>
      </c>
      <c r="F9470" t="n">
        <v>1</v>
      </c>
      <c r="G9470" t="n">
        <v>5</v>
      </c>
      <c r="H9470" s="5">
        <f>HYPERLINK("https://api.qogita.com/variants/link/6291107971025/", "View Product")</f>
        <v/>
      </c>
    </row>
    <row r="9471">
      <c r="A9471" t="inlineStr">
        <is>
          <t>6291107971186</t>
        </is>
      </c>
      <c r="B9471" t="inlineStr">
        <is>
          <t>Shiyaaka White Perfumed Water Spray 100ml</t>
        </is>
      </c>
      <c r="C9471" t="inlineStr">
        <is>
          <t>Eau De Toilette</t>
        </is>
      </c>
      <c r="D9471" t="inlineStr">
        <is>
          <t>Shiyaaka</t>
        </is>
      </c>
      <c r="E9471" t="n">
        <v>11.59</v>
      </c>
      <c r="F9471" t="n">
        <v>1</v>
      </c>
      <c r="G9471" t="n">
        <v>48</v>
      </c>
      <c r="H9471" s="5">
        <f>HYPERLINK("https://api.qogita.com/variants/link/6291107971186/", "View Product")</f>
        <v/>
      </c>
    </row>
    <row r="9472">
      <c r="A9472" t="inlineStr">
        <is>
          <t>6291107972039</t>
        </is>
      </c>
      <c r="B9472" t="inlineStr">
        <is>
          <t>La Fede Code Rouge Amour Eau De Parfum Spray 100ml</t>
        </is>
      </c>
      <c r="C9472" t="inlineStr">
        <is>
          <t>Eau De Parfum</t>
        </is>
      </c>
      <c r="D9472" t="inlineStr">
        <is>
          <t>La Fede</t>
        </is>
      </c>
      <c r="E9472" t="n">
        <v>18.27</v>
      </c>
      <c r="F9472" t="n">
        <v>1</v>
      </c>
      <c r="G9472" t="n">
        <v>2</v>
      </c>
      <c r="H9472" s="5">
        <f>HYPERLINK("https://api.qogita.com/variants/link/6291107972039/", "View Product")</f>
        <v/>
      </c>
    </row>
    <row r="9473">
      <c r="A9473" t="inlineStr">
        <is>
          <t>6291107972336</t>
        </is>
      </c>
      <c r="B9473" t="inlineStr">
        <is>
          <t>Aaliya - concentrated perfumed oil Volume 27 ml</t>
        </is>
      </c>
      <c r="C9473" t="inlineStr">
        <is>
          <t>Extrait De Parfum</t>
        </is>
      </c>
      <c r="D9473" t="inlineStr">
        <is>
          <t>Khadlaj</t>
        </is>
      </c>
      <c r="E9473" t="n">
        <v>9.640000000000001</v>
      </c>
      <c r="F9473" t="n">
        <v>1</v>
      </c>
      <c r="G9473" t="n">
        <v>65</v>
      </c>
      <c r="H9473" s="5">
        <f>HYPERLINK("https://api.qogita.com/variants/link/6291107972336/", "View Product")</f>
        <v/>
      </c>
    </row>
    <row r="9474">
      <c r="A9474" t="inlineStr">
        <is>
          <t>6291107973258</t>
        </is>
      </c>
      <c r="B9474" t="inlineStr">
        <is>
          <t>Khadlaj Ana Wa Anta olio profumato 20 ml - Unisex</t>
        </is>
      </c>
      <c r="C9474" t="inlineStr">
        <is>
          <t>Eau De Parfum</t>
        </is>
      </c>
      <c r="D9474" t="inlineStr">
        <is>
          <t>Khadlaj</t>
        </is>
      </c>
      <c r="E9474" t="n">
        <v>7.3</v>
      </c>
      <c r="F9474" t="n">
        <v>1</v>
      </c>
      <c r="G9474" t="n">
        <v>20</v>
      </c>
      <c r="H9474" s="5">
        <f>HYPERLINK("https://api.qogita.com/variants/link/6291107973258/", "View Product")</f>
        <v/>
      </c>
    </row>
    <row r="9475">
      <c r="A9475" t="inlineStr">
        <is>
          <t>6291107973432</t>
        </is>
      </c>
      <c r="B9475" t="inlineStr">
        <is>
          <t>Raniya Concentrated Perfume Oil 18ml by Khadlaj - Luxurious Blend</t>
        </is>
      </c>
      <c r="C9475" t="inlineStr">
        <is>
          <t>Extrait De Parfum</t>
        </is>
      </c>
      <c r="D9475" t="inlineStr">
        <is>
          <t>Khadlaj</t>
        </is>
      </c>
      <c r="E9475" t="n">
        <v>7.3</v>
      </c>
      <c r="F9475" t="n">
        <v>1</v>
      </c>
      <c r="G9475" t="n">
        <v>51</v>
      </c>
      <c r="H9475" s="5">
        <f>HYPERLINK("https://api.qogita.com/variants/link/6291107973432/", "View Product")</f>
        <v/>
      </c>
    </row>
    <row r="9476">
      <c r="A9476" t="inlineStr">
        <is>
          <t>6291107973456</t>
        </is>
      </c>
      <c r="B9476" t="inlineStr">
        <is>
          <t>Hareem Sultan Silver By Khadlaj Concentrated Perfume Oil 35ml/1.4 Unisex</t>
        </is>
      </c>
      <c r="C9476" t="inlineStr">
        <is>
          <t>Extrait De Parfum</t>
        </is>
      </c>
      <c r="D9476" t="inlineStr">
        <is>
          <t>Ard Al Zaafaran</t>
        </is>
      </c>
      <c r="E9476" t="n">
        <v>13.28</v>
      </c>
      <c r="F9476" t="n">
        <v>1</v>
      </c>
      <c r="G9476" t="n">
        <v>63</v>
      </c>
      <c r="H9476" s="5">
        <f>HYPERLINK("https://api.qogita.com/variants/link/6291107973456/", "View Product")</f>
        <v/>
      </c>
    </row>
    <row r="9477">
      <c r="A9477" t="inlineStr">
        <is>
          <t>6291107975351</t>
        </is>
      </c>
      <c r="B9477" t="inlineStr">
        <is>
          <t>Khadlaj 25 Experience Eau de Parfum Spray for Unisex 3.4 Ounce</t>
        </is>
      </c>
      <c r="C9477" t="inlineStr">
        <is>
          <t>Eau De Parfum</t>
        </is>
      </c>
      <c r="D9477" t="inlineStr">
        <is>
          <t>Khadlaj</t>
        </is>
      </c>
      <c r="E9477" t="n">
        <v>17.69</v>
      </c>
      <c r="F9477" t="n">
        <v>1</v>
      </c>
      <c r="G9477" t="n">
        <v>45</v>
      </c>
      <c r="H9477" s="5">
        <f>HYPERLINK("https://api.qogita.com/variants/link/6291107975351/", "View Product")</f>
        <v/>
      </c>
    </row>
    <row r="9478">
      <c r="A9478" t="inlineStr">
        <is>
          <t>6291107975627</t>
        </is>
      </c>
      <c r="B9478" t="inlineStr">
        <is>
          <t>Khadlaj Body Perfume Spray Ideal for Adults Unisex</t>
        </is>
      </c>
      <c r="C9478" t="inlineStr">
        <is>
          <t>Eau De Toilette</t>
        </is>
      </c>
      <c r="D9478" t="inlineStr">
        <is>
          <t>Khadlaj</t>
        </is>
      </c>
      <c r="E9478" t="n">
        <v>11.04</v>
      </c>
      <c r="F9478" t="n">
        <v>1</v>
      </c>
      <c r="G9478" t="n">
        <v>15</v>
      </c>
      <c r="H9478" s="5">
        <f>HYPERLINK("https://api.qogita.com/variants/link/6291107975627/", "View Product")</f>
        <v/>
      </c>
    </row>
    <row r="9479">
      <c r="A9479" t="inlineStr">
        <is>
          <t>6291107975795</t>
        </is>
      </c>
      <c r="B9479" t="inlineStr">
        <is>
          <t>Khadlaj Haneen Gold Concentrated Perfume Oil 0.67 Ounce</t>
        </is>
      </c>
      <c r="C9479" t="inlineStr">
        <is>
          <t>Extrait De Parfum</t>
        </is>
      </c>
      <c r="D9479" t="inlineStr">
        <is>
          <t>Khadlaj</t>
        </is>
      </c>
      <c r="E9479" t="n">
        <v>9.91</v>
      </c>
      <c r="F9479" t="n">
        <v>1</v>
      </c>
      <c r="G9479" t="n">
        <v>13</v>
      </c>
      <c r="H9479" s="5">
        <f>HYPERLINK("https://api.qogita.com/variants/link/6291107975795/", "View Product")</f>
        <v/>
      </c>
    </row>
    <row r="9480">
      <c r="A9480" t="inlineStr">
        <is>
          <t>6291107975801</t>
        </is>
      </c>
      <c r="B9480" t="inlineStr">
        <is>
          <t>KHADLAJ Haneen Rose Gold Concentrated Perfume Oil 0.67 Ounce</t>
        </is>
      </c>
      <c r="C9480" t="inlineStr">
        <is>
          <t>Extrait De Parfum</t>
        </is>
      </c>
      <c r="D9480" t="inlineStr">
        <is>
          <t>Khadlaj</t>
        </is>
      </c>
      <c r="E9480" t="n">
        <v>9.960000000000001</v>
      </c>
      <c r="F9480" t="n">
        <v>1</v>
      </c>
      <c r="G9480" t="n">
        <v>66</v>
      </c>
      <c r="H9480" s="5">
        <f>HYPERLINK("https://api.qogita.com/variants/link/6291107975801/", "View Product")</f>
        <v/>
      </c>
    </row>
    <row r="9481">
      <c r="A9481" t="inlineStr">
        <is>
          <t>6291107975849</t>
        </is>
      </c>
      <c r="B9481" t="inlineStr">
        <is>
          <t>Khadlaj Karus Amber Gold Eau De Parfum Spray 3.4 Ounce Unisex</t>
        </is>
      </c>
      <c r="C9481" t="inlineStr">
        <is>
          <t>Eau De Parfum</t>
        </is>
      </c>
      <c r="D9481" t="inlineStr">
        <is>
          <t>Khadlaj</t>
        </is>
      </c>
      <c r="E9481" t="n">
        <v>17.13</v>
      </c>
      <c r="F9481" t="n">
        <v>1</v>
      </c>
      <c r="G9481" t="n">
        <v>35</v>
      </c>
      <c r="H9481" s="5">
        <f>HYPERLINK("https://api.qogita.com/variants/link/6291107975849/", "View Product")</f>
        <v/>
      </c>
    </row>
    <row r="9482">
      <c r="A9482" t="inlineStr">
        <is>
          <t>6291107975863</t>
        </is>
      </c>
      <c r="B9482" t="inlineStr">
        <is>
          <t>Khadlaj Karus Oud Fire Eau De Parfum Spray 3.4 Ounce Unisex</t>
        </is>
      </c>
      <c r="C9482" t="inlineStr">
        <is>
          <t>Eau De Parfum</t>
        </is>
      </c>
      <c r="D9482" t="inlineStr">
        <is>
          <t>Khadlaj</t>
        </is>
      </c>
      <c r="E9482" t="n">
        <v>15.13</v>
      </c>
      <c r="F9482" t="n">
        <v>1</v>
      </c>
      <c r="G9482" t="n">
        <v>74</v>
      </c>
      <c r="H9482" s="5">
        <f>HYPERLINK("https://api.qogita.com/variants/link/6291107975863/", "View Product")</f>
        <v/>
      </c>
    </row>
    <row r="9483">
      <c r="A9483" t="inlineStr">
        <is>
          <t>6291107976143</t>
        </is>
      </c>
      <c r="B9483" t="inlineStr">
        <is>
          <t>Khadlaj Gaith Eau De Parfum 100ml</t>
        </is>
      </c>
      <c r="C9483" t="inlineStr">
        <is>
          <t>Eau De Parfum</t>
        </is>
      </c>
      <c r="D9483" t="inlineStr">
        <is>
          <t>Khadlaj</t>
        </is>
      </c>
      <c r="E9483" t="n">
        <v>12.18</v>
      </c>
      <c r="F9483" t="n">
        <v>1</v>
      </c>
      <c r="G9483" t="n">
        <v>71</v>
      </c>
      <c r="H9483" s="5">
        <f>HYPERLINK("https://api.qogita.com/variants/link/6291107976143/", "View Product")</f>
        <v/>
      </c>
    </row>
    <row r="9484">
      <c r="A9484" t="inlineStr">
        <is>
          <t>6291107976488</t>
        </is>
      </c>
      <c r="B9484" t="inlineStr">
        <is>
          <t>Khadlaj Hareem Al Sultan Blue Concentrated Perfume Oil for Unisex 1.18 Ounce</t>
        </is>
      </c>
      <c r="C9484" t="inlineStr">
        <is>
          <t>Extrait De Parfum</t>
        </is>
      </c>
      <c r="D9484" t="inlineStr">
        <is>
          <t>Khadlaj</t>
        </is>
      </c>
      <c r="E9484" t="n">
        <v>16.41</v>
      </c>
      <c r="F9484" t="n">
        <v>1</v>
      </c>
      <c r="G9484" t="n">
        <v>96</v>
      </c>
      <c r="H9484" s="5">
        <f>HYPERLINK("https://api.qogita.com/variants/link/6291107976488/", "View Product")</f>
        <v/>
      </c>
    </row>
    <row r="9485">
      <c r="A9485" t="inlineStr">
        <is>
          <t>6291107976570</t>
        </is>
      </c>
      <c r="B9485" t="inlineStr">
        <is>
          <t>Khadlaj Sensuous Concentrated Perfumed Oil</t>
        </is>
      </c>
      <c r="C9485" t="inlineStr">
        <is>
          <t>Extrait De Parfum</t>
        </is>
      </c>
      <c r="D9485" t="inlineStr">
        <is>
          <t>Khadlaj</t>
        </is>
      </c>
      <c r="E9485" t="n">
        <v>6.44</v>
      </c>
      <c r="F9485" t="n">
        <v>1</v>
      </c>
      <c r="G9485" t="n">
        <v>147</v>
      </c>
      <c r="H9485" s="5">
        <f>HYPERLINK("https://api.qogita.com/variants/link/6291107976570/", "View Product")</f>
        <v/>
      </c>
    </row>
    <row r="9486">
      <c r="A9486" t="inlineStr">
        <is>
          <t>6291107976594</t>
        </is>
      </c>
      <c r="B9486" t="inlineStr">
        <is>
          <t>Khadlaj Aseel Al Oud Concentrated Perfumed Oil</t>
        </is>
      </c>
      <c r="C9486" t="inlineStr">
        <is>
          <t>Extrait De Parfum</t>
        </is>
      </c>
      <c r="D9486" t="inlineStr">
        <is>
          <t>Khadlaj</t>
        </is>
      </c>
      <c r="E9486" t="n">
        <v>6.44</v>
      </c>
      <c r="F9486" t="n">
        <v>1</v>
      </c>
      <c r="G9486" t="n">
        <v>140</v>
      </c>
      <c r="H9486" s="5">
        <f>HYPERLINK("https://api.qogita.com/variants/link/6291107976594/", "View Product")</f>
        <v/>
      </c>
    </row>
    <row r="9487">
      <c r="A9487" t="inlineStr">
        <is>
          <t>6291107976716</t>
        </is>
      </c>
      <c r="B9487" t="inlineStr">
        <is>
          <t>Khadlaj Wow Oud Eau de Parfum Spray for Unisex 3.4 Ounce</t>
        </is>
      </c>
      <c r="C9487" t="inlineStr">
        <is>
          <t>Eau De Parfum</t>
        </is>
      </c>
      <c r="D9487" t="inlineStr">
        <is>
          <t>Khadlaj</t>
        </is>
      </c>
      <c r="E9487" t="n">
        <v>10.83</v>
      </c>
      <c r="F9487" t="n">
        <v>1</v>
      </c>
      <c r="G9487" t="n">
        <v>25</v>
      </c>
      <c r="H9487" s="5">
        <f>HYPERLINK("https://api.qogita.com/variants/link/6291107976716/", "View Product")</f>
        <v/>
      </c>
    </row>
    <row r="9488">
      <c r="A9488" t="inlineStr">
        <is>
          <t>6291107976921</t>
        </is>
      </c>
      <c r="B9488" t="inlineStr">
        <is>
          <t>La Fede Magnum Wild Green Arabian Perfume for Men 100ml 3.4oz</t>
        </is>
      </c>
      <c r="C9488" t="inlineStr">
        <is>
          <t>Eau De Parfum</t>
        </is>
      </c>
      <c r="D9488" t="inlineStr">
        <is>
          <t>Khadlaj</t>
        </is>
      </c>
      <c r="E9488" t="n">
        <v>16.89</v>
      </c>
      <c r="F9488" t="n">
        <v>1</v>
      </c>
      <c r="G9488" t="n">
        <v>11</v>
      </c>
      <c r="H9488" s="5">
        <f>HYPERLINK("https://api.qogita.com/variants/link/6291107976921/", "View Product")</f>
        <v/>
      </c>
    </row>
    <row r="9489">
      <c r="A9489" t="inlineStr">
        <is>
          <t>6291107976976</t>
        </is>
      </c>
      <c r="B9489" t="inlineStr">
        <is>
          <t>Khadlaj Musk Couture - Eau De Parfum</t>
        </is>
      </c>
      <c r="C9489" t="inlineStr">
        <is>
          <t>Eau De Parfum</t>
        </is>
      </c>
      <c r="D9489" t="inlineStr">
        <is>
          <t>Khadlaj</t>
        </is>
      </c>
      <c r="E9489" t="n">
        <v>11.61</v>
      </c>
      <c r="F9489" t="n">
        <v>1</v>
      </c>
      <c r="G9489" t="n">
        <v>43</v>
      </c>
      <c r="H9489" s="5">
        <f>HYPERLINK("https://api.qogita.com/variants/link/6291107976976/", "View Product")</f>
        <v/>
      </c>
    </row>
    <row r="9490">
      <c r="A9490" t="inlineStr">
        <is>
          <t>6291107977058</t>
        </is>
      </c>
      <c r="B9490" t="inlineStr">
        <is>
          <t>Imperio Eau de Parfum - Crystallia - Volume 100 ml</t>
        </is>
      </c>
      <c r="C9490" t="inlineStr">
        <is>
          <t>Eau De Parfum</t>
        </is>
      </c>
      <c r="D9490" t="inlineStr">
        <is>
          <t>Crystallia</t>
        </is>
      </c>
      <c r="E9490" t="n">
        <v>15.21</v>
      </c>
      <c r="F9490" t="n">
        <v>1</v>
      </c>
      <c r="G9490" t="n">
        <v>65</v>
      </c>
      <c r="H9490" s="5">
        <f>HYPERLINK("https://api.qogita.com/variants/link/6291107977058/", "View Product")</f>
        <v/>
      </c>
    </row>
    <row r="9491">
      <c r="A9491" t="inlineStr">
        <is>
          <t>6291107977119</t>
        </is>
      </c>
      <c r="B9491" t="inlineStr">
        <is>
          <t>Khadlaj Kayaan Silver Perfume Oil For Men</t>
        </is>
      </c>
      <c r="C9491" t="inlineStr">
        <is>
          <t>Eau De Parfum</t>
        </is>
      </c>
      <c r="D9491" t="inlineStr">
        <is>
          <t>Khadlaj</t>
        </is>
      </c>
      <c r="E9491" t="n">
        <v>11.75</v>
      </c>
      <c r="F9491" t="n">
        <v>1</v>
      </c>
      <c r="G9491" t="n">
        <v>21</v>
      </c>
      <c r="H9491" s="5">
        <f>HYPERLINK("https://api.qogita.com/variants/link/6291107977119/", "View Product")</f>
        <v/>
      </c>
    </row>
    <row r="9492">
      <c r="A9492" t="inlineStr">
        <is>
          <t>6291107977133</t>
        </is>
      </c>
      <c r="B9492" t="inlineStr">
        <is>
          <t>Khadlaj Pink Musk Concentrated Perfume Oil for Women 20ml 0.7 Ounce</t>
        </is>
      </c>
      <c r="C9492" t="inlineStr">
        <is>
          <t>Extrait De Parfum</t>
        </is>
      </c>
      <c r="D9492" t="inlineStr">
        <is>
          <t>Khadlaj</t>
        </is>
      </c>
      <c r="E9492" t="n">
        <v>17.83</v>
      </c>
      <c r="F9492" t="n">
        <v>1</v>
      </c>
      <c r="G9492" t="n">
        <v>4</v>
      </c>
      <c r="H9492" s="5">
        <f>HYPERLINK("https://api.qogita.com/variants/link/6291107977133/", "View Product")</f>
        <v/>
      </c>
    </row>
    <row r="9493">
      <c r="A9493" t="inlineStr">
        <is>
          <t>6291107978154</t>
        </is>
      </c>
      <c r="B9493" t="inlineStr">
        <is>
          <t>Khadlaj Musk Blend Eau De Parfum</t>
        </is>
      </c>
      <c r="C9493" t="inlineStr">
        <is>
          <t>Eau De Parfum</t>
        </is>
      </c>
      <c r="D9493" t="inlineStr">
        <is>
          <t>Khadlaj</t>
        </is>
      </c>
      <c r="E9493" t="n">
        <v>41.39</v>
      </c>
      <c r="F9493" t="n">
        <v>1</v>
      </c>
      <c r="G9493" t="n">
        <v>7</v>
      </c>
      <c r="H9493" s="5">
        <f>HYPERLINK("https://api.qogita.com/variants/link/6291107978154/", "View Product")</f>
        <v/>
      </c>
    </row>
    <row r="9494">
      <c r="A9494" t="inlineStr">
        <is>
          <t>6291107978352</t>
        </is>
      </c>
      <c r="B9494" t="inlineStr">
        <is>
          <t>Khadlaj Arabian Treasure Oil 20 Ml</t>
        </is>
      </c>
      <c r="C9494" t="inlineStr">
        <is>
          <t>Eau De Parfum</t>
        </is>
      </c>
      <c r="D9494" t="inlineStr">
        <is>
          <t>Khadlaj</t>
        </is>
      </c>
      <c r="E9494" t="n">
        <v>7.3</v>
      </c>
      <c r="F9494" t="n">
        <v>1</v>
      </c>
      <c r="G9494" t="n">
        <v>14</v>
      </c>
      <c r="H9494" s="5">
        <f>HYPERLINK("https://api.qogita.com/variants/link/6291107978352/", "View Product")</f>
        <v/>
      </c>
    </row>
    <row r="9495">
      <c r="A9495" t="inlineStr">
        <is>
          <t>6291107978918</t>
        </is>
      </c>
      <c r="B9495" t="inlineStr">
        <is>
          <t>Celebrity Crush Khadlaj Eau De Parfum 100ml Warm Sweet Lavender Scent</t>
        </is>
      </c>
      <c r="C9495" t="inlineStr">
        <is>
          <t>Eau De Parfum</t>
        </is>
      </c>
      <c r="D9495" t="inlineStr">
        <is>
          <t>Khadlaj</t>
        </is>
      </c>
      <c r="E9495" t="n">
        <v>15.83</v>
      </c>
      <c r="F9495" t="n">
        <v>1</v>
      </c>
      <c r="G9495" t="n">
        <v>42</v>
      </c>
      <c r="H9495" s="5">
        <f>HYPERLINK("https://api.qogita.com/variants/link/6291107978918/", "View Product")</f>
        <v/>
      </c>
    </row>
    <row r="9496">
      <c r="A9496" t="inlineStr">
        <is>
          <t>6291107979052</t>
        </is>
      </c>
      <c r="B9496" t="inlineStr">
        <is>
          <t>La Fede Celeste Joice Eau De Parfum For Women, 100 Ml</t>
        </is>
      </c>
      <c r="C9496" t="inlineStr">
        <is>
          <t>Eau De Parfum</t>
        </is>
      </c>
      <c r="D9496" t="inlineStr">
        <is>
          <t>La Fede</t>
        </is>
      </c>
      <c r="E9496" t="n">
        <v>13.61</v>
      </c>
      <c r="F9496" t="n">
        <v>1</v>
      </c>
      <c r="G9496" t="n">
        <v>38</v>
      </c>
      <c r="H9496" s="5">
        <f>HYPERLINK("https://api.qogita.com/variants/link/6291107979052/", "View Product")</f>
        <v/>
      </c>
    </row>
    <row r="9497">
      <c r="A9497" t="inlineStr">
        <is>
          <t>6291107979069</t>
        </is>
      </c>
      <c r="B9497" t="inlineStr">
        <is>
          <t>La Fede Celeste Toffee Eau De Parfum 100ml</t>
        </is>
      </c>
      <c r="C9497" t="inlineStr">
        <is>
          <t>Eau De Parfum</t>
        </is>
      </c>
      <c r="D9497" t="inlineStr">
        <is>
          <t>La Fede</t>
        </is>
      </c>
      <c r="E9497" t="n">
        <v>13.61</v>
      </c>
      <c r="F9497" t="n">
        <v>1</v>
      </c>
      <c r="G9497" t="n">
        <v>33</v>
      </c>
      <c r="H9497" s="5">
        <f>HYPERLINK("https://api.qogita.com/variants/link/6291107979069/", "View Product")</f>
        <v/>
      </c>
    </row>
    <row r="9498">
      <c r="A9498" t="inlineStr">
        <is>
          <t>6291107979083</t>
        </is>
      </c>
      <c r="B9498" t="inlineStr">
        <is>
          <t>La Fede Coveted Shades Eau De Parfum 100ml</t>
        </is>
      </c>
      <c r="C9498" t="inlineStr">
        <is>
          <t>Eau De Parfum</t>
        </is>
      </c>
      <c r="D9498" t="inlineStr">
        <is>
          <t>La Fede</t>
        </is>
      </c>
      <c r="E9498" t="n">
        <v>11.52</v>
      </c>
      <c r="F9498" t="n">
        <v>1</v>
      </c>
      <c r="G9498" t="n">
        <v>41</v>
      </c>
      <c r="H9498" s="5">
        <f>HYPERLINK("https://api.qogita.com/variants/link/6291107979083/", "View Product")</f>
        <v/>
      </c>
    </row>
    <row r="9499">
      <c r="A9499" t="inlineStr">
        <is>
          <t>6291107979090</t>
        </is>
      </c>
      <c r="B9499" t="inlineStr">
        <is>
          <t>La Fede Aura Pista Desert Eau De Parfum 100ml</t>
        </is>
      </c>
      <c r="C9499" t="inlineStr">
        <is>
          <t>Eau De Parfum</t>
        </is>
      </c>
      <c r="D9499" t="inlineStr">
        <is>
          <t>La Fede</t>
        </is>
      </c>
      <c r="E9499" t="n">
        <v>12.7</v>
      </c>
      <c r="F9499" t="n">
        <v>1</v>
      </c>
      <c r="G9499" t="n">
        <v>14</v>
      </c>
      <c r="H9499" s="5">
        <f>HYPERLINK("https://api.qogita.com/variants/link/6291107979090/", "View Product")</f>
        <v/>
      </c>
    </row>
    <row r="9500">
      <c r="A9500" t="inlineStr">
        <is>
          <t>6291108329290</t>
        </is>
      </c>
      <c r="B9500" t="inlineStr">
        <is>
          <t>French Avenue Fragrance World Enigma Quatre Eau De Parfum 100ml</t>
        </is>
      </c>
      <c r="C9500" t="inlineStr">
        <is>
          <t>Eau De Parfum</t>
        </is>
      </c>
      <c r="D9500" t="inlineStr">
        <is>
          <t>French Avenue</t>
        </is>
      </c>
      <c r="E9500" t="n">
        <v>22.98</v>
      </c>
      <c r="F9500" t="n">
        <v>1</v>
      </c>
      <c r="G9500" t="n">
        <v>38</v>
      </c>
      <c r="H9500" s="5">
        <f>HYPERLINK("https://api.qogita.com/variants/link/6291108329290/", "View Product")</f>
        <v/>
      </c>
    </row>
    <row r="9501">
      <c r="A9501" t="inlineStr">
        <is>
          <t>6291108329306</t>
        </is>
      </c>
      <c r="B9501" t="inlineStr">
        <is>
          <t>Fragrance World Enigma Trois Eau De Parfum 100ml</t>
        </is>
      </c>
      <c r="C9501" t="inlineStr">
        <is>
          <t>Eau De Parfum</t>
        </is>
      </c>
      <c r="D9501" t="inlineStr">
        <is>
          <t>Fragrance World</t>
        </is>
      </c>
      <c r="E9501" t="n">
        <v>22.98</v>
      </c>
      <c r="F9501" t="n">
        <v>1</v>
      </c>
      <c r="G9501" t="n">
        <v>38</v>
      </c>
      <c r="H9501" s="5">
        <f>HYPERLINK("https://api.qogita.com/variants/link/6291108329306/", "View Product")</f>
        <v/>
      </c>
    </row>
    <row r="9502">
      <c r="A9502" t="inlineStr">
        <is>
          <t>6291108528310</t>
        </is>
      </c>
      <c r="B9502" t="inlineStr">
        <is>
          <t>La Sera Safran Nuit Eau De Parfum 100ml</t>
        </is>
      </c>
      <c r="C9502" t="inlineStr">
        <is>
          <t>Eau De Parfum</t>
        </is>
      </c>
      <c r="D9502" t="inlineStr">
        <is>
          <t>La Sera</t>
        </is>
      </c>
      <c r="E9502" t="n">
        <v>15.43</v>
      </c>
      <c r="F9502" t="n">
        <v>1</v>
      </c>
      <c r="G9502" t="n">
        <v>5</v>
      </c>
      <c r="H9502" s="5">
        <f>HYPERLINK("https://api.qogita.com/variants/link/6291108528310/", "View Product")</f>
        <v/>
      </c>
    </row>
    <row r="9503">
      <c r="A9503" t="inlineStr">
        <is>
          <t>6291108730188</t>
        </is>
      </c>
      <c r="B9503" t="inlineStr">
        <is>
          <t>Maison Alhambra La Vita Bella Eau De Parfum 100ml</t>
        </is>
      </c>
      <c r="C9503" t="inlineStr">
        <is>
          <t>Eau De Parfum</t>
        </is>
      </c>
      <c r="D9503" t="inlineStr">
        <is>
          <t>Maison Alhambra</t>
        </is>
      </c>
      <c r="E9503" t="n">
        <v>10.49</v>
      </c>
      <c r="F9503" t="n">
        <v>1</v>
      </c>
      <c r="G9503" t="n">
        <v>177</v>
      </c>
      <c r="H9503" s="5">
        <f>HYPERLINK("https://api.qogita.com/variants/link/6291108730188/", "View Product")</f>
        <v/>
      </c>
    </row>
    <row r="9504">
      <c r="A9504" t="inlineStr">
        <is>
          <t>6291108730201</t>
        </is>
      </c>
      <c r="B9504" t="inlineStr">
        <is>
          <t>Maison Alhambra Man Black Edition Eau De Parfum Spray 100ml</t>
        </is>
      </c>
      <c r="C9504" t="inlineStr">
        <is>
          <t>Eau De Parfum</t>
        </is>
      </c>
      <c r="D9504" t="inlineStr">
        <is>
          <t>Maison Alhambra</t>
        </is>
      </c>
      <c r="E9504" t="n">
        <v>9.27</v>
      </c>
      <c r="F9504" t="n">
        <v>1</v>
      </c>
      <c r="G9504" t="n">
        <v>43</v>
      </c>
      <c r="H9504" s="5">
        <f>HYPERLINK("https://api.qogita.com/variants/link/6291108730201/", "View Product")</f>
        <v/>
      </c>
    </row>
    <row r="9505">
      <c r="A9505" t="inlineStr">
        <is>
          <t>6291108730263</t>
        </is>
      </c>
      <c r="B9505" t="inlineStr">
        <is>
          <t>Maison Alhambra Pink Shimmer Secret Eau De Parfum Spray 100ml</t>
        </is>
      </c>
      <c r="C9505" t="inlineStr">
        <is>
          <t>Eau De Parfum</t>
        </is>
      </c>
      <c r="D9505" t="inlineStr">
        <is>
          <t>Maison Alhambra</t>
        </is>
      </c>
      <c r="E9505" t="n">
        <v>11.41</v>
      </c>
      <c r="F9505" t="n">
        <v>1</v>
      </c>
      <c r="G9505" t="n">
        <v>375</v>
      </c>
      <c r="H9505" s="5">
        <f>HYPERLINK("https://api.qogita.com/variants/link/6291108730263/", "View Product")</f>
        <v/>
      </c>
    </row>
    <row r="9506">
      <c r="A9506" t="inlineStr">
        <is>
          <t>6291108730324</t>
        </is>
      </c>
      <c r="B9506" t="inlineStr">
        <is>
          <t>Maison Alhambra Yeah! Eau De Parfum Spray for Men 3.4 Ounce Fresh Spicy Amber</t>
        </is>
      </c>
      <c r="C9506" t="inlineStr">
        <is>
          <t>Eau De Parfum</t>
        </is>
      </c>
      <c r="D9506" t="inlineStr">
        <is>
          <t>Maison Alhambra</t>
        </is>
      </c>
      <c r="E9506" t="n">
        <v>9.960000000000001</v>
      </c>
      <c r="F9506" t="n">
        <v>1</v>
      </c>
      <c r="G9506" t="n">
        <v>33</v>
      </c>
      <c r="H9506" s="5">
        <f>HYPERLINK("https://api.qogita.com/variants/link/6291108730324/", "View Product")</f>
        <v/>
      </c>
    </row>
    <row r="9507">
      <c r="A9507" t="inlineStr">
        <is>
          <t>6291108730362</t>
        </is>
      </c>
      <c r="B9507" t="inlineStr">
        <is>
          <t>Lattafa Maahir Black Edition Eau De Parfum Spray 100ml</t>
        </is>
      </c>
      <c r="C9507" t="inlineStr">
        <is>
          <t>Eau De Parfum</t>
        </is>
      </c>
      <c r="D9507" t="inlineStr">
        <is>
          <t>Lattafa</t>
        </is>
      </c>
      <c r="E9507" t="n">
        <v>19.91</v>
      </c>
      <c r="F9507" t="n">
        <v>1</v>
      </c>
      <c r="G9507" t="n">
        <v>459</v>
      </c>
      <c r="H9507" s="5">
        <f>HYPERLINK("https://api.qogita.com/variants/link/6291108730362/", "View Product")</f>
        <v/>
      </c>
    </row>
    <row r="9508">
      <c r="A9508" t="inlineStr">
        <is>
          <t>6291108730980</t>
        </is>
      </c>
      <c r="B9508" t="inlineStr">
        <is>
          <t>Ajwaa Oud Unisex Eau De Parfum Spray 100ml</t>
        </is>
      </c>
      <c r="C9508" t="inlineStr">
        <is>
          <t>Eau De Parfum</t>
        </is>
      </c>
      <c r="D9508" t="inlineStr">
        <is>
          <t>Nusuk</t>
        </is>
      </c>
      <c r="E9508" t="n">
        <v>11.39</v>
      </c>
      <c r="F9508" t="n">
        <v>1</v>
      </c>
      <c r="G9508" t="n">
        <v>67</v>
      </c>
      <c r="H9508" s="5">
        <f>HYPERLINK("https://api.qogita.com/variants/link/6291108730980/", "View Product")</f>
        <v/>
      </c>
    </row>
    <row r="9509">
      <c r="A9509" t="inlineStr">
        <is>
          <t>6291108731000</t>
        </is>
      </c>
      <c r="B9509" t="inlineStr">
        <is>
          <t>Vision Pour Homme Eau De Parfum Spray 100ml for Men</t>
        </is>
      </c>
      <c r="C9509" t="inlineStr">
        <is>
          <t>Eau De Parfum</t>
        </is>
      </c>
      <c r="D9509" t="inlineStr">
        <is>
          <t>Nusuk</t>
        </is>
      </c>
      <c r="E9509" t="n">
        <v>14.36</v>
      </c>
      <c r="F9509" t="n">
        <v>1</v>
      </c>
      <c r="G9509" t="n">
        <v>5</v>
      </c>
      <c r="H9509" s="5">
        <f>HYPERLINK("https://api.qogita.com/variants/link/6291108731000/", "View Product")</f>
        <v/>
      </c>
    </row>
    <row r="9510">
      <c r="A9510" t="inlineStr">
        <is>
          <t>6291108731017</t>
        </is>
      </c>
      <c r="B9510" t="inlineStr">
        <is>
          <t>Vision Pour Femme Eau De Parfum Spray 3.4 oz</t>
        </is>
      </c>
      <c r="C9510" t="inlineStr">
        <is>
          <t>Eau De Parfum</t>
        </is>
      </c>
      <c r="D9510" t="inlineStr">
        <is>
          <t>Nusuk</t>
        </is>
      </c>
      <c r="E9510" t="n">
        <v>14.36</v>
      </c>
      <c r="F9510" t="n">
        <v>1</v>
      </c>
      <c r="G9510" t="n">
        <v>15</v>
      </c>
      <c r="H9510" s="5">
        <f>HYPERLINK("https://api.qogita.com/variants/link/6291108731017/", "View Product")</f>
        <v/>
      </c>
    </row>
    <row r="9511">
      <c r="A9511" t="inlineStr">
        <is>
          <t>6291108733462</t>
        </is>
      </c>
      <c r="B9511" t="inlineStr">
        <is>
          <t>My Party Eau De Parfum 100ml By Maison Alhambra</t>
        </is>
      </c>
      <c r="C9511" t="inlineStr">
        <is>
          <t>Eau De Parfum</t>
        </is>
      </c>
      <c r="D9511" t="inlineStr">
        <is>
          <t>Maison Alhambra</t>
        </is>
      </c>
      <c r="E9511" t="n">
        <v>11.44</v>
      </c>
      <c r="F9511" t="n">
        <v>1</v>
      </c>
      <c r="G9511" t="n">
        <v>308</v>
      </c>
      <c r="H9511" s="5">
        <f>HYPERLINK("https://api.qogita.com/variants/link/6291108733462/", "View Product")</f>
        <v/>
      </c>
    </row>
    <row r="9512">
      <c r="A9512" t="inlineStr">
        <is>
          <t>6291108733905</t>
        </is>
      </c>
      <c r="B9512" t="inlineStr">
        <is>
          <t>Alhambra Maison Alhambra Olivia Eau De Parfum 80ml</t>
        </is>
      </c>
      <c r="C9512" t="inlineStr">
        <is>
          <t>Eau De Parfum</t>
        </is>
      </c>
      <c r="D9512" t="inlineStr">
        <is>
          <t>Maison Alhambra</t>
        </is>
      </c>
      <c r="E9512" t="n">
        <v>10.76</v>
      </c>
      <c r="F9512" t="n">
        <v>1</v>
      </c>
      <c r="G9512" t="n">
        <v>139</v>
      </c>
      <c r="H9512" s="5">
        <f>HYPERLINK("https://api.qogita.com/variants/link/6291108733905/", "View Product")</f>
        <v/>
      </c>
    </row>
    <row r="9513">
      <c r="A9513" t="inlineStr">
        <is>
          <t>6291108734100</t>
        </is>
      </c>
      <c r="B9513" t="inlineStr">
        <is>
          <t>Melissa Poudree by Riiffs Eau De Parfum Spray 3.4 Oz for Women</t>
        </is>
      </c>
      <c r="C9513" t="inlineStr">
        <is>
          <t>Eau De Parfum</t>
        </is>
      </c>
      <c r="D9513" t="inlineStr">
        <is>
          <t>Riiffs</t>
        </is>
      </c>
      <c r="E9513" t="n">
        <v>11.05</v>
      </c>
      <c r="F9513" t="n">
        <v>1</v>
      </c>
      <c r="G9513" t="n">
        <v>38</v>
      </c>
      <c r="H9513" s="5">
        <f>HYPERLINK("https://api.qogita.com/variants/link/6291108734100/", "View Product")</f>
        <v/>
      </c>
    </row>
    <row r="9514">
      <c r="A9514" t="inlineStr">
        <is>
          <t>6291108734179</t>
        </is>
      </c>
      <c r="B9514" t="inlineStr">
        <is>
          <t>Maison Alhambra Signatures No I Eau De Parfum 50ml</t>
        </is>
      </c>
      <c r="C9514" t="inlineStr">
        <is>
          <t>Eau De Parfum</t>
        </is>
      </c>
      <c r="D9514" t="inlineStr">
        <is>
          <t>Maison Alhambra</t>
        </is>
      </c>
      <c r="E9514" t="n">
        <v>12.91</v>
      </c>
      <c r="F9514" t="n">
        <v>1</v>
      </c>
      <c r="G9514" t="n">
        <v>10</v>
      </c>
      <c r="H9514" s="5">
        <f>HYPERLINK("https://api.qogita.com/variants/link/6291108734179/", "View Product")</f>
        <v/>
      </c>
    </row>
    <row r="9515">
      <c r="A9515" t="inlineStr">
        <is>
          <t>6291108734520</t>
        </is>
      </c>
      <c r="B9515" t="inlineStr">
        <is>
          <t>Lattafa Perfumes Sugar Plum Eau De Parfum 100ml</t>
        </is>
      </c>
      <c r="C9515" t="inlineStr">
        <is>
          <t>Eau De Parfum</t>
        </is>
      </c>
      <c r="D9515" t="inlineStr">
        <is>
          <t>Lattafa</t>
        </is>
      </c>
      <c r="E9515" t="n">
        <v>11.5</v>
      </c>
      <c r="F9515" t="n">
        <v>1</v>
      </c>
      <c r="G9515" t="n">
        <v>31</v>
      </c>
      <c r="H9515" s="5">
        <f>HYPERLINK("https://api.qogita.com/variants/link/6291108734520/", "View Product")</f>
        <v/>
      </c>
    </row>
    <row r="9516">
      <c r="A9516" t="inlineStr">
        <is>
          <t>6291108734896</t>
        </is>
      </c>
      <c r="B9516" t="inlineStr">
        <is>
          <t>Lattafa Maahir Deo Spray 200ml</t>
        </is>
      </c>
      <c r="C9516" t="inlineStr">
        <is>
          <t>Deodorant &amp; Anti-Perspirant</t>
        </is>
      </c>
      <c r="D9516" t="inlineStr">
        <is>
          <t>Lattafa</t>
        </is>
      </c>
      <c r="E9516" t="n">
        <v>3.66</v>
      </c>
      <c r="F9516" t="n">
        <v>1</v>
      </c>
      <c r="G9516" t="n">
        <v>18</v>
      </c>
      <c r="H9516" s="5">
        <f>HYPERLINK("https://api.qogita.com/variants/link/6291108734896/", "View Product")</f>
        <v/>
      </c>
    </row>
    <row r="9517">
      <c r="A9517" t="inlineStr">
        <is>
          <t>6291108735497</t>
        </is>
      </c>
      <c r="B9517" t="inlineStr">
        <is>
          <t>Maison Alhambra Exclusif Rose Collection Eau De Parfum 100ml</t>
        </is>
      </c>
      <c r="C9517" t="inlineStr">
        <is>
          <t>Eau De Parfum</t>
        </is>
      </c>
      <c r="D9517" t="inlineStr">
        <is>
          <t>Maison Alhambra</t>
        </is>
      </c>
      <c r="E9517" t="n">
        <v>14.51</v>
      </c>
      <c r="F9517" t="n">
        <v>1</v>
      </c>
      <c r="G9517" t="n">
        <v>218</v>
      </c>
      <c r="H9517" s="5">
        <f>HYPERLINK("https://api.qogita.com/variants/link/6291108735497/", "View Product")</f>
        <v/>
      </c>
    </row>
    <row r="9518">
      <c r="A9518" t="inlineStr">
        <is>
          <t>6291108735527</t>
        </is>
      </c>
      <c r="B9518" t="inlineStr">
        <is>
          <t>Maison Alhambra Exclusif Oud Eau De Parfum Spray 100ml</t>
        </is>
      </c>
      <c r="C9518" t="inlineStr">
        <is>
          <t>Eau De Parfum</t>
        </is>
      </c>
      <c r="D9518" t="inlineStr">
        <is>
          <t>Maison Alhambra</t>
        </is>
      </c>
      <c r="E9518" t="n">
        <v>14.56</v>
      </c>
      <c r="F9518" t="n">
        <v>1</v>
      </c>
      <c r="G9518" t="n">
        <v>2</v>
      </c>
      <c r="H9518" s="5">
        <f>HYPERLINK("https://api.qogita.com/variants/link/6291108735527/", "View Product")</f>
        <v/>
      </c>
    </row>
    <row r="9519">
      <c r="A9519" t="inlineStr">
        <is>
          <t>6291108735558</t>
        </is>
      </c>
      <c r="B9519" t="inlineStr">
        <is>
          <t>Maison Alhambra Jean Lowe Matiere Eau De Parfum 100ml</t>
        </is>
      </c>
      <c r="C9519" t="inlineStr">
        <is>
          <t>Eau De Parfum</t>
        </is>
      </c>
      <c r="D9519" t="inlineStr">
        <is>
          <t>Maison Alhambra</t>
        </is>
      </c>
      <c r="E9519" t="n">
        <v>15.06</v>
      </c>
      <c r="F9519" t="n">
        <v>1</v>
      </c>
      <c r="G9519" t="n">
        <v>113</v>
      </c>
      <c r="H9519" s="5">
        <f>HYPERLINK("https://api.qogita.com/variants/link/6291108735558/", "View Product")</f>
        <v/>
      </c>
    </row>
    <row r="9520">
      <c r="A9520" t="inlineStr">
        <is>
          <t>6291108735602</t>
        </is>
      </c>
      <c r="B9520" t="inlineStr">
        <is>
          <t>Maison Alhambra The Trail Eau De Parfum 100ml</t>
        </is>
      </c>
      <c r="C9520" t="inlineStr">
        <is>
          <t>Eau De Parfum</t>
        </is>
      </c>
      <c r="D9520" t="inlineStr">
        <is>
          <t>Maison Alhambra</t>
        </is>
      </c>
      <c r="E9520" t="n">
        <v>13.12</v>
      </c>
      <c r="F9520" t="n">
        <v>1</v>
      </c>
      <c r="G9520" t="n">
        <v>8</v>
      </c>
      <c r="H9520" s="5">
        <f>HYPERLINK("https://api.qogita.com/variants/link/6291108735602/", "View Product")</f>
        <v/>
      </c>
    </row>
    <row r="9521">
      <c r="A9521" t="inlineStr">
        <is>
          <t>6291108735671</t>
        </is>
      </c>
      <c r="B9521" t="inlineStr">
        <is>
          <t>Maison Alhambra Optus Roman VII 100ml</t>
        </is>
      </c>
      <c r="C9521" t="inlineStr">
        <is>
          <t>Eau De Parfum</t>
        </is>
      </c>
      <c r="D9521" t="inlineStr">
        <is>
          <t>Maison Alhambra</t>
        </is>
      </c>
      <c r="E9521" t="n">
        <v>13.79</v>
      </c>
      <c r="F9521" t="n">
        <v>1</v>
      </c>
      <c r="G9521" t="n">
        <v>4</v>
      </c>
      <c r="H9521" s="5">
        <f>HYPERLINK("https://api.qogita.com/variants/link/6291108735671/", "View Product")</f>
        <v/>
      </c>
    </row>
    <row r="9522">
      <c r="A9522" t="inlineStr">
        <is>
          <t>6291108735732</t>
        </is>
      </c>
      <c r="B9522" t="inlineStr">
        <is>
          <t>Maison Alhambra The Artist No.2 Eau De Parfum 100ml</t>
        </is>
      </c>
      <c r="C9522" t="inlineStr">
        <is>
          <t>Eau De Parfum</t>
        </is>
      </c>
      <c r="D9522" t="inlineStr">
        <is>
          <t>Maison Alhambra</t>
        </is>
      </c>
      <c r="E9522" t="n">
        <v>16.81</v>
      </c>
      <c r="F9522" t="n">
        <v>1</v>
      </c>
      <c r="G9522" t="n">
        <v>3</v>
      </c>
      <c r="H9522" s="5">
        <f>HYPERLINK("https://api.qogita.com/variants/link/6291108735732/", "View Product")</f>
        <v/>
      </c>
    </row>
    <row r="9523">
      <c r="A9523" t="inlineStr">
        <is>
          <t>6291108735756</t>
        </is>
      </c>
      <c r="B9523" t="inlineStr">
        <is>
          <t>Maison Alhambra Smoky Touch Eau De Parfum 80 ml unisex</t>
        </is>
      </c>
      <c r="C9523" t="inlineStr">
        <is>
          <t>Eau De Parfum</t>
        </is>
      </c>
      <c r="D9523" t="inlineStr">
        <is>
          <t>Lattafa</t>
        </is>
      </c>
      <c r="E9523" t="n">
        <v>12.49</v>
      </c>
      <c r="F9523" t="n">
        <v>1</v>
      </c>
      <c r="G9523" t="n">
        <v>3310</v>
      </c>
      <c r="H9523" s="5">
        <f>HYPERLINK("https://api.qogita.com/variants/link/6291108735756/", "View Product")</f>
        <v/>
      </c>
    </row>
    <row r="9524">
      <c r="A9524" t="inlineStr">
        <is>
          <t>6291108735787</t>
        </is>
      </c>
      <c r="B9524" t="inlineStr">
        <is>
          <t>Maison Alhambra Bright Peach Eau De Parfum 80ml</t>
        </is>
      </c>
      <c r="C9524" t="inlineStr">
        <is>
          <t>Eau De Parfum</t>
        </is>
      </c>
      <c r="D9524" t="inlineStr">
        <is>
          <t>Maison Alhambra</t>
        </is>
      </c>
      <c r="E9524" t="n">
        <v>15.62</v>
      </c>
      <c r="F9524" t="n">
        <v>1</v>
      </c>
      <c r="G9524" t="n">
        <v>415</v>
      </c>
      <c r="H9524" s="5">
        <f>HYPERLINK("https://api.qogita.com/variants/link/6291108735787/", "View Product")</f>
        <v/>
      </c>
    </row>
    <row r="9525">
      <c r="A9525" t="inlineStr">
        <is>
          <t>6291108735800</t>
        </is>
      </c>
      <c r="B9525" t="inlineStr">
        <is>
          <t>Maison Alhambra Fusion Intense Eau De Parfum Spray 80ml</t>
        </is>
      </c>
      <c r="C9525" t="inlineStr">
        <is>
          <t>Eau De Parfum</t>
        </is>
      </c>
      <c r="D9525" t="inlineStr">
        <is>
          <t>Maison Alhambra</t>
        </is>
      </c>
      <c r="E9525" t="n">
        <v>13.49</v>
      </c>
      <c r="F9525" t="n">
        <v>1</v>
      </c>
      <c r="G9525" t="n">
        <v>2608</v>
      </c>
      <c r="H9525" s="5">
        <f>HYPERLINK("https://api.qogita.com/variants/link/6291108735800/", "View Product")</f>
        <v/>
      </c>
    </row>
    <row r="9526">
      <c r="A9526" t="inlineStr">
        <is>
          <t>6291108735923</t>
        </is>
      </c>
      <c r="B9526" t="inlineStr">
        <is>
          <t>Maison Alhambra Encode Blue Eau De Parfum Spray 100ml</t>
        </is>
      </c>
      <c r="C9526" t="inlineStr">
        <is>
          <t>Eau De Parfum</t>
        </is>
      </c>
      <c r="D9526" t="inlineStr">
        <is>
          <t>Maison Alhambra</t>
        </is>
      </c>
      <c r="E9526" t="n">
        <v>8.81</v>
      </c>
      <c r="F9526" t="n">
        <v>1</v>
      </c>
      <c r="G9526" t="n">
        <v>28</v>
      </c>
      <c r="H9526" s="5">
        <f>HYPERLINK("https://api.qogita.com/variants/link/6291108735923/", "View Product")</f>
        <v/>
      </c>
    </row>
    <row r="9527">
      <c r="A9527" t="inlineStr">
        <is>
          <t>6291108735947</t>
        </is>
      </c>
      <c r="B9527" t="inlineStr">
        <is>
          <t>Victorioso Myth 100ml Eau De Parfum by Maison Alhambra</t>
        </is>
      </c>
      <c r="C9527" t="inlineStr">
        <is>
          <t>Eau De Parfum</t>
        </is>
      </c>
      <c r="D9527" t="inlineStr">
        <is>
          <t>Maison Alhambra</t>
        </is>
      </c>
      <c r="E9527" t="n">
        <v>10.39</v>
      </c>
      <c r="F9527" t="n">
        <v>1</v>
      </c>
      <c r="G9527" t="n">
        <v>278</v>
      </c>
      <c r="H9527" s="5">
        <f>HYPERLINK("https://api.qogita.com/variants/link/6291108735947/", "View Product")</f>
        <v/>
      </c>
    </row>
    <row r="9528">
      <c r="A9528" t="inlineStr">
        <is>
          <t>6291108736104</t>
        </is>
      </c>
      <c r="B9528" t="inlineStr">
        <is>
          <t>Maison Alhambra Russe Leather 80ml Eau De Parfum Unisex Fragrance</t>
        </is>
      </c>
      <c r="C9528" t="inlineStr">
        <is>
          <t>Eau De Parfum</t>
        </is>
      </c>
      <c r="D9528" t="inlineStr">
        <is>
          <t>Maison Alhambra</t>
        </is>
      </c>
      <c r="E9528" t="n">
        <v>11.59</v>
      </c>
      <c r="F9528" t="n">
        <v>1</v>
      </c>
      <c r="G9528" t="n">
        <v>1263</v>
      </c>
      <c r="H9528" s="5">
        <f>HYPERLINK("https://api.qogita.com/variants/link/6291108736104/", "View Product")</f>
        <v/>
      </c>
    </row>
    <row r="9529">
      <c r="A9529" t="inlineStr">
        <is>
          <t>6291108736203</t>
        </is>
      </c>
      <c r="B9529" t="inlineStr">
        <is>
          <t>Ajwaa Concentrated by Nusuk Unisex Eau De Parfum Spray 3.4 oz</t>
        </is>
      </c>
      <c r="C9529" t="inlineStr">
        <is>
          <t>Eau De Parfum</t>
        </is>
      </c>
      <c r="D9529" t="inlineStr">
        <is>
          <t>Rituals</t>
        </is>
      </c>
      <c r="E9529" t="n">
        <v>11.39</v>
      </c>
      <c r="F9529" t="n">
        <v>1</v>
      </c>
      <c r="G9529" t="n">
        <v>59</v>
      </c>
      <c r="H9529" s="5">
        <f>HYPERLINK("https://api.qogita.com/variants/link/6291108736203/", "View Product")</f>
        <v/>
      </c>
    </row>
    <row r="9530">
      <c r="A9530" t="inlineStr">
        <is>
          <t>6291108736302</t>
        </is>
      </c>
      <c r="B9530" t="inlineStr">
        <is>
          <t>Maison Alhambra L'Oudh Eau De Parfum Spray 100ml</t>
        </is>
      </c>
      <c r="C9530" t="inlineStr">
        <is>
          <t>Eau De Parfum</t>
        </is>
      </c>
      <c r="D9530" t="inlineStr">
        <is>
          <t>Maison Alhambra</t>
        </is>
      </c>
      <c r="E9530" t="n">
        <v>18.22</v>
      </c>
      <c r="F9530" t="n">
        <v>1</v>
      </c>
      <c r="G9530" t="n">
        <v>54</v>
      </c>
      <c r="H9530" s="5">
        <f>HYPERLINK("https://api.qogita.com/variants/link/6291108736302/", "View Product")</f>
        <v/>
      </c>
    </row>
    <row r="9531">
      <c r="A9531" t="inlineStr">
        <is>
          <t>6291108736319</t>
        </is>
      </c>
      <c r="B9531" t="inlineStr">
        <is>
          <t>Tabac Eau De Parfum Spray 100ml By Tabac</t>
        </is>
      </c>
      <c r="C9531" t="inlineStr">
        <is>
          <t>Eau De Parfum</t>
        </is>
      </c>
      <c r="D9531" t="inlineStr">
        <is>
          <t>Tabac</t>
        </is>
      </c>
      <c r="E9531" t="n">
        <v>17.41</v>
      </c>
      <c r="F9531" t="n">
        <v>1</v>
      </c>
      <c r="G9531" t="n">
        <v>32</v>
      </c>
      <c r="H9531" s="5">
        <f>HYPERLINK("https://api.qogita.com/variants/link/6291108736319/", "View Product")</f>
        <v/>
      </c>
    </row>
    <row r="9532">
      <c r="A9532" t="inlineStr">
        <is>
          <t>6291108736593</t>
        </is>
      </c>
      <c r="B9532" t="inlineStr">
        <is>
          <t>Maison Alhambra Very Velvet Orchid 100ml Eau de Parfum for Men</t>
        </is>
      </c>
      <c r="C9532" t="inlineStr">
        <is>
          <t>Eau De Parfum</t>
        </is>
      </c>
      <c r="D9532" t="inlineStr">
        <is>
          <t>Maison Alhambra</t>
        </is>
      </c>
      <c r="E9532" t="n">
        <v>12.68</v>
      </c>
      <c r="F9532" t="n">
        <v>1</v>
      </c>
      <c r="G9532" t="n">
        <v>28</v>
      </c>
      <c r="H9532" s="5">
        <f>HYPERLINK("https://api.qogita.com/variants/link/6291108736593/", "View Product")</f>
        <v/>
      </c>
    </row>
    <row r="9533">
      <c r="A9533" t="inlineStr">
        <is>
          <t>6291108737002</t>
        </is>
      </c>
      <c r="B9533" t="inlineStr">
        <is>
          <t>Maison Alhambra Perseus Exclusif Eau De Parfum 100ml</t>
        </is>
      </c>
      <c r="C9533" t="inlineStr">
        <is>
          <t>Eau De Parfum</t>
        </is>
      </c>
      <c r="D9533" t="inlineStr">
        <is>
          <t>Maison Alhambra</t>
        </is>
      </c>
      <c r="E9533" t="n">
        <v>11.68</v>
      </c>
      <c r="F9533" t="n">
        <v>1</v>
      </c>
      <c r="G9533" t="n">
        <v>203</v>
      </c>
      <c r="H9533" s="5">
        <f>HYPERLINK("https://api.qogita.com/variants/link/6291108737002/", "View Product")</f>
        <v/>
      </c>
    </row>
    <row r="9534">
      <c r="A9534" t="inlineStr">
        <is>
          <t>6291108737033</t>
        </is>
      </c>
      <c r="B9534" t="inlineStr">
        <is>
          <t>Maison Alhambra La Rouge Baroque Eau De Parfum Spray 100ml</t>
        </is>
      </c>
      <c r="C9534" t="inlineStr">
        <is>
          <t>Eau De Parfum</t>
        </is>
      </c>
      <c r="D9534" t="inlineStr">
        <is>
          <t>Maison Alhambra</t>
        </is>
      </c>
      <c r="E9534" t="n">
        <v>9.06</v>
      </c>
      <c r="F9534" t="n">
        <v>1</v>
      </c>
      <c r="G9534" t="n">
        <v>459</v>
      </c>
      <c r="H9534" s="5">
        <f>HYPERLINK("https://api.qogita.com/variants/link/6291108737033/", "View Product")</f>
        <v/>
      </c>
    </row>
    <row r="9535">
      <c r="A9535" t="inlineStr">
        <is>
          <t>6291108737101</t>
        </is>
      </c>
      <c r="B9535" t="inlineStr">
        <is>
          <t>Lattafa Velvet Rose Eau De Parfum Spray 100ml</t>
        </is>
      </c>
      <c r="C9535" t="inlineStr">
        <is>
          <t>Eau De Parfum</t>
        </is>
      </c>
      <c r="D9535" t="inlineStr">
        <is>
          <t>Lattafa</t>
        </is>
      </c>
      <c r="E9535" t="n">
        <v>14.47</v>
      </c>
      <c r="F9535" t="n">
        <v>1</v>
      </c>
      <c r="G9535" t="n">
        <v>19</v>
      </c>
      <c r="H9535" s="5">
        <f>HYPERLINK("https://api.qogita.com/variants/link/6291108737101/", "View Product")</f>
        <v/>
      </c>
    </row>
    <row r="9536">
      <c r="A9536" t="inlineStr">
        <is>
          <t>6291108737194</t>
        </is>
      </c>
      <c r="B9536" t="inlineStr">
        <is>
          <t>Lattafa Khamrah Eau De Parfum 100 Ml Unisex Fragrance</t>
        </is>
      </c>
      <c r="C9536" t="inlineStr">
        <is>
          <t>Eau De Parfum</t>
        </is>
      </c>
      <c r="D9536" t="inlineStr">
        <is>
          <t>Lattafa</t>
        </is>
      </c>
      <c r="E9536" t="n">
        <v>22.32</v>
      </c>
      <c r="F9536" t="n">
        <v>1</v>
      </c>
      <c r="G9536" t="n">
        <v>118</v>
      </c>
      <c r="H9536" s="5">
        <f>HYPERLINK("https://api.qogita.com/variants/link/6291108737194/", "View Product")</f>
        <v/>
      </c>
    </row>
    <row r="9537">
      <c r="A9537" t="inlineStr">
        <is>
          <t>6291108737866</t>
        </is>
      </c>
      <c r="B9537" t="inlineStr">
        <is>
          <t>Lattafa Al Noble Wazeer Eau De Parfum Spray 100ml</t>
        </is>
      </c>
      <c r="C9537" t="inlineStr">
        <is>
          <t>Eau De Parfum</t>
        </is>
      </c>
      <c r="D9537" t="inlineStr">
        <is>
          <t>Lattafa</t>
        </is>
      </c>
      <c r="E9537" t="n">
        <v>20.46</v>
      </c>
      <c r="F9537" t="n">
        <v>1</v>
      </c>
      <c r="G9537" t="n">
        <v>2</v>
      </c>
      <c r="H9537" s="5">
        <f>HYPERLINK("https://api.qogita.com/variants/link/6291108737866/", "View Product")</f>
        <v/>
      </c>
    </row>
    <row r="9538">
      <c r="A9538" t="inlineStr">
        <is>
          <t>6291108738092</t>
        </is>
      </c>
      <c r="B9538" t="inlineStr">
        <is>
          <t>Lattafa Pride Hala Silver Eau De Parfum Spray 100ml</t>
        </is>
      </c>
      <c r="C9538" t="inlineStr">
        <is>
          <t>Eau De Parfum</t>
        </is>
      </c>
      <c r="D9538" t="inlineStr">
        <is>
          <t>Lattafa</t>
        </is>
      </c>
      <c r="E9538" t="n">
        <v>21.46</v>
      </c>
      <c r="F9538" t="n">
        <v>1</v>
      </c>
      <c r="G9538" t="n">
        <v>114</v>
      </c>
      <c r="H9538" s="5">
        <f>HYPERLINK("https://api.qogita.com/variants/link/6291108738092/", "View Product")</f>
        <v/>
      </c>
    </row>
    <row r="9539">
      <c r="A9539" t="inlineStr">
        <is>
          <t>6291108738108</t>
        </is>
      </c>
      <c r="B9539" t="inlineStr">
        <is>
          <t>Lattafa Pride Afaq Eau De Parfum Spray 100ml</t>
        </is>
      </c>
      <c r="C9539" t="inlineStr">
        <is>
          <t>Eau De Parfum</t>
        </is>
      </c>
      <c r="D9539" t="inlineStr">
        <is>
          <t>Lattafa</t>
        </is>
      </c>
      <c r="E9539" t="n">
        <v>21.46</v>
      </c>
      <c r="F9539" t="n">
        <v>1</v>
      </c>
      <c r="G9539" t="n">
        <v>352</v>
      </c>
      <c r="H9539" s="5">
        <f>HYPERLINK("https://api.qogita.com/variants/link/6291108738108/", "View Product")</f>
        <v/>
      </c>
    </row>
    <row r="9540">
      <c r="A9540" t="inlineStr">
        <is>
          <t>6291108738207</t>
        </is>
      </c>
      <c r="B9540" t="inlineStr">
        <is>
          <t>Lattafa Ansaam Silver Eau De Parfum Spray 100ml</t>
        </is>
      </c>
      <c r="C9540" t="inlineStr">
        <is>
          <t>Eau De Parfum</t>
        </is>
      </c>
      <c r="D9540" t="inlineStr">
        <is>
          <t>Lattafa</t>
        </is>
      </c>
      <c r="E9540" t="n">
        <v>19.79</v>
      </c>
      <c r="F9540" t="n">
        <v>1</v>
      </c>
      <c r="G9540" t="n">
        <v>154</v>
      </c>
      <c r="H9540" s="5">
        <f>HYPERLINK("https://api.qogita.com/variants/link/6291108738207/", "View Product")</f>
        <v/>
      </c>
    </row>
    <row r="9541">
      <c r="A9541" t="inlineStr">
        <is>
          <t>6291108738214</t>
        </is>
      </c>
      <c r="B9541" t="inlineStr">
        <is>
          <t>Lattafa Pride Al Qiam Gold Eau De Parfum Spray 100ml</t>
        </is>
      </c>
      <c r="C9541" t="inlineStr">
        <is>
          <t>Eau De Parfum</t>
        </is>
      </c>
      <c r="D9541" t="inlineStr">
        <is>
          <t>Lattafa</t>
        </is>
      </c>
      <c r="E9541" t="n">
        <v>19.91</v>
      </c>
      <c r="F9541" t="n">
        <v>1</v>
      </c>
      <c r="G9541" t="n">
        <v>250</v>
      </c>
      <c r="H9541" s="5">
        <f>HYPERLINK("https://api.qogita.com/variants/link/6291108738214/", "View Product")</f>
        <v/>
      </c>
    </row>
    <row r="9542">
      <c r="A9542" t="inlineStr">
        <is>
          <t>6291108738290</t>
        </is>
      </c>
      <c r="B9542" t="inlineStr">
        <is>
          <t>Lattafa Maharjan Gold Eau De Parfum Spray 100ml</t>
        </is>
      </c>
      <c r="C9542" t="inlineStr">
        <is>
          <t>Eau De Parfum</t>
        </is>
      </c>
      <c r="D9542" t="inlineStr">
        <is>
          <t>Lattafa</t>
        </is>
      </c>
      <c r="E9542" t="n">
        <v>19.5</v>
      </c>
      <c r="F9542" t="n">
        <v>1</v>
      </c>
      <c r="G9542" t="n">
        <v>53</v>
      </c>
      <c r="H9542" s="5">
        <f>HYPERLINK("https://api.qogita.com/variants/link/6291108738290/", "View Product")</f>
        <v/>
      </c>
    </row>
    <row r="9543">
      <c r="A9543" t="inlineStr">
        <is>
          <t>6291108738504</t>
        </is>
      </c>
      <c r="B9543" t="inlineStr">
        <is>
          <t>Lattafa Haya Eau De Parfum For Women 100 Ml</t>
        </is>
      </c>
      <c r="C9543" t="inlineStr">
        <is>
          <t>Eau De Parfum</t>
        </is>
      </c>
      <c r="D9543" t="inlineStr">
        <is>
          <t>Lattafa</t>
        </is>
      </c>
      <c r="E9543" t="n">
        <v>19.34</v>
      </c>
      <c r="F9543" t="n">
        <v>1</v>
      </c>
      <c r="G9543" t="n">
        <v>166</v>
      </c>
      <c r="H9543" s="5">
        <f>HYPERLINK("https://api.qogita.com/variants/link/6291108738504/", "View Product")</f>
        <v/>
      </c>
    </row>
    <row r="9544">
      <c r="A9544" t="inlineStr">
        <is>
          <t>6291419205559</t>
        </is>
      </c>
      <c r="B9544" t="inlineStr">
        <is>
          <t>Paris Corner Khair Eau De Parfum 100ml</t>
        </is>
      </c>
      <c r="C9544" t="inlineStr">
        <is>
          <t>Eau De Parfum</t>
        </is>
      </c>
      <c r="D9544" t="inlineStr">
        <is>
          <t>Paris Corner</t>
        </is>
      </c>
      <c r="E9544" t="n">
        <v>13.67</v>
      </c>
      <c r="F9544" t="n">
        <v>1</v>
      </c>
      <c r="G9544" t="n">
        <v>171</v>
      </c>
      <c r="H9544" s="5">
        <f>HYPERLINK("https://api.qogita.com/variants/link/6291419205559/", "View Product")</f>
        <v/>
      </c>
    </row>
    <row r="9545">
      <c r="A9545" t="inlineStr">
        <is>
          <t>6292021552260</t>
        </is>
      </c>
      <c r="B9545" t="inlineStr">
        <is>
          <t>Paris Corner Rua Radiant Roses Eau De Parfum 100ml</t>
        </is>
      </c>
      <c r="C9545" t="inlineStr">
        <is>
          <t>Eau De Parfum</t>
        </is>
      </c>
      <c r="D9545" t="inlineStr">
        <is>
          <t>Paris Corner</t>
        </is>
      </c>
      <c r="E9545" t="n">
        <v>17.88</v>
      </c>
      <c r="F9545" t="n">
        <v>1</v>
      </c>
      <c r="G9545" t="n">
        <v>65</v>
      </c>
      <c r="H9545" s="5">
        <f>HYPERLINK("https://api.qogita.com/variants/link/6292021552260/", "View Product")</f>
        <v/>
      </c>
    </row>
    <row r="9546">
      <c r="A9546" t="inlineStr">
        <is>
          <t>6292257582116</t>
        </is>
      </c>
      <c r="B9546" t="inlineStr">
        <is>
          <t>Al Fares Eau De Parfum 100ml Adyan Prestige Oriental Fragrance</t>
        </is>
      </c>
      <c r="C9546" t="inlineStr">
        <is>
          <t>Eau De Parfum</t>
        </is>
      </c>
      <c r="D9546" t="inlineStr">
        <is>
          <t>Ajmal</t>
        </is>
      </c>
      <c r="E9546" t="n">
        <v>14.7</v>
      </c>
      <c r="F9546" t="n">
        <v>1</v>
      </c>
      <c r="G9546" t="n">
        <v>16</v>
      </c>
      <c r="H9546" s="5">
        <f>HYPERLINK("https://api.qogita.com/variants/link/6292257582116/", "View Product")</f>
        <v/>
      </c>
    </row>
    <row r="9547">
      <c r="A9547" t="inlineStr">
        <is>
          <t>6292257586916</t>
        </is>
      </c>
      <c r="B9547" t="inlineStr">
        <is>
          <t>Secret Oud Private Edition Unisex Perfume 100ml EDP by Oudh Al Anfar</t>
        </is>
      </c>
      <c r="C9547" t="inlineStr">
        <is>
          <t>Eau De Parfum</t>
        </is>
      </c>
      <c r="D9547" t="inlineStr">
        <is>
          <t>Anfar</t>
        </is>
      </c>
      <c r="E9547" t="n">
        <v>19.7</v>
      </c>
      <c r="F9547" t="n">
        <v>1</v>
      </c>
      <c r="G9547" t="n">
        <v>19</v>
      </c>
      <c r="H9547" s="5">
        <f>HYPERLINK("https://api.qogita.com/variants/link/6292257586916/", "View Product")</f>
        <v/>
      </c>
    </row>
    <row r="9548">
      <c r="A9548" t="inlineStr">
        <is>
          <t>6292257586923</t>
        </is>
      </c>
      <c r="B9548" t="inlineStr">
        <is>
          <t>Ancient Oud Private Edition 100ml EDP Anfar Unisex Oriental Arabic Fragrance</t>
        </is>
      </c>
      <c r="C9548" t="inlineStr">
        <is>
          <t>Eau De Parfum</t>
        </is>
      </c>
      <c r="D9548" t="inlineStr">
        <is>
          <t>Anfar</t>
        </is>
      </c>
      <c r="E9548" t="n">
        <v>19.7</v>
      </c>
      <c r="F9548" t="n">
        <v>1</v>
      </c>
      <c r="G9548" t="n">
        <v>21</v>
      </c>
      <c r="H9548" s="5">
        <f>HYPERLINK("https://api.qogita.com/variants/link/6292257586923/", "View Product")</f>
        <v/>
      </c>
    </row>
    <row r="9549">
      <c r="A9549" t="inlineStr">
        <is>
          <t>6292257588415</t>
        </is>
      </c>
      <c r="B9549" t="inlineStr">
        <is>
          <t>Anfar London The Masterpiece Parfum Eau de Parfum 100ml</t>
        </is>
      </c>
      <c r="C9549" t="inlineStr">
        <is>
          <t>Eau De Parfum</t>
        </is>
      </c>
      <c r="D9549" t="inlineStr">
        <is>
          <t>Anfar</t>
        </is>
      </c>
      <c r="E9549" t="n">
        <v>25.41</v>
      </c>
      <c r="F9549" t="n">
        <v>1</v>
      </c>
      <c r="G9549" t="n">
        <v>18</v>
      </c>
      <c r="H9549" s="5">
        <f>HYPERLINK("https://api.qogita.com/variants/link/6292257588415/", "View Product")</f>
        <v/>
      </c>
    </row>
    <row r="9550">
      <c r="A9550" t="inlineStr">
        <is>
          <t>6292257588699</t>
        </is>
      </c>
      <c r="B9550" t="inlineStr">
        <is>
          <t>Anfar Platinum Shade Pour Homme Eau de Parfum 100ml</t>
        </is>
      </c>
      <c r="C9550" t="inlineStr">
        <is>
          <t>Eau De Parfum</t>
        </is>
      </c>
      <c r="D9550" t="inlineStr">
        <is>
          <t>Anfar</t>
        </is>
      </c>
      <c r="E9550" t="n">
        <v>21.12</v>
      </c>
      <c r="F9550" t="n">
        <v>1</v>
      </c>
      <c r="G9550" t="n">
        <v>18</v>
      </c>
      <c r="H9550" s="5">
        <f>HYPERLINK("https://api.qogita.com/variants/link/6292257588699/", "View Product")</f>
        <v/>
      </c>
    </row>
    <row r="9551">
      <c r="A9551" t="inlineStr">
        <is>
          <t>6292257588729</t>
        </is>
      </c>
      <c r="B9551" t="inlineStr">
        <is>
          <t>Blue Meridiar Private Editor Anfar London Eau De Parfum 100ml</t>
        </is>
      </c>
      <c r="C9551" t="inlineStr">
        <is>
          <t>Eau De Parfum</t>
        </is>
      </c>
      <c r="D9551" t="inlineStr">
        <is>
          <t>Anfar</t>
        </is>
      </c>
      <c r="E9551" t="n">
        <v>23.99</v>
      </c>
      <c r="F9551" t="n">
        <v>1</v>
      </c>
      <c r="G9551" t="n">
        <v>18</v>
      </c>
      <c r="H9551" s="5">
        <f>HYPERLINK("https://api.qogita.com/variants/link/6292257588729/", "View Product")</f>
        <v/>
      </c>
    </row>
    <row r="9552">
      <c r="A9552" t="inlineStr">
        <is>
          <t>6292257603255</t>
        </is>
      </c>
      <c r="B9552" t="inlineStr">
        <is>
          <t>Adyan Oud Saffron Unisex Perfume - Exquisite Blend of Saffron and Rose</t>
        </is>
      </c>
      <c r="C9552" t="inlineStr">
        <is>
          <t>Eau De Parfum</t>
        </is>
      </c>
      <c r="D9552" t="inlineStr">
        <is>
          <t>Ajmal</t>
        </is>
      </c>
      <c r="E9552" t="n">
        <v>14.7</v>
      </c>
      <c r="F9552" t="n">
        <v>1</v>
      </c>
      <c r="G9552" t="n">
        <v>18</v>
      </c>
      <c r="H9552" s="5">
        <f>HYPERLINK("https://api.qogita.com/variants/link/6292257603255/", "View Product")</f>
        <v/>
      </c>
    </row>
    <row r="9553">
      <c r="A9553" t="inlineStr">
        <is>
          <t>6292257640151</t>
        </is>
      </c>
      <c r="B9553" t="inlineStr">
        <is>
          <t>Rehla Eau De Parfum 100ml by Adyan Anfar</t>
        </is>
      </c>
      <c r="C9553" t="inlineStr">
        <is>
          <t>Eau De Parfum</t>
        </is>
      </c>
      <c r="D9553" t="inlineStr">
        <is>
          <t>Ajmal</t>
        </is>
      </c>
      <c r="E9553" t="n">
        <v>14.7</v>
      </c>
      <c r="F9553" t="n">
        <v>1</v>
      </c>
      <c r="G9553" t="n">
        <v>17</v>
      </c>
      <c r="H9553" s="5">
        <f>HYPERLINK("https://api.qogita.com/variants/link/6292257640151/", "View Product")</f>
        <v/>
      </c>
    </row>
    <row r="9554">
      <c r="A9554" t="inlineStr">
        <is>
          <t>6292257641332</t>
        </is>
      </c>
      <c r="B9554" t="inlineStr">
        <is>
          <t>Anfar London Rituals Of Anfar Divine for Women 2.7 Oz Extrait</t>
        </is>
      </c>
      <c r="C9554" t="inlineStr">
        <is>
          <t>Extrait De Parfum</t>
        </is>
      </c>
      <c r="D9554" t="inlineStr">
        <is>
          <t>Anfar</t>
        </is>
      </c>
      <c r="E9554" t="n">
        <v>28.98</v>
      </c>
      <c r="F9554" t="n">
        <v>1</v>
      </c>
      <c r="G9554" t="n">
        <v>19</v>
      </c>
      <c r="H9554" s="5">
        <f>HYPERLINK("https://api.qogita.com/variants/link/6292257641332/", "View Product")</f>
        <v/>
      </c>
    </row>
    <row r="9555">
      <c r="A9555" t="inlineStr">
        <is>
          <t>6292257641844</t>
        </is>
      </c>
      <c r="B9555" t="inlineStr">
        <is>
          <t>Ombre Bleu By Anfar For Men 1.7 Oz Extrait De Parfum Spray</t>
        </is>
      </c>
      <c r="C9555" t="inlineStr">
        <is>
          <t>Extrait De Parfum</t>
        </is>
      </c>
      <c r="D9555" t="inlineStr">
        <is>
          <t>Anfar</t>
        </is>
      </c>
      <c r="E9555" t="n">
        <v>28.28</v>
      </c>
      <c r="F9555" t="n">
        <v>1</v>
      </c>
      <c r="G9555" t="n">
        <v>19</v>
      </c>
      <c r="H9555" s="5">
        <f>HYPERLINK("https://api.qogita.com/variants/link/6292257641844/", "View Product")</f>
        <v/>
      </c>
    </row>
    <row r="9556">
      <c r="A9556" t="inlineStr">
        <is>
          <t>6292257641851</t>
        </is>
      </c>
      <c r="B9556" t="inlineStr">
        <is>
          <t>Magnifique Fleur by Anfar for Women 1.7 Oz Extrait De Parfum Spray</t>
        </is>
      </c>
      <c r="C9556" t="inlineStr">
        <is>
          <t>Extrait De Parfum</t>
        </is>
      </c>
      <c r="D9556" t="inlineStr">
        <is>
          <t>Anfar</t>
        </is>
      </c>
      <c r="E9556" t="n">
        <v>28.28</v>
      </c>
      <c r="F9556" t="n">
        <v>1</v>
      </c>
      <c r="G9556" t="n">
        <v>6</v>
      </c>
      <c r="H9556" s="5">
        <f>HYPERLINK("https://api.qogita.com/variants/link/6292257641851/", "View Product")</f>
        <v/>
      </c>
    </row>
    <row r="9557">
      <c r="A9557" t="inlineStr">
        <is>
          <t>6292257642780</t>
        </is>
      </c>
      <c r="B9557" t="inlineStr">
        <is>
          <t>Oud Ombre Arabian Perfume for Men</t>
        </is>
      </c>
      <c r="C9557" t="inlineStr">
        <is>
          <t>Eau De Parfum</t>
        </is>
      </c>
      <c r="D9557" t="inlineStr">
        <is>
          <t>Ajmal</t>
        </is>
      </c>
      <c r="E9557" t="n">
        <v>26.85</v>
      </c>
      <c r="F9557" t="n">
        <v>1</v>
      </c>
      <c r="G9557" t="n">
        <v>5</v>
      </c>
      <c r="H9557" s="5">
        <f>HYPERLINK("https://api.qogita.com/variants/link/6292257642780/", "View Product")</f>
        <v/>
      </c>
    </row>
    <row r="9558">
      <c r="A9558" t="inlineStr">
        <is>
          <t>6292257642797</t>
        </is>
      </c>
      <c r="B9558" t="inlineStr">
        <is>
          <t>Poudre Accord EDP 100ml - A Symphony of Neroli, Pink Pepper, and Litchi with a Heart of Orange Blossom and Jasmine - Luxury Arab Fragrance for Women</t>
        </is>
      </c>
      <c r="C9558" t="inlineStr">
        <is>
          <t>Eau De Parfum</t>
        </is>
      </c>
      <c r="D9558" t="inlineStr">
        <is>
          <t>Ajmal</t>
        </is>
      </c>
      <c r="E9558" t="n">
        <v>26.85</v>
      </c>
      <c r="F9558" t="n">
        <v>1</v>
      </c>
      <c r="G9558" t="n">
        <v>6</v>
      </c>
      <c r="H9558" s="5">
        <f>HYPERLINK("https://api.qogita.com/variants/link/6292257642797/", "View Product")</f>
        <v/>
      </c>
    </row>
    <row r="9559">
      <c r="A9559" t="inlineStr">
        <is>
          <t>6292257642803</t>
        </is>
      </c>
      <c r="B9559" t="inlineStr">
        <is>
          <t>AMBER EXTREME 3.4 Fl Oz</t>
        </is>
      </c>
      <c r="C9559" t="inlineStr">
        <is>
          <t>Eau De Parfum</t>
        </is>
      </c>
      <c r="D9559" t="inlineStr">
        <is>
          <t>Ajmal</t>
        </is>
      </c>
      <c r="E9559" t="n">
        <v>26.85</v>
      </c>
      <c r="F9559" t="n">
        <v>1</v>
      </c>
      <c r="G9559" t="n">
        <v>11</v>
      </c>
      <c r="H9559" s="5">
        <f>HYPERLINK("https://api.qogita.com/variants/link/6292257642803/", "View Product")</f>
        <v/>
      </c>
    </row>
    <row r="9560">
      <c r="A9560" t="inlineStr">
        <is>
          <t>6292257643510</t>
        </is>
      </c>
      <c r="B9560" t="inlineStr">
        <is>
          <t>London Azure Spirit For Men 3.4 Oz Extrait De Parfum Spray</t>
        </is>
      </c>
      <c r="C9560" t="inlineStr">
        <is>
          <t>Extrait De Parfum</t>
        </is>
      </c>
      <c r="D9560" t="inlineStr">
        <is>
          <t>Anfar</t>
        </is>
      </c>
      <c r="E9560" t="n">
        <v>31.85</v>
      </c>
      <c r="F9560" t="n">
        <v>1</v>
      </c>
      <c r="G9560" t="n">
        <v>8</v>
      </c>
      <c r="H9560" s="5">
        <f>HYPERLINK("https://api.qogita.com/variants/link/6292257643510/", "View Product")</f>
        <v/>
      </c>
    </row>
    <row r="9561">
      <c r="A9561" t="inlineStr">
        <is>
          <t>6292257644098</t>
        </is>
      </c>
      <c r="B9561" t="inlineStr">
        <is>
          <t>Edition Odyssee IV by Anfar for Women 3.4 oz Extrait de Parfum Spray</t>
        </is>
      </c>
      <c r="C9561" t="inlineStr">
        <is>
          <t>Extrait De Parfum</t>
        </is>
      </c>
      <c r="D9561" t="inlineStr">
        <is>
          <t>Anfar</t>
        </is>
      </c>
      <c r="E9561" t="n">
        <v>29.71</v>
      </c>
      <c r="F9561" t="n">
        <v>1</v>
      </c>
      <c r="G9561" t="n">
        <v>20</v>
      </c>
      <c r="H9561" s="5">
        <f>HYPERLINK("https://api.qogita.com/variants/link/6292257644098/", "View Product")</f>
        <v/>
      </c>
    </row>
    <row r="9562">
      <c r="A9562" t="inlineStr">
        <is>
          <t>6292257645231</t>
        </is>
      </c>
      <c r="B9562" t="inlineStr">
        <is>
          <t>Anfar Adyan Timeless Perfume Extract, Unisex, 100 Ml</t>
        </is>
      </c>
      <c r="C9562" t="inlineStr">
        <is>
          <t>Extrait De Parfum</t>
        </is>
      </c>
      <c r="D9562" t="inlineStr">
        <is>
          <t>Anfar</t>
        </is>
      </c>
      <c r="E9562" t="n">
        <v>16.82</v>
      </c>
      <c r="F9562" t="n">
        <v>1</v>
      </c>
      <c r="G9562" t="n">
        <v>15</v>
      </c>
      <c r="H9562" s="5">
        <f>HYPERLINK("https://api.qogita.com/variants/link/6292257645231/", "View Product")</f>
        <v/>
      </c>
    </row>
    <row r="9563">
      <c r="A9563" t="inlineStr">
        <is>
          <t>6292257645255</t>
        </is>
      </c>
      <c r="B9563" t="inlineStr">
        <is>
          <t>Adyan Riviera Pastels Of Arabia Extrait De Parfum 100ml 3.4oz</t>
        </is>
      </c>
      <c r="C9563" t="inlineStr">
        <is>
          <t>Extrait De Parfum</t>
        </is>
      </c>
      <c r="D9563" t="inlineStr">
        <is>
          <t>Ajmal</t>
        </is>
      </c>
      <c r="E9563" t="n">
        <v>16.82</v>
      </c>
      <c r="F9563" t="n">
        <v>1</v>
      </c>
      <c r="G9563" t="n">
        <v>18</v>
      </c>
      <c r="H9563" s="5">
        <f>HYPERLINK("https://api.qogita.com/variants/link/6292257645255/", "View Product")</f>
        <v/>
      </c>
    </row>
    <row r="9564">
      <c r="A9564" t="inlineStr">
        <is>
          <t>6292257646818</t>
        </is>
      </c>
      <c r="B9564" t="inlineStr">
        <is>
          <t>Adyan Norah Lychee Eau De Parfum for Women 100ml 3.4oz</t>
        </is>
      </c>
      <c r="C9564" t="inlineStr">
        <is>
          <t>Eau De Parfum</t>
        </is>
      </c>
      <c r="D9564" t="inlineStr">
        <is>
          <t>Ajmal</t>
        </is>
      </c>
      <c r="E9564" t="n">
        <v>16.12</v>
      </c>
      <c r="F9564" t="n">
        <v>1</v>
      </c>
      <c r="G9564" t="n">
        <v>5</v>
      </c>
      <c r="H9564" s="5">
        <f>HYPERLINK("https://api.qogita.com/variants/link/6292257646818/", "View Product")</f>
        <v/>
      </c>
    </row>
    <row r="9565">
      <c r="A9565" t="inlineStr">
        <is>
          <t>6292356122367</t>
        </is>
      </c>
      <c r="B9565" t="inlineStr">
        <is>
          <t>Paris Corner Prodigy Noir Eau De Parfum 100ml</t>
        </is>
      </c>
      <c r="C9565" t="inlineStr">
        <is>
          <t>Eau De Parfum</t>
        </is>
      </c>
      <c r="D9565" t="inlineStr">
        <is>
          <t>Paris Corner</t>
        </is>
      </c>
      <c r="E9565" t="n">
        <v>26.85</v>
      </c>
      <c r="F9565" t="n">
        <v>1</v>
      </c>
      <c r="G9565" t="n">
        <v>16</v>
      </c>
      <c r="H9565" s="5">
        <f>HYPERLINK("https://api.qogita.com/variants/link/6292356122367/", "View Product")</f>
        <v/>
      </c>
    </row>
    <row r="9566">
      <c r="A9566" t="inlineStr">
        <is>
          <t>6292864825484</t>
        </is>
      </c>
      <c r="B9566" t="inlineStr">
        <is>
          <t>Paris Corner Emir Celestial Series Celestial EDP 100ml 3.4oz</t>
        </is>
      </c>
      <c r="C9566" t="inlineStr">
        <is>
          <t>Eau De Parfum</t>
        </is>
      </c>
      <c r="D9566" t="inlineStr">
        <is>
          <t>Paris Corner</t>
        </is>
      </c>
      <c r="E9566" t="n">
        <v>20.29</v>
      </c>
      <c r="F9566" t="n">
        <v>1</v>
      </c>
      <c r="G9566" t="n">
        <v>396</v>
      </c>
      <c r="H9566" s="5">
        <f>HYPERLINK("https://api.qogita.com/variants/link/6292864825484/", "View Product")</f>
        <v/>
      </c>
    </row>
    <row r="9567">
      <c r="A9567" t="inlineStr">
        <is>
          <t>6292864825491</t>
        </is>
      </c>
      <c r="B9567" t="inlineStr">
        <is>
          <t>Emir Fascination Extrait De Parfum Spray 100ml</t>
        </is>
      </c>
      <c r="C9567" t="inlineStr">
        <is>
          <t>Extrait De Parfum</t>
        </is>
      </c>
      <c r="D9567" t="inlineStr">
        <is>
          <t>Emir</t>
        </is>
      </c>
      <c r="E9567" t="n">
        <v>17.43</v>
      </c>
      <c r="F9567" t="n">
        <v>1</v>
      </c>
      <c r="G9567" t="n">
        <v>26</v>
      </c>
      <c r="H9567" s="5">
        <f>HYPERLINK("https://api.qogita.com/variants/link/6292864825491/", "View Product")</f>
        <v/>
      </c>
    </row>
    <row r="9568">
      <c r="A9568" t="inlineStr">
        <is>
          <t>6293708007462</t>
        </is>
      </c>
      <c r="B9568" t="inlineStr">
        <is>
          <t>Ajmal Violet Musc Unisex 3.4 Oz EDP Spray</t>
        </is>
      </c>
      <c r="C9568" t="inlineStr">
        <is>
          <t>Eau De Parfum</t>
        </is>
      </c>
      <c r="D9568" t="inlineStr">
        <is>
          <t>Ajmal</t>
        </is>
      </c>
      <c r="E9568" t="n">
        <v>51.59</v>
      </c>
      <c r="F9568" t="n">
        <v>1</v>
      </c>
      <c r="G9568" t="n">
        <v>4</v>
      </c>
      <c r="H9568" s="5">
        <f>HYPERLINK("https://api.qogita.com/variants/link/6293708007462/", "View Product")</f>
        <v/>
      </c>
    </row>
    <row r="9569">
      <c r="A9569" t="inlineStr">
        <is>
          <t>6293708008612</t>
        </is>
      </c>
      <c r="B9569" t="inlineStr">
        <is>
          <t>Ajmal Patchouli Wood Eau de Parfum Spray 100ml Unisex</t>
        </is>
      </c>
      <c r="C9569" t="inlineStr">
        <is>
          <t>Eau De Parfum</t>
        </is>
      </c>
      <c r="D9569" t="inlineStr">
        <is>
          <t>Ajmal</t>
        </is>
      </c>
      <c r="E9569" t="n">
        <v>68.91</v>
      </c>
      <c r="F9569" t="n">
        <v>1</v>
      </c>
      <c r="G9569" t="n">
        <v>9</v>
      </c>
      <c r="H9569" s="5">
        <f>HYPERLINK("https://api.qogita.com/variants/link/6293708008612/", "View Product")</f>
        <v/>
      </c>
    </row>
    <row r="9570">
      <c r="A9570" t="inlineStr">
        <is>
          <t>6293708009145</t>
        </is>
      </c>
      <c r="B9570" t="inlineStr">
        <is>
          <t>Ajmal Evoke Her Silver Edition Eau De Parfum Spray 75ml</t>
        </is>
      </c>
      <c r="C9570" t="inlineStr">
        <is>
          <t>Eau De Parfum</t>
        </is>
      </c>
      <c r="D9570" t="inlineStr">
        <is>
          <t>Ajmal</t>
        </is>
      </c>
      <c r="E9570" t="n">
        <v>18.76</v>
      </c>
      <c r="F9570" t="n">
        <v>1</v>
      </c>
      <c r="G9570" t="n">
        <v>16</v>
      </c>
      <c r="H9570" s="5">
        <f>HYPERLINK("https://api.qogita.com/variants/link/6293708009145/", "View Product")</f>
        <v/>
      </c>
    </row>
    <row r="9571">
      <c r="A9571" t="inlineStr">
        <is>
          <t>6293708012213</t>
        </is>
      </c>
      <c r="B9571" t="inlineStr">
        <is>
          <t>Ajmal Cashmere Musc Eau De Parfum</t>
        </is>
      </c>
      <c r="C9571" t="inlineStr">
        <is>
          <t>Eau De Parfum</t>
        </is>
      </c>
      <c r="D9571" t="inlineStr">
        <is>
          <t>Ajmal</t>
        </is>
      </c>
      <c r="E9571" t="n">
        <v>49.28</v>
      </c>
      <c r="F9571" t="n">
        <v>1</v>
      </c>
      <c r="G9571" t="n">
        <v>14</v>
      </c>
      <c r="H9571" s="5">
        <f>HYPERLINK("https://api.qogita.com/variants/link/6293708012213/", "View Product")</f>
        <v/>
      </c>
    </row>
    <row r="9572">
      <c r="A9572" t="inlineStr">
        <is>
          <t>6293708012664</t>
        </is>
      </c>
      <c r="B9572" t="inlineStr">
        <is>
          <t>Ajmal Shadow Noir Eau De Parfum Spray 2.5oz 75ml for Women</t>
        </is>
      </c>
      <c r="C9572" t="inlineStr">
        <is>
          <t>Eau De Parfum</t>
        </is>
      </c>
      <c r="D9572" t="inlineStr">
        <is>
          <t>Ajmal</t>
        </is>
      </c>
      <c r="E9572" t="n">
        <v>21.74</v>
      </c>
      <c r="F9572" t="n">
        <v>1</v>
      </c>
      <c r="G9572" t="n">
        <v>78</v>
      </c>
      <c r="H9572" s="5">
        <f>HYPERLINK("https://api.qogita.com/variants/link/6293708012664/", "View Product")</f>
        <v/>
      </c>
    </row>
    <row r="9573">
      <c r="A9573" t="inlineStr">
        <is>
          <t>6293708013968</t>
        </is>
      </c>
      <c r="B9573" t="inlineStr">
        <is>
          <t>Ajmal Amber Wood Noir EDP 3.4 Oz for Men &amp; Women</t>
        </is>
      </c>
      <c r="C9573" t="inlineStr">
        <is>
          <t>Eau De Parfum</t>
        </is>
      </c>
      <c r="D9573" t="inlineStr">
        <is>
          <t>Ajmal</t>
        </is>
      </c>
      <c r="E9573" t="n">
        <v>67.26000000000001</v>
      </c>
      <c r="F9573" t="n">
        <v>1</v>
      </c>
      <c r="G9573" t="n">
        <v>27</v>
      </c>
      <c r="H9573" s="5">
        <f>HYPERLINK("https://api.qogita.com/variants/link/6293708013968/", "View Product")</f>
        <v/>
      </c>
    </row>
    <row r="9574">
      <c r="A9574" t="inlineStr">
        <is>
          <t>6293708015634</t>
        </is>
      </c>
      <c r="B9574" t="inlineStr">
        <is>
          <t>Ajmal Amaze by Ajmal Eau de Parfum Spray 2.5 oz</t>
        </is>
      </c>
      <c r="C9574" t="inlineStr">
        <is>
          <t>Eau De Parfum</t>
        </is>
      </c>
      <c r="D9574" t="inlineStr">
        <is>
          <t>Ajmal</t>
        </is>
      </c>
      <c r="E9574" t="n">
        <v>18.65</v>
      </c>
      <c r="F9574" t="n">
        <v>1</v>
      </c>
      <c r="G9574" t="n">
        <v>76</v>
      </c>
      <c r="H9574" s="5">
        <f>HYPERLINK("https://api.qogita.com/variants/link/6293708015634/", "View Product")</f>
        <v/>
      </c>
    </row>
    <row r="9575">
      <c r="A9575" t="inlineStr">
        <is>
          <t>6293708016495</t>
        </is>
      </c>
      <c r="B9575" t="inlineStr">
        <is>
          <t>AMIR ONE by Ajmal Perfumes Unisex Eau De Parfum Spray 50ml 1.7 fl.oz</t>
        </is>
      </c>
      <c r="C9575" t="inlineStr">
        <is>
          <t>Eau De Parfum</t>
        </is>
      </c>
      <c r="D9575" t="inlineStr">
        <is>
          <t>Ajmal</t>
        </is>
      </c>
      <c r="E9575" t="n">
        <v>84.02</v>
      </c>
      <c r="F9575" t="n">
        <v>1</v>
      </c>
      <c r="G9575" t="n">
        <v>7</v>
      </c>
      <c r="H9575" s="5">
        <f>HYPERLINK("https://api.qogita.com/variants/link/6293708016495/", "View Product")</f>
        <v/>
      </c>
    </row>
    <row r="9576">
      <c r="A9576" t="inlineStr">
        <is>
          <t>6293708018000</t>
        </is>
      </c>
      <c r="B9576" t="inlineStr">
        <is>
          <t>Rhythm of Oudh Eau de Parfum 75ml for Men and Women</t>
        </is>
      </c>
      <c r="C9576" t="inlineStr">
        <is>
          <t>Eau De Parfum</t>
        </is>
      </c>
      <c r="D9576" t="inlineStr">
        <is>
          <t>Ajmal</t>
        </is>
      </c>
      <c r="E9576" t="n">
        <v>38.52</v>
      </c>
      <c r="F9576" t="n">
        <v>1</v>
      </c>
      <c r="G9576" t="n">
        <v>30</v>
      </c>
      <c r="H9576" s="5">
        <f>HYPERLINK("https://api.qogita.com/variants/link/6293708018000/", "View Product")</f>
        <v/>
      </c>
    </row>
    <row r="9577">
      <c r="A9577" t="inlineStr">
        <is>
          <t>6293708018697</t>
        </is>
      </c>
      <c r="B9577" t="inlineStr">
        <is>
          <t>Ajmal Enya Eau De Parfum Spray 100ml</t>
        </is>
      </c>
      <c r="C9577" t="inlineStr">
        <is>
          <t>Eau De Parfum</t>
        </is>
      </c>
      <c r="D9577" t="inlineStr">
        <is>
          <t>Ajmal</t>
        </is>
      </c>
      <c r="E9577" t="n">
        <v>9.630000000000001</v>
      </c>
      <c r="F9577" t="n">
        <v>1</v>
      </c>
      <c r="G9577" t="n">
        <v>25</v>
      </c>
      <c r="H9577" s="5">
        <f>HYPERLINK("https://api.qogita.com/variants/link/6293708018697/", "View Product")</f>
        <v/>
      </c>
    </row>
    <row r="9578">
      <c r="A9578" t="inlineStr">
        <is>
          <t>6293708018765</t>
        </is>
      </c>
      <c r="B9578" t="inlineStr">
        <is>
          <t>Ajmal Shadow Ice Eau De Parfum Spray 75ml</t>
        </is>
      </c>
      <c r="C9578" t="inlineStr">
        <is>
          <t>Eau De Parfum</t>
        </is>
      </c>
      <c r="D9578" t="inlineStr">
        <is>
          <t>Ajmal</t>
        </is>
      </c>
      <c r="E9578" t="n">
        <v>21.89</v>
      </c>
      <c r="F9578" t="n">
        <v>1</v>
      </c>
      <c r="G9578" t="n">
        <v>85</v>
      </c>
      <c r="H9578" s="5">
        <f>HYPERLINK("https://api.qogita.com/variants/link/6293708018765/", "View Product")</f>
        <v/>
      </c>
    </row>
    <row r="9579">
      <c r="A9579" t="inlineStr">
        <is>
          <t>6293708019083</t>
        </is>
      </c>
      <c r="B9579" t="inlineStr">
        <is>
          <t>Ajmal Aristocrat Rose Eau De Parfum 75ml By Ajmal</t>
        </is>
      </c>
      <c r="C9579" t="inlineStr">
        <is>
          <t>Eau De Parfum</t>
        </is>
      </c>
      <c r="D9579" t="inlineStr">
        <is>
          <t>Ajmal</t>
        </is>
      </c>
      <c r="E9579" t="n">
        <v>35.6</v>
      </c>
      <c r="F9579" t="n">
        <v>1</v>
      </c>
      <c r="G9579" t="n">
        <v>42</v>
      </c>
      <c r="H9579" s="5">
        <f>HYPERLINK("https://api.qogita.com/variants/link/6293708019083/", "View Product")</f>
        <v/>
      </c>
    </row>
    <row r="9580">
      <c r="A9580" t="inlineStr">
        <is>
          <t>6293708019441</t>
        </is>
      </c>
      <c r="B9580" t="inlineStr">
        <is>
          <t>Ajmal Amber Zest Eau De Parfum Spray 100ml</t>
        </is>
      </c>
      <c r="C9580" t="inlineStr">
        <is>
          <t>Eau De Parfum</t>
        </is>
      </c>
      <c r="D9580" t="inlineStr">
        <is>
          <t>Ajmal</t>
        </is>
      </c>
      <c r="E9580" t="n">
        <v>16.48</v>
      </c>
      <c r="F9580" t="n">
        <v>1</v>
      </c>
      <c r="G9580" t="n">
        <v>63</v>
      </c>
      <c r="H9580" s="5">
        <f>HYPERLINK("https://api.qogita.com/variants/link/6293708019441/", "View Product")</f>
        <v/>
      </c>
    </row>
    <row r="9581">
      <c r="A9581" t="inlineStr">
        <is>
          <t>6293708019458</t>
        </is>
      </c>
      <c r="B9581" t="inlineStr">
        <is>
          <t>Patchouli Wood Eau de Parfum Volume 50 ml</t>
        </is>
      </c>
      <c r="C9581" t="inlineStr">
        <is>
          <t>Eau De Parfum</t>
        </is>
      </c>
      <c r="D9581" t="inlineStr">
        <is>
          <t>Ajmal</t>
        </is>
      </c>
      <c r="E9581" t="n">
        <v>46.89</v>
      </c>
      <c r="F9581" t="n">
        <v>1</v>
      </c>
      <c r="G9581" t="n">
        <v>41</v>
      </c>
      <c r="H9581" s="5">
        <f>HYPERLINK("https://api.qogita.com/variants/link/6293708019458/", "View Product")</f>
        <v/>
      </c>
    </row>
    <row r="9582">
      <c r="A9582" t="inlineStr">
        <is>
          <t>6293708019595</t>
        </is>
      </c>
      <c r="B9582" t="inlineStr">
        <is>
          <t>Aristocrat Coral Eau de Parfum Volume 75 ml</t>
        </is>
      </c>
      <c r="C9582" t="inlineStr">
        <is>
          <t>Eau De Parfum</t>
        </is>
      </c>
      <c r="D9582" t="inlineStr">
        <is>
          <t>Ajmal</t>
        </is>
      </c>
      <c r="E9582" t="n">
        <v>38.49</v>
      </c>
      <c r="F9582" t="n">
        <v>1</v>
      </c>
      <c r="G9582" t="n">
        <v>33</v>
      </c>
      <c r="H9582" s="5">
        <f>HYPERLINK("https://api.qogita.com/variants/link/6293708019595/", "View Product")</f>
        <v/>
      </c>
    </row>
    <row r="9583">
      <c r="A9583" t="inlineStr">
        <is>
          <t>6293708019779</t>
        </is>
      </c>
      <c r="B9583" t="inlineStr">
        <is>
          <t>Ajmal Electron Eau De Parfum</t>
        </is>
      </c>
      <c r="C9583" t="inlineStr">
        <is>
          <t>Eau De Parfum</t>
        </is>
      </c>
      <c r="D9583" t="inlineStr">
        <is>
          <t>Ajmal</t>
        </is>
      </c>
      <c r="E9583" t="n">
        <v>8.380000000000001</v>
      </c>
      <c r="F9583" t="n">
        <v>1</v>
      </c>
      <c r="G9583" t="n">
        <v>29</v>
      </c>
      <c r="H9583" s="5">
        <f>HYPERLINK("https://api.qogita.com/variants/link/6293708019779/", "View Product")</f>
        <v/>
      </c>
    </row>
    <row r="9584">
      <c r="A9584" t="inlineStr">
        <is>
          <t>6293708020232</t>
        </is>
      </c>
      <c r="B9584" t="inlineStr">
        <is>
          <t>Ajmal Titan Aura - Eau De Parfum</t>
        </is>
      </c>
      <c r="C9584" t="inlineStr">
        <is>
          <t>Eau De Parfum</t>
        </is>
      </c>
      <c r="D9584" t="inlineStr">
        <is>
          <t>Ajmal</t>
        </is>
      </c>
      <c r="E9584" t="n">
        <v>10.08</v>
      </c>
      <c r="F9584" t="n">
        <v>1</v>
      </c>
      <c r="G9584" t="n">
        <v>95</v>
      </c>
      <c r="H9584" s="5">
        <f>HYPERLINK("https://api.qogita.com/variants/link/6293708020232/", "View Product")</f>
        <v/>
      </c>
    </row>
    <row r="9585">
      <c r="A9585" t="inlineStr">
        <is>
          <t>6294012371850</t>
        </is>
      </c>
      <c r="B9585" t="inlineStr">
        <is>
          <t>Paris Corner Affogato Al Caffe Eau De Parfum 100ml</t>
        </is>
      </c>
      <c r="C9585" t="inlineStr">
        <is>
          <t>Eau De Parfum</t>
        </is>
      </c>
      <c r="D9585" t="inlineStr">
        <is>
          <t>Paris Corner</t>
        </is>
      </c>
      <c r="E9585" t="n">
        <v>18.25</v>
      </c>
      <c r="F9585" t="n">
        <v>1</v>
      </c>
      <c r="G9585" t="n">
        <v>142</v>
      </c>
      <c r="H9585" s="5">
        <f>HYPERLINK("https://api.qogita.com/variants/link/6294012371850/", "View Product")</f>
        <v/>
      </c>
    </row>
    <row r="9586">
      <c r="A9586" t="inlineStr">
        <is>
          <t>6294015101331</t>
        </is>
      </c>
      <c r="B9586" t="inlineStr">
        <is>
          <t>ARMAF Aura Men EDP Spray 3.4oz</t>
        </is>
      </c>
      <c r="C9586" t="inlineStr">
        <is>
          <t>Eau De Parfum</t>
        </is>
      </c>
      <c r="D9586" t="inlineStr">
        <is>
          <t>Armaf</t>
        </is>
      </c>
      <c r="E9586" t="n">
        <v>14.82</v>
      </c>
      <c r="F9586" t="n">
        <v>1</v>
      </c>
      <c r="G9586" t="n">
        <v>45</v>
      </c>
      <c r="H9586" s="5">
        <f>HYPERLINK("https://api.qogita.com/variants/link/6294015101331/", "View Product")</f>
        <v/>
      </c>
    </row>
    <row r="9587">
      <c r="A9587" t="inlineStr">
        <is>
          <t>6294015101379</t>
        </is>
      </c>
      <c r="B9587" t="inlineStr">
        <is>
          <t>Armaf Signature True Eau De Parfum 100ml</t>
        </is>
      </c>
      <c r="C9587" t="inlineStr">
        <is>
          <t>Eau De Parfum</t>
        </is>
      </c>
      <c r="D9587" t="inlineStr">
        <is>
          <t>Armaf</t>
        </is>
      </c>
      <c r="E9587" t="n">
        <v>14.28</v>
      </c>
      <c r="F9587" t="n">
        <v>1</v>
      </c>
      <c r="G9587" t="n">
        <v>11</v>
      </c>
      <c r="H9587" s="5">
        <f>HYPERLINK("https://api.qogita.com/variants/link/6294015101379/", "View Product")</f>
        <v/>
      </c>
    </row>
    <row r="9588">
      <c r="A9588" t="inlineStr">
        <is>
          <t>6294015102529</t>
        </is>
      </c>
      <c r="B9588" t="inlineStr">
        <is>
          <t>Armaf El Cielo Pour Homme Eau De Parfum 100ml</t>
        </is>
      </c>
      <c r="C9588" t="inlineStr">
        <is>
          <t>Eau De Parfum</t>
        </is>
      </c>
      <c r="D9588" t="inlineStr">
        <is>
          <t>Armaf</t>
        </is>
      </c>
      <c r="E9588" t="n">
        <v>11.94</v>
      </c>
      <c r="F9588" t="n">
        <v>1</v>
      </c>
      <c r="G9588" t="n">
        <v>377</v>
      </c>
      <c r="H9588" s="5">
        <f>HYPERLINK("https://api.qogita.com/variants/link/6294015102529/", "View Product")</f>
        <v/>
      </c>
    </row>
    <row r="9589">
      <c r="A9589" t="inlineStr">
        <is>
          <t>6294015114164</t>
        </is>
      </c>
      <c r="B9589" t="inlineStr">
        <is>
          <t>Armaf Venetian Ambre Edition For Men Eau De Parfum 100 Ml</t>
        </is>
      </c>
      <c r="C9589" t="inlineStr">
        <is>
          <t>Eau De Parfum</t>
        </is>
      </c>
      <c r="D9589" t="inlineStr">
        <is>
          <t>Armaf</t>
        </is>
      </c>
      <c r="E9589" t="n">
        <v>15.09</v>
      </c>
      <c r="F9589" t="n">
        <v>1</v>
      </c>
      <c r="G9589" t="n">
        <v>5</v>
      </c>
      <c r="H9589" s="5">
        <f>HYPERLINK("https://api.qogita.com/variants/link/6294015114164/", "View Product")</f>
        <v/>
      </c>
    </row>
    <row r="9590">
      <c r="A9590" t="inlineStr">
        <is>
          <t>6294015118841</t>
        </is>
      </c>
      <c r="B9590" t="inlineStr">
        <is>
          <t>Armaf Niche Bucephalus IX Eau de Parfum 100ml Spray</t>
        </is>
      </c>
      <c r="C9590" t="inlineStr">
        <is>
          <t>Eau De Parfum</t>
        </is>
      </c>
      <c r="D9590" t="inlineStr">
        <is>
          <t>Armaf</t>
        </is>
      </c>
      <c r="E9590" t="n">
        <v>26.02</v>
      </c>
      <c r="F9590" t="n">
        <v>1</v>
      </c>
      <c r="G9590" t="n">
        <v>4</v>
      </c>
      <c r="H9590" s="5">
        <f>HYPERLINK("https://api.qogita.com/variants/link/6294015118841/", "View Product")</f>
        <v/>
      </c>
    </row>
    <row r="9591">
      <c r="A9591" t="inlineStr">
        <is>
          <t>6294015132120</t>
        </is>
      </c>
      <c r="B9591" t="inlineStr">
        <is>
          <t>Armaf Club De Nuit Milestone Eau De Parfum Spray 105ml</t>
        </is>
      </c>
      <c r="C9591" t="inlineStr">
        <is>
          <t>Eau De Parfum</t>
        </is>
      </c>
      <c r="D9591" t="inlineStr">
        <is>
          <t>Armaf</t>
        </is>
      </c>
      <c r="E9591" t="n">
        <v>24.53</v>
      </c>
      <c r="F9591" t="n">
        <v>1</v>
      </c>
      <c r="G9591" t="n">
        <v>254</v>
      </c>
      <c r="H9591" s="5">
        <f>HYPERLINK("https://api.qogita.com/variants/link/6294015132120/", "View Product")</f>
        <v/>
      </c>
    </row>
    <row r="9592">
      <c r="A9592" t="inlineStr">
        <is>
          <t>6294015132922</t>
        </is>
      </c>
      <c r="B9592" t="inlineStr">
        <is>
          <t>Armaf Club De Nuit Women Deodorant Stick 75g</t>
        </is>
      </c>
      <c r="C9592" t="inlineStr">
        <is>
          <t>Deodorant &amp; Anti-Perspirant</t>
        </is>
      </c>
      <c r="D9592" t="inlineStr">
        <is>
          <t>Armaf</t>
        </is>
      </c>
      <c r="E9592" t="n">
        <v>9.460000000000001</v>
      </c>
      <c r="F9592" t="n">
        <v>1</v>
      </c>
      <c r="G9592" t="n">
        <v>34</v>
      </c>
      <c r="H9592" s="5">
        <f>HYPERLINK("https://api.qogita.com/variants/link/6294015132922/", "View Product")</f>
        <v/>
      </c>
    </row>
    <row r="9593">
      <c r="A9593" t="inlineStr">
        <is>
          <t>6294015137668</t>
        </is>
      </c>
      <c r="B9593" t="inlineStr">
        <is>
          <t>Armaf Beaute Brow Strokes Comb Tip Eyebrow Pen - 1 Ml</t>
        </is>
      </c>
      <c r="C9593" t="inlineStr">
        <is>
          <t>Eyebrow Pencil</t>
        </is>
      </c>
      <c r="D9593" t="inlineStr">
        <is>
          <t>Armaf</t>
        </is>
      </c>
      <c r="E9593" t="n">
        <v>5.47</v>
      </c>
      <c r="F9593" t="n">
        <v>1</v>
      </c>
      <c r="G9593" t="n">
        <v>7</v>
      </c>
      <c r="H9593" s="5">
        <f>HYPERLINK("https://api.qogita.com/variants/link/6294015137668/", "View Product")</f>
        <v/>
      </c>
    </row>
    <row r="9594">
      <c r="A9594" t="inlineStr">
        <is>
          <t>6294015137842</t>
        </is>
      </c>
      <c r="B9594" t="inlineStr">
        <is>
          <t>Armaf Beaute Precision Brow Definer - Eyebrow Pencil 1 G</t>
        </is>
      </c>
      <c r="C9594" t="inlineStr">
        <is>
          <t>Eyebrow Pencil</t>
        </is>
      </c>
      <c r="D9594" t="inlineStr">
        <is>
          <t>Armaf</t>
        </is>
      </c>
      <c r="E9594" t="n">
        <v>5.69</v>
      </c>
      <c r="F9594" t="n">
        <v>1</v>
      </c>
      <c r="G9594" t="n">
        <v>10</v>
      </c>
      <c r="H9594" s="5">
        <f>HYPERLINK("https://api.qogita.com/variants/link/6294015137842/", "View Product")</f>
        <v/>
      </c>
    </row>
    <row r="9595">
      <c r="A9595" t="inlineStr">
        <is>
          <t>6294015138290</t>
        </is>
      </c>
      <c r="B9595" t="inlineStr">
        <is>
          <t>Armaf Tres Nuit Lyric Eau De Parfum 100ml For Men</t>
        </is>
      </c>
      <c r="C9595" t="inlineStr">
        <is>
          <t>Eau De Parfum</t>
        </is>
      </c>
      <c r="D9595" t="inlineStr">
        <is>
          <t>Armaf</t>
        </is>
      </c>
      <c r="E9595" t="n">
        <v>14.25</v>
      </c>
      <c r="F9595" t="n">
        <v>1</v>
      </c>
      <c r="G9595" t="n">
        <v>21</v>
      </c>
      <c r="H9595" s="5">
        <f>HYPERLINK("https://api.qogita.com/variants/link/6294015138290/", "View Product")</f>
        <v/>
      </c>
    </row>
    <row r="9596">
      <c r="A9596" t="inlineStr">
        <is>
          <t>6294015149388</t>
        </is>
      </c>
      <c r="B9596" t="inlineStr">
        <is>
          <t>Armaf Odyssey Mega Eau De Parfum Limited Edition Size 100ml</t>
        </is>
      </c>
      <c r="C9596" t="inlineStr">
        <is>
          <t>Eau De Parfum</t>
        </is>
      </c>
      <c r="D9596" t="inlineStr">
        <is>
          <t>Armaf</t>
        </is>
      </c>
      <c r="E9596" t="n">
        <v>19.11</v>
      </c>
      <c r="F9596" t="n">
        <v>1</v>
      </c>
      <c r="G9596" t="n">
        <v>141</v>
      </c>
      <c r="H9596" s="5">
        <f>HYPERLINK("https://api.qogita.com/variants/link/6294015149388/", "View Product")</f>
        <v/>
      </c>
    </row>
    <row r="9597">
      <c r="A9597" t="inlineStr">
        <is>
          <t>6294015151084</t>
        </is>
      </c>
      <c r="B9597" t="inlineStr">
        <is>
          <t>Armaf Club De Nuit Woman Eau De Parfum Spray 200ml</t>
        </is>
      </c>
      <c r="C9597" t="inlineStr">
        <is>
          <t>Eau De Parfum</t>
        </is>
      </c>
      <c r="D9597" t="inlineStr">
        <is>
          <t>Armaf</t>
        </is>
      </c>
      <c r="E9597" t="n">
        <v>33.64</v>
      </c>
      <c r="F9597" t="n">
        <v>1</v>
      </c>
      <c r="G9597" t="n">
        <v>190</v>
      </c>
      <c r="H9597" s="5">
        <f>HYPERLINK("https://api.qogita.com/variants/link/6294015151084/", "View Product")</f>
        <v/>
      </c>
    </row>
    <row r="9598">
      <c r="A9598" t="inlineStr">
        <is>
          <t>6294015155631</t>
        </is>
      </c>
      <c r="B9598" t="inlineStr">
        <is>
          <t>Armaf Ego Tigre Eau De Parfum Spray 100ml</t>
        </is>
      </c>
      <c r="C9598" t="inlineStr">
        <is>
          <t>Eau De Parfum</t>
        </is>
      </c>
      <c r="D9598" t="inlineStr">
        <is>
          <t>Armaf</t>
        </is>
      </c>
      <c r="E9598" t="n">
        <v>20.79</v>
      </c>
      <c r="F9598" t="n">
        <v>1</v>
      </c>
      <c r="G9598" t="n">
        <v>10</v>
      </c>
      <c r="H9598" s="5">
        <f>HYPERLINK("https://api.qogita.com/variants/link/6294015155631/", "View Product")</f>
        <v/>
      </c>
    </row>
    <row r="9599">
      <c r="A9599" t="inlineStr">
        <is>
          <t>6294015155686</t>
        </is>
      </c>
      <c r="B9599" t="inlineStr">
        <is>
          <t>Armaf Art Du Parfum Pour Homme Eau De Parfum Spray 100ml</t>
        </is>
      </c>
      <c r="C9599" t="inlineStr">
        <is>
          <t>Eau De Parfum</t>
        </is>
      </c>
      <c r="D9599" t="inlineStr">
        <is>
          <t>Armaf</t>
        </is>
      </c>
      <c r="E9599" t="n">
        <v>19.95</v>
      </c>
      <c r="F9599" t="n">
        <v>1</v>
      </c>
      <c r="G9599" t="n">
        <v>57</v>
      </c>
      <c r="H9599" s="5">
        <f>HYPERLINK("https://api.qogita.com/variants/link/6294015155686/", "View Product")</f>
        <v/>
      </c>
    </row>
    <row r="9600">
      <c r="A9600" t="inlineStr">
        <is>
          <t>6294015155709</t>
        </is>
      </c>
      <c r="B9600" t="inlineStr">
        <is>
          <t>Armaf Venetian Gold Limited Edition Eau De Parfum Spray 100ml</t>
        </is>
      </c>
      <c r="C9600" t="inlineStr">
        <is>
          <t>Eau De Parfum</t>
        </is>
      </c>
      <c r="D9600" t="inlineStr">
        <is>
          <t>Armaf</t>
        </is>
      </c>
      <c r="E9600" t="n">
        <v>14.58</v>
      </c>
      <c r="F9600" t="n">
        <v>1</v>
      </c>
      <c r="G9600" t="n">
        <v>14</v>
      </c>
      <c r="H9600" s="5">
        <f>HYPERLINK("https://api.qogita.com/variants/link/6294015155709/", "View Product")</f>
        <v/>
      </c>
    </row>
    <row r="9601">
      <c r="A9601" t="inlineStr">
        <is>
          <t>6294015156201</t>
        </is>
      </c>
      <c r="B9601" t="inlineStr">
        <is>
          <t>Hamidi Addicted Madame Eau De Parfum Spray 120ml</t>
        </is>
      </c>
      <c r="C9601" t="inlineStr">
        <is>
          <t>Eau De Parfum</t>
        </is>
      </c>
      <c r="D9601" t="inlineStr">
        <is>
          <t>Hamidi</t>
        </is>
      </c>
      <c r="E9601" t="n">
        <v>21.47</v>
      </c>
      <c r="F9601" t="n">
        <v>1</v>
      </c>
      <c r="G9601" t="n">
        <v>21</v>
      </c>
      <c r="H9601" s="5">
        <f>HYPERLINK("https://api.qogita.com/variants/link/6294015156201/", "View Product")</f>
        <v/>
      </c>
    </row>
    <row r="9602">
      <c r="A9602" t="inlineStr">
        <is>
          <t>6294015157758</t>
        </is>
      </c>
      <c r="B9602" t="inlineStr">
        <is>
          <t>Armaf Club De Nuit Sillage Eau De Parfum 30ml</t>
        </is>
      </c>
      <c r="C9602" t="inlineStr">
        <is>
          <t>Eau De Parfum</t>
        </is>
      </c>
      <c r="D9602" t="inlineStr">
        <is>
          <t>Armaf</t>
        </is>
      </c>
      <c r="E9602" t="n">
        <v>17.21</v>
      </c>
      <c r="F9602" t="n">
        <v>1</v>
      </c>
      <c r="G9602" t="n">
        <v>8</v>
      </c>
      <c r="H9602" s="5">
        <f>HYPERLINK("https://api.qogita.com/variants/link/6294015157758/", "View Product")</f>
        <v/>
      </c>
    </row>
    <row r="9603">
      <c r="A9603" t="inlineStr">
        <is>
          <t>6294015160741</t>
        </is>
      </c>
      <c r="B9603" t="inlineStr">
        <is>
          <t>Armaf Venetian Girl Eau De Parfum Edition Rouge 100ml</t>
        </is>
      </c>
      <c r="C9603" t="inlineStr">
        <is>
          <t>Eau De Parfum</t>
        </is>
      </c>
      <c r="D9603" t="inlineStr">
        <is>
          <t>Armaf</t>
        </is>
      </c>
      <c r="E9603" t="n">
        <v>21.69</v>
      </c>
      <c r="F9603" t="n">
        <v>1</v>
      </c>
      <c r="G9603" t="n">
        <v>3</v>
      </c>
      <c r="H9603" s="5">
        <f>HYPERLINK("https://api.qogita.com/variants/link/6294015160741/", "View Product")</f>
        <v/>
      </c>
    </row>
    <row r="9604">
      <c r="A9604" t="inlineStr">
        <is>
          <t>6294015161694</t>
        </is>
      </c>
      <c r="B9604" t="inlineStr">
        <is>
          <t>Hamidi Faris Eau De Parfum 100ml</t>
        </is>
      </c>
      <c r="C9604" t="inlineStr">
        <is>
          <t>Eau De Parfum</t>
        </is>
      </c>
      <c r="D9604" t="inlineStr">
        <is>
          <t>Hamidi</t>
        </is>
      </c>
      <c r="E9604" t="n">
        <v>9.82</v>
      </c>
      <c r="F9604" t="n">
        <v>1</v>
      </c>
      <c r="G9604" t="n">
        <v>42</v>
      </c>
      <c r="H9604" s="5">
        <f>HYPERLINK("https://api.qogita.com/variants/link/6294015161694/", "View Product")</f>
        <v/>
      </c>
    </row>
    <row r="9605">
      <c r="A9605" t="inlineStr">
        <is>
          <t>6294015161731</t>
        </is>
      </c>
      <c r="B9605" t="inlineStr">
        <is>
          <t>Hamidi Delyn 100ml Eau De Parfum</t>
        </is>
      </c>
      <c r="C9605" t="inlineStr">
        <is>
          <t>Eau De Parfum</t>
        </is>
      </c>
      <c r="D9605" t="inlineStr">
        <is>
          <t>Hamidi</t>
        </is>
      </c>
      <c r="E9605" t="n">
        <v>9.82</v>
      </c>
      <c r="F9605" t="n">
        <v>1</v>
      </c>
      <c r="G9605" t="n">
        <v>42</v>
      </c>
      <c r="H9605" s="5">
        <f>HYPERLINK("https://api.qogita.com/variants/link/6294015161731/", "View Product")</f>
        <v/>
      </c>
    </row>
    <row r="9606">
      <c r="A9606" t="inlineStr">
        <is>
          <t>6294015163513</t>
        </is>
      </c>
      <c r="B9606" t="inlineStr">
        <is>
          <t>Armaf Club De Nuit Urban Man Elixir 105 Ml</t>
        </is>
      </c>
      <c r="C9606" t="inlineStr">
        <is>
          <t>Eau De Parfum</t>
        </is>
      </c>
      <c r="D9606" t="inlineStr">
        <is>
          <t>Armaf</t>
        </is>
      </c>
      <c r="E9606" t="n">
        <v>21.1</v>
      </c>
      <c r="F9606" t="n">
        <v>1</v>
      </c>
      <c r="G9606" t="n">
        <v>1284</v>
      </c>
      <c r="H9606" s="5">
        <f>HYPERLINK("https://api.qogita.com/variants/link/6294015163513/", "View Product")</f>
        <v/>
      </c>
    </row>
    <row r="9607">
      <c r="A9607" t="inlineStr">
        <is>
          <t>6294015163971</t>
        </is>
      </c>
      <c r="B9607" t="inlineStr">
        <is>
          <t>Armaf Le Parfait Pour Homme Eau De Parfum Spray 200ml</t>
        </is>
      </c>
      <c r="C9607" t="inlineStr">
        <is>
          <t>Eau De Parfum</t>
        </is>
      </c>
      <c r="D9607" t="inlineStr">
        <is>
          <t>Armaf</t>
        </is>
      </c>
      <c r="E9607" t="n">
        <v>20.54</v>
      </c>
      <c r="F9607" t="n">
        <v>1</v>
      </c>
      <c r="G9607" t="n">
        <v>30</v>
      </c>
      <c r="H9607" s="5">
        <f>HYPERLINK("https://api.qogita.com/variants/link/6294015163971/", "View Product")</f>
        <v/>
      </c>
    </row>
    <row r="9608">
      <c r="A9608" t="inlineStr">
        <is>
          <t>6294015164695</t>
        </is>
      </c>
      <c r="B9608" t="inlineStr">
        <is>
          <t>Hamidi Prestige Fame Eau De Parfum</t>
        </is>
      </c>
      <c r="C9608" t="inlineStr">
        <is>
          <t>Eau De Parfum</t>
        </is>
      </c>
      <c r="D9608" t="inlineStr">
        <is>
          <t>Hamidi</t>
        </is>
      </c>
      <c r="E9608" t="n">
        <v>13</v>
      </c>
      <c r="F9608" t="n">
        <v>1</v>
      </c>
      <c r="G9608" t="n">
        <v>32</v>
      </c>
      <c r="H9608" s="5">
        <f>HYPERLINK("https://api.qogita.com/variants/link/6294015164695/", "View Product")</f>
        <v/>
      </c>
    </row>
    <row r="9609">
      <c r="A9609" t="inlineStr">
        <is>
          <t>6294015164992</t>
        </is>
      </c>
      <c r="B9609" t="inlineStr">
        <is>
          <t>Armaf Armaf Club De Nuit Eau De Parfum Private Key To My Dreams 100ml Spray</t>
        </is>
      </c>
      <c r="C9609" t="inlineStr">
        <is>
          <t>Eau De Parfum</t>
        </is>
      </c>
      <c r="D9609" t="inlineStr">
        <is>
          <t>Armaf</t>
        </is>
      </c>
      <c r="E9609" t="n">
        <v>38.54</v>
      </c>
      <c r="F9609" t="n">
        <v>1</v>
      </c>
      <c r="G9609" t="n">
        <v>23</v>
      </c>
      <c r="H9609" s="5">
        <f>HYPERLINK("https://api.qogita.com/variants/link/6294015164992/", "View Product")</f>
        <v/>
      </c>
    </row>
    <row r="9610">
      <c r="A9610" t="inlineStr">
        <is>
          <t>6294015165012</t>
        </is>
      </c>
      <c r="B9610" t="inlineStr">
        <is>
          <t>Armaf Club De Nuit Private Key To My Life Extrait De Parfum Spray 100ml</t>
        </is>
      </c>
      <c r="C9610" t="inlineStr">
        <is>
          <t>Extrait De Parfum</t>
        </is>
      </c>
      <c r="D9610" t="inlineStr">
        <is>
          <t>Armaf</t>
        </is>
      </c>
      <c r="E9610" t="n">
        <v>44.92</v>
      </c>
      <c r="F9610" t="n">
        <v>1</v>
      </c>
      <c r="G9610" t="n">
        <v>4</v>
      </c>
      <c r="H9610" s="5">
        <f>HYPERLINK("https://api.qogita.com/variants/link/6294015165012/", "View Product")</f>
        <v/>
      </c>
    </row>
    <row r="9611">
      <c r="A9611" t="inlineStr">
        <is>
          <t>6294015165166</t>
        </is>
      </c>
      <c r="B9611" t="inlineStr">
        <is>
          <t>The Dusk Eau de Parfum Volume 100 ml</t>
        </is>
      </c>
      <c r="C9611" t="inlineStr">
        <is>
          <t>Eau De Parfum</t>
        </is>
      </c>
      <c r="D9611" t="inlineStr">
        <is>
          <t>The Lab</t>
        </is>
      </c>
      <c r="E9611" t="n">
        <v>57.89</v>
      </c>
      <c r="F9611" t="n">
        <v>1</v>
      </c>
      <c r="G9611" t="n">
        <v>34</v>
      </c>
      <c r="H9611" s="5">
        <f>HYPERLINK("https://api.qogita.com/variants/link/6294015165166/", "View Product")</f>
        <v/>
      </c>
    </row>
    <row r="9612">
      <c r="A9612" t="inlineStr">
        <is>
          <t>6294015165173</t>
        </is>
      </c>
      <c r="B9612" t="inlineStr">
        <is>
          <t>The Lab Next Eau De Parfum</t>
        </is>
      </c>
      <c r="C9612" t="inlineStr">
        <is>
          <t>Eau De Parfum</t>
        </is>
      </c>
      <c r="D9612" t="inlineStr">
        <is>
          <t>The Lab</t>
        </is>
      </c>
      <c r="E9612" t="n">
        <v>58.69</v>
      </c>
      <c r="F9612" t="n">
        <v>1</v>
      </c>
      <c r="G9612" t="n">
        <v>14</v>
      </c>
      <c r="H9612" s="5">
        <f>HYPERLINK("https://api.qogita.com/variants/link/6294015165173/", "View Product")</f>
        <v/>
      </c>
    </row>
    <row r="9613">
      <c r="A9613" t="inlineStr">
        <is>
          <t>6294015166118</t>
        </is>
      </c>
      <c r="B9613" t="inlineStr">
        <is>
          <t>Armaf Eternia Imperia Eau De Parfum Spray 80ml</t>
        </is>
      </c>
      <c r="C9613" t="inlineStr">
        <is>
          <t>Eau De Parfum</t>
        </is>
      </c>
      <c r="D9613" t="inlineStr">
        <is>
          <t>Armaf</t>
        </is>
      </c>
      <c r="E9613" t="n">
        <v>18.38</v>
      </c>
      <c r="F9613" t="n">
        <v>1</v>
      </c>
      <c r="G9613" t="n">
        <v>4</v>
      </c>
      <c r="H9613" s="5">
        <f>HYPERLINK("https://api.qogita.com/variants/link/6294015166118/", "View Product")</f>
        <v/>
      </c>
    </row>
    <row r="9614">
      <c r="A9614" t="inlineStr">
        <is>
          <t>6294015166132</t>
        </is>
      </c>
      <c r="B9614" t="inlineStr">
        <is>
          <t>Armaf Odyssey Aqua Edition 100 Ml Eau De Parfum</t>
        </is>
      </c>
      <c r="C9614" t="inlineStr">
        <is>
          <t>Eau De Parfum</t>
        </is>
      </c>
      <c r="D9614" t="inlineStr">
        <is>
          <t>Armaf</t>
        </is>
      </c>
      <c r="E9614" t="n">
        <v>21.02</v>
      </c>
      <c r="F9614" t="n">
        <v>1</v>
      </c>
      <c r="G9614" t="n">
        <v>44</v>
      </c>
      <c r="H9614" s="5">
        <f>HYPERLINK("https://api.qogita.com/variants/link/6294015166132/", "View Product")</f>
        <v/>
      </c>
    </row>
    <row r="9615">
      <c r="A9615" t="inlineStr">
        <is>
          <t>6294015166149</t>
        </is>
      </c>
      <c r="B9615" t="inlineStr">
        <is>
          <t>Armaf Odyssey Aoud Eau De Parfum 100ml</t>
        </is>
      </c>
      <c r="C9615" t="inlineStr">
        <is>
          <t>Eau De Parfum</t>
        </is>
      </c>
      <c r="D9615" t="inlineStr">
        <is>
          <t>Armaf</t>
        </is>
      </c>
      <c r="E9615" t="n">
        <v>16.57</v>
      </c>
      <c r="F9615" t="n">
        <v>1</v>
      </c>
      <c r="G9615" t="n">
        <v>38</v>
      </c>
      <c r="H9615" s="5">
        <f>HYPERLINK("https://api.qogita.com/variants/link/6294015166149/", "View Product")</f>
        <v/>
      </c>
    </row>
    <row r="9616">
      <c r="A9616" t="inlineStr">
        <is>
          <t>6294015167641</t>
        </is>
      </c>
      <c r="B9616" t="inlineStr">
        <is>
          <t>Emir Al Saharaa by Risala for Men 3 Oz EDP Spray</t>
        </is>
      </c>
      <c r="C9616" t="inlineStr">
        <is>
          <t>Eau De Parfum</t>
        </is>
      </c>
      <c r="D9616" t="inlineStr">
        <is>
          <t>Risala</t>
        </is>
      </c>
      <c r="E9616" t="n">
        <v>12.48</v>
      </c>
      <c r="F9616" t="n">
        <v>1</v>
      </c>
      <c r="G9616" t="n">
        <v>29</v>
      </c>
      <c r="H9616" s="5">
        <f>HYPERLINK("https://api.qogita.com/variants/link/6294015167641/", "View Product")</f>
        <v/>
      </c>
    </row>
    <row r="9617">
      <c r="A9617" t="inlineStr">
        <is>
          <t>6294015167993</t>
        </is>
      </c>
      <c r="B9617" t="inlineStr">
        <is>
          <t>Hamidi Shams Ambre L'eau de Aqua Parfum Eau de Parfum 100ml - Unisex</t>
        </is>
      </c>
      <c r="C9617" t="inlineStr">
        <is>
          <t>Eau De Parfum</t>
        </is>
      </c>
      <c r="D9617" t="inlineStr">
        <is>
          <t>Hamidi</t>
        </is>
      </c>
      <c r="E9617" t="n">
        <v>13.94</v>
      </c>
      <c r="F9617" t="n">
        <v>1</v>
      </c>
      <c r="G9617" t="n">
        <v>39</v>
      </c>
      <c r="H9617" s="5">
        <f>HYPERLINK("https://api.qogita.com/variants/link/6294015167993/", "View Product")</f>
        <v/>
      </c>
    </row>
    <row r="9618">
      <c r="A9618" t="inlineStr">
        <is>
          <t>6294015168013</t>
        </is>
      </c>
      <c r="B9618" t="inlineStr">
        <is>
          <t>Hamidi Shams Edition Vanilla Water Perfume for Women and Men</t>
        </is>
      </c>
      <c r="C9618" t="inlineStr">
        <is>
          <t>Eau De Parfum</t>
        </is>
      </c>
      <c r="D9618" t="inlineStr">
        <is>
          <t>Hamidi</t>
        </is>
      </c>
      <c r="E9618" t="n">
        <v>13.94</v>
      </c>
      <c r="F9618" t="n">
        <v>1</v>
      </c>
      <c r="G9618" t="n">
        <v>37</v>
      </c>
      <c r="H9618" s="5">
        <f>HYPERLINK("https://api.qogita.com/variants/link/6294015168013/", "View Product")</f>
        <v/>
      </c>
    </row>
    <row r="9619">
      <c r="A9619" t="inlineStr">
        <is>
          <t>6294015168112</t>
        </is>
      </c>
      <c r="B9619" t="inlineStr">
        <is>
          <t>Armaf Miss Attitude Eau De Parfum Spray 100ml</t>
        </is>
      </c>
      <c r="C9619" t="inlineStr">
        <is>
          <t>Eau De Parfum</t>
        </is>
      </c>
      <c r="D9619" t="inlineStr">
        <is>
          <t>Armaf</t>
        </is>
      </c>
      <c r="E9619" t="n">
        <v>23.76</v>
      </c>
      <c r="F9619" t="n">
        <v>1</v>
      </c>
      <c r="G9619" t="n">
        <v>10</v>
      </c>
      <c r="H9619" s="5">
        <f>HYPERLINK("https://api.qogita.com/variants/link/6294015168112/", "View Product")</f>
        <v/>
      </c>
    </row>
    <row r="9620">
      <c r="A9620" t="inlineStr">
        <is>
          <t>6294015168167</t>
        </is>
      </c>
      <c r="B9620" t="inlineStr">
        <is>
          <t>Armaf Miss Armaf Voce Viva Eau De Parfum Spray 100ml</t>
        </is>
      </c>
      <c r="C9620" t="inlineStr">
        <is>
          <t>Eau De Parfum</t>
        </is>
      </c>
      <c r="D9620" t="inlineStr">
        <is>
          <t>Armaf</t>
        </is>
      </c>
      <c r="E9620" t="n">
        <v>27.09</v>
      </c>
      <c r="F9620" t="n">
        <v>1</v>
      </c>
      <c r="G9620" t="n">
        <v>2</v>
      </c>
      <c r="H9620" s="5">
        <f>HYPERLINK("https://api.qogita.com/variants/link/6294015168167/", "View Product")</f>
        <v/>
      </c>
    </row>
    <row r="9621">
      <c r="A9621" t="inlineStr">
        <is>
          <t>6294015169942</t>
        </is>
      </c>
      <c r="B9621" t="inlineStr">
        <is>
          <t>ARMAF Club De Nuit Imperiale Eau De Parfum 30ml</t>
        </is>
      </c>
      <c r="C9621" t="inlineStr">
        <is>
          <t>Eau De Parfum</t>
        </is>
      </c>
      <c r="D9621" t="inlineStr">
        <is>
          <t>Armaf</t>
        </is>
      </c>
      <c r="E9621" t="n">
        <v>21.48</v>
      </c>
      <c r="F9621" t="n">
        <v>1</v>
      </c>
      <c r="G9621" t="n">
        <v>8</v>
      </c>
      <c r="H9621" s="5">
        <f>HYPERLINK("https://api.qogita.com/variants/link/6294015169942/", "View Product")</f>
        <v/>
      </c>
    </row>
    <row r="9622">
      <c r="A9622" t="inlineStr">
        <is>
          <t>6294015175240</t>
        </is>
      </c>
      <c r="B9622" t="inlineStr">
        <is>
          <t>Club de Nuit Trio</t>
        </is>
      </c>
      <c r="C9622" t="inlineStr">
        <is>
          <t>Fragrance Sets</t>
        </is>
      </c>
      <c r="D9622" t="inlineStr">
        <is>
          <t>Armaf</t>
        </is>
      </c>
      <c r="E9622" t="n">
        <v>51.39</v>
      </c>
      <c r="F9622" t="n">
        <v>1</v>
      </c>
      <c r="G9622" t="n">
        <v>5</v>
      </c>
      <c r="H9622" s="5">
        <f>HYPERLINK("https://api.qogita.com/variants/link/6294015175240/", "View Product")</f>
        <v/>
      </c>
    </row>
    <row r="9623">
      <c r="A9623" t="inlineStr">
        <is>
          <t>6294015175370</t>
        </is>
      </c>
      <c r="B9623" t="inlineStr">
        <is>
          <t>Armaf Club Denuit Woman Eau De Parfum With Hair Mist Deodorant Stick And Hand Cream</t>
        </is>
      </c>
      <c r="C9623" t="inlineStr">
        <is>
          <t>Eau De Parfum</t>
        </is>
      </c>
      <c r="D9623" t="inlineStr">
        <is>
          <t>Armaf</t>
        </is>
      </c>
      <c r="E9623" t="n">
        <v>41.91</v>
      </c>
      <c r="F9623" t="n">
        <v>1</v>
      </c>
      <c r="G9623" t="n">
        <v>19</v>
      </c>
      <c r="H9623" s="5">
        <f>HYPERLINK("https://api.qogita.com/variants/link/6294015175370/", "View Product")</f>
        <v/>
      </c>
    </row>
    <row r="9624">
      <c r="A9624" t="inlineStr">
        <is>
          <t>6294015175387</t>
        </is>
      </c>
      <c r="B9624" t="inlineStr">
        <is>
          <t>Armaf Club De Nuit Blue Iconic Gift Set - Edp 105 Ml, Deostick 75 G, Deospray 50 Ml, And Shower Gel 100 Ml</t>
        </is>
      </c>
      <c r="C9624" t="inlineStr">
        <is>
          <t>Fragrance</t>
        </is>
      </c>
      <c r="D9624" t="inlineStr">
        <is>
          <t>Armaf</t>
        </is>
      </c>
      <c r="E9624" t="n">
        <v>46.53</v>
      </c>
      <c r="F9624" t="n">
        <v>1</v>
      </c>
      <c r="G9624" t="n">
        <v>14</v>
      </c>
      <c r="H9624" s="5">
        <f>HYPERLINK("https://api.qogita.com/variants/link/6294015175387/", "View Product")</f>
        <v/>
      </c>
    </row>
    <row r="9625">
      <c r="A9625" t="inlineStr">
        <is>
          <t>6294015175400</t>
        </is>
      </c>
      <c r="B9625" t="inlineStr">
        <is>
          <t>Armaf Club De Nuit Untold Gift Set Edp 105ml Body Lotion 100ml Deostick 75g Body Spray 50ml</t>
        </is>
      </c>
      <c r="C9625" t="inlineStr">
        <is>
          <t>Fragrance Sets</t>
        </is>
      </c>
      <c r="D9625" t="inlineStr">
        <is>
          <t>Armaf</t>
        </is>
      </c>
      <c r="E9625" t="n">
        <v>51.76</v>
      </c>
      <c r="F9625" t="n">
        <v>1</v>
      </c>
      <c r="G9625" t="n">
        <v>18</v>
      </c>
      <c r="H9625" s="5">
        <f>HYPERLINK("https://api.qogita.com/variants/link/6294015175400/", "View Product")</f>
        <v/>
      </c>
    </row>
    <row r="9626">
      <c r="A9626" t="inlineStr">
        <is>
          <t>6294015175431</t>
        </is>
      </c>
      <c r="B9626" t="inlineStr">
        <is>
          <t>Hamidi Tabassum Oud Elixir Nonalcoholic Eau De Parfum for Men 17oz</t>
        </is>
      </c>
      <c r="C9626" t="inlineStr">
        <is>
          <t>Eau De Parfum</t>
        </is>
      </c>
      <c r="D9626" t="inlineStr">
        <is>
          <t>Hamidi</t>
        </is>
      </c>
      <c r="E9626" t="n">
        <v>19.12</v>
      </c>
      <c r="F9626" t="n">
        <v>1</v>
      </c>
      <c r="G9626" t="n">
        <v>43</v>
      </c>
      <c r="H9626" s="5">
        <f>HYPERLINK("https://api.qogita.com/variants/link/6294015175431/", "View Product")</f>
        <v/>
      </c>
    </row>
    <row r="9627">
      <c r="A9627" t="inlineStr">
        <is>
          <t>6294015175974</t>
        </is>
      </c>
      <c r="B9627" t="inlineStr">
        <is>
          <t>Hamidi Maison Luxe Intimate Musc 110ml Eau De Parfum Unisex</t>
        </is>
      </c>
      <c r="C9627" t="inlineStr">
        <is>
          <t>Eau De Parfum</t>
        </is>
      </c>
      <c r="D9627" t="inlineStr">
        <is>
          <t>Hamidi</t>
        </is>
      </c>
      <c r="E9627" t="n">
        <v>17.24</v>
      </c>
      <c r="F9627" t="n">
        <v>1</v>
      </c>
      <c r="G9627" t="n">
        <v>40</v>
      </c>
      <c r="H9627" s="5">
        <f>HYPERLINK("https://api.qogita.com/variants/link/6294015175974/", "View Product")</f>
        <v/>
      </c>
    </row>
    <row r="9628">
      <c r="A9628" t="inlineStr">
        <is>
          <t>6294015176131</t>
        </is>
      </c>
      <c r="B9628" t="inlineStr">
        <is>
          <t>Armaf Eter Desert Flower Eau De Parfum 3.4 oz 100 ml</t>
        </is>
      </c>
      <c r="C9628" t="inlineStr">
        <is>
          <t>Eau De Parfum</t>
        </is>
      </c>
      <c r="D9628" t="inlineStr">
        <is>
          <t>Armaf</t>
        </is>
      </c>
      <c r="E9628" t="n">
        <v>26.51</v>
      </c>
      <c r="F9628" t="n">
        <v>1</v>
      </c>
      <c r="G9628" t="n">
        <v>23</v>
      </c>
      <c r="H9628" s="5">
        <f>HYPERLINK("https://api.qogita.com/variants/link/6294015176131/", "View Product")</f>
        <v/>
      </c>
    </row>
    <row r="9629">
      <c r="A9629" t="inlineStr">
        <is>
          <t>6294015176148</t>
        </is>
      </c>
      <c r="B9629" t="inlineStr">
        <is>
          <t>Armaf Beauty Bucephalus Xv Eau De Parfum Spray</t>
        </is>
      </c>
      <c r="C9629" t="inlineStr">
        <is>
          <t>Eau De Parfum</t>
        </is>
      </c>
      <c r="D9629" t="inlineStr">
        <is>
          <t>Armaf Beauty</t>
        </is>
      </c>
      <c r="E9629" t="n">
        <v>29.09</v>
      </c>
      <c r="F9629" t="n">
        <v>1</v>
      </c>
      <c r="G9629" t="n">
        <v>15</v>
      </c>
      <c r="H9629" s="5">
        <f>HYPERLINK("https://api.qogita.com/variants/link/6294015176148/", "View Product")</f>
        <v/>
      </c>
    </row>
    <row r="9630">
      <c r="A9630" t="inlineStr">
        <is>
          <t>6294015176230</t>
        </is>
      </c>
      <c r="B9630" t="inlineStr">
        <is>
          <t>Hamidi Al Mukhmal EDP Spray 100ml 3.4 Oz - A Harmonious Blend of Refreshing</t>
        </is>
      </c>
      <c r="C9630" t="inlineStr">
        <is>
          <t>Eau De Parfum</t>
        </is>
      </c>
      <c r="D9630" t="inlineStr">
        <is>
          <t>Hamidi</t>
        </is>
      </c>
      <c r="E9630" t="n">
        <v>18.65</v>
      </c>
      <c r="F9630" t="n">
        <v>1</v>
      </c>
      <c r="G9630" t="n">
        <v>39</v>
      </c>
      <c r="H9630" s="5">
        <f>HYPERLINK("https://api.qogita.com/variants/link/6294015176230/", "View Product")</f>
        <v/>
      </c>
    </row>
    <row r="9631">
      <c r="A9631" t="inlineStr">
        <is>
          <t>6294015176247</t>
        </is>
      </c>
      <c r="B9631" t="inlineStr">
        <is>
          <t>Hamidi Al Mukhmal EDP Spray 100ml 3.4 Oz - A Harmonious Blend of Refreshing</t>
        </is>
      </c>
      <c r="C9631" t="inlineStr">
        <is>
          <t>Eau De Parfum</t>
        </is>
      </c>
      <c r="D9631" t="inlineStr">
        <is>
          <t>Hamidi</t>
        </is>
      </c>
      <c r="E9631" t="n">
        <v>18.65</v>
      </c>
      <c r="F9631" t="n">
        <v>1</v>
      </c>
      <c r="G9631" t="n">
        <v>37</v>
      </c>
      <c r="H9631" s="5">
        <f>HYPERLINK("https://api.qogita.com/variants/link/6294015176247/", "View Product")</f>
        <v/>
      </c>
    </row>
    <row r="9632">
      <c r="A9632" t="inlineStr">
        <is>
          <t>6294015176551</t>
        </is>
      </c>
      <c r="B9632" t="inlineStr">
        <is>
          <t>Armaf Beauty Beaute Parfaite Fix Liquid Foundation - 06 Sand</t>
        </is>
      </c>
      <c r="C9632" t="inlineStr">
        <is>
          <t>Foundation</t>
        </is>
      </c>
      <c r="D9632" t="inlineStr">
        <is>
          <t>Armaf Beauty</t>
        </is>
      </c>
      <c r="E9632" t="n">
        <v>7.75</v>
      </c>
      <c r="F9632" t="n">
        <v>1</v>
      </c>
      <c r="G9632" t="n">
        <v>3</v>
      </c>
      <c r="H9632" s="5">
        <f>HYPERLINK("https://api.qogita.com/variants/link/6294015176551/", "View Product")</f>
        <v/>
      </c>
    </row>
    <row r="9633">
      <c r="A9633" t="inlineStr">
        <is>
          <t>6294015176872</t>
        </is>
      </c>
      <c r="B9633" t="inlineStr">
        <is>
          <t>Armaf Beauté True Matte Liquid Lipstick Long Lasting Lipstick Scarlet 4ml 0.13 fl.oz</t>
        </is>
      </c>
      <c r="C9633" t="inlineStr">
        <is>
          <t>Lipstick</t>
        </is>
      </c>
      <c r="D9633" t="inlineStr">
        <is>
          <t>Armaf</t>
        </is>
      </c>
      <c r="E9633" t="n">
        <v>6.68</v>
      </c>
      <c r="F9633" t="n">
        <v>1</v>
      </c>
      <c r="G9633" t="n">
        <v>6</v>
      </c>
      <c r="H9633" s="5">
        <f>HYPERLINK("https://api.qogita.com/variants/link/6294015176872/", "View Product")</f>
        <v/>
      </c>
    </row>
    <row r="9634">
      <c r="A9634" t="inlineStr">
        <is>
          <t>6294015176889</t>
        </is>
      </c>
      <c r="B9634" t="inlineStr">
        <is>
          <t>Armaf True Matte Transferproof Liquid Lipstick Shade 12 Aura 4 Ml</t>
        </is>
      </c>
      <c r="C9634" t="inlineStr">
        <is>
          <t>Lipstick</t>
        </is>
      </c>
      <c r="D9634" t="inlineStr">
        <is>
          <t>Armaf</t>
        </is>
      </c>
      <c r="E9634" t="n">
        <v>6.68</v>
      </c>
      <c r="F9634" t="n">
        <v>1</v>
      </c>
      <c r="G9634" t="n">
        <v>5</v>
      </c>
      <c r="H9634" s="5">
        <f>HYPERLINK("https://api.qogita.com/variants/link/6294015176889/", "View Product")</f>
        <v/>
      </c>
    </row>
    <row r="9635">
      <c r="A9635" t="inlineStr">
        <is>
          <t>6294015176919</t>
        </is>
      </c>
      <c r="B9635" t="inlineStr">
        <is>
          <t>Armaf Beauty Intense Shine Lip Gloss 3.2 G 03 Cherry</t>
        </is>
      </c>
      <c r="C9635" t="inlineStr">
        <is>
          <t>Lip Gloss</t>
        </is>
      </c>
      <c r="D9635" t="inlineStr">
        <is>
          <t>Armaf Beauty</t>
        </is>
      </c>
      <c r="E9635" t="n">
        <v>5.47</v>
      </c>
      <c r="F9635" t="n">
        <v>1</v>
      </c>
      <c r="G9635" t="n">
        <v>3</v>
      </c>
      <c r="H9635" s="5">
        <f>HYPERLINK("https://api.qogita.com/variants/link/6294015176919/", "View Product")</f>
        <v/>
      </c>
    </row>
    <row r="9636">
      <c r="A9636" t="inlineStr">
        <is>
          <t>6294015177183</t>
        </is>
      </c>
      <c r="B9636" t="inlineStr">
        <is>
          <t>Armaf Enchanting Brow Fiber Eyebrow Gel 76 G 02 Dark Brown</t>
        </is>
      </c>
      <c r="C9636" t="inlineStr">
        <is>
          <t>Eyebrow Gel</t>
        </is>
      </c>
      <c r="D9636" t="inlineStr">
        <is>
          <t>Armaf</t>
        </is>
      </c>
      <c r="E9636" t="n">
        <v>5.92</v>
      </c>
      <c r="F9636" t="n">
        <v>1</v>
      </c>
      <c r="G9636" t="n">
        <v>4</v>
      </c>
      <c r="H9636" s="5">
        <f>HYPERLINK("https://api.qogita.com/variants/link/6294015177183/", "View Product")</f>
        <v/>
      </c>
    </row>
    <row r="9637">
      <c r="A9637" t="inlineStr">
        <is>
          <t>6294015177237</t>
        </is>
      </c>
      <c r="B9637" t="inlineStr">
        <is>
          <t>Armaf Beauty Dipin Liquid Eyeliner 4ml 02 Emerald</t>
        </is>
      </c>
      <c r="C9637" t="inlineStr">
        <is>
          <t>Eyeliner</t>
        </is>
      </c>
      <c r="D9637" t="inlineStr">
        <is>
          <t>Armaf Beauty</t>
        </is>
      </c>
      <c r="E9637" t="n">
        <v>5.84</v>
      </c>
      <c r="F9637" t="n">
        <v>1</v>
      </c>
      <c r="G9637" t="n">
        <v>10</v>
      </c>
      <c r="H9637" s="5">
        <f>HYPERLINK("https://api.qogita.com/variants/link/6294015177237/", "View Product")</f>
        <v/>
      </c>
    </row>
    <row r="9638">
      <c r="A9638" t="inlineStr">
        <is>
          <t>6294015177343</t>
        </is>
      </c>
      <c r="B9638" t="inlineStr">
        <is>
          <t>Armaf Enchanting Brow Eyebrow Pencil 12 Ml 01 Dark Brown</t>
        </is>
      </c>
      <c r="C9638" t="inlineStr">
        <is>
          <t>Eyebrow Pencil</t>
        </is>
      </c>
      <c r="D9638" t="inlineStr">
        <is>
          <t>Armaf</t>
        </is>
      </c>
      <c r="E9638" t="n">
        <v>6.23</v>
      </c>
      <c r="F9638" t="n">
        <v>1</v>
      </c>
      <c r="G9638" t="n">
        <v>5</v>
      </c>
      <c r="H9638" s="5">
        <f>HYPERLINK("https://api.qogita.com/variants/link/6294015177343/", "View Product")</f>
        <v/>
      </c>
    </row>
    <row r="9639">
      <c r="A9639" t="inlineStr">
        <is>
          <t>6294015177367</t>
        </is>
      </c>
      <c r="B9639" t="inlineStr">
        <is>
          <t>Armaf Enchanting Brow Eyebrow Pencil 12 Ml 03 Ebony</t>
        </is>
      </c>
      <c r="C9639" t="inlineStr">
        <is>
          <t>Eyebrow Pencil</t>
        </is>
      </c>
      <c r="D9639" t="inlineStr">
        <is>
          <t>Armaf</t>
        </is>
      </c>
      <c r="E9639" t="n">
        <v>6.23</v>
      </c>
      <c r="F9639" t="n">
        <v>1</v>
      </c>
      <c r="G9639" t="n">
        <v>4</v>
      </c>
      <c r="H9639" s="5">
        <f>HYPERLINK("https://api.qogita.com/variants/link/6294015177367/", "View Product")</f>
        <v/>
      </c>
    </row>
    <row r="9640">
      <c r="A9640" t="inlineStr">
        <is>
          <t>6294015177404</t>
        </is>
      </c>
      <c r="B9640" t="inlineStr">
        <is>
          <t>Armaf Tint It Up Lip Cheek Tint Liquid Blush For Lips And Cheeks 5 Ml 02 Punch</t>
        </is>
      </c>
      <c r="C9640" t="inlineStr">
        <is>
          <t>Blush</t>
        </is>
      </c>
      <c r="D9640" t="inlineStr">
        <is>
          <t>Armaf</t>
        </is>
      </c>
      <c r="E9640" t="n">
        <v>5.92</v>
      </c>
      <c r="F9640" t="n">
        <v>1</v>
      </c>
      <c r="G9640" t="n">
        <v>4</v>
      </c>
      <c r="H9640" s="5">
        <f>HYPERLINK("https://api.qogita.com/variants/link/6294015177404/", "View Product")</f>
        <v/>
      </c>
    </row>
    <row r="9641">
      <c r="A9641" t="inlineStr">
        <is>
          <t>6294015177442</t>
        </is>
      </c>
      <c r="B9641" t="inlineStr">
        <is>
          <t>Armaf Beauty Armaf Beaute Glimmer Highlighter - 01 Alhena</t>
        </is>
      </c>
      <c r="C9641" t="inlineStr">
        <is>
          <t>Highlighter</t>
        </is>
      </c>
      <c r="D9641" t="inlineStr">
        <is>
          <t>Armaf Beauty</t>
        </is>
      </c>
      <c r="E9641" t="n">
        <v>6.47</v>
      </c>
      <c r="F9641" t="n">
        <v>1</v>
      </c>
      <c r="G9641" t="n">
        <v>10</v>
      </c>
      <c r="H9641" s="5">
        <f>HYPERLINK("https://api.qogita.com/variants/link/6294015177442/", "View Product")</f>
        <v/>
      </c>
    </row>
    <row r="9642">
      <c r="A9642" t="inlineStr">
        <is>
          <t>6294015177459</t>
        </is>
      </c>
      <c r="B9642" t="inlineStr">
        <is>
          <t>Armaf Beauté Glimmer Jelly Highlighter Makeup Highlighter Natural Radiance One Stroke Glow Castor</t>
        </is>
      </c>
      <c r="C9642" t="inlineStr">
        <is>
          <t>Highlighter</t>
        </is>
      </c>
      <c r="D9642" t="inlineStr">
        <is>
          <t>Armaf</t>
        </is>
      </c>
      <c r="E9642" t="n">
        <v>6.47</v>
      </c>
      <c r="F9642" t="n">
        <v>1</v>
      </c>
      <c r="G9642" t="n">
        <v>7</v>
      </c>
      <c r="H9642" s="5">
        <f>HYPERLINK("https://api.qogita.com/variants/link/6294015177459/", "View Product")</f>
        <v/>
      </c>
    </row>
    <row r="9643">
      <c r="A9643" t="inlineStr">
        <is>
          <t>6294015177466</t>
        </is>
      </c>
      <c r="B9643" t="inlineStr">
        <is>
          <t>Armaf Beauté Glimmer Jelly Highlighter Makeup Highlighter Natural Radiance Terracotta Felis</t>
        </is>
      </c>
      <c r="C9643" t="inlineStr">
        <is>
          <t>Highlighter</t>
        </is>
      </c>
      <c r="D9643" t="inlineStr">
        <is>
          <t>Armaf</t>
        </is>
      </c>
      <c r="E9643" t="n">
        <v>6.47</v>
      </c>
      <c r="F9643" t="n">
        <v>1</v>
      </c>
      <c r="G9643" t="n">
        <v>10</v>
      </c>
      <c r="H9643" s="5">
        <f>HYPERLINK("https://api.qogita.com/variants/link/6294015177466/", "View Product")</f>
        <v/>
      </c>
    </row>
    <row r="9644">
      <c r="A9644" t="inlineStr">
        <is>
          <t>6294015178258</t>
        </is>
      </c>
      <c r="B9644" t="inlineStr">
        <is>
          <t>Hamidi Enchanted Eau De Parfum 100ml</t>
        </is>
      </c>
      <c r="C9644" t="inlineStr">
        <is>
          <t>Eau De Parfum</t>
        </is>
      </c>
      <c r="D9644" t="inlineStr">
        <is>
          <t>Hamidi</t>
        </is>
      </c>
      <c r="E9644" t="n">
        <v>9.82</v>
      </c>
      <c r="F9644" t="n">
        <v>1</v>
      </c>
      <c r="G9644" t="n">
        <v>42</v>
      </c>
      <c r="H9644" s="5">
        <f>HYPERLINK("https://api.qogita.com/variants/link/6294015178258/", "View Product")</f>
        <v/>
      </c>
    </row>
    <row r="9645">
      <c r="A9645" t="inlineStr">
        <is>
          <t>6294015178272</t>
        </is>
      </c>
      <c r="B9645" t="inlineStr">
        <is>
          <t>Hamidi Addiction 100ml Eau De Parfum</t>
        </is>
      </c>
      <c r="C9645" t="inlineStr">
        <is>
          <t>Eau De Parfum</t>
        </is>
      </c>
      <c r="D9645" t="inlineStr">
        <is>
          <t>Hamidi</t>
        </is>
      </c>
      <c r="E9645" t="n">
        <v>9.82</v>
      </c>
      <c r="F9645" t="n">
        <v>1</v>
      </c>
      <c r="G9645" t="n">
        <v>42</v>
      </c>
      <c r="H9645" s="5">
        <f>HYPERLINK("https://api.qogita.com/variants/link/6294015178272/", "View Product")</f>
        <v/>
      </c>
    </row>
    <row r="9646">
      <c r="A9646" t="inlineStr">
        <is>
          <t>6294015178340</t>
        </is>
      </c>
      <c r="B9646" t="inlineStr">
        <is>
          <t>Hamidi Desire 100ml Eau De Parfum</t>
        </is>
      </c>
      <c r="C9646" t="inlineStr">
        <is>
          <t>Eau De Parfum</t>
        </is>
      </c>
      <c r="D9646" t="inlineStr">
        <is>
          <t>Hamidi</t>
        </is>
      </c>
      <c r="E9646" t="n">
        <v>9.82</v>
      </c>
      <c r="F9646" t="n">
        <v>1</v>
      </c>
      <c r="G9646" t="n">
        <v>43</v>
      </c>
      <c r="H9646" s="5">
        <f>HYPERLINK("https://api.qogita.com/variants/link/6294015178340/", "View Product")</f>
        <v/>
      </c>
    </row>
    <row r="9647">
      <c r="A9647" t="inlineStr">
        <is>
          <t>6294015178753</t>
        </is>
      </c>
      <c r="B9647" t="inlineStr">
        <is>
          <t>Hamidi Nefertiti Eau De Parfum For Women - 100ml</t>
        </is>
      </c>
      <c r="C9647" t="inlineStr">
        <is>
          <t>Eau De Parfum</t>
        </is>
      </c>
      <c r="D9647" t="inlineStr">
        <is>
          <t>Hamidi</t>
        </is>
      </c>
      <c r="E9647" t="n">
        <v>23.41</v>
      </c>
      <c r="F9647" t="n">
        <v>1</v>
      </c>
      <c r="G9647" t="n">
        <v>93</v>
      </c>
      <c r="H9647" s="5">
        <f>HYPERLINK("https://api.qogita.com/variants/link/6294015178753/", "View Product")</f>
        <v/>
      </c>
    </row>
    <row r="9648">
      <c r="A9648" t="inlineStr">
        <is>
          <t>6294015178760</t>
        </is>
      </c>
      <c r="B9648" t="inlineStr">
        <is>
          <t>Hamidi Legacy Hatshepsut Parfum Spray 100ml</t>
        </is>
      </c>
      <c r="C9648" t="inlineStr">
        <is>
          <t>Eau De Parfum</t>
        </is>
      </c>
      <c r="D9648" t="inlineStr">
        <is>
          <t>Hamidi</t>
        </is>
      </c>
      <c r="E9648" t="n">
        <v>23.47</v>
      </c>
      <c r="F9648" t="n">
        <v>1</v>
      </c>
      <c r="G9648" t="n">
        <v>42</v>
      </c>
      <c r="H9648" s="5">
        <f>HYPERLINK("https://api.qogita.com/variants/link/6294015178760/", "View Product")</f>
        <v/>
      </c>
    </row>
    <row r="9649">
      <c r="A9649" t="inlineStr">
        <is>
          <t>6294015178999</t>
        </is>
      </c>
      <c r="B9649" t="inlineStr">
        <is>
          <t>Hamidi Insignia Vert Perfume Spray 105ml</t>
        </is>
      </c>
      <c r="C9649" t="inlineStr">
        <is>
          <t>Eau De Parfum</t>
        </is>
      </c>
      <c r="D9649" t="inlineStr">
        <is>
          <t>Hamidi</t>
        </is>
      </c>
      <c r="E9649" t="n">
        <v>16.23</v>
      </c>
      <c r="F9649" t="n">
        <v>1</v>
      </c>
      <c r="G9649" t="n">
        <v>6</v>
      </c>
      <c r="H9649" s="5">
        <f>HYPERLINK("https://api.qogita.com/variants/link/6294015178999/", "View Product")</f>
        <v/>
      </c>
    </row>
    <row r="9650">
      <c r="A9650" t="inlineStr">
        <is>
          <t>6294015179002</t>
        </is>
      </c>
      <c r="B9650" t="inlineStr">
        <is>
          <t>Hamidi Insignia Or Parfum Spray 105ml</t>
        </is>
      </c>
      <c r="C9650" t="inlineStr">
        <is>
          <t>Eau De Parfum</t>
        </is>
      </c>
      <c r="D9650" t="inlineStr">
        <is>
          <t>Hamidi</t>
        </is>
      </c>
      <c r="E9650" t="n">
        <v>16.51</v>
      </c>
      <c r="F9650" t="n">
        <v>1</v>
      </c>
      <c r="G9650" t="n">
        <v>3</v>
      </c>
      <c r="H9650" s="5">
        <f>HYPERLINK("https://api.qogita.com/variants/link/6294015179002/", "View Product")</f>
        <v/>
      </c>
    </row>
    <row r="9651">
      <c r="A9651" t="inlineStr">
        <is>
          <t>6294015179019</t>
        </is>
      </c>
      <c r="B9651" t="inlineStr">
        <is>
          <t>Hamidi Insignia Gules Parfum Spray 105ml</t>
        </is>
      </c>
      <c r="C9651" t="inlineStr">
        <is>
          <t>Eau De Parfum</t>
        </is>
      </c>
      <c r="D9651" t="inlineStr">
        <is>
          <t>Hamidi</t>
        </is>
      </c>
      <c r="E9651" t="n">
        <v>18.02</v>
      </c>
      <c r="F9651" t="n">
        <v>1</v>
      </c>
      <c r="G9651" t="n">
        <v>4</v>
      </c>
      <c r="H9651" s="5">
        <f>HYPERLINK("https://api.qogita.com/variants/link/6294015179019/", "View Product")</f>
        <v/>
      </c>
    </row>
    <row r="9652">
      <c r="A9652" t="inlineStr">
        <is>
          <t>6294015179064</t>
        </is>
      </c>
      <c r="B9652" t="inlineStr">
        <is>
          <t>Insignia Ermine By Hamidi Unisex Parfum Spray 3.6 Oz</t>
        </is>
      </c>
      <c r="C9652" t="inlineStr">
        <is>
          <t>Eau De Parfum</t>
        </is>
      </c>
      <c r="D9652" t="inlineStr">
        <is>
          <t>Hamidi</t>
        </is>
      </c>
      <c r="E9652" t="n">
        <v>16.22</v>
      </c>
      <c r="F9652" t="n">
        <v>1</v>
      </c>
      <c r="G9652" t="n">
        <v>5</v>
      </c>
      <c r="H9652" s="5">
        <f>HYPERLINK("https://api.qogita.com/variants/link/6294015179064/", "View Product")</f>
        <v/>
      </c>
    </row>
    <row r="9653">
      <c r="A9653" t="inlineStr">
        <is>
          <t>6294015180169</t>
        </is>
      </c>
      <c r="B9653" t="inlineStr">
        <is>
          <t>Armaf Club De Nuit Man Eau De Toilette Miniature</t>
        </is>
      </c>
      <c r="C9653" t="inlineStr">
        <is>
          <t>Eau De Toilette</t>
        </is>
      </c>
      <c r="D9653" t="inlineStr">
        <is>
          <t>Armaf</t>
        </is>
      </c>
      <c r="E9653" t="n">
        <v>6.94</v>
      </c>
      <c r="F9653" t="n">
        <v>1</v>
      </c>
      <c r="G9653" t="n">
        <v>4</v>
      </c>
      <c r="H9653" s="5">
        <f>HYPERLINK("https://api.qogita.com/variants/link/6294015180169/", "View Product")</f>
        <v/>
      </c>
    </row>
    <row r="9654">
      <c r="A9654" t="inlineStr">
        <is>
          <t>6294015180367</t>
        </is>
      </c>
      <c r="B9654" t="inlineStr">
        <is>
          <t>Armaf Club De Nuit Intense Limited Edition Eau De Parfum Spray 105ml</t>
        </is>
      </c>
      <c r="C9654" t="inlineStr">
        <is>
          <t>Eau De Parfum</t>
        </is>
      </c>
      <c r="D9654" t="inlineStr">
        <is>
          <t>Armaf</t>
        </is>
      </c>
      <c r="E9654" t="n">
        <v>54.21</v>
      </c>
      <c r="F9654" t="n">
        <v>1</v>
      </c>
      <c r="G9654" t="n">
        <v>459</v>
      </c>
      <c r="H9654" s="5">
        <f>HYPERLINK("https://api.qogita.com/variants/link/6294015180367/", "View Product")</f>
        <v/>
      </c>
    </row>
    <row r="9655">
      <c r="A9655" t="inlineStr">
        <is>
          <t>6294015180497</t>
        </is>
      </c>
      <c r="B9655" t="inlineStr">
        <is>
          <t>Hamidi Lost Paradise Celestial Wood Eau De Parfum Spray 100ml</t>
        </is>
      </c>
      <c r="C9655" t="inlineStr">
        <is>
          <t>Eau De Parfum</t>
        </is>
      </c>
      <c r="D9655" t="inlineStr">
        <is>
          <t>Hamidi</t>
        </is>
      </c>
      <c r="E9655" t="n">
        <v>15.41</v>
      </c>
      <c r="F9655" t="n">
        <v>1</v>
      </c>
      <c r="G9655" t="n">
        <v>4</v>
      </c>
      <c r="H9655" s="5">
        <f>HYPERLINK("https://api.qogita.com/variants/link/6294015180497/", "View Product")</f>
        <v/>
      </c>
    </row>
    <row r="9656">
      <c r="A9656" t="inlineStr">
        <is>
          <t>6294015180534</t>
        </is>
      </c>
      <c r="B9656" t="inlineStr">
        <is>
          <t>Hamidi Lost Paradise Heavenly Bliss Eau De Parfum Spray 100ml</t>
        </is>
      </c>
      <c r="C9656" t="inlineStr">
        <is>
          <t>Eau De Parfum</t>
        </is>
      </c>
      <c r="D9656" t="inlineStr">
        <is>
          <t>Hamidi</t>
        </is>
      </c>
      <c r="E9656" t="n">
        <v>13.7</v>
      </c>
      <c r="F9656" t="n">
        <v>1</v>
      </c>
      <c r="G9656" t="n">
        <v>6</v>
      </c>
      <c r="H9656" s="5">
        <f>HYPERLINK("https://api.qogita.com/variants/link/6294015180534/", "View Product")</f>
        <v/>
      </c>
    </row>
    <row r="9657">
      <c r="A9657" t="inlineStr">
        <is>
          <t>6294015181173</t>
        </is>
      </c>
      <c r="B9657" t="inlineStr">
        <is>
          <t>Armaf Club The Falcon Eau De Parfum 100ml Unisex</t>
        </is>
      </c>
      <c r="C9657" t="inlineStr">
        <is>
          <t>Eau De Parfum</t>
        </is>
      </c>
      <c r="D9657" t="inlineStr">
        <is>
          <t>Armaf</t>
        </is>
      </c>
      <c r="E9657" t="n">
        <v>24.57</v>
      </c>
      <c r="F9657" t="n">
        <v>1</v>
      </c>
      <c r="G9657" t="n">
        <v>12</v>
      </c>
      <c r="H9657" s="5">
        <f>HYPERLINK("https://api.qogita.com/variants/link/6294015181173/", "View Product")</f>
        <v/>
      </c>
    </row>
    <row r="9658">
      <c r="A9658" t="inlineStr">
        <is>
          <t>6294015181838</t>
        </is>
      </c>
      <c r="B9658" t="inlineStr">
        <is>
          <t>Armaf Eter Desert Breeze Eau De Parfum</t>
        </is>
      </c>
      <c r="C9658" t="inlineStr">
        <is>
          <t>Eau De Parfum</t>
        </is>
      </c>
      <c r="D9658" t="inlineStr">
        <is>
          <t>Armaf</t>
        </is>
      </c>
      <c r="E9658" t="n">
        <v>26.25</v>
      </c>
      <c r="F9658" t="n">
        <v>1</v>
      </c>
      <c r="G9658" t="n">
        <v>66</v>
      </c>
      <c r="H9658" s="5">
        <f>HYPERLINK("https://api.qogita.com/variants/link/6294015181838/", "View Product")</f>
        <v/>
      </c>
    </row>
    <row r="9659">
      <c r="A9659" t="inlineStr">
        <is>
          <t>6294015182071</t>
        </is>
      </c>
      <c r="B9659" t="inlineStr">
        <is>
          <t>Hamidi Herba Pure 100ml Eau De Parfum</t>
        </is>
      </c>
      <c r="C9659" t="inlineStr">
        <is>
          <t>Eau De Parfum</t>
        </is>
      </c>
      <c r="D9659" t="inlineStr">
        <is>
          <t>Hamidi</t>
        </is>
      </c>
      <c r="E9659" t="n">
        <v>9.82</v>
      </c>
      <c r="F9659" t="n">
        <v>1</v>
      </c>
      <c r="G9659" t="n">
        <v>41</v>
      </c>
      <c r="H9659" s="5">
        <f>HYPERLINK("https://api.qogita.com/variants/link/6294015182071/", "View Product")</f>
        <v/>
      </c>
    </row>
    <row r="9660">
      <c r="A9660" t="inlineStr">
        <is>
          <t>6294015182880</t>
        </is>
      </c>
      <c r="B9660" t="inlineStr">
        <is>
          <t>Armaf Uniq Oud Forever Eau De Parfum</t>
        </is>
      </c>
      <c r="C9660" t="inlineStr">
        <is>
          <t>Eau De Parfum</t>
        </is>
      </c>
      <c r="D9660" t="inlineStr">
        <is>
          <t>Armaf</t>
        </is>
      </c>
      <c r="E9660" t="n">
        <v>17.57</v>
      </c>
      <c r="F9660" t="n">
        <v>1</v>
      </c>
      <c r="G9660" t="n">
        <v>150</v>
      </c>
      <c r="H9660" s="5">
        <f>HYPERLINK("https://api.qogita.com/variants/link/6294015182880/", "View Product")</f>
        <v/>
      </c>
    </row>
    <row r="9661">
      <c r="A9661" t="inlineStr">
        <is>
          <t>6294015182903</t>
        </is>
      </c>
      <c r="B9661" t="inlineStr">
        <is>
          <t>Armaf Uniq Effects Of Uniq Eau De Parfum</t>
        </is>
      </c>
      <c r="C9661" t="inlineStr">
        <is>
          <t>Eau De Parfum</t>
        </is>
      </c>
      <c r="D9661" t="inlineStr">
        <is>
          <t>Armaf</t>
        </is>
      </c>
      <c r="E9661" t="n">
        <v>21.93</v>
      </c>
      <c r="F9661" t="n">
        <v>1</v>
      </c>
      <c r="G9661" t="n">
        <v>23</v>
      </c>
      <c r="H9661" s="5">
        <f>HYPERLINK("https://api.qogita.com/variants/link/6294015182903/", "View Product")</f>
        <v/>
      </c>
    </row>
    <row r="9662">
      <c r="A9662" t="inlineStr">
        <is>
          <t>6294015184181</t>
        </is>
      </c>
      <c r="B9662" t="inlineStr">
        <is>
          <t>Time To Love by Risala for Women 3.4 Oz EDP Spray</t>
        </is>
      </c>
      <c r="C9662" t="inlineStr">
        <is>
          <t>Eau De Parfum</t>
        </is>
      </c>
      <c r="D9662" t="inlineStr">
        <is>
          <t>Risala</t>
        </is>
      </c>
      <c r="E9662" t="n">
        <v>13.28</v>
      </c>
      <c r="F9662" t="n">
        <v>1</v>
      </c>
      <c r="G9662" t="n">
        <v>40</v>
      </c>
      <c r="H9662" s="5">
        <f>HYPERLINK("https://api.qogita.com/variants/link/6294015184181/", "View Product")</f>
        <v/>
      </c>
    </row>
    <row r="9663">
      <c r="A9663" t="inlineStr">
        <is>
          <t>6294015184204</t>
        </is>
      </c>
      <c r="B9663" t="inlineStr">
        <is>
          <t>Blue Bomb Extreme by Risala for Unisex 3.4 Oz EDP Spray</t>
        </is>
      </c>
      <c r="C9663" t="inlineStr">
        <is>
          <t>Eau De Parfum</t>
        </is>
      </c>
      <c r="D9663" t="inlineStr">
        <is>
          <t>Risala</t>
        </is>
      </c>
      <c r="E9663" t="n">
        <v>13.28</v>
      </c>
      <c r="F9663" t="n">
        <v>1</v>
      </c>
      <c r="G9663" t="n">
        <v>39</v>
      </c>
      <c r="H9663" s="5">
        <f>HYPERLINK("https://api.qogita.com/variants/link/6294015184204/", "View Product")</f>
        <v/>
      </c>
    </row>
    <row r="9664">
      <c r="A9664" t="inlineStr">
        <is>
          <t>6294015185058</t>
        </is>
      </c>
      <c r="B9664" t="inlineStr">
        <is>
          <t>Valley of Love by Risala Unisex Eau de Parfum Spray 3.4 Oz</t>
        </is>
      </c>
      <c r="C9664" t="inlineStr">
        <is>
          <t>Eau De Parfum</t>
        </is>
      </c>
      <c r="D9664" t="inlineStr">
        <is>
          <t>Risala</t>
        </is>
      </c>
      <c r="E9664" t="n">
        <v>13.94</v>
      </c>
      <c r="F9664" t="n">
        <v>1</v>
      </c>
      <c r="G9664" t="n">
        <v>34</v>
      </c>
      <c r="H9664" s="5">
        <f>HYPERLINK("https://api.qogita.com/variants/link/6294015185058/", "View Product")</f>
        <v/>
      </c>
    </row>
    <row r="9665">
      <c r="A9665" t="inlineStr">
        <is>
          <t>6294015185072</t>
        </is>
      </c>
      <c r="B9665" t="inlineStr">
        <is>
          <t>Meydan By Risala Unisex 3.4 Oz EDP Spray</t>
        </is>
      </c>
      <c r="C9665" t="inlineStr">
        <is>
          <t>Eau De Parfum</t>
        </is>
      </c>
      <c r="D9665" t="inlineStr">
        <is>
          <t>Risala</t>
        </is>
      </c>
      <c r="E9665" t="n">
        <v>13.28</v>
      </c>
      <c r="F9665" t="n">
        <v>1</v>
      </c>
      <c r="G9665" t="n">
        <v>41</v>
      </c>
      <c r="H9665" s="5">
        <f>HYPERLINK("https://api.qogita.com/variants/link/6294015185072/", "View Product")</f>
        <v/>
      </c>
    </row>
    <row r="9666">
      <c r="A9666" t="inlineStr">
        <is>
          <t>6294015185102</t>
        </is>
      </c>
      <c r="B9666" t="inlineStr">
        <is>
          <t>Sensuelle By Risala For Women 3.4 Oz EDP Spray</t>
        </is>
      </c>
      <c r="C9666" t="inlineStr">
        <is>
          <t>Eau De Parfum</t>
        </is>
      </c>
      <c r="D9666" t="inlineStr">
        <is>
          <t>Risala</t>
        </is>
      </c>
      <c r="E9666" t="n">
        <v>12.41</v>
      </c>
      <c r="F9666" t="n">
        <v>1</v>
      </c>
      <c r="G9666" t="n">
        <v>31</v>
      </c>
      <c r="H9666" s="5">
        <f>HYPERLINK("https://api.qogita.com/variants/link/6294015185102/", "View Product")</f>
        <v/>
      </c>
    </row>
    <row r="9667">
      <c r="A9667" t="inlineStr">
        <is>
          <t>6294015188622</t>
        </is>
      </c>
      <c r="B9667" t="inlineStr">
        <is>
          <t>Armaf Odyssey Candee Special Edition Eau De Parfum Spray 100ml</t>
        </is>
      </c>
      <c r="C9667" t="inlineStr">
        <is>
          <t>Eau De Parfum</t>
        </is>
      </c>
      <c r="D9667" t="inlineStr">
        <is>
          <t>Armaf</t>
        </is>
      </c>
      <c r="E9667" t="n">
        <v>16.98</v>
      </c>
      <c r="F9667" t="n">
        <v>1</v>
      </c>
      <c r="G9667" t="n">
        <v>180</v>
      </c>
      <c r="H9667" s="5">
        <f>HYPERLINK("https://api.qogita.com/variants/link/6294015188622/", "View Product")</f>
        <v/>
      </c>
    </row>
    <row r="9668">
      <c r="A9668" t="inlineStr">
        <is>
          <t>6294015188653</t>
        </is>
      </c>
      <c r="B9668" t="inlineStr">
        <is>
          <t>Armaf Odyssey Spectra Eau De Parfum 100ml</t>
        </is>
      </c>
      <c r="C9668" t="inlineStr">
        <is>
          <t>Eau De Parfum</t>
        </is>
      </c>
      <c r="D9668" t="inlineStr">
        <is>
          <t>Armaf</t>
        </is>
      </c>
      <c r="E9668" t="n">
        <v>16.67</v>
      </c>
      <c r="F9668" t="n">
        <v>1</v>
      </c>
      <c r="G9668" t="n">
        <v>22</v>
      </c>
      <c r="H9668" s="5">
        <f>HYPERLINK("https://api.qogita.com/variants/link/6294015188653/", "View Product")</f>
        <v/>
      </c>
    </row>
    <row r="9669">
      <c r="A9669" t="inlineStr">
        <is>
          <t>6294015190588</t>
        </is>
      </c>
      <c r="B9669" t="inlineStr">
        <is>
          <t>Sharaf By Risala Unisex 3.4 Oz EDP Spray</t>
        </is>
      </c>
      <c r="C9669" t="inlineStr">
        <is>
          <t>Eau De Parfum</t>
        </is>
      </c>
      <c r="D9669" t="inlineStr">
        <is>
          <t>Risala</t>
        </is>
      </c>
      <c r="E9669" t="n">
        <v>12.48</v>
      </c>
      <c r="F9669" t="n">
        <v>1</v>
      </c>
      <c r="G9669" t="n">
        <v>40</v>
      </c>
      <c r="H9669" s="5">
        <f>HYPERLINK("https://api.qogita.com/variants/link/6294015190588/", "View Product")</f>
        <v/>
      </c>
    </row>
    <row r="9670">
      <c r="A9670" t="inlineStr">
        <is>
          <t>6294015190625</t>
        </is>
      </c>
      <c r="B9670" t="inlineStr">
        <is>
          <t>Sayf Almajd By Risala For Men 3.6 Oz EDP Spray</t>
        </is>
      </c>
      <c r="C9670" t="inlineStr">
        <is>
          <t>Eau De Parfum</t>
        </is>
      </c>
      <c r="D9670" t="inlineStr">
        <is>
          <t>Risala</t>
        </is>
      </c>
      <c r="E9670" t="n">
        <v>13.94</v>
      </c>
      <c r="F9670" t="n">
        <v>1</v>
      </c>
      <c r="G9670" t="n">
        <v>43</v>
      </c>
      <c r="H9670" s="5">
        <f>HYPERLINK("https://api.qogita.com/variants/link/6294015190625/", "View Product")</f>
        <v/>
      </c>
    </row>
    <row r="9671">
      <c r="A9671" t="inlineStr">
        <is>
          <t>6294015192308</t>
        </is>
      </c>
      <c r="B9671" t="inlineStr">
        <is>
          <t>Just Jack Ironwood Eau De Parfum 120 Milliliters</t>
        </is>
      </c>
      <c r="C9671" t="inlineStr">
        <is>
          <t>Eau De Parfum</t>
        </is>
      </c>
      <c r="D9671" t="inlineStr">
        <is>
          <t>Just Jack</t>
        </is>
      </c>
      <c r="E9671" t="n">
        <v>18.6</v>
      </c>
      <c r="F9671" t="n">
        <v>1</v>
      </c>
      <c r="G9671" t="n">
        <v>41</v>
      </c>
      <c r="H9671" s="5">
        <f>HYPERLINK("https://api.qogita.com/variants/link/6294015192308/", "View Product")</f>
        <v/>
      </c>
    </row>
    <row r="9672">
      <c r="A9672" t="inlineStr">
        <is>
          <t>6294015192339</t>
        </is>
      </c>
      <c r="B9672" t="inlineStr">
        <is>
          <t>Just Jack Western Eau De Parfum 120 Milliliters</t>
        </is>
      </c>
      <c r="C9672" t="inlineStr">
        <is>
          <t>Eau De Parfum</t>
        </is>
      </c>
      <c r="D9672" t="inlineStr">
        <is>
          <t>Just Jack</t>
        </is>
      </c>
      <c r="E9672" t="n">
        <v>18.6</v>
      </c>
      <c r="F9672" t="n">
        <v>1</v>
      </c>
      <c r="G9672" t="n">
        <v>41</v>
      </c>
      <c r="H9672" s="5">
        <f>HYPERLINK("https://api.qogita.com/variants/link/6294015192339/", "View Product")</f>
        <v/>
      </c>
    </row>
    <row r="9673">
      <c r="A9673" t="inlineStr">
        <is>
          <t>6294015196467</t>
        </is>
      </c>
      <c r="B9673" t="inlineStr">
        <is>
          <t>Armaf Heritage Lionheart Women Eau De Toilette 100ml</t>
        </is>
      </c>
      <c r="C9673" t="inlineStr">
        <is>
          <t>Eau De Toilette</t>
        </is>
      </c>
      <c r="D9673" t="inlineStr">
        <is>
          <t>Armaf</t>
        </is>
      </c>
      <c r="E9673" t="n">
        <v>25.08</v>
      </c>
      <c r="F9673" t="n">
        <v>1</v>
      </c>
      <c r="G9673" t="n">
        <v>80</v>
      </c>
      <c r="H9673" s="5">
        <f>HYPERLINK("https://api.qogita.com/variants/link/6294015196467/", "View Product")</f>
        <v/>
      </c>
    </row>
    <row r="9674">
      <c r="A9674" t="inlineStr">
        <is>
          <t>6294015196641</t>
        </is>
      </c>
      <c r="B9674" t="inlineStr">
        <is>
          <t>Risala A Ameera Eau De Parfum 100 Ml</t>
        </is>
      </c>
      <c r="C9674" t="inlineStr">
        <is>
          <t>Eau De Parfum</t>
        </is>
      </c>
      <c r="D9674" t="inlineStr">
        <is>
          <t>Risala</t>
        </is>
      </c>
      <c r="E9674" t="n">
        <v>13.94</v>
      </c>
      <c r="F9674" t="n">
        <v>1</v>
      </c>
      <c r="G9674" t="n">
        <v>28</v>
      </c>
      <c r="H9674" s="5">
        <f>HYPERLINK("https://api.qogita.com/variants/link/6294015196641/", "View Product")</f>
        <v/>
      </c>
    </row>
    <row r="9675">
      <c r="A9675" t="inlineStr">
        <is>
          <t>6294015196665</t>
        </is>
      </c>
      <c r="B9675" t="inlineStr">
        <is>
          <t>Risala Zafer Eau De Parfum 100 Ml</t>
        </is>
      </c>
      <c r="C9675" t="inlineStr">
        <is>
          <t>Eau De Parfum</t>
        </is>
      </c>
      <c r="D9675" t="inlineStr">
        <is>
          <t>Risala</t>
        </is>
      </c>
      <c r="E9675" t="n">
        <v>12.44</v>
      </c>
      <c r="F9675" t="n">
        <v>1</v>
      </c>
      <c r="G9675" t="n">
        <v>32</v>
      </c>
      <c r="H9675" s="5">
        <f>HYPERLINK("https://api.qogita.com/variants/link/6294015196665/", "View Product")</f>
        <v/>
      </c>
    </row>
    <row r="9676">
      <c r="A9676" t="inlineStr">
        <is>
          <t>6294015197136</t>
        </is>
      </c>
      <c r="B9676" t="inlineStr">
        <is>
          <t>Armaf Beach Party Eau De Parfum 100ml</t>
        </is>
      </c>
      <c r="C9676" t="inlineStr">
        <is>
          <t>Eau De Parfum</t>
        </is>
      </c>
      <c r="D9676" t="inlineStr">
        <is>
          <t>Armaf</t>
        </is>
      </c>
      <c r="E9676" t="n">
        <v>25.75</v>
      </c>
      <c r="F9676" t="n">
        <v>1</v>
      </c>
      <c r="G9676" t="n">
        <v>28</v>
      </c>
      <c r="H9676" s="5">
        <f>HYPERLINK("https://api.qogita.com/variants/link/6294015197136/", "View Product")</f>
        <v/>
      </c>
    </row>
    <row r="9677">
      <c r="A9677" t="inlineStr">
        <is>
          <t>6294015199130</t>
        </is>
      </c>
      <c r="B9677" t="inlineStr">
        <is>
          <t>Hamidi Sukoon 100ml Eau De Parfum</t>
        </is>
      </c>
      <c r="C9677" t="inlineStr">
        <is>
          <t>Eau De Parfum</t>
        </is>
      </c>
      <c r="D9677" t="inlineStr">
        <is>
          <t>Hamidi</t>
        </is>
      </c>
      <c r="E9677" t="n">
        <v>18.34</v>
      </c>
      <c r="F9677" t="n">
        <v>1</v>
      </c>
      <c r="G9677" t="n">
        <v>40</v>
      </c>
      <c r="H9677" s="5">
        <f>HYPERLINK("https://api.qogita.com/variants/link/6294015199130/", "View Product")</f>
        <v/>
      </c>
    </row>
    <row r="9678">
      <c r="A9678" t="inlineStr">
        <is>
          <t>6294015199154</t>
        </is>
      </c>
      <c r="B9678" t="inlineStr">
        <is>
          <t>Hamidi Fondue Tropical 100ml Eau De Parfum</t>
        </is>
      </c>
      <c r="C9678" t="inlineStr">
        <is>
          <t>Eau De Parfum</t>
        </is>
      </c>
      <c r="D9678" t="inlineStr">
        <is>
          <t>Hamidi</t>
        </is>
      </c>
      <c r="E9678" t="n">
        <v>19.38</v>
      </c>
      <c r="F9678" t="n">
        <v>1</v>
      </c>
      <c r="G9678" t="n">
        <v>26</v>
      </c>
      <c r="H9678" s="5">
        <f>HYPERLINK("https://api.qogita.com/variants/link/6294015199154/", "View Product")</f>
        <v/>
      </c>
    </row>
    <row r="9679">
      <c r="A9679" t="inlineStr">
        <is>
          <t>6294015199178</t>
        </is>
      </c>
      <c r="B9679" t="inlineStr">
        <is>
          <t>Hamidi Ishq Forever 100ml Eau De Parfum</t>
        </is>
      </c>
      <c r="C9679" t="inlineStr">
        <is>
          <t>Eau De Parfum</t>
        </is>
      </c>
      <c r="D9679" t="inlineStr">
        <is>
          <t>Hamidi</t>
        </is>
      </c>
      <c r="E9679" t="n">
        <v>18.65</v>
      </c>
      <c r="F9679" t="n">
        <v>1</v>
      </c>
      <c r="G9679" t="n">
        <v>35</v>
      </c>
      <c r="H9679" s="5">
        <f>HYPERLINK("https://api.qogita.com/variants/link/6294015199178/", "View Product")</f>
        <v/>
      </c>
    </row>
    <row r="9680">
      <c r="A9680" t="inlineStr">
        <is>
          <t>6294018401049</t>
        </is>
      </c>
      <c r="B9680" t="inlineStr">
        <is>
          <t>Huda Beauty Glowish Sheer Concealer - 105 Ml</t>
        </is>
      </c>
      <c r="C9680" t="inlineStr">
        <is>
          <t>Concealer</t>
        </is>
      </c>
      <c r="D9680" t="inlineStr">
        <is>
          <t>Huda Beauty</t>
        </is>
      </c>
      <c r="E9680" t="n">
        <v>23.99</v>
      </c>
      <c r="F9680" t="n">
        <v>1</v>
      </c>
      <c r="G9680" t="n">
        <v>11</v>
      </c>
      <c r="H9680" s="5">
        <f>HYPERLINK("https://api.qogita.com/variants/link/6294018401049/", "View Product")</f>
        <v/>
      </c>
    </row>
    <row r="9681">
      <c r="A9681" t="inlineStr">
        <is>
          <t>6294018401148</t>
        </is>
      </c>
      <c r="B9681" t="inlineStr">
        <is>
          <t>Huda Beauty Glowish Sheer Concealer - 105 Ml</t>
        </is>
      </c>
      <c r="C9681" t="inlineStr">
        <is>
          <t>Concealer</t>
        </is>
      </c>
      <c r="D9681" t="inlineStr">
        <is>
          <t>Huda Beauty</t>
        </is>
      </c>
      <c r="E9681" t="n">
        <v>23.99</v>
      </c>
      <c r="F9681" t="n">
        <v>1</v>
      </c>
      <c r="G9681" t="n">
        <v>7</v>
      </c>
      <c r="H9681" s="5">
        <f>HYPERLINK("https://api.qogita.com/variants/link/6294018401148/", "View Product")</f>
        <v/>
      </c>
    </row>
    <row r="9682">
      <c r="A9682" t="inlineStr">
        <is>
          <t>6294018402138</t>
        </is>
      </c>
      <c r="B9682" t="inlineStr">
        <is>
          <t>Huda Beauty Glowish Super Jelly Lip Balm 25 G</t>
        </is>
      </c>
      <c r="C9682" t="inlineStr">
        <is>
          <t>Lip Balm</t>
        </is>
      </c>
      <c r="D9682" t="inlineStr">
        <is>
          <t>Huda Beauty</t>
        </is>
      </c>
      <c r="E9682" t="n">
        <v>15.6</v>
      </c>
      <c r="F9682" t="n">
        <v>1</v>
      </c>
      <c r="G9682" t="n">
        <v>19</v>
      </c>
      <c r="H9682" s="5">
        <f>HYPERLINK("https://api.qogita.com/variants/link/6294018402138/", "View Product")</f>
        <v/>
      </c>
    </row>
    <row r="9683">
      <c r="A9683" t="inlineStr">
        <is>
          <t>6294019003099</t>
        </is>
      </c>
      <c r="B9683" t="inlineStr">
        <is>
          <t>Amaran Oxana Patchouli 3.4 Fl Oz (100ml) EDP Perfume for Unisex</t>
        </is>
      </c>
      <c r="C9683" t="inlineStr">
        <is>
          <t>Eau De Parfum</t>
        </is>
      </c>
      <c r="D9683" t="inlineStr">
        <is>
          <t>Amaran</t>
        </is>
      </c>
      <c r="E9683" t="n">
        <v>16.04</v>
      </c>
      <c r="F9683" t="n">
        <v>1</v>
      </c>
      <c r="G9683" t="n">
        <v>13</v>
      </c>
      <c r="H9683" s="5">
        <f>HYPERLINK("https://api.qogita.com/variants/link/6294019003099/", "View Product")</f>
        <v/>
      </c>
    </row>
    <row r="9684">
      <c r="A9684" t="inlineStr">
        <is>
          <t>6294019015993</t>
        </is>
      </c>
      <c r="B9684" t="inlineStr">
        <is>
          <t>Edge Crystal Eau de Parfum for Women 3.4 fl oz 100ml</t>
        </is>
      </c>
      <c r="C9684" t="inlineStr">
        <is>
          <t>Eau De Parfum</t>
        </is>
      </c>
      <c r="D9684" t="inlineStr">
        <is>
          <t>Mirada</t>
        </is>
      </c>
      <c r="E9684" t="n">
        <v>12.89</v>
      </c>
      <c r="F9684" t="n">
        <v>1</v>
      </c>
      <c r="G9684" t="n">
        <v>22</v>
      </c>
      <c r="H9684" s="5">
        <f>HYPERLINK("https://api.qogita.com/variants/link/6294019015993/", "View Product")</f>
        <v/>
      </c>
    </row>
    <row r="9685">
      <c r="A9685" t="inlineStr">
        <is>
          <t>6294019024605</t>
        </is>
      </c>
      <c r="B9685" t="inlineStr">
        <is>
          <t>Marva The Irish Collection by Amaran Eau De Parfum 2.8oz 85ml</t>
        </is>
      </c>
      <c r="C9685" t="inlineStr">
        <is>
          <t>Eau De Parfum</t>
        </is>
      </c>
      <c r="D9685" t="inlineStr">
        <is>
          <t>Amaran</t>
        </is>
      </c>
      <c r="E9685" t="n">
        <v>19.19</v>
      </c>
      <c r="F9685" t="n">
        <v>1</v>
      </c>
      <c r="G9685" t="n">
        <v>6</v>
      </c>
      <c r="H9685" s="5">
        <f>HYPERLINK("https://api.qogita.com/variants/link/6294019024605/", "View Product")</f>
        <v/>
      </c>
    </row>
    <row r="9686">
      <c r="A9686" t="inlineStr">
        <is>
          <t>6294022301106</t>
        </is>
      </c>
      <c r="B9686" t="inlineStr">
        <is>
          <t>Anfar Pistachio Kunafa Eau De Parfum - 100ml</t>
        </is>
      </c>
      <c r="C9686" t="inlineStr">
        <is>
          <t>Eau De Parfum</t>
        </is>
      </c>
      <c r="D9686" t="inlineStr">
        <is>
          <t>Anfar</t>
        </is>
      </c>
      <c r="E9686" t="n">
        <v>16.31</v>
      </c>
      <c r="F9686" t="n">
        <v>1</v>
      </c>
      <c r="G9686" t="n">
        <v>80</v>
      </c>
      <c r="H9686" s="5">
        <f>HYPERLINK("https://api.qogita.com/variants/link/6294022301106/", "View Product")</f>
        <v/>
      </c>
    </row>
    <row r="9687">
      <c r="A9687" t="inlineStr">
        <is>
          <t>6294457854512</t>
        </is>
      </c>
      <c r="B9687" t="inlineStr">
        <is>
          <t>Paris Corner Mawj Moscow Mule Eau De Parfum 100ml</t>
        </is>
      </c>
      <c r="C9687" t="inlineStr">
        <is>
          <t>Eau De Parfum</t>
        </is>
      </c>
      <c r="D9687" t="inlineStr">
        <is>
          <t>Paris Corner</t>
        </is>
      </c>
      <c r="E9687" t="n">
        <v>19.75</v>
      </c>
      <c r="F9687" t="n">
        <v>1</v>
      </c>
      <c r="G9687" t="n">
        <v>459</v>
      </c>
      <c r="H9687" s="5">
        <f>HYPERLINK("https://api.qogita.com/variants/link/6294457854512/", "View Product")</f>
        <v/>
      </c>
    </row>
    <row r="9688">
      <c r="A9688" t="inlineStr">
        <is>
          <t>6294457864641</t>
        </is>
      </c>
      <c r="B9688" t="inlineStr">
        <is>
          <t>Paris Corner Mawj Cognac Blaze Eau De Parfum 100ml</t>
        </is>
      </c>
      <c r="C9688" t="inlineStr">
        <is>
          <t>Eau De Parfum</t>
        </is>
      </c>
      <c r="D9688" t="inlineStr">
        <is>
          <t>Paris Corner</t>
        </is>
      </c>
      <c r="E9688" t="n">
        <v>19.17</v>
      </c>
      <c r="F9688" t="n">
        <v>1</v>
      </c>
      <c r="G9688" t="n">
        <v>83</v>
      </c>
      <c r="H9688" s="5">
        <f>HYPERLINK("https://api.qogita.com/variants/link/6294457864641/", "View Product")</f>
        <v/>
      </c>
    </row>
    <row r="9689">
      <c r="A9689" t="inlineStr">
        <is>
          <t>6294653987250</t>
        </is>
      </c>
      <c r="B9689" t="inlineStr">
        <is>
          <t>Ministry Of Oud Amber Extrait De Perfume 100ml</t>
        </is>
      </c>
      <c r="C9689" t="inlineStr">
        <is>
          <t>Extrait De Parfum</t>
        </is>
      </c>
      <c r="D9689" t="inlineStr">
        <is>
          <t>Ministry Of Oud</t>
        </is>
      </c>
      <c r="E9689" t="n">
        <v>13.67</v>
      </c>
      <c r="F9689" t="n">
        <v>1</v>
      </c>
      <c r="G9689" t="n">
        <v>27</v>
      </c>
      <c r="H9689" s="5">
        <f>HYPERLINK("https://api.qogita.com/variants/link/6294653987250/", "View Product")</f>
        <v/>
      </c>
    </row>
    <row r="9690">
      <c r="A9690" t="inlineStr">
        <is>
          <t>6294659987254</t>
        </is>
      </c>
      <c r="B9690" t="inlineStr">
        <is>
          <t>Ministry Of Oud Oud Satin Extrait De Perfume 100ml</t>
        </is>
      </c>
      <c r="C9690" t="inlineStr">
        <is>
          <t>Extrait De Parfum</t>
        </is>
      </c>
      <c r="D9690" t="inlineStr">
        <is>
          <t>Ministry Of Oud</t>
        </is>
      </c>
      <c r="E9690" t="n">
        <v>12.83</v>
      </c>
      <c r="F9690" t="n">
        <v>1</v>
      </c>
      <c r="G9690" t="n">
        <v>65</v>
      </c>
      <c r="H9690" s="5">
        <f>HYPERLINK("https://api.qogita.com/variants/link/6294659987254/", "View Product")</f>
        <v/>
      </c>
    </row>
    <row r="9691">
      <c r="A9691" t="inlineStr">
        <is>
          <t>6295124016820</t>
        </is>
      </c>
      <c r="B9691" t="inlineStr">
        <is>
          <t>Swiss Arabian Edge for Women EDP Spray - Floral Green Fragrance</t>
        </is>
      </c>
      <c r="C9691" t="inlineStr">
        <is>
          <t>Eau De Parfum</t>
        </is>
      </c>
      <c r="D9691" t="inlineStr">
        <is>
          <t>Swiss Arabian</t>
        </is>
      </c>
      <c r="E9691" t="n">
        <v>23.73</v>
      </c>
      <c r="F9691" t="n">
        <v>1</v>
      </c>
      <c r="G9691" t="n">
        <v>5</v>
      </c>
      <c r="H9691" s="5">
        <f>HYPERLINK("https://api.qogita.com/variants/link/6295124016820/", "View Product")</f>
        <v/>
      </c>
    </row>
    <row r="9692">
      <c r="A9692" t="inlineStr">
        <is>
          <t>6295124026249</t>
        </is>
      </c>
      <c r="B9692" t="inlineStr">
        <is>
          <t>Swiss Arabian Layali Eau De Parfum 50ml Women's Floral Oud Fragrance</t>
        </is>
      </c>
      <c r="C9692" t="inlineStr">
        <is>
          <t>Eau De Parfum</t>
        </is>
      </c>
      <c r="D9692" t="inlineStr">
        <is>
          <t>Swiss Arabian</t>
        </is>
      </c>
      <c r="E9692" t="n">
        <v>14.38</v>
      </c>
      <c r="F9692" t="n">
        <v>1</v>
      </c>
      <c r="G9692" t="n">
        <v>82</v>
      </c>
      <c r="H9692" s="5">
        <f>HYPERLINK("https://api.qogita.com/variants/link/6295124026249/", "View Product")</f>
        <v/>
      </c>
    </row>
    <row r="9693">
      <c r="A9693" t="inlineStr">
        <is>
          <t>6295124026836</t>
        </is>
      </c>
      <c r="B9693" t="inlineStr">
        <is>
          <t>Sehr Al Sheila by Swiss Arabian for Women 3.4 Oz EDP Spray</t>
        </is>
      </c>
      <c r="C9693" t="inlineStr">
        <is>
          <t>Eau De Parfum</t>
        </is>
      </c>
      <c r="D9693" t="inlineStr">
        <is>
          <t>Swiss Arabian</t>
        </is>
      </c>
      <c r="E9693" t="n">
        <v>46.02</v>
      </c>
      <c r="F9693" t="n">
        <v>1</v>
      </c>
      <c r="G9693" t="n">
        <v>5</v>
      </c>
      <c r="H9693" s="5">
        <f>HYPERLINK("https://api.qogita.com/variants/link/6295124026836/", "View Product")</f>
        <v/>
      </c>
    </row>
    <row r="9694">
      <c r="A9694" t="inlineStr">
        <is>
          <t>6295124027710</t>
        </is>
      </c>
      <c r="B9694" t="inlineStr">
        <is>
          <t>Swiss Arabian Valencia Eau De Parfum 100ml Unisex Spray</t>
        </is>
      </c>
      <c r="C9694" t="inlineStr">
        <is>
          <t>Eau De Parfum</t>
        </is>
      </c>
      <c r="D9694" t="inlineStr">
        <is>
          <t>Swiss Arabian</t>
        </is>
      </c>
      <c r="E9694" t="n">
        <v>33.9</v>
      </c>
      <c r="F9694" t="n">
        <v>1</v>
      </c>
      <c r="G9694" t="n">
        <v>33</v>
      </c>
      <c r="H9694" s="5">
        <f>HYPERLINK("https://api.qogita.com/variants/link/6295124027710/", "View Product")</f>
        <v/>
      </c>
    </row>
    <row r="9695">
      <c r="A9695" t="inlineStr">
        <is>
          <t>6295124031205</t>
        </is>
      </c>
      <c r="B9695" t="inlineStr">
        <is>
          <t>Swiss Arabian Primal Code Eau De Parfum 100ml</t>
        </is>
      </c>
      <c r="C9695" t="inlineStr">
        <is>
          <t>Eau De Parfum</t>
        </is>
      </c>
      <c r="D9695" t="inlineStr">
        <is>
          <t>Swiss Arabian</t>
        </is>
      </c>
      <c r="E9695" t="n">
        <v>35.14</v>
      </c>
      <c r="F9695" t="n">
        <v>1</v>
      </c>
      <c r="G9695" t="n">
        <v>30</v>
      </c>
      <c r="H9695" s="5">
        <f>HYPERLINK("https://api.qogita.com/variants/link/6295124031205/", "View Product")</f>
        <v/>
      </c>
    </row>
    <row r="9696">
      <c r="A9696" t="inlineStr">
        <is>
          <t>6295124031250</t>
        </is>
      </c>
      <c r="B9696" t="inlineStr">
        <is>
          <t>Swiss Arabian Gharaam Eau De Parfum Spray 50ml</t>
        </is>
      </c>
      <c r="C9696" t="inlineStr">
        <is>
          <t>Eau De Parfum</t>
        </is>
      </c>
      <c r="D9696" t="inlineStr">
        <is>
          <t>Swiss Arabian</t>
        </is>
      </c>
      <c r="E9696" t="n">
        <v>32.98</v>
      </c>
      <c r="F9696" t="n">
        <v>1</v>
      </c>
      <c r="G9696" t="n">
        <v>37</v>
      </c>
      <c r="H9696" s="5">
        <f>HYPERLINK("https://api.qogita.com/variants/link/6295124031250/", "View Product")</f>
        <v/>
      </c>
    </row>
    <row r="9697">
      <c r="A9697" t="inlineStr">
        <is>
          <t>6295124031267</t>
        </is>
      </c>
      <c r="B9697" t="inlineStr">
        <is>
          <t>Hawa by Swiss Arabian</t>
        </is>
      </c>
      <c r="C9697" t="inlineStr">
        <is>
          <t>Eau De Parfum</t>
        </is>
      </c>
      <c r="D9697" t="inlineStr">
        <is>
          <t>Swiss Arabian</t>
        </is>
      </c>
      <c r="E9697" t="n">
        <v>37.98</v>
      </c>
      <c r="F9697" t="n">
        <v>1</v>
      </c>
      <c r="G9697" t="n">
        <v>20</v>
      </c>
      <c r="H9697" s="5">
        <f>HYPERLINK("https://api.qogita.com/variants/link/6295124031267/", "View Product")</f>
        <v/>
      </c>
    </row>
    <row r="9698">
      <c r="A9698" t="inlineStr">
        <is>
          <t>6295124031298</t>
        </is>
      </c>
      <c r="B9698" t="inlineStr">
        <is>
          <t>Swiss Arabian Wajd Eau De Parfum 50ml</t>
        </is>
      </c>
      <c r="C9698" t="inlineStr">
        <is>
          <t>Eau De Parfum</t>
        </is>
      </c>
      <c r="D9698" t="inlineStr">
        <is>
          <t>Swiss Arabian</t>
        </is>
      </c>
      <c r="E9698" t="n">
        <v>36.73</v>
      </c>
      <c r="F9698" t="n">
        <v>1</v>
      </c>
      <c r="G9698" t="n">
        <v>46</v>
      </c>
      <c r="H9698" s="5">
        <f>HYPERLINK("https://api.qogita.com/variants/link/6295124031298/", "View Product")</f>
        <v/>
      </c>
    </row>
    <row r="9699">
      <c r="A9699" t="inlineStr">
        <is>
          <t>6295124031526</t>
        </is>
      </c>
      <c r="B9699" t="inlineStr">
        <is>
          <t>Swiss Arabian Inara Eau De Parfum Spray 55ml</t>
        </is>
      </c>
      <c r="C9699" t="inlineStr">
        <is>
          <t>Eau De Parfum</t>
        </is>
      </c>
      <c r="D9699" t="inlineStr">
        <is>
          <t>Swiss Arabian</t>
        </is>
      </c>
      <c r="E9699" t="n">
        <v>15.27</v>
      </c>
      <c r="F9699" t="n">
        <v>1</v>
      </c>
      <c r="G9699" t="n">
        <v>5</v>
      </c>
      <c r="H9699" s="5">
        <f>HYPERLINK("https://api.qogita.com/variants/link/6295124031526/", "View Product")</f>
        <v/>
      </c>
    </row>
    <row r="9700">
      <c r="A9700" t="inlineStr">
        <is>
          <t>6295124033957</t>
        </is>
      </c>
      <c r="B9700" t="inlineStr">
        <is>
          <t>Imperial by Swiss Arabian for Men 3.4 Oz EDP Spray 102g</t>
        </is>
      </c>
      <c r="C9700" t="inlineStr">
        <is>
          <t>Eau De Parfum</t>
        </is>
      </c>
      <c r="D9700" t="inlineStr">
        <is>
          <t>Swiss Arabian</t>
        </is>
      </c>
      <c r="E9700" t="n">
        <v>14.84</v>
      </c>
      <c r="F9700" t="n">
        <v>1</v>
      </c>
      <c r="G9700" t="n">
        <v>8</v>
      </c>
      <c r="H9700" s="5">
        <f>HYPERLINK("https://api.qogita.com/variants/link/6295124033957/", "View Product")</f>
        <v/>
      </c>
    </row>
    <row r="9701">
      <c r="A9701" t="inlineStr">
        <is>
          <t>6295124037634</t>
        </is>
      </c>
      <c r="B9701" t="inlineStr">
        <is>
          <t>Rose Malaki by Swiss Arabian Unisex 1 oz Perfume Oil 30g</t>
        </is>
      </c>
      <c r="C9701" t="inlineStr">
        <is>
          <t>Eau De Parfum</t>
        </is>
      </c>
      <c r="D9701" t="inlineStr">
        <is>
          <t>Swiss Arabian</t>
        </is>
      </c>
      <c r="E9701" t="n">
        <v>33.6</v>
      </c>
      <c r="F9701" t="n">
        <v>1</v>
      </c>
      <c r="G9701" t="n">
        <v>25</v>
      </c>
      <c r="H9701" s="5">
        <f>HYPERLINK("https://api.qogita.com/variants/link/6295124037634/", "View Product")</f>
        <v/>
      </c>
    </row>
    <row r="9702">
      <c r="A9702" t="inlineStr">
        <is>
          <t>6295124039812</t>
        </is>
      </c>
      <c r="B9702" t="inlineStr">
        <is>
          <t>Swiss Arabian Shaghaf Oud Hair Perfume for Women - Oud Gourmand Fragrance</t>
        </is>
      </c>
      <c r="C9702" t="inlineStr">
        <is>
          <t>Eau De Parfum</t>
        </is>
      </c>
      <c r="D9702" t="inlineStr">
        <is>
          <t>Swiss Arabian</t>
        </is>
      </c>
      <c r="E9702" t="n">
        <v>21.04</v>
      </c>
      <c r="F9702" t="n">
        <v>1</v>
      </c>
      <c r="G9702" t="n">
        <v>22</v>
      </c>
      <c r="H9702" s="5">
        <f>HYPERLINK("https://api.qogita.com/variants/link/6295124039812/", "View Product")</f>
        <v/>
      </c>
    </row>
    <row r="9703">
      <c r="A9703" t="inlineStr">
        <is>
          <t>6295124044496</t>
        </is>
      </c>
      <c r="B9703" t="inlineStr">
        <is>
          <t>SA SWISS ARABIAN Shaghaf Oud AHMAR Concentrated Perfume Oil 12ml</t>
        </is>
      </c>
      <c r="C9703" t="inlineStr">
        <is>
          <t>Extrait De Parfum</t>
        </is>
      </c>
      <c r="D9703" t="inlineStr">
        <is>
          <t>Swiss Arabian</t>
        </is>
      </c>
      <c r="E9703" t="n">
        <v>19.14</v>
      </c>
      <c r="F9703" t="n">
        <v>1</v>
      </c>
      <c r="G9703" t="n">
        <v>36</v>
      </c>
      <c r="H9703" s="5">
        <f>HYPERLINK("https://api.qogita.com/variants/link/6295124044496/", "View Product")</f>
        <v/>
      </c>
    </row>
    <row r="9704">
      <c r="A9704" t="inlineStr">
        <is>
          <t>6295124044502</t>
        </is>
      </c>
      <c r="B9704" t="inlineStr">
        <is>
          <t>SA SWISS ARABIAN Shaghaf Oud AZRAQ Concentrated Perfume Oil 12ml</t>
        </is>
      </c>
      <c r="C9704" t="inlineStr">
        <is>
          <t>Extrait De Parfum</t>
        </is>
      </c>
      <c r="D9704" t="inlineStr">
        <is>
          <t>Swiss Arabian</t>
        </is>
      </c>
      <c r="E9704" t="n">
        <v>19.14</v>
      </c>
      <c r="F9704" t="n">
        <v>1</v>
      </c>
      <c r="G9704" t="n">
        <v>27</v>
      </c>
      <c r="H9704" s="5">
        <f>HYPERLINK("https://api.qogita.com/variants/link/6295124044502/", "View Product")</f>
        <v/>
      </c>
    </row>
    <row r="9705">
      <c r="A9705" t="inlineStr">
        <is>
          <t>6295124045578</t>
        </is>
      </c>
      <c r="B9705" t="inlineStr">
        <is>
          <t>Swiss Arabian Shaghaf Oud Tonka Eau De Parfum 75ml</t>
        </is>
      </c>
      <c r="C9705" t="inlineStr">
        <is>
          <t>Eau De Parfum</t>
        </is>
      </c>
      <c r="D9705" t="inlineStr">
        <is>
          <t>Swiss Arabian</t>
        </is>
      </c>
      <c r="E9705" t="n">
        <v>38.25</v>
      </c>
      <c r="F9705" t="n">
        <v>1</v>
      </c>
      <c r="G9705" t="n">
        <v>353</v>
      </c>
      <c r="H9705" s="5">
        <f>HYPERLINK("https://api.qogita.com/variants/link/6295124045578/", "View Product")</f>
        <v/>
      </c>
    </row>
    <row r="9706">
      <c r="A9706" t="inlineStr">
        <is>
          <t>6295124045783</t>
        </is>
      </c>
      <c r="B9706" t="inlineStr">
        <is>
          <t>Swiss Arabian Shaghaf Oud Royale Limited Edition 75ml</t>
        </is>
      </c>
      <c r="C9706" t="inlineStr">
        <is>
          <t>Eau De Parfum</t>
        </is>
      </c>
      <c r="D9706" t="inlineStr">
        <is>
          <t>Swiss Arabian</t>
        </is>
      </c>
      <c r="E9706" t="n">
        <v>35.75</v>
      </c>
      <c r="F9706" t="n">
        <v>1</v>
      </c>
      <c r="G9706" t="n">
        <v>18</v>
      </c>
      <c r="H9706" s="5">
        <f>HYPERLINK("https://api.qogita.com/variants/link/6295124045783/", "View Product")</f>
        <v/>
      </c>
    </row>
    <row r="9707">
      <c r="A9707" t="inlineStr">
        <is>
          <t>6295124046339</t>
        </is>
      </c>
      <c r="B9707" t="inlineStr">
        <is>
          <t>Oud and Lychee by Swiss Arabian Unisex 3.4 Oz EDP Spray</t>
        </is>
      </c>
      <c r="C9707" t="inlineStr">
        <is>
          <t>Eau De Parfum</t>
        </is>
      </c>
      <c r="D9707" t="inlineStr">
        <is>
          <t>Swiss Arabian</t>
        </is>
      </c>
      <c r="E9707" t="n">
        <v>19.8</v>
      </c>
      <c r="F9707" t="n">
        <v>1</v>
      </c>
      <c r="G9707" t="n">
        <v>27</v>
      </c>
      <c r="H9707" s="5">
        <f>HYPERLINK("https://api.qogita.com/variants/link/6295124046339/", "View Product")</f>
        <v/>
      </c>
    </row>
    <row r="9708">
      <c r="A9708" t="inlineStr">
        <is>
          <t>6295124047817</t>
        </is>
      </c>
      <c r="B9708" t="inlineStr">
        <is>
          <t>Swiss Arabian Shaghaf Vanilla Toffee Eau De Parfum 75ml</t>
        </is>
      </c>
      <c r="C9708" t="inlineStr">
        <is>
          <t>Eau De Parfum</t>
        </is>
      </c>
      <c r="D9708" t="inlineStr">
        <is>
          <t>Swiss Arabian</t>
        </is>
      </c>
      <c r="E9708" t="n">
        <v>34.23</v>
      </c>
      <c r="F9708" t="n">
        <v>1</v>
      </c>
      <c r="G9708" t="n">
        <v>14</v>
      </c>
      <c r="H9708" s="5">
        <f>HYPERLINK("https://api.qogita.com/variants/link/6295124047817/", "View Product")</f>
        <v/>
      </c>
    </row>
    <row r="9709">
      <c r="A9709" t="inlineStr">
        <is>
          <t>6295151500057</t>
        </is>
      </c>
      <c r="B9709" t="inlineStr">
        <is>
          <t>Riiffs Exclusive Prive Pink Eau De Parfum For Women - 80ml</t>
        </is>
      </c>
      <c r="C9709" t="inlineStr">
        <is>
          <t>Eau De Parfum</t>
        </is>
      </c>
      <c r="D9709" t="inlineStr">
        <is>
          <t>Riiffs</t>
        </is>
      </c>
      <c r="E9709" t="n">
        <v>18.45</v>
      </c>
      <c r="F9709" t="n">
        <v>1</v>
      </c>
      <c r="G9709" t="n">
        <v>16</v>
      </c>
      <c r="H9709" s="5">
        <f>HYPERLINK("https://api.qogita.com/variants/link/6295151500057/", "View Product")</f>
        <v/>
      </c>
    </row>
    <row r="9710">
      <c r="A9710" t="inlineStr">
        <is>
          <t>6295199800942</t>
        </is>
      </c>
      <c r="B9710" t="inlineStr">
        <is>
          <t>Armaf Island Bliss Eau De Parfum 100ml</t>
        </is>
      </c>
      <c r="C9710" t="inlineStr">
        <is>
          <t>Eau De Parfum</t>
        </is>
      </c>
      <c r="D9710" t="inlineStr">
        <is>
          <t>Armaf</t>
        </is>
      </c>
      <c r="E9710" t="n">
        <v>31.75</v>
      </c>
      <c r="F9710" t="n">
        <v>1</v>
      </c>
      <c r="G9710" t="n">
        <v>64</v>
      </c>
      <c r="H9710" s="5">
        <f>HYPERLINK("https://api.qogita.com/variants/link/6295199800942/", "View Product")</f>
        <v/>
      </c>
    </row>
    <row r="9711">
      <c r="A9711" t="inlineStr">
        <is>
          <t>6295199805350</t>
        </is>
      </c>
      <c r="B9711" t="inlineStr">
        <is>
          <t>Armaf Risala Pista Kunafa Unisex Eau De Parfum Spray 3.4 Ounce</t>
        </is>
      </c>
      <c r="C9711" t="inlineStr">
        <is>
          <t>Eau De Parfum</t>
        </is>
      </c>
      <c r="D9711" t="inlineStr">
        <is>
          <t>Armaf</t>
        </is>
      </c>
      <c r="E9711" t="n">
        <v>12.86</v>
      </c>
      <c r="F9711" t="n">
        <v>1</v>
      </c>
      <c r="G9711" t="n">
        <v>20</v>
      </c>
      <c r="H9711" s="5">
        <f>HYPERLINK("https://api.qogita.com/variants/link/6295199805350/", "View Product")</f>
        <v/>
      </c>
    </row>
    <row r="9712">
      <c r="A9712" t="inlineStr">
        <is>
          <t>6295199807217</t>
        </is>
      </c>
      <c r="B9712" t="inlineStr">
        <is>
          <t>Odyssey Marshmallow EDP Unisex 34 Fl Oz</t>
        </is>
      </c>
      <c r="C9712" t="inlineStr">
        <is>
          <t>Eau De Parfum</t>
        </is>
      </c>
      <c r="D9712" t="inlineStr">
        <is>
          <t>Sterling Parfums</t>
        </is>
      </c>
      <c r="E9712" t="n">
        <v>32.62</v>
      </c>
      <c r="F9712" t="n">
        <v>1</v>
      </c>
      <c r="G9712" t="n">
        <v>358</v>
      </c>
      <c r="H9712" s="5">
        <f>HYPERLINK("https://api.qogita.com/variants/link/6295199807217/", "View Product")</f>
        <v/>
      </c>
    </row>
    <row r="9713">
      <c r="A9713" t="inlineStr">
        <is>
          <t>6295253012427</t>
        </is>
      </c>
      <c r="B9713" t="inlineStr">
        <is>
          <t>Naseem Whispers Aqua Perfume Spray 2x30ml</t>
        </is>
      </c>
      <c r="C9713" t="inlineStr">
        <is>
          <t>Eau De Parfum</t>
        </is>
      </c>
      <c r="D9713" t="inlineStr">
        <is>
          <t>Naseem</t>
        </is>
      </c>
      <c r="E9713" t="n">
        <v>29.04</v>
      </c>
      <c r="F9713" t="n">
        <v>1</v>
      </c>
      <c r="G9713" t="n">
        <v>10</v>
      </c>
      <c r="H9713" s="5">
        <f>HYPERLINK("https://api.qogita.com/variants/link/6295253012427/", "View Product")</f>
        <v/>
      </c>
    </row>
    <row r="9714">
      <c r="A9714" t="inlineStr">
        <is>
          <t>6295253013028</t>
        </is>
      </c>
      <c r="B9714" t="inlineStr">
        <is>
          <t>Naseem Miraat Men Eau De Parfum Spray 75ml</t>
        </is>
      </c>
      <c r="C9714" t="inlineStr">
        <is>
          <t>Eau De Parfum</t>
        </is>
      </c>
      <c r="D9714" t="inlineStr">
        <is>
          <t>Naseem</t>
        </is>
      </c>
      <c r="E9714" t="n">
        <v>23.68</v>
      </c>
      <c r="F9714" t="n">
        <v>1</v>
      </c>
      <c r="G9714" t="n">
        <v>11</v>
      </c>
      <c r="H9714" s="5">
        <f>HYPERLINK("https://api.qogita.com/variants/link/6295253013028/", "View Product")</f>
        <v/>
      </c>
    </row>
    <row r="9715">
      <c r="A9715" t="inlineStr">
        <is>
          <t>6295253024420</t>
        </is>
      </c>
      <c r="B9715" t="inlineStr">
        <is>
          <t>Naseem Monsieur Aqua Perfume 100ml Premium Eau De Parfum</t>
        </is>
      </c>
      <c r="C9715" t="inlineStr">
        <is>
          <t>Eau De Parfum</t>
        </is>
      </c>
      <c r="D9715" t="inlineStr">
        <is>
          <t>Naseem</t>
        </is>
      </c>
      <c r="E9715" t="n">
        <v>19.28</v>
      </c>
      <c r="F9715" t="n">
        <v>1</v>
      </c>
      <c r="G9715" t="n">
        <v>118</v>
      </c>
      <c r="H9715" s="5">
        <f>HYPERLINK("https://api.qogita.com/variants/link/6295253024420/", "View Product")</f>
        <v/>
      </c>
    </row>
    <row r="9716">
      <c r="A9716" t="inlineStr">
        <is>
          <t>6295253039325</t>
        </is>
      </c>
      <c r="B9716" t="inlineStr">
        <is>
          <t>Asma Aqua Perfume by Naseem Rose Oud Fragrance Alcohol Free 80ml</t>
        </is>
      </c>
      <c r="C9716" t="inlineStr">
        <is>
          <t>Eau De Parfum</t>
        </is>
      </c>
      <c r="D9716" t="inlineStr">
        <is>
          <t>Naseem</t>
        </is>
      </c>
      <c r="E9716" t="n">
        <v>12.96</v>
      </c>
      <c r="F9716" t="n">
        <v>1</v>
      </c>
      <c r="G9716" t="n">
        <v>9</v>
      </c>
      <c r="H9716" s="5">
        <f>HYPERLINK("https://api.qogita.com/variants/link/6295253039325/", "View Product")</f>
        <v/>
      </c>
    </row>
    <row r="9717">
      <c r="A9717" t="inlineStr">
        <is>
          <t>6295253040727</t>
        </is>
      </c>
      <c r="B9717" t="inlineStr">
        <is>
          <t>Naseem Elixir Aqua Perfume Spray 2x30ml</t>
        </is>
      </c>
      <c r="C9717" t="inlineStr">
        <is>
          <t>Eau De Parfum</t>
        </is>
      </c>
      <c r="D9717" t="inlineStr">
        <is>
          <t>Naseem</t>
        </is>
      </c>
      <c r="E9717" t="n">
        <v>29.04</v>
      </c>
      <c r="F9717" t="n">
        <v>1</v>
      </c>
      <c r="G9717" t="n">
        <v>9</v>
      </c>
      <c r="H9717" s="5">
        <f>HYPERLINK("https://api.qogita.com/variants/link/6295253040727/", "View Product")</f>
        <v/>
      </c>
    </row>
    <row r="9718">
      <c r="A9718" t="inlineStr">
        <is>
          <t>6295253045425</t>
        </is>
      </c>
      <c r="B9718" t="inlineStr">
        <is>
          <t>Naseem Date Night For Men Aqua Parfum Spray 100ml</t>
        </is>
      </c>
      <c r="C9718" t="inlineStr">
        <is>
          <t>Eau De Parfum</t>
        </is>
      </c>
      <c r="D9718" t="inlineStr">
        <is>
          <t>Naseem</t>
        </is>
      </c>
      <c r="E9718" t="n">
        <v>20.11</v>
      </c>
      <c r="F9718" t="n">
        <v>1</v>
      </c>
      <c r="G9718" t="n">
        <v>9</v>
      </c>
      <c r="H9718" s="5">
        <f>HYPERLINK("https://api.qogita.com/variants/link/6295253045425/", "View Product")</f>
        <v/>
      </c>
    </row>
    <row r="9719">
      <c r="A9719" t="inlineStr">
        <is>
          <t>6295253045623</t>
        </is>
      </c>
      <c r="B9719" t="inlineStr">
        <is>
          <t>Naseem Aqua Parfum White Lava, Unisex, 100 Ml</t>
        </is>
      </c>
      <c r="C9719" t="inlineStr">
        <is>
          <t>Eau De Parfum</t>
        </is>
      </c>
      <c r="D9719" t="inlineStr">
        <is>
          <t>Naseem</t>
        </is>
      </c>
      <c r="E9719" t="n">
        <v>16.56</v>
      </c>
      <c r="F9719" t="n">
        <v>1</v>
      </c>
      <c r="G9719" t="n">
        <v>10</v>
      </c>
      <c r="H9719" s="5">
        <f>HYPERLINK("https://api.qogita.com/variants/link/6295253045623/", "View Product")</f>
        <v/>
      </c>
    </row>
    <row r="9720">
      <c r="A9720" t="inlineStr">
        <is>
          <t>6295253049829</t>
        </is>
      </c>
      <c r="B9720" t="inlineStr">
        <is>
          <t>Naseem Rehan Khalta Perfume 80ml Long-Lasting Non-Alcoholic Water-Based</t>
        </is>
      </c>
      <c r="C9720" t="inlineStr">
        <is>
          <t>Eau De Parfum</t>
        </is>
      </c>
      <c r="D9720" t="inlineStr">
        <is>
          <t>Naseem</t>
        </is>
      </c>
      <c r="E9720" t="n">
        <v>12.96</v>
      </c>
      <c r="F9720" t="n">
        <v>1</v>
      </c>
      <c r="G9720" t="n">
        <v>11</v>
      </c>
      <c r="H9720" s="5">
        <f>HYPERLINK("https://api.qogita.com/variants/link/6295253049829/", "View Product")</f>
        <v/>
      </c>
    </row>
    <row r="9721">
      <c r="A9721" t="inlineStr">
        <is>
          <t>6295253052720</t>
        </is>
      </c>
      <c r="B9721" t="inlineStr">
        <is>
          <t>Naseem Wild Obsession Aqua Perfume 75ml - Subtle Tone Eau De Parfum for Men</t>
        </is>
      </c>
      <c r="C9721" t="inlineStr">
        <is>
          <t>Eau De Parfum</t>
        </is>
      </c>
      <c r="D9721" t="inlineStr">
        <is>
          <t>Naseem</t>
        </is>
      </c>
      <c r="E9721" t="n">
        <v>20.11</v>
      </c>
      <c r="F9721" t="n">
        <v>1</v>
      </c>
      <c r="G9721" t="n">
        <v>6</v>
      </c>
      <c r="H9721" s="5">
        <f>HYPERLINK("https://api.qogita.com/variants/link/6295253052720/", "View Product")</f>
        <v/>
      </c>
    </row>
    <row r="9722">
      <c r="A9722" t="inlineStr">
        <is>
          <t>6295253057824</t>
        </is>
      </c>
      <c r="B9722" t="inlineStr">
        <is>
          <t>Naseem Thaljee Khalta Aqua Parfum Spray 80ml</t>
        </is>
      </c>
      <c r="C9722" t="inlineStr">
        <is>
          <t>Eau De Parfum</t>
        </is>
      </c>
      <c r="D9722" t="inlineStr">
        <is>
          <t>Naseem</t>
        </is>
      </c>
      <c r="E9722" t="n">
        <v>6.73</v>
      </c>
      <c r="F9722" t="n">
        <v>1</v>
      </c>
      <c r="G9722" t="n">
        <v>11</v>
      </c>
      <c r="H9722" s="5">
        <f>HYPERLINK("https://api.qogita.com/variants/link/6295253057824/", "View Product")</f>
        <v/>
      </c>
    </row>
    <row r="9723">
      <c r="A9723" t="inlineStr">
        <is>
          <t>6295253058029</t>
        </is>
      </c>
      <c r="B9723" t="inlineStr">
        <is>
          <t>Naseem Twin Paradise Aqua Parfum Spray 75ml</t>
        </is>
      </c>
      <c r="C9723" t="inlineStr">
        <is>
          <t>Eau De Parfum</t>
        </is>
      </c>
      <c r="D9723" t="inlineStr">
        <is>
          <t>Naseem</t>
        </is>
      </c>
      <c r="E9723" t="n">
        <v>19.28</v>
      </c>
      <c r="F9723" t="n">
        <v>1</v>
      </c>
      <c r="G9723" t="n">
        <v>68</v>
      </c>
      <c r="H9723" s="5">
        <f>HYPERLINK("https://api.qogita.com/variants/link/6295253058029/", "View Product")</f>
        <v/>
      </c>
    </row>
    <row r="9724">
      <c r="A9724" t="inlineStr">
        <is>
          <t>6295253058227</t>
        </is>
      </c>
      <c r="B9724" t="inlineStr">
        <is>
          <t>Naseem Night Of Success Aqua Parfum, Unisex, 75 Ml</t>
        </is>
      </c>
      <c r="C9724" t="inlineStr">
        <is>
          <t>Eau De Parfum</t>
        </is>
      </c>
      <c r="D9724" t="inlineStr">
        <is>
          <t>Naseem</t>
        </is>
      </c>
      <c r="E9724" t="n">
        <v>20.11</v>
      </c>
      <c r="F9724" t="n">
        <v>1</v>
      </c>
      <c r="G9724" t="n">
        <v>6</v>
      </c>
      <c r="H9724" s="5">
        <f>HYPERLINK("https://api.qogita.com/variants/link/6295253058227/", "View Product")</f>
        <v/>
      </c>
    </row>
    <row r="9725">
      <c r="A9725" t="inlineStr">
        <is>
          <t>6295253061227</t>
        </is>
      </c>
      <c r="B9725" t="inlineStr">
        <is>
          <t>Naseem Body Mist Thaljee For Men, 100 Ml</t>
        </is>
      </c>
      <c r="C9725" t="inlineStr">
        <is>
          <t>Eau De Toilette</t>
        </is>
      </c>
      <c r="D9725" t="inlineStr">
        <is>
          <t>Naseem</t>
        </is>
      </c>
      <c r="E9725" t="n">
        <v>4.7</v>
      </c>
      <c r="F9725" t="n">
        <v>1</v>
      </c>
      <c r="G9725" t="n">
        <v>11</v>
      </c>
      <c r="H9725" s="5">
        <f>HYPERLINK("https://api.qogita.com/variants/link/6295253061227/", "View Product")</f>
        <v/>
      </c>
    </row>
    <row r="9726">
      <c r="A9726" t="inlineStr">
        <is>
          <t>6295253064525</t>
        </is>
      </c>
      <c r="B9726" t="inlineStr">
        <is>
          <t>Naseem Power Perfume 80ml - Bold &amp; Sophisticated Fragrance</t>
        </is>
      </c>
      <c r="C9726" t="inlineStr">
        <is>
          <t>Eau De Parfum</t>
        </is>
      </c>
      <c r="D9726" t="inlineStr">
        <is>
          <t>Naseem</t>
        </is>
      </c>
      <c r="E9726" t="n">
        <v>12.96</v>
      </c>
      <c r="F9726" t="n">
        <v>1</v>
      </c>
      <c r="G9726" t="n">
        <v>11</v>
      </c>
      <c r="H9726" s="5">
        <f>HYPERLINK("https://api.qogita.com/variants/link/6295253064525/", "View Product")</f>
        <v/>
      </c>
    </row>
    <row r="9727">
      <c r="A9727" t="inlineStr">
        <is>
          <t>6295253068226</t>
        </is>
      </c>
      <c r="B9727" t="inlineStr">
        <is>
          <t>Naseem Shabab Khalta Eau De Parfum 80ml - Subtle Tone Perfume for Men &amp; Women</t>
        </is>
      </c>
      <c r="C9727" t="inlineStr">
        <is>
          <t>Eau De Parfum</t>
        </is>
      </c>
      <c r="D9727" t="inlineStr">
        <is>
          <t>Naseem</t>
        </is>
      </c>
      <c r="E9727" t="n">
        <v>12.96</v>
      </c>
      <c r="F9727" t="n">
        <v>1</v>
      </c>
      <c r="G9727" t="n">
        <v>7</v>
      </c>
      <c r="H9727" s="5">
        <f>HYPERLINK("https://api.qogita.com/variants/link/6295253068226/", "View Product")</f>
        <v/>
      </c>
    </row>
    <row r="9728">
      <c r="A9728" t="inlineStr">
        <is>
          <t>6295253085926</t>
        </is>
      </c>
      <c r="B9728" t="inlineStr">
        <is>
          <t>Naseem Aura Aqua Eau De Parfum Spray</t>
        </is>
      </c>
      <c r="C9728" t="inlineStr">
        <is>
          <t>Eau De Parfum</t>
        </is>
      </c>
      <c r="D9728" t="inlineStr">
        <is>
          <t>Naseem</t>
        </is>
      </c>
      <c r="E9728" t="n">
        <v>12.96</v>
      </c>
      <c r="F9728" t="n">
        <v>1</v>
      </c>
      <c r="G9728" t="n">
        <v>7</v>
      </c>
      <c r="H9728" s="5">
        <f>HYPERLINK("https://api.qogita.com/variants/link/6295253085926/", "View Product")</f>
        <v/>
      </c>
    </row>
    <row r="9729">
      <c r="A9729" t="inlineStr">
        <is>
          <t>6295253086527</t>
        </is>
      </c>
      <c r="B9729" t="inlineStr">
        <is>
          <t>Naseem Divine Aqua Perfume Spray - 2x30ml</t>
        </is>
      </c>
      <c r="C9729" t="inlineStr">
        <is>
          <t>Eau De Parfum</t>
        </is>
      </c>
      <c r="D9729" t="inlineStr">
        <is>
          <t>Naseem</t>
        </is>
      </c>
      <c r="E9729" t="n">
        <v>29.04</v>
      </c>
      <c r="F9729" t="n">
        <v>1</v>
      </c>
      <c r="G9729" t="n">
        <v>10</v>
      </c>
      <c r="H9729" s="5">
        <f>HYPERLINK("https://api.qogita.com/variants/link/6295253086527/", "View Product")</f>
        <v/>
      </c>
    </row>
    <row r="9730">
      <c r="A9730" t="inlineStr">
        <is>
          <t>6295253088620</t>
        </is>
      </c>
      <c r="B9730" t="inlineStr">
        <is>
          <t>Naseem Paradise Escape Aqua Parfum 50ml Luxury Perfume for Men &amp; Women</t>
        </is>
      </c>
      <c r="C9730" t="inlineStr">
        <is>
          <t>Eau De Parfum</t>
        </is>
      </c>
      <c r="D9730" t="inlineStr">
        <is>
          <t>Naseem</t>
        </is>
      </c>
      <c r="E9730" t="n">
        <v>14.9</v>
      </c>
      <c r="F9730" t="n">
        <v>1</v>
      </c>
      <c r="G9730" t="n">
        <v>122</v>
      </c>
      <c r="H9730" s="5">
        <f>HYPERLINK("https://api.qogita.com/variants/link/6295253088620/", "View Product")</f>
        <v/>
      </c>
    </row>
    <row r="9731">
      <c r="A9731" t="inlineStr">
        <is>
          <t>6295586523355</t>
        </is>
      </c>
      <c r="B9731" t="inlineStr">
        <is>
          <t>Emir Frenetic Homme Intense Extrait De Parfum Spray 80ml</t>
        </is>
      </c>
      <c r="C9731" t="inlineStr">
        <is>
          <t>Extrait De Parfum</t>
        </is>
      </c>
      <c r="D9731" t="inlineStr">
        <is>
          <t>Emir</t>
        </is>
      </c>
      <c r="E9731" t="n">
        <v>14.48</v>
      </c>
      <c r="F9731" t="n">
        <v>1</v>
      </c>
      <c r="G9731" t="n">
        <v>14</v>
      </c>
      <c r="H9731" s="5">
        <f>HYPERLINK("https://api.qogita.com/variants/link/6295586523355/", "View Product")</f>
        <v/>
      </c>
    </row>
    <row r="9732">
      <c r="A9732" t="inlineStr">
        <is>
          <t>6295875874519</t>
        </is>
      </c>
      <c r="B9732" t="inlineStr">
        <is>
          <t>North Stag Phenomenal Quatorze Xiv Extrait De Parfum 100ml</t>
        </is>
      </c>
      <c r="C9732" t="inlineStr">
        <is>
          <t>Extrait De Parfum</t>
        </is>
      </c>
      <c r="D9732" t="inlineStr">
        <is>
          <t>North Stag</t>
        </is>
      </c>
      <c r="E9732" t="n">
        <v>23.86</v>
      </c>
      <c r="F9732" t="n">
        <v>1</v>
      </c>
      <c r="G9732" t="n">
        <v>14</v>
      </c>
      <c r="H9732" s="5">
        <f>HYPERLINK("https://api.qogita.com/variants/link/6295875874519/", "View Product")</f>
        <v/>
      </c>
    </row>
    <row r="9733">
      <c r="A9733" t="inlineStr">
        <is>
          <t>6296353407960</t>
        </is>
      </c>
      <c r="B9733" t="inlineStr">
        <is>
          <t>Emir Voux Zeste Eau De Parfum 100ml</t>
        </is>
      </c>
      <c r="C9733" t="inlineStr">
        <is>
          <t>Eau De Parfum</t>
        </is>
      </c>
      <c r="D9733" t="inlineStr">
        <is>
          <t>Emir</t>
        </is>
      </c>
      <c r="E9733" t="n">
        <v>16.04</v>
      </c>
      <c r="F9733" t="n">
        <v>1</v>
      </c>
      <c r="G9733" t="n">
        <v>40</v>
      </c>
      <c r="H9733" s="5">
        <f>HYPERLINK("https://api.qogita.com/variants/link/6296353407960/", "View Product")</f>
        <v/>
      </c>
    </row>
    <row r="9734">
      <c r="A9734" t="inlineStr">
        <is>
          <t>6296453407969</t>
        </is>
      </c>
      <c r="B9734" t="inlineStr">
        <is>
          <t>Emir Voux Zingy Eau De Parfum 100ml - Unisex Fragrance</t>
        </is>
      </c>
      <c r="C9734" t="inlineStr">
        <is>
          <t>Eau De Parfum</t>
        </is>
      </c>
      <c r="D9734" t="inlineStr">
        <is>
          <t>Emir</t>
        </is>
      </c>
      <c r="E9734" t="n">
        <v>14.03</v>
      </c>
      <c r="F9734" t="n">
        <v>1</v>
      </c>
      <c r="G9734" t="n">
        <v>6</v>
      </c>
      <c r="H9734" s="5">
        <f>HYPERLINK("https://api.qogita.com/variants/link/6296453407969/", "View Product")</f>
        <v/>
      </c>
    </row>
    <row r="9735">
      <c r="A9735" t="inlineStr">
        <is>
          <t>6297000742144</t>
        </is>
      </c>
      <c r="B9735" t="inlineStr">
        <is>
          <t>Khadlaj Musk Raaqi - Eau De Parfum</t>
        </is>
      </c>
      <c r="C9735" t="inlineStr">
        <is>
          <t>Eau De Parfum</t>
        </is>
      </c>
      <c r="D9735" t="inlineStr">
        <is>
          <t>Khadlaj</t>
        </is>
      </c>
      <c r="E9735" t="n">
        <v>23.5</v>
      </c>
      <c r="F9735" t="n">
        <v>1</v>
      </c>
      <c r="G9735" t="n">
        <v>22</v>
      </c>
      <c r="H9735" s="5">
        <f>HYPERLINK("https://api.qogita.com/variants/link/6297000742144/", "View Product")</f>
        <v/>
      </c>
    </row>
    <row r="9736">
      <c r="A9736" t="inlineStr">
        <is>
          <t>6297001158241</t>
        </is>
      </c>
      <c r="B9736" t="inlineStr">
        <is>
          <t>Orientica Luxury Collection Royal Amber Unisex Eau de Parfum Spray 5.0 Ounce</t>
        </is>
      </c>
      <c r="C9736" t="inlineStr">
        <is>
          <t>Eau De Parfum</t>
        </is>
      </c>
      <c r="D9736" t="inlineStr">
        <is>
          <t>Orientica</t>
        </is>
      </c>
      <c r="E9736" t="n">
        <v>75.78</v>
      </c>
      <c r="F9736" t="n">
        <v>1</v>
      </c>
      <c r="G9736" t="n">
        <v>29</v>
      </c>
      <c r="H9736" s="5">
        <f>HYPERLINK("https://api.qogita.com/variants/link/6297001158241/", "View Product")</f>
        <v/>
      </c>
    </row>
    <row r="9737">
      <c r="A9737" t="inlineStr">
        <is>
          <t>6297001574034</t>
        </is>
      </c>
      <c r="B9737" t="inlineStr">
        <is>
          <t>Nusuk Al Mukhtalif Signature Eau De Parfum 100 Ml</t>
        </is>
      </c>
      <c r="C9737" t="inlineStr">
        <is>
          <t>Eau De Parfum</t>
        </is>
      </c>
      <c r="D9737" t="inlineStr">
        <is>
          <t>Rituals</t>
        </is>
      </c>
      <c r="E9737" t="n">
        <v>15.48</v>
      </c>
      <c r="F9737" t="n">
        <v>1</v>
      </c>
      <c r="G9737" t="n">
        <v>6</v>
      </c>
      <c r="H9737" s="5">
        <f>HYPERLINK("https://api.qogita.com/variants/link/6297001574034/", "View Product")</f>
        <v/>
      </c>
    </row>
    <row r="9738">
      <c r="A9738" t="inlineStr">
        <is>
          <t>6297001574102</t>
        </is>
      </c>
      <c r="B9738" t="inlineStr">
        <is>
          <t>Riiffs Samah Pink Parfum For Women 100 Ml</t>
        </is>
      </c>
      <c r="C9738" t="inlineStr">
        <is>
          <t>Eau De Parfum</t>
        </is>
      </c>
      <c r="D9738" t="inlineStr">
        <is>
          <t>Riiffs</t>
        </is>
      </c>
      <c r="E9738" t="n">
        <v>19.83</v>
      </c>
      <c r="F9738" t="n">
        <v>1</v>
      </c>
      <c r="G9738" t="n">
        <v>8</v>
      </c>
      <c r="H9738" s="5">
        <f>HYPERLINK("https://api.qogita.com/variants/link/6297001574102/", "View Product")</f>
        <v/>
      </c>
    </row>
    <row r="9739">
      <c r="A9739" t="inlineStr">
        <is>
          <t>6297001599266</t>
        </is>
      </c>
      <c r="B9739" t="inlineStr">
        <is>
          <t>Azha Sugary Dreams Eau De Parfum Spray 100ml</t>
        </is>
      </c>
      <c r="C9739" t="inlineStr">
        <is>
          <t>Eau De Parfum</t>
        </is>
      </c>
      <c r="D9739" t="inlineStr">
        <is>
          <t>Azha</t>
        </is>
      </c>
      <c r="E9739" t="n">
        <v>16.67</v>
      </c>
      <c r="F9739" t="n">
        <v>1</v>
      </c>
      <c r="G9739" t="n">
        <v>3</v>
      </c>
      <c r="H9739" s="5">
        <f>HYPERLINK("https://api.qogita.com/variants/link/6297001599266/", "View Product")</f>
        <v/>
      </c>
    </row>
    <row r="9740">
      <c r="A9740" t="inlineStr">
        <is>
          <t>6298019371257</t>
        </is>
      </c>
      <c r="B9740" t="inlineStr">
        <is>
          <t>Pendora Scents La Nuit Eau De Parfum 100ml</t>
        </is>
      </c>
      <c r="C9740" t="inlineStr">
        <is>
          <t>Eau De Parfum</t>
        </is>
      </c>
      <c r="D9740" t="inlineStr">
        <is>
          <t>Pendora Scents</t>
        </is>
      </c>
      <c r="E9740" t="n">
        <v>12.53</v>
      </c>
      <c r="F9740" t="n">
        <v>1</v>
      </c>
      <c r="G9740" t="n">
        <v>51</v>
      </c>
      <c r="H9740" s="5">
        <f>HYPERLINK("https://api.qogita.com/variants/link/6298019371257/", "View Product")</f>
        <v/>
      </c>
    </row>
    <row r="9741">
      <c r="A9741" t="inlineStr">
        <is>
          <t>6298042000322</t>
        </is>
      </c>
      <c r="B9741" t="inlineStr">
        <is>
          <t>Fragrance World French Avenue Sh'mallow Fluff 100 Ml Eau De Parfum</t>
        </is>
      </c>
      <c r="C9741" t="inlineStr">
        <is>
          <t>Eau De Parfum</t>
        </is>
      </c>
      <c r="D9741" t="inlineStr">
        <is>
          <t>Fragrance World</t>
        </is>
      </c>
      <c r="E9741" t="n">
        <v>25.96</v>
      </c>
      <c r="F9741" t="n">
        <v>1</v>
      </c>
      <c r="G9741" t="n">
        <v>478</v>
      </c>
      <c r="H9741" s="5">
        <f>HYPERLINK("https://api.qogita.com/variants/link/6298042000322/", "View Product")</f>
        <v/>
      </c>
    </row>
    <row r="9742">
      <c r="A9742" t="inlineStr">
        <is>
          <t>6298141924505</t>
        </is>
      </c>
      <c r="B9742" t="inlineStr">
        <is>
          <t>Emir Juicy Melange Eau De Parfum 100ml</t>
        </is>
      </c>
      <c r="C9742" t="inlineStr">
        <is>
          <t>Eau De Parfum</t>
        </is>
      </c>
      <c r="D9742" t="inlineStr">
        <is>
          <t>Emir</t>
        </is>
      </c>
      <c r="E9742" t="n">
        <v>14.9</v>
      </c>
      <c r="F9742" t="n">
        <v>1</v>
      </c>
      <c r="G9742" t="n">
        <v>42</v>
      </c>
      <c r="H9742" s="5">
        <f>HYPERLINK("https://api.qogita.com/variants/link/6298141924505/", "View Product")</f>
        <v/>
      </c>
    </row>
    <row r="9743">
      <c r="A9743" t="inlineStr">
        <is>
          <t>6298141926707</t>
        </is>
      </c>
      <c r="B9743" t="inlineStr">
        <is>
          <t>Emir Paris Corner Voux Violette Eau De Parfum 100ml</t>
        </is>
      </c>
      <c r="C9743" t="inlineStr">
        <is>
          <t>Eau De Parfum</t>
        </is>
      </c>
      <c r="D9743" t="inlineStr">
        <is>
          <t>Emir</t>
        </is>
      </c>
      <c r="E9743" t="n">
        <v>16.64</v>
      </c>
      <c r="F9743" t="n">
        <v>1</v>
      </c>
      <c r="G9743" t="n">
        <v>28</v>
      </c>
      <c r="H9743" s="5">
        <f>HYPERLINK("https://api.qogita.com/variants/link/6298141926707/", "View Product")</f>
        <v/>
      </c>
    </row>
    <row r="9744">
      <c r="A9744" t="inlineStr">
        <is>
          <t>6298523123755</t>
        </is>
      </c>
      <c r="B9744" t="inlineStr">
        <is>
          <t>Ministry Of Gourmand Banana Bliss - Unisex Fragrance</t>
        </is>
      </c>
      <c r="C9744" t="inlineStr">
        <is>
          <t>Eau De Parfum</t>
        </is>
      </c>
      <c r="D9744" t="inlineStr">
        <is>
          <t>Ministry of Scent</t>
        </is>
      </c>
      <c r="E9744" t="n">
        <v>23.35</v>
      </c>
      <c r="F9744" t="n">
        <v>1</v>
      </c>
      <c r="G9744" t="n">
        <v>10</v>
      </c>
      <c r="H9744" s="5">
        <f>HYPERLINK("https://api.qogita.com/variants/link/6298523123755/", "View Product")</f>
        <v/>
      </c>
    </row>
    <row r="9745">
      <c r="A9745" t="inlineStr">
        <is>
          <t>6298546975621</t>
        </is>
      </c>
      <c r="B9745" t="inlineStr">
        <is>
          <t>Paris Corner Farah Extract Of Perfume 100ml</t>
        </is>
      </c>
      <c r="C9745" t="inlineStr">
        <is>
          <t>Extrait De Parfum</t>
        </is>
      </c>
      <c r="D9745" t="inlineStr">
        <is>
          <t>Paris Corner</t>
        </is>
      </c>
      <c r="E9745" t="n">
        <v>18</v>
      </c>
      <c r="F9745" t="n">
        <v>1</v>
      </c>
      <c r="G9745" t="n">
        <v>86</v>
      </c>
      <c r="H9745" s="5">
        <f>HYPERLINK("https://api.qogita.com/variants/link/6298546975621/", "View Product")</f>
        <v/>
      </c>
    </row>
    <row r="9746">
      <c r="A9746" t="inlineStr">
        <is>
          <t>6298575015527</t>
        </is>
      </c>
      <c r="B9746" t="inlineStr">
        <is>
          <t>Paris Corner Khayal - Unisex Fragrance</t>
        </is>
      </c>
      <c r="C9746" t="inlineStr">
        <is>
          <t>Eau De Parfum</t>
        </is>
      </c>
      <c r="D9746" t="inlineStr">
        <is>
          <t>Paris Corner</t>
        </is>
      </c>
      <c r="E9746" t="n">
        <v>13.36</v>
      </c>
      <c r="F9746" t="n">
        <v>1</v>
      </c>
      <c r="G9746" t="n">
        <v>40</v>
      </c>
      <c r="H9746" s="5">
        <f>HYPERLINK("https://api.qogita.com/variants/link/6298575015527/", "View Product")</f>
        <v/>
      </c>
    </row>
    <row r="9747">
      <c r="A9747" t="inlineStr">
        <is>
          <t>6298575112554</t>
        </is>
      </c>
      <c r="B9747" t="inlineStr">
        <is>
          <t>Paris Corner Virilis Eau De Parfum 100ml</t>
        </is>
      </c>
      <c r="C9747" t="inlineStr">
        <is>
          <t>Eau De Parfum</t>
        </is>
      </c>
      <c r="D9747" t="inlineStr">
        <is>
          <t>Paris Corner</t>
        </is>
      </c>
      <c r="E9747" t="n">
        <v>17.76</v>
      </c>
      <c r="F9747" t="n">
        <v>1</v>
      </c>
      <c r="G9747" t="n">
        <v>10</v>
      </c>
      <c r="H9747" s="5">
        <f>HYPERLINK("https://api.qogita.com/variants/link/6298575112554/", "View Product")</f>
        <v/>
      </c>
    </row>
    <row r="9748">
      <c r="A9748" t="inlineStr">
        <is>
          <t>6299098700112</t>
        </is>
      </c>
      <c r="B9748" t="inlineStr">
        <is>
          <t>Paris Corner Emir Vibrant Spicy Tobacco Eau De Parfum 100ml</t>
        </is>
      </c>
      <c r="C9748" t="inlineStr">
        <is>
          <t>Eau De Parfum</t>
        </is>
      </c>
      <c r="D9748" t="inlineStr">
        <is>
          <t>Paris Corner</t>
        </is>
      </c>
      <c r="E9748" t="n">
        <v>14.48</v>
      </c>
      <c r="F9748" t="n">
        <v>1</v>
      </c>
      <c r="G9748" t="n">
        <v>4</v>
      </c>
      <c r="H9748" s="5">
        <f>HYPERLINK("https://api.qogita.com/variants/link/6299098700112/", "View Product")</f>
        <v/>
      </c>
    </row>
    <row r="9749">
      <c r="A9749" t="inlineStr">
        <is>
          <t>6299852211540</t>
        </is>
      </c>
      <c r="B9749" t="inlineStr">
        <is>
          <t>Paris Corner Minya Caramel Dulce Eau De Parfum 100ml</t>
        </is>
      </c>
      <c r="C9749" t="inlineStr">
        <is>
          <t>Eau De Parfum</t>
        </is>
      </c>
      <c r="D9749" t="inlineStr">
        <is>
          <t>Paris Corner</t>
        </is>
      </c>
      <c r="E9749" t="n">
        <v>16.67</v>
      </c>
      <c r="F9749" t="n">
        <v>1</v>
      </c>
      <c r="G9749" t="n">
        <v>41</v>
      </c>
      <c r="H9749" s="5">
        <f>HYPERLINK("https://api.qogita.com/variants/link/6299852211540/", "View Product")</f>
        <v/>
      </c>
    </row>
    <row r="9750">
      <c r="A9750" t="inlineStr">
        <is>
          <t>6299878943654</t>
        </is>
      </c>
      <c r="B9750" t="inlineStr">
        <is>
          <t>Paris Corner Emir Cosmopolitan London Eau De Parfum 100ml</t>
        </is>
      </c>
      <c r="C9750" t="inlineStr">
        <is>
          <t>Eau De Parfum</t>
        </is>
      </c>
      <c r="D9750" t="inlineStr">
        <is>
          <t>Paris Corner</t>
        </is>
      </c>
      <c r="E9750" t="n">
        <v>20.47</v>
      </c>
      <c r="F9750" t="n">
        <v>1</v>
      </c>
      <c r="G9750" t="n">
        <v>76</v>
      </c>
      <c r="H9750" s="5">
        <f>HYPERLINK("https://api.qogita.com/variants/link/6299878943654/", "View Product")</f>
        <v/>
      </c>
    </row>
    <row r="9751">
      <c r="A9751" t="inlineStr">
        <is>
          <t>6299878945672</t>
        </is>
      </c>
      <c r="B9751" t="inlineStr">
        <is>
          <t>Emir Cosmopolitan Dubai Eau De Parfum 100ml</t>
        </is>
      </c>
      <c r="C9751" t="inlineStr">
        <is>
          <t>Eau De Parfum</t>
        </is>
      </c>
      <c r="D9751" t="inlineStr">
        <is>
          <t>Emir</t>
        </is>
      </c>
      <c r="E9751" t="n">
        <v>20.47</v>
      </c>
      <c r="F9751" t="n">
        <v>1</v>
      </c>
      <c r="G9751" t="n">
        <v>60</v>
      </c>
      <c r="H9751" s="5">
        <f>HYPERLINK("https://api.qogita.com/variants/link/6299878945672/", "View Product")</f>
        <v/>
      </c>
    </row>
    <row r="9752">
      <c r="A9752" t="inlineStr">
        <is>
          <t>6299989987523</t>
        </is>
      </c>
      <c r="B9752" t="inlineStr">
        <is>
          <t>Paris Corner Perseviron Fig Hug Eau De Parfum 100ml</t>
        </is>
      </c>
      <c r="C9752" t="inlineStr">
        <is>
          <t>Eau De Parfum</t>
        </is>
      </c>
      <c r="D9752" t="inlineStr">
        <is>
          <t>Paris Corner</t>
        </is>
      </c>
      <c r="E9752" t="n">
        <v>18.56</v>
      </c>
      <c r="F9752" t="n">
        <v>1</v>
      </c>
      <c r="G9752" t="n">
        <v>354</v>
      </c>
      <c r="H9752" s="5">
        <f>HYPERLINK("https://api.qogita.com/variants/link/6299989987523/", "View Product")</f>
        <v/>
      </c>
    </row>
    <row r="9753">
      <c r="A9753" t="inlineStr">
        <is>
          <t>6300020152340</t>
        </is>
      </c>
      <c r="B9753" t="inlineStr">
        <is>
          <t>Attar Collection King Solomon - Unisex Fragrance</t>
        </is>
      </c>
      <c r="C9753" t="inlineStr">
        <is>
          <t>Eau De Parfum</t>
        </is>
      </c>
      <c r="D9753" t="inlineStr">
        <is>
          <t>Attar Collection</t>
        </is>
      </c>
      <c r="E9753" t="n">
        <v>46.98</v>
      </c>
      <c r="F9753" t="n">
        <v>1</v>
      </c>
      <c r="G9753" t="n">
        <v>13</v>
      </c>
      <c r="H9753" s="5">
        <f>HYPERLINK("https://api.qogita.com/variants/link/6300020152340/", "View Product")</f>
        <v/>
      </c>
    </row>
    <row r="9754">
      <c r="A9754" t="inlineStr">
        <is>
          <t>6300020154481</t>
        </is>
      </c>
      <c r="B9754" t="inlineStr">
        <is>
          <t>Al Rayhan Eau De Parfum</t>
        </is>
      </c>
      <c r="C9754" t="inlineStr">
        <is>
          <t>Eau De Parfum</t>
        </is>
      </c>
      <c r="D9754" t="inlineStr">
        <is>
          <t>Attar Collection</t>
        </is>
      </c>
      <c r="E9754" t="n">
        <v>63.73</v>
      </c>
      <c r="F9754" t="n">
        <v>1</v>
      </c>
      <c r="G9754" t="n">
        <v>26</v>
      </c>
      <c r="H9754" s="5">
        <f>HYPERLINK("https://api.qogita.com/variants/link/6300020154481/", "View Product")</f>
        <v/>
      </c>
    </row>
    <row r="9755">
      <c r="A9755" t="inlineStr">
        <is>
          <t>6423080727041</t>
        </is>
      </c>
      <c r="B9755" t="inlineStr">
        <is>
          <t>Emir The Triumphant Sapphire Perfume</t>
        </is>
      </c>
      <c r="C9755" t="inlineStr">
        <is>
          <t>Eau De Parfum</t>
        </is>
      </c>
      <c r="D9755" t="inlineStr">
        <is>
          <t>Emir</t>
        </is>
      </c>
      <c r="E9755" t="n">
        <v>15.47</v>
      </c>
      <c r="F9755" t="n">
        <v>1</v>
      </c>
      <c r="G9755" t="n">
        <v>23</v>
      </c>
      <c r="H9755" s="5">
        <f>HYPERLINK("https://api.qogita.com/variants/link/6423080727041/", "View Product")</f>
        <v/>
      </c>
    </row>
    <row r="9756">
      <c r="A9756" t="inlineStr">
        <is>
          <t>6423080731888</t>
        </is>
      </c>
      <c r="B9756" t="inlineStr">
        <is>
          <t>Paris Corner Wardian Eau De Parfum 100ml</t>
        </is>
      </c>
      <c r="C9756" t="inlineStr">
        <is>
          <t>Eau De Parfum</t>
        </is>
      </c>
      <c r="D9756" t="inlineStr">
        <is>
          <t>Paris Corner</t>
        </is>
      </c>
      <c r="E9756" t="n">
        <v>12.73</v>
      </c>
      <c r="F9756" t="n">
        <v>1</v>
      </c>
      <c r="G9756" t="n">
        <v>51</v>
      </c>
      <c r="H9756" s="5">
        <f>HYPERLINK("https://api.qogita.com/variants/link/6423080731888/", "View Product")</f>
        <v/>
      </c>
    </row>
    <row r="9757">
      <c r="A9757" t="inlineStr">
        <is>
          <t>6423080731901</t>
        </is>
      </c>
      <c r="B9757" t="inlineStr">
        <is>
          <t>Paris Corner Qawafi Eau De Parfum 100ml</t>
        </is>
      </c>
      <c r="C9757" t="inlineStr">
        <is>
          <t>Eau De Parfum</t>
        </is>
      </c>
      <c r="D9757" t="inlineStr">
        <is>
          <t>Paris Corner</t>
        </is>
      </c>
      <c r="E9757" t="n">
        <v>12.08</v>
      </c>
      <c r="F9757" t="n">
        <v>1</v>
      </c>
      <c r="G9757" t="n">
        <v>8</v>
      </c>
      <c r="H9757" s="5">
        <f>HYPERLINK("https://api.qogita.com/variants/link/6423080731901/", "View Product")</f>
        <v/>
      </c>
    </row>
    <row r="9758">
      <c r="A9758" t="inlineStr">
        <is>
          <t>6430021526670</t>
        </is>
      </c>
      <c r="B9758" t="inlineStr">
        <is>
          <t>Paris Corner Reham Wild Mineral Eau De Parfum 100ml</t>
        </is>
      </c>
      <c r="C9758" t="inlineStr">
        <is>
          <t>Eau De Parfum</t>
        </is>
      </c>
      <c r="D9758" t="inlineStr">
        <is>
          <t>Paris Corner</t>
        </is>
      </c>
      <c r="E9758" t="n">
        <v>17.65</v>
      </c>
      <c r="F9758" t="n">
        <v>1</v>
      </c>
      <c r="G9758" t="n">
        <v>72</v>
      </c>
      <c r="H9758" s="5">
        <f>HYPERLINK("https://api.qogita.com/variants/link/6430021526670/", "View Product")</f>
        <v/>
      </c>
    </row>
    <row r="9759">
      <c r="A9759" t="inlineStr">
        <is>
          <t>6430074180225</t>
        </is>
      </c>
      <c r="B9759" t="inlineStr">
        <is>
          <t>Rokua Skincare Men Hydrating Face Gel - Pletovy Gel S Hydratacnim Ucinkem</t>
        </is>
      </c>
      <c r="C9759" t="inlineStr">
        <is>
          <t>Face Cream</t>
        </is>
      </c>
      <c r="D9759" t="inlineStr">
        <is>
          <t>Rokua Skincare</t>
        </is>
      </c>
      <c r="E9759" t="n">
        <v>28.35</v>
      </c>
      <c r="F9759" t="n">
        <v>1</v>
      </c>
      <c r="G9759" t="n">
        <v>2</v>
      </c>
      <c r="H9759" s="5">
        <f>HYPERLINK("https://api.qogita.com/variants/link/6430074180225/", "View Product")</f>
        <v/>
      </c>
    </row>
    <row r="9760">
      <c r="A9760" t="inlineStr">
        <is>
          <t>6432521422452</t>
        </is>
      </c>
      <c r="B9760" t="inlineStr">
        <is>
          <t>Hayaati Women Perfumed Spray 100ml</t>
        </is>
      </c>
      <c r="C9760" t="inlineStr">
        <is>
          <t>Eau De Parfum</t>
        </is>
      </c>
      <c r="D9760" t="inlineStr">
        <is>
          <t>Hayaati</t>
        </is>
      </c>
      <c r="E9760" t="n">
        <v>12.69</v>
      </c>
      <c r="F9760" t="n">
        <v>1</v>
      </c>
      <c r="G9760" t="n">
        <v>2</v>
      </c>
      <c r="H9760" s="5">
        <f>HYPERLINK("https://api.qogita.com/variants/link/6432521422452/", "View Product")</f>
        <v/>
      </c>
    </row>
    <row r="9761">
      <c r="A9761" t="inlineStr">
        <is>
          <t>6435000125554</t>
        </is>
      </c>
      <c r="B9761" t="inlineStr">
        <is>
          <t>Paris Corner Twilight Shadow - Musk Collection Eau De Parfum 100ml</t>
        </is>
      </c>
      <c r="C9761" t="inlineStr">
        <is>
          <t>Eau De Parfum</t>
        </is>
      </c>
      <c r="D9761" t="inlineStr">
        <is>
          <t>Paris Corner</t>
        </is>
      </c>
      <c r="E9761" t="n">
        <v>16.7</v>
      </c>
      <c r="F9761" t="n">
        <v>1</v>
      </c>
      <c r="G9761" t="n">
        <v>15</v>
      </c>
      <c r="H9761" s="5">
        <f>HYPERLINK("https://api.qogita.com/variants/link/6435000125554/", "View Product")</f>
        <v/>
      </c>
    </row>
    <row r="9762">
      <c r="A9762" t="inlineStr">
        <is>
          <t>6438585524668</t>
        </is>
      </c>
      <c r="B9762" t="inlineStr">
        <is>
          <t>Ard Al Zaafaran Riqqa Eau De Parfum 100ml</t>
        </is>
      </c>
      <c r="C9762" t="inlineStr">
        <is>
          <t>Eau De Parfum</t>
        </is>
      </c>
      <c r="D9762" t="inlineStr">
        <is>
          <t>Ard Al Zaafaran</t>
        </is>
      </c>
      <c r="E9762" t="n">
        <v>19.94</v>
      </c>
      <c r="F9762" t="n">
        <v>1</v>
      </c>
      <c r="G9762" t="n">
        <v>32</v>
      </c>
      <c r="H9762" s="5">
        <f>HYPERLINK("https://api.qogita.com/variants/link/6438585524668/", "View Product")</f>
        <v/>
      </c>
    </row>
    <row r="9763">
      <c r="A9763" t="inlineStr">
        <is>
          <t>6456874097129</t>
        </is>
      </c>
      <c r="B9763" t="inlineStr">
        <is>
          <t>Lattafa Washwashah Eau De Parfum Spray 100ml + Deodorant Spray 50ml</t>
        </is>
      </c>
      <c r="C9763" t="inlineStr">
        <is>
          <t>Fragrance Sets</t>
        </is>
      </c>
      <c r="D9763" t="inlineStr">
        <is>
          <t>Lattafa</t>
        </is>
      </c>
      <c r="E9763" t="n">
        <v>9.039999999999999</v>
      </c>
      <c r="F9763" t="n">
        <v>1</v>
      </c>
      <c r="G9763" t="n">
        <v>246</v>
      </c>
      <c r="H9763" s="5">
        <f>HYPERLINK("https://api.qogita.com/variants/link/6456874097129/", "View Product")</f>
        <v/>
      </c>
    </row>
    <row r="9764">
      <c r="A9764" t="inlineStr">
        <is>
          <t>6479211627964</t>
        </is>
      </c>
      <c r="B9764" t="inlineStr">
        <is>
          <t>Lattafa Sheikh Al Shuyukh Black Eau De Parfum Spray 50ml + Deodorant Spray 50ml</t>
        </is>
      </c>
      <c r="C9764" t="inlineStr">
        <is>
          <t>Fragrance Sets</t>
        </is>
      </c>
      <c r="D9764" t="inlineStr">
        <is>
          <t>Lattafa</t>
        </is>
      </c>
      <c r="E9764" t="n">
        <v>10.4</v>
      </c>
      <c r="F9764" t="n">
        <v>1</v>
      </c>
      <c r="G9764" t="n">
        <v>452</v>
      </c>
      <c r="H9764" s="5">
        <f>HYPERLINK("https://api.qogita.com/variants/link/6479211627964/", "View Product")</f>
        <v/>
      </c>
    </row>
    <row r="9765">
      <c r="A9765" t="inlineStr">
        <is>
          <t>6553001325657</t>
        </is>
      </c>
      <c r="B9765" t="inlineStr">
        <is>
          <t>Emir Identity Rose &amp; Leather Eau De Parfum Spray 100ml</t>
        </is>
      </c>
      <c r="C9765" t="inlineStr">
        <is>
          <t>Eau De Parfum</t>
        </is>
      </c>
      <c r="D9765" t="inlineStr">
        <is>
          <t>Emir</t>
        </is>
      </c>
      <c r="E9765" t="n">
        <v>16.56</v>
      </c>
      <c r="F9765" t="n">
        <v>1</v>
      </c>
      <c r="G9765" t="n">
        <v>5</v>
      </c>
      <c r="H9765" s="5">
        <f>HYPERLINK("https://api.qogita.com/variants/link/6553001325657/", "View Product")</f>
        <v/>
      </c>
    </row>
    <row r="9766">
      <c r="A9766" t="inlineStr">
        <is>
          <t>6553001325763</t>
        </is>
      </c>
      <c r="B9766" t="inlineStr">
        <is>
          <t>Emir Identity Unique Portrait Eau De Parfum 100ml for Women</t>
        </is>
      </c>
      <c r="C9766" t="inlineStr">
        <is>
          <t>Eau De Parfum</t>
        </is>
      </c>
      <c r="D9766" t="inlineStr">
        <is>
          <t>Emir</t>
        </is>
      </c>
      <c r="E9766" t="n">
        <v>14.22</v>
      </c>
      <c r="F9766" t="n">
        <v>1</v>
      </c>
      <c r="G9766" t="n">
        <v>65</v>
      </c>
      <c r="H9766" s="5">
        <f>HYPERLINK("https://api.qogita.com/variants/link/6553001325763/", "View Product")</f>
        <v/>
      </c>
    </row>
    <row r="9767">
      <c r="A9767" t="inlineStr">
        <is>
          <t>6629021040068</t>
        </is>
      </c>
      <c r="B9767" t="inlineStr">
        <is>
          <t>Emerald Nebula Collection Ramshah By Azha For Women 3.3 Oz EDP Spray</t>
        </is>
      </c>
      <c r="C9767" t="inlineStr">
        <is>
          <t>Eau De Parfum</t>
        </is>
      </c>
      <c r="D9767" t="inlineStr">
        <is>
          <t>Azha</t>
        </is>
      </c>
      <c r="E9767" t="n">
        <v>12.53</v>
      </c>
      <c r="F9767" t="n">
        <v>1</v>
      </c>
      <c r="G9767" t="n">
        <v>2</v>
      </c>
      <c r="H9767" s="5">
        <f>HYPERLINK("https://api.qogita.com/variants/link/6629021040068/", "View Product")</f>
        <v/>
      </c>
    </row>
    <row r="9768">
      <c r="A9768" t="inlineStr">
        <is>
          <t>6629021040112</t>
        </is>
      </c>
      <c r="B9768" t="inlineStr">
        <is>
          <t>Azha Chevalier Noir Eau De Parfum Spray 100ml</t>
        </is>
      </c>
      <c r="C9768" t="inlineStr">
        <is>
          <t>Eau De Parfum</t>
        </is>
      </c>
      <c r="D9768" t="inlineStr">
        <is>
          <t>Azha</t>
        </is>
      </c>
      <c r="E9768" t="n">
        <v>13.37</v>
      </c>
      <c r="F9768" t="n">
        <v>1</v>
      </c>
      <c r="G9768" t="n">
        <v>18</v>
      </c>
      <c r="H9768" s="5">
        <f>HYPERLINK("https://api.qogita.com/variants/link/6629021040112/", "View Product")</f>
        <v/>
      </c>
    </row>
    <row r="9769">
      <c r="A9769" t="inlineStr">
        <is>
          <t>6629021040198</t>
        </is>
      </c>
      <c r="B9769" t="inlineStr">
        <is>
          <t>Ishq for Her EDP 100ml by Azha</t>
        </is>
      </c>
      <c r="C9769" t="inlineStr">
        <is>
          <t>Eau De Parfum</t>
        </is>
      </c>
      <c r="D9769" t="inlineStr">
        <is>
          <t>Azha</t>
        </is>
      </c>
      <c r="E9769" t="n">
        <v>21.47</v>
      </c>
      <c r="F9769" t="n">
        <v>1</v>
      </c>
      <c r="G9769" t="n">
        <v>5</v>
      </c>
      <c r="H9769" s="5">
        <f>HYPERLINK("https://api.qogita.com/variants/link/6629021040198/", "View Product")</f>
        <v/>
      </c>
    </row>
    <row r="9770">
      <c r="A9770" t="inlineStr">
        <is>
          <t>6629021040211</t>
        </is>
      </c>
      <c r="B9770" t="inlineStr">
        <is>
          <t>Azha Amal for Her EDP 100ml</t>
        </is>
      </c>
      <c r="C9770" t="inlineStr">
        <is>
          <t>Eau De Parfum</t>
        </is>
      </c>
      <c r="D9770" t="inlineStr">
        <is>
          <t>Azha</t>
        </is>
      </c>
      <c r="E9770" t="n">
        <v>21.47</v>
      </c>
      <c r="F9770" t="n">
        <v>1</v>
      </c>
      <c r="G9770" t="n">
        <v>11</v>
      </c>
      <c r="H9770" s="5">
        <f>HYPERLINK("https://api.qogita.com/variants/link/6629021040211/", "View Product")</f>
        <v/>
      </c>
    </row>
    <row r="9771">
      <c r="A9771" t="inlineStr">
        <is>
          <t>6629021040228</t>
        </is>
      </c>
      <c r="B9771" t="inlineStr">
        <is>
          <t>AZHA Perfumes Azhar Eau de Parfum - Women's Fragrance, ml</t>
        </is>
      </c>
      <c r="C9771" t="inlineStr">
        <is>
          <t>Eau De Parfum</t>
        </is>
      </c>
      <c r="D9771" t="inlineStr">
        <is>
          <t>Azha</t>
        </is>
      </c>
      <c r="E9771" t="n">
        <v>20.98</v>
      </c>
      <c r="F9771" t="n">
        <v>1</v>
      </c>
      <c r="G9771" t="n">
        <v>12</v>
      </c>
      <c r="H9771" s="5">
        <f>HYPERLINK("https://api.qogita.com/variants/link/6629021040228/", "View Product")</f>
        <v/>
      </c>
    </row>
    <row r="9772">
      <c r="A9772" t="inlineStr">
        <is>
          <t>6629021040310</t>
        </is>
      </c>
      <c r="B9772" t="inlineStr">
        <is>
          <t>Azha Elixir Oud EDP 100ml</t>
        </is>
      </c>
      <c r="C9772" t="inlineStr">
        <is>
          <t>Eau De Parfum</t>
        </is>
      </c>
      <c r="D9772" t="inlineStr">
        <is>
          <t>Azha</t>
        </is>
      </c>
      <c r="E9772" t="n">
        <v>27.64</v>
      </c>
      <c r="F9772" t="n">
        <v>1</v>
      </c>
      <c r="G9772" t="n">
        <v>9</v>
      </c>
      <c r="H9772" s="5">
        <f>HYPERLINK("https://api.qogita.com/variants/link/6629021040310/", "View Product")</f>
        <v/>
      </c>
    </row>
    <row r="9773">
      <c r="A9773" t="inlineStr">
        <is>
          <t>6629021040563</t>
        </is>
      </c>
      <c r="B9773" t="inlineStr">
        <is>
          <t>Azha Amira Eau De Parfum Spray 100ml</t>
        </is>
      </c>
      <c r="C9773" t="inlineStr">
        <is>
          <t>Eau De Parfum</t>
        </is>
      </c>
      <c r="D9773" t="inlineStr">
        <is>
          <t>Azha</t>
        </is>
      </c>
      <c r="E9773" t="n">
        <v>21.47</v>
      </c>
      <c r="F9773" t="n">
        <v>1</v>
      </c>
      <c r="G9773" t="n">
        <v>11</v>
      </c>
      <c r="H9773" s="5">
        <f>HYPERLINK("https://api.qogita.com/variants/link/6629021040563/", "View Product")</f>
        <v/>
      </c>
    </row>
    <row r="9774">
      <c r="A9774" t="inlineStr">
        <is>
          <t>6970810556414</t>
        </is>
      </c>
      <c r="B9774" t="inlineStr">
        <is>
          <t>Oclean Sonic Brush Grey-Pink X Lite Gray Set - Electric Toothbrush</t>
        </is>
      </c>
      <c r="C9774" t="inlineStr">
        <is>
          <t>Electric Toothbrushes</t>
        </is>
      </c>
      <c r="D9774" t="inlineStr">
        <is>
          <t>Oclean</t>
        </is>
      </c>
      <c r="E9774" t="n">
        <v>78.75</v>
      </c>
      <c r="F9774" t="n">
        <v>1</v>
      </c>
      <c r="G9774" t="n">
        <v>2</v>
      </c>
      <c r="H9774" s="5">
        <f>HYPERLINK("https://api.qogita.com/variants/link/6970810556414/", "View Product")</f>
        <v/>
      </c>
    </row>
    <row r="9775">
      <c r="A9775" t="inlineStr">
        <is>
          <t>7290011521295</t>
        </is>
      </c>
      <c r="B9775" t="inlineStr">
        <is>
          <t>Moroccanoil 35mm Ceramic &amp; Iron Brush Professional Hair Tool</t>
        </is>
      </c>
      <c r="C9775" t="inlineStr">
        <is>
          <t>Round Brushes</t>
        </is>
      </c>
      <c r="D9775" t="inlineStr">
        <is>
          <t>Moroccanoil</t>
        </is>
      </c>
      <c r="E9775" t="n">
        <v>21.52</v>
      </c>
      <c r="F9775" t="n">
        <v>1</v>
      </c>
      <c r="G9775" t="n">
        <v>3</v>
      </c>
      <c r="H9775" s="5">
        <f>HYPERLINK("https://api.qogita.com/variants/link/7290011521295/", "View Product")</f>
        <v/>
      </c>
    </row>
    <row r="9776">
      <c r="A9776" t="inlineStr">
        <is>
          <t>7290011521431</t>
        </is>
      </c>
      <c r="B9776" t="inlineStr">
        <is>
          <t>Moroccanoil Extra Volume Conditioner 250ml Perfect Hair Conditioner For Extra Volume</t>
        </is>
      </c>
      <c r="C9776" t="inlineStr">
        <is>
          <t>Conditioner</t>
        </is>
      </c>
      <c r="D9776" t="inlineStr">
        <is>
          <t>Moroccanoil</t>
        </is>
      </c>
      <c r="E9776" t="n">
        <v>20.88</v>
      </c>
      <c r="F9776" t="n">
        <v>1</v>
      </c>
      <c r="G9776" t="n">
        <v>6</v>
      </c>
      <c r="H9776" s="5">
        <f>HYPERLINK("https://api.qogita.com/variants/link/7290011521431/", "View Product")</f>
        <v/>
      </c>
    </row>
    <row r="9777">
      <c r="A9777" t="inlineStr">
        <is>
          <t>7290011521479</t>
        </is>
      </c>
      <c r="B9777" t="inlineStr">
        <is>
          <t>Moroccanoil Hydrating Styling Cream 75ml For All Hair Types</t>
        </is>
      </c>
      <c r="C9777" t="inlineStr">
        <is>
          <t>Styling Creams</t>
        </is>
      </c>
      <c r="D9777" t="inlineStr">
        <is>
          <t>Moroccanoil</t>
        </is>
      </c>
      <c r="E9777" t="n">
        <v>11.98</v>
      </c>
      <c r="F9777" t="n">
        <v>1</v>
      </c>
      <c r="G9777" t="n">
        <v>20</v>
      </c>
      <c r="H9777" s="5">
        <f>HYPERLINK("https://api.qogita.com/variants/link/7290011521479/", "View Product")</f>
        <v/>
      </c>
    </row>
    <row r="9778">
      <c r="A9778" t="inlineStr">
        <is>
          <t>7290011521790</t>
        </is>
      </c>
      <c r="B9778" t="inlineStr">
        <is>
          <t>Moroccanoil Hydration Parabenfree Hair Shampoo 70 Ml Hydrating Shampoo With Argan Oil For All Hair Types</t>
        </is>
      </c>
      <c r="C9778" t="inlineStr">
        <is>
          <t>Shampoo</t>
        </is>
      </c>
      <c r="D9778" t="inlineStr">
        <is>
          <t>Moroccanoil</t>
        </is>
      </c>
      <c r="E9778" t="n">
        <v>8.1</v>
      </c>
      <c r="F9778" t="n">
        <v>1</v>
      </c>
      <c r="G9778" t="n">
        <v>7</v>
      </c>
      <c r="H9778" s="5">
        <f>HYPERLINK("https://api.qogita.com/variants/link/7290011521790/", "View Product")</f>
        <v/>
      </c>
    </row>
    <row r="9779">
      <c r="A9779" t="inlineStr">
        <is>
          <t>7290014344174</t>
        </is>
      </c>
      <c r="B9779" t="inlineStr">
        <is>
          <t>Moroccanoil Volumizing Mousse 250 Ml Professional Hair Care</t>
        </is>
      </c>
      <c r="C9779" t="inlineStr">
        <is>
          <t>Mousse</t>
        </is>
      </c>
      <c r="D9779" t="inlineStr">
        <is>
          <t>Moroccanoil</t>
        </is>
      </c>
      <c r="E9779" t="n">
        <v>25.44</v>
      </c>
      <c r="F9779" t="n">
        <v>1</v>
      </c>
      <c r="G9779" t="n">
        <v>20</v>
      </c>
      <c r="H9779" s="5">
        <f>HYPERLINK("https://api.qogita.com/variants/link/7290014344174/", "View Product")</f>
        <v/>
      </c>
    </row>
    <row r="9780">
      <c r="A9780" t="inlineStr">
        <is>
          <t>7290014827011</t>
        </is>
      </c>
      <c r="B9780" t="inlineStr">
        <is>
          <t>Moroccanoil Hair Moisture Repair Trio Set Shampoo 70ml Conditioner 70ml Treatment 25ml</t>
        </is>
      </c>
      <c r="C9780" t="inlineStr">
        <is>
          <t>Hair Care Sets</t>
        </is>
      </c>
      <c r="D9780" t="inlineStr">
        <is>
          <t>Moroccanoil</t>
        </is>
      </c>
      <c r="E9780" t="n">
        <v>22.53</v>
      </c>
      <c r="F9780" t="n">
        <v>1</v>
      </c>
      <c r="G9780" t="n">
        <v>5</v>
      </c>
      <c r="H9780" s="5">
        <f>HYPERLINK("https://api.qogita.com/variants/link/7290014827011/", "View Product")</f>
        <v/>
      </c>
    </row>
    <row r="9781">
      <c r="A9781" t="inlineStr">
        <is>
          <t>7290015485944</t>
        </is>
      </c>
      <c r="B9781" t="inlineStr">
        <is>
          <t>Moroccanoil Dry Shampoo Light Tones 217 Ml For Unisex</t>
        </is>
      </c>
      <c r="C9781" t="inlineStr">
        <is>
          <t>Dry Shampoo</t>
        </is>
      </c>
      <c r="D9781" t="inlineStr">
        <is>
          <t>Moroccanoil</t>
        </is>
      </c>
      <c r="E9781" t="n">
        <v>21.53</v>
      </c>
      <c r="F9781" t="n">
        <v>1</v>
      </c>
      <c r="G9781" t="n">
        <v>8</v>
      </c>
      <c r="H9781" s="5">
        <f>HYPERLINK("https://api.qogita.com/variants/link/7290015485944/", "View Product")</f>
        <v/>
      </c>
    </row>
    <row r="9782">
      <c r="A9782" t="inlineStr">
        <is>
          <t>7290015629454</t>
        </is>
      </c>
      <c r="B9782" t="inlineStr">
        <is>
          <t>Moroccanoil Dry Shampoo Light Tones 65 Ml</t>
        </is>
      </c>
      <c r="C9782" t="inlineStr">
        <is>
          <t>Dry Shampoo</t>
        </is>
      </c>
      <c r="D9782" t="inlineStr">
        <is>
          <t>Moroccanoil</t>
        </is>
      </c>
      <c r="E9782" t="n">
        <v>10.75</v>
      </c>
      <c r="F9782" t="n">
        <v>1</v>
      </c>
      <c r="G9782" t="n">
        <v>4</v>
      </c>
      <c r="H9782" s="5">
        <f>HYPERLINK("https://api.qogita.com/variants/link/7290015629454/", "View Product")</f>
        <v/>
      </c>
    </row>
    <row r="9783">
      <c r="A9783" t="inlineStr">
        <is>
          <t>7290015877848</t>
        </is>
      </c>
      <c r="B9783" t="inlineStr">
        <is>
          <t>Moroccanoil Luminous Hair Spray Extra Strong 75 Ml</t>
        </is>
      </c>
      <c r="C9783" t="inlineStr">
        <is>
          <t>Hairspray</t>
        </is>
      </c>
      <c r="D9783" t="inlineStr">
        <is>
          <t>Moroccanoil</t>
        </is>
      </c>
      <c r="E9783" t="n">
        <v>10.44</v>
      </c>
      <c r="F9783" t="n">
        <v>1</v>
      </c>
      <c r="G9783" t="n">
        <v>14</v>
      </c>
      <c r="H9783" s="5">
        <f>HYPERLINK("https://api.qogita.com/variants/link/7290015877848/", "View Product")</f>
        <v/>
      </c>
    </row>
    <row r="9784">
      <c r="A9784" t="inlineStr">
        <is>
          <t>7290113140622</t>
        </is>
      </c>
      <c r="B9784" t="inlineStr">
        <is>
          <t>Moroccanoil Color Depositing Mask Platinum 200ml</t>
        </is>
      </c>
      <c r="C9784" t="inlineStr">
        <is>
          <t>Hair Masks</t>
        </is>
      </c>
      <c r="D9784" t="inlineStr">
        <is>
          <t>Moroccanoil</t>
        </is>
      </c>
      <c r="E9784" t="n">
        <v>24.23</v>
      </c>
      <c r="F9784" t="n">
        <v>1</v>
      </c>
      <c r="G9784" t="n">
        <v>5</v>
      </c>
      <c r="H9784" s="5">
        <f>HYPERLINK("https://api.qogita.com/variants/link/7290113140622/", "View Product")</f>
        <v/>
      </c>
    </row>
    <row r="9785">
      <c r="A9785" t="inlineStr">
        <is>
          <t>7290113140677</t>
        </is>
      </c>
      <c r="B9785" t="inlineStr">
        <is>
          <t>Moroccanoil Color Depositing Mask Hibiscus 30ml</t>
        </is>
      </c>
      <c r="C9785" t="inlineStr">
        <is>
          <t>Hair Masks</t>
        </is>
      </c>
      <c r="D9785" t="inlineStr">
        <is>
          <t>Moroccanoil</t>
        </is>
      </c>
      <c r="E9785" t="n">
        <v>6.66</v>
      </c>
      <c r="F9785" t="n">
        <v>1</v>
      </c>
      <c r="G9785" t="n">
        <v>14</v>
      </c>
      <c r="H9785" s="5">
        <f>HYPERLINK("https://api.qogita.com/variants/link/7290113140677/", "View Product")</f>
        <v/>
      </c>
    </row>
    <row r="9786">
      <c r="A9786" t="inlineStr">
        <is>
          <t>7290113140714</t>
        </is>
      </c>
      <c r="B9786" t="inlineStr">
        <is>
          <t>Moroccanoil Color Depositing Mask Aquamarine 30 Ml</t>
        </is>
      </c>
      <c r="C9786" t="inlineStr">
        <is>
          <t>Hair Masks</t>
        </is>
      </c>
      <c r="D9786" t="inlineStr">
        <is>
          <t>Moroccanoil</t>
        </is>
      </c>
      <c r="E9786" t="n">
        <v>7.06</v>
      </c>
      <c r="F9786" t="n">
        <v>1</v>
      </c>
      <c r="G9786" t="n">
        <v>4</v>
      </c>
      <c r="H9786" s="5">
        <f>HYPERLINK("https://api.qogita.com/variants/link/7290113140714/", "View Product")</f>
        <v/>
      </c>
    </row>
    <row r="9787">
      <c r="A9787" t="inlineStr">
        <is>
          <t>7290113142954</t>
        </is>
      </c>
      <c r="B9787" t="inlineStr">
        <is>
          <t>Moroccanoil Hydration All In One Leavein Conditioner 50ml</t>
        </is>
      </c>
      <c r="C9787" t="inlineStr">
        <is>
          <t>Leave-In Conditioner</t>
        </is>
      </c>
      <c r="D9787" t="inlineStr">
        <is>
          <t>Moroccanoil</t>
        </is>
      </c>
      <c r="E9787" t="n">
        <v>11.37</v>
      </c>
      <c r="F9787" t="n">
        <v>1</v>
      </c>
      <c r="G9787" t="n">
        <v>12</v>
      </c>
      <c r="H9787" s="5">
        <f>HYPERLINK("https://api.qogita.com/variants/link/7290113142954/", "View Product")</f>
        <v/>
      </c>
    </row>
    <row r="9788">
      <c r="A9788" t="inlineStr">
        <is>
          <t>7290113145221</t>
        </is>
      </c>
      <c r="B9788" t="inlineStr">
        <is>
          <t>Moroccanoil Body Butter With Argan Oil And Hyaluronic Acid 200ml</t>
        </is>
      </c>
      <c r="C9788" t="inlineStr">
        <is>
          <t>Body Butter</t>
        </is>
      </c>
      <c r="D9788" t="inlineStr">
        <is>
          <t>Moroccanoil</t>
        </is>
      </c>
      <c r="E9788" t="n">
        <v>29.17</v>
      </c>
      <c r="F9788" t="n">
        <v>1</v>
      </c>
      <c r="G9788" t="n">
        <v>7</v>
      </c>
      <c r="H9788" s="5">
        <f>HYPERLINK("https://api.qogita.com/variants/link/7290113145221/", "View Product")</f>
        <v/>
      </c>
    </row>
    <row r="9789">
      <c r="A9789" t="inlineStr">
        <is>
          <t>7290113145276</t>
        </is>
      </c>
      <c r="B9789" t="inlineStr">
        <is>
          <t>Moroccanoil Color Care Blonde Perfecting Purple Conditioner 200ml</t>
        </is>
      </c>
      <c r="C9789" t="inlineStr">
        <is>
          <t>Conditioner</t>
        </is>
      </c>
      <c r="D9789" t="inlineStr">
        <is>
          <t>Moroccanoil</t>
        </is>
      </c>
      <c r="E9789" t="n">
        <v>20.35</v>
      </c>
      <c r="F9789" t="n">
        <v>1</v>
      </c>
      <c r="G9789" t="n">
        <v>3</v>
      </c>
      <c r="H9789" s="5">
        <f>HYPERLINK("https://api.qogita.com/variants/link/7290113145276/", "View Product")</f>
        <v/>
      </c>
    </row>
    <row r="9790">
      <c r="A9790" t="inlineStr">
        <is>
          <t>7290113146525</t>
        </is>
      </c>
      <c r="B9790" t="inlineStr">
        <is>
          <t>Moroccanoil Hand Cream Oud Minéral 40ml</t>
        </is>
      </c>
      <c r="C9790" t="inlineStr">
        <is>
          <t>Hand Cream</t>
        </is>
      </c>
      <c r="D9790" t="inlineStr">
        <is>
          <t>Moroccanoil</t>
        </is>
      </c>
      <c r="E9790" t="n">
        <v>9.32</v>
      </c>
      <c r="F9790" t="n">
        <v>1</v>
      </c>
      <c r="G9790" t="n">
        <v>8</v>
      </c>
      <c r="H9790" s="5">
        <f>HYPERLINK("https://api.qogita.com/variants/link/7290113146525/", "View Product")</f>
        <v/>
      </c>
    </row>
    <row r="9791">
      <c r="A9791" t="inlineStr">
        <is>
          <t>7290113146549</t>
        </is>
      </c>
      <c r="B9791" t="inlineStr">
        <is>
          <t>Fragrance Originale Hand Cream 40ml</t>
        </is>
      </c>
      <c r="C9791" t="inlineStr">
        <is>
          <t>Hand Cream</t>
        </is>
      </c>
      <c r="D9791" t="inlineStr">
        <is>
          <t>Moroccanoil</t>
        </is>
      </c>
      <c r="E9791" t="n">
        <v>8.51</v>
      </c>
      <c r="F9791" t="n">
        <v>1</v>
      </c>
      <c r="G9791" t="n">
        <v>6</v>
      </c>
      <c r="H9791" s="5">
        <f>HYPERLINK("https://api.qogita.com/variants/link/7290113146549/", "View Product")</f>
        <v/>
      </c>
    </row>
    <row r="9792">
      <c r="A9792" t="inlineStr">
        <is>
          <t>7290113146556</t>
        </is>
      </c>
      <c r="B9792" t="inlineStr">
        <is>
          <t>Moroccanoil Ambre Noir Body Lotion 360ml</t>
        </is>
      </c>
      <c r="C9792" t="inlineStr">
        <is>
          <t>Body Lotion</t>
        </is>
      </c>
      <c r="D9792" t="inlineStr">
        <is>
          <t>Moroccanoil</t>
        </is>
      </c>
      <c r="E9792" t="n">
        <v>24.85</v>
      </c>
      <c r="F9792" t="n">
        <v>1</v>
      </c>
      <c r="G9792" t="n">
        <v>3</v>
      </c>
      <c r="H9792" s="5">
        <f>HYPERLINK("https://api.qogita.com/variants/link/7290113146556/", "View Product")</f>
        <v/>
      </c>
    </row>
    <row r="9793">
      <c r="A9793" t="inlineStr">
        <is>
          <t>7290116972480</t>
        </is>
      </c>
      <c r="B9793" t="inlineStr">
        <is>
          <t>Moroccanoil Frizz Control Conditioner</t>
        </is>
      </c>
      <c r="C9793" t="inlineStr">
        <is>
          <t>Conditioner</t>
        </is>
      </c>
      <c r="D9793" t="inlineStr">
        <is>
          <t>Moroccanoil</t>
        </is>
      </c>
      <c r="E9793" t="n">
        <v>59.29</v>
      </c>
      <c r="F9793" t="n">
        <v>1</v>
      </c>
      <c r="G9793" t="n">
        <v>14</v>
      </c>
      <c r="H9793" s="5">
        <f>HYPERLINK("https://api.qogita.com/variants/link/7290116972480/", "View Product")</f>
        <v/>
      </c>
    </row>
    <row r="9794">
      <c r="A9794" t="inlineStr">
        <is>
          <t>7290116974033</t>
        </is>
      </c>
      <c r="B9794" t="inlineStr">
        <is>
          <t>Moroccanoil Dahlia Rouge Body Lotion 360 Ml</t>
        </is>
      </c>
      <c r="C9794" t="inlineStr">
        <is>
          <t>Body Lotion</t>
        </is>
      </c>
      <c r="D9794" t="inlineStr">
        <is>
          <t>Moroccanoil</t>
        </is>
      </c>
      <c r="E9794" t="n">
        <v>22.38</v>
      </c>
      <c r="F9794" t="n">
        <v>1</v>
      </c>
      <c r="G9794" t="n">
        <v>4</v>
      </c>
      <c r="H9794" s="5">
        <f>HYPERLINK("https://api.qogita.com/variants/link/7290116974033/", "View Product")</f>
        <v/>
      </c>
    </row>
    <row r="9795">
      <c r="A9795" t="inlineStr">
        <is>
          <t>7290116977539</t>
        </is>
      </c>
      <c r="B9795" t="inlineStr">
        <is>
          <t>Moroccanoil Good-To-Go Glow</t>
        </is>
      </c>
      <c r="C9795" t="inlineStr">
        <is>
          <t>Hair Oil &amp; Hair Serum</t>
        </is>
      </c>
      <c r="D9795" t="inlineStr">
        <is>
          <t>Moroccanoil</t>
        </is>
      </c>
      <c r="E9795" t="n">
        <v>45.21</v>
      </c>
      <c r="F9795" t="n">
        <v>1</v>
      </c>
      <c r="G9795" t="n">
        <v>6</v>
      </c>
      <c r="H9795" s="5">
        <f>HYPERLINK("https://api.qogita.com/variants/link/7290116977539/", "View Product")</f>
        <v/>
      </c>
    </row>
    <row r="9796">
      <c r="A9796" t="inlineStr">
        <is>
          <t>7290116977706</t>
        </is>
      </c>
      <c r="B9796" t="inlineStr">
        <is>
          <t>Moroccanoil Hydration Spring Coffret By Moroccanoil</t>
        </is>
      </c>
      <c r="C9796" t="inlineStr">
        <is>
          <t>Hair Care Sets</t>
        </is>
      </c>
      <c r="D9796" t="inlineStr">
        <is>
          <t>Moroccanoil</t>
        </is>
      </c>
      <c r="E9796" t="n">
        <v>44.23</v>
      </c>
      <c r="F9796" t="n">
        <v>1</v>
      </c>
      <c r="G9796" t="n">
        <v>19</v>
      </c>
      <c r="H9796" s="5">
        <f>HYPERLINK("https://api.qogita.com/variants/link/7290116977706/", "View Product")</f>
        <v/>
      </c>
    </row>
    <row r="9797">
      <c r="A9797" t="inlineStr">
        <is>
          <t>7290116978499</t>
        </is>
      </c>
      <c r="B9797" t="inlineStr">
        <is>
          <t>Moroccanoil Hydrating Styling Cream</t>
        </is>
      </c>
      <c r="C9797" t="inlineStr">
        <is>
          <t>Styling Creams</t>
        </is>
      </c>
      <c r="D9797" t="inlineStr">
        <is>
          <t>Moroccanoil</t>
        </is>
      </c>
      <c r="E9797" t="n">
        <v>12.47</v>
      </c>
      <c r="F9797" t="n">
        <v>1</v>
      </c>
      <c r="G9797" t="n">
        <v>28</v>
      </c>
      <c r="H9797" s="5">
        <f>HYPERLINK("https://api.qogita.com/variants/link/7290116978499/", "View Product")</f>
        <v/>
      </c>
    </row>
    <row r="9798">
      <c r="A9798" t="inlineStr">
        <is>
          <t>7317400000749</t>
        </is>
      </c>
      <c r="B9798" t="inlineStr">
        <is>
          <t>TePe Kids X-Soft Toothbrush for Children from 3 Years - Extra Soft and Colorful Brush for Gentle and Sufficient Cleaning - Multicolor 4 Count</t>
        </is>
      </c>
      <c r="C9798" t="inlineStr">
        <is>
          <t>Baby &amp; Child</t>
        </is>
      </c>
      <c r="D9798" t="inlineStr">
        <is>
          <t>Tepe</t>
        </is>
      </c>
      <c r="E9798" t="n">
        <v>5.89</v>
      </c>
      <c r="F9798" t="n">
        <v>1</v>
      </c>
      <c r="G9798" t="n">
        <v>21</v>
      </c>
      <c r="H9798" s="5">
        <f>HYPERLINK("https://api.qogita.com/variants/link/7317400000749/", "View Product")</f>
        <v/>
      </c>
    </row>
    <row r="9799">
      <c r="A9799" t="inlineStr">
        <is>
          <t>7317400002330</t>
        </is>
      </c>
      <c r="B9799" t="inlineStr">
        <is>
          <t>Tepe Extra Soft Interdental Brushes 0.5mm 8 Pieces Light Red</t>
        </is>
      </c>
      <c r="C9799" t="inlineStr">
        <is>
          <t>Mouth &amp; Gum Care</t>
        </is>
      </c>
      <c r="D9799" t="inlineStr">
        <is>
          <t>Tepe</t>
        </is>
      </c>
      <c r="E9799" t="n">
        <v>3.72</v>
      </c>
      <c r="F9799" t="n">
        <v>1</v>
      </c>
      <c r="G9799" t="n">
        <v>15</v>
      </c>
      <c r="H9799" s="5">
        <f>HYPERLINK("https://api.qogita.com/variants/link/7317400002330/", "View Product")</f>
        <v/>
      </c>
    </row>
    <row r="9800">
      <c r="A9800" t="inlineStr">
        <is>
          <t>7317400009926</t>
        </is>
      </c>
      <c r="B9800" t="inlineStr">
        <is>
          <t>Tepe Interdental Brush Extra Soft 045 Mm Orange 8 Pieces</t>
        </is>
      </c>
      <c r="C9800" t="inlineStr">
        <is>
          <t>Mouth &amp; Gum Care</t>
        </is>
      </c>
      <c r="D9800" t="inlineStr">
        <is>
          <t>Tepe</t>
        </is>
      </c>
      <c r="E9800" t="n">
        <v>3.64</v>
      </c>
      <c r="F9800" t="n">
        <v>1</v>
      </c>
      <c r="G9800" t="n">
        <v>24</v>
      </c>
      <c r="H9800" s="5">
        <f>HYPERLINK("https://api.qogita.com/variants/link/7317400009926/", "View Product")</f>
        <v/>
      </c>
    </row>
    <row r="9801">
      <c r="A9801" t="inlineStr">
        <is>
          <t>7317400011509</t>
        </is>
      </c>
      <c r="B9801" t="inlineStr">
        <is>
          <t>Tepe Angle Interdental Brush 6 Pieces 045 Mm Orange</t>
        </is>
      </c>
      <c r="C9801" t="inlineStr">
        <is>
          <t>Orthodontics &amp; Dentures</t>
        </is>
      </c>
      <c r="D9801" t="inlineStr">
        <is>
          <t>Tepe</t>
        </is>
      </c>
      <c r="E9801" t="n">
        <v>4.68</v>
      </c>
      <c r="F9801" t="n">
        <v>1</v>
      </c>
      <c r="G9801" t="n">
        <v>12</v>
      </c>
      <c r="H9801" s="5">
        <f>HYPERLINK("https://api.qogita.com/variants/link/7317400011509/", "View Product")</f>
        <v/>
      </c>
    </row>
    <row r="9802">
      <c r="A9802" t="inlineStr">
        <is>
          <t>7317400011653</t>
        </is>
      </c>
      <c r="B9802" t="inlineStr">
        <is>
          <t>Tepe Interdental Brush Angle Mixed Pack 0.4-0.8mm Iso 0-5 - Pack of 6</t>
        </is>
      </c>
      <c r="C9802" t="inlineStr">
        <is>
          <t>Mouth &amp; Gum Care</t>
        </is>
      </c>
      <c r="D9802" t="inlineStr">
        <is>
          <t>Tepe</t>
        </is>
      </c>
      <c r="E9802" t="n">
        <v>3.97</v>
      </c>
      <c r="F9802" t="n">
        <v>1</v>
      </c>
      <c r="G9802" t="n">
        <v>23</v>
      </c>
      <c r="H9802" s="5">
        <f>HYPERLINK("https://api.qogita.com/variants/link/7317400011653/", "View Product")</f>
        <v/>
      </c>
    </row>
    <row r="9803">
      <c r="A9803" t="inlineStr">
        <is>
          <t>7317400015361</t>
        </is>
      </c>
      <c r="B9803" t="inlineStr">
        <is>
          <t>Tepe Interdental Brush Normal 06 Mm Blue 8 Pieces</t>
        </is>
      </c>
      <c r="C9803" t="inlineStr">
        <is>
          <t>Mouth &amp; Gum Care</t>
        </is>
      </c>
      <c r="D9803" t="inlineStr">
        <is>
          <t>Tepe</t>
        </is>
      </c>
      <c r="E9803" t="n">
        <v>4.05</v>
      </c>
      <c r="F9803" t="n">
        <v>1</v>
      </c>
      <c r="G9803" t="n">
        <v>11</v>
      </c>
      <c r="H9803" s="5">
        <f>HYPERLINK("https://api.qogita.com/variants/link/7317400015361/", "View Product")</f>
        <v/>
      </c>
    </row>
    <row r="9804">
      <c r="A9804" t="inlineStr">
        <is>
          <t>7317400015422</t>
        </is>
      </c>
      <c r="B9804" t="inlineStr">
        <is>
          <t>Tepe Interdental Brush Normal 08 Mm Green 8 Pieces</t>
        </is>
      </c>
      <c r="C9804" t="inlineStr">
        <is>
          <t>Mouth &amp; Gum Care</t>
        </is>
      </c>
      <c r="D9804" t="inlineStr">
        <is>
          <t>Tepe</t>
        </is>
      </c>
      <c r="E9804" t="n">
        <v>3.77</v>
      </c>
      <c r="F9804" t="n">
        <v>1</v>
      </c>
      <c r="G9804" t="n">
        <v>65</v>
      </c>
      <c r="H9804" s="5">
        <f>HYPERLINK("https://api.qogita.com/variants/link/7317400015422/", "View Product")</f>
        <v/>
      </c>
    </row>
    <row r="9805">
      <c r="A9805" t="inlineStr">
        <is>
          <t>7317400028347</t>
        </is>
      </c>
      <c r="B9805" t="inlineStr">
        <is>
          <t>TePe Colour Soft Toothbrush for Adults with Extra Soft Filaments - 3 Count</t>
        </is>
      </c>
      <c r="C9805" t="inlineStr">
        <is>
          <t>Toothbrushes &amp; Tongue Cleaners</t>
        </is>
      </c>
      <c r="D9805" t="inlineStr">
        <is>
          <t>Tepe</t>
        </is>
      </c>
      <c r="E9805" t="n">
        <v>4.63</v>
      </c>
      <c r="F9805" t="n">
        <v>1</v>
      </c>
      <c r="G9805" t="n">
        <v>9</v>
      </c>
      <c r="H9805" s="5">
        <f>HYPERLINK("https://api.qogita.com/variants/link/7317400028347/", "View Product")</f>
        <v/>
      </c>
    </row>
    <row r="9806">
      <c r="A9806" t="inlineStr">
        <is>
          <t>7340032809770</t>
        </is>
      </c>
      <c r="B9806" t="inlineStr">
        <is>
          <t>Byredo Inflorescence Eau De Parfum Spray 100ml</t>
        </is>
      </c>
      <c r="C9806" t="inlineStr">
        <is>
          <t>Eau De Parfum</t>
        </is>
      </c>
      <c r="D9806" t="inlineStr">
        <is>
          <t>Byredo</t>
        </is>
      </c>
      <c r="E9806" t="n">
        <v>173.06</v>
      </c>
      <c r="F9806" t="n">
        <v>1</v>
      </c>
      <c r="G9806" t="n">
        <v>5</v>
      </c>
      <c r="H9806" s="5">
        <f>HYPERLINK("https://api.qogita.com/variants/link/7340032809770/", "View Product")</f>
        <v/>
      </c>
    </row>
    <row r="9807">
      <c r="A9807" t="inlineStr">
        <is>
          <t>7340032815443</t>
        </is>
      </c>
      <c r="B9807" t="inlineStr">
        <is>
          <t>Velvet Rose &amp; Oud by Jo Malone Eau de Cologne Intense Spray 100ml Floral Wood</t>
        </is>
      </c>
      <c r="C9807" t="inlineStr">
        <is>
          <t>Eau De Cologne</t>
        </is>
      </c>
      <c r="D9807" t="inlineStr">
        <is>
          <t>Jo Malone London</t>
        </is>
      </c>
      <c r="E9807" t="n">
        <v>173.25</v>
      </c>
      <c r="F9807" t="n">
        <v>1</v>
      </c>
      <c r="G9807" t="n">
        <v>15</v>
      </c>
      <c r="H9807" s="5">
        <f>HYPERLINK("https://api.qogita.com/variants/link/7340032815443/", "View Product")</f>
        <v/>
      </c>
    </row>
    <row r="9808">
      <c r="A9808" t="inlineStr">
        <is>
          <t>7340032855333</t>
        </is>
      </c>
      <c r="B9808" t="inlineStr">
        <is>
          <t>Mixed Emotions Byredo Eau De Parfum Spray 50ml</t>
        </is>
      </c>
      <c r="C9808" t="inlineStr">
        <is>
          <t>Eau De Parfum</t>
        </is>
      </c>
      <c r="D9808" t="inlineStr">
        <is>
          <t>Byredo</t>
        </is>
      </c>
      <c r="E9808" t="n">
        <v>143.64</v>
      </c>
      <c r="F9808" t="n">
        <v>1</v>
      </c>
      <c r="G9808" t="n">
        <v>2</v>
      </c>
      <c r="H9808" s="5">
        <f>HYPERLINK("https://api.qogita.com/variants/link/7340032855333/", "View Product")</f>
        <v/>
      </c>
    </row>
    <row r="9809">
      <c r="A9809" t="inlineStr">
        <is>
          <t>7340032860351</t>
        </is>
      </c>
      <c r="B9809" t="inlineStr">
        <is>
          <t>Byredo Black Saffron Eau De Parfum</t>
        </is>
      </c>
      <c r="C9809" t="inlineStr">
        <is>
          <t>Eau De Parfum</t>
        </is>
      </c>
      <c r="D9809" t="inlineStr">
        <is>
          <t>Byredo</t>
        </is>
      </c>
      <c r="E9809" t="n">
        <v>180.77</v>
      </c>
      <c r="F9809" t="n">
        <v>1</v>
      </c>
      <c r="G9809" t="n">
        <v>3</v>
      </c>
      <c r="H9809" s="5">
        <f>HYPERLINK("https://api.qogita.com/variants/link/7340032860351/", "View Product")</f>
        <v/>
      </c>
    </row>
    <row r="9810">
      <c r="A9810" t="inlineStr">
        <is>
          <t>7340032860559</t>
        </is>
      </c>
      <c r="B9810" t="inlineStr">
        <is>
          <t>Byredo Black Saffron Hair Perfume 75ml</t>
        </is>
      </c>
      <c r="C9810" t="inlineStr">
        <is>
          <t>Eau De Parfum</t>
        </is>
      </c>
      <c r="D9810" t="inlineStr">
        <is>
          <t>Byredo</t>
        </is>
      </c>
      <c r="E9810" t="n">
        <v>54.47</v>
      </c>
      <c r="F9810" t="n">
        <v>1</v>
      </c>
      <c r="G9810" t="n">
        <v>3</v>
      </c>
      <c r="H9810" s="5">
        <f>HYPERLINK("https://api.qogita.com/variants/link/7340032860559/", "View Product")</f>
        <v/>
      </c>
    </row>
    <row r="9811">
      <c r="A9811" t="inlineStr">
        <is>
          <t>7340032860573</t>
        </is>
      </c>
      <c r="B9811" t="inlineStr">
        <is>
          <t>Byredo Blanche Hair Perfume for Women Spray 2.5 Ounce</t>
        </is>
      </c>
      <c r="C9811" t="inlineStr">
        <is>
          <t>Eau De Toilette</t>
        </is>
      </c>
      <c r="D9811" t="inlineStr">
        <is>
          <t>Byredo</t>
        </is>
      </c>
      <c r="E9811" t="n">
        <v>58.19</v>
      </c>
      <c r="F9811" t="n">
        <v>1</v>
      </c>
      <c r="G9811" t="n">
        <v>3</v>
      </c>
      <c r="H9811" s="5">
        <f>HYPERLINK("https://api.qogita.com/variants/link/7340032860573/", "View Product")</f>
        <v/>
      </c>
    </row>
    <row r="9812">
      <c r="A9812" t="inlineStr">
        <is>
          <t>7340032860917</t>
        </is>
      </c>
      <c r="B9812" t="inlineStr">
        <is>
          <t>Byredo Rose Of No Mans Land Eau De Parfum 100ml Unisex Spray</t>
        </is>
      </c>
      <c r="C9812" t="inlineStr">
        <is>
          <t>Eau De Parfum</t>
        </is>
      </c>
      <c r="D9812" t="inlineStr">
        <is>
          <t>Byredo</t>
        </is>
      </c>
      <c r="E9812" t="n">
        <v>173.32</v>
      </c>
      <c r="F9812" t="n">
        <v>1</v>
      </c>
      <c r="G9812" t="n">
        <v>7</v>
      </c>
      <c r="H9812" s="5">
        <f>HYPERLINK("https://api.qogita.com/variants/link/7340032860917/", "View Product")</f>
        <v/>
      </c>
    </row>
    <row r="9813">
      <c r="A9813" t="inlineStr">
        <is>
          <t>7340032862591</t>
        </is>
      </c>
      <c r="B9813" t="inlineStr">
        <is>
          <t>Byredo Eyes Closed Eau De Parfum Spray 100ml</t>
        </is>
      </c>
      <c r="C9813" t="inlineStr">
        <is>
          <t>Eau De Parfum</t>
        </is>
      </c>
      <c r="D9813" t="inlineStr">
        <is>
          <t>Byredo</t>
        </is>
      </c>
      <c r="E9813" t="n">
        <v>172.92</v>
      </c>
      <c r="F9813" t="n">
        <v>1</v>
      </c>
      <c r="G9813" t="n">
        <v>3</v>
      </c>
      <c r="H9813" s="5">
        <f>HYPERLINK("https://api.qogita.com/variants/link/7340032862591/", "View Product")</f>
        <v/>
      </c>
    </row>
    <row r="9814">
      <c r="A9814" t="inlineStr">
        <is>
          <t>7340032862645</t>
        </is>
      </c>
      <c r="B9814" t="inlineStr">
        <is>
          <t>Byredo De Los Santos Eau De Parfum Spray 50ml</t>
        </is>
      </c>
      <c r="C9814" t="inlineStr">
        <is>
          <t>Eau De Parfum</t>
        </is>
      </c>
      <c r="D9814" t="inlineStr">
        <is>
          <t>Byredo</t>
        </is>
      </c>
      <c r="E9814" t="n">
        <v>132.88</v>
      </c>
      <c r="F9814" t="n">
        <v>1</v>
      </c>
      <c r="G9814" t="n">
        <v>2</v>
      </c>
      <c r="H9814" s="5">
        <f>HYPERLINK("https://api.qogita.com/variants/link/7340032862645/", "View Product")</f>
        <v/>
      </c>
    </row>
    <row r="9815">
      <c r="A9815" t="inlineStr">
        <is>
          <t>7340032875324</t>
        </is>
      </c>
      <c r="B9815" t="inlineStr">
        <is>
          <t>Byredo Mojave Ghost Eau De Parfum 100ml</t>
        </is>
      </c>
      <c r="C9815" t="inlineStr">
        <is>
          <t>Eau De Parfum</t>
        </is>
      </c>
      <c r="D9815" t="inlineStr">
        <is>
          <t>Byredo</t>
        </is>
      </c>
      <c r="E9815" t="n">
        <v>182.31</v>
      </c>
      <c r="F9815" t="n">
        <v>1</v>
      </c>
      <c r="G9815" t="n">
        <v>5</v>
      </c>
      <c r="H9815" s="5">
        <f>HYPERLINK("https://api.qogita.com/variants/link/7340032875324/", "View Product")</f>
        <v/>
      </c>
    </row>
    <row r="9816">
      <c r="A9816" t="inlineStr">
        <is>
          <t>7340032887587</t>
        </is>
      </c>
      <c r="B9816" t="inlineStr">
        <is>
          <t>Byredo Blanche Eau De Parfum 50ml</t>
        </is>
      </c>
      <c r="C9816" t="inlineStr">
        <is>
          <t>Eau De Parfum</t>
        </is>
      </c>
      <c r="D9816" t="inlineStr">
        <is>
          <t>Byredo</t>
        </is>
      </c>
      <c r="E9816" t="n">
        <v>145.76</v>
      </c>
      <c r="F9816" t="n">
        <v>1</v>
      </c>
      <c r="G9816" t="n">
        <v>5</v>
      </c>
      <c r="H9816" s="5">
        <f>HYPERLINK("https://api.qogita.com/variants/link/7340032887587/", "View Product")</f>
        <v/>
      </c>
    </row>
    <row r="9817">
      <c r="A9817" t="inlineStr">
        <is>
          <t>7350016331012</t>
        </is>
      </c>
      <c r="B9817" t="inlineStr">
        <is>
          <t>SACHAJUAN Normal Hair Shampoo 250ml</t>
        </is>
      </c>
      <c r="C9817" t="inlineStr">
        <is>
          <t>Shampoo</t>
        </is>
      </c>
      <c r="D9817" t="inlineStr">
        <is>
          <t>Sachajuan</t>
        </is>
      </c>
      <c r="E9817" t="n">
        <v>17.1</v>
      </c>
      <c r="F9817" t="n">
        <v>1</v>
      </c>
      <c r="G9817" t="n">
        <v>4</v>
      </c>
      <c r="H9817" s="5">
        <f>HYPERLINK("https://api.qogita.com/variants/link/7350016331012/", "View Product")</f>
        <v/>
      </c>
    </row>
    <row r="9818">
      <c r="A9818" t="inlineStr">
        <is>
          <t>7350016331081</t>
        </is>
      </c>
      <c r="B9818" t="inlineStr">
        <is>
          <t>Sachajuan Hair Mousse Medium Hold Styling Hair Mousse</t>
        </is>
      </c>
      <c r="C9818" t="inlineStr">
        <is>
          <t>Mousse</t>
        </is>
      </c>
      <c r="D9818" t="inlineStr">
        <is>
          <t>Sachajuan</t>
        </is>
      </c>
      <c r="E9818" t="n">
        <v>20.25</v>
      </c>
      <c r="F9818" t="n">
        <v>1</v>
      </c>
      <c r="G9818" t="n">
        <v>2</v>
      </c>
      <c r="H9818" s="5">
        <f>HYPERLINK("https://api.qogita.com/variants/link/7350016331081/", "View Product")</f>
        <v/>
      </c>
    </row>
    <row r="9819">
      <c r="A9819" t="inlineStr">
        <is>
          <t>7350016331241</t>
        </is>
      </c>
      <c r="B9819" t="inlineStr">
        <is>
          <t>SACHAJUAN Volume Conditioner 250ml</t>
        </is>
      </c>
      <c r="C9819" t="inlineStr">
        <is>
          <t>Conditioner</t>
        </is>
      </c>
      <c r="D9819" t="inlineStr">
        <is>
          <t>Sachajuan</t>
        </is>
      </c>
      <c r="E9819" t="n">
        <v>19.16</v>
      </c>
      <c r="F9819" t="n">
        <v>1</v>
      </c>
      <c r="G9819" t="n">
        <v>3</v>
      </c>
      <c r="H9819" s="5">
        <f>HYPERLINK("https://api.qogita.com/variants/link/7350016331241/", "View Product")</f>
        <v/>
      </c>
    </row>
    <row r="9820">
      <c r="A9820" t="inlineStr">
        <is>
          <t>7350016331326</t>
        </is>
      </c>
      <c r="B9820" t="inlineStr">
        <is>
          <t>Leave In Conditioner Volume 50 ml</t>
        </is>
      </c>
      <c r="C9820" t="inlineStr">
        <is>
          <t>Leave-In Conditioner</t>
        </is>
      </c>
      <c r="D9820" t="inlineStr">
        <is>
          <t>Sachajuan</t>
        </is>
      </c>
      <c r="E9820" t="n">
        <v>9.890000000000001</v>
      </c>
      <c r="F9820" t="n">
        <v>1</v>
      </c>
      <c r="G9820" t="n">
        <v>3</v>
      </c>
      <c r="H9820" s="5">
        <f>HYPERLINK("https://api.qogita.com/variants/link/7350016331326/", "View Product")</f>
        <v/>
      </c>
    </row>
    <row r="9821">
      <c r="A9821" t="inlineStr">
        <is>
          <t>7350016331401</t>
        </is>
      </c>
      <c r="B9821" t="inlineStr">
        <is>
          <t>SACHAJUAN Volume Powder 200ml</t>
        </is>
      </c>
      <c r="C9821" t="inlineStr">
        <is>
          <t>Volume Powder</t>
        </is>
      </c>
      <c r="D9821" t="inlineStr">
        <is>
          <t>Sachajuan</t>
        </is>
      </c>
      <c r="E9821" t="n">
        <v>19.21</v>
      </c>
      <c r="F9821" t="n">
        <v>1</v>
      </c>
      <c r="G9821" t="n">
        <v>5</v>
      </c>
      <c r="H9821" s="5">
        <f>HYPERLINK("https://api.qogita.com/variants/link/7350016331401/", "View Product")</f>
        <v/>
      </c>
    </row>
    <row r="9822">
      <c r="A9822" t="inlineStr">
        <is>
          <t>7350016331449</t>
        </is>
      </c>
      <c r="B9822" t="inlineStr">
        <is>
          <t>SACHAJUAN Overnight Hair Repair 100ml</t>
        </is>
      </c>
      <c r="C9822" t="inlineStr">
        <is>
          <t>Hair Masks</t>
        </is>
      </c>
      <c r="D9822" t="inlineStr">
        <is>
          <t>Sachajuan</t>
        </is>
      </c>
      <c r="E9822" t="n">
        <v>32.78</v>
      </c>
      <c r="F9822" t="n">
        <v>1</v>
      </c>
      <c r="G9822" t="n">
        <v>2</v>
      </c>
      <c r="H9822" s="5">
        <f>HYPERLINK("https://api.qogita.com/variants/link/7350016331449/", "View Product")</f>
        <v/>
      </c>
    </row>
    <row r="9823">
      <c r="A9823" t="inlineStr">
        <is>
          <t>0000000224086</t>
        </is>
      </c>
      <c r="B9823" t="inlineStr">
        <is>
          <t>Wet Brush Original Detangler Hipster Squiggle Hair Brush</t>
        </is>
      </c>
      <c r="C9823" t="inlineStr">
        <is>
          <t>Detanglers</t>
        </is>
      </c>
      <c r="D9823" t="inlineStr">
        <is>
          <t>Wet Brush</t>
        </is>
      </c>
      <c r="E9823" t="n">
        <v>8.23</v>
      </c>
      <c r="F9823" t="n">
        <v>1</v>
      </c>
      <c r="G9823" t="n">
        <v>62</v>
      </c>
      <c r="H9823" s="5">
        <f>HYPERLINK("https://api.qogita.com/variants/link/0000000224086/", "View Product")</f>
        <v/>
      </c>
    </row>
    <row r="9824">
      <c r="A9824" t="inlineStr">
        <is>
          <t>0000030079847</t>
        </is>
      </c>
      <c r="B9824" t="inlineStr">
        <is>
          <t>Maybelline Colossal Mascara 100% Black 10.7ml</t>
        </is>
      </c>
      <c r="C9824" t="inlineStr">
        <is>
          <t>Mascara</t>
        </is>
      </c>
      <c r="D9824" t="inlineStr">
        <is>
          <t>Maybelline</t>
        </is>
      </c>
      <c r="E9824" t="n">
        <v>4.61</v>
      </c>
      <c r="F9824" t="n">
        <v>1</v>
      </c>
      <c r="G9824" t="n">
        <v>114</v>
      </c>
      <c r="H9824" s="5">
        <f>HYPERLINK("https://api.qogita.com/variants/link/0000030079847/", "View Product")</f>
        <v/>
      </c>
    </row>
    <row r="9825">
      <c r="A9825" t="inlineStr">
        <is>
          <t>0000030096592</t>
        </is>
      </c>
      <c r="B9825" t="inlineStr">
        <is>
          <t>Maybelline Fit me Concealer 15 Fair 6</t>
        </is>
      </c>
      <c r="C9825" t="inlineStr">
        <is>
          <t>Concealer</t>
        </is>
      </c>
      <c r="D9825" t="inlineStr">
        <is>
          <t>Maybelline</t>
        </is>
      </c>
      <c r="E9825" t="n">
        <v>6.09</v>
      </c>
      <c r="F9825" t="n">
        <v>1</v>
      </c>
      <c r="G9825" t="n">
        <v>8</v>
      </c>
      <c r="H9825" s="5">
        <f>HYPERLINK("https://api.qogita.com/variants/link/0000030096592/", "View Product")</f>
        <v/>
      </c>
    </row>
    <row r="9826">
      <c r="A9826" t="inlineStr">
        <is>
          <t>0000030102415</t>
        </is>
      </c>
      <c r="B9826" t="inlineStr">
        <is>
          <t>Roche-Posay Tolerian Dye Blush No. 2 Rose 5g</t>
        </is>
      </c>
      <c r="C9826" t="inlineStr">
        <is>
          <t>Blush</t>
        </is>
      </c>
      <c r="D9826" t="inlineStr">
        <is>
          <t>La Roche-Posay</t>
        </is>
      </c>
      <c r="E9826" t="n">
        <v>21.85</v>
      </c>
      <c r="F9826" t="n">
        <v>1</v>
      </c>
      <c r="G9826" t="n">
        <v>13</v>
      </c>
      <c r="H9826" s="5">
        <f>HYPERLINK("https://api.qogita.com/variants/link/0000030102415/", "View Product")</f>
        <v/>
      </c>
    </row>
    <row r="9827">
      <c r="A9827" t="inlineStr">
        <is>
          <t>0000030122062</t>
        </is>
      </c>
      <c r="B9827" t="inlineStr">
        <is>
          <t>Rimmel Supergel Urban Romance Nail Polish 054 Trust You 12ml</t>
        </is>
      </c>
      <c r="C9827" t="inlineStr">
        <is>
          <t>Nail Polish</t>
        </is>
      </c>
      <c r="D9827" t="inlineStr">
        <is>
          <t>Rimmel London</t>
        </is>
      </c>
      <c r="E9827" t="n">
        <v>1.5</v>
      </c>
      <c r="F9827" t="n">
        <v>1</v>
      </c>
      <c r="G9827" t="n">
        <v>21</v>
      </c>
      <c r="H9827" s="5">
        <f>HYPERLINK("https://api.qogita.com/variants/link/0000030122062/", "View Product")</f>
        <v/>
      </c>
    </row>
    <row r="9828">
      <c r="A9828" t="inlineStr">
        <is>
          <t>0000030144668</t>
        </is>
      </c>
      <c r="B9828" t="inlineStr">
        <is>
          <t>Maybelline Lifter Gloss - Moisturizing Lip Gloss 54 Ml 25 Taffy</t>
        </is>
      </c>
      <c r="C9828" t="inlineStr">
        <is>
          <t>Lip Gloss</t>
        </is>
      </c>
      <c r="D9828" t="inlineStr">
        <is>
          <t>Maybelline</t>
        </is>
      </c>
      <c r="E9828" t="n">
        <v>7.79</v>
      </c>
      <c r="F9828" t="n">
        <v>1</v>
      </c>
      <c r="G9828" t="n">
        <v>8</v>
      </c>
      <c r="H9828" s="5">
        <f>HYPERLINK("https://api.qogita.com/variants/link/0000030144668/", "View Product")</f>
        <v/>
      </c>
    </row>
    <row r="9829">
      <c r="A9829" t="inlineStr">
        <is>
          <t>0000030144958</t>
        </is>
      </c>
      <c r="B9829" t="inlineStr">
        <is>
          <t>Maybelline New York Smudge-Free Long Lasting Lip Colour Up to 16h Liquid</t>
        </is>
      </c>
      <c r="C9829" t="inlineStr">
        <is>
          <t>Lipstick</t>
        </is>
      </c>
      <c r="D9829" t="inlineStr">
        <is>
          <t>Maybelline</t>
        </is>
      </c>
      <c r="E9829" t="n">
        <v>10.5</v>
      </c>
      <c r="F9829" t="n">
        <v>1</v>
      </c>
      <c r="G9829" t="n">
        <v>3</v>
      </c>
      <c r="H9829" s="5">
        <f>HYPERLINK("https://api.qogita.com/variants/link/0000030144958/", "View Product")</f>
        <v/>
      </c>
    </row>
    <row r="9830">
      <c r="A9830" t="inlineStr">
        <is>
          <t>0000030146730</t>
        </is>
      </c>
      <c r="B9830" t="inlineStr">
        <is>
          <t>Maybelline Matte Liquid Lipstick Super Stay Teddy Tint - 5 Ml</t>
        </is>
      </c>
      <c r="C9830" t="inlineStr">
        <is>
          <t>Lipstick</t>
        </is>
      </c>
      <c r="D9830" t="inlineStr">
        <is>
          <t>Maybelline</t>
        </is>
      </c>
      <c r="E9830" t="n">
        <v>9.550000000000001</v>
      </c>
      <c r="F9830" t="n">
        <v>1</v>
      </c>
      <c r="G9830" t="n">
        <v>3</v>
      </c>
      <c r="H9830" s="5">
        <f>HYPERLINK("https://api.qogita.com/variants/link/0000030146730/", "View Product")</f>
        <v/>
      </c>
    </row>
    <row r="9831">
      <c r="A9831" t="inlineStr">
        <is>
          <t>0000030146761</t>
        </is>
      </c>
      <c r="B9831" t="inlineStr">
        <is>
          <t>Maybelline Matte Liquid Lipstick Super Stay Teddy Tint - 5 Ml</t>
        </is>
      </c>
      <c r="C9831" t="inlineStr">
        <is>
          <t>Lipstick</t>
        </is>
      </c>
      <c r="D9831" t="inlineStr">
        <is>
          <t>Maybelline</t>
        </is>
      </c>
      <c r="E9831" t="n">
        <v>9.550000000000001</v>
      </c>
      <c r="F9831" t="n">
        <v>1</v>
      </c>
      <c r="G9831" t="n">
        <v>17</v>
      </c>
      <c r="H9831" s="5">
        <f>HYPERLINK("https://api.qogita.com/variants/link/0000030146761/", "View Product")</f>
        <v/>
      </c>
    </row>
    <row r="9832">
      <c r="A9832" t="inlineStr">
        <is>
          <t>0000030146907</t>
        </is>
      </c>
      <c r="B9832" t="inlineStr">
        <is>
          <t>L'Oréal Paris Color Riche Intense Volume Matte Lipstick 100 Le Pink Worth It 1.8g</t>
        </is>
      </c>
      <c r="C9832" t="inlineStr">
        <is>
          <t>Lipstick</t>
        </is>
      </c>
      <c r="D9832" t="inlineStr">
        <is>
          <t>L'Oréal Paris</t>
        </is>
      </c>
      <c r="E9832" t="n">
        <v>10.41</v>
      </c>
      <c r="F9832" t="n">
        <v>1</v>
      </c>
      <c r="G9832" t="n">
        <v>2</v>
      </c>
      <c r="H9832" s="5">
        <f>HYPERLINK("https://api.qogita.com/variants/link/0000030146907/", "View Product")</f>
        <v/>
      </c>
    </row>
    <row r="9833">
      <c r="A9833" t="inlineStr">
        <is>
          <t>0000030147485</t>
        </is>
      </c>
      <c r="B9833" t="inlineStr">
        <is>
          <t>L'Oreal Paris Telescopic Lift Mascara Extra Black</t>
        </is>
      </c>
      <c r="C9833" t="inlineStr">
        <is>
          <t>Mascara</t>
        </is>
      </c>
      <c r="D9833" t="inlineStr">
        <is>
          <t>L'Oréal Paris</t>
        </is>
      </c>
      <c r="E9833" t="n">
        <v>12.49</v>
      </c>
      <c r="F9833" t="n">
        <v>1</v>
      </c>
      <c r="G9833" t="n">
        <v>4</v>
      </c>
      <c r="H9833" s="5">
        <f>HYPERLINK("https://api.qogita.com/variants/link/0000030147485/", "View Product")</f>
        <v/>
      </c>
    </row>
    <row r="9834">
      <c r="A9834" t="inlineStr">
        <is>
          <t>0000030147508</t>
        </is>
      </c>
      <c r="B9834" t="inlineStr">
        <is>
          <t>Maybelline New York Smudge-Free Long Lasting Lip Colour 115 Peppy</t>
        </is>
      </c>
      <c r="C9834" t="inlineStr">
        <is>
          <t>Lipstick</t>
        </is>
      </c>
      <c r="D9834" t="inlineStr">
        <is>
          <t>Maybelline</t>
        </is>
      </c>
      <c r="E9834" t="n">
        <v>9.69</v>
      </c>
      <c r="F9834" t="n">
        <v>1</v>
      </c>
      <c r="G9834" t="n">
        <v>2</v>
      </c>
      <c r="H9834" s="5">
        <f>HYPERLINK("https://api.qogita.com/variants/link/0000030147508/", "View Product")</f>
        <v/>
      </c>
    </row>
    <row r="9835">
      <c r="A9835" t="inlineStr">
        <is>
          <t>0000030149298</t>
        </is>
      </c>
      <c r="B9835" t="inlineStr">
        <is>
          <t>L'Oreal Paris False Lash Mascara Extra Black Oversized</t>
        </is>
      </c>
      <c r="C9835" t="inlineStr">
        <is>
          <t>Mascara</t>
        </is>
      </c>
      <c r="D9835" t="inlineStr">
        <is>
          <t>L'Oréal Paris</t>
        </is>
      </c>
      <c r="E9835" t="n">
        <v>8.59</v>
      </c>
      <c r="F9835" t="n">
        <v>1</v>
      </c>
      <c r="G9835" t="n">
        <v>3</v>
      </c>
      <c r="H9835" s="5">
        <f>HYPERLINK("https://api.qogita.com/variants/link/0000030149298/", "View Product")</f>
        <v/>
      </c>
    </row>
    <row r="9836">
      <c r="A9836" t="inlineStr">
        <is>
          <t>0000030149380</t>
        </is>
      </c>
      <c r="B9836" t="inlineStr">
        <is>
          <t>Essie Gel-Like Nail Polish with Flex.e Gel Technology 13.5ml - Matte Top Coat</t>
        </is>
      </c>
      <c r="C9836" t="inlineStr">
        <is>
          <t>Top Coat</t>
        </is>
      </c>
      <c r="D9836" t="inlineStr">
        <is>
          <t>Essie</t>
        </is>
      </c>
      <c r="E9836" t="n">
        <v>6.15</v>
      </c>
      <c r="F9836" t="n">
        <v>1</v>
      </c>
      <c r="G9836" t="n">
        <v>8</v>
      </c>
      <c r="H9836" s="5">
        <f>HYPERLINK("https://api.qogita.com/variants/link/0000030149380/", "View Product")</f>
        <v/>
      </c>
    </row>
    <row r="9837">
      <c r="A9837" t="inlineStr">
        <is>
          <t>0000030149779</t>
        </is>
      </c>
      <c r="B9837" t="inlineStr">
        <is>
          <t>Maybelline New York Shiny Lip Gloss for Fuller Looking Lips Moisturizing with Hyaluronic Acid Lifter Gloss Candy Drop Color No. 023 Liquorice Red 1 x 5.4ml Sweetheart</t>
        </is>
      </c>
      <c r="C9837" t="inlineStr">
        <is>
          <t>Lip Gloss</t>
        </is>
      </c>
      <c r="D9837" t="inlineStr">
        <is>
          <t>Maybelline</t>
        </is>
      </c>
      <c r="E9837" t="n">
        <v>7.79</v>
      </c>
      <c r="F9837" t="n">
        <v>1</v>
      </c>
      <c r="G9837" t="n">
        <v>14</v>
      </c>
      <c r="H9837" s="5">
        <f>HYPERLINK("https://api.qogita.com/variants/link/0000030149779/", "View Product")</f>
        <v/>
      </c>
    </row>
    <row r="9838">
      <c r="A9838" t="inlineStr">
        <is>
          <t>0000030150041</t>
        </is>
      </c>
      <c r="B9838" t="inlineStr">
        <is>
          <t>Maybelline New York Colossal Curl Bounce Mascara Big Bouncy Curl Volume</t>
        </is>
      </c>
      <c r="C9838" t="inlineStr">
        <is>
          <t>Mascara</t>
        </is>
      </c>
      <c r="D9838" t="inlineStr">
        <is>
          <t>Maybelline</t>
        </is>
      </c>
      <c r="E9838" t="n">
        <v>7.97</v>
      </c>
      <c r="F9838" t="n">
        <v>1</v>
      </c>
      <c r="G9838" t="n">
        <v>3</v>
      </c>
      <c r="H9838" s="5">
        <f>HYPERLINK("https://api.qogita.com/variants/link/0000030150041/", "View Product")</f>
        <v/>
      </c>
    </row>
    <row r="9839">
      <c r="A9839" t="inlineStr">
        <is>
          <t>0000030159884</t>
        </is>
      </c>
      <c r="B9839" t="inlineStr">
        <is>
          <t>Loreal TecniArt Depolish Force 4 100ml</t>
        </is>
      </c>
      <c r="C9839" t="inlineStr">
        <is>
          <t>Gel</t>
        </is>
      </c>
      <c r="D9839" t="inlineStr">
        <is>
          <t>L'Oréal</t>
        </is>
      </c>
      <c r="E9839" t="n">
        <v>8</v>
      </c>
      <c r="F9839" t="n">
        <v>1</v>
      </c>
      <c r="G9839" t="n">
        <v>10</v>
      </c>
      <c r="H9839" s="5">
        <f>HYPERLINK("https://api.qogita.com/variants/link/0000030159884/", "View Product")</f>
        <v/>
      </c>
    </row>
    <row r="9840">
      <c r="A9840" t="inlineStr">
        <is>
          <t>0000030161955</t>
        </is>
      </c>
      <c r="B9840" t="inlineStr">
        <is>
          <t>L'Oreal Paris Volume Million Lashes Balm Noir Mascara Black 99% Natural</t>
        </is>
      </c>
      <c r="C9840" t="inlineStr">
        <is>
          <t>Mascara</t>
        </is>
      </c>
      <c r="D9840" t="inlineStr">
        <is>
          <t>L'Oréal Paris</t>
        </is>
      </c>
      <c r="E9840" t="n">
        <v>11.54</v>
      </c>
      <c r="F9840" t="n">
        <v>1</v>
      </c>
      <c r="G9840" t="n">
        <v>3</v>
      </c>
      <c r="H9840" s="5">
        <f>HYPERLINK("https://api.qogita.com/variants/link/0000030161955/", "View Product")</f>
        <v/>
      </c>
    </row>
    <row r="9841">
      <c r="A9841" t="inlineStr">
        <is>
          <t>0000030163737</t>
        </is>
      </c>
      <c r="B9841" t="inlineStr">
        <is>
          <t>Maybelline New York Smudge-Free Long Lasting Lip Colour Up to 16h Liquid</t>
        </is>
      </c>
      <c r="C9841" t="inlineStr">
        <is>
          <t>Lipstick</t>
        </is>
      </c>
      <c r="D9841" t="inlineStr">
        <is>
          <t>Maybelline</t>
        </is>
      </c>
      <c r="E9841" t="n">
        <v>10.13</v>
      </c>
      <c r="F9841" t="n">
        <v>1</v>
      </c>
      <c r="G9841" t="n">
        <v>3</v>
      </c>
      <c r="H9841" s="5">
        <f>HYPERLINK("https://api.qogita.com/variants/link/0000030163737/", "View Product")</f>
        <v/>
      </c>
    </row>
    <row r="9842">
      <c r="A9842" t="inlineStr">
        <is>
          <t>0000030165366</t>
        </is>
      </c>
      <c r="B9842" t="inlineStr">
        <is>
          <t>L'Oreal Tecni Art Fix Web Sculpting Paste 150ml</t>
        </is>
      </c>
      <c r="C9842" t="inlineStr">
        <is>
          <t>Wax</t>
        </is>
      </c>
      <c r="D9842" t="inlineStr">
        <is>
          <t>L'Oréal</t>
        </is>
      </c>
      <c r="E9842" t="n">
        <v>13.02</v>
      </c>
      <c r="F9842" t="n">
        <v>1</v>
      </c>
      <c r="G9842" t="n">
        <v>11</v>
      </c>
      <c r="H9842" s="5">
        <f>HYPERLINK("https://api.qogita.com/variants/link/0000030165366/", "View Product")</f>
        <v/>
      </c>
    </row>
    <row r="9843">
      <c r="A9843" t="inlineStr">
        <is>
          <t>0000030166967</t>
        </is>
      </c>
      <c r="B9843" t="inlineStr">
        <is>
          <t>Maybelline Lash Sensational Sky High Mascara - 01 Very Black</t>
        </is>
      </c>
      <c r="C9843" t="inlineStr">
        <is>
          <t>Mascara</t>
        </is>
      </c>
      <c r="D9843" t="inlineStr">
        <is>
          <t>Maybelline</t>
        </is>
      </c>
      <c r="E9843" t="n">
        <v>10.25</v>
      </c>
      <c r="F9843" t="n">
        <v>1</v>
      </c>
      <c r="G9843" t="n">
        <v>41</v>
      </c>
      <c r="H9843" s="5">
        <f>HYPERLINK("https://api.qogita.com/variants/link/0000030166967/", "View Product")</f>
        <v/>
      </c>
    </row>
    <row r="9844">
      <c r="A9844" t="inlineStr">
        <is>
          <t>0000030173484</t>
        </is>
      </c>
      <c r="B9844" t="inlineStr">
        <is>
          <t>L'Oréal Paris Infallible 24H More Than Concealer Full Coverage Longwear Matte Finish 338 Honey 11ml</t>
        </is>
      </c>
      <c r="C9844" t="inlineStr">
        <is>
          <t>Concealer</t>
        </is>
      </c>
      <c r="D9844" t="inlineStr">
        <is>
          <t>L'Oréal Paris</t>
        </is>
      </c>
      <c r="E9844" t="n">
        <v>8.890000000000001</v>
      </c>
      <c r="F9844" t="n">
        <v>1</v>
      </c>
      <c r="G9844" t="n">
        <v>3</v>
      </c>
      <c r="H9844" s="5">
        <f>HYPERLINK("https://api.qogita.com/variants/link/0000030173484/", "View Product")</f>
        <v/>
      </c>
    </row>
    <row r="9845">
      <c r="A9845" t="inlineStr">
        <is>
          <t>0000030179493</t>
        </is>
      </c>
      <c r="B9845" t="inlineStr">
        <is>
          <t>L'Oreal Paris Air Volume Mega Mascara Black 0.023kg</t>
        </is>
      </c>
      <c r="C9845" t="inlineStr">
        <is>
          <t>Mascara</t>
        </is>
      </c>
      <c r="D9845" t="inlineStr">
        <is>
          <t>L'Oréal Paris</t>
        </is>
      </c>
      <c r="E9845" t="n">
        <v>9.130000000000001</v>
      </c>
      <c r="F9845" t="n">
        <v>1</v>
      </c>
      <c r="G9845" t="n">
        <v>5</v>
      </c>
      <c r="H9845" s="5">
        <f>HYPERLINK("https://api.qogita.com/variants/link/0000030179493/", "View Product")</f>
        <v/>
      </c>
    </row>
    <row r="9846">
      <c r="A9846" t="inlineStr">
        <is>
          <t>0000030188228</t>
        </is>
      </c>
      <c r="B9846" t="inlineStr">
        <is>
          <t>L'Oréal Paris Serum Concealer Medium Coverage Radiant Finish with 1.5% Hyaluronic Acid and Caffeine True Match 10ml</t>
        </is>
      </c>
      <c r="C9846" t="inlineStr">
        <is>
          <t>Concealer</t>
        </is>
      </c>
      <c r="D9846" t="inlineStr">
        <is>
          <t>L'Oréal Paris</t>
        </is>
      </c>
      <c r="E9846" t="n">
        <v>9.98</v>
      </c>
      <c r="F9846" t="n">
        <v>1</v>
      </c>
      <c r="G9846" t="n">
        <v>4</v>
      </c>
      <c r="H9846" s="5">
        <f>HYPERLINK("https://api.qogita.com/variants/link/0000030188228/", "View Product")</f>
        <v/>
      </c>
    </row>
    <row r="9847">
      <c r="A9847" t="inlineStr">
        <is>
          <t>0000030188426</t>
        </is>
      </c>
      <c r="B9847" t="inlineStr">
        <is>
          <t>L'Oreal Paris Infaillible Contour Stick Face Sculptor Contour 2.3 G</t>
        </is>
      </c>
      <c r="C9847" t="inlineStr">
        <is>
          <t>Contouring</t>
        </is>
      </c>
      <c r="D9847" t="inlineStr">
        <is>
          <t>L'Oréal Paris</t>
        </is>
      </c>
      <c r="E9847" t="n">
        <v>9.48</v>
      </c>
      <c r="F9847" t="n">
        <v>1</v>
      </c>
      <c r="G9847" t="n">
        <v>2</v>
      </c>
      <c r="H9847" s="5">
        <f>HYPERLINK("https://api.qogita.com/variants/link/0000030188426/", "View Product")</f>
        <v/>
      </c>
    </row>
    <row r="9848">
      <c r="A9848" t="inlineStr">
        <is>
          <t>0000030188563</t>
        </is>
      </c>
      <c r="B9848" t="inlineStr">
        <is>
          <t>L'Oreal Paris Lumi Le Liquid Blush Glowy Rouge 640</t>
        </is>
      </c>
      <c r="C9848" t="inlineStr">
        <is>
          <t>Blush</t>
        </is>
      </c>
      <c r="D9848" t="inlineStr">
        <is>
          <t>L'Oréal Paris</t>
        </is>
      </c>
      <c r="E9848" t="n">
        <v>8.19</v>
      </c>
      <c r="F9848" t="n">
        <v>1</v>
      </c>
      <c r="G9848" t="n">
        <v>2</v>
      </c>
      <c r="H9848" s="5">
        <f>HYPERLINK("https://api.qogita.com/variants/link/0000030188563/", "View Product")</f>
        <v/>
      </c>
    </row>
    <row r="9849">
      <c r="A9849" t="inlineStr">
        <is>
          <t>0000030189195</t>
        </is>
      </c>
      <c r="B9849" t="inlineStr">
        <is>
          <t>Maybelline Lash Sensational Sky High Mascara</t>
        </is>
      </c>
      <c r="C9849" t="inlineStr">
        <is>
          <t>Mascara</t>
        </is>
      </c>
      <c r="D9849" t="inlineStr">
        <is>
          <t>Maybelline</t>
        </is>
      </c>
      <c r="E9849" t="n">
        <v>7</v>
      </c>
      <c r="F9849" t="n">
        <v>1</v>
      </c>
      <c r="G9849" t="n">
        <v>676</v>
      </c>
      <c r="H9849" s="5">
        <f>HYPERLINK("https://api.qogita.com/variants/link/0000030189195/", "View Product")</f>
        <v/>
      </c>
    </row>
    <row r="9850">
      <c r="A9850" t="inlineStr">
        <is>
          <t>0000042163169</t>
        </is>
      </c>
      <c r="B9850" t="inlineStr">
        <is>
          <t>Nivea 44948 Moisturizing Creme Universelle Creme 75 Ml</t>
        </is>
      </c>
      <c r="C9850" t="inlineStr">
        <is>
          <t>Body Lotion</t>
        </is>
      </c>
      <c r="D9850" t="inlineStr">
        <is>
          <t>Nivea</t>
        </is>
      </c>
      <c r="E9850" t="n">
        <v>4.25</v>
      </c>
      <c r="F9850" t="n">
        <v>1</v>
      </c>
      <c r="G9850" t="n">
        <v>13</v>
      </c>
      <c r="H9850" s="5">
        <f>HYPERLINK("https://api.qogita.com/variants/link/0000042163169/", "View Product")</f>
        <v/>
      </c>
    </row>
    <row r="9851">
      <c r="A9851" t="inlineStr">
        <is>
          <t>0000042360735</t>
        </is>
      </c>
      <c r="B9851" t="inlineStr">
        <is>
          <t>Nivea Sun Kids Protect &amp; Sensitive Roll On SPF 50+</t>
        </is>
      </c>
      <c r="C9851" t="inlineStr">
        <is>
          <t>Sun Protection For Children</t>
        </is>
      </c>
      <c r="D9851" t="inlineStr">
        <is>
          <t>Nivea Sun</t>
        </is>
      </c>
      <c r="E9851" t="n">
        <v>9.390000000000001</v>
      </c>
      <c r="F9851" t="n">
        <v>1</v>
      </c>
      <c r="G9851" t="n">
        <v>5</v>
      </c>
      <c r="H9851" s="5">
        <f>HYPERLINK("https://api.qogita.com/variants/link/0000042360735/", "View Product")</f>
        <v/>
      </c>
    </row>
    <row r="9852">
      <c r="A9852" t="inlineStr">
        <is>
          <t>0000042417774</t>
        </is>
      </c>
      <c r="B9852" t="inlineStr">
        <is>
          <t>Nivea Intensive Knitted Hand Cream 100ml</t>
        </is>
      </c>
      <c r="C9852" t="inlineStr">
        <is>
          <t>Hand Cream</t>
        </is>
      </c>
      <c r="D9852" t="inlineStr">
        <is>
          <t>Nivea</t>
        </is>
      </c>
      <c r="E9852" t="n">
        <v>3.22</v>
      </c>
      <c r="F9852" t="n">
        <v>1</v>
      </c>
      <c r="G9852" t="n">
        <v>5</v>
      </c>
      <c r="H9852" s="5">
        <f>HYPERLINK("https://api.qogita.com/variants/link/0000042417774/", "View Product")</f>
        <v/>
      </c>
    </row>
    <row r="9853">
      <c r="A9853" t="inlineStr">
        <is>
          <t>0000042420187</t>
        </is>
      </c>
      <c r="B9853" t="inlineStr">
        <is>
          <t>Nivea Luminous 630 Hand Cream with SPF15 50ml</t>
        </is>
      </c>
      <c r="C9853" t="inlineStr">
        <is>
          <t>Hand Cream</t>
        </is>
      </c>
      <c r="D9853" t="inlineStr">
        <is>
          <t>Nivea</t>
        </is>
      </c>
      <c r="E9853" t="n">
        <v>8.56</v>
      </c>
      <c r="F9853" t="n">
        <v>1</v>
      </c>
      <c r="G9853" t="n">
        <v>5</v>
      </c>
      <c r="H9853" s="5">
        <f>HYPERLINK("https://api.qogita.com/variants/link/0000042420187/", "View Product")</f>
        <v/>
      </c>
    </row>
    <row r="9854">
      <c r="A9854" t="inlineStr">
        <is>
          <t>0000042435822</t>
        </is>
      </c>
      <c r="B9854" t="inlineStr">
        <is>
          <t>Kerasilk Taming Balm for Frizzy Hair Vegan Formula Heat Protection Serum 25ml</t>
        </is>
      </c>
      <c r="C9854" t="inlineStr">
        <is>
          <t>Heat Protection</t>
        </is>
      </c>
      <c r="D9854" t="inlineStr">
        <is>
          <t>Kerasilk</t>
        </is>
      </c>
      <c r="E9854" t="n">
        <v>7.91</v>
      </c>
      <c r="F9854" t="n">
        <v>1</v>
      </c>
      <c r="G9854" t="n">
        <v>34</v>
      </c>
      <c r="H9854" s="5">
        <f>HYPERLINK("https://api.qogita.com/variants/link/0000042435822/", "View Product")</f>
        <v/>
      </c>
    </row>
    <row r="9855">
      <c r="A9855" t="inlineStr">
        <is>
          <t>0000050120772</t>
        </is>
      </c>
      <c r="B9855" t="inlineStr">
        <is>
          <t>Rexona Quantum Dry Stick Anti-Perspirant 48H 59ml/1.69oz</t>
        </is>
      </c>
      <c r="C9855" t="inlineStr">
        <is>
          <t>Deodorant &amp; Anti-Perspirant</t>
        </is>
      </c>
      <c r="D9855" t="inlineStr">
        <is>
          <t>Rexona</t>
        </is>
      </c>
      <c r="E9855" t="n">
        <v>3.95</v>
      </c>
      <c r="F9855" t="n">
        <v>1</v>
      </c>
      <c r="G9855" t="n">
        <v>3</v>
      </c>
      <c r="H9855" s="5">
        <f>HYPERLINK("https://api.qogita.com/variants/link/0000050120772/", "View Product")</f>
        <v/>
      </c>
    </row>
    <row r="9856">
      <c r="A9856" t="inlineStr">
        <is>
          <t>0000050160143</t>
        </is>
      </c>
      <c r="B9856" t="inlineStr">
        <is>
          <t>Unscented Natural Crystal Rock Deodorant 50g</t>
        </is>
      </c>
      <c r="C9856" t="inlineStr">
        <is>
          <t>Deodorant &amp; Anti-Perspirant</t>
        </is>
      </c>
      <c r="D9856" t="inlineStr">
        <is>
          <t>Salt Of The Earth</t>
        </is>
      </c>
      <c r="E9856" t="n">
        <v>6.58</v>
      </c>
      <c r="F9856" t="n">
        <v>1</v>
      </c>
      <c r="G9856" t="n">
        <v>55</v>
      </c>
      <c r="H9856" s="5">
        <f>HYPERLINK("https://api.qogita.com/variants/link/0000050160143/", "View Product")</f>
        <v/>
      </c>
    </row>
    <row r="9857">
      <c r="A9857" t="inlineStr">
        <is>
          <t>0000050160150</t>
        </is>
      </c>
      <c r="B9857" t="inlineStr">
        <is>
          <t>Kristall Spring Salt of the Earth Bio Classic Deodorant 90g</t>
        </is>
      </c>
      <c r="C9857" t="inlineStr">
        <is>
          <t>Deodorant &amp; Anti-Perspirant</t>
        </is>
      </c>
      <c r="D9857" t="inlineStr">
        <is>
          <t>Salt Of The Earth</t>
        </is>
      </c>
      <c r="E9857" t="n">
        <v>8.52</v>
      </c>
      <c r="F9857" t="n">
        <v>1</v>
      </c>
      <c r="G9857" t="n">
        <v>54</v>
      </c>
      <c r="H9857" s="5">
        <f>HYPERLINK("https://api.qogita.com/variants/link/0000050160150/", "View Product")</f>
        <v/>
      </c>
    </row>
    <row r="9858">
      <c r="A9858" t="inlineStr">
        <is>
          <t>0000050884476</t>
        </is>
      </c>
      <c r="B9858" t="inlineStr">
        <is>
          <t>Max Factor Pan-Stik Foundation 9g 13 Nouveau Beige</t>
        </is>
      </c>
      <c r="C9858" t="inlineStr">
        <is>
          <t>Foundation</t>
        </is>
      </c>
      <c r="D9858" t="inlineStr">
        <is>
          <t>Max Factor</t>
        </is>
      </c>
      <c r="E9858" t="n">
        <v>4.75</v>
      </c>
      <c r="F9858" t="n">
        <v>1</v>
      </c>
      <c r="G9858" t="n">
        <v>12</v>
      </c>
      <c r="H9858" s="5">
        <f>HYPERLINK("https://api.qogita.com/variants/link/0000050884476/", "View Product")</f>
        <v/>
      </c>
    </row>
    <row r="9859">
      <c r="A9859" t="inlineStr">
        <is>
          <t>0000050884537</t>
        </is>
      </c>
      <c r="B9859" t="inlineStr">
        <is>
          <t>Panstik Foundation True Beige Beige 9g</t>
        </is>
      </c>
      <c r="C9859" t="inlineStr">
        <is>
          <t>Foundation</t>
        </is>
      </c>
      <c r="D9859" t="inlineStr">
        <is>
          <t>Max Factor</t>
        </is>
      </c>
      <c r="E9859" t="n">
        <v>4.88</v>
      </c>
      <c r="F9859" t="n">
        <v>1</v>
      </c>
      <c r="G9859" t="n">
        <v>3</v>
      </c>
      <c r="H9859" s="5">
        <f>HYPERLINK("https://api.qogita.com/variants/link/0000050884537/", "View Product")</f>
        <v/>
      </c>
    </row>
    <row r="9860">
      <c r="A9860" t="inlineStr">
        <is>
          <t>0000050889860</t>
        </is>
      </c>
      <c r="B9860" t="inlineStr">
        <is>
          <t>Max Factor Pan Stik Foundation Full Coverage - Rapid Delivery</t>
        </is>
      </c>
      <c r="C9860" t="inlineStr">
        <is>
          <t>Foundation</t>
        </is>
      </c>
      <c r="D9860" t="inlineStr">
        <is>
          <t>Max Factor</t>
        </is>
      </c>
      <c r="E9860" t="n">
        <v>0.92</v>
      </c>
      <c r="F9860" t="n">
        <v>1</v>
      </c>
      <c r="G9860" t="n">
        <v>288</v>
      </c>
      <c r="H9860" s="5">
        <f>HYPERLINK("https://api.qogita.com/variants/link/0000050889860/", "View Product")</f>
        <v/>
      </c>
    </row>
    <row r="9861">
      <c r="A9861" t="inlineStr">
        <is>
          <t>0000059095859</t>
        </is>
      </c>
      <c r="B9861" t="inlineStr">
        <is>
          <t>Dove Advanced Care Original 50ml Deodorant &amp; Antiperspirant</t>
        </is>
      </c>
      <c r="C9861" t="inlineStr">
        <is>
          <t>Deodorant &amp; Anti-Perspirant</t>
        </is>
      </c>
      <c r="D9861" t="inlineStr">
        <is>
          <t>Dove</t>
        </is>
      </c>
      <c r="E9861" t="n">
        <v>4.33</v>
      </c>
      <c r="F9861" t="n">
        <v>1</v>
      </c>
      <c r="G9861" t="n">
        <v>4</v>
      </c>
      <c r="H9861" s="5">
        <f>HYPERLINK("https://api.qogita.com/variants/link/0000059095859/", "View Product")</f>
        <v/>
      </c>
    </row>
    <row r="9862">
      <c r="A9862" t="inlineStr">
        <is>
          <t>0000059095965</t>
        </is>
      </c>
      <c r="B9862" t="inlineStr">
        <is>
          <t>Dove Original Roll-On Deodorant 0% Aluminum Salts with 1/4 Moisturizing Cream and 48 Hour Protection 50ml</t>
        </is>
      </c>
      <c r="C9862" t="inlineStr">
        <is>
          <t>Deodorant &amp; Anti-Perspirant</t>
        </is>
      </c>
      <c r="D9862" t="inlineStr">
        <is>
          <t>Dove</t>
        </is>
      </c>
      <c r="E9862" t="n">
        <v>5.13</v>
      </c>
      <c r="F9862" t="n">
        <v>1</v>
      </c>
      <c r="G9862" t="n">
        <v>4</v>
      </c>
      <c r="H9862" s="5">
        <f>HYPERLINK("https://api.qogita.com/variants/link/0000059095965/", "View Product")</f>
        <v/>
      </c>
    </row>
    <row r="9863">
      <c r="A9863" t="inlineStr">
        <is>
          <t>0000059099574</t>
        </is>
      </c>
      <c r="B9863" t="inlineStr">
        <is>
          <t>Dove Solid Antiperspirant Go Fresh Cucumber - 50 Ml</t>
        </is>
      </c>
      <c r="C9863" t="inlineStr">
        <is>
          <t>Deodorant &amp; Anti-Perspirant</t>
        </is>
      </c>
      <c r="D9863" t="inlineStr">
        <is>
          <t>Dove</t>
        </is>
      </c>
      <c r="E9863" t="n">
        <v>4.33</v>
      </c>
      <c r="F9863" t="n">
        <v>1</v>
      </c>
      <c r="G9863" t="n">
        <v>9</v>
      </c>
      <c r="H9863" s="5">
        <f>HYPERLINK("https://api.qogita.com/variants/link/0000059099574/", "View Product")</f>
        <v/>
      </c>
    </row>
    <row r="9864">
      <c r="A9864" t="inlineStr">
        <is>
          <t>0000059099734</t>
        </is>
      </c>
      <c r="B9864" t="inlineStr">
        <is>
          <t>Dove Solid Antiperspirant Men Care Advanced Invisible Dry - 50 Ml</t>
        </is>
      </c>
      <c r="C9864" t="inlineStr">
        <is>
          <t>Deodorant &amp; Anti-Perspirant</t>
        </is>
      </c>
      <c r="D9864" t="inlineStr">
        <is>
          <t>Dove</t>
        </is>
      </c>
      <c r="E9864" t="n">
        <v>4.14</v>
      </c>
      <c r="F9864" t="n">
        <v>1</v>
      </c>
      <c r="G9864" t="n">
        <v>6</v>
      </c>
      <c r="H9864" s="5">
        <f>HYPERLINK("https://api.qogita.com/variants/link/0000059099734/", "View Product")</f>
        <v/>
      </c>
    </row>
    <row r="9865">
      <c r="A9865" t="inlineStr">
        <is>
          <t>0000080815327</t>
        </is>
      </c>
      <c r="B9865" t="inlineStr">
        <is>
          <t>Men Invisible Dry Deo Stick</t>
        </is>
      </c>
      <c r="C9865" t="inlineStr">
        <is>
          <t>Deodorant &amp; Anti-Perspirant</t>
        </is>
      </c>
      <c r="D9865" t="inlineStr">
        <is>
          <t>Mennen</t>
        </is>
      </c>
      <c r="E9865" t="n">
        <v>4.5</v>
      </c>
      <c r="F9865" t="n">
        <v>1</v>
      </c>
      <c r="G9865" t="n">
        <v>37</v>
      </c>
      <c r="H9865" s="5">
        <f>HYPERLINK("https://api.qogita.com/variants/link/0000080815327/", "View Product")</f>
        <v/>
      </c>
    </row>
    <row r="9866">
      <c r="A9866" t="inlineStr">
        <is>
          <t>0000080836810</t>
        </is>
      </c>
      <c r="B9866" t="inlineStr">
        <is>
          <t>Invisible Deodorant 40 milliliters</t>
        </is>
      </c>
      <c r="C9866" t="inlineStr">
        <is>
          <t>Deodorant &amp; Anti-Perspirant</t>
        </is>
      </c>
      <c r="D9866" t="inlineStr">
        <is>
          <t>Borotalco</t>
        </is>
      </c>
      <c r="E9866" t="n">
        <v>4.5</v>
      </c>
      <c r="F9866" t="n">
        <v>1</v>
      </c>
      <c r="G9866" t="n">
        <v>105</v>
      </c>
      <c r="H9866" s="5">
        <f>HYPERLINK("https://api.qogita.com/variants/link/0000080836810/", "View Product")</f>
        <v/>
      </c>
    </row>
    <row r="9867">
      <c r="A9867" t="inlineStr">
        <is>
          <t>0000080886754</t>
        </is>
      </c>
      <c r="B9867" t="inlineStr">
        <is>
          <t>Ball Dry Amber Deo Roll On 50 ml Men's Deodorant</t>
        </is>
      </c>
      <c r="C9867" t="inlineStr">
        <is>
          <t>Deodorant &amp; Anti-Perspirant</t>
        </is>
      </c>
      <c r="D9867" t="inlineStr">
        <is>
          <t>Mennen</t>
        </is>
      </c>
      <c r="E9867" t="n">
        <v>4.5</v>
      </c>
      <c r="F9867" t="n">
        <v>1</v>
      </c>
      <c r="G9867" t="n">
        <v>69</v>
      </c>
      <c r="H9867" s="5">
        <f>HYPERLINK("https://api.qogita.com/variants/link/0000080886754/", "View Product")</f>
        <v/>
      </c>
    </row>
    <row r="9868">
      <c r="A9868" t="inlineStr">
        <is>
          <t>0000080895220</t>
        </is>
      </c>
      <c r="B9868" t="inlineStr">
        <is>
          <t>Borotalco Pure Solid Deodorant 40 ml</t>
        </is>
      </c>
      <c r="C9868" t="inlineStr">
        <is>
          <t>Deodorant &amp; Anti-Perspirant</t>
        </is>
      </c>
      <c r="D9868" t="inlineStr">
        <is>
          <t>Borotalco</t>
        </is>
      </c>
      <c r="E9868" t="n">
        <v>4.5</v>
      </c>
      <c r="F9868" t="n">
        <v>1</v>
      </c>
      <c r="G9868" t="n">
        <v>13</v>
      </c>
      <c r="H9868" s="5">
        <f>HYPERLINK("https://api.qogita.com/variants/link/0000080895220/", "View Product")</f>
        <v/>
      </c>
    </row>
    <row r="9869">
      <c r="A9869" t="inlineStr">
        <is>
          <t>0000080936251</t>
        </is>
      </c>
      <c r="B9869" t="inlineStr">
        <is>
          <t>Borotalco Mandarin Odor Converter Deodorant Roll On 72h Effectiveness</t>
        </is>
      </c>
      <c r="C9869" t="inlineStr">
        <is>
          <t>Deodorant &amp; Anti-Perspirant</t>
        </is>
      </c>
      <c r="D9869" t="inlineStr">
        <is>
          <t>Borotalco</t>
        </is>
      </c>
      <c r="E9869" t="n">
        <v>4.5</v>
      </c>
      <c r="F9869" t="n">
        <v>1</v>
      </c>
      <c r="G9869" t="n">
        <v>54</v>
      </c>
      <c r="H9869" s="5">
        <f>HYPERLINK("https://api.qogita.com/variants/link/0000080936251/", "View Product")</f>
        <v/>
      </c>
    </row>
    <row r="9870">
      <c r="A9870" t="inlineStr">
        <is>
          <t>0000080971245</t>
        </is>
      </c>
      <c r="B9870" t="inlineStr">
        <is>
          <t>Borotalco Intensive Deodorant Roll On 50ml</t>
        </is>
      </c>
      <c r="C9870" t="inlineStr">
        <is>
          <t>Deodorant &amp; Anti-Perspirant</t>
        </is>
      </c>
      <c r="D9870" t="inlineStr">
        <is>
          <t>Borotalco</t>
        </is>
      </c>
      <c r="E9870" t="n">
        <v>4.5</v>
      </c>
      <c r="F9870" t="n">
        <v>1</v>
      </c>
      <c r="G9870" t="n">
        <v>57</v>
      </c>
      <c r="H9870" s="5">
        <f>HYPERLINK("https://api.qogita.com/variants/link/0000080971245/", "View Product")</f>
        <v/>
      </c>
    </row>
    <row r="9871">
      <c r="A9871" t="inlineStr">
        <is>
          <t>0000080972990</t>
        </is>
      </c>
      <c r="B9871" t="inlineStr">
        <is>
          <t>Borotalco Men Unique Scent Deo Roll On</t>
        </is>
      </c>
      <c r="C9871" t="inlineStr">
        <is>
          <t>Deodorant &amp; Anti-Perspirant</t>
        </is>
      </c>
      <c r="D9871" t="inlineStr">
        <is>
          <t>Borotalco</t>
        </is>
      </c>
      <c r="E9871" t="n">
        <v>4.5</v>
      </c>
      <c r="F9871" t="n">
        <v>1</v>
      </c>
      <c r="G9871" t="n">
        <v>37</v>
      </c>
      <c r="H9871" s="5">
        <f>HYPERLINK("https://api.qogita.com/variants/link/0000080972990/", "View Product")</f>
        <v/>
      </c>
    </row>
    <row r="9872">
      <c r="A9872" t="inlineStr">
        <is>
          <t>0000085934832</t>
        </is>
      </c>
      <c r="B9872" t="inlineStr">
        <is>
          <t>Dermacol Toning Cream 2-in-1 Natural</t>
        </is>
      </c>
      <c r="C9872" t="inlineStr">
        <is>
          <t>Face Cream</t>
        </is>
      </c>
      <c r="D9872" t="inlineStr">
        <is>
          <t>Dermacol</t>
        </is>
      </c>
      <c r="E9872" t="n">
        <v>6.33</v>
      </c>
      <c r="F9872" t="n">
        <v>1</v>
      </c>
      <c r="G9872" t="n">
        <v>6</v>
      </c>
      <c r="H9872" s="5">
        <f>HYPERLINK("https://api.qogita.com/variants/link/0000085934832/", "View Product")</f>
        <v/>
      </c>
    </row>
    <row r="9873">
      <c r="A9873" t="inlineStr">
        <is>
          <t>0000085945951</t>
        </is>
      </c>
      <c r="B9873" t="inlineStr">
        <is>
          <t>Dermacol Full Coverage Liquid Matte Foundation with SPF 30 30g Shade 209</t>
        </is>
      </c>
      <c r="C9873" t="inlineStr">
        <is>
          <t>Foundation</t>
        </is>
      </c>
      <c r="D9873" t="inlineStr">
        <is>
          <t>Dermacol</t>
        </is>
      </c>
      <c r="E9873" t="n">
        <v>8.27</v>
      </c>
      <c r="F9873" t="n">
        <v>1</v>
      </c>
      <c r="G9873" t="n">
        <v>97</v>
      </c>
      <c r="H9873" s="5">
        <f>HYPERLINK("https://api.qogita.com/variants/link/0000085945951/", "View Product")</f>
        <v/>
      </c>
    </row>
    <row r="9874">
      <c r="A9874" t="inlineStr">
        <is>
          <t>0000085948181</t>
        </is>
      </c>
      <c r="B9874" t="inlineStr">
        <is>
          <t>Dermacol Satin Make-Up Base 10ml 1406a</t>
        </is>
      </c>
      <c r="C9874" t="inlineStr">
        <is>
          <t>Primer</t>
        </is>
      </c>
      <c r="D9874" t="inlineStr">
        <is>
          <t>Dermacol</t>
        </is>
      </c>
      <c r="E9874" t="n">
        <v>6.33</v>
      </c>
      <c r="F9874" t="n">
        <v>1</v>
      </c>
      <c r="G9874" t="n">
        <v>3</v>
      </c>
      <c r="H9874" s="5">
        <f>HYPERLINK("https://api.qogita.com/variants/link/0000085948181/", "View Product")</f>
        <v/>
      </c>
    </row>
    <row r="9875">
      <c r="A9875" t="inlineStr">
        <is>
          <t>0000085950832</t>
        </is>
      </c>
      <c r="B9875" t="inlineStr">
        <is>
          <t>Dermacol Invisible Fixing Face Powder Touch-Proof Translucent Powder for Oily Skin &amp; Other Skin Types Loose Powder Makeup Matte Powder with Powder Puff 13.5g Light</t>
        </is>
      </c>
      <c r="C9875" t="inlineStr">
        <is>
          <t>Powder</t>
        </is>
      </c>
      <c r="D9875" t="inlineStr">
        <is>
          <t>Dermacol</t>
        </is>
      </c>
      <c r="E9875" t="n">
        <v>10.87</v>
      </c>
      <c r="F9875" t="n">
        <v>1</v>
      </c>
      <c r="G9875" t="n">
        <v>14</v>
      </c>
      <c r="H9875" s="5">
        <f>HYPERLINK("https://api.qogita.com/variants/link/0000085950832/", "View Product")</f>
        <v/>
      </c>
    </row>
    <row r="9876">
      <c r="A9876" t="inlineStr">
        <is>
          <t>0000085950863</t>
        </is>
      </c>
      <c r="B9876" t="inlineStr">
        <is>
          <t>Dermacol 2-in-1 Long-Stay Foundation &amp; Concealer with Caviar Moisturizing and Mattifying Fair</t>
        </is>
      </c>
      <c r="C9876" t="inlineStr">
        <is>
          <t>Foundation</t>
        </is>
      </c>
      <c r="D9876" t="inlineStr">
        <is>
          <t>Dermacol</t>
        </is>
      </c>
      <c r="E9876" t="n">
        <v>12.1</v>
      </c>
      <c r="F9876" t="n">
        <v>1</v>
      </c>
      <c r="G9876" t="n">
        <v>16</v>
      </c>
      <c r="H9876" s="5">
        <f>HYPERLINK("https://api.qogita.com/variants/link/0000085950863/", "View Product")</f>
        <v/>
      </c>
    </row>
    <row r="9877">
      <c r="A9877" t="inlineStr">
        <is>
          <t>0000085952812</t>
        </is>
      </c>
      <c r="B9877" t="inlineStr">
        <is>
          <t>Dermacol 24h Control Makeup 4k 30ml</t>
        </is>
      </c>
      <c r="C9877" t="inlineStr">
        <is>
          <t>Foundation</t>
        </is>
      </c>
      <c r="D9877" t="inlineStr">
        <is>
          <t>Dermacol</t>
        </is>
      </c>
      <c r="E9877" t="n">
        <v>8.16</v>
      </c>
      <c r="F9877" t="n">
        <v>1</v>
      </c>
      <c r="G9877" t="n">
        <v>9</v>
      </c>
      <c r="H9877" s="5">
        <f>HYPERLINK("https://api.qogita.com/variants/link/0000085952812/", "View Product")</f>
        <v/>
      </c>
    </row>
    <row r="9878">
      <c r="A9878" t="inlineStr">
        <is>
          <t>0000085953352</t>
        </is>
      </c>
      <c r="B9878" t="inlineStr">
        <is>
          <t>Dermacol Matt Control Corrector</t>
        </is>
      </c>
      <c r="C9878" t="inlineStr">
        <is>
          <t>Color Corrector</t>
        </is>
      </c>
      <c r="D9878" t="inlineStr">
        <is>
          <t>Dermacol</t>
        </is>
      </c>
      <c r="E9878" t="n">
        <v>3.45</v>
      </c>
      <c r="F9878" t="n">
        <v>1</v>
      </c>
      <c r="G9878" t="n">
        <v>10</v>
      </c>
      <c r="H9878" s="5">
        <f>HYPERLINK("https://api.qogita.com/variants/link/0000085953352/", "View Product")</f>
        <v/>
      </c>
    </row>
    <row r="9879">
      <c r="A9879" t="inlineStr">
        <is>
          <t>0000085953376</t>
        </is>
      </c>
      <c r="B9879" t="inlineStr">
        <is>
          <t>Matt Control Cover Matte Concealer 1.1g</t>
        </is>
      </c>
      <c r="C9879" t="inlineStr">
        <is>
          <t>Concealer</t>
        </is>
      </c>
      <c r="D9879" t="inlineStr">
        <is>
          <t>Dermacol</t>
        </is>
      </c>
      <c r="E9879" t="n">
        <v>5.74</v>
      </c>
      <c r="F9879" t="n">
        <v>1</v>
      </c>
      <c r="G9879" t="n">
        <v>2</v>
      </c>
      <c r="H9879" s="5">
        <f>HYPERLINK("https://api.qogita.com/variants/link/0000085953376/", "View Product")</f>
        <v/>
      </c>
    </row>
    <row r="9880">
      <c r="A9880" t="inlineStr">
        <is>
          <t>0000085954021</t>
        </is>
      </c>
      <c r="B9880" t="inlineStr">
        <is>
          <t>Dermacol Matte Eye Pencil 0.35g</t>
        </is>
      </c>
      <c r="C9880" t="inlineStr">
        <is>
          <t>Eye Pencil</t>
        </is>
      </c>
      <c r="D9880" t="inlineStr">
        <is>
          <t>Dermacol</t>
        </is>
      </c>
      <c r="E9880" t="n">
        <v>4.85</v>
      </c>
      <c r="F9880" t="n">
        <v>1</v>
      </c>
      <c r="G9880" t="n">
        <v>3</v>
      </c>
      <c r="H9880" s="5">
        <f>HYPERLINK("https://api.qogita.com/variants/link/0000085954021/", "View Product")</f>
        <v/>
      </c>
    </row>
    <row r="9881">
      <c r="A9881" t="inlineStr">
        <is>
          <t>0000085958562</t>
        </is>
      </c>
      <c r="B9881" t="inlineStr">
        <is>
          <t>Dermacol Powder Eyebrow Shadow No. 1</t>
        </is>
      </c>
      <c r="C9881" t="inlineStr">
        <is>
          <t>Eyebrow Powder</t>
        </is>
      </c>
      <c r="D9881" t="inlineStr">
        <is>
          <t>Dermacol</t>
        </is>
      </c>
      <c r="E9881" t="n">
        <v>5.33</v>
      </c>
      <c r="F9881" t="n">
        <v>1</v>
      </c>
      <c r="G9881" t="n">
        <v>11</v>
      </c>
      <c r="H9881" s="5">
        <f>HYPERLINK("https://api.qogita.com/variants/link/0000085958562/", "View Product")</f>
        <v/>
      </c>
    </row>
    <row r="9882">
      <c r="A9882" t="inlineStr">
        <is>
          <t>0000085959002</t>
        </is>
      </c>
      <c r="B9882" t="inlineStr">
        <is>
          <t>Long Life No. 08</t>
        </is>
      </c>
      <c r="C9882" t="inlineStr">
        <is>
          <t>Acne</t>
        </is>
      </c>
      <c r="D9882" t="inlineStr">
        <is>
          <t>Dermacol</t>
        </is>
      </c>
      <c r="E9882" t="n">
        <v>4.43</v>
      </c>
      <c r="F9882" t="n">
        <v>1</v>
      </c>
      <c r="G9882" t="n">
        <v>9</v>
      </c>
      <c r="H9882" s="5">
        <f>HYPERLINK("https://api.qogita.com/variants/link/0000085959002/", "View Product")</f>
        <v/>
      </c>
    </row>
    <row r="9883">
      <c r="A9883" t="inlineStr">
        <is>
          <t>0000085959019</t>
        </is>
      </c>
      <c r="B9883" t="inlineStr">
        <is>
          <t>Dermacol 16h Matic Eyeliner - White</t>
        </is>
      </c>
      <c r="C9883" t="inlineStr">
        <is>
          <t>Eyeliner</t>
        </is>
      </c>
      <c r="D9883" t="inlineStr">
        <is>
          <t>Dermacol</t>
        </is>
      </c>
      <c r="E9883" t="n">
        <v>3.85</v>
      </c>
      <c r="F9883" t="n">
        <v>1</v>
      </c>
      <c r="G9883" t="n">
        <v>8</v>
      </c>
      <c r="H9883" s="5">
        <f>HYPERLINK("https://api.qogita.com/variants/link/0000085959019/", "View Product")</f>
        <v/>
      </c>
    </row>
    <row r="9884">
      <c r="A9884" t="inlineStr">
        <is>
          <t>3349668589999</t>
        </is>
      </c>
      <c r="B9884" t="inlineStr">
        <is>
          <t>Paco Rabanne Lady Million Deodorant Spray 150ml</t>
        </is>
      </c>
      <c r="C9884" t="inlineStr">
        <is>
          <t>Deodorant &amp; Anti-Perspirant</t>
        </is>
      </c>
      <c r="D9884" t="inlineStr">
        <is>
          <t>Paco Rabanne</t>
        </is>
      </c>
      <c r="E9884" t="n">
        <v>18.96</v>
      </c>
      <c r="F9884" t="n">
        <v>1</v>
      </c>
      <c r="G9884" t="n">
        <v>375</v>
      </c>
      <c r="H9884" s="5">
        <f>HYPERLINK("https://api.qogita.com/variants/link/3349668589999/", "View Product")</f>
        <v/>
      </c>
    </row>
    <row r="9885">
      <c r="A9885" t="inlineStr">
        <is>
          <t>3349668592388</t>
        </is>
      </c>
      <c r="B9885" t="inlineStr">
        <is>
          <t>Paco Rabanne Invictus Victory Eau De Parfum Extreme Spray 200ml</t>
        </is>
      </c>
      <c r="C9885" t="inlineStr">
        <is>
          <t>Eau De Parfum</t>
        </is>
      </c>
      <c r="D9885" t="inlineStr">
        <is>
          <t>Paco Rabanne</t>
        </is>
      </c>
      <c r="E9885" t="n">
        <v>95.73999999999999</v>
      </c>
      <c r="F9885" t="n">
        <v>1</v>
      </c>
      <c r="G9885" t="n">
        <v>63</v>
      </c>
      <c r="H9885" s="5">
        <f>HYPERLINK("https://api.qogita.com/variants/link/3349668592388/", "View Product")</f>
        <v/>
      </c>
    </row>
    <row r="9886">
      <c r="A9886" t="inlineStr">
        <is>
          <t>3349668596348</t>
        </is>
      </c>
      <c r="B9886" t="inlineStr">
        <is>
          <t>Paco Rabanne Phantom Eau De Toilette 150ml Spray For Men</t>
        </is>
      </c>
      <c r="C9886" t="inlineStr">
        <is>
          <t>Eau De Toilette</t>
        </is>
      </c>
      <c r="D9886" t="inlineStr">
        <is>
          <t>Paco Rabanne</t>
        </is>
      </c>
      <c r="E9886" t="n">
        <v>84.45</v>
      </c>
      <c r="F9886" t="n">
        <v>1</v>
      </c>
      <c r="G9886" t="n">
        <v>9</v>
      </c>
      <c r="H9886" s="5">
        <f>HYPERLINK("https://api.qogita.com/variants/link/3349668596348/", "View Product")</f>
        <v/>
      </c>
    </row>
    <row r="9887">
      <c r="A9887" t="inlineStr">
        <is>
          <t>3349668597277</t>
        </is>
      </c>
      <c r="B9887" t="inlineStr">
        <is>
          <t>Paco Rabanne Olympea Eau De Parfum Spray 15ml</t>
        </is>
      </c>
      <c r="C9887" t="inlineStr">
        <is>
          <t>Eau De Parfum</t>
        </is>
      </c>
      <c r="D9887" t="inlineStr">
        <is>
          <t>Paco Rabanne</t>
        </is>
      </c>
      <c r="E9887" t="n">
        <v>24.13</v>
      </c>
      <c r="F9887" t="n">
        <v>1</v>
      </c>
      <c r="G9887" t="n">
        <v>3</v>
      </c>
      <c r="H9887" s="5">
        <f>HYPERLINK("https://api.qogita.com/variants/link/3349668597277/", "View Product")</f>
        <v/>
      </c>
    </row>
    <row r="9888">
      <c r="A9888" t="inlineStr">
        <is>
          <t>3349668599417</t>
        </is>
      </c>
      <c r="B9888" t="inlineStr">
        <is>
          <t>Paco Rabanne Olympea Solar Intense for Women 2.7 Oz EDP Spray Perfume 79.85ml</t>
        </is>
      </c>
      <c r="C9888" t="inlineStr">
        <is>
          <t>Eau De Parfum</t>
        </is>
      </c>
      <c r="D9888" t="inlineStr">
        <is>
          <t>Paco Rabanne</t>
        </is>
      </c>
      <c r="E9888" t="n">
        <v>53.22</v>
      </c>
      <c r="F9888" t="n">
        <v>1</v>
      </c>
      <c r="G9888" t="n">
        <v>4</v>
      </c>
      <c r="H9888" s="5">
        <f>HYPERLINK("https://api.qogita.com/variants/link/3349668599417/", "View Product")</f>
        <v/>
      </c>
    </row>
    <row r="9889">
      <c r="A9889" t="inlineStr">
        <is>
          <t>3349668599448</t>
        </is>
      </c>
      <c r="B9889" t="inlineStr">
        <is>
          <t>Paco Rabanne Olympea Solar Eau De Parfum Intense Spray 50ml</t>
        </is>
      </c>
      <c r="C9889" t="inlineStr">
        <is>
          <t>Eau De Parfum</t>
        </is>
      </c>
      <c r="D9889" t="inlineStr">
        <is>
          <t>Paco Rabanne</t>
        </is>
      </c>
      <c r="E9889" t="n">
        <v>43</v>
      </c>
      <c r="F9889" t="n">
        <v>1</v>
      </c>
      <c r="G9889" t="n">
        <v>31</v>
      </c>
      <c r="H9889" s="5">
        <f>HYPERLINK("https://api.qogita.com/variants/link/3349668599448/", "View Product")</f>
        <v/>
      </c>
    </row>
    <row r="9890">
      <c r="A9890" t="inlineStr">
        <is>
          <t>3349668600298</t>
        </is>
      </c>
      <c r="B9890" t="inlineStr">
        <is>
          <t>Paco Rabanne 1 Million Elixir Parfum Intense Spray 200ml</t>
        </is>
      </c>
      <c r="C9890" t="inlineStr">
        <is>
          <t>Eau De Parfum</t>
        </is>
      </c>
      <c r="D9890" t="inlineStr">
        <is>
          <t>Paco Rabanne</t>
        </is>
      </c>
      <c r="E9890" t="n">
        <v>112.26</v>
      </c>
      <c r="F9890" t="n">
        <v>1</v>
      </c>
      <c r="G9890" t="n">
        <v>48</v>
      </c>
      <c r="H9890" s="5">
        <f>HYPERLINK("https://api.qogita.com/variants/link/3349668600298/", "View Product")</f>
        <v/>
      </c>
    </row>
    <row r="9891">
      <c r="A9891" t="inlineStr">
        <is>
          <t>3349668604654</t>
        </is>
      </c>
      <c r="B9891" t="inlineStr">
        <is>
          <t>Paco Rabanne Phantom Eau De Toilette Spray 100ml + Eau De Toilette Spray 20ml Set</t>
        </is>
      </c>
      <c r="C9891" t="inlineStr">
        <is>
          <t>Fragrance Sets</t>
        </is>
      </c>
      <c r="D9891" t="inlineStr">
        <is>
          <t>Paco Rabanne</t>
        </is>
      </c>
      <c r="E9891" t="n">
        <v>65.11</v>
      </c>
      <c r="F9891" t="n">
        <v>1</v>
      </c>
      <c r="G9891" t="n">
        <v>7</v>
      </c>
      <c r="H9891" s="5">
        <f>HYPERLINK("https://api.qogita.com/variants/link/3349668604654/", "View Product")</f>
        <v/>
      </c>
    </row>
    <row r="9892">
      <c r="A9892" t="inlineStr">
        <is>
          <t>3349668612598</t>
        </is>
      </c>
      <c r="B9892" t="inlineStr">
        <is>
          <t>Paco Rabanne 1 Million Men Eau De Toilette Spray 50ml</t>
        </is>
      </c>
      <c r="C9892" t="inlineStr">
        <is>
          <t>Eau De Toilette</t>
        </is>
      </c>
      <c r="D9892" t="inlineStr">
        <is>
          <t>Paco Rabanne</t>
        </is>
      </c>
      <c r="E9892" t="n">
        <v>49.19</v>
      </c>
      <c r="F9892" t="n">
        <v>1</v>
      </c>
      <c r="G9892" t="n">
        <v>15</v>
      </c>
      <c r="H9892" s="5">
        <f>HYPERLINK("https://api.qogita.com/variants/link/3349668612598/", "View Product")</f>
        <v/>
      </c>
    </row>
    <row r="9893">
      <c r="A9893" t="inlineStr">
        <is>
          <t>3349668613427</t>
        </is>
      </c>
      <c r="B9893" t="inlineStr">
        <is>
          <t>Paco Rabanne Olympea Eau De Parfum Spray 30ml</t>
        </is>
      </c>
      <c r="C9893" t="inlineStr">
        <is>
          <t>Eau De Parfum</t>
        </is>
      </c>
      <c r="D9893" t="inlineStr">
        <is>
          <t>Paco Rabanne</t>
        </is>
      </c>
      <c r="E9893" t="n">
        <v>42.15</v>
      </c>
      <c r="F9893" t="n">
        <v>1</v>
      </c>
      <c r="G9893" t="n">
        <v>8</v>
      </c>
      <c r="H9893" s="5">
        <f>HYPERLINK("https://api.qogita.com/variants/link/3349668613427/", "View Product")</f>
        <v/>
      </c>
    </row>
    <row r="9894">
      <c r="A9894" t="inlineStr">
        <is>
          <t>3349668614523</t>
        </is>
      </c>
      <c r="B9894" t="inlineStr">
        <is>
          <t>Paco Rabanne Invictus Victory Elixir Perfume Spray 100ml</t>
        </is>
      </c>
      <c r="C9894" t="inlineStr">
        <is>
          <t>Eau De Parfum</t>
        </is>
      </c>
      <c r="D9894" t="inlineStr">
        <is>
          <t>Paco Rabanne</t>
        </is>
      </c>
      <c r="E9894" t="n">
        <v>84.84999999999999</v>
      </c>
      <c r="F9894" t="n">
        <v>1</v>
      </c>
      <c r="G9894" t="n">
        <v>14</v>
      </c>
      <c r="H9894" s="5">
        <f>HYPERLINK("https://api.qogita.com/variants/link/3349668614523/", "View Product")</f>
        <v/>
      </c>
    </row>
    <row r="9895">
      <c r="A9895" t="inlineStr">
        <is>
          <t>3349668614585</t>
        </is>
      </c>
      <c r="B9895" t="inlineStr">
        <is>
          <t>Paco Rabanne Phantom Parfum Spray 50ml</t>
        </is>
      </c>
      <c r="C9895" t="inlineStr">
        <is>
          <t>Eau De Parfum</t>
        </is>
      </c>
      <c r="D9895" t="inlineStr">
        <is>
          <t>Paco Rabanne</t>
        </is>
      </c>
      <c r="E9895" t="n">
        <v>57.39</v>
      </c>
      <c r="F9895" t="n">
        <v>1</v>
      </c>
      <c r="G9895" t="n">
        <v>8</v>
      </c>
      <c r="H9895" s="5">
        <f>HYPERLINK("https://api.qogita.com/variants/link/3349668614585/", "View Product")</f>
        <v/>
      </c>
    </row>
    <row r="9896">
      <c r="A9896" t="inlineStr">
        <is>
          <t>3349668617043</t>
        </is>
      </c>
      <c r="B9896" t="inlineStr">
        <is>
          <t>Paco Rabanne 1 Million Royal Parfum Spray 50ml</t>
        </is>
      </c>
      <c r="C9896" t="inlineStr">
        <is>
          <t>Eau De Parfum</t>
        </is>
      </c>
      <c r="D9896" t="inlineStr">
        <is>
          <t>Paco Rabanne</t>
        </is>
      </c>
      <c r="E9896" t="n">
        <v>59.71</v>
      </c>
      <c r="F9896" t="n">
        <v>1</v>
      </c>
      <c r="G9896" t="n">
        <v>5</v>
      </c>
      <c r="H9896" s="5">
        <f>HYPERLINK("https://api.qogita.com/variants/link/3349668617043/", "View Product")</f>
        <v/>
      </c>
    </row>
    <row r="9897">
      <c r="A9897" t="inlineStr">
        <is>
          <t>3349668617050</t>
        </is>
      </c>
      <c r="B9897" t="inlineStr">
        <is>
          <t>Paco Rabanne 1 Million Royal Parfum Spray 100ml</t>
        </is>
      </c>
      <c r="C9897" t="inlineStr">
        <is>
          <t>Eau De Parfum</t>
        </is>
      </c>
      <c r="D9897" t="inlineStr">
        <is>
          <t>Paco Rabanne</t>
        </is>
      </c>
      <c r="E9897" t="n">
        <v>88.92</v>
      </c>
      <c r="F9897" t="n">
        <v>1</v>
      </c>
      <c r="G9897" t="n">
        <v>8</v>
      </c>
      <c r="H9897" s="5">
        <f>HYPERLINK("https://api.qogita.com/variants/link/3349668617050/", "View Product")</f>
        <v/>
      </c>
    </row>
    <row r="9898">
      <c r="A9898" t="inlineStr">
        <is>
          <t>3349668617159</t>
        </is>
      </c>
      <c r="B9898" t="inlineStr">
        <is>
          <t>Paco Rabanne Lady Million Royal Eau De Parfum Spray 30ml</t>
        </is>
      </c>
      <c r="C9898" t="inlineStr">
        <is>
          <t>Eau De Parfum</t>
        </is>
      </c>
      <c r="D9898" t="inlineStr">
        <is>
          <t>Paco Rabanne</t>
        </is>
      </c>
      <c r="E9898" t="n">
        <v>41.07</v>
      </c>
      <c r="F9898" t="n">
        <v>1</v>
      </c>
      <c r="G9898" t="n">
        <v>9</v>
      </c>
      <c r="H9898" s="5">
        <f>HYPERLINK("https://api.qogita.com/variants/link/3349668617159/", "View Product")</f>
        <v/>
      </c>
    </row>
    <row r="9899">
      <c r="A9899" t="inlineStr">
        <is>
          <t>3349668627479</t>
        </is>
      </c>
      <c r="B9899" t="inlineStr">
        <is>
          <t>Paco Rabanne Olympa Parfum 80ml A Luxurious Fragrance For Women</t>
        </is>
      </c>
      <c r="C9899" t="inlineStr">
        <is>
          <t>Eau De Parfum</t>
        </is>
      </c>
      <c r="D9899" t="inlineStr">
        <is>
          <t>Paco Rabanne</t>
        </is>
      </c>
      <c r="E9899" t="n">
        <v>84.45</v>
      </c>
      <c r="F9899" t="n">
        <v>1</v>
      </c>
      <c r="G9899" t="n">
        <v>11</v>
      </c>
      <c r="H9899" s="5">
        <f>HYPERLINK("https://api.qogita.com/variants/link/3349668627479/", "View Product")</f>
        <v/>
      </c>
    </row>
    <row r="9900">
      <c r="A9900" t="inlineStr">
        <is>
          <t>3349668630042</t>
        </is>
      </c>
      <c r="B9900" t="inlineStr">
        <is>
          <t>Paco Rabanne Phantom Intense Eau De Parfum Spray Rechargeable 150ml</t>
        </is>
      </c>
      <c r="C9900" t="inlineStr">
        <is>
          <t>Eau De Parfum</t>
        </is>
      </c>
      <c r="D9900" t="inlineStr">
        <is>
          <t>Paco Rabanne</t>
        </is>
      </c>
      <c r="E9900" t="n">
        <v>88.25</v>
      </c>
      <c r="F9900" t="n">
        <v>1</v>
      </c>
      <c r="G9900" t="n">
        <v>3</v>
      </c>
      <c r="H9900" s="5">
        <f>HYPERLINK("https://api.qogita.com/variants/link/3349668630042/", "View Product")</f>
        <v/>
      </c>
    </row>
    <row r="9901">
      <c r="A9901" t="inlineStr">
        <is>
          <t>3349668630271</t>
        </is>
      </c>
      <c r="B9901" t="inlineStr">
        <is>
          <t>Paco Rabanne Million Gold For Her - Women's Fragrance</t>
        </is>
      </c>
      <c r="C9901" t="inlineStr">
        <is>
          <t>Eau De Parfum</t>
        </is>
      </c>
      <c r="D9901" t="inlineStr">
        <is>
          <t>Paco Rabanne</t>
        </is>
      </c>
      <c r="E9901" t="n">
        <v>135.06</v>
      </c>
      <c r="F9901" t="n">
        <v>1</v>
      </c>
      <c r="G9901" t="n">
        <v>7</v>
      </c>
      <c r="H9901" s="5">
        <f>HYPERLINK("https://api.qogita.com/variants/link/3349668630271/", "View Product")</f>
        <v/>
      </c>
    </row>
    <row r="9902">
      <c r="A9902" t="inlineStr">
        <is>
          <t>3349668630332</t>
        </is>
      </c>
      <c r="B9902" t="inlineStr">
        <is>
          <t>Paco Rabanne Million Gold Eau De Parfum Intense Spray 50ml</t>
        </is>
      </c>
      <c r="C9902" t="inlineStr">
        <is>
          <t>Eau De Parfum</t>
        </is>
      </c>
      <c r="D9902" t="inlineStr">
        <is>
          <t>Paco Rabanne</t>
        </is>
      </c>
      <c r="E9902" t="n">
        <v>59.64</v>
      </c>
      <c r="F9902" t="n">
        <v>1</v>
      </c>
      <c r="G9902" t="n">
        <v>3</v>
      </c>
      <c r="H9902" s="5">
        <f>HYPERLINK("https://api.qogita.com/variants/link/3349668630332/", "View Product")</f>
        <v/>
      </c>
    </row>
    <row r="9903">
      <c r="A9903" t="inlineStr">
        <is>
          <t>3349668630349</t>
        </is>
      </c>
      <c r="B9903" t="inlineStr">
        <is>
          <t>Paco Rabanne Million Gold Eau De Parfum Intense Spray 100ml</t>
        </is>
      </c>
      <c r="C9903" t="inlineStr">
        <is>
          <t>Eau De Parfum</t>
        </is>
      </c>
      <c r="D9903" t="inlineStr">
        <is>
          <t>Paco Rabanne</t>
        </is>
      </c>
      <c r="E9903" t="n">
        <v>82.77</v>
      </c>
      <c r="F9903" t="n">
        <v>1</v>
      </c>
      <c r="G9903" t="n">
        <v>22</v>
      </c>
      <c r="H9903" s="5">
        <f>HYPERLINK("https://api.qogita.com/variants/link/3349668630349/", "View Product")</f>
        <v/>
      </c>
    </row>
    <row r="9904">
      <c r="A9904" t="inlineStr">
        <is>
          <t>3349668630448</t>
        </is>
      </c>
      <c r="B9904" t="inlineStr">
        <is>
          <t>Paco Rabanne Fame Intense Eau De Parfum 100ml Refillable</t>
        </is>
      </c>
      <c r="C9904" t="inlineStr">
        <is>
          <t>Eau De Parfum</t>
        </is>
      </c>
      <c r="D9904" t="inlineStr">
        <is>
          <t>Paco Rabanne</t>
        </is>
      </c>
      <c r="E9904" t="n">
        <v>76.86</v>
      </c>
      <c r="F9904" t="n">
        <v>1</v>
      </c>
      <c r="G9904" t="n">
        <v>37</v>
      </c>
      <c r="H9904" s="5">
        <f>HYPERLINK("https://api.qogita.com/variants/link/3349668630448/", "View Product")</f>
        <v/>
      </c>
    </row>
    <row r="9905">
      <c r="A9905" t="inlineStr">
        <is>
          <t>3349668641833</t>
        </is>
      </c>
      <c r="B9905" t="inlineStr">
        <is>
          <t>Paco Rabanne Invictus Victory Absolu Parfum Intense Eau De Parfum Vaporisateur 100 Ml</t>
        </is>
      </c>
      <c r="C9905" t="inlineStr">
        <is>
          <t>Eau De Parfum</t>
        </is>
      </c>
      <c r="D9905" t="inlineStr">
        <is>
          <t>Paco Rabanne</t>
        </is>
      </c>
      <c r="E9905" t="n">
        <v>85.83</v>
      </c>
      <c r="F9905" t="n">
        <v>1</v>
      </c>
      <c r="G9905" t="n">
        <v>18</v>
      </c>
      <c r="H9905" s="5">
        <f>HYPERLINK("https://api.qogita.com/variants/link/3349668641833/", "View Product")</f>
        <v/>
      </c>
    </row>
    <row r="9906">
      <c r="A9906" t="inlineStr">
        <is>
          <t>3349668644049</t>
        </is>
      </c>
      <c r="B9906" t="inlineStr">
        <is>
          <t>Paco Rabanne Phantom Elixir Parfum Intense - 100ml</t>
        </is>
      </c>
      <c r="C9906" t="inlineStr">
        <is>
          <t>Eau De Parfum</t>
        </is>
      </c>
      <c r="D9906" t="inlineStr">
        <is>
          <t>Paco Rabanne</t>
        </is>
      </c>
      <c r="E9906" t="n">
        <v>78.68000000000001</v>
      </c>
      <c r="F9906" t="n">
        <v>1</v>
      </c>
      <c r="G9906" t="n">
        <v>21</v>
      </c>
      <c r="H9906" s="5">
        <f>HYPERLINK("https://api.qogita.com/variants/link/3349668644049/", "View Product")</f>
        <v/>
      </c>
    </row>
    <row r="9907">
      <c r="A9907" t="inlineStr">
        <is>
          <t>3349668644063</t>
        </is>
      </c>
      <c r="B9907" t="inlineStr">
        <is>
          <t>Paco Rabanne Phantom Elixir Parfum Intense - 50ml</t>
        </is>
      </c>
      <c r="C9907" t="inlineStr">
        <is>
          <t>Eau De Parfum</t>
        </is>
      </c>
      <c r="D9907" t="inlineStr">
        <is>
          <t>Paco Rabanne</t>
        </is>
      </c>
      <c r="E9907" t="n">
        <v>57.64</v>
      </c>
      <c r="F9907" t="n">
        <v>1</v>
      </c>
      <c r="G9907" t="n">
        <v>11</v>
      </c>
      <c r="H9907" s="5">
        <f>HYPERLINK("https://api.qogita.com/variants/link/3349668644063/", "View Product")</f>
        <v/>
      </c>
    </row>
    <row r="9908">
      <c r="A9908" t="inlineStr">
        <is>
          <t>3350900000295</t>
        </is>
      </c>
      <c r="B9908" t="inlineStr">
        <is>
          <t>Embryolisse Micellar Lotion For Eye And Face Makeup Removal 250ml</t>
        </is>
      </c>
      <c r="C9908" t="inlineStr">
        <is>
          <t>Micellar Water</t>
        </is>
      </c>
      <c r="D9908" t="inlineStr">
        <is>
          <t>Embryolisse</t>
        </is>
      </c>
      <c r="E9908" t="n">
        <v>7.79</v>
      </c>
      <c r="F9908" t="n">
        <v>1</v>
      </c>
      <c r="G9908" t="n">
        <v>3</v>
      </c>
      <c r="H9908" s="5">
        <f>HYPERLINK("https://api.qogita.com/variants/link/3350900000295/", "View Product")</f>
        <v/>
      </c>
    </row>
    <row r="9909">
      <c r="A9909" t="inlineStr">
        <is>
          <t>3350900001995</t>
        </is>
      </c>
      <c r="B9909" t="inlineStr">
        <is>
          <t>Embryolisse Antiage Firming Facial Serum 30 Ml</t>
        </is>
      </c>
      <c r="C9909" t="inlineStr">
        <is>
          <t>Anti-Aging Serum</t>
        </is>
      </c>
      <c r="D9909" t="inlineStr">
        <is>
          <t>Embryolisse</t>
        </is>
      </c>
      <c r="E9909" t="n">
        <v>25.88</v>
      </c>
      <c r="F9909" t="n">
        <v>1</v>
      </c>
      <c r="G9909" t="n">
        <v>2</v>
      </c>
      <c r="H9909" s="5">
        <f>HYPERLINK("https://api.qogita.com/variants/link/3350900001995/", "View Product")</f>
        <v/>
      </c>
    </row>
    <row r="9910">
      <c r="A9910" t="inlineStr">
        <is>
          <t>3350900002589</t>
        </is>
      </c>
      <c r="B9910" t="inlineStr">
        <is>
          <t>Embryolisse Lait-Creme Fluide+ Face And Body Care Balm 400ml</t>
        </is>
      </c>
      <c r="C9910" t="inlineStr">
        <is>
          <t>Body Lotion</t>
        </is>
      </c>
      <c r="D9910" t="inlineStr">
        <is>
          <t>Embryolisse</t>
        </is>
      </c>
      <c r="E9910" t="n">
        <v>18.99</v>
      </c>
      <c r="F9910" t="n">
        <v>1</v>
      </c>
      <c r="G9910" t="n">
        <v>5</v>
      </c>
      <c r="H9910" s="5">
        <f>HYPERLINK("https://api.qogita.com/variants/link/3350900002589/", "View Product")</f>
        <v/>
      </c>
    </row>
    <row r="9911">
      <c r="A9911" t="inlineStr">
        <is>
          <t>3351500011469</t>
        </is>
      </c>
      <c r="B9911" t="inlineStr">
        <is>
          <t>Azzaro Pour Homme Size 200 Ml</t>
        </is>
      </c>
      <c r="C9911" t="inlineStr">
        <is>
          <t>Eau De Toilette</t>
        </is>
      </c>
      <c r="D9911" t="inlineStr">
        <is>
          <t>Azzaro</t>
        </is>
      </c>
      <c r="E9911" t="n">
        <v>31.28</v>
      </c>
      <c r="F9911" t="n">
        <v>1</v>
      </c>
      <c r="G9911" t="n">
        <v>303</v>
      </c>
      <c r="H9911" s="5">
        <f>HYPERLINK("https://api.qogita.com/variants/link/3351500011469/", "View Product")</f>
        <v/>
      </c>
    </row>
    <row r="9912">
      <c r="A9912" t="inlineStr">
        <is>
          <t>3351500017461</t>
        </is>
      </c>
      <c r="B9912" t="inlineStr">
        <is>
          <t>Azzaro Wanted Girl Tonic Eau De Toilette 30ml Women Spray</t>
        </is>
      </c>
      <c r="C9912" t="inlineStr">
        <is>
          <t>Eau De Toilette</t>
        </is>
      </c>
      <c r="D9912" t="inlineStr">
        <is>
          <t>Azzaro</t>
        </is>
      </c>
      <c r="E9912" t="n">
        <v>17.35</v>
      </c>
      <c r="F9912" t="n">
        <v>1</v>
      </c>
      <c r="G9912" t="n">
        <v>3</v>
      </c>
      <c r="H9912" s="5">
        <f>HYPERLINK("https://api.qogita.com/variants/link/3351500017461/", "View Product")</f>
        <v/>
      </c>
    </row>
    <row r="9913">
      <c r="A9913" t="inlineStr">
        <is>
          <t>3351500020409</t>
        </is>
      </c>
      <c r="B9913" t="inlineStr">
        <is>
          <t>Azzaro Chrome Eau De Toilette Spray For Men 100 Ml</t>
        </is>
      </c>
      <c r="C9913" t="inlineStr">
        <is>
          <t>Eau De Toilette</t>
        </is>
      </c>
      <c r="D9913" t="inlineStr">
        <is>
          <t>Azzaro</t>
        </is>
      </c>
      <c r="E9913" t="n">
        <v>32.77</v>
      </c>
      <c r="F9913" t="n">
        <v>1</v>
      </c>
      <c r="G9913" t="n">
        <v>142</v>
      </c>
      <c r="H9913" s="5">
        <f>HYPERLINK("https://api.qogita.com/variants/link/3351500020409/", "View Product")</f>
        <v/>
      </c>
    </row>
    <row r="9914">
      <c r="A9914" t="inlineStr">
        <is>
          <t>3355991220768</t>
        </is>
      </c>
      <c r="B9914" t="inlineStr">
        <is>
          <t>Carven Pour Homme After Shave Balm 3.33 Fl Oz</t>
        </is>
      </c>
      <c r="C9914" t="inlineStr">
        <is>
          <t>Aftershave</t>
        </is>
      </c>
      <c r="D9914" t="inlineStr">
        <is>
          <t>Carven</t>
        </is>
      </c>
      <c r="E9914" t="n">
        <v>16.5</v>
      </c>
      <c r="F9914" t="n">
        <v>1</v>
      </c>
      <c r="G9914" t="n">
        <v>4</v>
      </c>
      <c r="H9914" s="5">
        <f>HYPERLINK("https://api.qogita.com/variants/link/3355991220768/", "View Product")</f>
        <v/>
      </c>
    </row>
    <row r="9915">
      <c r="A9915" t="inlineStr">
        <is>
          <t>3355992004596</t>
        </is>
      </c>
      <c r="B9915" t="inlineStr">
        <is>
          <t>Ted Lapidus Rumba Eau De Toilette</t>
        </is>
      </c>
      <c r="C9915" t="inlineStr">
        <is>
          <t>Eau De Toilette</t>
        </is>
      </c>
      <c r="D9915" t="inlineStr">
        <is>
          <t>Ted Lapidus</t>
        </is>
      </c>
      <c r="E9915" t="n">
        <v>15.8</v>
      </c>
      <c r="F9915" t="n">
        <v>1</v>
      </c>
      <c r="G9915" t="n">
        <v>44</v>
      </c>
      <c r="H9915" s="5">
        <f>HYPERLINK("https://api.qogita.com/variants/link/3355992004596/", "View Product")</f>
        <v/>
      </c>
    </row>
    <row r="9916">
      <c r="A9916" t="inlineStr">
        <is>
          <t>3355992007931</t>
        </is>
      </c>
      <c r="B9916" t="inlineStr">
        <is>
          <t>Orissima by Ted Lapidus for Women 3.3 oz EDP Spray 100ml</t>
        </is>
      </c>
      <c r="C9916" t="inlineStr">
        <is>
          <t>Eau De Parfum</t>
        </is>
      </c>
      <c r="D9916" t="inlineStr">
        <is>
          <t>Ted Lapidus</t>
        </is>
      </c>
      <c r="E9916" t="n">
        <v>22.12</v>
      </c>
      <c r="F9916" t="n">
        <v>1</v>
      </c>
      <c r="G9916" t="n">
        <v>4</v>
      </c>
      <c r="H9916" s="5">
        <f>HYPERLINK("https://api.qogita.com/variants/link/3355992007931/", "View Product")</f>
        <v/>
      </c>
    </row>
    <row r="9917">
      <c r="A9917" t="inlineStr">
        <is>
          <t>3357554210018</t>
        </is>
      </c>
      <c r="B9917" t="inlineStr">
        <is>
          <t>Gloria Vanderbilt Vanderbilt Eau De Toilette Spray 15ml For Women</t>
        </is>
      </c>
      <c r="C9917" t="inlineStr">
        <is>
          <t>Eau De Toilette</t>
        </is>
      </c>
      <c r="D9917" t="inlineStr">
        <is>
          <t>Gloria Vanderbilt</t>
        </is>
      </c>
      <c r="E9917" t="n">
        <v>4.06</v>
      </c>
      <c r="F9917" t="n">
        <v>1</v>
      </c>
      <c r="G9917" t="n">
        <v>12</v>
      </c>
      <c r="H9917" s="5">
        <f>HYPERLINK("https://api.qogita.com/variants/link/3357554210018/", "View Product")</f>
        <v/>
      </c>
    </row>
    <row r="9918">
      <c r="A9918" t="inlineStr">
        <is>
          <t>3357555040010</t>
        </is>
      </c>
      <c r="B9918" t="inlineStr">
        <is>
          <t>Daniel Hechter Caractère EDT Spray 50ml</t>
        </is>
      </c>
      <c r="C9918" t="inlineStr">
        <is>
          <t>Eau De Toilette</t>
        </is>
      </c>
      <c r="D9918" t="inlineStr">
        <is>
          <t>Daniel Hechter</t>
        </is>
      </c>
      <c r="E9918" t="n">
        <v>7.07</v>
      </c>
      <c r="F9918" t="n">
        <v>1</v>
      </c>
      <c r="G9918" t="n">
        <v>9</v>
      </c>
      <c r="H9918" s="5">
        <f>HYPERLINK("https://api.qogita.com/variants/link/3357555040010/", "View Product")</f>
        <v/>
      </c>
    </row>
    <row r="9919">
      <c r="A9919" t="inlineStr">
        <is>
          <t>3359991840001</t>
        </is>
      </c>
      <c r="B9919" t="inlineStr">
        <is>
          <t>ORLANE Biphase Cleansing Eyes and Face Make-Up Remover 200ml</t>
        </is>
      </c>
      <c r="C9919" t="inlineStr">
        <is>
          <t>Makeup Remover</t>
        </is>
      </c>
      <c r="D9919" t="inlineStr">
        <is>
          <t>Orlane</t>
        </is>
      </c>
      <c r="E9919" t="n">
        <v>13.95</v>
      </c>
      <c r="F9919" t="n">
        <v>1</v>
      </c>
      <c r="G9919" t="n">
        <v>4</v>
      </c>
      <c r="H9919" s="5">
        <f>HYPERLINK("https://api.qogita.com/variants/link/3359991840001/", "View Product")</f>
        <v/>
      </c>
    </row>
    <row r="9920">
      <c r="A9920" t="inlineStr">
        <is>
          <t>3359999282308</t>
        </is>
      </c>
      <c r="B9920" t="inlineStr">
        <is>
          <t>Orlane Paris Bronzing Pressed Powder 31 G</t>
        </is>
      </c>
      <c r="C9920" t="inlineStr">
        <is>
          <t>Bronzer</t>
        </is>
      </c>
      <c r="D9920" t="inlineStr">
        <is>
          <t>Orlane</t>
        </is>
      </c>
      <c r="E9920" t="n">
        <v>27.12</v>
      </c>
      <c r="F9920" t="n">
        <v>1</v>
      </c>
      <c r="G9920" t="n">
        <v>2</v>
      </c>
      <c r="H9920" s="5">
        <f>HYPERLINK("https://api.qogita.com/variants/link/3359999282308/", "View Product")</f>
        <v/>
      </c>
    </row>
    <row r="9921">
      <c r="A9921" t="inlineStr">
        <is>
          <t>3360372040743</t>
        </is>
      </c>
      <c r="B9921" t="inlineStr">
        <is>
          <t>Armani Smooth Silk Eye Pencil Shade 5 Eggplant 105 Grams</t>
        </is>
      </c>
      <c r="C9921" t="inlineStr">
        <is>
          <t>Eye Pencil</t>
        </is>
      </c>
      <c r="D9921" t="inlineStr">
        <is>
          <t>Armani</t>
        </is>
      </c>
      <c r="E9921" t="n">
        <v>24.52</v>
      </c>
      <c r="F9921" t="n">
        <v>1</v>
      </c>
      <c r="G9921" t="n">
        <v>4</v>
      </c>
      <c r="H9921" s="5">
        <f>HYPERLINK("https://api.qogita.com/variants/link/3360372040743/", "View Product")</f>
        <v/>
      </c>
    </row>
    <row r="9922">
      <c r="A9922" t="inlineStr">
        <is>
          <t>3360374000059</t>
        </is>
      </c>
      <c r="B9922" t="inlineStr">
        <is>
          <t>Viktor &amp; Rolf Flowerbomb Eau De Parfum 100ml For Women</t>
        </is>
      </c>
      <c r="C9922" t="inlineStr">
        <is>
          <t>Eau De Parfum</t>
        </is>
      </c>
      <c r="D9922" t="inlineStr">
        <is>
          <t>Viktor &amp; Rolf</t>
        </is>
      </c>
      <c r="E9922" t="n">
        <v>62.23</v>
      </c>
      <c r="F9922" t="n">
        <v>1</v>
      </c>
      <c r="G9922" t="n">
        <v>741</v>
      </c>
      <c r="H9922" s="5">
        <f>HYPERLINK("https://api.qogita.com/variants/link/3360374000059/", "View Product")</f>
        <v/>
      </c>
    </row>
    <row r="9923">
      <c r="A9923" t="inlineStr">
        <is>
          <t>3360374000110</t>
        </is>
      </c>
      <c r="B9923" t="inlineStr">
        <is>
          <t>Viktor &amp; Rolf Flowerbomb Body Lotion 200ml</t>
        </is>
      </c>
      <c r="C9923" t="inlineStr">
        <is>
          <t>Body Lotion</t>
        </is>
      </c>
      <c r="D9923" t="inlineStr">
        <is>
          <t>Viktor &amp; Rolf</t>
        </is>
      </c>
      <c r="E9923" t="n">
        <v>28.61</v>
      </c>
      <c r="F9923" t="n">
        <v>1</v>
      </c>
      <c r="G9923" t="n">
        <v>13</v>
      </c>
      <c r="H9923" s="5">
        <f>HYPERLINK("https://api.qogita.com/variants/link/3360374000110/", "View Product")</f>
        <v/>
      </c>
    </row>
    <row r="9924">
      <c r="A9924" t="inlineStr">
        <is>
          <t>3360377002951</t>
        </is>
      </c>
      <c r="B9924" t="inlineStr">
        <is>
          <t>Ralph Lauren Romance Eau De Parfum 50ml Spray For Women</t>
        </is>
      </c>
      <c r="C9924" t="inlineStr">
        <is>
          <t>Eau De Parfum</t>
        </is>
      </c>
      <c r="D9924" t="inlineStr">
        <is>
          <t>Ralph Lauren</t>
        </is>
      </c>
      <c r="E9924" t="n">
        <v>29.33</v>
      </c>
      <c r="F9924" t="n">
        <v>1</v>
      </c>
      <c r="G9924" t="n">
        <v>14</v>
      </c>
      <c r="H9924" s="5">
        <f>HYPERLINK("https://api.qogita.com/variants/link/3360377002951/", "View Product")</f>
        <v/>
      </c>
    </row>
    <row r="9925">
      <c r="A9925" t="inlineStr">
        <is>
          <t>3360377016132</t>
        </is>
      </c>
      <c r="B9925" t="inlineStr">
        <is>
          <t>Ralph Lauren Ralph Eau De Toilette Spray 30ml</t>
        </is>
      </c>
      <c r="C9925" t="inlineStr">
        <is>
          <t>Eau De Toilette</t>
        </is>
      </c>
      <c r="D9925" t="inlineStr">
        <is>
          <t>Ralph Lauren</t>
        </is>
      </c>
      <c r="E9925" t="n">
        <v>26</v>
      </c>
      <c r="F9925" t="n">
        <v>1</v>
      </c>
      <c r="G9925" t="n">
        <v>6</v>
      </c>
      <c r="H9925" s="5">
        <f>HYPERLINK("https://api.qogita.com/variants/link/3360377016132/", "View Product")</f>
        <v/>
      </c>
    </row>
    <row r="9926">
      <c r="A9926" t="inlineStr">
        <is>
          <t>3360377032750</t>
        </is>
      </c>
      <c r="B9926" t="inlineStr">
        <is>
          <t>Ralph Lauren Polo Black Eau De Toilette Spray 75ml</t>
        </is>
      </c>
      <c r="C9926" t="inlineStr">
        <is>
          <t>Eau De Toilette</t>
        </is>
      </c>
      <c r="D9926" t="inlineStr">
        <is>
          <t>Ralph Lauren</t>
        </is>
      </c>
      <c r="E9926" t="n">
        <v>25.46</v>
      </c>
      <c r="F9926" t="n">
        <v>1</v>
      </c>
      <c r="G9926" t="n">
        <v>28</v>
      </c>
      <c r="H9926" s="5">
        <f>HYPERLINK("https://api.qogita.com/variants/link/3360377032750/", "View Product")</f>
        <v/>
      </c>
    </row>
    <row r="9927">
      <c r="A9927" t="inlineStr">
        <is>
          <t>3365440002197</t>
        </is>
      </c>
      <c r="B9927" t="inlineStr">
        <is>
          <t>Yves Saint Laurent Paris Eau De Toilette 125ml Women Spray</t>
        </is>
      </c>
      <c r="C9927" t="inlineStr">
        <is>
          <t>Eau De Toilette</t>
        </is>
      </c>
      <c r="D9927" t="inlineStr">
        <is>
          <t>Yves Saint Laurent</t>
        </is>
      </c>
      <c r="E9927" t="n">
        <v>75.95</v>
      </c>
      <c r="F9927" t="n">
        <v>1</v>
      </c>
      <c r="G9927" t="n">
        <v>8</v>
      </c>
      <c r="H9927" s="5">
        <f>HYPERLINK("https://api.qogita.com/variants/link/3365440002197/", "View Product")</f>
        <v/>
      </c>
    </row>
    <row r="9928">
      <c r="A9928" t="inlineStr">
        <is>
          <t>3365440037045</t>
        </is>
      </c>
      <c r="B9928" t="inlineStr">
        <is>
          <t>Yves Saint Laurent Yvresse Eau De Toilette 80ml</t>
        </is>
      </c>
      <c r="C9928" t="inlineStr">
        <is>
          <t>Eau De Toilette</t>
        </is>
      </c>
      <c r="D9928" t="inlineStr">
        <is>
          <t>Yves Saint Laurent</t>
        </is>
      </c>
      <c r="E9928" t="n">
        <v>98.98</v>
      </c>
      <c r="F9928" t="n">
        <v>1</v>
      </c>
      <c r="G9928" t="n">
        <v>12</v>
      </c>
      <c r="H9928" s="5">
        <f>HYPERLINK("https://api.qogita.com/variants/link/3365440037045/", "View Product")</f>
        <v/>
      </c>
    </row>
    <row r="9929">
      <c r="A9929" t="inlineStr">
        <is>
          <t>3365440328624</t>
        </is>
      </c>
      <c r="B9929" t="inlineStr">
        <is>
          <t>Yves Saint Laurent The Night Of Man EDT Spray 200ml</t>
        </is>
      </c>
      <c r="C9929" t="inlineStr">
        <is>
          <t>Eau De Toilette</t>
        </is>
      </c>
      <c r="D9929" t="inlineStr">
        <is>
          <t>Yves Saint Laurent</t>
        </is>
      </c>
      <c r="E9929" t="n">
        <v>87.44</v>
      </c>
      <c r="F9929" t="n">
        <v>1</v>
      </c>
      <c r="G9929" t="n">
        <v>87</v>
      </c>
      <c r="H9929" s="5">
        <f>HYPERLINK("https://api.qogita.com/variants/link/3365440328624/", "View Product")</f>
        <v/>
      </c>
    </row>
    <row r="9930">
      <c r="A9930" t="inlineStr">
        <is>
          <t>3365440375079</t>
        </is>
      </c>
      <c r="B9930" t="inlineStr">
        <is>
          <t>Yves Saint Laurent La Nuit De L'Homme Eau De Toilette 100ml</t>
        </is>
      </c>
      <c r="C9930" t="inlineStr">
        <is>
          <t>Eau De Toilette</t>
        </is>
      </c>
      <c r="D9930" t="inlineStr">
        <is>
          <t>Yves Saint Laurent</t>
        </is>
      </c>
      <c r="E9930" t="n">
        <v>79.67</v>
      </c>
      <c r="F9930" t="n">
        <v>1</v>
      </c>
      <c r="G9930" t="n">
        <v>11</v>
      </c>
      <c r="H9930" s="5">
        <f>HYPERLINK("https://api.qogita.com/variants/link/3365440375079/", "View Product")</f>
        <v/>
      </c>
    </row>
    <row r="9931">
      <c r="A9931" t="inlineStr">
        <is>
          <t>3365440556300</t>
        </is>
      </c>
      <c r="B9931" t="inlineStr">
        <is>
          <t>Yves Saint Laurent Opium Eau de Parfum Spray 30ml</t>
        </is>
      </c>
      <c r="C9931" t="inlineStr">
        <is>
          <t>Eau De Parfum</t>
        </is>
      </c>
      <c r="D9931" t="inlineStr">
        <is>
          <t>Yves Saint Laurent</t>
        </is>
      </c>
      <c r="E9931" t="n">
        <v>58.82</v>
      </c>
      <c r="F9931" t="n">
        <v>1</v>
      </c>
      <c r="G9931" t="n">
        <v>21</v>
      </c>
      <c r="H9931" s="5">
        <f>HYPERLINK("https://api.qogita.com/variants/link/3365440556300/", "View Product")</f>
        <v/>
      </c>
    </row>
    <row r="9932">
      <c r="A9932" t="inlineStr">
        <is>
          <t>3365440787858</t>
        </is>
      </c>
      <c r="B9932" t="inlineStr">
        <is>
          <t>Yves Saint Laurent Black Opium Eau De Parfum Spray 30ml</t>
        </is>
      </c>
      <c r="C9932" t="inlineStr">
        <is>
          <t>Eau De Parfum</t>
        </is>
      </c>
      <c r="D9932" t="inlineStr">
        <is>
          <t>Yves Saint Laurent</t>
        </is>
      </c>
      <c r="E9932" t="n">
        <v>48.78</v>
      </c>
      <c r="F9932" t="n">
        <v>1</v>
      </c>
      <c r="G9932" t="n">
        <v>30</v>
      </c>
      <c r="H9932" s="5">
        <f>HYPERLINK("https://api.qogita.com/variants/link/3365440787858/", "View Product")</f>
        <v/>
      </c>
    </row>
    <row r="9933">
      <c r="A9933" t="inlineStr">
        <is>
          <t>3365440787971</t>
        </is>
      </c>
      <c r="B9933" t="inlineStr">
        <is>
          <t>Yves Saint Laurent Black Opium Eau De Parfum Spray 90ml</t>
        </is>
      </c>
      <c r="C9933" t="inlineStr">
        <is>
          <t>Eau De Parfum</t>
        </is>
      </c>
      <c r="D9933" t="inlineStr">
        <is>
          <t>Yves Saint Laurent</t>
        </is>
      </c>
      <c r="E9933" t="n">
        <v>94.75</v>
      </c>
      <c r="F9933" t="n">
        <v>1</v>
      </c>
      <c r="G9933" t="n">
        <v>13</v>
      </c>
      <c r="H9933" s="5">
        <f>HYPERLINK("https://api.qogita.com/variants/link/3365440787971/", "View Product")</f>
        <v/>
      </c>
    </row>
    <row r="9934">
      <c r="A9934" t="inlineStr">
        <is>
          <t>3367729021028</t>
        </is>
      </c>
      <c r="B9934" t="inlineStr">
        <is>
          <t>Biotherm Homme Day Control Antiperspirant Rollon 75ml 48h Nonstop Protection</t>
        </is>
      </c>
      <c r="C9934" t="inlineStr">
        <is>
          <t>Deodorant &amp; Anti-Perspirant</t>
        </is>
      </c>
      <c r="D9934" t="inlineStr">
        <is>
          <t>Biotherm</t>
        </is>
      </c>
      <c r="E9934" t="n">
        <v>14.77</v>
      </c>
      <c r="F9934" t="n">
        <v>1</v>
      </c>
      <c r="G9934" t="n">
        <v>3</v>
      </c>
      <c r="H9934" s="5">
        <f>HYPERLINK("https://api.qogita.com/variants/link/3367729021028/", "View Product")</f>
        <v/>
      </c>
    </row>
    <row r="9935">
      <c r="A9935" t="inlineStr">
        <is>
          <t>3367729021066</t>
        </is>
      </c>
      <c r="B9935" t="inlineStr">
        <is>
          <t>Biotherm Homme 48h Day Control Protection Anti-Perspirant 50ml</t>
        </is>
      </c>
      <c r="C9935" t="inlineStr">
        <is>
          <t>Deodorant &amp; Anti-Perspirant</t>
        </is>
      </c>
      <c r="D9935" t="inlineStr">
        <is>
          <t>Biotherm</t>
        </is>
      </c>
      <c r="E9935" t="n">
        <v>14.64</v>
      </c>
      <c r="F9935" t="n">
        <v>1</v>
      </c>
      <c r="G9935" t="n">
        <v>4</v>
      </c>
      <c r="H9935" s="5">
        <f>HYPERLINK("https://api.qogita.com/variants/link/3367729021066/", "View Product")</f>
        <v/>
      </c>
    </row>
    <row r="9936">
      <c r="A9936" t="inlineStr">
        <is>
          <t>3367729022599</t>
        </is>
      </c>
      <c r="B9936" t="inlineStr">
        <is>
          <t>Biotherm Homme Sensitive Skin Shaving Foam 50ml</t>
        </is>
      </c>
      <c r="C9936" t="inlineStr">
        <is>
          <t>Shaving</t>
        </is>
      </c>
      <c r="D9936" t="inlineStr">
        <is>
          <t>Biotherm</t>
        </is>
      </c>
      <c r="E9936" t="n">
        <v>19.65</v>
      </c>
      <c r="F9936" t="n">
        <v>1</v>
      </c>
      <c r="G9936" t="n">
        <v>2</v>
      </c>
      <c r="H9936" s="5">
        <f>HYPERLINK("https://api.qogita.com/variants/link/3367729022599/", "View Product")</f>
        <v/>
      </c>
    </row>
    <row r="9937">
      <c r="A9937" t="inlineStr">
        <is>
          <t>3367729571097</t>
        </is>
      </c>
      <c r="B9937" t="inlineStr">
        <is>
          <t>Biotherm Eau Vitaminee Eau De Toilette 100ml</t>
        </is>
      </c>
      <c r="C9937" t="inlineStr">
        <is>
          <t>Eau De Toilette</t>
        </is>
      </c>
      <c r="D9937" t="inlineStr">
        <is>
          <t>Biotherm</t>
        </is>
      </c>
      <c r="E9937" t="n">
        <v>35.96</v>
      </c>
      <c r="F9937" t="n">
        <v>1</v>
      </c>
      <c r="G9937" t="n">
        <v>5</v>
      </c>
      <c r="H9937" s="5">
        <f>HYPERLINK("https://api.qogita.com/variants/link/3367729571097/", "View Product")</f>
        <v/>
      </c>
    </row>
    <row r="9938">
      <c r="A9938" t="inlineStr">
        <is>
          <t>3372290000266</t>
        </is>
      </c>
      <c r="B9938" t="inlineStr">
        <is>
          <t>Lazartigue Volumize Hairspray Strengthens Hair and Adds Volume 3.4 Fl.Oz.</t>
        </is>
      </c>
      <c r="C9938" t="inlineStr">
        <is>
          <t>Hairspray</t>
        </is>
      </c>
      <c r="D9938" t="inlineStr">
        <is>
          <t>Lazartigue</t>
        </is>
      </c>
      <c r="E9938" t="n">
        <v>11.85</v>
      </c>
      <c r="F9938" t="n">
        <v>1</v>
      </c>
      <c r="G9938" t="n">
        <v>5</v>
      </c>
      <c r="H9938" s="5">
        <f>HYPERLINK("https://api.qogita.com/variants/link/3372290000266/", "View Product")</f>
        <v/>
      </c>
    </row>
    <row r="9939">
      <c r="A9939" t="inlineStr">
        <is>
          <t>3372290000273</t>
        </is>
      </c>
      <c r="B9939" t="inlineStr">
        <is>
          <t>Lazartigue Clear Shampoo Antidandruff Phase 1 250ml</t>
        </is>
      </c>
      <c r="C9939" t="inlineStr">
        <is>
          <t>Shampoo</t>
        </is>
      </c>
      <c r="D9939" t="inlineStr">
        <is>
          <t>Lazartigue</t>
        </is>
      </c>
      <c r="E9939" t="n">
        <v>8.99</v>
      </c>
      <c r="F9939" t="n">
        <v>1</v>
      </c>
      <c r="G9939" t="n">
        <v>3</v>
      </c>
      <c r="H9939" s="5">
        <f>HYPERLINK("https://api.qogita.com/variants/link/3372290000273/", "View Product")</f>
        <v/>
      </c>
    </row>
    <row r="9940">
      <c r="A9940" t="inlineStr">
        <is>
          <t>3372290000617</t>
        </is>
      </c>
      <c r="B9940" t="inlineStr">
        <is>
          <t>Lazartigue Neutralize Purple Neutralizing Shampoo for Colored Hair 250ml</t>
        </is>
      </c>
      <c r="C9940" t="inlineStr">
        <is>
          <t>Shampoo</t>
        </is>
      </c>
      <c r="D9940" t="inlineStr">
        <is>
          <t>Lazartigue</t>
        </is>
      </c>
      <c r="E9940" t="n">
        <v>10.14</v>
      </c>
      <c r="F9940" t="n">
        <v>1</v>
      </c>
      <c r="G9940" t="n">
        <v>2</v>
      </c>
      <c r="H9940" s="5">
        <f>HYPERLINK("https://api.qogita.com/variants/link/3372290000617/", "View Product")</f>
        <v/>
      </c>
    </row>
    <row r="9941">
      <c r="A9941" t="inlineStr">
        <is>
          <t>3372290000860</t>
        </is>
      </c>
      <c r="B9941" t="inlineStr">
        <is>
          <t>Lazartigue Colour Protect Conditioner 150ml Hair Care</t>
        </is>
      </c>
      <c r="C9941" t="inlineStr">
        <is>
          <t>Conditioner</t>
        </is>
      </c>
      <c r="D9941" t="inlineStr">
        <is>
          <t>Lazartigue</t>
        </is>
      </c>
      <c r="E9941" t="n">
        <v>13.46</v>
      </c>
      <c r="F9941" t="n">
        <v>1</v>
      </c>
      <c r="G9941" t="n">
        <v>2</v>
      </c>
      <c r="H9941" s="5">
        <f>HYPERLINK("https://api.qogita.com/variants/link/3372290000860/", "View Product")</f>
        <v/>
      </c>
    </row>
    <row r="9942">
      <c r="A9942" t="inlineStr">
        <is>
          <t>3372290123026</t>
        </is>
      </c>
      <c r="B9942" t="inlineStr">
        <is>
          <t>Lazartigue Fortify Fortifying Shampoo Anti-Hair Loss Supplement - 250ml</t>
        </is>
      </c>
      <c r="C9942" t="inlineStr">
        <is>
          <t>Shampoo</t>
        </is>
      </c>
      <c r="D9942" t="inlineStr">
        <is>
          <t>Lazartigue</t>
        </is>
      </c>
      <c r="E9942" t="n">
        <v>8.92</v>
      </c>
      <c r="F9942" t="n">
        <v>1</v>
      </c>
      <c r="G9942" t="n">
        <v>3</v>
      </c>
      <c r="H9942" s="5">
        <f>HYPERLINK("https://api.qogita.com/variants/link/3372290123026/", "View Product")</f>
        <v/>
      </c>
    </row>
    <row r="9943">
      <c r="A9943" t="inlineStr">
        <is>
          <t>3380810013269</t>
        </is>
      </c>
      <c r="B9943" t="inlineStr">
        <is>
          <t>Clarins Super Restorative Remodelling Anti-Aging Serum 50ml</t>
        </is>
      </c>
      <c r="C9943" t="inlineStr">
        <is>
          <t>Anti-Aging Serum</t>
        </is>
      </c>
      <c r="D9943" t="inlineStr">
        <is>
          <t>Clarins</t>
        </is>
      </c>
      <c r="E9943" t="n">
        <v>109.62</v>
      </c>
      <c r="F9943" t="n">
        <v>1</v>
      </c>
      <c r="G9943" t="n">
        <v>8</v>
      </c>
      <c r="H9943" s="5">
        <f>HYPERLINK("https://api.qogita.com/variants/link/3380810013269/", "View Product")</f>
        <v/>
      </c>
    </row>
    <row r="9944">
      <c r="A9944" t="inlineStr">
        <is>
          <t>3380810105148</t>
        </is>
      </c>
      <c r="B9944" t="inlineStr">
        <is>
          <t>Clarins Water Lip Stain 03 Red Water 7 Ml</t>
        </is>
      </c>
      <c r="C9944" t="inlineStr">
        <is>
          <t>Lip Gloss</t>
        </is>
      </c>
      <c r="D9944" t="inlineStr">
        <is>
          <t>Clarins</t>
        </is>
      </c>
      <c r="E9944" t="n">
        <v>14.9</v>
      </c>
      <c r="F9944" t="n">
        <v>1</v>
      </c>
      <c r="G9944" t="n">
        <v>37</v>
      </c>
      <c r="H9944" s="5">
        <f>HYPERLINK("https://api.qogita.com/variants/link/3380810105148/", "View Product")</f>
        <v/>
      </c>
    </row>
    <row r="9945">
      <c r="A9945" t="inlineStr">
        <is>
          <t>3380810177558</t>
        </is>
      </c>
      <c r="B9945" t="inlineStr">
        <is>
          <t>Clarins Sos Pure Rebalancing Clay Mask 75ml For Combination To Oily Skin</t>
        </is>
      </c>
      <c r="C9945" t="inlineStr">
        <is>
          <t>Clay Mask</t>
        </is>
      </c>
      <c r="D9945" t="inlineStr">
        <is>
          <t>Clarins</t>
        </is>
      </c>
      <c r="E9945" t="n">
        <v>22.91</v>
      </c>
      <c r="F9945" t="n">
        <v>1</v>
      </c>
      <c r="G9945" t="n">
        <v>3</v>
      </c>
      <c r="H9945" s="5">
        <f>HYPERLINK("https://api.qogita.com/variants/link/3380810177558/", "View Product")</f>
        <v/>
      </c>
    </row>
    <row r="9946">
      <c r="A9946" t="inlineStr">
        <is>
          <t>3380810234329</t>
        </is>
      </c>
      <c r="B9946" t="inlineStr">
        <is>
          <t>Clarins Skin Illusion Natural Hydrating Foundation Spf 15 107 Beige 30ml</t>
        </is>
      </c>
      <c r="C9946" t="inlineStr">
        <is>
          <t>Foundation</t>
        </is>
      </c>
      <c r="D9946" t="inlineStr">
        <is>
          <t>Clarins</t>
        </is>
      </c>
      <c r="E9946" t="n">
        <v>29.68</v>
      </c>
      <c r="F9946" t="n">
        <v>1</v>
      </c>
      <c r="G9946" t="n">
        <v>5</v>
      </c>
      <c r="H9946" s="5">
        <f>HYPERLINK("https://api.qogita.com/variants/link/3380810234329/", "View Product")</f>
        <v/>
      </c>
    </row>
    <row r="9947">
      <c r="A9947" t="inlineStr">
        <is>
          <t>3380810234367</t>
        </is>
      </c>
      <c r="B9947" t="inlineStr">
        <is>
          <t>Clarins Skin Illusion Natural Hydrating Foundation Spf 15 109 Wheat 30ml</t>
        </is>
      </c>
      <c r="C9947" t="inlineStr">
        <is>
          <t>Foundation</t>
        </is>
      </c>
      <c r="D9947" t="inlineStr">
        <is>
          <t>Clarins</t>
        </is>
      </c>
      <c r="E9947" t="n">
        <v>31.58</v>
      </c>
      <c r="F9947" t="n">
        <v>1</v>
      </c>
      <c r="G9947" t="n">
        <v>7</v>
      </c>
      <c r="H9947" s="5">
        <f>HYPERLINK("https://api.qogita.com/variants/link/3380810234367/", "View Product")</f>
        <v/>
      </c>
    </row>
    <row r="9948">
      <c r="A9948" t="inlineStr">
        <is>
          <t>3380810296709</t>
        </is>
      </c>
      <c r="B9948" t="inlineStr">
        <is>
          <t>Clarins Bust Beauty Firming Body Lotion 50ml</t>
        </is>
      </c>
      <c r="C9948" t="inlineStr">
        <is>
          <t>Body Lotion</t>
        </is>
      </c>
      <c r="D9948" t="inlineStr">
        <is>
          <t>Clarins</t>
        </is>
      </c>
      <c r="E9948" t="n">
        <v>28.19</v>
      </c>
      <c r="F9948" t="n">
        <v>1</v>
      </c>
      <c r="G9948" t="n">
        <v>3</v>
      </c>
      <c r="H9948" s="5">
        <f>HYPERLINK("https://api.qogita.com/variants/link/3380810296709/", "View Product")</f>
        <v/>
      </c>
    </row>
    <row r="9949">
      <c r="A9949" t="inlineStr">
        <is>
          <t>3380810309409</t>
        </is>
      </c>
      <c r="B9949" t="inlineStr">
        <is>
          <t>Clarins Joli Blush 5 G Shade 07</t>
        </is>
      </c>
      <c r="C9949" t="inlineStr">
        <is>
          <t>Blush</t>
        </is>
      </c>
      <c r="D9949" t="inlineStr">
        <is>
          <t>Clarins</t>
        </is>
      </c>
      <c r="E9949" t="n">
        <v>21.8</v>
      </c>
      <c r="F9949" t="n">
        <v>1</v>
      </c>
      <c r="G9949" t="n">
        <v>6</v>
      </c>
      <c r="H9949" s="5">
        <f>HYPERLINK("https://api.qogita.com/variants/link/3380810309409/", "View Product")</f>
        <v/>
      </c>
    </row>
    <row r="9950">
      <c r="A9950" t="inlineStr">
        <is>
          <t>3380810309591</t>
        </is>
      </c>
      <c r="B9950" t="inlineStr">
        <is>
          <t>Clarins Instant Light Natural Lip Perfector 12 Ml 19 Intense Smoky Rose</t>
        </is>
      </c>
      <c r="C9950" t="inlineStr">
        <is>
          <t>Lip Gloss</t>
        </is>
      </c>
      <c r="D9950" t="inlineStr">
        <is>
          <t>Clarins</t>
        </is>
      </c>
      <c r="E9950" t="n">
        <v>14.47</v>
      </c>
      <c r="F9950" t="n">
        <v>1</v>
      </c>
      <c r="G9950" t="n">
        <v>93</v>
      </c>
      <c r="H9950" s="5">
        <f>HYPERLINK("https://api.qogita.com/variants/link/3380810309591/", "View Product")</f>
        <v/>
      </c>
    </row>
    <row r="9951">
      <c r="A9951" t="inlineStr">
        <is>
          <t>3380810309607</t>
        </is>
      </c>
      <c r="B9951" t="inlineStr">
        <is>
          <t>Clarins Instant Light Natural Lip Perfector Lip Gloss 12 Ml In 16 Intense Rosebud</t>
        </is>
      </c>
      <c r="C9951" t="inlineStr">
        <is>
          <t>Lip Gloss</t>
        </is>
      </c>
      <c r="D9951" t="inlineStr">
        <is>
          <t>Clarins</t>
        </is>
      </c>
      <c r="E9951" t="n">
        <v>14.55</v>
      </c>
      <c r="F9951" t="n">
        <v>1</v>
      </c>
      <c r="G9951" t="n">
        <v>239</v>
      </c>
      <c r="H9951" s="5">
        <f>HYPERLINK("https://api.qogita.com/variants/link/3380810309607/", "View Product")</f>
        <v/>
      </c>
    </row>
    <row r="9952">
      <c r="A9952" t="inlineStr">
        <is>
          <t>3380810318739</t>
        </is>
      </c>
      <c r="B9952" t="inlineStr">
        <is>
          <t>Clarins Everlasting Youth Fluid Foundation Spf 15 107 Beige 30ml Illuminating And Firming Liquid Makeup</t>
        </is>
      </c>
      <c r="C9952" t="inlineStr">
        <is>
          <t>Foundation</t>
        </is>
      </c>
      <c r="D9952" t="inlineStr">
        <is>
          <t>Clarins</t>
        </is>
      </c>
      <c r="E9952" t="n">
        <v>31.17</v>
      </c>
      <c r="F9952" t="n">
        <v>1</v>
      </c>
      <c r="G9952" t="n">
        <v>2</v>
      </c>
      <c r="H9952" s="5">
        <f>HYPERLINK("https://api.qogita.com/variants/link/3380810318739/", "View Product")</f>
        <v/>
      </c>
    </row>
    <row r="9953">
      <c r="A9953" t="inlineStr">
        <is>
          <t>3380810354294</t>
        </is>
      </c>
      <c r="B9953" t="inlineStr">
        <is>
          <t>Clarins Nutrilumire Nourishing Revitalizing Day Cream 50ml</t>
        </is>
      </c>
      <c r="C9953" t="inlineStr">
        <is>
          <t>Day Cream</t>
        </is>
      </c>
      <c r="D9953" t="inlineStr">
        <is>
          <t>Clarins</t>
        </is>
      </c>
      <c r="E9953" t="n">
        <v>75.31999999999999</v>
      </c>
      <c r="F9953" t="n">
        <v>1</v>
      </c>
      <c r="G9953" t="n">
        <v>7</v>
      </c>
      <c r="H9953" s="5">
        <f>HYPERLINK("https://api.qogita.com/variants/link/3380810354294/", "View Product")</f>
        <v/>
      </c>
    </row>
    <row r="9954">
      <c r="A9954" t="inlineStr">
        <is>
          <t>3380810354348</t>
        </is>
      </c>
      <c r="B9954" t="inlineStr">
        <is>
          <t>Clarins Nutrilumire Day Nourishing Revitalizing Emulsion 50ml</t>
        </is>
      </c>
      <c r="C9954" t="inlineStr">
        <is>
          <t>Day Cream</t>
        </is>
      </c>
      <c r="D9954" t="inlineStr">
        <is>
          <t>Clarins</t>
        </is>
      </c>
      <c r="E9954" t="n">
        <v>75.92</v>
      </c>
      <c r="F9954" t="n">
        <v>1</v>
      </c>
      <c r="G9954" t="n">
        <v>14</v>
      </c>
      <c r="H9954" s="5">
        <f>HYPERLINK("https://api.qogita.com/variants/link/3380810354348/", "View Product")</f>
        <v/>
      </c>
    </row>
    <row r="9955">
      <c r="A9955" t="inlineStr">
        <is>
          <t>3380810365818</t>
        </is>
      </c>
      <c r="B9955" t="inlineStr">
        <is>
          <t>Clarins Lip Comfort Oil Intense Lightweight Cream Oil 7 Ml 01 Intense Nude</t>
        </is>
      </c>
      <c r="C9955" t="inlineStr">
        <is>
          <t>Lip Gloss</t>
        </is>
      </c>
      <c r="D9955" t="inlineStr">
        <is>
          <t>Clarins</t>
        </is>
      </c>
      <c r="E9955" t="n">
        <v>15.83</v>
      </c>
      <c r="F9955" t="n">
        <v>1</v>
      </c>
      <c r="G9955" t="n">
        <v>5</v>
      </c>
      <c r="H9955" s="5">
        <f>HYPERLINK("https://api.qogita.com/variants/link/3380810365818/", "View Product")</f>
        <v/>
      </c>
    </row>
    <row r="9956">
      <c r="A9956" t="inlineStr">
        <is>
          <t>3380810402872</t>
        </is>
      </c>
      <c r="B9956" t="inlineStr">
        <is>
          <t>Clarins Everlasting Foundation 113 C Chestnut 30ml Longlasting Moisturizing Makeup With A Matte Effect</t>
        </is>
      </c>
      <c r="C9956" t="inlineStr">
        <is>
          <t>Foundation</t>
        </is>
      </c>
      <c r="D9956" t="inlineStr">
        <is>
          <t>Clarins</t>
        </is>
      </c>
      <c r="E9956" t="n">
        <v>29.98</v>
      </c>
      <c r="F9956" t="n">
        <v>1</v>
      </c>
      <c r="G9956" t="n">
        <v>2</v>
      </c>
      <c r="H9956" s="5">
        <f>HYPERLINK("https://api.qogita.com/variants/link/3380810402872/", "View Product")</f>
        <v/>
      </c>
    </row>
    <row r="9957">
      <c r="A9957" t="inlineStr">
        <is>
          <t>3380810421590</t>
        </is>
      </c>
      <c r="B9957" t="inlineStr">
        <is>
          <t>Clarins Extrafirming Energy Day Cream 50 Ml</t>
        </is>
      </c>
      <c r="C9957" t="inlineStr">
        <is>
          <t>Day Cream</t>
        </is>
      </c>
      <c r="D9957" t="inlineStr">
        <is>
          <t>Clarins</t>
        </is>
      </c>
      <c r="E9957" t="n">
        <v>47.19</v>
      </c>
      <c r="F9957" t="n">
        <v>1</v>
      </c>
      <c r="G9957" t="n">
        <v>4</v>
      </c>
      <c r="H9957" s="5">
        <f>HYPERLINK("https://api.qogita.com/variants/link/3380810421590/", "View Product")</f>
        <v/>
      </c>
    </row>
    <row r="9958">
      <c r="A9958" t="inlineStr">
        <is>
          <t>3380810424065</t>
        </is>
      </c>
      <c r="B9958" t="inlineStr">
        <is>
          <t>Clarins UV Plus 5P Anti-Pollution Multi-Protection Moisturizing Screen SPF50 Translucent 50ml</t>
        </is>
      </c>
      <c r="C9958" t="inlineStr">
        <is>
          <t>Face Sun Protection</t>
        </is>
      </c>
      <c r="D9958" t="inlineStr">
        <is>
          <t>Clarins</t>
        </is>
      </c>
      <c r="E9958" t="n">
        <v>35.57</v>
      </c>
      <c r="F9958" t="n">
        <v>1</v>
      </c>
      <c r="G9958" t="n">
        <v>2</v>
      </c>
      <c r="H9958" s="5">
        <f>HYPERLINK("https://api.qogita.com/variants/link/3380810424065/", "View Product")</f>
        <v/>
      </c>
    </row>
    <row r="9959">
      <c r="A9959" t="inlineStr">
        <is>
          <t>3380810424072</t>
        </is>
      </c>
      <c r="B9959" t="inlineStr">
        <is>
          <t>Clarins Soothing Toning Lotion White</t>
        </is>
      </c>
      <c r="C9959" t="inlineStr">
        <is>
          <t>Facial Spray</t>
        </is>
      </c>
      <c r="D9959" t="inlineStr">
        <is>
          <t>Clarins</t>
        </is>
      </c>
      <c r="E9959" t="n">
        <v>24.11</v>
      </c>
      <c r="F9959" t="n">
        <v>1</v>
      </c>
      <c r="G9959" t="n">
        <v>3</v>
      </c>
      <c r="H9959" s="5">
        <f>HYPERLINK("https://api.qogita.com/variants/link/3380810424072/", "View Product")</f>
        <v/>
      </c>
    </row>
    <row r="9960">
      <c r="A9960" t="inlineStr">
        <is>
          <t>3380810449037</t>
        </is>
      </c>
      <c r="B9960" t="inlineStr">
        <is>
          <t>Clarins Self Tanning Instant Gel 125ml Self Tanning Gel</t>
        </is>
      </c>
      <c r="C9960" t="inlineStr">
        <is>
          <t>Body Self-Tanner</t>
        </is>
      </c>
      <c r="D9960" t="inlineStr">
        <is>
          <t>Clarins</t>
        </is>
      </c>
      <c r="E9960" t="n">
        <v>17.76</v>
      </c>
      <c r="F9960" t="n">
        <v>1</v>
      </c>
      <c r="G9960" t="n">
        <v>2</v>
      </c>
      <c r="H9960" s="5">
        <f>HYPERLINK("https://api.qogita.com/variants/link/3380810449037/", "View Product")</f>
        <v/>
      </c>
    </row>
    <row r="9961">
      <c r="A9961" t="inlineStr">
        <is>
          <t>3380810449051</t>
        </is>
      </c>
      <c r="B9961" t="inlineStr">
        <is>
          <t>Clarins Self Tan Radianceplus Golden Glow Booster For Body 30ml</t>
        </is>
      </c>
      <c r="C9961" t="inlineStr">
        <is>
          <t>Body Self-Tanner</t>
        </is>
      </c>
      <c r="D9961" t="inlineStr">
        <is>
          <t>Clarins</t>
        </is>
      </c>
      <c r="E9961" t="n">
        <v>23.99</v>
      </c>
      <c r="F9961" t="n">
        <v>1</v>
      </c>
      <c r="G9961" t="n">
        <v>3</v>
      </c>
      <c r="H9961" s="5">
        <f>HYPERLINK("https://api.qogita.com/variants/link/3380810449051/", "View Product")</f>
        <v/>
      </c>
    </row>
    <row r="9962">
      <c r="A9962" t="inlineStr">
        <is>
          <t>3380810482928</t>
        </is>
      </c>
      <c r="B9962" t="inlineStr">
        <is>
          <t>Clarins Ever Matte Loose Powder 01 Universal Light 15g</t>
        </is>
      </c>
      <c r="C9962" t="inlineStr">
        <is>
          <t>Powder</t>
        </is>
      </c>
      <c r="D9962" t="inlineStr">
        <is>
          <t>Clarins</t>
        </is>
      </c>
      <c r="E9962" t="n">
        <v>26.24</v>
      </c>
      <c r="F9962" t="n">
        <v>1</v>
      </c>
      <c r="G9962" t="n">
        <v>14</v>
      </c>
      <c r="H9962" s="5">
        <f>HYPERLINK("https://api.qogita.com/variants/link/3380810482928/", "View Product")</f>
        <v/>
      </c>
    </row>
    <row r="9963">
      <c r="A9963" t="inlineStr">
        <is>
          <t>3380810482942</t>
        </is>
      </c>
      <c r="B9963" t="inlineStr">
        <is>
          <t>Clarins Ever Matte Loose Powder 03 Translucent Deep 15g</t>
        </is>
      </c>
      <c r="C9963" t="inlineStr">
        <is>
          <t>Powder</t>
        </is>
      </c>
      <c r="D9963" t="inlineStr">
        <is>
          <t>Clarins</t>
        </is>
      </c>
      <c r="E9963" t="n">
        <v>24.8</v>
      </c>
      <c r="F9963" t="n">
        <v>1</v>
      </c>
      <c r="G9963" t="n">
        <v>5</v>
      </c>
      <c r="H9963" s="5">
        <f>HYPERLINK("https://api.qogita.com/variants/link/3380810482942/", "View Product")</f>
        <v/>
      </c>
    </row>
    <row r="9964">
      <c r="A9964" t="inlineStr">
        <is>
          <t>3380810483673</t>
        </is>
      </c>
      <c r="B9964" t="inlineStr">
        <is>
          <t>Clarins Supra Lift &amp; Curl Mascara 8 Ml Intense Black</t>
        </is>
      </c>
      <c r="C9964" t="inlineStr">
        <is>
          <t>Mascara</t>
        </is>
      </c>
      <c r="D9964" t="inlineStr">
        <is>
          <t>Clarins</t>
        </is>
      </c>
      <c r="E9964" t="n">
        <v>18.64</v>
      </c>
      <c r="F9964" t="n">
        <v>1</v>
      </c>
      <c r="G9964" t="n">
        <v>5</v>
      </c>
      <c r="H9964" s="5">
        <f>HYPERLINK("https://api.qogita.com/variants/link/3380810483673/", "View Product")</f>
        <v/>
      </c>
    </row>
    <row r="9965">
      <c r="A9965" t="inlineStr">
        <is>
          <t>3380814057313</t>
        </is>
      </c>
      <c r="B9965" t="inlineStr">
        <is>
          <t>Clarins Instant Concealer 03 15ml Long Lasting Concealer For Women</t>
        </is>
      </c>
      <c r="C9965" t="inlineStr">
        <is>
          <t>Concealer</t>
        </is>
      </c>
      <c r="D9965" t="inlineStr">
        <is>
          <t>Clarins</t>
        </is>
      </c>
      <c r="E9965" t="n">
        <v>21.79</v>
      </c>
      <c r="F9965" t="n">
        <v>1</v>
      </c>
      <c r="G9965" t="n">
        <v>4</v>
      </c>
      <c r="H9965" s="5">
        <f>HYPERLINK("https://api.qogita.com/variants/link/3380814057313/", "View Product")</f>
        <v/>
      </c>
    </row>
    <row r="9966">
      <c r="A9966" t="inlineStr">
        <is>
          <t>3380814210916</t>
        </is>
      </c>
      <c r="B9966" t="inlineStr">
        <is>
          <t>Clarins Crayon Khol Eye Pencil 01 Carbon Black 105 G</t>
        </is>
      </c>
      <c r="C9966" t="inlineStr">
        <is>
          <t>Eye Pencil</t>
        </is>
      </c>
      <c r="D9966" t="inlineStr">
        <is>
          <t>Clarins</t>
        </is>
      </c>
      <c r="E9966" t="n">
        <v>13.33</v>
      </c>
      <c r="F9966" t="n">
        <v>1</v>
      </c>
      <c r="G9966" t="n">
        <v>30</v>
      </c>
      <c r="H9966" s="5">
        <f>HYPERLINK("https://api.qogita.com/variants/link/3380814210916/", "View Product")</f>
        <v/>
      </c>
    </row>
    <row r="9967">
      <c r="A9967" t="inlineStr">
        <is>
          <t>3380814700219</t>
        </is>
      </c>
      <c r="B9967" t="inlineStr">
        <is>
          <t>Clarins Instant Smooth Perfecting Touch Make Up Base 15ml</t>
        </is>
      </c>
      <c r="C9967" t="inlineStr">
        <is>
          <t>Primer</t>
        </is>
      </c>
      <c r="D9967" t="inlineStr">
        <is>
          <t>Clarins</t>
        </is>
      </c>
      <c r="E9967" t="n">
        <v>18.42</v>
      </c>
      <c r="F9967" t="n">
        <v>1</v>
      </c>
      <c r="G9967" t="n">
        <v>5</v>
      </c>
      <c r="H9967" s="5">
        <f>HYPERLINK("https://api.qogita.com/variants/link/3380814700219/", "View Product")</f>
        <v/>
      </c>
    </row>
    <row r="9968">
      <c r="A9968" t="inlineStr">
        <is>
          <t>3386460007139</t>
        </is>
      </c>
      <c r="B9968" t="inlineStr">
        <is>
          <t>Rumeur 2 Rose for Women by Lanvin Eau De Parfum Spray 3.3 Oz</t>
        </is>
      </c>
      <c r="C9968" t="inlineStr">
        <is>
          <t>Eau De Parfum</t>
        </is>
      </c>
      <c r="D9968" t="inlineStr">
        <is>
          <t>Lanvin</t>
        </is>
      </c>
      <c r="E9968" t="n">
        <v>14.97</v>
      </c>
      <c r="F9968" t="n">
        <v>1</v>
      </c>
      <c r="G9968" t="n">
        <v>105</v>
      </c>
      <c r="H9968" s="5">
        <f>HYPERLINK("https://api.qogita.com/variants/link/3386460007139/", "View Product")</f>
        <v/>
      </c>
    </row>
    <row r="9969">
      <c r="A9969" t="inlineStr">
        <is>
          <t>3386460010405</t>
        </is>
      </c>
      <c r="B9969" t="inlineStr">
        <is>
          <t>Lanvin Jeanne Lanvin Eau De Parfum Spray 50ml</t>
        </is>
      </c>
      <c r="C9969" t="inlineStr">
        <is>
          <t>Eau De Parfum</t>
        </is>
      </c>
      <c r="D9969" t="inlineStr">
        <is>
          <t>Lanvin</t>
        </is>
      </c>
      <c r="E9969" t="n">
        <v>17.52</v>
      </c>
      <c r="F9969" t="n">
        <v>1</v>
      </c>
      <c r="G9969" t="n">
        <v>54</v>
      </c>
      <c r="H9969" s="5">
        <f>HYPERLINK("https://api.qogita.com/variants/link/3386460010405/", "View Product")</f>
        <v/>
      </c>
    </row>
    <row r="9970">
      <c r="A9970" t="inlineStr">
        <is>
          <t>3386460010412</t>
        </is>
      </c>
      <c r="B9970" t="inlineStr">
        <is>
          <t>Lanvin Jeanne Eau De Parfum Spray 30ml For Women</t>
        </is>
      </c>
      <c r="C9970" t="inlineStr">
        <is>
          <t>Eau De Parfum</t>
        </is>
      </c>
      <c r="D9970" t="inlineStr">
        <is>
          <t>Lanvin</t>
        </is>
      </c>
      <c r="E9970" t="n">
        <v>13.29</v>
      </c>
      <c r="F9970" t="n">
        <v>1</v>
      </c>
      <c r="G9970" t="n">
        <v>45</v>
      </c>
      <c r="H9970" s="5">
        <f>HYPERLINK("https://api.qogita.com/variants/link/3386460010412/", "View Product")</f>
        <v/>
      </c>
    </row>
    <row r="9971">
      <c r="A9971" t="inlineStr">
        <is>
          <t>3386460025492</t>
        </is>
      </c>
      <c r="B9971" t="inlineStr">
        <is>
          <t>Jimmy Choo Eau De Parfum Spray 40ml</t>
        </is>
      </c>
      <c r="C9971" t="inlineStr">
        <is>
          <t>Eau De Parfum</t>
        </is>
      </c>
      <c r="D9971" t="inlineStr">
        <is>
          <t>Jimmy Choo</t>
        </is>
      </c>
      <c r="E9971" t="n">
        <v>22.02</v>
      </c>
      <c r="F9971" t="n">
        <v>1</v>
      </c>
      <c r="G9971" t="n">
        <v>5</v>
      </c>
      <c r="H9971" s="5">
        <f>HYPERLINK("https://api.qogita.com/variants/link/3386460025492/", "View Product")</f>
        <v/>
      </c>
    </row>
    <row r="9972">
      <c r="A9972" t="inlineStr">
        <is>
          <t>3386460025522</t>
        </is>
      </c>
      <c r="B9972" t="inlineStr">
        <is>
          <t>Jimmy Choo Eau De Toilette Spray 40ml</t>
        </is>
      </c>
      <c r="C9972" t="inlineStr">
        <is>
          <t>Eau De Toilette</t>
        </is>
      </c>
      <c r="D9972" t="inlineStr">
        <is>
          <t>Jimmy Choo</t>
        </is>
      </c>
      <c r="E9972" t="n">
        <v>16.82</v>
      </c>
      <c r="F9972" t="n">
        <v>1</v>
      </c>
      <c r="G9972" t="n">
        <v>3</v>
      </c>
      <c r="H9972" s="5">
        <f>HYPERLINK("https://api.qogita.com/variants/link/3386460025522/", "View Product")</f>
        <v/>
      </c>
    </row>
    <row r="9973">
      <c r="A9973" t="inlineStr">
        <is>
          <t>3386460025812</t>
        </is>
      </c>
      <c r="B9973" t="inlineStr">
        <is>
          <t>Jimmy Choo Eau De Parfum Spray 100ml - Product Without Packaging</t>
        </is>
      </c>
      <c r="C9973" t="inlineStr">
        <is>
          <t>Eau De Parfum</t>
        </is>
      </c>
      <c r="D9973" t="inlineStr">
        <is>
          <t>Jimmy Choo</t>
        </is>
      </c>
      <c r="E9973" t="n">
        <v>28.13</v>
      </c>
      <c r="F9973" t="n">
        <v>1</v>
      </c>
      <c r="G9973" t="n">
        <v>10</v>
      </c>
      <c r="H9973" s="5">
        <f>HYPERLINK("https://api.qogita.com/variants/link/3386460025812/", "View Product")</f>
        <v/>
      </c>
    </row>
    <row r="9974">
      <c r="A9974" t="inlineStr">
        <is>
          <t>3386460028325</t>
        </is>
      </c>
      <c r="B9974" t="inlineStr">
        <is>
          <t>Mont Blanc Presence Men Eau De Toilette Spray 75ml</t>
        </is>
      </c>
      <c r="C9974" t="inlineStr">
        <is>
          <t>Eau De Toilette</t>
        </is>
      </c>
      <c r="D9974" t="inlineStr">
        <is>
          <t>Montblanc</t>
        </is>
      </c>
      <c r="E9974" t="n">
        <v>20.9</v>
      </c>
      <c r="F9974" t="n">
        <v>1</v>
      </c>
      <c r="G9974" t="n">
        <v>126</v>
      </c>
      <c r="H9974" s="5">
        <f>HYPERLINK("https://api.qogita.com/variants/link/3386460028325/", "View Product")</f>
        <v/>
      </c>
    </row>
    <row r="9975">
      <c r="A9975" t="inlineStr">
        <is>
          <t>3386460028486</t>
        </is>
      </c>
      <c r="B9975" t="inlineStr">
        <is>
          <t>Skywalker by Mont Blanc 2.5oz Eau De Toilette Spray</t>
        </is>
      </c>
      <c r="C9975" t="inlineStr">
        <is>
          <t>Eau De Toilette</t>
        </is>
      </c>
      <c r="D9975" t="inlineStr">
        <is>
          <t>Montblanc</t>
        </is>
      </c>
      <c r="E9975" t="n">
        <v>23.06</v>
      </c>
      <c r="F9975" t="n">
        <v>1</v>
      </c>
      <c r="G9975" t="n">
        <v>4</v>
      </c>
      <c r="H9975" s="5">
        <f>HYPERLINK("https://api.qogita.com/variants/link/3386460028486/", "View Product")</f>
        <v/>
      </c>
    </row>
    <row r="9976">
      <c r="A9976" t="inlineStr">
        <is>
          <t>3386460036429</t>
        </is>
      </c>
      <c r="B9976" t="inlineStr">
        <is>
          <t>Boucheron Pour Homme Eau De Parfum Spray 100ml</t>
        </is>
      </c>
      <c r="C9976" t="inlineStr">
        <is>
          <t>Eau De Parfum</t>
        </is>
      </c>
      <c r="D9976" t="inlineStr">
        <is>
          <t>Boucheron</t>
        </is>
      </c>
      <c r="E9976" t="n">
        <v>25.97</v>
      </c>
      <c r="F9976" t="n">
        <v>1</v>
      </c>
      <c r="G9976" t="n">
        <v>1622</v>
      </c>
      <c r="H9976" s="5">
        <f>HYPERLINK("https://api.qogita.com/variants/link/3386460036429/", "View Product")</f>
        <v/>
      </c>
    </row>
    <row r="9977">
      <c r="A9977" t="inlineStr">
        <is>
          <t>3386460048118</t>
        </is>
      </c>
      <c r="B9977" t="inlineStr">
        <is>
          <t>Jimmy Choo Flash Eau De Parfum 100ml</t>
        </is>
      </c>
      <c r="C9977" t="inlineStr">
        <is>
          <t>Eau De Parfum</t>
        </is>
      </c>
      <c r="D9977" t="inlineStr">
        <is>
          <t>Jimmy Choo</t>
        </is>
      </c>
      <c r="E9977" t="n">
        <v>34.06</v>
      </c>
      <c r="F9977" t="n">
        <v>1</v>
      </c>
      <c r="G9977" t="n">
        <v>159</v>
      </c>
      <c r="H9977" s="5">
        <f>HYPERLINK("https://api.qogita.com/variants/link/3386460048118/", "View Product")</f>
        <v/>
      </c>
    </row>
    <row r="9978">
      <c r="A9978" t="inlineStr">
        <is>
          <t>3386460059114</t>
        </is>
      </c>
      <c r="B9978" t="inlineStr">
        <is>
          <t>Karl Lagerfeld Pour Femme Eau De Parfum Spray 85ml</t>
        </is>
      </c>
      <c r="C9978" t="inlineStr">
        <is>
          <t>Eau De Parfum</t>
        </is>
      </c>
      <c r="D9978" t="inlineStr">
        <is>
          <t>Karl Lagerfeld</t>
        </is>
      </c>
      <c r="E9978" t="n">
        <v>21.41</v>
      </c>
      <c r="F9978" t="n">
        <v>1</v>
      </c>
      <c r="G9978" t="n">
        <v>5</v>
      </c>
      <c r="H9978" s="5">
        <f>HYPERLINK("https://api.qogita.com/variants/link/3386460059114/", "View Product")</f>
        <v/>
      </c>
    </row>
    <row r="9979">
      <c r="A9979" t="inlineStr">
        <is>
          <t>3386460059138</t>
        </is>
      </c>
      <c r="B9979" t="inlineStr">
        <is>
          <t>Karl Lagerfeld Pour Femme Eau De Parfum Spray 25ml</t>
        </is>
      </c>
      <c r="C9979" t="inlineStr">
        <is>
          <t>Eau De Parfum</t>
        </is>
      </c>
      <c r="D9979" t="inlineStr">
        <is>
          <t>Karl Lagerfeld</t>
        </is>
      </c>
      <c r="E9979" t="n">
        <v>10.54</v>
      </c>
      <c r="F9979" t="n">
        <v>1</v>
      </c>
      <c r="G9979" t="n">
        <v>63</v>
      </c>
      <c r="H9979" s="5">
        <f>HYPERLINK("https://api.qogita.com/variants/link/3386460059138/", "View Product")</f>
        <v/>
      </c>
    </row>
    <row r="9980">
      <c r="A9980" t="inlineStr">
        <is>
          <t>3386460059183</t>
        </is>
      </c>
      <c r="B9980" t="inlineStr">
        <is>
          <t>Karl Lagerfeld Pour Homme Eau De Toilette Spray 100ml</t>
        </is>
      </c>
      <c r="C9980" t="inlineStr">
        <is>
          <t>Eau De Toilette</t>
        </is>
      </c>
      <c r="D9980" t="inlineStr">
        <is>
          <t>Karl Lagerfeld</t>
        </is>
      </c>
      <c r="E9980" t="n">
        <v>17.83</v>
      </c>
      <c r="F9980" t="n">
        <v>1</v>
      </c>
      <c r="G9980" t="n">
        <v>1769</v>
      </c>
      <c r="H9980" s="5">
        <f>HYPERLINK("https://api.qogita.com/variants/link/3386460059183/", "View Product")</f>
        <v/>
      </c>
    </row>
    <row r="9981">
      <c r="A9981" t="inlineStr">
        <is>
          <t>3386460062725</t>
        </is>
      </c>
      <c r="B9981" t="inlineStr">
        <is>
          <t>Lanvin Paris Eclat D'Arpege For Men Eau De Toilette 50ml</t>
        </is>
      </c>
      <c r="C9981" t="inlineStr">
        <is>
          <t>Eau De Toilette</t>
        </is>
      </c>
      <c r="D9981" t="inlineStr">
        <is>
          <t>Lanvin</t>
        </is>
      </c>
      <c r="E9981" t="n">
        <v>28.9</v>
      </c>
      <c r="F9981" t="n">
        <v>1</v>
      </c>
      <c r="G9981" t="n">
        <v>4</v>
      </c>
      <c r="H9981" s="5">
        <f>HYPERLINK("https://api.qogita.com/variants/link/3386460062725/", "View Product")</f>
        <v/>
      </c>
    </row>
    <row r="9982">
      <c r="A9982" t="inlineStr">
        <is>
          <t>3386460066099</t>
        </is>
      </c>
      <c r="B9982" t="inlineStr">
        <is>
          <t>Boucheron Quatre Pour Femme Eau De Parfum Spray 30ml</t>
        </is>
      </c>
      <c r="C9982" t="inlineStr">
        <is>
          <t>Eau De Parfum</t>
        </is>
      </c>
      <c r="D9982" t="inlineStr">
        <is>
          <t>Boucheron</t>
        </is>
      </c>
      <c r="E9982" t="n">
        <v>16.64</v>
      </c>
      <c r="F9982" t="n">
        <v>1</v>
      </c>
      <c r="G9982" t="n">
        <v>107</v>
      </c>
      <c r="H9982" s="5">
        <f>HYPERLINK("https://api.qogita.com/variants/link/3386460066099/", "View Product")</f>
        <v/>
      </c>
    </row>
    <row r="9983">
      <c r="A9983" t="inlineStr">
        <is>
          <t>3386460066303</t>
        </is>
      </c>
      <c r="B9983" t="inlineStr">
        <is>
          <t>Jimmy Choo Blossom Eau de Parfum Spray for Women 3.3 oz - Tester</t>
        </is>
      </c>
      <c r="C9983" t="inlineStr">
        <is>
          <t>Eau De Parfum</t>
        </is>
      </c>
      <c r="D9983" t="inlineStr">
        <is>
          <t>Jimmy Choo</t>
        </is>
      </c>
      <c r="E9983" t="n">
        <v>21.02</v>
      </c>
      <c r="F9983" t="n">
        <v>1</v>
      </c>
      <c r="G9983" t="n">
        <v>37</v>
      </c>
      <c r="H9983" s="5">
        <f>HYPERLINK("https://api.qogita.com/variants/link/3386460066303/", "View Product")</f>
        <v/>
      </c>
    </row>
    <row r="9984">
      <c r="A9984" t="inlineStr">
        <is>
          <t>3386460073868</t>
        </is>
      </c>
      <c r="B9984" t="inlineStr">
        <is>
          <t>Jimmy Choo L'Eau Eau De Toilette Spray 90ml</t>
        </is>
      </c>
      <c r="C9984" t="inlineStr">
        <is>
          <t>Eau De Toilette</t>
        </is>
      </c>
      <c r="D9984" t="inlineStr">
        <is>
          <t>Jimmy Choo</t>
        </is>
      </c>
      <c r="E9984" t="n">
        <v>32.44</v>
      </c>
      <c r="F9984" t="n">
        <v>1</v>
      </c>
      <c r="G9984" t="n">
        <v>22</v>
      </c>
      <c r="H9984" s="5">
        <f>HYPERLINK("https://api.qogita.com/variants/link/3386460073868/", "View Product")</f>
        <v/>
      </c>
    </row>
    <row r="9985">
      <c r="A9985" t="inlineStr">
        <is>
          <t>3386460074827</t>
        </is>
      </c>
      <c r="B9985" t="inlineStr">
        <is>
          <t>Mont Blanc Legend Spirit Pour Homme Eau De Toilette Spray 100ml</t>
        </is>
      </c>
      <c r="C9985" t="inlineStr">
        <is>
          <t>Eau De Toilette</t>
        </is>
      </c>
      <c r="D9985" t="inlineStr">
        <is>
          <t>Montblanc</t>
        </is>
      </c>
      <c r="E9985" t="n">
        <v>33.77</v>
      </c>
      <c r="F9985" t="n">
        <v>1</v>
      </c>
      <c r="G9985" t="n">
        <v>65</v>
      </c>
      <c r="H9985" s="5">
        <f>HYPERLINK("https://api.qogita.com/variants/link/3386460074827/", "View Product")</f>
        <v/>
      </c>
    </row>
    <row r="9986">
      <c r="A9986" t="inlineStr">
        <is>
          <t>3386460074902</t>
        </is>
      </c>
      <c r="B9986" t="inlineStr">
        <is>
          <t>Montblanc Legend Spirit EDT 3.4oz for Men - New Unused Tester</t>
        </is>
      </c>
      <c r="C9986" t="inlineStr">
        <is>
          <t>Eau De Toilette</t>
        </is>
      </c>
      <c r="D9986" t="inlineStr">
        <is>
          <t>Montblanc</t>
        </is>
      </c>
      <c r="E9986" t="n">
        <v>28.58</v>
      </c>
      <c r="F9986" t="n">
        <v>1</v>
      </c>
      <c r="G9986" t="n">
        <v>22</v>
      </c>
      <c r="H9986" s="5">
        <f>HYPERLINK("https://api.qogita.com/variants/link/3386460074902/", "View Product")</f>
        <v/>
      </c>
    </row>
    <row r="9987">
      <c r="A9987" t="inlineStr">
        <is>
          <t>3386460075343</t>
        </is>
      </c>
      <c r="B9987" t="inlineStr">
        <is>
          <t>Jimmy Choo Illicit Flower Eau De Toilette Spray 100 Ml</t>
        </is>
      </c>
      <c r="C9987" t="inlineStr">
        <is>
          <t>Eau De Toilette</t>
        </is>
      </c>
      <c r="D9987" t="inlineStr">
        <is>
          <t>Jimmy Choo</t>
        </is>
      </c>
      <c r="E9987" t="n">
        <v>26.18</v>
      </c>
      <c r="F9987" t="n">
        <v>1</v>
      </c>
      <c r="G9987" t="n">
        <v>432</v>
      </c>
      <c r="H9987" s="5">
        <f>HYPERLINK("https://api.qogita.com/variants/link/3386460075343/", "View Product")</f>
        <v/>
      </c>
    </row>
    <row r="9988">
      <c r="A9988" t="inlineStr">
        <is>
          <t>3386460075350</t>
        </is>
      </c>
      <c r="B9988" t="inlineStr">
        <is>
          <t>Jimmy Choo Illicit Flower Eau De Toilette 60ml For Women</t>
        </is>
      </c>
      <c r="C9988" t="inlineStr">
        <is>
          <t>Eau De Toilette</t>
        </is>
      </c>
      <c r="D9988" t="inlineStr">
        <is>
          <t>Jimmy Choo</t>
        </is>
      </c>
      <c r="E9988" t="n">
        <v>23.4</v>
      </c>
      <c r="F9988" t="n">
        <v>1</v>
      </c>
      <c r="G9988" t="n">
        <v>61</v>
      </c>
      <c r="H9988" s="5">
        <f>HYPERLINK("https://api.qogita.com/variants/link/3386460075350/", "View Product")</f>
        <v/>
      </c>
    </row>
    <row r="9989">
      <c r="A9989" t="inlineStr">
        <is>
          <t>3386460077200</t>
        </is>
      </c>
      <c r="B9989" t="inlineStr">
        <is>
          <t>Lanvin Modern Princess Eau De Parfum Spray 90ml</t>
        </is>
      </c>
      <c r="C9989" t="inlineStr">
        <is>
          <t>Eau De Parfum</t>
        </is>
      </c>
      <c r="D9989" t="inlineStr">
        <is>
          <t>Lanvin</t>
        </is>
      </c>
      <c r="E9989" t="n">
        <v>27.37</v>
      </c>
      <c r="F9989" t="n">
        <v>1</v>
      </c>
      <c r="G9989" t="n">
        <v>216</v>
      </c>
      <c r="H9989" s="5">
        <f>HYPERLINK("https://api.qogita.com/variants/link/3386460077200/", "View Product")</f>
        <v/>
      </c>
    </row>
    <row r="9990">
      <c r="A9990" t="inlineStr">
        <is>
          <t>3386460078573</t>
        </is>
      </c>
      <c r="B9990" t="inlineStr">
        <is>
          <t>Rochas Madame Rochas Eau De Toilette Spray 100ml</t>
        </is>
      </c>
      <c r="C9990" t="inlineStr">
        <is>
          <t>Eau De Toilette</t>
        </is>
      </c>
      <c r="D9990" t="inlineStr">
        <is>
          <t>Rochas</t>
        </is>
      </c>
      <c r="E9990" t="n">
        <v>25.04</v>
      </c>
      <c r="F9990" t="n">
        <v>1</v>
      </c>
      <c r="G9990" t="n">
        <v>90</v>
      </c>
      <c r="H9990" s="5">
        <f>HYPERLINK("https://api.qogita.com/variants/link/3386460078573/", "View Product")</f>
        <v/>
      </c>
    </row>
    <row r="9991">
      <c r="A9991" t="inlineStr">
        <is>
          <t>3386460078597</t>
        </is>
      </c>
      <c r="B9991" t="inlineStr">
        <is>
          <t>Rochas Tocade Eau De Toilette 100ml Women Spray</t>
        </is>
      </c>
      <c r="C9991" t="inlineStr">
        <is>
          <t>Eau De Toilette</t>
        </is>
      </c>
      <c r="D9991" t="inlineStr">
        <is>
          <t>Rochas</t>
        </is>
      </c>
      <c r="E9991" t="n">
        <v>25.57</v>
      </c>
      <c r="F9991" t="n">
        <v>1</v>
      </c>
      <c r="G9991" t="n">
        <v>2341</v>
      </c>
      <c r="H9991" s="5">
        <f>HYPERLINK("https://api.qogita.com/variants/link/3386460078597/", "View Product")</f>
        <v/>
      </c>
    </row>
    <row r="9992">
      <c r="A9992" t="inlineStr">
        <is>
          <t>3386460078870</t>
        </is>
      </c>
      <c r="B9992" t="inlineStr">
        <is>
          <t>Jimmy Choo Man Intense Eau De Toilette Spray 100ml By Jimmy Choo</t>
        </is>
      </c>
      <c r="C9992" t="inlineStr">
        <is>
          <t>Eau De Toilette</t>
        </is>
      </c>
      <c r="D9992" t="inlineStr">
        <is>
          <t>Jimmy Choo</t>
        </is>
      </c>
      <c r="E9992" t="n">
        <v>38.33</v>
      </c>
      <c r="F9992" t="n">
        <v>1</v>
      </c>
      <c r="G9992" t="n">
        <v>18</v>
      </c>
      <c r="H9992" s="5">
        <f>HYPERLINK("https://api.qogita.com/variants/link/3386460078870/", "View Product")</f>
        <v/>
      </c>
    </row>
    <row r="9993">
      <c r="A9993" t="inlineStr">
        <is>
          <t>3386460082181</t>
        </is>
      </c>
      <c r="B9993" t="inlineStr">
        <is>
          <t>Jimmy Choo Man Ice Eau De Toilette 50ml For Men</t>
        </is>
      </c>
      <c r="C9993" t="inlineStr">
        <is>
          <t>Eau De Toilette</t>
        </is>
      </c>
      <c r="D9993" t="inlineStr">
        <is>
          <t>Jimmy Choo</t>
        </is>
      </c>
      <c r="E9993" t="n">
        <v>24.43</v>
      </c>
      <c r="F9993" t="n">
        <v>1</v>
      </c>
      <c r="G9993" t="n">
        <v>13</v>
      </c>
      <c r="H9993" s="5">
        <f>HYPERLINK("https://api.qogita.com/variants/link/3386460082181/", "View Product")</f>
        <v/>
      </c>
    </row>
    <row r="9994">
      <c r="A9994" t="inlineStr">
        <is>
          <t>3386460082198</t>
        </is>
      </c>
      <c r="B9994" t="inlineStr">
        <is>
          <t>Jimmy Choo Man Ice Eau De Toilette 30ml</t>
        </is>
      </c>
      <c r="C9994" t="inlineStr">
        <is>
          <t>Eau De Toilette</t>
        </is>
      </c>
      <c r="D9994" t="inlineStr">
        <is>
          <t>Jimmy Choo</t>
        </is>
      </c>
      <c r="E9994" t="n">
        <v>19.15</v>
      </c>
      <c r="F9994" t="n">
        <v>1</v>
      </c>
      <c r="G9994" t="n">
        <v>16</v>
      </c>
      <c r="H9994" s="5">
        <f>HYPERLINK("https://api.qogita.com/variants/link/3386460082198/", "View Product")</f>
        <v/>
      </c>
    </row>
    <row r="9995">
      <c r="A9995" t="inlineStr">
        <is>
          <t>3386460094542</t>
        </is>
      </c>
      <c r="B9995" t="inlineStr">
        <is>
          <t>Karl Lagerfeld Classic After Shave Lotion Spray 100 Ml</t>
        </is>
      </c>
      <c r="C9995" t="inlineStr">
        <is>
          <t>Aftershave</t>
        </is>
      </c>
      <c r="D9995" t="inlineStr">
        <is>
          <t>Karl Lagerfeld</t>
        </is>
      </c>
      <c r="E9995" t="n">
        <v>15.01</v>
      </c>
      <c r="F9995" t="n">
        <v>1</v>
      </c>
      <c r="G9995" t="n">
        <v>345</v>
      </c>
      <c r="H9995" s="5">
        <f>HYPERLINK("https://api.qogita.com/variants/link/3386460094542/", "View Product")</f>
        <v/>
      </c>
    </row>
    <row r="9996">
      <c r="A9996" t="inlineStr">
        <is>
          <t>3386460095341</t>
        </is>
      </c>
      <c r="B9996" t="inlineStr">
        <is>
          <t>Coach Floral Eau De Parfum for Women 90ml</t>
        </is>
      </c>
      <c r="C9996" t="inlineStr">
        <is>
          <t>Eau De Parfum</t>
        </is>
      </c>
      <c r="D9996" t="inlineStr">
        <is>
          <t>Coach</t>
        </is>
      </c>
      <c r="E9996" t="n">
        <v>37.65</v>
      </c>
      <c r="F9996" t="n">
        <v>1</v>
      </c>
      <c r="G9996" t="n">
        <v>5</v>
      </c>
      <c r="H9996" s="5">
        <f>HYPERLINK("https://api.qogita.com/variants/link/3386460095341/", "View Product")</f>
        <v/>
      </c>
    </row>
    <row r="9997">
      <c r="A9997" t="inlineStr">
        <is>
          <t>3386460095365</t>
        </is>
      </c>
      <c r="B9997" t="inlineStr">
        <is>
          <t>Coach Floral Eau De Parfum 30ml</t>
        </is>
      </c>
      <c r="C9997" t="inlineStr">
        <is>
          <t>Eau De Parfum</t>
        </is>
      </c>
      <c r="D9997" t="inlineStr">
        <is>
          <t>Coach</t>
        </is>
      </c>
      <c r="E9997" t="n">
        <v>17.31</v>
      </c>
      <c r="F9997" t="n">
        <v>1</v>
      </c>
      <c r="G9997" t="n">
        <v>2</v>
      </c>
      <c r="H9997" s="5">
        <f>HYPERLINK("https://api.qogita.com/variants/link/3386460095365/", "View Product")</f>
        <v/>
      </c>
    </row>
    <row r="9998">
      <c r="A9998" t="inlineStr">
        <is>
          <t>3386460098144</t>
        </is>
      </c>
      <c r="B9998" t="inlineStr">
        <is>
          <t>Rochas L'Homme Eau De Toilette 100ml Black Citrus</t>
        </is>
      </c>
      <c r="C9998" t="inlineStr">
        <is>
          <t>Eau De Toilette</t>
        </is>
      </c>
      <c r="D9998" t="inlineStr">
        <is>
          <t>Rochas</t>
        </is>
      </c>
      <c r="E9998" t="n">
        <v>27.82</v>
      </c>
      <c r="F9998" t="n">
        <v>1</v>
      </c>
      <c r="G9998" t="n">
        <v>32</v>
      </c>
      <c r="H9998" s="5">
        <f>HYPERLINK("https://api.qogita.com/variants/link/3386460098144/", "View Product")</f>
        <v/>
      </c>
    </row>
    <row r="9999">
      <c r="A9999" t="inlineStr">
        <is>
          <t>3386460098151</t>
        </is>
      </c>
      <c r="B9999" t="inlineStr">
        <is>
          <t>Rochas L'Homme Eau De Toilette Spray 60ml</t>
        </is>
      </c>
      <c r="C9999" t="inlineStr">
        <is>
          <t>Eau De Toilette</t>
        </is>
      </c>
      <c r="D9999" t="inlineStr">
        <is>
          <t>Rochas</t>
        </is>
      </c>
      <c r="E9999" t="n">
        <v>22.8</v>
      </c>
      <c r="F9999" t="n">
        <v>1</v>
      </c>
      <c r="G9999" t="n">
        <v>5</v>
      </c>
      <c r="H9999" s="5">
        <f>HYPERLINK("https://api.qogita.com/variants/link/3386460098151/", "View Product")</f>
        <v/>
      </c>
    </row>
    <row r="10000">
      <c r="A10000" t="inlineStr">
        <is>
          <t>3386460101073</t>
        </is>
      </c>
      <c r="B10000" t="inlineStr">
        <is>
          <t>Mont Blanc Explorer Shower Gel 150ml</t>
        </is>
      </c>
      <c r="C10000" t="inlineStr">
        <is>
          <t>Shower Gel</t>
        </is>
      </c>
      <c r="D10000" t="inlineStr">
        <is>
          <t>Montblanc</t>
        </is>
      </c>
      <c r="E10000" t="n">
        <v>10.95</v>
      </c>
      <c r="F10000" t="n">
        <v>1</v>
      </c>
      <c r="G10000" t="n">
        <v>152</v>
      </c>
      <c r="H10000" s="5">
        <f>HYPERLINK("https://api.qogita.com/variants/link/3386460101073/", "View Product")</f>
        <v/>
      </c>
    </row>
    <row r="10001">
      <c r="A10001" t="inlineStr">
        <is>
          <t>3386460101097</t>
        </is>
      </c>
      <c r="B10001" t="inlineStr">
        <is>
          <t>Mont Blanc Explorer Eau De Parfum Miniature</t>
        </is>
      </c>
      <c r="C10001" t="inlineStr">
        <is>
          <t>Eau De Parfum</t>
        </is>
      </c>
      <c r="D10001" t="inlineStr">
        <is>
          <t>Montblanc</t>
        </is>
      </c>
      <c r="E10001" t="n">
        <v>6.64</v>
      </c>
      <c r="F10001" t="n">
        <v>1</v>
      </c>
      <c r="G10001" t="n">
        <v>3</v>
      </c>
      <c r="H10001" s="5">
        <f>HYPERLINK("https://api.qogita.com/variants/link/3386460101097/", "View Product")</f>
        <v/>
      </c>
    </row>
    <row r="10002">
      <c r="A10002" t="inlineStr">
        <is>
          <t>3386460101837</t>
        </is>
      </c>
      <c r="B10002" t="inlineStr">
        <is>
          <t>Karl Lagerfeld Bois De Yuzu Eau De Toilette Spray 100ml For Men</t>
        </is>
      </c>
      <c r="C10002" t="inlineStr">
        <is>
          <t>Eau De Toilette</t>
        </is>
      </c>
      <c r="D10002" t="inlineStr">
        <is>
          <t>Karl Lagerfeld</t>
        </is>
      </c>
      <c r="E10002" t="n">
        <v>19.85</v>
      </c>
      <c r="F10002" t="n">
        <v>1</v>
      </c>
      <c r="G10002" t="n">
        <v>848</v>
      </c>
      <c r="H10002" s="5">
        <f>HYPERLINK("https://api.qogita.com/variants/link/3386460101837/", "View Product")</f>
        <v/>
      </c>
    </row>
    <row r="10003">
      <c r="A10003" t="inlineStr">
        <is>
          <t>3386460101851</t>
        </is>
      </c>
      <c r="B10003" t="inlineStr">
        <is>
          <t>Karl Lagerfeld Fleur De Murier Eau De Parfum 100ml</t>
        </is>
      </c>
      <c r="C10003" t="inlineStr">
        <is>
          <t>Eau De Parfum</t>
        </is>
      </c>
      <c r="D10003" t="inlineStr">
        <is>
          <t>Karl Lagerfeld</t>
        </is>
      </c>
      <c r="E10003" t="n">
        <v>17.39</v>
      </c>
      <c r="F10003" t="n">
        <v>1</v>
      </c>
      <c r="G10003" t="n">
        <v>834</v>
      </c>
      <c r="H10003" s="5">
        <f>HYPERLINK("https://api.qogita.com/variants/link/3386460101851/", "View Product")</f>
        <v/>
      </c>
    </row>
    <row r="10004">
      <c r="A10004" t="inlineStr">
        <is>
          <t>3386460102926</t>
        </is>
      </c>
      <c r="B10004" t="inlineStr">
        <is>
          <t>Rochas Moustache Eau De Parfum Spray 125ml For Men</t>
        </is>
      </c>
      <c r="C10004" t="inlineStr">
        <is>
          <t>Eau De Parfum</t>
        </is>
      </c>
      <c r="D10004" t="inlineStr">
        <is>
          <t>Rochas</t>
        </is>
      </c>
      <c r="E10004" t="n">
        <v>27.13</v>
      </c>
      <c r="F10004" t="n">
        <v>1</v>
      </c>
      <c r="G10004" t="n">
        <v>63</v>
      </c>
      <c r="H10004" s="5">
        <f>HYPERLINK("https://api.qogita.com/variants/link/3386460102926/", "View Product")</f>
        <v/>
      </c>
    </row>
    <row r="10005">
      <c r="A10005" t="inlineStr">
        <is>
          <t>3386460103008</t>
        </is>
      </c>
      <c r="B10005" t="inlineStr">
        <is>
          <t>Rochas Byzance Eau De Parfum Spray 60ml</t>
        </is>
      </c>
      <c r="C10005" t="inlineStr">
        <is>
          <t>Eau De Parfum</t>
        </is>
      </c>
      <c r="D10005" t="inlineStr">
        <is>
          <t>Rochas</t>
        </is>
      </c>
      <c r="E10005" t="n">
        <v>18.08</v>
      </c>
      <c r="F10005" t="n">
        <v>1</v>
      </c>
      <c r="G10005" t="n">
        <v>18</v>
      </c>
      <c r="H10005" s="5">
        <f>HYPERLINK("https://api.qogita.com/variants/link/3386460103008/", "View Product")</f>
        <v/>
      </c>
    </row>
    <row r="10006">
      <c r="A10006" t="inlineStr">
        <is>
          <t>3386460103664</t>
        </is>
      </c>
      <c r="B10006" t="inlineStr">
        <is>
          <t>Lanvin A Girl In Capri Eau De Toilette Spray 50ml</t>
        </is>
      </c>
      <c r="C10006" t="inlineStr">
        <is>
          <t>Eau De Toilette</t>
        </is>
      </c>
      <c r="D10006" t="inlineStr">
        <is>
          <t>Lanvin</t>
        </is>
      </c>
      <c r="E10006" t="n">
        <v>13.02</v>
      </c>
      <c r="F10006" t="n">
        <v>1</v>
      </c>
      <c r="G10006" t="n">
        <v>31</v>
      </c>
      <c r="H10006" s="5">
        <f>HYPERLINK("https://api.qogita.com/variants/link/3386460103664/", "View Product")</f>
        <v/>
      </c>
    </row>
    <row r="10007">
      <c r="A10007" t="inlineStr">
        <is>
          <t>3386460108133</t>
        </is>
      </c>
      <c r="B10007" t="inlineStr">
        <is>
          <t>Coach Floral Blush Eau De Parfum 30ml</t>
        </is>
      </c>
      <c r="C10007" t="inlineStr">
        <is>
          <t>Eau De Parfum</t>
        </is>
      </c>
      <c r="D10007" t="inlineStr">
        <is>
          <t>Coach</t>
        </is>
      </c>
      <c r="E10007" t="n">
        <v>17.35</v>
      </c>
      <c r="F10007" t="n">
        <v>1</v>
      </c>
      <c r="G10007" t="n">
        <v>8</v>
      </c>
      <c r="H10007" s="5">
        <f>HYPERLINK("https://api.qogita.com/variants/link/3386460108133/", "View Product")</f>
        <v/>
      </c>
    </row>
    <row r="10008">
      <c r="A10008" t="inlineStr">
        <is>
          <t>3386460109383</t>
        </is>
      </c>
      <c r="B10008" t="inlineStr">
        <is>
          <t>Jimmy Choo Urban Hero Eau De Parfum 30ml</t>
        </is>
      </c>
      <c r="C10008" t="inlineStr">
        <is>
          <t>Eau De Parfum</t>
        </is>
      </c>
      <c r="D10008" t="inlineStr">
        <is>
          <t>Jimmy Choo</t>
        </is>
      </c>
      <c r="E10008" t="n">
        <v>18.25</v>
      </c>
      <c r="F10008" t="n">
        <v>1</v>
      </c>
      <c r="G10008" t="n">
        <v>7</v>
      </c>
      <c r="H10008" s="5">
        <f>HYPERLINK("https://api.qogita.com/variants/link/3386460109383/", "View Product")</f>
        <v/>
      </c>
    </row>
    <row r="10009">
      <c r="A10009" t="inlineStr">
        <is>
          <t>3386460113748</t>
        </is>
      </c>
      <c r="B10009" t="inlineStr">
        <is>
          <t>Coach Blue Eau De Toilette Spray For Men 60ml</t>
        </is>
      </c>
      <c r="C10009" t="inlineStr">
        <is>
          <t>Eau De Toilette</t>
        </is>
      </c>
      <c r="D10009" t="inlineStr">
        <is>
          <t>Coach</t>
        </is>
      </c>
      <c r="E10009" t="n">
        <v>28.88</v>
      </c>
      <c r="F10009" t="n">
        <v>1</v>
      </c>
      <c r="G10009" t="n">
        <v>27</v>
      </c>
      <c r="H10009" s="5">
        <f>HYPERLINK("https://api.qogita.com/variants/link/3386460113748/", "View Product")</f>
        <v/>
      </c>
    </row>
    <row r="10010">
      <c r="A10010" t="inlineStr">
        <is>
          <t>3386460115544</t>
        </is>
      </c>
      <c r="B10010" t="inlineStr">
        <is>
          <t>Karl Paris 21 Rue Saint-Guillaume Perfumed Water Spray 100ml</t>
        </is>
      </c>
      <c r="C10010" t="inlineStr">
        <is>
          <t>Eau De Parfum</t>
        </is>
      </c>
      <c r="D10010" t="inlineStr">
        <is>
          <t>Karl Lagerfeld</t>
        </is>
      </c>
      <c r="E10010" t="n">
        <v>20.68</v>
      </c>
      <c r="F10010" t="n">
        <v>1</v>
      </c>
      <c r="G10010" t="n">
        <v>57</v>
      </c>
      <c r="H10010" s="5">
        <f>HYPERLINK("https://api.qogita.com/variants/link/3386460115544/", "View Product")</f>
        <v/>
      </c>
    </row>
    <row r="10011">
      <c r="A10011" t="inlineStr">
        <is>
          <t>3386460115599</t>
        </is>
      </c>
      <c r="B10011" t="inlineStr">
        <is>
          <t>Karl New York Mercer Street Eau De Toilette Spray 60ml</t>
        </is>
      </c>
      <c r="C10011" t="inlineStr">
        <is>
          <t>Eau De Toilette</t>
        </is>
      </c>
      <c r="D10011" t="inlineStr">
        <is>
          <t>Karl Lagerfeld</t>
        </is>
      </c>
      <c r="E10011" t="n">
        <v>12.39</v>
      </c>
      <c r="F10011" t="n">
        <v>1</v>
      </c>
      <c r="G10011" t="n">
        <v>8</v>
      </c>
      <c r="H10011" s="5">
        <f>HYPERLINK("https://api.qogita.com/variants/link/3386460115599/", "View Product")</f>
        <v/>
      </c>
    </row>
    <row r="10012">
      <c r="A10012" t="inlineStr">
        <is>
          <t>3386460115605</t>
        </is>
      </c>
      <c r="B10012" t="inlineStr">
        <is>
          <t>Karl Paris 21 Rue Saint-Guillaume Perfumed Water Spray 60ml</t>
        </is>
      </c>
      <c r="C10012" t="inlineStr">
        <is>
          <t>Eau De Parfum</t>
        </is>
      </c>
      <c r="D10012" t="inlineStr">
        <is>
          <t>Karl Lagerfeld</t>
        </is>
      </c>
      <c r="E10012" t="n">
        <v>12.32</v>
      </c>
      <c r="F10012" t="n">
        <v>1</v>
      </c>
      <c r="G10012" t="n">
        <v>812</v>
      </c>
      <c r="H10012" s="5">
        <f>HYPERLINK("https://api.qogita.com/variants/link/3386460115605/", "View Product")</f>
        <v/>
      </c>
    </row>
    <row r="10013">
      <c r="A10013" t="inlineStr">
        <is>
          <t>3386460118125</t>
        </is>
      </c>
      <c r="B10013" t="inlineStr">
        <is>
          <t>Mont Blanc Legend Eau De Parfum Spray 100ml</t>
        </is>
      </c>
      <c r="C10013" t="inlineStr">
        <is>
          <t>Eau De Parfum</t>
        </is>
      </c>
      <c r="D10013" t="inlineStr">
        <is>
          <t>Montblanc</t>
        </is>
      </c>
      <c r="E10013" t="n">
        <v>35.75</v>
      </c>
      <c r="F10013" t="n">
        <v>1</v>
      </c>
      <c r="G10013" t="n">
        <v>88</v>
      </c>
      <c r="H10013" s="5">
        <f>HYPERLINK("https://api.qogita.com/variants/link/3386460118125/", "View Product")</f>
        <v/>
      </c>
    </row>
    <row r="10014">
      <c r="A10014" t="inlineStr">
        <is>
          <t>3386460119276</t>
        </is>
      </c>
      <c r="B10014" t="inlineStr">
        <is>
          <t>Jimmy Choo I Want Choo Eau De Parfum Spray 40ml</t>
        </is>
      </c>
      <c r="C10014" t="inlineStr">
        <is>
          <t>Eau De Parfum</t>
        </is>
      </c>
      <c r="D10014" t="inlineStr">
        <is>
          <t>Jimmy Choo</t>
        </is>
      </c>
      <c r="E10014" t="n">
        <v>29.22</v>
      </c>
      <c r="F10014" t="n">
        <v>1</v>
      </c>
      <c r="G10014" t="n">
        <v>5</v>
      </c>
      <c r="H10014" s="5">
        <f>HYPERLINK("https://api.qogita.com/variants/link/3386460119276/", "View Product")</f>
        <v/>
      </c>
    </row>
    <row r="10015">
      <c r="A10015" t="inlineStr">
        <is>
          <t>3386460119962</t>
        </is>
      </c>
      <c r="B10015" t="inlineStr">
        <is>
          <t>Kate Spade New York Eau de Parfum 40ml</t>
        </is>
      </c>
      <c r="C10015" t="inlineStr">
        <is>
          <t>Eau De Parfum</t>
        </is>
      </c>
      <c r="D10015" t="inlineStr">
        <is>
          <t>Kate Spade</t>
        </is>
      </c>
      <c r="E10015" t="n">
        <v>18.27</v>
      </c>
      <c r="F10015" t="n">
        <v>1</v>
      </c>
      <c r="G10015" t="n">
        <v>7</v>
      </c>
      <c r="H10015" s="5">
        <f>HYPERLINK("https://api.qogita.com/variants/link/3386460119962/", "View Product")</f>
        <v/>
      </c>
    </row>
    <row r="10016">
      <c r="A10016" t="inlineStr">
        <is>
          <t>3386460121521</t>
        </is>
      </c>
      <c r="B10016" t="inlineStr">
        <is>
          <t>Montblanc Explorer Ultra Blue Eau De Parfum 60 Ml</t>
        </is>
      </c>
      <c r="C10016" t="inlineStr">
        <is>
          <t>Eau De Parfum</t>
        </is>
      </c>
      <c r="D10016" t="inlineStr">
        <is>
          <t>Montblanc</t>
        </is>
      </c>
      <c r="E10016" t="n">
        <v>31.14</v>
      </c>
      <c r="F10016" t="n">
        <v>1</v>
      </c>
      <c r="G10016" t="n">
        <v>94</v>
      </c>
      <c r="H10016" s="5">
        <f>HYPERLINK("https://api.qogita.com/variants/link/3386460121521/", "View Product")</f>
        <v/>
      </c>
    </row>
    <row r="10017">
      <c r="A10017" t="inlineStr">
        <is>
          <t>3386460123167</t>
        </is>
      </c>
      <c r="B10017" t="inlineStr">
        <is>
          <t>Lanvin Eclat D'Arpege Sheer Eau De Toilette 100ml</t>
        </is>
      </c>
      <c r="C10017" t="inlineStr">
        <is>
          <t>Eau De Toilette</t>
        </is>
      </c>
      <c r="D10017" t="inlineStr">
        <is>
          <t>Lanvin</t>
        </is>
      </c>
      <c r="E10017" t="n">
        <v>26.6</v>
      </c>
      <c r="F10017" t="n">
        <v>1</v>
      </c>
      <c r="G10017" t="n">
        <v>4</v>
      </c>
      <c r="H10017" s="5">
        <f>HYPERLINK("https://api.qogita.com/variants/link/3386460123167/", "View Product")</f>
        <v/>
      </c>
    </row>
    <row r="10018">
      <c r="A10018" t="inlineStr">
        <is>
          <t>3386460124256</t>
        </is>
      </c>
      <c r="B10018" t="inlineStr">
        <is>
          <t>Rochas Girl Eau De Toilette Spray 40ml</t>
        </is>
      </c>
      <c r="C10018" t="inlineStr">
        <is>
          <t>Eau De Toilette</t>
        </is>
      </c>
      <c r="D10018" t="inlineStr">
        <is>
          <t>Rochas</t>
        </is>
      </c>
      <c r="E10018" t="n">
        <v>21.57</v>
      </c>
      <c r="F10018" t="n">
        <v>1</v>
      </c>
      <c r="G10018" t="n">
        <v>54</v>
      </c>
      <c r="H10018" s="5">
        <f>HYPERLINK("https://api.qogita.com/variants/link/3386460124256/", "View Product")</f>
        <v/>
      </c>
    </row>
    <row r="10019">
      <c r="A10019" t="inlineStr">
        <is>
          <t>3386460124430</t>
        </is>
      </c>
      <c r="B10019" t="inlineStr">
        <is>
          <t>Karl Tokyo Shibuya Perfumed Water Spray 100ml</t>
        </is>
      </c>
      <c r="C10019" t="inlineStr">
        <is>
          <t>Eau De Parfum</t>
        </is>
      </c>
      <c r="D10019" t="inlineStr">
        <is>
          <t>Karl Lagerfeld</t>
        </is>
      </c>
      <c r="E10019" t="n">
        <v>19.52</v>
      </c>
      <c r="F10019" t="n">
        <v>1</v>
      </c>
      <c r="G10019" t="n">
        <v>15</v>
      </c>
      <c r="H10019" s="5">
        <f>HYPERLINK("https://api.qogita.com/variants/link/3386460124430/", "View Product")</f>
        <v/>
      </c>
    </row>
    <row r="10020">
      <c r="A10020" t="inlineStr">
        <is>
          <t>3386460124850</t>
        </is>
      </c>
      <c r="B10020" t="inlineStr">
        <is>
          <t>Karl Lagerfeld Fleur De The Eau De Parfum Spray 50ml</t>
        </is>
      </c>
      <c r="C10020" t="inlineStr">
        <is>
          <t>Eau De Parfum</t>
        </is>
      </c>
      <c r="D10020" t="inlineStr">
        <is>
          <t>Karl Lagerfeld</t>
        </is>
      </c>
      <c r="E10020" t="n">
        <v>14.79</v>
      </c>
      <c r="F10020" t="n">
        <v>1</v>
      </c>
      <c r="G10020" t="n">
        <v>70</v>
      </c>
      <c r="H10020" s="5">
        <f>HYPERLINK("https://api.qogita.com/variants/link/3386460124850/", "View Product")</f>
        <v/>
      </c>
    </row>
    <row r="10021">
      <c r="A10021" t="inlineStr">
        <is>
          <t>3386460126229</t>
        </is>
      </c>
      <c r="B10021" t="inlineStr">
        <is>
          <t>Moncler Pour Homme Eau De Parfum Spray 60ml</t>
        </is>
      </c>
      <c r="C10021" t="inlineStr">
        <is>
          <t>Eau De Parfum</t>
        </is>
      </c>
      <c r="D10021" t="inlineStr">
        <is>
          <t>Moncler</t>
        </is>
      </c>
      <c r="E10021" t="n">
        <v>32.41</v>
      </c>
      <c r="F10021" t="n">
        <v>1</v>
      </c>
      <c r="G10021" t="n">
        <v>82</v>
      </c>
      <c r="H10021" s="5">
        <f>HYPERLINK("https://api.qogita.com/variants/link/3386460126229/", "View Product")</f>
        <v/>
      </c>
    </row>
    <row r="10022">
      <c r="A10022" t="inlineStr">
        <is>
          <t>3386460126571</t>
        </is>
      </c>
      <c r="B10022" t="inlineStr">
        <is>
          <t>Coach Wild Rose Eau De Parfum 90ml</t>
        </is>
      </c>
      <c r="C10022" t="inlineStr">
        <is>
          <t>Eau De Parfum</t>
        </is>
      </c>
      <c r="D10022" t="inlineStr">
        <is>
          <t>Coach</t>
        </is>
      </c>
      <c r="E10022" t="n">
        <v>37.5</v>
      </c>
      <c r="F10022" t="n">
        <v>1</v>
      </c>
      <c r="G10022" t="n">
        <v>8</v>
      </c>
      <c r="H10022" s="5">
        <f>HYPERLINK("https://api.qogita.com/variants/link/3386460126571/", "View Product")</f>
        <v/>
      </c>
    </row>
    <row r="10023">
      <c r="A10023" t="inlineStr">
        <is>
          <t>3386460126625</t>
        </is>
      </c>
      <c r="B10023" t="inlineStr">
        <is>
          <t>Coach Open Road Eau De Toilette 100ml</t>
        </is>
      </c>
      <c r="C10023" t="inlineStr">
        <is>
          <t>Eau De Toilette</t>
        </is>
      </c>
      <c r="D10023" t="inlineStr">
        <is>
          <t>Coach</t>
        </is>
      </c>
      <c r="E10023" t="n">
        <v>48.37</v>
      </c>
      <c r="F10023" t="n">
        <v>1</v>
      </c>
      <c r="G10023" t="n">
        <v>18</v>
      </c>
      <c r="H10023" s="5">
        <f>HYPERLINK("https://api.qogita.com/variants/link/3386460126625/", "View Product")</f>
        <v/>
      </c>
    </row>
    <row r="10024">
      <c r="A10024" t="inlineStr">
        <is>
          <t>3386460126649</t>
        </is>
      </c>
      <c r="B10024" t="inlineStr">
        <is>
          <t>Coach Open Road Eau De Toilette 40ml</t>
        </is>
      </c>
      <c r="C10024" t="inlineStr">
        <is>
          <t>Eau De Toilette</t>
        </is>
      </c>
      <c r="D10024" t="inlineStr">
        <is>
          <t>Coach</t>
        </is>
      </c>
      <c r="E10024" t="n">
        <v>19.42</v>
      </c>
      <c r="F10024" t="n">
        <v>1</v>
      </c>
      <c r="G10024" t="n">
        <v>2</v>
      </c>
      <c r="H10024" s="5">
        <f>HYPERLINK("https://api.qogita.com/variants/link/3386460126649/", "View Product")</f>
        <v/>
      </c>
    </row>
    <row r="10025">
      <c r="A10025" t="inlineStr">
        <is>
          <t>3386460127066</t>
        </is>
      </c>
      <c r="B10025" t="inlineStr">
        <is>
          <t>Jimmy Choo Urban Hero Gold Edition Eau De Parfum Spray 100ml</t>
        </is>
      </c>
      <c r="C10025" t="inlineStr">
        <is>
          <t>Eau De Parfum</t>
        </is>
      </c>
      <c r="D10025" t="inlineStr">
        <is>
          <t>Jimmy Choo</t>
        </is>
      </c>
      <c r="E10025" t="n">
        <v>28.77</v>
      </c>
      <c r="F10025" t="n">
        <v>1</v>
      </c>
      <c r="G10025" t="n">
        <v>50</v>
      </c>
      <c r="H10025" s="5">
        <f>HYPERLINK("https://api.qogita.com/variants/link/3386460127066/", "View Product")</f>
        <v/>
      </c>
    </row>
    <row r="10026">
      <c r="A10026" t="inlineStr">
        <is>
          <t>3386460127974</t>
        </is>
      </c>
      <c r="B10026" t="inlineStr">
        <is>
          <t>Mont Blanc Legend Red Eau De Parfum Spray 50ml</t>
        </is>
      </c>
      <c r="C10026" t="inlineStr">
        <is>
          <t>Eau De Parfum</t>
        </is>
      </c>
      <c r="D10026" t="inlineStr">
        <is>
          <t>Montblanc</t>
        </is>
      </c>
      <c r="E10026" t="n">
        <v>22.28</v>
      </c>
      <c r="F10026" t="n">
        <v>1</v>
      </c>
      <c r="G10026" t="n">
        <v>2</v>
      </c>
      <c r="H10026" s="5">
        <f>HYPERLINK("https://api.qogita.com/variants/link/3386460127974/", "View Product")</f>
        <v/>
      </c>
    </row>
    <row r="10027">
      <c r="A10027" t="inlineStr">
        <is>
          <t>3386460128285</t>
        </is>
      </c>
      <c r="B10027" t="inlineStr">
        <is>
          <t>Coach Summer Edition Eau De Parfum</t>
        </is>
      </c>
      <c r="C10027" t="inlineStr">
        <is>
          <t>Eau De Parfum</t>
        </is>
      </c>
      <c r="D10027" t="inlineStr">
        <is>
          <t>Coach</t>
        </is>
      </c>
      <c r="E10027" t="n">
        <v>30.14</v>
      </c>
      <c r="F10027" t="n">
        <v>1</v>
      </c>
      <c r="G10027" t="n">
        <v>5</v>
      </c>
      <c r="H10027" s="5">
        <f>HYPERLINK("https://api.qogita.com/variants/link/3386460128285/", "View Product")</f>
        <v/>
      </c>
    </row>
    <row r="10028">
      <c r="A10028" t="inlineStr">
        <is>
          <t>3386460128407</t>
        </is>
      </c>
      <c r="B10028" t="inlineStr">
        <is>
          <t>Montblanc Starwalker Extreme Eau De Toilette 75ml By Montblanc</t>
        </is>
      </c>
      <c r="C10028" t="inlineStr">
        <is>
          <t>Eau De Toilette</t>
        </is>
      </c>
      <c r="D10028" t="inlineStr">
        <is>
          <t>Montblanc</t>
        </is>
      </c>
      <c r="E10028" t="n">
        <v>22.15</v>
      </c>
      <c r="F10028" t="n">
        <v>1</v>
      </c>
      <c r="G10028" t="n">
        <v>35</v>
      </c>
      <c r="H10028" s="5">
        <f>HYPERLINK("https://api.qogita.com/variants/link/3386460128407/", "View Product")</f>
        <v/>
      </c>
    </row>
    <row r="10029">
      <c r="A10029" t="inlineStr">
        <is>
          <t>3386460129404</t>
        </is>
      </c>
      <c r="B10029" t="inlineStr">
        <is>
          <t>Boucheron Quatre Iconic Eau De Parfum 50ml</t>
        </is>
      </c>
      <c r="C10029" t="inlineStr">
        <is>
          <t>Eau De Parfum</t>
        </is>
      </c>
      <c r="D10029" t="inlineStr">
        <is>
          <t>Boucheron</t>
        </is>
      </c>
      <c r="E10029" t="n">
        <v>20.17</v>
      </c>
      <c r="F10029" t="n">
        <v>1</v>
      </c>
      <c r="G10029" t="n">
        <v>5</v>
      </c>
      <c r="H10029" s="5">
        <f>HYPERLINK("https://api.qogita.com/variants/link/3386460129404/", "View Product")</f>
        <v/>
      </c>
    </row>
    <row r="10030">
      <c r="A10030" t="inlineStr">
        <is>
          <t>3386460129411</t>
        </is>
      </c>
      <c r="B10030" t="inlineStr">
        <is>
          <t>Boucheron Quatre Iconic Eau De Parfum Spray 30ml</t>
        </is>
      </c>
      <c r="C10030" t="inlineStr">
        <is>
          <t>Eau De Parfum</t>
        </is>
      </c>
      <c r="D10030" t="inlineStr">
        <is>
          <t>Boucheron</t>
        </is>
      </c>
      <c r="E10030" t="n">
        <v>16.84</v>
      </c>
      <c r="F10030" t="n">
        <v>1</v>
      </c>
      <c r="G10030" t="n">
        <v>31</v>
      </c>
      <c r="H10030" s="5">
        <f>HYPERLINK("https://api.qogita.com/variants/link/3386460129411/", "View Product")</f>
        <v/>
      </c>
    </row>
    <row r="10031">
      <c r="A10031" t="inlineStr">
        <is>
          <t>3386460129749</t>
        </is>
      </c>
      <c r="B10031" t="inlineStr">
        <is>
          <t>Boucheron Feve Tonka De Canaima Eau De Parfum Spray 125ml</t>
        </is>
      </c>
      <c r="C10031" t="inlineStr">
        <is>
          <t>Eau De Parfum</t>
        </is>
      </c>
      <c r="D10031" t="inlineStr">
        <is>
          <t>Boucheron</t>
        </is>
      </c>
      <c r="E10031" t="n">
        <v>70.09999999999999</v>
      </c>
      <c r="F10031" t="n">
        <v>1</v>
      </c>
      <c r="G10031" t="n">
        <v>13</v>
      </c>
      <c r="H10031" s="5">
        <f>HYPERLINK("https://api.qogita.com/variants/link/3386460129749/", "View Product")</f>
        <v/>
      </c>
    </row>
    <row r="10032">
      <c r="A10032" t="inlineStr">
        <is>
          <t>3386460129848</t>
        </is>
      </c>
      <c r="B10032" t="inlineStr">
        <is>
          <t>Jimmy Choo Man Aqua Eau De Toilette Spray 30ml</t>
        </is>
      </c>
      <c r="C10032" t="inlineStr">
        <is>
          <t>Eau De Toilette</t>
        </is>
      </c>
      <c r="D10032" t="inlineStr">
        <is>
          <t>Jimmy Choo</t>
        </is>
      </c>
      <c r="E10032" t="n">
        <v>19.84</v>
      </c>
      <c r="F10032" t="n">
        <v>1</v>
      </c>
      <c r="G10032" t="n">
        <v>23</v>
      </c>
      <c r="H10032" s="5">
        <f>HYPERLINK("https://api.qogita.com/variants/link/3386460129848/", "View Product")</f>
        <v/>
      </c>
    </row>
    <row r="10033">
      <c r="A10033" t="inlineStr">
        <is>
          <t>3386460129893</t>
        </is>
      </c>
      <c r="B10033" t="inlineStr">
        <is>
          <t>Jimmy Choo I Want Choo Forever Eau De Parfum 40ml</t>
        </is>
      </c>
      <c r="C10033" t="inlineStr">
        <is>
          <t>Eau De Parfum</t>
        </is>
      </c>
      <c r="D10033" t="inlineStr">
        <is>
          <t>Jimmy Choo</t>
        </is>
      </c>
      <c r="E10033" t="n">
        <v>26.75</v>
      </c>
      <c r="F10033" t="n">
        <v>1</v>
      </c>
      <c r="G10033" t="n">
        <v>2</v>
      </c>
      <c r="H10033" s="5">
        <f>HYPERLINK("https://api.qogita.com/variants/link/3386460129893/", "View Product")</f>
        <v/>
      </c>
    </row>
    <row r="10034">
      <c r="A10034" t="inlineStr">
        <is>
          <t>3386460130011</t>
        </is>
      </c>
      <c r="B10034" t="inlineStr">
        <is>
          <t>Karl Rome Divino Amore Perfumed Water Spray 100ml</t>
        </is>
      </c>
      <c r="C10034" t="inlineStr">
        <is>
          <t>Eau De Parfum</t>
        </is>
      </c>
      <c r="D10034" t="inlineStr">
        <is>
          <t>Karl Lagerfeld</t>
        </is>
      </c>
      <c r="E10034" t="n">
        <v>19.28</v>
      </c>
      <c r="F10034" t="n">
        <v>1</v>
      </c>
      <c r="G10034" t="n">
        <v>17</v>
      </c>
      <c r="H10034" s="5">
        <f>HYPERLINK("https://api.qogita.com/variants/link/3386460130011/", "View Product")</f>
        <v/>
      </c>
    </row>
    <row r="10035">
      <c r="A10035" t="inlineStr">
        <is>
          <t>3386460130141</t>
        </is>
      </c>
      <c r="B10035" t="inlineStr">
        <is>
          <t>Rochas L'Homme Aromatic Touch Eau De Toilette Spray 100ml</t>
        </is>
      </c>
      <c r="C10035" t="inlineStr">
        <is>
          <t>Eau De Toilette</t>
        </is>
      </c>
      <c r="D10035" t="inlineStr">
        <is>
          <t>Rochas</t>
        </is>
      </c>
      <c r="E10035" t="n">
        <v>19.42</v>
      </c>
      <c r="F10035" t="n">
        <v>1</v>
      </c>
      <c r="G10035" t="n">
        <v>5</v>
      </c>
      <c r="H10035" s="5">
        <f>HYPERLINK("https://api.qogita.com/variants/link/3386460130141/", "View Product")</f>
        <v/>
      </c>
    </row>
    <row r="10036">
      <c r="A10036" t="inlineStr">
        <is>
          <t>3386460130868</t>
        </is>
      </c>
      <c r="B10036" t="inlineStr">
        <is>
          <t>Rochas Girl Eau De Toilette Spray 75ml Refillable</t>
        </is>
      </c>
      <c r="C10036" t="inlineStr">
        <is>
          <t>Eau De Toilette</t>
        </is>
      </c>
      <c r="D10036" t="inlineStr">
        <is>
          <t>Rochas</t>
        </is>
      </c>
      <c r="E10036" t="n">
        <v>22.44</v>
      </c>
      <c r="F10036" t="n">
        <v>1</v>
      </c>
      <c r="G10036" t="n">
        <v>7</v>
      </c>
      <c r="H10036" s="5">
        <f>HYPERLINK("https://api.qogita.com/variants/link/3386460130868/", "View Product")</f>
        <v/>
      </c>
    </row>
    <row r="10037">
      <c r="A10037" t="inlineStr">
        <is>
          <t>3386460132763</t>
        </is>
      </c>
      <c r="B10037" t="inlineStr">
        <is>
          <t>Montblanc Signature Absolue Eau De Parfum 90ml Women's Spray</t>
        </is>
      </c>
      <c r="C10037" t="inlineStr">
        <is>
          <t>Eau De Parfum</t>
        </is>
      </c>
      <c r="D10037" t="inlineStr">
        <is>
          <t>Montblanc</t>
        </is>
      </c>
      <c r="E10037" t="n">
        <v>30.92</v>
      </c>
      <c r="F10037" t="n">
        <v>1</v>
      </c>
      <c r="G10037" t="n">
        <v>2</v>
      </c>
      <c r="H10037" s="5">
        <f>HYPERLINK("https://api.qogita.com/variants/link/3386460132763/", "View Product")</f>
        <v/>
      </c>
    </row>
    <row r="10038">
      <c r="A10038" t="inlineStr">
        <is>
          <t>3386460133869</t>
        </is>
      </c>
      <c r="B10038" t="inlineStr">
        <is>
          <t>Bois de Cyprès Eau de Toilette 100ml</t>
        </is>
      </c>
      <c r="C10038" t="inlineStr">
        <is>
          <t>Eau De Toilette</t>
        </is>
      </c>
      <c r="D10038" t="inlineStr">
        <is>
          <t>Karl Lagerfeld</t>
        </is>
      </c>
      <c r="E10038" t="n">
        <v>19.1</v>
      </c>
      <c r="F10038" t="n">
        <v>1</v>
      </c>
      <c r="G10038" t="n">
        <v>64</v>
      </c>
      <c r="H10038" s="5">
        <f>HYPERLINK("https://api.qogita.com/variants/link/3386460133869/", "View Product")</f>
        <v/>
      </c>
    </row>
    <row r="10039">
      <c r="A10039" t="inlineStr">
        <is>
          <t>3386460134255</t>
        </is>
      </c>
      <c r="B10039" t="inlineStr">
        <is>
          <t>Rochas Girl Blooming Eau De Toilette Spray 40ml</t>
        </is>
      </c>
      <c r="C10039" t="inlineStr">
        <is>
          <t>Eau De Toilette</t>
        </is>
      </c>
      <c r="D10039" t="inlineStr">
        <is>
          <t>Rochas</t>
        </is>
      </c>
      <c r="E10039" t="n">
        <v>14.96</v>
      </c>
      <c r="F10039" t="n">
        <v>1</v>
      </c>
      <c r="G10039" t="n">
        <v>14</v>
      </c>
      <c r="H10039" s="5">
        <f>HYPERLINK("https://api.qogita.com/variants/link/3386460134255/", "View Product")</f>
        <v/>
      </c>
    </row>
    <row r="10040">
      <c r="A10040" t="inlineStr">
        <is>
          <t>3386460135825</t>
        </is>
      </c>
      <c r="B10040" t="inlineStr">
        <is>
          <t>Mont Blanc Explorer Platinum Eau De Parfum Spray 60ml</t>
        </is>
      </c>
      <c r="C10040" t="inlineStr">
        <is>
          <t>Eau De Parfum</t>
        </is>
      </c>
      <c r="D10040" t="inlineStr">
        <is>
          <t>Montblanc</t>
        </is>
      </c>
      <c r="E10040" t="n">
        <v>25.49</v>
      </c>
      <c r="F10040" t="n">
        <v>1</v>
      </c>
      <c r="G10040" t="n">
        <v>3</v>
      </c>
      <c r="H10040" s="5">
        <f>HYPERLINK("https://api.qogita.com/variants/link/3386460135825/", "View Product")</f>
        <v/>
      </c>
    </row>
    <row r="10041">
      <c r="A10041" t="inlineStr">
        <is>
          <t>3386460136334</t>
        </is>
      </c>
      <c r="B10041" t="inlineStr">
        <is>
          <t>Kate Spade Cherie Eau De Parfum Spray 100ml</t>
        </is>
      </c>
      <c r="C10041" t="inlineStr">
        <is>
          <t>Eau De Parfum</t>
        </is>
      </c>
      <c r="D10041" t="inlineStr">
        <is>
          <t>Kate Spade</t>
        </is>
      </c>
      <c r="E10041" t="n">
        <v>24.75</v>
      </c>
      <c r="F10041" t="n">
        <v>1</v>
      </c>
      <c r="G10041" t="n">
        <v>32</v>
      </c>
      <c r="H10041" s="5">
        <f>HYPERLINK("https://api.qogita.com/variants/link/3386460136334/", "View Product")</f>
        <v/>
      </c>
    </row>
    <row r="10042">
      <c r="A10042" t="inlineStr">
        <is>
          <t>3386460136549</t>
        </is>
      </c>
      <c r="B10042" t="inlineStr">
        <is>
          <t>Jimmy Choo Rose Passion Eau De Parfum Spray 100ml</t>
        </is>
      </c>
      <c r="C10042" t="inlineStr">
        <is>
          <t>Eau De Parfum</t>
        </is>
      </c>
      <c r="D10042" t="inlineStr">
        <is>
          <t>Jimmy Choo</t>
        </is>
      </c>
      <c r="E10042" t="n">
        <v>24.57</v>
      </c>
      <c r="F10042" t="n">
        <v>1</v>
      </c>
      <c r="G10042" t="n">
        <v>23</v>
      </c>
      <c r="H10042" s="5">
        <f>HYPERLINK("https://api.qogita.com/variants/link/3386460136549/", "View Product")</f>
        <v/>
      </c>
    </row>
    <row r="10043">
      <c r="A10043" t="inlineStr">
        <is>
          <t>3386460137362</t>
        </is>
      </c>
      <c r="B10043" t="inlineStr">
        <is>
          <t>Rochas Girl Life Eau De Parfum Spray 75ml</t>
        </is>
      </c>
      <c r="C10043" t="inlineStr">
        <is>
          <t>Eau De Parfum</t>
        </is>
      </c>
      <c r="D10043" t="inlineStr">
        <is>
          <t>Rochas</t>
        </is>
      </c>
      <c r="E10043" t="n">
        <v>28.92</v>
      </c>
      <c r="F10043" t="n">
        <v>1</v>
      </c>
      <c r="G10043" t="n">
        <v>5</v>
      </c>
      <c r="H10043" s="5">
        <f>HYPERLINK("https://api.qogita.com/variants/link/3386460137362/", "View Product")</f>
        <v/>
      </c>
    </row>
    <row r="10044">
      <c r="A10044" t="inlineStr">
        <is>
          <t>3386460137485</t>
        </is>
      </c>
      <c r="B10044" t="inlineStr">
        <is>
          <t>Eau De Rochas Eau De Toilette Spray Citron Soleil 100ml</t>
        </is>
      </c>
      <c r="C10044" t="inlineStr">
        <is>
          <t>Eau De Toilette</t>
        </is>
      </c>
      <c r="D10044" t="inlineStr">
        <is>
          <t>Rochas</t>
        </is>
      </c>
      <c r="E10044" t="n">
        <v>34.04</v>
      </c>
      <c r="F10044" t="n">
        <v>1</v>
      </c>
      <c r="G10044" t="n">
        <v>14</v>
      </c>
      <c r="H10044" s="5">
        <f>HYPERLINK("https://api.qogita.com/variants/link/3386460137485/", "View Product")</f>
        <v/>
      </c>
    </row>
    <row r="10045">
      <c r="A10045" t="inlineStr">
        <is>
          <t>3386460138376</t>
        </is>
      </c>
      <c r="B10045" t="inlineStr">
        <is>
          <t>Jimmy Choo Man Blue Gift Set 50ml EDT and 100ml Shower Gel - Free Delivery</t>
        </is>
      </c>
      <c r="C10045" t="inlineStr">
        <is>
          <t>Fragrance Sets</t>
        </is>
      </c>
      <c r="D10045" t="inlineStr">
        <is>
          <t>Jimmy Choo</t>
        </is>
      </c>
      <c r="E10045" t="n">
        <v>22.45</v>
      </c>
      <c r="F10045" t="n">
        <v>1</v>
      </c>
      <c r="G10045" t="n">
        <v>53</v>
      </c>
      <c r="H10045" s="5">
        <f>HYPERLINK("https://api.qogita.com/variants/link/3386460138376/", "View Product")</f>
        <v/>
      </c>
    </row>
    <row r="10046">
      <c r="A10046" t="inlineStr">
        <is>
          <t>3386460139045</t>
        </is>
      </c>
      <c r="B10046" t="inlineStr">
        <is>
          <t>Montblanc Legend Set Eau De Toilette 100ml + Eau De Toilette 7.5ml + Shower Gel 100ml</t>
        </is>
      </c>
      <c r="C10046" t="inlineStr">
        <is>
          <t>Fragrance Sets</t>
        </is>
      </c>
      <c r="D10046" t="inlineStr">
        <is>
          <t>Montblanc</t>
        </is>
      </c>
      <c r="E10046" t="n">
        <v>33.68</v>
      </c>
      <c r="F10046" t="n">
        <v>1</v>
      </c>
      <c r="G10046" t="n">
        <v>126</v>
      </c>
      <c r="H10046" s="5">
        <f>HYPERLINK("https://api.qogita.com/variants/link/3386460139045/", "View Product")</f>
        <v/>
      </c>
    </row>
    <row r="10047">
      <c r="A10047" t="inlineStr">
        <is>
          <t>3386460139205</t>
        </is>
      </c>
      <c r="B10047" t="inlineStr">
        <is>
          <t>Montblanc Signature Eau De Parfum Spray 50ml And Body Lotion 100ml</t>
        </is>
      </c>
      <c r="C10047" t="inlineStr">
        <is>
          <t>Fragrance Sets</t>
        </is>
      </c>
      <c r="D10047" t="inlineStr">
        <is>
          <t>Montblanc</t>
        </is>
      </c>
      <c r="E10047" t="n">
        <v>25.62</v>
      </c>
      <c r="F10047" t="n">
        <v>1</v>
      </c>
      <c r="G10047" t="n">
        <v>567</v>
      </c>
      <c r="H10047" s="5">
        <f>HYPERLINK("https://api.qogita.com/variants/link/3386460139205/", "View Product")</f>
        <v/>
      </c>
    </row>
    <row r="10048">
      <c r="A10048" t="inlineStr">
        <is>
          <t>3386460139311</t>
        </is>
      </c>
      <c r="B10048" t="inlineStr">
        <is>
          <t>Montblanc Legend Red Eau De Parfum Set 100ml Spray 75ml Mini 100ml Shower Gel</t>
        </is>
      </c>
      <c r="C10048" t="inlineStr">
        <is>
          <t>Fragrance Sets</t>
        </is>
      </c>
      <c r="D10048" t="inlineStr">
        <is>
          <t>Montblanc</t>
        </is>
      </c>
      <c r="E10048" t="n">
        <v>32.77</v>
      </c>
      <c r="F10048" t="n">
        <v>1</v>
      </c>
      <c r="G10048" t="n">
        <v>59</v>
      </c>
      <c r="H10048" s="5">
        <f>HYPERLINK("https://api.qogita.com/variants/link/3386460139311/", "View Product")</f>
        <v/>
      </c>
    </row>
    <row r="10049">
      <c r="A10049" t="inlineStr">
        <is>
          <t>3386460142199</t>
        </is>
      </c>
      <c r="B10049" t="inlineStr">
        <is>
          <t>Coach Love Eau De Parfum Spray 30ml</t>
        </is>
      </c>
      <c r="C10049" t="inlineStr">
        <is>
          <t>Eau De Parfum</t>
        </is>
      </c>
      <c r="D10049" t="inlineStr">
        <is>
          <t>Coach</t>
        </is>
      </c>
      <c r="E10049" t="n">
        <v>18.93</v>
      </c>
      <c r="F10049" t="n">
        <v>1</v>
      </c>
      <c r="G10049" t="n">
        <v>14</v>
      </c>
      <c r="H10049" s="5">
        <f>HYPERLINK("https://api.qogita.com/variants/link/3386460142199/", "View Product")</f>
        <v/>
      </c>
    </row>
    <row r="10050">
      <c r="A10050" t="inlineStr">
        <is>
          <t>3386460143271</t>
        </is>
      </c>
      <c r="B10050" t="inlineStr">
        <is>
          <t>Mont Blanc Extreme Leather Eau De Parfum</t>
        </is>
      </c>
      <c r="C10050" t="inlineStr">
        <is>
          <t>Eau De Parfum</t>
        </is>
      </c>
      <c r="D10050" t="inlineStr">
        <is>
          <t>Montblanc</t>
        </is>
      </c>
      <c r="E10050" t="n">
        <v>75.09</v>
      </c>
      <c r="F10050" t="n">
        <v>1</v>
      </c>
      <c r="G10050" t="n">
        <v>15</v>
      </c>
      <c r="H10050" s="5">
        <f>HYPERLINK("https://api.qogita.com/variants/link/3386460143271/", "View Product")</f>
        <v/>
      </c>
    </row>
    <row r="10051">
      <c r="A10051" t="inlineStr">
        <is>
          <t>3386460145053</t>
        </is>
      </c>
      <c r="B10051" t="inlineStr">
        <is>
          <t>Kate Spade New York Bloom Eau De Toilette Women's Perfume Floral &amp; Musky</t>
        </is>
      </c>
      <c r="C10051" t="inlineStr">
        <is>
          <t>Eau De Toilette</t>
        </is>
      </c>
      <c r="D10051" t="inlineStr">
        <is>
          <t>Kate Spade New York</t>
        </is>
      </c>
      <c r="E10051" t="n">
        <v>24.1</v>
      </c>
      <c r="F10051" t="n">
        <v>1</v>
      </c>
      <c r="G10051" t="n">
        <v>41</v>
      </c>
      <c r="H10051" s="5">
        <f>HYPERLINK("https://api.qogita.com/variants/link/3386460145053/", "View Product")</f>
        <v/>
      </c>
    </row>
    <row r="10052">
      <c r="A10052" t="inlineStr">
        <is>
          <t>3386460147378</t>
        </is>
      </c>
      <c r="B10052" t="inlineStr">
        <is>
          <t>Coach Green Men's Fragrance</t>
        </is>
      </c>
      <c r="C10052" t="inlineStr">
        <is>
          <t>Eau De Parfum</t>
        </is>
      </c>
      <c r="D10052" t="inlineStr">
        <is>
          <t>Coach</t>
        </is>
      </c>
      <c r="E10052" t="n">
        <v>43</v>
      </c>
      <c r="F10052" t="n">
        <v>1</v>
      </c>
      <c r="G10052" t="n">
        <v>6</v>
      </c>
      <c r="H10052" s="5">
        <f>HYPERLINK("https://api.qogita.com/variants/link/3386460147378/", "View Product")</f>
        <v/>
      </c>
    </row>
    <row r="10053">
      <c r="A10053" t="inlineStr">
        <is>
          <t>3386460149136</t>
        </is>
      </c>
      <c r="B10053" t="inlineStr">
        <is>
          <t>Lacoste Eau De Lacoste Blanc Eau Fraiche Eau De Toilette</t>
        </is>
      </c>
      <c r="C10053" t="inlineStr">
        <is>
          <t>Eau De Toilette</t>
        </is>
      </c>
      <c r="D10053" t="inlineStr">
        <is>
          <t>Lacoste</t>
        </is>
      </c>
      <c r="E10053" t="n">
        <v>32.01</v>
      </c>
      <c r="F10053" t="n">
        <v>1</v>
      </c>
      <c r="G10053" t="n">
        <v>43</v>
      </c>
      <c r="H10053" s="5">
        <f>HYPERLINK("https://api.qogita.com/variants/link/3386460149136/", "View Product")</f>
        <v/>
      </c>
    </row>
    <row r="10054">
      <c r="A10054" t="inlineStr">
        <is>
          <t>3386460149143</t>
        </is>
      </c>
      <c r="B10054" t="inlineStr">
        <is>
          <t>Lacoste Eau de Lacoste L.12.12. Blanc Eau Fraîche EDT Spray 50ml</t>
        </is>
      </c>
      <c r="C10054" t="inlineStr">
        <is>
          <t>Eau De Toilette</t>
        </is>
      </c>
      <c r="D10054" t="inlineStr">
        <is>
          <t>Lacoste</t>
        </is>
      </c>
      <c r="E10054" t="n">
        <v>24.18</v>
      </c>
      <c r="F10054" t="n">
        <v>1</v>
      </c>
      <c r="G10054" t="n">
        <v>9</v>
      </c>
      <c r="H10054" s="5">
        <f>HYPERLINK("https://api.qogita.com/variants/link/3386460149143/", "View Product")</f>
        <v/>
      </c>
    </row>
    <row r="10055">
      <c r="A10055" t="inlineStr">
        <is>
          <t>3386460149204</t>
        </is>
      </c>
      <c r="B10055" t="inlineStr">
        <is>
          <t>Lacoste L1212 Rose Sparkling Eau De Toilette 50ml</t>
        </is>
      </c>
      <c r="C10055" t="inlineStr">
        <is>
          <t>Eau De Toilette</t>
        </is>
      </c>
      <c r="D10055" t="inlineStr">
        <is>
          <t>Lacoste</t>
        </is>
      </c>
      <c r="E10055" t="n">
        <v>27.52</v>
      </c>
      <c r="F10055" t="n">
        <v>1</v>
      </c>
      <c r="G10055" t="n">
        <v>26</v>
      </c>
      <c r="H10055" s="5">
        <f>HYPERLINK("https://api.qogita.com/variants/link/3386460149204/", "View Product")</f>
        <v/>
      </c>
    </row>
    <row r="10056">
      <c r="A10056" t="inlineStr">
        <is>
          <t>3386460149211</t>
        </is>
      </c>
      <c r="B10056" t="inlineStr">
        <is>
          <t>Lacoste L.12.12 Rose Eau De Parfum 100ml</t>
        </is>
      </c>
      <c r="C10056" t="inlineStr">
        <is>
          <t>Eau De Parfum</t>
        </is>
      </c>
      <c r="D10056" t="inlineStr">
        <is>
          <t>Lacoste</t>
        </is>
      </c>
      <c r="E10056" t="n">
        <v>33.38</v>
      </c>
      <c r="F10056" t="n">
        <v>1</v>
      </c>
      <c r="G10056" t="n">
        <v>28</v>
      </c>
      <c r="H10056" s="5">
        <f>HYPERLINK("https://api.qogita.com/variants/link/3386460149211/", "View Product")</f>
        <v/>
      </c>
    </row>
    <row r="10057">
      <c r="A10057" t="inlineStr">
        <is>
          <t>3386460149235</t>
        </is>
      </c>
      <c r="B10057" t="inlineStr">
        <is>
          <t>LACOSTE L.12.12 Rose EdP Eau de Parfum 35ml</t>
        </is>
      </c>
      <c r="C10057" t="inlineStr">
        <is>
          <t>Eau De Parfum</t>
        </is>
      </c>
      <c r="D10057" t="inlineStr">
        <is>
          <t>Lacoste</t>
        </is>
      </c>
      <c r="E10057" t="n">
        <v>18.81</v>
      </c>
      <c r="F10057" t="n">
        <v>1</v>
      </c>
      <c r="G10057" t="n">
        <v>15</v>
      </c>
      <c r="H10057" s="5">
        <f>HYPERLINK("https://api.qogita.com/variants/link/3386460149235/", "View Product")</f>
        <v/>
      </c>
    </row>
    <row r="10058">
      <c r="A10058" t="inlineStr">
        <is>
          <t>3386460149259</t>
        </is>
      </c>
      <c r="B10058" t="inlineStr">
        <is>
          <t>Lacoste L1212 Rose Eau Fraiche 50ml Spray</t>
        </is>
      </c>
      <c r="C10058" t="inlineStr">
        <is>
          <t>Eau De Toilette</t>
        </is>
      </c>
      <c r="D10058" t="inlineStr">
        <is>
          <t>Lacoste</t>
        </is>
      </c>
      <c r="E10058" t="n">
        <v>23.43</v>
      </c>
      <c r="F10058" t="n">
        <v>1</v>
      </c>
      <c r="G10058" t="n">
        <v>16</v>
      </c>
      <c r="H10058" s="5">
        <f>HYPERLINK("https://api.qogita.com/variants/link/3386460149259/", "View Product")</f>
        <v/>
      </c>
    </row>
    <row r="10059">
      <c r="A10059" t="inlineStr">
        <is>
          <t>3386460149310</t>
        </is>
      </c>
      <c r="B10059" t="inlineStr">
        <is>
          <t>Lacoste Essential Red Eau De Toilette 125ml Spray</t>
        </is>
      </c>
      <c r="C10059" t="inlineStr">
        <is>
          <t>Eau De Toilette</t>
        </is>
      </c>
      <c r="D10059" t="inlineStr">
        <is>
          <t>Lacoste</t>
        </is>
      </c>
      <c r="E10059" t="n">
        <v>28.62</v>
      </c>
      <c r="F10059" t="n">
        <v>1</v>
      </c>
      <c r="G10059" t="n">
        <v>224</v>
      </c>
      <c r="H10059" s="5">
        <f>HYPERLINK("https://api.qogita.com/variants/link/3386460149310/", "View Product")</f>
        <v/>
      </c>
    </row>
    <row r="10060">
      <c r="A10060" t="inlineStr">
        <is>
          <t>3386460149365</t>
        </is>
      </c>
      <c r="B10060" t="inlineStr">
        <is>
          <t>Lacoste Pour Femme Eau De Parfum Spray 50 Ml</t>
        </is>
      </c>
      <c r="C10060" t="inlineStr">
        <is>
          <t>Eau De Parfum</t>
        </is>
      </c>
      <c r="D10060" t="inlineStr">
        <is>
          <t>Lacoste</t>
        </is>
      </c>
      <c r="E10060" t="n">
        <v>25.09</v>
      </c>
      <c r="F10060" t="n">
        <v>1</v>
      </c>
      <c r="G10060" t="n">
        <v>1920</v>
      </c>
      <c r="H10060" s="5">
        <f>HYPERLINK("https://api.qogita.com/variants/link/3386460149365/", "View Product")</f>
        <v/>
      </c>
    </row>
    <row r="10061">
      <c r="A10061" t="inlineStr">
        <is>
          <t>3386460151979</t>
        </is>
      </c>
      <c r="B10061" t="inlineStr">
        <is>
          <t>Coach Dreams Moonlight 2 Fl Oz</t>
        </is>
      </c>
      <c r="C10061" t="inlineStr">
        <is>
          <t>Eau De Parfum</t>
        </is>
      </c>
      <c r="D10061" t="inlineStr">
        <is>
          <t>Coach</t>
        </is>
      </c>
      <c r="E10061" t="n">
        <v>33.03</v>
      </c>
      <c r="F10061" t="n">
        <v>1</v>
      </c>
      <c r="G10061" t="n">
        <v>5</v>
      </c>
      <c r="H10061" s="5">
        <f>HYPERLINK("https://api.qogita.com/variants/link/3386460151979/", "View Product")</f>
        <v/>
      </c>
    </row>
    <row r="10062">
      <c r="A10062" t="inlineStr">
        <is>
          <t>3386460152303</t>
        </is>
      </c>
      <c r="B10062" t="inlineStr">
        <is>
          <t>Rochas Mademoiselle Rochas In Paris Eau De Parfum 50ml</t>
        </is>
      </c>
      <c r="C10062" t="inlineStr">
        <is>
          <t>Eau De Parfum</t>
        </is>
      </c>
      <c r="D10062" t="inlineStr">
        <is>
          <t>Rochas</t>
        </is>
      </c>
      <c r="E10062" t="n">
        <v>29.25</v>
      </c>
      <c r="F10062" t="n">
        <v>1</v>
      </c>
      <c r="G10062" t="n">
        <v>3</v>
      </c>
      <c r="H10062" s="5">
        <f>HYPERLINK("https://api.qogita.com/variants/link/3386460152303/", "View Product")</f>
        <v/>
      </c>
    </row>
    <row r="10063">
      <c r="A10063" t="inlineStr">
        <is>
          <t>3386460152310</t>
        </is>
      </c>
      <c r="B10063" t="inlineStr">
        <is>
          <t>Rochas Mademoiselle Paris Eau De Parfum 30ml</t>
        </is>
      </c>
      <c r="C10063" t="inlineStr">
        <is>
          <t>Eau De Parfum</t>
        </is>
      </c>
      <c r="D10063" t="inlineStr">
        <is>
          <t>Rochas</t>
        </is>
      </c>
      <c r="E10063" t="n">
        <v>19.52</v>
      </c>
      <c r="F10063" t="n">
        <v>1</v>
      </c>
      <c r="G10063" t="n">
        <v>6</v>
      </c>
      <c r="H10063" s="5">
        <f>HYPERLINK("https://api.qogita.com/variants/link/3386460152310/", "View Product")</f>
        <v/>
      </c>
    </row>
    <row r="10064">
      <c r="A10064" t="inlineStr">
        <is>
          <t>3386460160292</t>
        </is>
      </c>
      <c r="B10064" t="inlineStr">
        <is>
          <t>Karl Lagerfeld Jeans Urban Blue Eau De Toilette Spray 100ml</t>
        </is>
      </c>
      <c r="C10064" t="inlineStr">
        <is>
          <t>Eau De Toilette</t>
        </is>
      </c>
      <c r="D10064" t="inlineStr">
        <is>
          <t>Karl Lagerfeld</t>
        </is>
      </c>
      <c r="E10064" t="n">
        <v>17.9</v>
      </c>
      <c r="F10064" t="n">
        <v>1</v>
      </c>
      <c r="G10064" t="n">
        <v>28</v>
      </c>
      <c r="H10064" s="5">
        <f>HYPERLINK("https://api.qogita.com/variants/link/3386460160292/", "View Product")</f>
        <v/>
      </c>
    </row>
    <row r="10065">
      <c r="A10065" t="inlineStr">
        <is>
          <t>3386460161602</t>
        </is>
      </c>
      <c r="B10065" t="inlineStr">
        <is>
          <t>Karl Lagerfeld Kl Bois Santal Eau De Toilette 100ml</t>
        </is>
      </c>
      <c r="C10065" t="inlineStr">
        <is>
          <t>Eau De Toilette</t>
        </is>
      </c>
      <c r="D10065" t="inlineStr">
        <is>
          <t>Karl Lagerfeld</t>
        </is>
      </c>
      <c r="E10065" t="n">
        <v>18.45</v>
      </c>
      <c r="F10065" t="n">
        <v>1</v>
      </c>
      <c r="G10065" t="n">
        <v>53</v>
      </c>
      <c r="H10065" s="5">
        <f>HYPERLINK("https://api.qogita.com/variants/link/3386460161602/", "View Product")</f>
        <v/>
      </c>
    </row>
    <row r="10066">
      <c r="A10066" t="inlineStr">
        <is>
          <t>3386461515619</t>
        </is>
      </c>
      <c r="B10066" t="inlineStr">
        <is>
          <t>Lanvin Arpege Woman Eau De Parfum Spray 100ml</t>
        </is>
      </c>
      <c r="C10066" t="inlineStr">
        <is>
          <t>Eau De Parfum</t>
        </is>
      </c>
      <c r="D10066" t="inlineStr">
        <is>
          <t>Lanvin</t>
        </is>
      </c>
      <c r="E10066" t="n">
        <v>20.78</v>
      </c>
      <c r="F10066" t="n">
        <v>1</v>
      </c>
      <c r="G10066" t="n">
        <v>1291</v>
      </c>
      <c r="H10066" s="5">
        <f>HYPERLINK("https://api.qogita.com/variants/link/3386461515619/", "View Product")</f>
        <v/>
      </c>
    </row>
    <row r="10067">
      <c r="A10067" t="inlineStr">
        <is>
          <t>3386461515732</t>
        </is>
      </c>
      <c r="B10067" t="inlineStr">
        <is>
          <t>Lanvin L'Homme Eau De Toilette Spray 100ml</t>
        </is>
      </c>
      <c r="C10067" t="inlineStr">
        <is>
          <t>Eau De Toilette</t>
        </is>
      </c>
      <c r="D10067" t="inlineStr">
        <is>
          <t>Lanvin</t>
        </is>
      </c>
      <c r="E10067" t="n">
        <v>15.34</v>
      </c>
      <c r="F10067" t="n">
        <v>1</v>
      </c>
      <c r="G10067" t="n">
        <v>1412</v>
      </c>
      <c r="H10067" s="5">
        <f>HYPERLINK("https://api.qogita.com/variants/link/3386461515732/", "View Product")</f>
        <v/>
      </c>
    </row>
    <row r="10068">
      <c r="A10068" t="inlineStr">
        <is>
          <t>3387950102112</t>
        </is>
      </c>
      <c r="B10068" t="inlineStr">
        <is>
          <t>Caron Infini Eau De Parfum 100ml</t>
        </is>
      </c>
      <c r="C10068" t="inlineStr">
        <is>
          <t>Eau De Parfum</t>
        </is>
      </c>
      <c r="D10068" t="inlineStr">
        <is>
          <t>Caron</t>
        </is>
      </c>
      <c r="E10068" t="n">
        <v>105.99</v>
      </c>
      <c r="F10068" t="n">
        <v>1</v>
      </c>
      <c r="G10068" t="n">
        <v>4</v>
      </c>
      <c r="H10068" s="5">
        <f>HYPERLINK("https://api.qogita.com/variants/link/3387950102112/", "View Product")</f>
        <v/>
      </c>
    </row>
    <row r="10069">
      <c r="A10069" t="inlineStr">
        <is>
          <t>3387950202096</t>
        </is>
      </c>
      <c r="B10069" t="inlineStr">
        <is>
          <t>Caron Fleur De Rocaille Eau de Parfum 100ml</t>
        </is>
      </c>
      <c r="C10069" t="inlineStr">
        <is>
          <t>Eau De Parfum</t>
        </is>
      </c>
      <c r="D10069" t="inlineStr">
        <is>
          <t>Caron</t>
        </is>
      </c>
      <c r="E10069" t="n">
        <v>130.51</v>
      </c>
      <c r="F10069" t="n">
        <v>1</v>
      </c>
      <c r="G10069" t="n">
        <v>8</v>
      </c>
      <c r="H10069" s="5">
        <f>HYPERLINK("https://api.qogita.com/variants/link/3387950202096/", "View Product")</f>
        <v/>
      </c>
    </row>
    <row r="10070">
      <c r="A10070" t="inlineStr">
        <is>
          <t>3387950502127</t>
        </is>
      </c>
      <c r="B10070" t="inlineStr">
        <is>
          <t>Caron Paris Narcisse Blanc 100ml 3.3oz EDP Authentic and Fast by Finescents</t>
        </is>
      </c>
      <c r="C10070" t="inlineStr">
        <is>
          <t>Eau De Parfum</t>
        </is>
      </c>
      <c r="D10070" t="inlineStr">
        <is>
          <t>Caron</t>
        </is>
      </c>
      <c r="E10070" t="n">
        <v>134.97</v>
      </c>
      <c r="F10070" t="n">
        <v>1</v>
      </c>
      <c r="G10070" t="n">
        <v>2</v>
      </c>
      <c r="H10070" s="5">
        <f>HYPERLINK("https://api.qogita.com/variants/link/3387950502127/", "View Product")</f>
        <v/>
      </c>
    </row>
    <row r="10071">
      <c r="A10071" t="inlineStr">
        <is>
          <t>3387951502119</t>
        </is>
      </c>
      <c r="B10071" t="inlineStr">
        <is>
          <t>Caron Rose Ivoire De Caron Eau De Parfum 100ml Women Spray</t>
        </is>
      </c>
      <c r="C10071" t="inlineStr">
        <is>
          <t>Eau De Parfum</t>
        </is>
      </c>
      <c r="D10071" t="inlineStr">
        <is>
          <t>Caron</t>
        </is>
      </c>
      <c r="E10071" t="n">
        <v>112.18</v>
      </c>
      <c r="F10071" t="n">
        <v>1</v>
      </c>
      <c r="G10071" t="n">
        <v>5</v>
      </c>
      <c r="H10071" s="5">
        <f>HYPERLINK("https://api.qogita.com/variants/link/3387951502119/", "View Product")</f>
        <v/>
      </c>
    </row>
    <row r="10072">
      <c r="A10072" t="inlineStr">
        <is>
          <t>3387952003752</t>
        </is>
      </c>
      <c r="B10072" t="inlineStr">
        <is>
          <t>Caron Pour Un Homme Eau De Toilette Spray 75ml Men's Fragrance</t>
        </is>
      </c>
      <c r="C10072" t="inlineStr">
        <is>
          <t>Eau De Toilette</t>
        </is>
      </c>
      <c r="D10072" t="inlineStr">
        <is>
          <t>Caron</t>
        </is>
      </c>
      <c r="E10072" t="n">
        <v>53.06</v>
      </c>
      <c r="F10072" t="n">
        <v>1</v>
      </c>
      <c r="G10072" t="n">
        <v>5</v>
      </c>
      <c r="H10072" s="5">
        <f>HYPERLINK("https://api.qogita.com/variants/link/3387952003752/", "View Product")</f>
        <v/>
      </c>
    </row>
    <row r="10073">
      <c r="A10073" t="inlineStr">
        <is>
          <t>3387952802072</t>
        </is>
      </c>
      <c r="B10073" t="inlineStr">
        <is>
          <t>Caron Pour Un Homme Le Soir Eau De Parfum 75ml For Men New Boxed And Sealed</t>
        </is>
      </c>
      <c r="C10073" t="inlineStr">
        <is>
          <t>Eau De Parfum</t>
        </is>
      </c>
      <c r="D10073" t="inlineStr">
        <is>
          <t>Caron</t>
        </is>
      </c>
      <c r="E10073" t="n">
        <v>48.23</v>
      </c>
      <c r="F10073" t="n">
        <v>1</v>
      </c>
      <c r="G10073" t="n">
        <v>3</v>
      </c>
      <c r="H10073" s="5">
        <f>HYPERLINK("https://api.qogita.com/variants/link/3387952802072/", "View Product")</f>
        <v/>
      </c>
    </row>
    <row r="10074">
      <c r="A10074" t="inlineStr">
        <is>
          <t>3390150574733</t>
        </is>
      </c>
      <c r="B10074" t="inlineStr">
        <is>
          <t>Payot Look Younger Mask Lifting Facial Mask Morning Mask 19 Ml</t>
        </is>
      </c>
      <c r="C10074" t="inlineStr">
        <is>
          <t>Anti-Aging Mask</t>
        </is>
      </c>
      <c r="D10074" t="inlineStr">
        <is>
          <t>Payot</t>
        </is>
      </c>
      <c r="E10074" t="n">
        <v>5.72</v>
      </c>
      <c r="F10074" t="n">
        <v>1</v>
      </c>
      <c r="G10074" t="n">
        <v>8</v>
      </c>
      <c r="H10074" s="5">
        <f>HYPERLINK("https://api.qogita.com/variants/link/3390150574733/", "View Product")</f>
        <v/>
      </c>
    </row>
    <row r="10075">
      <c r="A10075" t="inlineStr">
        <is>
          <t>3390150577734</t>
        </is>
      </c>
      <c r="B10075" t="inlineStr">
        <is>
          <t>Payot Unisex Paris Bubble Mask Peeling 40ml - Pack of 8</t>
        </is>
      </c>
      <c r="C10075" t="inlineStr">
        <is>
          <t>Purifying Mask</t>
        </is>
      </c>
      <c r="D10075" t="inlineStr">
        <is>
          <t>Payot</t>
        </is>
      </c>
      <c r="E10075" t="n">
        <v>18.22</v>
      </c>
      <c r="F10075" t="n">
        <v>1</v>
      </c>
      <c r="G10075" t="n">
        <v>3</v>
      </c>
      <c r="H10075" s="5">
        <f>HYPERLINK("https://api.qogita.com/variants/link/3390150577734/", "View Product")</f>
        <v/>
      </c>
    </row>
    <row r="10076">
      <c r="A10076" t="inlineStr">
        <is>
          <t>3390150580352</t>
        </is>
      </c>
      <c r="B10076" t="inlineStr">
        <is>
          <t>Herbier Face Beauty Oil Revitalizing Face Oil 30ml</t>
        </is>
      </c>
      <c r="C10076" t="inlineStr">
        <is>
          <t>Facial Oil</t>
        </is>
      </c>
      <c r="D10076" t="inlineStr">
        <is>
          <t>Herbier</t>
        </is>
      </c>
      <c r="E10076" t="n">
        <v>22.61</v>
      </c>
      <c r="F10076" t="n">
        <v>1</v>
      </c>
      <c r="G10076" t="n">
        <v>2</v>
      </c>
      <c r="H10076" s="5">
        <f>HYPERLINK("https://api.qogita.com/variants/link/3390150580352/", "View Product")</f>
        <v/>
      </c>
    </row>
    <row r="10077">
      <c r="A10077" t="inlineStr">
        <is>
          <t>3390150582615</t>
        </is>
      </c>
      <c r="B10077" t="inlineStr">
        <is>
          <t>Payot Micellar Hand Cleansing Cream 250 Ml</t>
        </is>
      </c>
      <c r="C10077" t="inlineStr">
        <is>
          <t>Hand Cleaning</t>
        </is>
      </c>
      <c r="D10077" t="inlineStr">
        <is>
          <t>Payot</t>
        </is>
      </c>
      <c r="E10077" t="n">
        <v>9.9</v>
      </c>
      <c r="F10077" t="n">
        <v>1</v>
      </c>
      <c r="G10077" t="n">
        <v>3</v>
      </c>
      <c r="H10077" s="5">
        <f>HYPERLINK("https://api.qogita.com/variants/link/3390150582615/", "View Product")</f>
        <v/>
      </c>
    </row>
    <row r="10078">
      <c r="A10078" t="inlineStr">
        <is>
          <t>3390150583230</t>
        </is>
      </c>
      <c r="B10078" t="inlineStr">
        <is>
          <t>Payot Lisse Wrinkle Smoothing Cream 50ml Smoothing Day Cream Against Wrinkles</t>
        </is>
      </c>
      <c r="C10078" t="inlineStr">
        <is>
          <t>Day Cream</t>
        </is>
      </c>
      <c r="D10078" t="inlineStr">
        <is>
          <t>Payot</t>
        </is>
      </c>
      <c r="E10078" t="n">
        <v>41.96</v>
      </c>
      <c r="F10078" t="n">
        <v>1</v>
      </c>
      <c r="G10078" t="n">
        <v>2</v>
      </c>
      <c r="H10078" s="5">
        <f>HYPERLINK("https://api.qogita.com/variants/link/3390150583230/", "View Product")</f>
        <v/>
      </c>
    </row>
    <row r="10079">
      <c r="A10079" t="inlineStr">
        <is>
          <t>3390150584169</t>
        </is>
      </c>
      <c r="B10079" t="inlineStr">
        <is>
          <t>Herbier Face Youth Balm Anti-Wrinkle Face Balm 50ml</t>
        </is>
      </c>
      <c r="C10079" t="inlineStr">
        <is>
          <t>Anti-Aging Facial Care</t>
        </is>
      </c>
      <c r="D10079" t="inlineStr">
        <is>
          <t>Herbier</t>
        </is>
      </c>
      <c r="E10079" t="n">
        <v>20.3</v>
      </c>
      <c r="F10079" t="n">
        <v>1</v>
      </c>
      <c r="G10079" t="n">
        <v>5</v>
      </c>
      <c r="H10079" s="5">
        <f>HYPERLINK("https://api.qogita.com/variants/link/3390150584169/", "View Product")</f>
        <v/>
      </c>
    </row>
    <row r="10080">
      <c r="A10080" t="inlineStr">
        <is>
          <t>3390150585012</t>
        </is>
      </c>
      <c r="B10080" t="inlineStr">
        <is>
          <t>Brightening Facial Mask (D`Tox Radiance Mask) 50 ml</t>
        </is>
      </c>
      <c r="C10080" t="inlineStr">
        <is>
          <t>Glow Mask</t>
        </is>
      </c>
      <c r="D10080" t="inlineStr">
        <is>
          <t>Payot</t>
        </is>
      </c>
      <c r="E10080" t="n">
        <v>20.96</v>
      </c>
      <c r="F10080" t="n">
        <v>1</v>
      </c>
      <c r="G10080" t="n">
        <v>2</v>
      </c>
      <c r="H10080" s="5">
        <f>HYPERLINK("https://api.qogita.com/variants/link/3390150585012/", "View Product")</f>
        <v/>
      </c>
    </row>
    <row r="10081">
      <c r="A10081" t="inlineStr">
        <is>
          <t>3390150585036</t>
        </is>
      </c>
      <c r="B10081" t="inlineStr">
        <is>
          <t>Payot Nue Raspberry Exfoliating Gel 50 Ml Exfoliating Oil Gel</t>
        </is>
      </c>
      <c r="C10081" t="inlineStr">
        <is>
          <t>Facial Scrub &amp; Peeling</t>
        </is>
      </c>
      <c r="D10081" t="inlineStr">
        <is>
          <t>Payot</t>
        </is>
      </c>
      <c r="E10081" t="n">
        <v>16.76</v>
      </c>
      <c r="F10081" t="n">
        <v>1</v>
      </c>
      <c r="G10081" t="n">
        <v>2</v>
      </c>
      <c r="H10081" s="5">
        <f>HYPERLINK("https://api.qogita.com/variants/link/3390150585036/", "View Product")</f>
        <v/>
      </c>
    </row>
    <row r="10082">
      <c r="A10082" t="inlineStr">
        <is>
          <t>3390150585272</t>
        </is>
      </c>
      <c r="B10082" t="inlineStr">
        <is>
          <t>Payot Pte Grise Tinted Perfecting Cream Spf 30 40ml</t>
        </is>
      </c>
      <c r="C10082" t="inlineStr">
        <is>
          <t>Tinted Day Cream</t>
        </is>
      </c>
      <c r="D10082" t="inlineStr">
        <is>
          <t>Payot</t>
        </is>
      </c>
      <c r="E10082" t="n">
        <v>15.93</v>
      </c>
      <c r="F10082" t="n">
        <v>1</v>
      </c>
      <c r="G10082" t="n">
        <v>3</v>
      </c>
      <c r="H10082" s="5">
        <f>HYPERLINK("https://api.qogita.com/variants/link/3390150585272/", "View Product")</f>
        <v/>
      </c>
    </row>
    <row r="10083">
      <c r="A10083" t="inlineStr">
        <is>
          <t>3390150585418</t>
        </is>
      </c>
      <c r="B10083" t="inlineStr">
        <is>
          <t>My Payot Vitamin Rich Radiance Gel Face Care Gel With Vitamins 50ml</t>
        </is>
      </c>
      <c r="C10083" t="inlineStr">
        <is>
          <t>Face Cream</t>
        </is>
      </c>
      <c r="D10083" t="inlineStr">
        <is>
          <t>Payot</t>
        </is>
      </c>
      <c r="E10083" t="n">
        <v>18.43</v>
      </c>
      <c r="F10083" t="n">
        <v>1</v>
      </c>
      <c r="G10083" t="n">
        <v>38</v>
      </c>
      <c r="H10083" s="5">
        <f>HYPERLINK("https://api.qogita.com/variants/link/3390150585418/", "View Product")</f>
        <v/>
      </c>
    </row>
    <row r="10084">
      <c r="A10084" t="inlineStr">
        <is>
          <t>3390150585739</t>
        </is>
      </c>
      <c r="B10084" t="inlineStr">
        <is>
          <t>Nutricia Comfort Cream Nourishing Cream For Dry Skin 50ml</t>
        </is>
      </c>
      <c r="C10084" t="inlineStr">
        <is>
          <t>Face Cream</t>
        </is>
      </c>
      <c r="D10084" t="inlineStr">
        <is>
          <t>Nutricia</t>
        </is>
      </c>
      <c r="E10084" t="n">
        <v>45.89</v>
      </c>
      <c r="F10084" t="n">
        <v>1</v>
      </c>
      <c r="G10084" t="n">
        <v>7</v>
      </c>
      <c r="H10084" s="5">
        <f>HYPERLINK("https://api.qogita.com/variants/link/3390150585739/", "View Product")</f>
        <v/>
      </c>
    </row>
    <row r="10085">
      <c r="A10085" t="inlineStr">
        <is>
          <t>3390150585838</t>
        </is>
      </c>
      <c r="B10085" t="inlineStr">
        <is>
          <t>Payot Roselift Firming Re-Densifying Serum 30ml</t>
        </is>
      </c>
      <c r="C10085" t="inlineStr">
        <is>
          <t>Anti-Aging Serum</t>
        </is>
      </c>
      <c r="D10085" t="inlineStr">
        <is>
          <t>Payot</t>
        </is>
      </c>
      <c r="E10085" t="n">
        <v>56.72</v>
      </c>
      <c r="F10085" t="n">
        <v>1</v>
      </c>
      <c r="G10085" t="n">
        <v>4</v>
      </c>
      <c r="H10085" s="5">
        <f>HYPERLINK("https://api.qogita.com/variants/link/3390150585838/", "View Product")</f>
        <v/>
      </c>
    </row>
    <row r="10086">
      <c r="A10086" t="inlineStr">
        <is>
          <t>3390150585906</t>
        </is>
      </c>
      <c r="B10086" t="inlineStr">
        <is>
          <t>Payot Roselift Sculpting Night Cream 50ml</t>
        </is>
      </c>
      <c r="C10086" t="inlineStr">
        <is>
          <t>Night Cream</t>
        </is>
      </c>
      <c r="D10086" t="inlineStr">
        <is>
          <t>Payot</t>
        </is>
      </c>
      <c r="E10086" t="n">
        <v>71.8</v>
      </c>
      <c r="F10086" t="n">
        <v>1</v>
      </c>
      <c r="G10086" t="n">
        <v>13</v>
      </c>
      <c r="H10086" s="5">
        <f>HYPERLINK("https://api.qogita.com/variants/link/3390150585906/", "View Product")</f>
        <v/>
      </c>
    </row>
    <row r="10087">
      <c r="A10087" t="inlineStr">
        <is>
          <t>3390150587177</t>
        </is>
      </c>
      <c r="B10087" t="inlineStr">
        <is>
          <t>Payot Micellar Milk 400ml</t>
        </is>
      </c>
      <c r="C10087" t="inlineStr">
        <is>
          <t>Cleansing Milk</t>
        </is>
      </c>
      <c r="D10087" t="inlineStr">
        <is>
          <t>Payot</t>
        </is>
      </c>
      <c r="E10087" t="n">
        <v>21.94</v>
      </c>
      <c r="F10087" t="n">
        <v>1</v>
      </c>
      <c r="G10087" t="n">
        <v>5</v>
      </c>
      <c r="H10087" s="5">
        <f>HYPERLINK("https://api.qogita.com/variants/link/3390150587177/", "View Product")</f>
        <v/>
      </c>
    </row>
    <row r="10088">
      <c r="A10088" t="inlineStr">
        <is>
          <t>3390150588099</t>
        </is>
      </c>
      <c r="B10088" t="inlineStr">
        <is>
          <t>Payot Lisse Retinol Renewing Night Serum 15 Ml A Renewing Night Skin Serum With Retinol</t>
        </is>
      </c>
      <c r="C10088" t="inlineStr">
        <is>
          <t>Anti-Aging Serum</t>
        </is>
      </c>
      <c r="D10088" t="inlineStr">
        <is>
          <t>Payot</t>
        </is>
      </c>
      <c r="E10088" t="n">
        <v>31.14</v>
      </c>
      <c r="F10088" t="n">
        <v>1</v>
      </c>
      <c r="G10088" t="n">
        <v>3</v>
      </c>
      <c r="H10088" s="5">
        <f>HYPERLINK("https://api.qogita.com/variants/link/3390150588099/", "View Product")</f>
        <v/>
      </c>
    </row>
    <row r="10089">
      <c r="A10089" t="inlineStr">
        <is>
          <t>3390150588273</t>
        </is>
      </c>
      <c r="B10089" t="inlineStr">
        <is>
          <t>Payot D'Tox Makeup Remover Gel 150ml</t>
        </is>
      </c>
      <c r="C10089" t="inlineStr">
        <is>
          <t>Cleansing Gel</t>
        </is>
      </c>
      <c r="D10089" t="inlineStr">
        <is>
          <t>Payot</t>
        </is>
      </c>
      <c r="E10089" t="n">
        <v>11.2</v>
      </c>
      <c r="F10089" t="n">
        <v>1</v>
      </c>
      <c r="G10089" t="n">
        <v>5</v>
      </c>
      <c r="H10089" s="5">
        <f>HYPERLINK("https://api.qogita.com/variants/link/3390150588273/", "View Product")</f>
        <v/>
      </c>
    </row>
    <row r="10090">
      <c r="A10090" t="inlineStr">
        <is>
          <t>3390150588280</t>
        </is>
      </c>
      <c r="B10090" t="inlineStr">
        <is>
          <t>Nue Gentle Cleansing Foam - 150ml</t>
        </is>
      </c>
      <c r="C10090" t="inlineStr">
        <is>
          <t>Cleansing Foam</t>
        </is>
      </c>
      <c r="D10090" t="inlineStr">
        <is>
          <t>Nu</t>
        </is>
      </c>
      <c r="E10090" t="n">
        <v>16.37</v>
      </c>
      <c r="F10090" t="n">
        <v>1</v>
      </c>
      <c r="G10090" t="n">
        <v>6</v>
      </c>
      <c r="H10090" s="5">
        <f>HYPERLINK("https://api.qogita.com/variants/link/3390150588280/", "View Product")</f>
        <v/>
      </c>
    </row>
    <row r="10091">
      <c r="A10091" t="inlineStr">
        <is>
          <t>3390150588495</t>
        </is>
      </c>
      <c r="B10091" t="inlineStr">
        <is>
          <t>Payot Soothing Aftershave Lotion Optimale 100 Ml</t>
        </is>
      </c>
      <c r="C10091" t="inlineStr">
        <is>
          <t>Aftershave</t>
        </is>
      </c>
      <c r="D10091" t="inlineStr">
        <is>
          <t>Payot</t>
        </is>
      </c>
      <c r="E10091" t="n">
        <v>11.91</v>
      </c>
      <c r="F10091" t="n">
        <v>1</v>
      </c>
      <c r="G10091" t="n">
        <v>7</v>
      </c>
      <c r="H10091" s="5">
        <f>HYPERLINK("https://api.qogita.com/variants/link/3390150588495/", "View Product")</f>
        <v/>
      </c>
    </row>
    <row r="10092">
      <c r="A10092" t="inlineStr">
        <is>
          <t>3390150588655</t>
        </is>
      </c>
      <c r="B10092" t="inlineStr">
        <is>
          <t>Payot Pte Grise Purifying Cleansing Micellar Water 200 Ml</t>
        </is>
      </c>
      <c r="C10092" t="inlineStr">
        <is>
          <t>Micellar Water</t>
        </is>
      </c>
      <c r="D10092" t="inlineStr">
        <is>
          <t>Payot</t>
        </is>
      </c>
      <c r="E10092" t="n">
        <v>10.63</v>
      </c>
      <c r="F10092" t="n">
        <v>1</v>
      </c>
      <c r="G10092" t="n">
        <v>11</v>
      </c>
      <c r="H10092" s="5">
        <f>HYPERLINK("https://api.qogita.com/variants/link/3390150588655/", "View Product")</f>
        <v/>
      </c>
    </row>
    <row r="10093">
      <c r="A10093" t="inlineStr">
        <is>
          <t>3390150589188</t>
        </is>
      </c>
      <c r="B10093" t="inlineStr">
        <is>
          <t>Payot Adaptogen Moisturising Gel 50ml Hydrating Face Gel</t>
        </is>
      </c>
      <c r="C10093" t="inlineStr">
        <is>
          <t>Face Cream</t>
        </is>
      </c>
      <c r="D10093" t="inlineStr">
        <is>
          <t>Payot</t>
        </is>
      </c>
      <c r="E10093" t="n">
        <v>32.77</v>
      </c>
      <c r="F10093" t="n">
        <v>1</v>
      </c>
      <c r="G10093" t="n">
        <v>5</v>
      </c>
      <c r="H10093" s="5">
        <f>HYPERLINK("https://api.qogita.com/variants/link/3390150589188/", "View Product")</f>
        <v/>
      </c>
    </row>
    <row r="10094">
      <c r="A10094" t="inlineStr">
        <is>
          <t>3390150589195</t>
        </is>
      </c>
      <c r="B10094" t="inlineStr">
        <is>
          <t>Payot Source Adaptogen Spray Moisturiser 40 Ml</t>
        </is>
      </c>
      <c r="C10094" t="inlineStr">
        <is>
          <t>Facial Spray</t>
        </is>
      </c>
      <c r="D10094" t="inlineStr">
        <is>
          <t>Payot</t>
        </is>
      </c>
      <c r="E10094" t="n">
        <v>18.02</v>
      </c>
      <c r="F10094" t="n">
        <v>1</v>
      </c>
      <c r="G10094" t="n">
        <v>5</v>
      </c>
      <c r="H10094" s="5">
        <f>HYPERLINK("https://api.qogita.com/variants/link/3390150589195/", "View Product")</f>
        <v/>
      </c>
    </row>
    <row r="10095">
      <c r="A10095" t="inlineStr">
        <is>
          <t>3390150590375</t>
        </is>
      </c>
      <c r="B10095" t="inlineStr">
        <is>
          <t>Payot Source Moisture Infusion Replenishing 125ml</t>
        </is>
      </c>
      <c r="C10095" t="inlineStr">
        <is>
          <t>Face Cream</t>
        </is>
      </c>
      <c r="D10095" t="inlineStr">
        <is>
          <t>Payot</t>
        </is>
      </c>
      <c r="E10095" t="n">
        <v>21.29</v>
      </c>
      <c r="F10095" t="n">
        <v>1</v>
      </c>
      <c r="G10095" t="n">
        <v>12</v>
      </c>
      <c r="H10095" s="5">
        <f>HYPERLINK("https://api.qogita.com/variants/link/3390150590375/", "View Product")</f>
        <v/>
      </c>
    </row>
    <row r="10096">
      <c r="A10096" t="inlineStr">
        <is>
          <t>3390150592478</t>
        </is>
      </c>
      <c r="B10096" t="inlineStr">
        <is>
          <t>Payot Payot Pate Grise Purifying Solid Cleanser 65g</t>
        </is>
      </c>
      <c r="C10096" t="inlineStr">
        <is>
          <t>Facial Soap</t>
        </is>
      </c>
      <c r="D10096" t="inlineStr">
        <is>
          <t>Payot</t>
        </is>
      </c>
      <c r="E10096" t="n">
        <v>10.13</v>
      </c>
      <c r="F10096" t="n">
        <v>1</v>
      </c>
      <c r="G10096" t="n">
        <v>2</v>
      </c>
      <c r="H10096" s="5">
        <f>HYPERLINK("https://api.qogita.com/variants/link/3390150592478/", "View Product")</f>
        <v/>
      </c>
    </row>
    <row r="10097">
      <c r="A10097" t="inlineStr">
        <is>
          <t>3390150592720</t>
        </is>
      </c>
      <c r="B10097" t="inlineStr">
        <is>
          <t>Payot Payot Rose Lift Mask Tens Liftante 50ml</t>
        </is>
      </c>
      <c r="C10097" t="inlineStr">
        <is>
          <t>Anti-Aging Mask</t>
        </is>
      </c>
      <c r="D10097" t="inlineStr">
        <is>
          <t>Payot</t>
        </is>
      </c>
      <c r="E10097" t="n">
        <v>39.01</v>
      </c>
      <c r="F10097" t="n">
        <v>1</v>
      </c>
      <c r="G10097" t="n">
        <v>2</v>
      </c>
      <c r="H10097" s="5">
        <f>HYPERLINK("https://api.qogita.com/variants/link/3390150592720/", "View Product")</f>
        <v/>
      </c>
    </row>
    <row r="10098">
      <c r="A10098" t="inlineStr">
        <is>
          <t>3390150595639</t>
        </is>
      </c>
      <c r="B10098" t="inlineStr">
        <is>
          <t>Lisse Rich Wrinkle Smoothing Cream 50 Ml</t>
        </is>
      </c>
      <c r="C10098" t="inlineStr">
        <is>
          <t>Anti-Aging Facial Care</t>
        </is>
      </c>
      <c r="D10098" t="inlineStr">
        <is>
          <t>Lisse</t>
        </is>
      </c>
      <c r="E10098" t="n">
        <v>34.4</v>
      </c>
      <c r="F10098" t="n">
        <v>1</v>
      </c>
      <c r="G10098" t="n">
        <v>5</v>
      </c>
      <c r="H10098" s="5">
        <f>HYPERLINK("https://api.qogita.com/variants/link/3390150595639/", "View Product")</f>
        <v/>
      </c>
    </row>
    <row r="10099">
      <c r="A10099" t="inlineStr">
        <is>
          <t>3390150595905</t>
        </is>
      </c>
      <c r="B10099" t="inlineStr">
        <is>
          <t>Payot Payot Rituel Douceur Serum Hydrating Body Milk 100ml</t>
        </is>
      </c>
      <c r="C10099" t="inlineStr">
        <is>
          <t>Body Lotion</t>
        </is>
      </c>
      <c r="D10099" t="inlineStr">
        <is>
          <t>Payot</t>
        </is>
      </c>
      <c r="E10099" t="n">
        <v>29.49</v>
      </c>
      <c r="F10099" t="n">
        <v>1</v>
      </c>
      <c r="G10099" t="n">
        <v>5</v>
      </c>
      <c r="H10099" s="5">
        <f>HYPERLINK("https://api.qogita.com/variants/link/3390150595905/", "View Product")</f>
        <v/>
      </c>
    </row>
    <row r="10100">
      <c r="A10100" t="inlineStr">
        <is>
          <t>3390150595912</t>
        </is>
      </c>
      <c r="B10100" t="inlineStr">
        <is>
          <t>Payot Payot Ritual Softness Toning Body Oil 100ml</t>
        </is>
      </c>
      <c r="C10100" t="inlineStr">
        <is>
          <t>Body Oil</t>
        </is>
      </c>
      <c r="D10100" t="inlineStr">
        <is>
          <t>Payot</t>
        </is>
      </c>
      <c r="E10100" t="n">
        <v>29.49</v>
      </c>
      <c r="F10100" t="n">
        <v>1</v>
      </c>
      <c r="G10100" t="n">
        <v>9</v>
      </c>
      <c r="H10100" s="5">
        <f>HYPERLINK("https://api.qogita.com/variants/link/3390150595912/", "View Product")</f>
        <v/>
      </c>
    </row>
    <row r="10101">
      <c r="A10101" t="inlineStr">
        <is>
          <t>3392865191175</t>
        </is>
      </c>
      <c r="B10101" t="inlineStr">
        <is>
          <t>Jacomo Eau De Parfum Spray 3.4 Oz For Women</t>
        </is>
      </c>
      <c r="C10101" t="inlineStr">
        <is>
          <t>Eau De Parfum</t>
        </is>
      </c>
      <c r="D10101" t="inlineStr">
        <is>
          <t>Jacomo</t>
        </is>
      </c>
      <c r="E10101" t="n">
        <v>19.12</v>
      </c>
      <c r="F10101" t="n">
        <v>1</v>
      </c>
      <c r="G10101" t="n">
        <v>27</v>
      </c>
      <c r="H10101" s="5">
        <f>HYPERLINK("https://api.qogita.com/variants/link/3392865191175/", "View Product")</f>
        <v/>
      </c>
    </row>
    <row r="10102">
      <c r="A10102" t="inlineStr">
        <is>
          <t>3392865201171</t>
        </is>
      </c>
      <c r="B10102" t="inlineStr">
        <is>
          <t>Jacomo For Men 3.4oz EDT Spray</t>
        </is>
      </c>
      <c r="C10102" t="inlineStr">
        <is>
          <t>Eau De Toilette</t>
        </is>
      </c>
      <c r="D10102" t="inlineStr">
        <is>
          <t>Jacomo</t>
        </is>
      </c>
      <c r="E10102" t="n">
        <v>20.09</v>
      </c>
      <c r="F10102" t="n">
        <v>1</v>
      </c>
      <c r="G10102" t="n">
        <v>20</v>
      </c>
      <c r="H10102" s="5">
        <f>HYPERLINK("https://api.qogita.com/variants/link/3392865201171/", "View Product")</f>
        <v/>
      </c>
    </row>
    <row r="10103">
      <c r="A10103" t="inlineStr">
        <is>
          <t>3392865241177</t>
        </is>
      </c>
      <c r="B10103" t="inlineStr">
        <is>
          <t>Jacomo Night Bloom for Women 3.4 Oz EDP Spray 100.55ml</t>
        </is>
      </c>
      <c r="C10103" t="inlineStr">
        <is>
          <t>Eau De Parfum</t>
        </is>
      </c>
      <c r="D10103" t="inlineStr">
        <is>
          <t>Corine de Farme</t>
        </is>
      </c>
      <c r="E10103" t="n">
        <v>20.81</v>
      </c>
      <c r="F10103" t="n">
        <v>1</v>
      </c>
      <c r="G10103" t="n">
        <v>2</v>
      </c>
      <c r="H10103" s="5">
        <f>HYPERLINK("https://api.qogita.com/variants/link/3392865241177/", "View Product")</f>
        <v/>
      </c>
    </row>
    <row r="10104">
      <c r="A10104" t="inlineStr">
        <is>
          <t>3401329447809</t>
        </is>
      </c>
      <c r="B10104" t="inlineStr">
        <is>
          <t>Bioderma Hydrabio Gel Crme Light Moisturising Care 40ml</t>
        </is>
      </c>
      <c r="C10104" t="inlineStr">
        <is>
          <t>Face Cream</t>
        </is>
      </c>
      <c r="D10104" t="inlineStr">
        <is>
          <t>Bioderma</t>
        </is>
      </c>
      <c r="E10104" t="n">
        <v>15.6</v>
      </c>
      <c r="F10104" t="n">
        <v>1</v>
      </c>
      <c r="G10104" t="n">
        <v>2</v>
      </c>
      <c r="H10104" s="5">
        <f>HYPERLINK("https://api.qogita.com/variants/link/3401329447809/", "View Product")</f>
        <v/>
      </c>
    </row>
    <row r="10105">
      <c r="A10105" t="inlineStr">
        <is>
          <t>3401346673625</t>
        </is>
      </c>
      <c r="B10105" t="inlineStr">
        <is>
          <t>Bioderma Sensibio Cleansing Milk For Sensitive Skin 250 Ml</t>
        </is>
      </c>
      <c r="C10105" t="inlineStr">
        <is>
          <t>Cleansing Milk</t>
        </is>
      </c>
      <c r="D10105" t="inlineStr">
        <is>
          <t>Bioderma</t>
        </is>
      </c>
      <c r="E10105" t="n">
        <v>10.42</v>
      </c>
      <c r="F10105" t="n">
        <v>1</v>
      </c>
      <c r="G10105" t="n">
        <v>6</v>
      </c>
      <c r="H10105" s="5">
        <f>HYPERLINK("https://api.qogita.com/variants/link/3401346673625/", "View Product")</f>
        <v/>
      </c>
    </row>
    <row r="10106">
      <c r="A10106" t="inlineStr">
        <is>
          <t>3401360081451</t>
        </is>
      </c>
      <c r="B10106" t="inlineStr">
        <is>
          <t>Bioderma Gentle Moisturizing Lotion For Baby's Skin Abcderm Hydratant 200 Ml</t>
        </is>
      </c>
      <c r="C10106" t="inlineStr">
        <is>
          <t>Baby Cream &amp; Oil</t>
        </is>
      </c>
      <c r="D10106" t="inlineStr">
        <is>
          <t>Bioderma</t>
        </is>
      </c>
      <c r="E10106" t="n">
        <v>11.61</v>
      </c>
      <c r="F10106" t="n">
        <v>1</v>
      </c>
      <c r="G10106" t="n">
        <v>3</v>
      </c>
      <c r="H10106" s="5">
        <f>HYPERLINK("https://api.qogita.com/variants/link/3401360081451/", "View Product")</f>
        <v/>
      </c>
    </row>
    <row r="10107">
      <c r="A10107" t="inlineStr">
        <is>
          <t>3401360157514</t>
        </is>
      </c>
      <c r="B10107" t="inlineStr">
        <is>
          <t>Bioderma Sebium Lotion Triple Action Toner to Clarify and Rebalance Sensitive Skin</t>
        </is>
      </c>
      <c r="C10107" t="inlineStr">
        <is>
          <t>Face Lotion</t>
        </is>
      </c>
      <c r="D10107" t="inlineStr">
        <is>
          <t>Bioderma</t>
        </is>
      </c>
      <c r="E10107" t="n">
        <v>12.16</v>
      </c>
      <c r="F10107" t="n">
        <v>1</v>
      </c>
      <c r="G10107" t="n">
        <v>7</v>
      </c>
      <c r="H10107" s="5">
        <f>HYPERLINK("https://api.qogita.com/variants/link/3401360157514/", "View Product")</f>
        <v/>
      </c>
    </row>
    <row r="10108">
      <c r="A10108" t="inlineStr">
        <is>
          <t>3401360192546</t>
        </is>
      </c>
      <c r="B10108" t="inlineStr">
        <is>
          <t>Purifying Cleansing Gel</t>
        </is>
      </c>
      <c r="C10108" t="inlineStr">
        <is>
          <t>Cleansing Gel</t>
        </is>
      </c>
      <c r="D10108" t="inlineStr">
        <is>
          <t>Weleda</t>
        </is>
      </c>
      <c r="E10108" t="n">
        <v>10.04</v>
      </c>
      <c r="F10108" t="n">
        <v>1</v>
      </c>
      <c r="G10108" t="n">
        <v>5</v>
      </c>
      <c r="H10108" s="5">
        <f>HYPERLINK("https://api.qogita.com/variants/link/3401360192546/", "View Product")</f>
        <v/>
      </c>
    </row>
    <row r="10109">
      <c r="A10109" t="inlineStr">
        <is>
          <t>3401360215832</t>
        </is>
      </c>
      <c r="B10109" t="inlineStr">
        <is>
          <t>Svr Topialyse Cleansing Balm 200 Ml For Very Dry To Atopic Skin</t>
        </is>
      </c>
      <c r="C10109" t="inlineStr">
        <is>
          <t>Cleansing Cream</t>
        </is>
      </c>
      <c r="D10109" t="inlineStr">
        <is>
          <t>Svr</t>
        </is>
      </c>
      <c r="E10109" t="n">
        <v>8.699999999999999</v>
      </c>
      <c r="F10109" t="n">
        <v>1</v>
      </c>
      <c r="G10109" t="n">
        <v>2</v>
      </c>
      <c r="H10109" s="5">
        <f>HYPERLINK("https://api.qogita.com/variants/link/3401360215832/", "View Product")</f>
        <v/>
      </c>
    </row>
    <row r="10110">
      <c r="A10110" t="inlineStr">
        <is>
          <t>3401361353625</t>
        </is>
      </c>
      <c r="B10110" t="inlineStr">
        <is>
          <t>Bioderma Sbium Pore Refiner 30ml Face Cosmetic</t>
        </is>
      </c>
      <c r="C10110" t="inlineStr">
        <is>
          <t>Face Dermacosmetics Sun Protection</t>
        </is>
      </c>
      <c r="D10110" t="inlineStr">
        <is>
          <t>Bioderma</t>
        </is>
      </c>
      <c r="E10110" t="n">
        <v>11.83</v>
      </c>
      <c r="F10110" t="n">
        <v>1</v>
      </c>
      <c r="G10110" t="n">
        <v>54</v>
      </c>
      <c r="H10110" s="5">
        <f>HYPERLINK("https://api.qogita.com/variants/link/3401361353625/", "View Product")</f>
        <v/>
      </c>
    </row>
    <row r="10111">
      <c r="A10111" t="inlineStr">
        <is>
          <t>3401381507565</t>
        </is>
      </c>
      <c r="B10111" t="inlineStr">
        <is>
          <t>Bioderma Sensibio Foaming Gel 200ml Gentle Cleansing For Sensitive Skin</t>
        </is>
      </c>
      <c r="C10111" t="inlineStr">
        <is>
          <t>Facial Cleansing</t>
        </is>
      </c>
      <c r="D10111" t="inlineStr">
        <is>
          <t>Bioderma</t>
        </is>
      </c>
      <c r="E10111" t="n">
        <v>10.89</v>
      </c>
      <c r="F10111" t="n">
        <v>1</v>
      </c>
      <c r="G10111" t="n">
        <v>7</v>
      </c>
      <c r="H10111" s="5">
        <f>HYPERLINK("https://api.qogita.com/variants/link/3401381507565/", "View Product")</f>
        <v/>
      </c>
    </row>
    <row r="10112">
      <c r="A10112" t="inlineStr">
        <is>
          <t>3401396545132</t>
        </is>
      </c>
      <c r="B10112" t="inlineStr">
        <is>
          <t>Bioderma Nod A Soothing Shampoo 400ml</t>
        </is>
      </c>
      <c r="C10112" t="inlineStr">
        <is>
          <t>Shampoo</t>
        </is>
      </c>
      <c r="D10112" t="inlineStr">
        <is>
          <t>Bioderma</t>
        </is>
      </c>
      <c r="E10112" t="n">
        <v>12.87</v>
      </c>
      <c r="F10112" t="n">
        <v>1</v>
      </c>
      <c r="G10112" t="n">
        <v>3</v>
      </c>
      <c r="H10112" s="5">
        <f>HYPERLINK("https://api.qogita.com/variants/link/3401396545132/", "View Product")</f>
        <v/>
      </c>
    </row>
    <row r="10113">
      <c r="A10113" t="inlineStr">
        <is>
          <t>3401396991830</t>
        </is>
      </c>
      <c r="B10113" t="inlineStr">
        <is>
          <t>Bioderma Sebium H2o Micellar Water 500ml</t>
        </is>
      </c>
      <c r="C10113" t="inlineStr">
        <is>
          <t>Micellar Water</t>
        </is>
      </c>
      <c r="D10113" t="inlineStr">
        <is>
          <t>Bioderma</t>
        </is>
      </c>
      <c r="E10113" t="n">
        <v>10.75</v>
      </c>
      <c r="F10113" t="n">
        <v>1</v>
      </c>
      <c r="G10113" t="n">
        <v>41</v>
      </c>
      <c r="H10113" s="5">
        <f>HYPERLINK("https://api.qogita.com/variants/link/3401396991830/", "View Product")</f>
        <v/>
      </c>
    </row>
    <row r="10114">
      <c r="A10114" t="inlineStr">
        <is>
          <t>3401397163618</t>
        </is>
      </c>
      <c r="B10114" t="inlineStr">
        <is>
          <t>Bioderma Abcderm Mild Cleansing Foaming Gel 1000ml</t>
        </is>
      </c>
      <c r="C10114" t="inlineStr">
        <is>
          <t>Shower Foam</t>
        </is>
      </c>
      <c r="D10114" t="inlineStr">
        <is>
          <t>Bioderma</t>
        </is>
      </c>
      <c r="E10114" t="n">
        <v>15.63</v>
      </c>
      <c r="F10114" t="n">
        <v>1</v>
      </c>
      <c r="G10114" t="n">
        <v>5</v>
      </c>
      <c r="H10114" s="5">
        <f>HYPERLINK("https://api.qogita.com/variants/link/3401397163618/", "View Product")</f>
        <v/>
      </c>
    </row>
    <row r="10115">
      <c r="A10115" t="inlineStr">
        <is>
          <t>3401399277092</t>
        </is>
      </c>
      <c r="B10115" t="inlineStr">
        <is>
          <t>Bioderma Sebium Antibacterial Cleansing Gel 500ml</t>
        </is>
      </c>
      <c r="C10115" t="inlineStr">
        <is>
          <t>Cleansing Gel</t>
        </is>
      </c>
      <c r="D10115" t="inlineStr">
        <is>
          <t>Bioderma</t>
        </is>
      </c>
      <c r="E10115" t="n">
        <v>13.32</v>
      </c>
      <c r="F10115" t="n">
        <v>1</v>
      </c>
      <c r="G10115" t="n">
        <v>9</v>
      </c>
      <c r="H10115" s="5">
        <f>HYPERLINK("https://api.qogita.com/variants/link/3401399277092/", "View Product")</f>
        <v/>
      </c>
    </row>
    <row r="10116">
      <c r="A10116" t="inlineStr">
        <is>
          <t>3401399373008</t>
        </is>
      </c>
      <c r="B10116" t="inlineStr">
        <is>
          <t>Bioderma Atoderm Nutritive Balm for Face</t>
        </is>
      </c>
      <c r="C10116" t="inlineStr">
        <is>
          <t>Face Cream</t>
        </is>
      </c>
      <c r="D10116" t="inlineStr">
        <is>
          <t>Bioderma</t>
        </is>
      </c>
      <c r="E10116" t="n">
        <v>9.58</v>
      </c>
      <c r="F10116" t="n">
        <v>1</v>
      </c>
      <c r="G10116" t="n">
        <v>13</v>
      </c>
      <c r="H10116" s="5">
        <f>HYPERLINK("https://api.qogita.com/variants/link/3401399373008/", "View Product")</f>
        <v/>
      </c>
    </row>
    <row r="10117">
      <c r="A10117" t="inlineStr">
        <is>
          <t>3401528546341</t>
        </is>
      </c>
      <c r="B10117" t="inlineStr">
        <is>
          <t>Bioderma Atoderm Sos Spray 200ml Itchy Soothing Spray</t>
        </is>
      </c>
      <c r="C10117" t="inlineStr">
        <is>
          <t>Body Care</t>
        </is>
      </c>
      <c r="D10117" t="inlineStr">
        <is>
          <t>Bioderma</t>
        </is>
      </c>
      <c r="E10117" t="n">
        <v>14.56</v>
      </c>
      <c r="F10117" t="n">
        <v>1</v>
      </c>
      <c r="G10117" t="n">
        <v>5</v>
      </c>
      <c r="H10117" s="5">
        <f>HYPERLINK("https://api.qogita.com/variants/link/3401528546341/", "View Product")</f>
        <v/>
      </c>
    </row>
    <row r="10118">
      <c r="A10118" t="inlineStr">
        <is>
          <t>3401573670282</t>
        </is>
      </c>
      <c r="B10118" t="inlineStr">
        <is>
          <t>Bioderma Sensibio Forte Soothing And Moisturizing Cream 40ml</t>
        </is>
      </c>
      <c r="C10118" t="inlineStr">
        <is>
          <t>Face Cream</t>
        </is>
      </c>
      <c r="D10118" t="inlineStr">
        <is>
          <t>Bioderma</t>
        </is>
      </c>
      <c r="E10118" t="n">
        <v>8.67</v>
      </c>
      <c r="F10118" t="n">
        <v>1</v>
      </c>
      <c r="G10118" t="n">
        <v>62</v>
      </c>
      <c r="H10118" s="5">
        <f>HYPERLINK("https://api.qogita.com/variants/link/3401573670282/", "View Product")</f>
        <v/>
      </c>
    </row>
    <row r="10119">
      <c r="A10119" t="inlineStr">
        <is>
          <t>3401577538373</t>
        </is>
      </c>
      <c r="B10119" t="inlineStr">
        <is>
          <t>Abcderm Babysquam Creme For Cradle Cap For Infants 40ml By Abcderm</t>
        </is>
      </c>
      <c r="C10119" t="inlineStr">
        <is>
          <t>Baby Cream &amp; Oil</t>
        </is>
      </c>
      <c r="D10119" t="inlineStr">
        <is>
          <t>Abcderm</t>
        </is>
      </c>
      <c r="E10119" t="n">
        <v>9.619999999999999</v>
      </c>
      <c r="F10119" t="n">
        <v>1</v>
      </c>
      <c r="G10119" t="n">
        <v>6</v>
      </c>
      <c r="H10119" s="5">
        <f>HYPERLINK("https://api.qogita.com/variants/link/3401577538373/", "View Product")</f>
        <v/>
      </c>
    </row>
    <row r="10120">
      <c r="A10120" t="inlineStr">
        <is>
          <t>3412242508027</t>
        </is>
      </c>
      <c r="B10120" t="inlineStr">
        <is>
          <t>Nautica Blue Eau De Toilette Spray 100ml</t>
        </is>
      </c>
      <c r="C10120" t="inlineStr">
        <is>
          <t>Eau De Toilette</t>
        </is>
      </c>
      <c r="D10120" t="inlineStr">
        <is>
          <t>Nautica</t>
        </is>
      </c>
      <c r="E10120" t="n">
        <v>10.49</v>
      </c>
      <c r="F10120" t="n">
        <v>1</v>
      </c>
      <c r="G10120" t="n">
        <v>43</v>
      </c>
      <c r="H10120" s="5">
        <f>HYPERLINK("https://api.qogita.com/variants/link/3412242508027/", "View Product")</f>
        <v/>
      </c>
    </row>
    <row r="10121">
      <c r="A10121" t="inlineStr">
        <is>
          <t>3412244350006</t>
        </is>
      </c>
      <c r="B10121" t="inlineStr">
        <is>
          <t>Adidas Floral Dream Body Spray 75 Ml Floral Dream Deodorant For Women</t>
        </is>
      </c>
      <c r="C10121" t="inlineStr">
        <is>
          <t>Deodorant &amp; Anti-Perspirant</t>
        </is>
      </c>
      <c r="D10121" t="inlineStr">
        <is>
          <t>adidas</t>
        </is>
      </c>
      <c r="E10121" t="n">
        <v>5.1</v>
      </c>
      <c r="F10121" t="n">
        <v>1</v>
      </c>
      <c r="G10121" t="n">
        <v>6</v>
      </c>
      <c r="H10121" s="5">
        <f>HYPERLINK("https://api.qogita.com/variants/link/3412244350006/", "View Product")</f>
        <v/>
      </c>
    </row>
    <row r="10122">
      <c r="A10122" t="inlineStr">
        <is>
          <t>3414200123525</t>
        </is>
      </c>
      <c r="B10122" t="inlineStr">
        <is>
          <t>Jennifer Lopez Live Luxe Eau De Parfum Spray 15ml</t>
        </is>
      </c>
      <c r="C10122" t="inlineStr">
        <is>
          <t>Eau De Parfum</t>
        </is>
      </c>
      <c r="D10122" t="inlineStr">
        <is>
          <t>Jennifer Lopez</t>
        </is>
      </c>
      <c r="E10122" t="n">
        <v>5.12</v>
      </c>
      <c r="F10122" t="n">
        <v>1</v>
      </c>
      <c r="G10122" t="n">
        <v>44</v>
      </c>
      <c r="H10122" s="5">
        <f>HYPERLINK("https://api.qogita.com/variants/link/3414200123525/", "View Product")</f>
        <v/>
      </c>
    </row>
    <row r="10123">
      <c r="A10123" t="inlineStr">
        <is>
          <t>3414200195010</t>
        </is>
      </c>
      <c r="B10123" t="inlineStr">
        <is>
          <t>Chloe Scented Body Cream 150ml</t>
        </is>
      </c>
      <c r="C10123" t="inlineStr">
        <is>
          <t>Body Lotion</t>
        </is>
      </c>
      <c r="D10123" t="inlineStr">
        <is>
          <t>Chloé</t>
        </is>
      </c>
      <c r="E10123" t="n">
        <v>43.79</v>
      </c>
      <c r="F10123" t="n">
        <v>1</v>
      </c>
      <c r="G10123" t="n">
        <v>6</v>
      </c>
      <c r="H10123" s="5">
        <f>HYPERLINK("https://api.qogita.com/variants/link/3414200195010/", "View Product")</f>
        <v/>
      </c>
    </row>
    <row r="10124">
      <c r="A10124" t="inlineStr">
        <is>
          <t>3414200380119</t>
        </is>
      </c>
      <c r="B10124" t="inlineStr">
        <is>
          <t>Lancaster Flash Smoothing Scrub 75ml</t>
        </is>
      </c>
      <c r="C10124" t="inlineStr">
        <is>
          <t>Facial Scrub &amp; Peeling</t>
        </is>
      </c>
      <c r="D10124" t="inlineStr">
        <is>
          <t>Lancaster</t>
        </is>
      </c>
      <c r="E10124" t="n">
        <v>9.06</v>
      </c>
      <c r="F10124" t="n">
        <v>1</v>
      </c>
      <c r="G10124" t="n">
        <v>12</v>
      </c>
      <c r="H10124" s="5">
        <f>HYPERLINK("https://api.qogita.com/variants/link/3414200380119/", "View Product")</f>
        <v/>
      </c>
    </row>
    <row r="10125">
      <c r="A10125" t="inlineStr">
        <is>
          <t>3414201021028</t>
        </is>
      </c>
      <c r="B10125" t="inlineStr">
        <is>
          <t>Jil Sander No 4 Eau De Parfum Spray 30ml For Women</t>
        </is>
      </c>
      <c r="C10125" t="inlineStr">
        <is>
          <t>Eau De Parfum</t>
        </is>
      </c>
      <c r="D10125" t="inlineStr">
        <is>
          <t>Jil Sander</t>
        </is>
      </c>
      <c r="E10125" t="n">
        <v>16.22</v>
      </c>
      <c r="F10125" t="n">
        <v>1</v>
      </c>
      <c r="G10125" t="n">
        <v>39</v>
      </c>
      <c r="H10125" s="5">
        <f>HYPERLINK("https://api.qogita.com/variants/link/3414201021028/", "View Product")</f>
        <v/>
      </c>
    </row>
    <row r="10126">
      <c r="A10126" t="inlineStr">
        <is>
          <t>3414202011752</t>
        </is>
      </c>
      <c r="B10126" t="inlineStr">
        <is>
          <t>Davidoff Cool Water Woman Eau De Toilette Spray 100ml</t>
        </is>
      </c>
      <c r="C10126" t="inlineStr">
        <is>
          <t>Eau De Toilette</t>
        </is>
      </c>
      <c r="D10126" t="inlineStr">
        <is>
          <t>Davidoff</t>
        </is>
      </c>
      <c r="E10126" t="n">
        <v>19.32</v>
      </c>
      <c r="F10126" t="n">
        <v>1</v>
      </c>
      <c r="G10126" t="n">
        <v>83</v>
      </c>
      <c r="H10126" s="5">
        <f>HYPERLINK("https://api.qogita.com/variants/link/3414202011752/", "View Product")</f>
        <v/>
      </c>
    </row>
    <row r="10127">
      <c r="A10127" t="inlineStr">
        <is>
          <t>3414206000608</t>
        </is>
      </c>
      <c r="B10127" t="inlineStr">
        <is>
          <t>Joop Joop Homme Eau De Toilette Spray 125ml For Men</t>
        </is>
      </c>
      <c r="C10127" t="inlineStr">
        <is>
          <t>Eau De Toilette</t>
        </is>
      </c>
      <c r="D10127" t="inlineStr">
        <is>
          <t>Joop!</t>
        </is>
      </c>
      <c r="E10127" t="n">
        <v>20.31</v>
      </c>
      <c r="F10127" t="n">
        <v>1</v>
      </c>
      <c r="G10127" t="n">
        <v>988</v>
      </c>
      <c r="H10127" s="5">
        <f>HYPERLINK("https://api.qogita.com/variants/link/3414206000608/", "View Product")</f>
        <v/>
      </c>
    </row>
    <row r="10128">
      <c r="A10128" t="inlineStr">
        <is>
          <t>3423222016234</t>
        </is>
      </c>
      <c r="B10128" t="inlineStr">
        <is>
          <t>Dolce &amp; Gabbana Dolce Rosa For Women Eau De Toilette 75ml</t>
        </is>
      </c>
      <c r="C10128" t="inlineStr">
        <is>
          <t>Eau De Toilette</t>
        </is>
      </c>
      <c r="D10128" t="inlineStr">
        <is>
          <t>Dolce &amp; Gabbana</t>
        </is>
      </c>
      <c r="E10128" t="n">
        <v>44.37</v>
      </c>
      <c r="F10128" t="n">
        <v>1</v>
      </c>
      <c r="G10128" t="n">
        <v>5</v>
      </c>
      <c r="H10128" s="5">
        <f>HYPERLINK("https://api.qogita.com/variants/link/3423222016234/", "View Product")</f>
        <v/>
      </c>
    </row>
    <row r="10129">
      <c r="A10129" t="inlineStr">
        <is>
          <t>3423222052416</t>
        </is>
      </c>
      <c r="B10129" t="inlineStr">
        <is>
          <t>Dolce &amp; Gabbana Dolce Lily Eau De Toilette 50ml</t>
        </is>
      </c>
      <c r="C10129" t="inlineStr">
        <is>
          <t>Eau De Toilette</t>
        </is>
      </c>
      <c r="D10129" t="inlineStr">
        <is>
          <t>Dolce &amp; Gabbana</t>
        </is>
      </c>
      <c r="E10129" t="n">
        <v>42.32</v>
      </c>
      <c r="F10129" t="n">
        <v>1</v>
      </c>
      <c r="G10129" t="n">
        <v>2</v>
      </c>
      <c r="H10129" s="5">
        <f>HYPERLINK("https://api.qogita.com/variants/link/3423222052416/", "View Product")</f>
        <v/>
      </c>
    </row>
    <row r="10130">
      <c r="A10130" t="inlineStr">
        <is>
          <t>3423473004851</t>
        </is>
      </c>
      <c r="B10130" t="inlineStr">
        <is>
          <t>D&amp;G Dolce Shine Eau de Parfum 50ml</t>
        </is>
      </c>
      <c r="C10130" t="inlineStr">
        <is>
          <t>Eau De Parfum</t>
        </is>
      </c>
      <c r="D10130" t="inlineStr">
        <is>
          <t>Dolce &amp; Gabbana</t>
        </is>
      </c>
      <c r="E10130" t="n">
        <v>36.51</v>
      </c>
      <c r="F10130" t="n">
        <v>1</v>
      </c>
      <c r="G10130" t="n">
        <v>8</v>
      </c>
      <c r="H10130" s="5">
        <f>HYPERLINK("https://api.qogita.com/variants/link/3423473004851/", "View Product")</f>
        <v/>
      </c>
    </row>
    <row r="10131">
      <c r="A10131" t="inlineStr">
        <is>
          <t>3423473026709</t>
        </is>
      </c>
      <c r="B10131" t="inlineStr">
        <is>
          <t>Dolce and Gabbana Light Blue for Women Eau De Toilette Spray 100ml</t>
        </is>
      </c>
      <c r="C10131" t="inlineStr">
        <is>
          <t>Eau De Toilette</t>
        </is>
      </c>
      <c r="D10131" t="inlineStr">
        <is>
          <t>Dolce &amp; Gabbana</t>
        </is>
      </c>
      <c r="E10131" t="n">
        <v>31.42</v>
      </c>
      <c r="F10131" t="n">
        <v>1</v>
      </c>
      <c r="G10131" t="n">
        <v>188</v>
      </c>
      <c r="H10131" s="5">
        <f>HYPERLINK("https://api.qogita.com/variants/link/3423473026709/", "View Product")</f>
        <v/>
      </c>
    </row>
    <row r="10132">
      <c r="A10132" t="inlineStr">
        <is>
          <t>3423473026839</t>
        </is>
      </c>
      <c r="B10132" t="inlineStr">
        <is>
          <t>The One By Dolce &amp; Gabbana Eau De Toilette Spray 100ml</t>
        </is>
      </c>
      <c r="C10132" t="inlineStr">
        <is>
          <t>Eau De Toilette</t>
        </is>
      </c>
      <c r="D10132" t="inlineStr">
        <is>
          <t>Dolce &amp; Gabbana</t>
        </is>
      </c>
      <c r="E10132" t="n">
        <v>37.78</v>
      </c>
      <c r="F10132" t="n">
        <v>1</v>
      </c>
      <c r="G10132" t="n">
        <v>18</v>
      </c>
      <c r="H10132" s="5">
        <f>HYPERLINK("https://api.qogita.com/variants/link/3423473026839/", "View Product")</f>
        <v/>
      </c>
    </row>
    <row r="10133">
      <c r="A10133" t="inlineStr">
        <is>
          <t>3423473032793</t>
        </is>
      </c>
      <c r="B10133" t="inlineStr">
        <is>
          <t>Dolce &amp; Gabbana Light Blue Intense Eau De Parfum Spray 25ml</t>
        </is>
      </c>
      <c r="C10133" t="inlineStr">
        <is>
          <t>Eau De Parfum</t>
        </is>
      </c>
      <c r="D10133" t="inlineStr">
        <is>
          <t>Dolce &amp; Gabbana</t>
        </is>
      </c>
      <c r="E10133" t="n">
        <v>27.88</v>
      </c>
      <c r="F10133" t="n">
        <v>1</v>
      </c>
      <c r="G10133" t="n">
        <v>23</v>
      </c>
      <c r="H10133" s="5">
        <f>HYPERLINK("https://api.qogita.com/variants/link/3423473032793/", "View Product")</f>
        <v/>
      </c>
    </row>
    <row r="10134">
      <c r="A10134" t="inlineStr">
        <is>
          <t>3432240505897</t>
        </is>
      </c>
      <c r="B10134" t="inlineStr">
        <is>
          <t>Cartier Baiser Vole Eau De Parfum 100ml For Women</t>
        </is>
      </c>
      <c r="C10134" t="inlineStr">
        <is>
          <t>Eau De Parfum</t>
        </is>
      </c>
      <c r="D10134" t="inlineStr">
        <is>
          <t>Cartier</t>
        </is>
      </c>
      <c r="E10134" t="n">
        <v>82.53</v>
      </c>
      <c r="F10134" t="n">
        <v>1</v>
      </c>
      <c r="G10134" t="n">
        <v>28</v>
      </c>
      <c r="H10134" s="5">
        <f>HYPERLINK("https://api.qogita.com/variants/link/3432240505897/", "View Product")</f>
        <v/>
      </c>
    </row>
    <row r="10135">
      <c r="A10135" t="inlineStr">
        <is>
          <t>3433422404533</t>
        </is>
      </c>
      <c r="B10135" t="inlineStr">
        <is>
          <t>La Roche Posay Lipikar Surgras Soap 150 G Enriched Cleansing Bar</t>
        </is>
      </c>
      <c r="C10135" t="inlineStr">
        <is>
          <t>Soap</t>
        </is>
      </c>
      <c r="D10135" t="inlineStr">
        <is>
          <t>La Roche-Posay</t>
        </is>
      </c>
      <c r="E10135" t="n">
        <v>7.66</v>
      </c>
      <c r="F10135" t="n">
        <v>1</v>
      </c>
      <c r="G10135" t="n">
        <v>30</v>
      </c>
      <c r="H10135" s="5">
        <f>HYPERLINK("https://api.qogita.com/variants/link/3433422404533/", "View Product")</f>
        <v/>
      </c>
    </row>
    <row r="10136">
      <c r="A10136" t="inlineStr">
        <is>
          <t>3433422406599</t>
        </is>
      </c>
      <c r="B10136" t="inlineStr">
        <is>
          <t>La Rocheposay Toleriane Dermocleansing Lotion 200 Ml Cosmetic Cleanser</t>
        </is>
      </c>
      <c r="C10136" t="inlineStr">
        <is>
          <t>Cleansing Milk</t>
        </is>
      </c>
      <c r="D10136" t="inlineStr">
        <is>
          <t>La Roche-Posay</t>
        </is>
      </c>
      <c r="E10136" t="n">
        <v>13.25</v>
      </c>
      <c r="F10136" t="n">
        <v>1</v>
      </c>
      <c r="G10136" t="n">
        <v>37</v>
      </c>
      <c r="H10136" s="5">
        <f>HYPERLINK("https://api.qogita.com/variants/link/3433422406599/", "View Product")</f>
        <v/>
      </c>
    </row>
    <row r="10137">
      <c r="A10137" t="inlineStr">
        <is>
          <t>3433422407299</t>
        </is>
      </c>
      <c r="B10137" t="inlineStr">
        <is>
          <t>La Roche Posay Kerium Antidandruff Shampoo For Oily Dandruff 200 Ml</t>
        </is>
      </c>
      <c r="C10137" t="inlineStr">
        <is>
          <t>Shampoo</t>
        </is>
      </c>
      <c r="D10137" t="inlineStr">
        <is>
          <t>La Roche-Posay</t>
        </is>
      </c>
      <c r="E10137" t="n">
        <v>13.93</v>
      </c>
      <c r="F10137" t="n">
        <v>1</v>
      </c>
      <c r="G10137" t="n">
        <v>32</v>
      </c>
      <c r="H10137" s="5">
        <f>HYPERLINK("https://api.qogita.com/variants/link/3433422407299/", "View Product")</f>
        <v/>
      </c>
    </row>
    <row r="10138">
      <c r="A10138" t="inlineStr">
        <is>
          <t>3434730707835</t>
        </is>
      </c>
      <c r="B10138" t="inlineStr">
        <is>
          <t>Alyssa Ashley Musk Deodorant Spray 100ml</t>
        </is>
      </c>
      <c r="C10138" t="inlineStr">
        <is>
          <t>Deodorant &amp; Anti-Perspirant</t>
        </is>
      </c>
      <c r="D10138" t="inlineStr">
        <is>
          <t>Alyssa Ashley</t>
        </is>
      </c>
      <c r="E10138" t="n">
        <v>9.380000000000001</v>
      </c>
      <c r="F10138" t="n">
        <v>1</v>
      </c>
      <c r="G10138" t="n">
        <v>3</v>
      </c>
      <c r="H10138" s="5">
        <f>HYPERLINK("https://api.qogita.com/variants/link/3434730707835/", "View Product")</f>
        <v/>
      </c>
    </row>
    <row r="10139">
      <c r="A10139" t="inlineStr">
        <is>
          <t>3439600055726</t>
        </is>
      </c>
      <c r="B10139" t="inlineStr">
        <is>
          <t>Thierry Mugler Angel Men Eau De Toilette Spray 100 Ml Refillable</t>
        </is>
      </c>
      <c r="C10139" t="inlineStr">
        <is>
          <t>Eau De Toilette</t>
        </is>
      </c>
      <c r="D10139" t="inlineStr">
        <is>
          <t>Thierry Mugler</t>
        </is>
      </c>
      <c r="E10139" t="n">
        <v>50.34</v>
      </c>
      <c r="F10139" t="n">
        <v>1</v>
      </c>
      <c r="G10139" t="n">
        <v>203</v>
      </c>
      <c r="H10139" s="5">
        <f>HYPERLINK("https://api.qogita.com/variants/link/3439600055726/", "View Product")</f>
        <v/>
      </c>
    </row>
    <row r="10140">
      <c r="A10140" t="inlineStr">
        <is>
          <t>3439600056259</t>
        </is>
      </c>
      <c r="B10140" t="inlineStr">
        <is>
          <t>Thierry Mugler Alien Body Cream 200ml</t>
        </is>
      </c>
      <c r="C10140" t="inlineStr">
        <is>
          <t>Body Butter</t>
        </is>
      </c>
      <c r="D10140" t="inlineStr">
        <is>
          <t>Thierry Mugler</t>
        </is>
      </c>
      <c r="E10140" t="n">
        <v>60.71</v>
      </c>
      <c r="F10140" t="n">
        <v>1</v>
      </c>
      <c r="G10140" t="n">
        <v>2</v>
      </c>
      <c r="H10140" s="5">
        <f>HYPERLINK("https://api.qogita.com/variants/link/3439600056259/", "View Product")</f>
        <v/>
      </c>
    </row>
    <row r="10141">
      <c r="A10141" t="inlineStr">
        <is>
          <t>3439600056532</t>
        </is>
      </c>
      <c r="B10141" t="inlineStr">
        <is>
          <t>Thierry Mugler Angel Eau De Parfum Refillable 50ml Spray</t>
        </is>
      </c>
      <c r="C10141" t="inlineStr">
        <is>
          <t>Eau De Parfum</t>
        </is>
      </c>
      <c r="D10141" t="inlineStr">
        <is>
          <t>Thierry Mugler</t>
        </is>
      </c>
      <c r="E10141" t="n">
        <v>55.28</v>
      </c>
      <c r="F10141" t="n">
        <v>1</v>
      </c>
      <c r="G10141" t="n">
        <v>12</v>
      </c>
      <c r="H10141" s="5">
        <f>HYPERLINK("https://api.qogita.com/variants/link/3439600056532/", "View Product")</f>
        <v/>
      </c>
    </row>
    <row r="10142">
      <c r="A10142" t="inlineStr">
        <is>
          <t>3439600056921</t>
        </is>
      </c>
      <c r="B10142" t="inlineStr">
        <is>
          <t>Thierry Mugler Alien Eau De Parfum 60ml Refillable Spray</t>
        </is>
      </c>
      <c r="C10142" t="inlineStr">
        <is>
          <t>Eau De Parfum</t>
        </is>
      </c>
      <c r="D10142" t="inlineStr">
        <is>
          <t>Thierry Mugler</t>
        </is>
      </c>
      <c r="E10142" t="n">
        <v>47.37</v>
      </c>
      <c r="F10142" t="n">
        <v>1</v>
      </c>
      <c r="G10142" t="n">
        <v>22</v>
      </c>
      <c r="H10142" s="5">
        <f>HYPERLINK("https://api.qogita.com/variants/link/3439600056921/", "View Product")</f>
        <v/>
      </c>
    </row>
    <row r="10143">
      <c r="A10143" t="inlineStr">
        <is>
          <t>3439602802120</t>
        </is>
      </c>
      <c r="B10143" t="inlineStr">
        <is>
          <t>Alien by Thierry Mugler for Women 3.0 oz Eau de Parfum Eco-Refill</t>
        </is>
      </c>
      <c r="C10143" t="inlineStr">
        <is>
          <t>Eau De Parfum</t>
        </is>
      </c>
      <c r="D10143" t="inlineStr">
        <is>
          <t>Thierry Mugler</t>
        </is>
      </c>
      <c r="E10143" t="n">
        <v>69.87</v>
      </c>
      <c r="F10143" t="n">
        <v>1</v>
      </c>
      <c r="G10143" t="n">
        <v>80</v>
      </c>
      <c r="H10143" s="5">
        <f>HYPERLINK("https://api.qogita.com/variants/link/3439602802120/", "View Product")</f>
        <v/>
      </c>
    </row>
    <row r="10144">
      <c r="A10144" t="inlineStr">
        <is>
          <t>3442180006088</t>
        </is>
      </c>
      <c r="B10144" t="inlineStr">
        <is>
          <t>Courreges Hyper Cuir Eau De Parfum Spray 100ml</t>
        </is>
      </c>
      <c r="C10144" t="inlineStr">
        <is>
          <t>Eau De Parfum</t>
        </is>
      </c>
      <c r="D10144" t="inlineStr">
        <is>
          <t>Courreges</t>
        </is>
      </c>
      <c r="E10144" t="n">
        <v>90.19</v>
      </c>
      <c r="F10144" t="n">
        <v>1</v>
      </c>
      <c r="G10144" t="n">
        <v>7</v>
      </c>
      <c r="H10144" s="5">
        <f>HYPERLINK("https://api.qogita.com/variants/link/3442180006088/", "View Product")</f>
        <v/>
      </c>
    </row>
    <row r="10145">
      <c r="A10145" t="inlineStr">
        <is>
          <t>3442180007313</t>
        </is>
      </c>
      <c r="B10145" t="inlineStr">
        <is>
          <t>Courreges Hyper Iris Eau De Parfum Spray 100ml</t>
        </is>
      </c>
      <c r="C10145" t="inlineStr">
        <is>
          <t>Eau De Parfum</t>
        </is>
      </c>
      <c r="D10145" t="inlineStr">
        <is>
          <t>Courreges</t>
        </is>
      </c>
      <c r="E10145" t="n">
        <v>89.18000000000001</v>
      </c>
      <c r="F10145" t="n">
        <v>1</v>
      </c>
      <c r="G10145" t="n">
        <v>6</v>
      </c>
      <c r="H10145" s="5">
        <f>HYPERLINK("https://api.qogita.com/variants/link/3442180007313/", "View Product")</f>
        <v/>
      </c>
    </row>
    <row r="10146">
      <c r="A10146" t="inlineStr">
        <is>
          <t>3454960021679</t>
        </is>
      </c>
      <c r="B10146" t="inlineStr">
        <is>
          <t>Lalique Perles De Lalique Eau De Parfum Spray 100ml</t>
        </is>
      </c>
      <c r="C10146" t="inlineStr">
        <is>
          <t>Eau De Parfum</t>
        </is>
      </c>
      <c r="D10146" t="inlineStr">
        <is>
          <t>Lalique</t>
        </is>
      </c>
      <c r="E10146" t="n">
        <v>24.28</v>
      </c>
      <c r="F10146" t="n">
        <v>1</v>
      </c>
      <c r="G10146" t="n">
        <v>339</v>
      </c>
      <c r="H10146" s="5">
        <f>HYPERLINK("https://api.qogita.com/variants/link/3454960021679/", "View Product")</f>
        <v/>
      </c>
    </row>
    <row r="10147">
      <c r="A10147" t="inlineStr">
        <is>
          <t>3454960024021</t>
        </is>
      </c>
      <c r="B10147" t="inlineStr">
        <is>
          <t>Lalique White Eau De Toilette Spray 125ml For Men</t>
        </is>
      </c>
      <c r="C10147" t="inlineStr">
        <is>
          <t>Eau De Toilette</t>
        </is>
      </c>
      <c r="D10147" t="inlineStr">
        <is>
          <t>Lalique</t>
        </is>
      </c>
      <c r="E10147" t="n">
        <v>20.68</v>
      </c>
      <c r="F10147" t="n">
        <v>1</v>
      </c>
      <c r="G10147" t="n">
        <v>22</v>
      </c>
      <c r="H10147" s="5">
        <f>HYPERLINK("https://api.qogita.com/variants/link/3454960024021/", "View Product")</f>
        <v/>
      </c>
    </row>
    <row r="10148">
      <c r="A10148" t="inlineStr">
        <is>
          <t>3461020004947</t>
        </is>
      </c>
      <c r="B10148" t="inlineStr">
        <is>
          <t>Institut Esthederm Excellage Eye Contour 15ml</t>
        </is>
      </c>
      <c r="C10148" t="inlineStr">
        <is>
          <t>Eye Cream</t>
        </is>
      </c>
      <c r="D10148" t="inlineStr">
        <is>
          <t>Institut Esthederm</t>
        </is>
      </c>
      <c r="E10148" t="n">
        <v>47.19</v>
      </c>
      <c r="F10148" t="n">
        <v>1</v>
      </c>
      <c r="G10148" t="n">
        <v>6</v>
      </c>
      <c r="H10148" s="5">
        <f>HYPERLINK("https://api.qogita.com/variants/link/3461020004947/", "View Product")</f>
        <v/>
      </c>
    </row>
    <row r="10149">
      <c r="A10149" t="inlineStr">
        <is>
          <t>3461020012294</t>
        </is>
      </c>
      <c r="B10149" t="inlineStr">
        <is>
          <t>Institut Esthederm No Sun 100 Mineral Screen Protective Care Extremely Protective Sun Cream 50 Ml</t>
        </is>
      </c>
      <c r="C10149" t="inlineStr">
        <is>
          <t>Face Sun Protection</t>
        </is>
      </c>
      <c r="D10149" t="inlineStr">
        <is>
          <t>Institut Esthederm</t>
        </is>
      </c>
      <c r="E10149" t="n">
        <v>30.09</v>
      </c>
      <c r="F10149" t="n">
        <v>1</v>
      </c>
      <c r="G10149" t="n">
        <v>2</v>
      </c>
      <c r="H10149" s="5">
        <f>HYPERLINK("https://api.qogita.com/variants/link/3461020012294/", "View Product")</f>
        <v/>
      </c>
    </row>
    <row r="10150">
      <c r="A10150" t="inlineStr">
        <is>
          <t>3461020014083</t>
        </is>
      </c>
      <c r="B10150" t="inlineStr">
        <is>
          <t>Institut Esthederm Intensive Spirulina Serum 30ml</t>
        </is>
      </c>
      <c r="C10150" t="inlineStr">
        <is>
          <t>Hydrating Serum</t>
        </is>
      </c>
      <c r="D10150" t="inlineStr">
        <is>
          <t>Institut Esthederm</t>
        </is>
      </c>
      <c r="E10150" t="n">
        <v>52.46</v>
      </c>
      <c r="F10150" t="n">
        <v>1</v>
      </c>
      <c r="G10150" t="n">
        <v>5</v>
      </c>
      <c r="H10150" s="5">
        <f>HYPERLINK("https://api.qogita.com/variants/link/3461020014083/", "View Product")</f>
        <v/>
      </c>
    </row>
    <row r="10151">
      <c r="A10151" t="inlineStr">
        <is>
          <t>3473311083005</t>
        </is>
      </c>
      <c r="B10151" t="inlineStr">
        <is>
          <t>Sisley Paris Eye &amp; Lip Makeup Remover Jelly</t>
        </is>
      </c>
      <c r="C10151" t="inlineStr">
        <is>
          <t>Eye Makeup Remover</t>
        </is>
      </c>
      <c r="D10151" t="inlineStr">
        <is>
          <t>Sisley-Paris</t>
        </is>
      </c>
      <c r="E10151" t="n">
        <v>50.55</v>
      </c>
      <c r="F10151" t="n">
        <v>1</v>
      </c>
      <c r="G10151" t="n">
        <v>6</v>
      </c>
      <c r="H10151" s="5">
        <f>HYPERLINK("https://api.qogita.com/variants/link/3473311083005/", "View Product")</f>
        <v/>
      </c>
    </row>
    <row r="10152">
      <c r="A10152" t="inlineStr">
        <is>
          <t>3473311320704</t>
        </is>
      </c>
      <c r="B10152" t="inlineStr">
        <is>
          <t>Sisley Black Rose Beautifying Emulsion 200 Ml Moisturizing And Beautifying Body Care</t>
        </is>
      </c>
      <c r="C10152" t="inlineStr">
        <is>
          <t>Body Lotion</t>
        </is>
      </c>
      <c r="D10152" t="inlineStr">
        <is>
          <t>Sisley</t>
        </is>
      </c>
      <c r="E10152" t="n">
        <v>89.79000000000001</v>
      </c>
      <c r="F10152" t="n">
        <v>1</v>
      </c>
      <c r="G10152" t="n">
        <v>5</v>
      </c>
      <c r="H10152" s="5">
        <f>HYPERLINK("https://api.qogita.com/variants/link/3473311320704/", "View Product")</f>
        <v/>
      </c>
    </row>
    <row r="10153">
      <c r="A10153" t="inlineStr">
        <is>
          <t>3473311415905</t>
        </is>
      </c>
      <c r="B10153" t="inlineStr">
        <is>
          <t>Sisley Intensive Serum With Tropical Resins Cleansing Serum For Combination And Oily Skin 30ml</t>
        </is>
      </c>
      <c r="C10153" t="inlineStr">
        <is>
          <t>Cleansing Cream</t>
        </is>
      </c>
      <c r="D10153" t="inlineStr">
        <is>
          <t>Sisley</t>
        </is>
      </c>
      <c r="E10153" t="n">
        <v>99.59999999999999</v>
      </c>
      <c r="F10153" t="n">
        <v>1</v>
      </c>
      <c r="G10153" t="n">
        <v>2</v>
      </c>
      <c r="H10153" s="5">
        <f>HYPERLINK("https://api.qogita.com/variants/link/3473311415905/", "View Product")</f>
        <v/>
      </c>
    </row>
    <row r="10154">
      <c r="A10154" t="inlineStr">
        <is>
          <t>3473311500908</t>
        </is>
      </c>
      <c r="B10154" t="inlineStr">
        <is>
          <t>Sisley Sisleya Duo Face Care Set 50 Ml</t>
        </is>
      </c>
      <c r="C10154" t="inlineStr">
        <is>
          <t>Facial Care Sets</t>
        </is>
      </c>
      <c r="D10154" t="inlineStr">
        <is>
          <t>Sisley</t>
        </is>
      </c>
      <c r="E10154" t="n">
        <v>415.22</v>
      </c>
      <c r="F10154" t="n">
        <v>1</v>
      </c>
      <c r="G10154" t="n">
        <v>7</v>
      </c>
      <c r="H10154" s="5">
        <f>HYPERLINK("https://api.qogita.com/variants/link/3473311500908/", "View Product")</f>
        <v/>
      </c>
    </row>
    <row r="10155">
      <c r="A10155" t="inlineStr">
        <is>
          <t>3473311536020</t>
        </is>
      </c>
      <c r="B10155" t="inlineStr">
        <is>
          <t>Sisley Energizing Foaming Exfoliant for the Body 200ml</t>
        </is>
      </c>
      <c r="C10155" t="inlineStr">
        <is>
          <t>Body Care Sets</t>
        </is>
      </c>
      <c r="D10155" t="inlineStr">
        <is>
          <t>Sisley-Paris</t>
        </is>
      </c>
      <c r="E10155" t="n">
        <v>69.2</v>
      </c>
      <c r="F10155" t="n">
        <v>1</v>
      </c>
      <c r="G10155" t="n">
        <v>5</v>
      </c>
      <c r="H10155" s="5">
        <f>HYPERLINK("https://api.qogita.com/variants/link/3473311536020/", "View Product")</f>
        <v/>
      </c>
    </row>
    <row r="10156">
      <c r="A10156" t="inlineStr">
        <is>
          <t>3473311693815</t>
        </is>
      </c>
      <c r="B10156" t="inlineStr">
        <is>
          <t>Sisley Women's Cosmetics Hair Ritual Gentle Purifying Care 500ml</t>
        </is>
      </c>
      <c r="C10156" t="inlineStr">
        <is>
          <t>Scalp Care</t>
        </is>
      </c>
      <c r="D10156" t="inlineStr">
        <is>
          <t>Sisley-Paris</t>
        </is>
      </c>
      <c r="E10156" t="n">
        <v>78.42</v>
      </c>
      <c r="F10156" t="n">
        <v>1</v>
      </c>
      <c r="G10156" t="n">
        <v>14</v>
      </c>
      <c r="H10156" s="5">
        <f>HYPERLINK("https://api.qogita.com/variants/link/3473311693815/", "View Product")</f>
        <v/>
      </c>
    </row>
    <row r="10157">
      <c r="A10157" t="inlineStr">
        <is>
          <t>3473311694102</t>
        </is>
      </c>
      <c r="B10157" t="inlineStr">
        <is>
          <t>Sisley Soin Lavant Fortifiant Densité Shampoo</t>
        </is>
      </c>
      <c r="C10157" t="inlineStr">
        <is>
          <t>Shampoo</t>
        </is>
      </c>
      <c r="D10157" t="inlineStr">
        <is>
          <t>Sisley</t>
        </is>
      </c>
      <c r="E10157" t="n">
        <v>43.45</v>
      </c>
      <c r="F10157" t="n">
        <v>1</v>
      </c>
      <c r="G10157" t="n">
        <v>3</v>
      </c>
      <c r="H10157" s="5">
        <f>HYPERLINK("https://api.qogita.com/variants/link/3473311694102/", "View Product")</f>
        <v/>
      </c>
    </row>
    <row r="10158">
      <c r="A10158" t="inlineStr">
        <is>
          <t>3473311694119</t>
        </is>
      </c>
      <c r="B10158" t="inlineStr">
        <is>
          <t>Hair Rituel Fortifying Density Cleansing Care 500 ml by Sisley</t>
        </is>
      </c>
      <c r="C10158" t="inlineStr">
        <is>
          <t>Shampoo</t>
        </is>
      </c>
      <c r="D10158" t="inlineStr">
        <is>
          <t>Sisley</t>
        </is>
      </c>
      <c r="E10158" t="n">
        <v>86.33</v>
      </c>
      <c r="F10158" t="n">
        <v>1</v>
      </c>
      <c r="G10158" t="n">
        <v>5</v>
      </c>
      <c r="H10158" s="5">
        <f>HYPERLINK("https://api.qogita.com/variants/link/3473311694119/", "View Product")</f>
        <v/>
      </c>
    </row>
    <row r="10159">
      <c r="A10159" t="inlineStr">
        <is>
          <t>3473311694508</t>
        </is>
      </c>
      <c r="B10159" t="inlineStr">
        <is>
          <t>Sisley Curl Care Styling Gel For Curly Hair Jelly 150 Ml</t>
        </is>
      </c>
      <c r="C10159" t="inlineStr">
        <is>
          <t>Gel</t>
        </is>
      </c>
      <c r="D10159" t="inlineStr">
        <is>
          <t>Sisley</t>
        </is>
      </c>
      <c r="E10159" t="n">
        <v>65.19</v>
      </c>
      <c r="F10159" t="n">
        <v>1</v>
      </c>
      <c r="G10159" t="n">
        <v>3</v>
      </c>
      <c r="H10159" s="5">
        <f>HYPERLINK("https://api.qogita.com/variants/link/3473311694508/", "View Product")</f>
        <v/>
      </c>
    </row>
    <row r="10160">
      <c r="A10160" t="inlineStr">
        <is>
          <t>3473311703439</t>
        </is>
      </c>
      <c r="B10160" t="inlineStr">
        <is>
          <t>Sisley 12 Beige Bali</t>
        </is>
      </c>
      <c r="C10160" t="inlineStr">
        <is>
          <t>Lipstick</t>
        </is>
      </c>
      <c r="D10160" t="inlineStr">
        <is>
          <t>Sisley</t>
        </is>
      </c>
      <c r="E10160" t="n">
        <v>31.73</v>
      </c>
      <c r="F10160" t="n">
        <v>1</v>
      </c>
      <c r="G10160" t="n">
        <v>2</v>
      </c>
      <c r="H10160" s="5">
        <f>HYPERLINK("https://api.qogita.com/variants/link/3473311703439/", "View Product")</f>
        <v/>
      </c>
    </row>
    <row r="10161">
      <c r="A10161" t="inlineStr">
        <is>
          <t>3473311705105</t>
        </is>
      </c>
      <c r="B10161" t="inlineStr">
        <is>
          <t>Sisley Phytorouge Shine Glossy Lipstick 3 G</t>
        </is>
      </c>
      <c r="C10161" t="inlineStr">
        <is>
          <t>Lipstick</t>
        </is>
      </c>
      <c r="D10161" t="inlineStr">
        <is>
          <t>Sisley</t>
        </is>
      </c>
      <c r="E10161" t="n">
        <v>29.98</v>
      </c>
      <c r="F10161" t="n">
        <v>1</v>
      </c>
      <c r="G10161" t="n">
        <v>3</v>
      </c>
      <c r="H10161" s="5">
        <f>HYPERLINK("https://api.qogita.com/variants/link/3473311705105/", "View Product")</f>
        <v/>
      </c>
    </row>
    <row r="10162">
      <c r="A10162" t="inlineStr">
        <is>
          <t>3473311706027</t>
        </is>
      </c>
      <c r="B10162" t="inlineStr">
        <is>
          <t>Sisley Moisturizing And Nourishing Lip Balm 3 Grams</t>
        </is>
      </c>
      <c r="C10162" t="inlineStr">
        <is>
          <t>Medicated Treatments</t>
        </is>
      </c>
      <c r="D10162" t="inlineStr">
        <is>
          <t>Sisley</t>
        </is>
      </c>
      <c r="E10162" t="n">
        <v>29.52</v>
      </c>
      <c r="F10162" t="n">
        <v>1</v>
      </c>
      <c r="G10162" t="n">
        <v>2</v>
      </c>
      <c r="H10162" s="5">
        <f>HYPERLINK("https://api.qogita.com/variants/link/3473311706027/", "View Product")</f>
        <v/>
      </c>
    </row>
    <row r="10163">
      <c r="A10163" t="inlineStr">
        <is>
          <t>3473311707109</t>
        </is>
      </c>
      <c r="B10163" t="inlineStr">
        <is>
          <t>Sisley Phyto Rouge Velvet Lipstick - 3 Grams</t>
        </is>
      </c>
      <c r="C10163" t="inlineStr">
        <is>
          <t>Lipstick</t>
        </is>
      </c>
      <c r="D10163" t="inlineStr">
        <is>
          <t>Sisley</t>
        </is>
      </c>
      <c r="E10163" t="n">
        <v>39.82</v>
      </c>
      <c r="F10163" t="n">
        <v>1</v>
      </c>
      <c r="G10163" t="n">
        <v>2</v>
      </c>
      <c r="H10163" s="5">
        <f>HYPERLINK("https://api.qogita.com/variants/link/3473311707109/", "View Product")</f>
        <v/>
      </c>
    </row>
    <row r="10164">
      <c r="A10164" t="inlineStr">
        <is>
          <t>3473311800046</t>
        </is>
      </c>
      <c r="B10164" t="inlineStr">
        <is>
          <t>Sisley Foundation Brush 1szt W</t>
        </is>
      </c>
      <c r="C10164" t="inlineStr">
        <is>
          <t>Foundation Brushes</t>
        </is>
      </c>
      <c r="D10164" t="inlineStr">
        <is>
          <t>Sisley</t>
        </is>
      </c>
      <c r="E10164" t="n">
        <v>35.21</v>
      </c>
      <c r="F10164" t="n">
        <v>1</v>
      </c>
      <c r="G10164" t="n">
        <v>2</v>
      </c>
      <c r="H10164" s="5">
        <f>HYPERLINK("https://api.qogita.com/variants/link/3473311800046/", "View Product")</f>
        <v/>
      </c>
    </row>
    <row r="10165">
      <c r="A10165" t="inlineStr">
        <is>
          <t>3473311805751</t>
        </is>
      </c>
      <c r="B10165" t="inlineStr">
        <is>
          <t>Sisley Brightening Liquid Makeup Phytoteint Ultra Clat Makeup 30 Ml</t>
        </is>
      </c>
      <c r="C10165" t="inlineStr">
        <is>
          <t>Foundation</t>
        </is>
      </c>
      <c r="D10165" t="inlineStr">
        <is>
          <t>Sisley</t>
        </is>
      </c>
      <c r="E10165" t="n">
        <v>53.54</v>
      </c>
      <c r="F10165" t="n">
        <v>1</v>
      </c>
      <c r="G10165" t="n">
        <v>4</v>
      </c>
      <c r="H10165" s="5">
        <f>HYPERLINK("https://api.qogita.com/variants/link/3473311805751/", "View Product")</f>
        <v/>
      </c>
    </row>
    <row r="10166">
      <c r="A10166" t="inlineStr">
        <is>
          <t>3473311806383</t>
        </is>
      </c>
      <c r="B10166" t="inlineStr">
        <is>
          <t>Sisley Phyto Teint Perfection 1n Ivory 30ml Ultra Long Lasting Foundation</t>
        </is>
      </c>
      <c r="C10166" t="inlineStr">
        <is>
          <t>Foundation</t>
        </is>
      </c>
      <c r="D10166" t="inlineStr">
        <is>
          <t>Sisley</t>
        </is>
      </c>
      <c r="E10166" t="n">
        <v>60.62</v>
      </c>
      <c r="F10166" t="n">
        <v>1</v>
      </c>
      <c r="G10166" t="n">
        <v>2</v>
      </c>
      <c r="H10166" s="5">
        <f>HYPERLINK("https://api.qogita.com/variants/link/3473311806383/", "View Product")</f>
        <v/>
      </c>
    </row>
    <row r="10167">
      <c r="A10167" t="inlineStr">
        <is>
          <t>3473311806406</t>
        </is>
      </c>
      <c r="B10167" t="inlineStr">
        <is>
          <t>Sisley Phytoteint Perfection Ultra Long Lasting Foundation 2c Soft Beige 30 Ml</t>
        </is>
      </c>
      <c r="C10167" t="inlineStr">
        <is>
          <t>Foundation</t>
        </is>
      </c>
      <c r="D10167" t="inlineStr">
        <is>
          <t>Sisley</t>
        </is>
      </c>
      <c r="E10167" t="n">
        <v>52.16</v>
      </c>
      <c r="F10167" t="n">
        <v>1</v>
      </c>
      <c r="G10167" t="n">
        <v>3</v>
      </c>
      <c r="H10167" s="5">
        <f>HYPERLINK("https://api.qogita.com/variants/link/3473311806406/", "View Product")</f>
        <v/>
      </c>
    </row>
    <row r="10168">
      <c r="A10168" t="inlineStr">
        <is>
          <t>3473311807212</t>
        </is>
      </c>
      <c r="B10168" t="inlineStr">
        <is>
          <t>Le Teint Anti Aging Foundation 00r Swan 30ml</t>
        </is>
      </c>
      <c r="C10168" t="inlineStr">
        <is>
          <t>Foundation</t>
        </is>
      </c>
      <c r="D10168" t="inlineStr">
        <is>
          <t>Sisley-Paris</t>
        </is>
      </c>
      <c r="E10168" t="n">
        <v>87.47</v>
      </c>
      <c r="F10168" t="n">
        <v>1</v>
      </c>
      <c r="G10168" t="n">
        <v>5</v>
      </c>
      <c r="H10168" s="5">
        <f>HYPERLINK("https://api.qogita.com/variants/link/3473311807212/", "View Product")</f>
        <v/>
      </c>
    </row>
    <row r="10169">
      <c r="A10169" t="inlineStr">
        <is>
          <t>3473311807229</t>
        </is>
      </c>
      <c r="B10169" t="inlineStr">
        <is>
          <t>Sisley Le Teint Antiaging Foundation 1b Ecru 30ml</t>
        </is>
      </c>
      <c r="C10169" t="inlineStr">
        <is>
          <t>Foundation</t>
        </is>
      </c>
      <c r="D10169" t="inlineStr">
        <is>
          <t>Sisley</t>
        </is>
      </c>
      <c r="E10169" t="n">
        <v>92.08</v>
      </c>
      <c r="F10169" t="n">
        <v>1</v>
      </c>
      <c r="G10169" t="n">
        <v>3</v>
      </c>
      <c r="H10169" s="5">
        <f>HYPERLINK("https://api.qogita.com/variants/link/3473311807229/", "View Product")</f>
        <v/>
      </c>
    </row>
    <row r="10170">
      <c r="A10170" t="inlineStr">
        <is>
          <t>3473311820129</t>
        </is>
      </c>
      <c r="B10170" t="inlineStr">
        <is>
          <t>Sisley Le Phytoblush 2 Rosy Fushia 65 G</t>
        </is>
      </c>
      <c r="C10170" t="inlineStr">
        <is>
          <t>Blush</t>
        </is>
      </c>
      <c r="D10170" t="inlineStr">
        <is>
          <t>Sisley</t>
        </is>
      </c>
      <c r="E10170" t="n">
        <v>44.85</v>
      </c>
      <c r="F10170" t="n">
        <v>1</v>
      </c>
      <c r="G10170" t="n">
        <v>3</v>
      </c>
      <c r="H10170" s="5">
        <f>HYPERLINK("https://api.qogita.com/variants/link/3473311820129/", "View Product")</f>
        <v/>
      </c>
    </row>
    <row r="10171">
      <c r="A10171" t="inlineStr">
        <is>
          <t>3473311830425</t>
        </is>
      </c>
      <c r="B10171" t="inlineStr">
        <is>
          <t>Sisley 2 Natural</t>
        </is>
      </c>
      <c r="C10171" t="inlineStr">
        <is>
          <t>Powder</t>
        </is>
      </c>
      <c r="D10171" t="inlineStr">
        <is>
          <t>Sisley-Paris</t>
        </is>
      </c>
      <c r="E10171" t="n">
        <v>56.34</v>
      </c>
      <c r="F10171" t="n">
        <v>1</v>
      </c>
      <c r="G10171" t="n">
        <v>5</v>
      </c>
      <c r="H10171" s="5">
        <f>HYPERLINK("https://api.qogita.com/variants/link/3473311830425/", "View Product")</f>
        <v/>
      </c>
    </row>
    <row r="10172">
      <c r="A10172" t="inlineStr">
        <is>
          <t>3473311840257</t>
        </is>
      </c>
      <c r="B10172" t="inlineStr">
        <is>
          <t>Sisley Phyto-Touche Gel</t>
        </is>
      </c>
      <c r="C10172" t="inlineStr">
        <is>
          <t>Face Cream</t>
        </is>
      </c>
      <c r="D10172" t="inlineStr">
        <is>
          <t>Sisley-Paris</t>
        </is>
      </c>
      <c r="E10172" t="n">
        <v>54.98</v>
      </c>
      <c r="F10172" t="n">
        <v>1</v>
      </c>
      <c r="G10172" t="n">
        <v>5</v>
      </c>
      <c r="H10172" s="5">
        <f>HYPERLINK("https://api.qogita.com/variants/link/3473311840257/", "View Product")</f>
        <v/>
      </c>
    </row>
    <row r="10173">
      <c r="A10173" t="inlineStr">
        <is>
          <t>3473311847034</t>
        </is>
      </c>
      <c r="B10173" t="inlineStr">
        <is>
          <t>Sisley Stylo Lumiere Radiance Booster Highlighter Pen 4 Golden Beige 25 Ml</t>
        </is>
      </c>
      <c r="C10173" t="inlineStr">
        <is>
          <t>Highlighter</t>
        </is>
      </c>
      <c r="D10173" t="inlineStr">
        <is>
          <t>Sisley</t>
        </is>
      </c>
      <c r="E10173" t="n">
        <v>35.3</v>
      </c>
      <c r="F10173" t="n">
        <v>1</v>
      </c>
      <c r="G10173" t="n">
        <v>4</v>
      </c>
      <c r="H10173" s="5">
        <f>HYPERLINK("https://api.qogita.com/variants/link/3473311847034/", "View Product")</f>
        <v/>
      </c>
    </row>
    <row r="10174">
      <c r="A10174" t="inlineStr">
        <is>
          <t>3473311853110</t>
        </is>
      </c>
      <c r="B10174" t="inlineStr">
        <is>
          <t>Sisley So Intense Mascara 01 Deep Black 75 Ml</t>
        </is>
      </c>
      <c r="C10174" t="inlineStr">
        <is>
          <t>Mascara</t>
        </is>
      </c>
      <c r="D10174" t="inlineStr">
        <is>
          <t>Sisley</t>
        </is>
      </c>
      <c r="E10174" t="n">
        <v>36.3</v>
      </c>
      <c r="F10174" t="n">
        <v>1</v>
      </c>
      <c r="G10174" t="n">
        <v>3</v>
      </c>
      <c r="H10174" s="5">
        <f>HYPERLINK("https://api.qogita.com/variants/link/3473311853110/", "View Product")</f>
        <v/>
      </c>
    </row>
    <row r="10175">
      <c r="A10175" t="inlineStr">
        <is>
          <t>3473311853516</t>
        </is>
      </c>
      <c r="B10175" t="inlineStr">
        <is>
          <t>Sisley So Stretch Mascara 7.5ml</t>
        </is>
      </c>
      <c r="C10175" t="inlineStr">
        <is>
          <t>Mascara</t>
        </is>
      </c>
      <c r="D10175" t="inlineStr">
        <is>
          <t>Sisley</t>
        </is>
      </c>
      <c r="E10175" t="n">
        <v>33.85</v>
      </c>
      <c r="F10175" t="n">
        <v>1</v>
      </c>
      <c r="G10175" t="n">
        <v>3</v>
      </c>
      <c r="H10175" s="5">
        <f>HYPERLINK("https://api.qogita.com/variants/link/3473311853516/", "View Product")</f>
        <v/>
      </c>
    </row>
    <row r="10176">
      <c r="A10176" t="inlineStr">
        <is>
          <t>3473311853523</t>
        </is>
      </c>
      <c r="B10176" t="inlineStr">
        <is>
          <t>Sisley So Stretch Mascara 02 Deep Brown 75 Ml</t>
        </is>
      </c>
      <c r="C10176" t="inlineStr">
        <is>
          <t>Mascara</t>
        </is>
      </c>
      <c r="D10176" t="inlineStr">
        <is>
          <t>Sisley</t>
        </is>
      </c>
      <c r="E10176" t="n">
        <v>36.26</v>
      </c>
      <c r="F10176" t="n">
        <v>1</v>
      </c>
      <c r="G10176" t="n">
        <v>3</v>
      </c>
      <c r="H10176" s="5">
        <f>HYPERLINK("https://api.qogita.com/variants/link/3473311853523/", "View Product")</f>
        <v/>
      </c>
    </row>
    <row r="10177">
      <c r="A10177" t="inlineStr">
        <is>
          <t>3473311866028</t>
        </is>
      </c>
      <c r="B10177" t="inlineStr">
        <is>
          <t>Sisley Les Phyto-Ombres 11 Mat Nude Eye Shadow</t>
        </is>
      </c>
      <c r="C10177" t="inlineStr">
        <is>
          <t>Eyeshadow</t>
        </is>
      </c>
      <c r="D10177" t="inlineStr">
        <is>
          <t>Sisley-Paris</t>
        </is>
      </c>
      <c r="E10177" t="n">
        <v>29.13</v>
      </c>
      <c r="F10177" t="n">
        <v>1</v>
      </c>
      <c r="G10177" t="n">
        <v>3</v>
      </c>
      <c r="H10177" s="5">
        <f>HYPERLINK("https://api.qogita.com/variants/link/3473311866028/", "View Product")</f>
        <v/>
      </c>
    </row>
    <row r="10178">
      <c r="A10178" t="inlineStr">
        <is>
          <t>3473311866080</t>
        </is>
      </c>
      <c r="B10178" t="inlineStr">
        <is>
          <t>Sisley 21 Mat Cocoa</t>
        </is>
      </c>
      <c r="C10178" t="inlineStr">
        <is>
          <t>Foundation</t>
        </is>
      </c>
      <c r="D10178" t="inlineStr">
        <is>
          <t>Sisley-Paris</t>
        </is>
      </c>
      <c r="E10178" t="n">
        <v>31.54</v>
      </c>
      <c r="F10178" t="n">
        <v>1</v>
      </c>
      <c r="G10178" t="n">
        <v>2</v>
      </c>
      <c r="H10178" s="5">
        <f>HYPERLINK("https://api.qogita.com/variants/link/3473311866080/", "View Product")</f>
        <v/>
      </c>
    </row>
    <row r="10179">
      <c r="A10179" t="inlineStr">
        <is>
          <t>3473311866141</t>
        </is>
      </c>
      <c r="B10179" t="inlineStr">
        <is>
          <t>Sisley Les Phytoombres Eye Shadow 31 Metallic Pink 15g</t>
        </is>
      </c>
      <c r="C10179" t="inlineStr">
        <is>
          <t>Eyeshadow</t>
        </is>
      </c>
      <c r="D10179" t="inlineStr">
        <is>
          <t>Sisley</t>
        </is>
      </c>
      <c r="E10179" t="n">
        <v>27.81</v>
      </c>
      <c r="F10179" t="n">
        <v>1</v>
      </c>
      <c r="G10179" t="n">
        <v>4</v>
      </c>
      <c r="H10179" s="5">
        <f>HYPERLINK("https://api.qogita.com/variants/link/3473311866141/", "View Product")</f>
        <v/>
      </c>
    </row>
    <row r="10180">
      <c r="A10180" t="inlineStr">
        <is>
          <t>3473311866158</t>
        </is>
      </c>
      <c r="B10180" t="inlineStr">
        <is>
          <t>Sisley Phytoombre Eye Shadow 32 Silky Coral 15 G</t>
        </is>
      </c>
      <c r="C10180" t="inlineStr">
        <is>
          <t>Eyeshadow</t>
        </is>
      </c>
      <c r="D10180" t="inlineStr">
        <is>
          <t>Sisley</t>
        </is>
      </c>
      <c r="E10180" t="n">
        <v>29.28</v>
      </c>
      <c r="F10180" t="n">
        <v>1</v>
      </c>
      <c r="G10180" t="n">
        <v>2</v>
      </c>
      <c r="H10180" s="5">
        <f>HYPERLINK("https://api.qogita.com/variants/link/3473311866158/", "View Product")</f>
        <v/>
      </c>
    </row>
    <row r="10181">
      <c r="A10181" t="inlineStr">
        <is>
          <t>3473311873132</t>
        </is>
      </c>
      <c r="B10181" t="inlineStr">
        <is>
          <t>Sisley Phytokhol Perfect Eye Pencil Steel 3 12 G</t>
        </is>
      </c>
      <c r="C10181" t="inlineStr">
        <is>
          <t>Eye Pencil</t>
        </is>
      </c>
      <c r="D10181" t="inlineStr">
        <is>
          <t>Sisley</t>
        </is>
      </c>
      <c r="E10181" t="n">
        <v>35.55</v>
      </c>
      <c r="F10181" t="n">
        <v>1</v>
      </c>
      <c r="G10181" t="n">
        <v>4</v>
      </c>
      <c r="H10181" s="5">
        <f>HYPERLINK("https://api.qogita.com/variants/link/3473311873132/", "View Product")</f>
        <v/>
      </c>
    </row>
    <row r="10182">
      <c r="A10182" t="inlineStr">
        <is>
          <t>3473311873200</t>
        </is>
      </c>
      <c r="B10182" t="inlineStr">
        <is>
          <t>Sisley Phytokhol Perfect Eye Pencil In Ebony 12g</t>
        </is>
      </c>
      <c r="C10182" t="inlineStr">
        <is>
          <t>Eye Pencil</t>
        </is>
      </c>
      <c r="D10182" t="inlineStr">
        <is>
          <t>Sisley</t>
        </is>
      </c>
      <c r="E10182" t="n">
        <v>31.42</v>
      </c>
      <c r="F10182" t="n">
        <v>1</v>
      </c>
      <c r="G10182" t="n">
        <v>8</v>
      </c>
      <c r="H10182" s="5">
        <f>HYPERLINK("https://api.qogita.com/variants/link/3473311873200/", "View Product")</f>
        <v/>
      </c>
    </row>
    <row r="10183">
      <c r="A10183" t="inlineStr">
        <is>
          <t>3473311875266</t>
        </is>
      </c>
      <c r="B10183" t="inlineStr">
        <is>
          <t>Sisley Phyto Sourcils Design Brow Architect Pencil 3 In 1 Espresso 2 X 02 G</t>
        </is>
      </c>
      <c r="C10183" t="inlineStr">
        <is>
          <t>Eyebrow Pencil</t>
        </is>
      </c>
      <c r="D10183" t="inlineStr">
        <is>
          <t>Sisley</t>
        </is>
      </c>
      <c r="E10183" t="n">
        <v>34.77</v>
      </c>
      <c r="F10183" t="n">
        <v>1</v>
      </c>
      <c r="G10183" t="n">
        <v>5</v>
      </c>
      <c r="H10183" s="5">
        <f>HYPERLINK("https://api.qogita.com/variants/link/3473311875266/", "View Product")</f>
        <v/>
      </c>
    </row>
    <row r="10184">
      <c r="A10184" t="inlineStr">
        <is>
          <t>3473311878045</t>
        </is>
      </c>
      <c r="B10184" t="inlineStr">
        <is>
          <t>Sisley Phytolip Twist 25 G</t>
        </is>
      </c>
      <c r="C10184" t="inlineStr">
        <is>
          <t>Lip Balm</t>
        </is>
      </c>
      <c r="D10184" t="inlineStr">
        <is>
          <t>Sisley</t>
        </is>
      </c>
      <c r="E10184" t="n">
        <v>26.34</v>
      </c>
      <c r="F10184" t="n">
        <v>1</v>
      </c>
      <c r="G10184" t="n">
        <v>7</v>
      </c>
      <c r="H10184" s="5">
        <f>HYPERLINK("https://api.qogita.com/variants/link/3473311878045/", "View Product")</f>
        <v/>
      </c>
    </row>
    <row r="10185">
      <c r="A10185" t="inlineStr">
        <is>
          <t>3473311931603</t>
        </is>
      </c>
      <c r="B10185" t="inlineStr">
        <is>
          <t>Sisley L'Eau Revee D'Isa Eau De Toilette Spray 50ml</t>
        </is>
      </c>
      <c r="C10185" t="inlineStr">
        <is>
          <t>Eau De Toilette</t>
        </is>
      </c>
      <c r="D10185" t="inlineStr">
        <is>
          <t>Sisley</t>
        </is>
      </c>
      <c r="E10185" t="n">
        <v>52.8</v>
      </c>
      <c r="F10185" t="n">
        <v>1</v>
      </c>
      <c r="G10185" t="n">
        <v>11</v>
      </c>
      <c r="H10185" s="5">
        <f>HYPERLINK("https://api.qogita.com/variants/link/3473311931603/", "View Product")</f>
        <v/>
      </c>
    </row>
    <row r="10186">
      <c r="A10186" t="inlineStr">
        <is>
          <t>3473311935007</t>
        </is>
      </c>
      <c r="B10186" t="inlineStr">
        <is>
          <t>Sisley L'Eau Revee D'Hubert Eau De Toilette Spray 100ml</t>
        </is>
      </c>
      <c r="C10186" t="inlineStr">
        <is>
          <t>Eau De Toilette</t>
        </is>
      </c>
      <c r="D10186" t="inlineStr">
        <is>
          <t>Sisley</t>
        </is>
      </c>
      <c r="E10186" t="n">
        <v>80.08</v>
      </c>
      <c r="F10186" t="n">
        <v>1</v>
      </c>
      <c r="G10186" t="n">
        <v>2</v>
      </c>
      <c r="H10186" s="5">
        <f>HYPERLINK("https://api.qogita.com/variants/link/3473311935007/", "View Product")</f>
        <v/>
      </c>
    </row>
    <row r="10187">
      <c r="A10187" t="inlineStr">
        <is>
          <t>3473311962003</t>
        </is>
      </c>
      <c r="B10187" t="inlineStr">
        <is>
          <t>Sisley Eau Du Soir Eau De Parfum Spray 100ml</t>
        </is>
      </c>
      <c r="C10187" t="inlineStr">
        <is>
          <t>Eau De Parfum</t>
        </is>
      </c>
      <c r="D10187" t="inlineStr">
        <is>
          <t>Sisley</t>
        </is>
      </c>
      <c r="E10187" t="n">
        <v>106.11</v>
      </c>
      <c r="F10187" t="n">
        <v>1</v>
      </c>
      <c r="G10187" t="n">
        <v>118</v>
      </c>
      <c r="H10187" s="5">
        <f>HYPERLINK("https://api.qogita.com/variants/link/3473311962003/", "View Product")</f>
        <v/>
      </c>
    </row>
    <row r="10188">
      <c r="A10188" t="inlineStr">
        <is>
          <t>3473311964007</t>
        </is>
      </c>
      <c r="B10188" t="inlineStr">
        <is>
          <t>Sisley Eau De Soir Bath Gel 250ml For Women</t>
        </is>
      </c>
      <c r="C10188" t="inlineStr">
        <is>
          <t>Shower Gel</t>
        </is>
      </c>
      <c r="D10188" t="inlineStr">
        <is>
          <t>Sisley</t>
        </is>
      </c>
      <c r="E10188" t="n">
        <v>40.35</v>
      </c>
      <c r="F10188" t="n">
        <v>1</v>
      </c>
      <c r="G10188" t="n">
        <v>4</v>
      </c>
      <c r="H10188" s="5">
        <f>HYPERLINK("https://api.qogita.com/variants/link/3473311964007/", "View Product")</f>
        <v/>
      </c>
    </row>
    <row r="10189">
      <c r="A10189" t="inlineStr">
        <is>
          <t>3473311980007</t>
        </is>
      </c>
      <c r="B10189" t="inlineStr">
        <is>
          <t>Sisley Soir De Lune Eau De Parfum Spray 30ml</t>
        </is>
      </c>
      <c r="C10189" t="inlineStr">
        <is>
          <t>Eau De Parfum</t>
        </is>
      </c>
      <c r="D10189" t="inlineStr">
        <is>
          <t>Sisley</t>
        </is>
      </c>
      <c r="E10189" t="n">
        <v>70.14</v>
      </c>
      <c r="F10189" t="n">
        <v>1</v>
      </c>
      <c r="G10189" t="n">
        <v>8</v>
      </c>
      <c r="H10189" s="5">
        <f>HYPERLINK("https://api.qogita.com/variants/link/3473311980007/", "View Product")</f>
        <v/>
      </c>
    </row>
    <row r="10190">
      <c r="A10190" t="inlineStr">
        <is>
          <t>3473311985507</t>
        </is>
      </c>
      <c r="B10190" t="inlineStr">
        <is>
          <t>Sisley Ladies Izia Eau De Perfume 50ml Spray</t>
        </is>
      </c>
      <c r="C10190" t="inlineStr">
        <is>
          <t>Eau De Parfum</t>
        </is>
      </c>
      <c r="D10190" t="inlineStr">
        <is>
          <t>Sisley-Paris</t>
        </is>
      </c>
      <c r="E10190" t="n">
        <v>69.22</v>
      </c>
      <c r="F10190" t="n">
        <v>1</v>
      </c>
      <c r="G10190" t="n">
        <v>12</v>
      </c>
      <c r="H10190" s="5">
        <f>HYPERLINK("https://api.qogita.com/variants/link/3473311985507/", "View Product")</f>
        <v/>
      </c>
    </row>
    <row r="10191">
      <c r="A10191" t="inlineStr">
        <is>
          <t>3473311986306</t>
        </is>
      </c>
      <c r="B10191" t="inlineStr">
        <is>
          <t>Sisley Paris Izia La Nuit Eau de Parfum 30ml</t>
        </is>
      </c>
      <c r="C10191" t="inlineStr">
        <is>
          <t>Eau De Parfum</t>
        </is>
      </c>
      <c r="D10191" t="inlineStr">
        <is>
          <t>Sisley-Paris</t>
        </is>
      </c>
      <c r="E10191" t="n">
        <v>65.31999999999999</v>
      </c>
      <c r="F10191" t="n">
        <v>1</v>
      </c>
      <c r="G10191" t="n">
        <v>6</v>
      </c>
      <c r="H10191" s="5">
        <f>HYPERLINK("https://api.qogita.com/variants/link/3473311986306/", "View Product")</f>
        <v/>
      </c>
    </row>
    <row r="10192">
      <c r="A10192" t="inlineStr">
        <is>
          <t>3473311986337</t>
        </is>
      </c>
      <c r="B10192" t="inlineStr">
        <is>
          <t>Sisley Izia La Nuit 30ml Eau de Parfum and 6.5ml EDP New and Sealed</t>
        </is>
      </c>
      <c r="C10192" t="inlineStr">
        <is>
          <t>Eau De Parfum</t>
        </is>
      </c>
      <c r="D10192" t="inlineStr">
        <is>
          <t>Sisley</t>
        </is>
      </c>
      <c r="E10192" t="n">
        <v>65.93000000000001</v>
      </c>
      <c r="F10192" t="n">
        <v>1</v>
      </c>
      <c r="G10192" t="n">
        <v>14</v>
      </c>
      <c r="H10192" s="5">
        <f>HYPERLINK("https://api.qogita.com/variants/link/3473311986337/", "View Product")</f>
        <v/>
      </c>
    </row>
    <row r="10193">
      <c r="A10193" t="inlineStr">
        <is>
          <t>3474630146570</t>
        </is>
      </c>
      <c r="B10193" t="inlineStr">
        <is>
          <t>Shu Uemura Silk Bloom Masque 200 Ml Restorative Mask For Damaged Hair</t>
        </is>
      </c>
      <c r="C10193" t="inlineStr">
        <is>
          <t>Hair Masks</t>
        </is>
      </c>
      <c r="D10193" t="inlineStr">
        <is>
          <t>Shu Uemura</t>
        </is>
      </c>
      <c r="E10193" t="n">
        <v>71.87</v>
      </c>
      <c r="F10193" t="n">
        <v>1</v>
      </c>
      <c r="G10193" t="n">
        <v>2</v>
      </c>
      <c r="H10193" s="5">
        <f>HYPERLINK("https://api.qogita.com/variants/link/3474630146570/", "View Product")</f>
        <v/>
      </c>
    </row>
    <row r="10194">
      <c r="A10194" t="inlineStr">
        <is>
          <t>3474630382091</t>
        </is>
      </c>
      <c r="B10194" t="inlineStr">
        <is>
          <t>Kerastase Resistance Bain Force Architecte Strengthening Shampoo 1000ml</t>
        </is>
      </c>
      <c r="C10194" t="inlineStr">
        <is>
          <t>Shampoo</t>
        </is>
      </c>
      <c r="D10194" t="inlineStr">
        <is>
          <t>Kérastase</t>
        </is>
      </c>
      <c r="E10194" t="n">
        <v>43.73</v>
      </c>
      <c r="F10194" t="n">
        <v>1</v>
      </c>
      <c r="G10194" t="n">
        <v>2</v>
      </c>
      <c r="H10194" s="5">
        <f>HYPERLINK("https://api.qogita.com/variants/link/3474630382091/", "View Product")</f>
        <v/>
      </c>
    </row>
    <row r="10195">
      <c r="A10195" t="inlineStr">
        <is>
          <t>3474630412743</t>
        </is>
      </c>
      <c r="B10195" t="inlineStr">
        <is>
          <t>L’Oréal Inoa 4 Brown Hair Colour 60g</t>
        </is>
      </c>
      <c r="C10195" t="inlineStr">
        <is>
          <t>Hair Dye</t>
        </is>
      </c>
      <c r="D10195" t="inlineStr">
        <is>
          <t>L'Oréal Professionnel</t>
        </is>
      </c>
      <c r="E10195" t="n">
        <v>11.37</v>
      </c>
      <c r="F10195" t="n">
        <v>1</v>
      </c>
      <c r="G10195" t="n">
        <v>3</v>
      </c>
      <c r="H10195" s="5">
        <f>HYPERLINK("https://api.qogita.com/variants/link/3474630412743/", "View Product")</f>
        <v/>
      </c>
    </row>
    <row r="10196">
      <c r="A10196" t="inlineStr">
        <is>
          <t>3474630417830</t>
        </is>
      </c>
      <c r="B10196" t="inlineStr">
        <is>
          <t>L'Oreal Inoa 20 Vol Oxydant 1000ml</t>
        </is>
      </c>
      <c r="C10196" t="inlineStr">
        <is>
          <t>Hair Dye</t>
        </is>
      </c>
      <c r="D10196" t="inlineStr">
        <is>
          <t>L'Oréal</t>
        </is>
      </c>
      <c r="E10196" t="n">
        <v>10.42</v>
      </c>
      <c r="F10196" t="n">
        <v>1</v>
      </c>
      <c r="G10196" t="n">
        <v>19</v>
      </c>
      <c r="H10196" s="5">
        <f>HYPERLINK("https://api.qogita.com/variants/link/3474630417830/", "View Product")</f>
        <v/>
      </c>
    </row>
    <row r="10197">
      <c r="A10197" t="inlineStr">
        <is>
          <t>3474630440395</t>
        </is>
      </c>
      <c r="B10197" t="inlineStr">
        <is>
          <t>Loreal Professional Diactivateur Developer 6 Vol 1000ml</t>
        </is>
      </c>
      <c r="C10197" t="inlineStr">
        <is>
          <t>Hair Dye</t>
        </is>
      </c>
      <c r="D10197" t="inlineStr">
        <is>
          <t>L'Oréal</t>
        </is>
      </c>
      <c r="E10197" t="n">
        <v>10.4</v>
      </c>
      <c r="F10197" t="n">
        <v>1</v>
      </c>
      <c r="G10197" t="n">
        <v>5</v>
      </c>
      <c r="H10197" s="5">
        <f>HYPERLINK("https://api.qogita.com/variants/link/3474630440395/", "View Product")</f>
        <v/>
      </c>
    </row>
    <row r="10198">
      <c r="A10198" t="inlineStr">
        <is>
          <t>3474630440470</t>
        </is>
      </c>
      <c r="B10198" t="inlineStr">
        <is>
          <t>Loreal DIA ACTIVATEUR II 15 VOL 1L V034 White 1000ml</t>
        </is>
      </c>
      <c r="C10198" t="inlineStr">
        <is>
          <t>Hair Dye</t>
        </is>
      </c>
      <c r="D10198" t="inlineStr">
        <is>
          <t>L'Oréal</t>
        </is>
      </c>
      <c r="E10198" t="n">
        <v>10.99</v>
      </c>
      <c r="F10198" t="n">
        <v>1</v>
      </c>
      <c r="G10198" t="n">
        <v>5</v>
      </c>
      <c r="H10198" s="5">
        <f>HYPERLINK("https://api.qogita.com/variants/link/3474630440470/", "View Product")</f>
        <v/>
      </c>
    </row>
    <row r="10199">
      <c r="A10199" t="inlineStr">
        <is>
          <t>3474630449244</t>
        </is>
      </c>
      <c r="B10199" t="inlineStr">
        <is>
          <t>L'oréal Professionnel Oxidant Cream 40vol 12% 1000ml</t>
        </is>
      </c>
      <c r="C10199" t="inlineStr">
        <is>
          <t>Bleaching</t>
        </is>
      </c>
      <c r="D10199" t="inlineStr">
        <is>
          <t>L'Oréal</t>
        </is>
      </c>
      <c r="E10199" t="n">
        <v>10.79</v>
      </c>
      <c r="F10199" t="n">
        <v>1</v>
      </c>
      <c r="G10199" t="n">
        <v>7</v>
      </c>
      <c r="H10199" s="5">
        <f>HYPERLINK("https://api.qogita.com/variants/link/3474630449244/", "View Product")</f>
        <v/>
      </c>
    </row>
    <row r="10200">
      <c r="A10200" t="inlineStr">
        <is>
          <t>3474630587601</t>
        </is>
      </c>
      <c r="B10200" t="inlineStr">
        <is>
          <t>L'Oral Professionnel Permanent Hair Color Majirel 48</t>
        </is>
      </c>
      <c r="C10200" t="inlineStr">
        <is>
          <t>Hair Dye</t>
        </is>
      </c>
      <c r="D10200" t="inlineStr">
        <is>
          <t>L'Oréal Professionnel</t>
        </is>
      </c>
      <c r="E10200" t="n">
        <v>8.050000000000001</v>
      </c>
      <c r="F10200" t="n">
        <v>1</v>
      </c>
      <c r="G10200" t="n">
        <v>3</v>
      </c>
      <c r="H10200" s="5">
        <f>HYPERLINK("https://api.qogita.com/variants/link/3474630587601/", "View Product")</f>
        <v/>
      </c>
    </row>
    <row r="10201">
      <c r="A10201" t="inlineStr">
        <is>
          <t>3474630620766</t>
        </is>
      </c>
      <c r="B10201" t="inlineStr">
        <is>
          <t>Matrix Biolage Colorlast Shampoo For Colored Hair 250ml</t>
        </is>
      </c>
      <c r="C10201" t="inlineStr">
        <is>
          <t>Shampoo</t>
        </is>
      </c>
      <c r="D10201" t="inlineStr">
        <is>
          <t>Matrix</t>
        </is>
      </c>
      <c r="E10201" t="n">
        <v>12.47</v>
      </c>
      <c r="F10201" t="n">
        <v>1</v>
      </c>
      <c r="G10201" t="n">
        <v>7</v>
      </c>
      <c r="H10201" s="5">
        <f>HYPERLINK("https://api.qogita.com/variants/link/3474630620766/", "View Product")</f>
        <v/>
      </c>
    </row>
    <row r="10202">
      <c r="A10202" t="inlineStr">
        <is>
          <t>3474630620926</t>
        </is>
      </c>
      <c r="B10202" t="inlineStr">
        <is>
          <t>Matrix Smoothproof Shampoo Smoothing Shampoo For Hair 250ml</t>
        </is>
      </c>
      <c r="C10202" t="inlineStr">
        <is>
          <t>Shampoo</t>
        </is>
      </c>
      <c r="D10202" t="inlineStr">
        <is>
          <t>Matrix</t>
        </is>
      </c>
      <c r="E10202" t="n">
        <v>13.06</v>
      </c>
      <c r="F10202" t="n">
        <v>1</v>
      </c>
      <c r="G10202" t="n">
        <v>13</v>
      </c>
      <c r="H10202" s="5">
        <f>HYPERLINK("https://api.qogita.com/variants/link/3474630620926/", "View Product")</f>
        <v/>
      </c>
    </row>
    <row r="10203">
      <c r="A10203" t="inlineStr">
        <is>
          <t>3474630642959</t>
        </is>
      </c>
      <c r="B10203" t="inlineStr">
        <is>
          <t>L'Oréal Professionnel Inoa Hair Dye 9.0 Very Light Intense Blonde 60ml</t>
        </is>
      </c>
      <c r="C10203" t="inlineStr">
        <is>
          <t>Hair Dye</t>
        </is>
      </c>
      <c r="D10203" t="inlineStr">
        <is>
          <t>L'Oréal Professionnel</t>
        </is>
      </c>
      <c r="E10203" t="n">
        <v>9.859999999999999</v>
      </c>
      <c r="F10203" t="n">
        <v>1</v>
      </c>
      <c r="G10203" t="n">
        <v>3</v>
      </c>
      <c r="H10203" s="5">
        <f>HYPERLINK("https://api.qogita.com/variants/link/3474630642959/", "View Product")</f>
        <v/>
      </c>
    </row>
    <row r="10204">
      <c r="A10204" t="inlineStr">
        <is>
          <t>3474630650411</t>
        </is>
      </c>
      <c r="B10204" t="inlineStr">
        <is>
          <t>Redken Cerafill Aminexil 6ml - Pack of 10</t>
        </is>
      </c>
      <c r="C10204" t="inlineStr">
        <is>
          <t>Scalp Care</t>
        </is>
      </c>
      <c r="D10204" t="inlineStr">
        <is>
          <t>Redken</t>
        </is>
      </c>
      <c r="E10204" t="n">
        <v>45.6</v>
      </c>
      <c r="F10204" t="n">
        <v>1</v>
      </c>
      <c r="G10204" t="n">
        <v>2</v>
      </c>
      <c r="H10204" s="5">
        <f>HYPERLINK("https://api.qogita.com/variants/link/3474630650411/", "View Product")</f>
        <v/>
      </c>
    </row>
    <row r="10205">
      <c r="A10205" t="inlineStr">
        <is>
          <t>3474630713383</t>
        </is>
      </c>
      <c r="B10205" t="inlineStr">
        <is>
          <t>Krastase Serum Thrapiste Dual Treatment 30 Ml For Very Damaged Hair</t>
        </is>
      </c>
      <c r="C10205" t="inlineStr">
        <is>
          <t>Hair Oil &amp; Hair Serum</t>
        </is>
      </c>
      <c r="D10205" t="inlineStr">
        <is>
          <t>Kérastase</t>
        </is>
      </c>
      <c r="E10205" t="n">
        <v>39</v>
      </c>
      <c r="F10205" t="n">
        <v>1</v>
      </c>
      <c r="G10205" t="n">
        <v>10</v>
      </c>
      <c r="H10205" s="5">
        <f>HYPERLINK("https://api.qogita.com/variants/link/3474630713383/", "View Product")</f>
        <v/>
      </c>
    </row>
    <row r="10206">
      <c r="A10206" t="inlineStr">
        <is>
          <t>3474630740785</t>
        </is>
      </c>
      <c r="B10206" t="inlineStr">
        <is>
          <t>Matrix Total Results Mega Sleek Shea Butter Conditioner - 300ml</t>
        </is>
      </c>
      <c r="C10206" t="inlineStr">
        <is>
          <t>Conditioner</t>
        </is>
      </c>
      <c r="D10206" t="inlineStr">
        <is>
          <t>Matrix</t>
        </is>
      </c>
      <c r="E10206" t="n">
        <v>8.56</v>
      </c>
      <c r="F10206" t="n">
        <v>1</v>
      </c>
      <c r="G10206" t="n">
        <v>3</v>
      </c>
      <c r="H10206" s="5">
        <f>HYPERLINK("https://api.qogita.com/variants/link/3474630740785/", "View Product")</f>
        <v/>
      </c>
    </row>
    <row r="10207">
      <c r="A10207" t="inlineStr">
        <is>
          <t>3474630740822</t>
        </is>
      </c>
      <c r="B10207" t="inlineStr">
        <is>
          <t>Matrix Total Results Mega Sleek Conditioner 1000ml</t>
        </is>
      </c>
      <c r="C10207" t="inlineStr">
        <is>
          <t>Conditioner</t>
        </is>
      </c>
      <c r="D10207" t="inlineStr">
        <is>
          <t>Matrix</t>
        </is>
      </c>
      <c r="E10207" t="n">
        <v>16.84</v>
      </c>
      <c r="F10207" t="n">
        <v>1</v>
      </c>
      <c r="G10207" t="n">
        <v>9</v>
      </c>
      <c r="H10207" s="5">
        <f>HYPERLINK("https://api.qogita.com/variants/link/3474630740822/", "View Product")</f>
        <v/>
      </c>
    </row>
    <row r="10208">
      <c r="A10208" t="inlineStr">
        <is>
          <t>3474634001837</t>
        </is>
      </c>
      <c r="B10208" t="inlineStr">
        <is>
          <t>L'Oral Professionnel Majirel 210 Hair Color</t>
        </is>
      </c>
      <c r="C10208" t="inlineStr">
        <is>
          <t>Hair Dye</t>
        </is>
      </c>
      <c r="D10208" t="inlineStr">
        <is>
          <t>L'Oréal Professionnel</t>
        </is>
      </c>
      <c r="E10208" t="n">
        <v>9.039999999999999</v>
      </c>
      <c r="F10208" t="n">
        <v>1</v>
      </c>
      <c r="G10208" t="n">
        <v>3</v>
      </c>
      <c r="H10208" s="5">
        <f>HYPERLINK("https://api.qogita.com/variants/link/3474634001837/", "View Product")</f>
        <v/>
      </c>
    </row>
    <row r="10209">
      <c r="A10209" t="inlineStr">
        <is>
          <t>3474634002148</t>
        </is>
      </c>
      <c r="B10209" t="inlineStr">
        <is>
          <t>Loreal Absolu 6.32 Dark Golden Iridescent Blonde 50ml</t>
        </is>
      </c>
      <c r="C10209" t="inlineStr">
        <is>
          <t>Hair Dye</t>
        </is>
      </c>
      <c r="D10209" t="inlineStr">
        <is>
          <t>L'Oréal</t>
        </is>
      </c>
      <c r="E10209" t="n">
        <v>9.18</v>
      </c>
      <c r="F10209" t="n">
        <v>1</v>
      </c>
      <c r="G10209" t="n">
        <v>3</v>
      </c>
      <c r="H10209" s="5">
        <f>HYPERLINK("https://api.qogita.com/variants/link/3474634002148/", "View Product")</f>
        <v/>
      </c>
    </row>
    <row r="10210">
      <c r="A10210" t="inlineStr">
        <is>
          <t>3474634002292</t>
        </is>
      </c>
      <c r="B10210" t="inlineStr">
        <is>
          <t>L’Oreal Majirel Permanent Hair Color 5.52 Light Mahogany Iridescent Brown 50ml</t>
        </is>
      </c>
      <c r="C10210" t="inlineStr">
        <is>
          <t>Hair Dye</t>
        </is>
      </c>
      <c r="D10210" t="inlineStr">
        <is>
          <t>L'Oréal Professionnel</t>
        </is>
      </c>
      <c r="E10210" t="n">
        <v>8.619999999999999</v>
      </c>
      <c r="F10210" t="n">
        <v>1</v>
      </c>
      <c r="G10210" t="n">
        <v>3</v>
      </c>
      <c r="H10210" s="5">
        <f>HYPERLINK("https://api.qogita.com/variants/link/3474634002292/", "View Product")</f>
        <v/>
      </c>
    </row>
    <row r="10211">
      <c r="A10211" t="inlineStr">
        <is>
          <t>3474634002315</t>
        </is>
      </c>
      <c r="B10211" t="inlineStr">
        <is>
          <t>Loreal Majirel hair dye colour dark copper mahogany blonde 6.45 50ml.</t>
        </is>
      </c>
      <c r="C10211" t="inlineStr">
        <is>
          <t>Hair Dye</t>
        </is>
      </c>
      <c r="D10211" t="inlineStr">
        <is>
          <t>L'Oréal Paris</t>
        </is>
      </c>
      <c r="E10211" t="n">
        <v>9.18</v>
      </c>
      <c r="F10211" t="n">
        <v>1</v>
      </c>
      <c r="G10211" t="n">
        <v>3</v>
      </c>
      <c r="H10211" s="5">
        <f>HYPERLINK("https://api.qogita.com/variants/link/3474634002315/", "View Product")</f>
        <v/>
      </c>
    </row>
    <row r="10212">
      <c r="A10212" t="inlineStr">
        <is>
          <t>3474634002940</t>
        </is>
      </c>
      <c r="B10212" t="inlineStr">
        <is>
          <t>L'Oral Professionnel Majirel 10 Hair Color</t>
        </is>
      </c>
      <c r="C10212" t="inlineStr">
        <is>
          <t>Hair Dye</t>
        </is>
      </c>
      <c r="D10212" t="inlineStr">
        <is>
          <t>L'Oréal Professionnel</t>
        </is>
      </c>
      <c r="E10212" t="n">
        <v>8.460000000000001</v>
      </c>
      <c r="F10212" t="n">
        <v>1</v>
      </c>
      <c r="G10212" t="n">
        <v>3</v>
      </c>
      <c r="H10212" s="5">
        <f>HYPERLINK("https://api.qogita.com/variants/link/3474634002940/", "View Product")</f>
        <v/>
      </c>
    </row>
    <row r="10213">
      <c r="A10213" t="inlineStr">
        <is>
          <t>3474634002995</t>
        </is>
      </c>
      <c r="B10213" t="inlineStr">
        <is>
          <t>L'Oreal 50ml Majirel Permanent Hair Colour Very Pale Blonde</t>
        </is>
      </c>
      <c r="C10213" t="inlineStr">
        <is>
          <t>Hair Dye</t>
        </is>
      </c>
      <c r="D10213" t="inlineStr">
        <is>
          <t>L Oreal</t>
        </is>
      </c>
      <c r="E10213" t="n">
        <v>8.5</v>
      </c>
      <c r="F10213" t="n">
        <v>1</v>
      </c>
      <c r="G10213" t="n">
        <v>3</v>
      </c>
      <c r="H10213" s="5">
        <f>HYPERLINK("https://api.qogita.com/variants/link/3474634002995/", "View Product")</f>
        <v/>
      </c>
    </row>
    <row r="10214">
      <c r="A10214" t="inlineStr">
        <is>
          <t>3474636397525</t>
        </is>
      </c>
      <c r="B10214" t="inlineStr">
        <is>
          <t>Kérastase Specifique Soothing Scalp Treatment for Sensitive Scalps All Hair Types with Calophyllum Oil and Glycerine</t>
        </is>
      </c>
      <c r="C10214" t="inlineStr">
        <is>
          <t>Scalp Care</t>
        </is>
      </c>
      <c r="D10214" t="inlineStr">
        <is>
          <t>Kérastase</t>
        </is>
      </c>
      <c r="E10214" t="n">
        <v>52.29</v>
      </c>
      <c r="F10214" t="n">
        <v>1</v>
      </c>
      <c r="G10214" t="n">
        <v>3</v>
      </c>
      <c r="H10214" s="5">
        <f>HYPERLINK("https://api.qogita.com/variants/link/3474636397525/", "View Product")</f>
        <v/>
      </c>
    </row>
    <row r="10215">
      <c r="A10215" t="inlineStr">
        <is>
          <t>3474636404384</t>
        </is>
      </c>
      <c r="B10215" t="inlineStr">
        <is>
          <t>Kerastase Densifique Bain Densite Homme Densifying Shampoo for Men 250ml</t>
        </is>
      </c>
      <c r="C10215" t="inlineStr">
        <is>
          <t>Shampoo</t>
        </is>
      </c>
      <c r="D10215" t="inlineStr">
        <is>
          <t>Kérastase</t>
        </is>
      </c>
      <c r="E10215" t="n">
        <v>23.32</v>
      </c>
      <c r="F10215" t="n">
        <v>1</v>
      </c>
      <c r="G10215" t="n">
        <v>10</v>
      </c>
      <c r="H10215" s="5">
        <f>HYPERLINK("https://api.qogita.com/variants/link/3474636404384/", "View Product")</f>
        <v/>
      </c>
    </row>
    <row r="10216">
      <c r="A10216" t="inlineStr">
        <is>
          <t>3474636471706</t>
        </is>
      </c>
      <c r="B10216" t="inlineStr">
        <is>
          <t>L'Oréal Professionnel Infinium Pure Soft 300ml</t>
        </is>
      </c>
      <c r="C10216" t="inlineStr">
        <is>
          <t>Hairspray</t>
        </is>
      </c>
      <c r="D10216" t="inlineStr">
        <is>
          <t>L'Oréal Paris</t>
        </is>
      </c>
      <c r="E10216" t="n">
        <v>8.81</v>
      </c>
      <c r="F10216" t="n">
        <v>1</v>
      </c>
      <c r="G10216" t="n">
        <v>14</v>
      </c>
      <c r="H10216" s="5">
        <f>HYPERLINK("https://api.qogita.com/variants/link/3474636471706/", "View Product")</f>
        <v/>
      </c>
    </row>
    <row r="10217">
      <c r="A10217" t="inlineStr">
        <is>
          <t>3474636476633</t>
        </is>
      </c>
      <c r="B10217" t="inlineStr">
        <is>
          <t>Loreal Professionnel Infinium 6 Pure Extra Strong Hairspray 300ml</t>
        </is>
      </c>
      <c r="C10217" t="inlineStr">
        <is>
          <t>Hairspray</t>
        </is>
      </c>
      <c r="D10217" t="inlineStr">
        <is>
          <t>L'Oréal Paris</t>
        </is>
      </c>
      <c r="E10217" t="n">
        <v>18.59</v>
      </c>
      <c r="F10217" t="n">
        <v>1</v>
      </c>
      <c r="G10217" t="n">
        <v>12</v>
      </c>
      <c r="H10217" s="5">
        <f>HYPERLINK("https://api.qogita.com/variants/link/3474636476633/", "View Product")</f>
        <v/>
      </c>
    </row>
    <row r="10218">
      <c r="A10218" t="inlineStr">
        <is>
          <t>3474636614103</t>
        </is>
      </c>
      <c r="B10218" t="inlineStr">
        <is>
          <t>Krastase Elixir Ultime Le Bain 250ml Hair Care</t>
        </is>
      </c>
      <c r="C10218" t="inlineStr">
        <is>
          <t>Hair Oil &amp; Hair Serum</t>
        </is>
      </c>
      <c r="D10218" t="inlineStr">
        <is>
          <t>Kérastase</t>
        </is>
      </c>
      <c r="E10218" t="n">
        <v>23.32</v>
      </c>
      <c r="F10218" t="n">
        <v>1</v>
      </c>
      <c r="G10218" t="n">
        <v>9</v>
      </c>
      <c r="H10218" s="5">
        <f>HYPERLINK("https://api.qogita.com/variants/link/3474636614103/", "View Product")</f>
        <v/>
      </c>
    </row>
    <row r="10219">
      <c r="A10219" t="inlineStr">
        <is>
          <t>3474636692408</t>
        </is>
      </c>
      <c r="B10219" t="inlineStr">
        <is>
          <t>Krastase Blond Absolu Masque Ultraviolet 200ml</t>
        </is>
      </c>
      <c r="C10219" t="inlineStr">
        <is>
          <t>Hair Masks</t>
        </is>
      </c>
      <c r="D10219" t="inlineStr">
        <is>
          <t>Kérastase</t>
        </is>
      </c>
      <c r="E10219" t="n">
        <v>40.22</v>
      </c>
      <c r="F10219" t="n">
        <v>1</v>
      </c>
      <c r="G10219" t="n">
        <v>9</v>
      </c>
      <c r="H10219" s="5">
        <f>HYPERLINK("https://api.qogita.com/variants/link/3474636692408/", "View Product")</f>
        <v/>
      </c>
    </row>
    <row r="10220">
      <c r="A10220" t="inlineStr">
        <is>
          <t>3474636695324</t>
        </is>
      </c>
      <c r="B10220" t="inlineStr">
        <is>
          <t>Krastase Soleil Huile Sirene 2 Beach Biphase Oil Mist 150ml</t>
        </is>
      </c>
      <c r="C10220" t="inlineStr">
        <is>
          <t>Hair Oil &amp; Hair Serum</t>
        </is>
      </c>
      <c r="D10220" t="inlineStr">
        <is>
          <t>Kérastase</t>
        </is>
      </c>
      <c r="E10220" t="n">
        <v>32.53</v>
      </c>
      <c r="F10220" t="n">
        <v>1</v>
      </c>
      <c r="G10220" t="n">
        <v>32</v>
      </c>
      <c r="H10220" s="5">
        <f>HYPERLINK("https://api.qogita.com/variants/link/3474636695324/", "View Product")</f>
        <v/>
      </c>
    </row>
    <row r="10221">
      <c r="A10221" t="inlineStr">
        <is>
          <t>3474636770458</t>
        </is>
      </c>
      <c r="B10221" t="inlineStr">
        <is>
          <t>Matrix Total Results High Amplify Wonder Boost Root Lifter Spray - 250ml</t>
        </is>
      </c>
      <c r="C10221" t="inlineStr">
        <is>
          <t>Styling Sprays</t>
        </is>
      </c>
      <c r="D10221" t="inlineStr">
        <is>
          <t>Matrix</t>
        </is>
      </c>
      <c r="E10221" t="n">
        <v>12.47</v>
      </c>
      <c r="F10221" t="n">
        <v>1</v>
      </c>
      <c r="G10221" t="n">
        <v>5</v>
      </c>
      <c r="H10221" s="5">
        <f>HYPERLINK("https://api.qogita.com/variants/link/3474636770458/", "View Product")</f>
        <v/>
      </c>
    </row>
    <row r="10222">
      <c r="A10222" t="inlineStr">
        <is>
          <t>3474636876822</t>
        </is>
      </c>
      <c r="B10222" t="inlineStr">
        <is>
          <t>Shu Uemura Kaze Wave Curl Mousse 150ml Styling Foam For Defining Waves</t>
        </is>
      </c>
      <c r="C10222" t="inlineStr">
        <is>
          <t>Mousse</t>
        </is>
      </c>
      <c r="D10222" t="inlineStr">
        <is>
          <t>Shu Uemura</t>
        </is>
      </c>
      <c r="E10222" t="n">
        <v>45.55</v>
      </c>
      <c r="F10222" t="n">
        <v>1</v>
      </c>
      <c r="G10222" t="n">
        <v>6</v>
      </c>
      <c r="H10222" s="5">
        <f>HYPERLINK("https://api.qogita.com/variants/link/3474636876822/", "View Product")</f>
        <v/>
      </c>
    </row>
    <row r="10223">
      <c r="A10223" t="inlineStr">
        <is>
          <t>3474636876877</t>
        </is>
      </c>
      <c r="B10223" t="inlineStr">
        <is>
          <t>Shu Uemura Umou Hold Cream 100ml Shaping Hair Cream</t>
        </is>
      </c>
      <c r="C10223" t="inlineStr">
        <is>
          <t>Styling Creams</t>
        </is>
      </c>
      <c r="D10223" t="inlineStr">
        <is>
          <t>Shu Uemura</t>
        </is>
      </c>
      <c r="E10223" t="n">
        <v>41.12</v>
      </c>
      <c r="F10223" t="n">
        <v>1</v>
      </c>
      <c r="G10223" t="n">
        <v>3</v>
      </c>
      <c r="H10223" s="5">
        <f>HYPERLINK("https://api.qogita.com/variants/link/3474636876877/", "View Product")</f>
        <v/>
      </c>
    </row>
    <row r="10224">
      <c r="A10224" t="inlineStr">
        <is>
          <t>3474636909278</t>
        </is>
      </c>
      <c r="B10224" t="inlineStr">
        <is>
          <t>Krastase Fusiodose Neutral Treatment Against Yellow Hair Tones Antibrass Restoring Purple Care</t>
        </is>
      </c>
      <c r="C10224" t="inlineStr">
        <is>
          <t>Conditioner</t>
        </is>
      </c>
      <c r="D10224" t="inlineStr">
        <is>
          <t>Kérastase</t>
        </is>
      </c>
      <c r="E10224" t="n">
        <v>74.53</v>
      </c>
      <c r="F10224" t="n">
        <v>1</v>
      </c>
      <c r="G10224" t="n">
        <v>5</v>
      </c>
      <c r="H10224" s="5">
        <f>HYPERLINK("https://api.qogita.com/variants/link/3474636909278/", "View Product")</f>
        <v/>
      </c>
    </row>
    <row r="10225">
      <c r="A10225" t="inlineStr">
        <is>
          <t>3474636912087</t>
        </is>
      </c>
      <c r="B10225" t="inlineStr">
        <is>
          <t>L'Oréal Professionnel Majirel 9.82 Cool Cover Hair Color 50ml</t>
        </is>
      </c>
      <c r="C10225" t="inlineStr">
        <is>
          <t>Hair Dye</t>
        </is>
      </c>
      <c r="D10225" t="inlineStr">
        <is>
          <t>L'Oréal Professionnel</t>
        </is>
      </c>
      <c r="E10225" t="n">
        <v>9.720000000000001</v>
      </c>
      <c r="F10225" t="n">
        <v>1</v>
      </c>
      <c r="G10225" t="n">
        <v>2</v>
      </c>
      <c r="H10225" s="5">
        <f>HYPERLINK("https://api.qogita.com/variants/link/3474636912087/", "View Product")</f>
        <v/>
      </c>
    </row>
    <row r="10226">
      <c r="A10226" t="inlineStr">
        <is>
          <t>3474636919970</t>
        </is>
      </c>
      <c r="B10226" t="inlineStr">
        <is>
          <t>Redken All Soft Conditioner 300ml Nourishing Conditioner For Dry Hair</t>
        </is>
      </c>
      <c r="C10226" t="inlineStr">
        <is>
          <t>Conditioner</t>
        </is>
      </c>
      <c r="D10226" t="inlineStr">
        <is>
          <t>Redken</t>
        </is>
      </c>
      <c r="E10226" t="n">
        <v>20.59</v>
      </c>
      <c r="F10226" t="n">
        <v>1</v>
      </c>
      <c r="G10226" t="n">
        <v>16</v>
      </c>
      <c r="H10226" s="5">
        <f>HYPERLINK("https://api.qogita.com/variants/link/3474636919970/", "View Product")</f>
        <v/>
      </c>
    </row>
    <row r="10227">
      <c r="A10227" t="inlineStr">
        <is>
          <t>3474636920297</t>
        </is>
      </c>
      <c r="B10227" t="inlineStr">
        <is>
          <t>Redken Frizz Dismiss Conditioner Smoothing Conditioner For Unruly And Frizzy Hair 300ml</t>
        </is>
      </c>
      <c r="C10227" t="inlineStr">
        <is>
          <t>Conditioner</t>
        </is>
      </c>
      <c r="D10227" t="inlineStr">
        <is>
          <t>Redken</t>
        </is>
      </c>
      <c r="E10227" t="n">
        <v>20.59</v>
      </c>
      <c r="F10227" t="n">
        <v>1</v>
      </c>
      <c r="G10227" t="n">
        <v>2</v>
      </c>
      <c r="H10227" s="5">
        <f>HYPERLINK("https://api.qogita.com/variants/link/3474636920297/", "View Product")</f>
        <v/>
      </c>
    </row>
    <row r="10228">
      <c r="A10228" t="inlineStr">
        <is>
          <t>3474636961061</t>
        </is>
      </c>
      <c r="B10228" t="inlineStr">
        <is>
          <t>Redken Extreme Strength Builder Plus Mask 250ml Hair Mask</t>
        </is>
      </c>
      <c r="C10228" t="inlineStr">
        <is>
          <t>Hair Masks</t>
        </is>
      </c>
      <c r="D10228" t="inlineStr">
        <is>
          <t>Redken</t>
        </is>
      </c>
      <c r="E10228" t="n">
        <v>30.34</v>
      </c>
      <c r="F10228" t="n">
        <v>1</v>
      </c>
      <c r="G10228" t="n">
        <v>7</v>
      </c>
      <c r="H10228" s="5">
        <f>HYPERLINK("https://api.qogita.com/variants/link/3474636961061/", "View Product")</f>
        <v/>
      </c>
    </row>
    <row r="10229">
      <c r="A10229" t="inlineStr">
        <is>
          <t>3474636961078</t>
        </is>
      </c>
      <c r="B10229" t="inlineStr">
        <is>
          <t>Redken Color Extend Blondage Express Antibrass Purple Mask 250ml</t>
        </is>
      </c>
      <c r="C10229" t="inlineStr">
        <is>
          <t>Hair Masks</t>
        </is>
      </c>
      <c r="D10229" t="inlineStr">
        <is>
          <t>Redken</t>
        </is>
      </c>
      <c r="E10229" t="n">
        <v>30.34</v>
      </c>
      <c r="F10229" t="n">
        <v>1</v>
      </c>
      <c r="G10229" t="n">
        <v>14</v>
      </c>
      <c r="H10229" s="5">
        <f>HYPERLINK("https://api.qogita.com/variants/link/3474636961078/", "View Product")</f>
        <v/>
      </c>
    </row>
    <row r="10230">
      <c r="A10230" t="inlineStr">
        <is>
          <t>3474636968688</t>
        </is>
      </c>
      <c r="B10230" t="inlineStr">
        <is>
          <t>Krastase Curl Manifesto Bain Hydratation Douceur 250ml Hydrating Shampoo For Curly Hair</t>
        </is>
      </c>
      <c r="C10230" t="inlineStr">
        <is>
          <t>Shampoo</t>
        </is>
      </c>
      <c r="D10230" t="inlineStr">
        <is>
          <t>Kérastase</t>
        </is>
      </c>
      <c r="E10230" t="n">
        <v>23.32</v>
      </c>
      <c r="F10230" t="n">
        <v>1</v>
      </c>
      <c r="G10230" t="n">
        <v>9</v>
      </c>
      <c r="H10230" s="5">
        <f>HYPERLINK("https://api.qogita.com/variants/link/3474636968688/", "View Product")</f>
        <v/>
      </c>
    </row>
    <row r="10231">
      <c r="A10231" t="inlineStr">
        <is>
          <t>3474636974375</t>
        </is>
      </c>
      <c r="B10231" t="inlineStr">
        <is>
          <t>L'Oral Professionnel Blondifier Gloss Professional Shampoo 300ml</t>
        </is>
      </c>
      <c r="C10231" t="inlineStr">
        <is>
          <t>Shampoo</t>
        </is>
      </c>
      <c r="D10231" t="inlineStr">
        <is>
          <t>L'Oréal Professionnel</t>
        </is>
      </c>
      <c r="E10231" t="n">
        <v>9.880000000000001</v>
      </c>
      <c r="F10231" t="n">
        <v>1</v>
      </c>
      <c r="G10231" t="n">
        <v>25</v>
      </c>
      <c r="H10231" s="5">
        <f>HYPERLINK("https://api.qogita.com/variants/link/3474636974375/", "View Product")</f>
        <v/>
      </c>
    </row>
    <row r="10232">
      <c r="A10232" t="inlineStr">
        <is>
          <t>3474636974405</t>
        </is>
      </c>
      <c r="B10232" t="inlineStr">
        <is>
          <t>L'Oreal Professionnel Serie Expert Liss Unlimited Shampoo Intensive Smoothing Shampoo For Unruly Hair 300ml</t>
        </is>
      </c>
      <c r="C10232" t="inlineStr">
        <is>
          <t>Shampoo</t>
        </is>
      </c>
      <c r="D10232" t="inlineStr">
        <is>
          <t>Lo'real Professionnel</t>
        </is>
      </c>
      <c r="E10232" t="n">
        <v>12.98</v>
      </c>
      <c r="F10232" t="n">
        <v>1</v>
      </c>
      <c r="G10232" t="n">
        <v>4</v>
      </c>
      <c r="H10232" s="5">
        <f>HYPERLINK("https://api.qogita.com/variants/link/3474636974405/", "View Product")</f>
        <v/>
      </c>
    </row>
    <row r="10233">
      <c r="A10233" t="inlineStr">
        <is>
          <t>3474636975167</t>
        </is>
      </c>
      <c r="B10233" t="inlineStr">
        <is>
          <t>L'Oreal Professionnel Serie Expert Pro Longer Conditioner 500ml</t>
        </is>
      </c>
      <c r="C10233" t="inlineStr">
        <is>
          <t>Conditioner</t>
        </is>
      </c>
      <c r="D10233" t="inlineStr">
        <is>
          <t>Lo'real Professionnel</t>
        </is>
      </c>
      <c r="E10233" t="n">
        <v>35.55</v>
      </c>
      <c r="F10233" t="n">
        <v>1</v>
      </c>
      <c r="G10233" t="n">
        <v>5</v>
      </c>
      <c r="H10233" s="5">
        <f>HYPERLINK("https://api.qogita.com/variants/link/3474636975167/", "View Product")</f>
        <v/>
      </c>
    </row>
    <row r="10234">
      <c r="A10234" t="inlineStr">
        <is>
          <t>3474636975174</t>
        </is>
      </c>
      <c r="B10234" t="inlineStr">
        <is>
          <t>L'Oréal Paris Serie Expert Absolut Repair Gold Hair Mask 500ml</t>
        </is>
      </c>
      <c r="C10234" t="inlineStr">
        <is>
          <t>Hair Masks</t>
        </is>
      </c>
      <c r="D10234" t="inlineStr">
        <is>
          <t>L'Oréal Paris</t>
        </is>
      </c>
      <c r="E10234" t="n">
        <v>19.62</v>
      </c>
      <c r="F10234" t="n">
        <v>1</v>
      </c>
      <c r="G10234" t="n">
        <v>41</v>
      </c>
      <c r="H10234" s="5">
        <f>HYPERLINK("https://api.qogita.com/variants/link/3474636975174/", "View Product")</f>
        <v/>
      </c>
    </row>
    <row r="10235">
      <c r="A10235" t="inlineStr">
        <is>
          <t>3474636975440</t>
        </is>
      </c>
      <c r="B10235" t="inlineStr">
        <is>
          <t>L'Oreal Professionnel Expert Absolut Repair Gold Quinoa Protein Instant Resurfacing Masque Hair Mask</t>
        </is>
      </c>
      <c r="C10235" t="inlineStr">
        <is>
          <t>Hair Masks</t>
        </is>
      </c>
      <c r="D10235" t="inlineStr">
        <is>
          <t>L'Oréal Professionnel</t>
        </is>
      </c>
      <c r="E10235" t="n">
        <v>20.48</v>
      </c>
      <c r="F10235" t="n">
        <v>1</v>
      </c>
      <c r="G10235" t="n">
        <v>5</v>
      </c>
      <c r="H10235" s="5">
        <f>HYPERLINK("https://api.qogita.com/variants/link/3474636975440/", "View Product")</f>
        <v/>
      </c>
    </row>
    <row r="10236">
      <c r="A10236" t="inlineStr">
        <is>
          <t>3474636975846</t>
        </is>
      </c>
      <c r="B10236" t="inlineStr">
        <is>
          <t>L'Oral Professionnel Expert Pro Longer Shampoo 500ml Shampoo For Restoring Lengths</t>
        </is>
      </c>
      <c r="C10236" t="inlineStr">
        <is>
          <t>Shampoo</t>
        </is>
      </c>
      <c r="D10236" t="inlineStr">
        <is>
          <t>L'Oréal Professionnel</t>
        </is>
      </c>
      <c r="E10236" t="n">
        <v>18.48</v>
      </c>
      <c r="F10236" t="n">
        <v>1</v>
      </c>
      <c r="G10236" t="n">
        <v>4</v>
      </c>
      <c r="H10236" s="5">
        <f>HYPERLINK("https://api.qogita.com/variants/link/3474636975846/", "View Product")</f>
        <v/>
      </c>
    </row>
    <row r="10237">
      <c r="A10237" t="inlineStr">
        <is>
          <t>3474636975990</t>
        </is>
      </c>
      <c r="B10237" t="inlineStr">
        <is>
          <t>L'Oreal Professionnel Serie Expert Liss Unlimited Mask Intensive Smoothing Mask For Unruly Hair 250ml</t>
        </is>
      </c>
      <c r="C10237" t="inlineStr">
        <is>
          <t>Hair Masks</t>
        </is>
      </c>
      <c r="D10237" t="inlineStr">
        <is>
          <t>Lo'real Professionnel</t>
        </is>
      </c>
      <c r="E10237" t="n">
        <v>14.03</v>
      </c>
      <c r="F10237" t="n">
        <v>1</v>
      </c>
      <c r="G10237" t="n">
        <v>5</v>
      </c>
      <c r="H10237" s="5">
        <f>HYPERLINK("https://api.qogita.com/variants/link/3474636975990/", "View Product")</f>
        <v/>
      </c>
    </row>
    <row r="10238">
      <c r="A10238" t="inlineStr">
        <is>
          <t>3474636976058</t>
        </is>
      </c>
      <c r="B10238" t="inlineStr">
        <is>
          <t>L'Oreal Professionnel Serie Expert Vitamino Color Resveratrol Mask 250ml</t>
        </is>
      </c>
      <c r="C10238" t="inlineStr">
        <is>
          <t>Hair Masks</t>
        </is>
      </c>
      <c r="D10238" t="inlineStr">
        <is>
          <t>L'Oréal Professionnel</t>
        </is>
      </c>
      <c r="E10238" t="n">
        <v>14.03</v>
      </c>
      <c r="F10238" t="n">
        <v>1</v>
      </c>
      <c r="G10238" t="n">
        <v>3</v>
      </c>
      <c r="H10238" s="5">
        <f>HYPERLINK("https://api.qogita.com/variants/link/3474636976058/", "View Product")</f>
        <v/>
      </c>
    </row>
    <row r="10239">
      <c r="A10239" t="inlineStr">
        <is>
          <t>3474636976119</t>
        </is>
      </c>
      <c r="B10239" t="inlineStr">
        <is>
          <t>L'Oral Professionnel Expert Pro Longer Conditioner 200ml Length Recovery Conditioner</t>
        </is>
      </c>
      <c r="C10239" t="inlineStr">
        <is>
          <t>Conditioner</t>
        </is>
      </c>
      <c r="D10239" t="inlineStr">
        <is>
          <t>L'Oréal Professionnel</t>
        </is>
      </c>
      <c r="E10239" t="n">
        <v>17.89</v>
      </c>
      <c r="F10239" t="n">
        <v>1</v>
      </c>
      <c r="G10239" t="n">
        <v>14</v>
      </c>
      <c r="H10239" s="5">
        <f>HYPERLINK("https://api.qogita.com/variants/link/3474636976119/", "View Product")</f>
        <v/>
      </c>
    </row>
    <row r="10240">
      <c r="A10240" t="inlineStr">
        <is>
          <t>3474636993949</t>
        </is>
      </c>
      <c r="B10240" t="inlineStr">
        <is>
          <t>Matrix Total Results Miracle Creator Hair Treatment Spray 190ml</t>
        </is>
      </c>
      <c r="C10240" t="inlineStr">
        <is>
          <t>Leave-In Conditioner</t>
        </is>
      </c>
      <c r="D10240" t="inlineStr">
        <is>
          <t>Matrix</t>
        </is>
      </c>
      <c r="E10240" t="n">
        <v>13.1</v>
      </c>
      <c r="F10240" t="n">
        <v>1</v>
      </c>
      <c r="G10240" t="n">
        <v>69</v>
      </c>
      <c r="H10240" s="5">
        <f>HYPERLINK("https://api.qogita.com/variants/link/3474636993949/", "View Product")</f>
        <v/>
      </c>
    </row>
    <row r="10241">
      <c r="A10241" t="inlineStr">
        <is>
          <t>3474637061586</t>
        </is>
      </c>
      <c r="B10241" t="inlineStr">
        <is>
          <t>Redken Blondage High Bright Shampoo 300ml Professional Hair Care</t>
        </is>
      </c>
      <c r="C10241" t="inlineStr">
        <is>
          <t>Shampoo</t>
        </is>
      </c>
      <c r="D10241" t="inlineStr">
        <is>
          <t>Redken</t>
        </is>
      </c>
      <c r="E10241" t="n">
        <v>19.21</v>
      </c>
      <c r="F10241" t="n">
        <v>1</v>
      </c>
      <c r="G10241" t="n">
        <v>5</v>
      </c>
      <c r="H10241" s="5">
        <f>HYPERLINK("https://api.qogita.com/variants/link/3474637061586/", "View Product")</f>
        <v/>
      </c>
    </row>
    <row r="10242">
      <c r="A10242" t="inlineStr">
        <is>
          <t>3474637068370</t>
        </is>
      </c>
      <c r="B10242" t="inlineStr">
        <is>
          <t>Redken Aminomint Shampoo 300ml</t>
        </is>
      </c>
      <c r="C10242" t="inlineStr">
        <is>
          <t>Shampoo</t>
        </is>
      </c>
      <c r="D10242" t="inlineStr">
        <is>
          <t>Redken</t>
        </is>
      </c>
      <c r="E10242" t="n">
        <v>18.41</v>
      </c>
      <c r="F10242" t="n">
        <v>1</v>
      </c>
      <c r="G10242" t="n">
        <v>8</v>
      </c>
      <c r="H10242" s="5">
        <f>HYPERLINK("https://api.qogita.com/variants/link/3474637068370/", "View Product")</f>
        <v/>
      </c>
    </row>
    <row r="10243">
      <c r="A10243" t="inlineStr">
        <is>
          <t>3474637069247</t>
        </is>
      </c>
      <c r="B10243" t="inlineStr">
        <is>
          <t>L'Oreal Professionnel Serie Expert Curl Expression Intensive Moisturizer Mask - 250ml</t>
        </is>
      </c>
      <c r="C10243" t="inlineStr">
        <is>
          <t>Hair Masks</t>
        </is>
      </c>
      <c r="D10243" t="inlineStr">
        <is>
          <t>Lo'real Professionnel</t>
        </is>
      </c>
      <c r="E10243" t="n">
        <v>13.92</v>
      </c>
      <c r="F10243" t="n">
        <v>1</v>
      </c>
      <c r="G10243" t="n">
        <v>18</v>
      </c>
      <c r="H10243" s="5">
        <f>HYPERLINK("https://api.qogita.com/variants/link/3474637069247/", "View Product")</f>
        <v/>
      </c>
    </row>
    <row r="10244">
      <c r="A10244" t="inlineStr">
        <is>
          <t>3474637090487</t>
        </is>
      </c>
      <c r="B10244" t="inlineStr">
        <is>
          <t>L'Oral Professionnel Scalp Advanced Antidiscomfort Shampoo 300ml</t>
        </is>
      </c>
      <c r="C10244" t="inlineStr">
        <is>
          <t>Scalp Care</t>
        </is>
      </c>
      <c r="D10244" t="inlineStr">
        <is>
          <t>L'Oréal Professionnel</t>
        </is>
      </c>
      <c r="E10244" t="n">
        <v>9.960000000000001</v>
      </c>
      <c r="F10244" t="n">
        <v>1</v>
      </c>
      <c r="G10244" t="n">
        <v>5</v>
      </c>
      <c r="H10244" s="5">
        <f>HYPERLINK("https://api.qogita.com/variants/link/3474637090487/", "View Product")</f>
        <v/>
      </c>
    </row>
    <row r="10245">
      <c r="A10245" t="inlineStr">
        <is>
          <t>3474637090517</t>
        </is>
      </c>
      <c r="B10245" t="inlineStr">
        <is>
          <t>L'Oréal Scalp Advanced Anti-Discomfort Dermo Shampoo 1500ml</t>
        </is>
      </c>
      <c r="C10245" t="inlineStr">
        <is>
          <t>Shampoo</t>
        </is>
      </c>
      <c r="D10245" t="inlineStr">
        <is>
          <t>L'Oréal</t>
        </is>
      </c>
      <c r="E10245" t="n">
        <v>28.46</v>
      </c>
      <c r="F10245" t="n">
        <v>1</v>
      </c>
      <c r="G10245" t="n">
        <v>5</v>
      </c>
      <c r="H10245" s="5">
        <f>HYPERLINK("https://api.qogita.com/variants/link/3474637090517/", "View Product")</f>
        <v/>
      </c>
    </row>
    <row r="10246">
      <c r="A10246" t="inlineStr">
        <is>
          <t>3474637090609</t>
        </is>
      </c>
      <c r="B10246" t="inlineStr">
        <is>
          <t>L'Oreal Professionnel Se Metal Detox Concentrated Oil</t>
        </is>
      </c>
      <c r="C10246" t="inlineStr">
        <is>
          <t>Hair Oil &amp; Hair Serum</t>
        </is>
      </c>
      <c r="D10246" t="inlineStr">
        <is>
          <t>L'Oréal</t>
        </is>
      </c>
      <c r="E10246" t="n">
        <v>19.96</v>
      </c>
      <c r="F10246" t="n">
        <v>1</v>
      </c>
      <c r="G10246" t="n">
        <v>13</v>
      </c>
      <c r="H10246" s="5">
        <f>HYPERLINK("https://api.qogita.com/variants/link/3474637090609/", "View Product")</f>
        <v/>
      </c>
    </row>
    <row r="10247">
      <c r="A10247" t="inlineStr">
        <is>
          <t>3474637091217</t>
        </is>
      </c>
      <c r="B10247" t="inlineStr">
        <is>
          <t>Krastase Fusio Dose Booster For Dry Hair 120 Ml</t>
        </is>
      </c>
      <c r="C10247" t="inlineStr">
        <is>
          <t>Hair Masks</t>
        </is>
      </c>
      <c r="D10247" t="inlineStr">
        <is>
          <t>Kérastase</t>
        </is>
      </c>
      <c r="E10247" t="n">
        <v>41.19</v>
      </c>
      <c r="F10247" t="n">
        <v>1</v>
      </c>
      <c r="G10247" t="n">
        <v>2</v>
      </c>
      <c r="H10247" s="5">
        <f>HYPERLINK("https://api.qogita.com/variants/link/3474637091217/", "View Product")</f>
        <v/>
      </c>
    </row>
    <row r="10248">
      <c r="A10248" t="inlineStr">
        <is>
          <t>3474637102555</t>
        </is>
      </c>
      <c r="B10248" t="inlineStr">
        <is>
          <t>Redken One United Leavein 25 Benefits Multibenefit Treatment 150 Ml</t>
        </is>
      </c>
      <c r="C10248" t="inlineStr">
        <is>
          <t>Leave-In Conditioner</t>
        </is>
      </c>
      <c r="D10248" t="inlineStr">
        <is>
          <t>Redken</t>
        </is>
      </c>
      <c r="E10248" t="n">
        <v>18.84</v>
      </c>
      <c r="F10248" t="n">
        <v>1</v>
      </c>
      <c r="G10248" t="n">
        <v>3</v>
      </c>
      <c r="H10248" s="5">
        <f>HYPERLINK("https://api.qogita.com/variants/link/3474637102555/", "View Product")</f>
        <v/>
      </c>
    </row>
    <row r="10249">
      <c r="A10249" t="inlineStr">
        <is>
          <t>3474637103545</t>
        </is>
      </c>
      <c r="B10249" t="inlineStr">
        <is>
          <t>Biolage Strength Recovery Strengthening Conditioner For Hair 200ml</t>
        </is>
      </c>
      <c r="C10249" t="inlineStr">
        <is>
          <t>Conditioner</t>
        </is>
      </c>
      <c r="D10249" t="inlineStr">
        <is>
          <t>Biolage</t>
        </is>
      </c>
      <c r="E10249" t="n">
        <v>12.53</v>
      </c>
      <c r="F10249" t="n">
        <v>1</v>
      </c>
      <c r="G10249" t="n">
        <v>4</v>
      </c>
      <c r="H10249" s="5">
        <f>HYPERLINK("https://api.qogita.com/variants/link/3474637103545/", "View Product")</f>
        <v/>
      </c>
    </row>
    <row r="10250">
      <c r="A10250" t="inlineStr">
        <is>
          <t>3474637106454</t>
        </is>
      </c>
      <c r="B10250" t="inlineStr">
        <is>
          <t>L'Oral Professionnel Scalp Advanced Antioiliness Shampoo 300ml</t>
        </is>
      </c>
      <c r="C10250" t="inlineStr">
        <is>
          <t>Shampoo</t>
        </is>
      </c>
      <c r="D10250" t="inlineStr">
        <is>
          <t>L'Oréal Professionnel</t>
        </is>
      </c>
      <c r="E10250" t="n">
        <v>14.56</v>
      </c>
      <c r="F10250" t="n">
        <v>1</v>
      </c>
      <c r="G10250" t="n">
        <v>11</v>
      </c>
      <c r="H10250" s="5">
        <f>HYPERLINK("https://api.qogita.com/variants/link/3474637106454/", "View Product")</f>
        <v/>
      </c>
    </row>
    <row r="10251">
      <c r="A10251" t="inlineStr">
        <is>
          <t>3474637109394</t>
        </is>
      </c>
      <c r="B10251" t="inlineStr">
        <is>
          <t>L'Oral Professionnel Scalp Advanced Antidandruff Shampoo 500ml</t>
        </is>
      </c>
      <c r="C10251" t="inlineStr">
        <is>
          <t>Shampoo</t>
        </is>
      </c>
      <c r="D10251" t="inlineStr">
        <is>
          <t>L'Oréal Professionnel</t>
        </is>
      </c>
      <c r="E10251" t="n">
        <v>21.26</v>
      </c>
      <c r="F10251" t="n">
        <v>1</v>
      </c>
      <c r="G10251" t="n">
        <v>9</v>
      </c>
      <c r="H10251" s="5">
        <f>HYPERLINK("https://api.qogita.com/variants/link/3474637109394/", "View Product")</f>
        <v/>
      </c>
    </row>
    <row r="10252">
      <c r="A10252" t="inlineStr">
        <is>
          <t>3474637124274</t>
        </is>
      </c>
      <c r="B10252" t="inlineStr">
        <is>
          <t>Redken Powder Grip Mattifying Hair Powder 7g</t>
        </is>
      </c>
      <c r="C10252" t="inlineStr">
        <is>
          <t>Volume Powder</t>
        </is>
      </c>
      <c r="D10252" t="inlineStr">
        <is>
          <t>Redken</t>
        </is>
      </c>
      <c r="E10252" t="n">
        <v>17.86</v>
      </c>
      <c r="F10252" t="n">
        <v>1</v>
      </c>
      <c r="G10252" t="n">
        <v>2</v>
      </c>
      <c r="H10252" s="5">
        <f>HYPERLINK("https://api.qogita.com/variants/link/3474637124274/", "View Product")</f>
        <v/>
      </c>
    </row>
    <row r="10253">
      <c r="A10253" t="inlineStr">
        <is>
          <t>3474637124304</t>
        </is>
      </c>
      <c r="B10253" t="inlineStr">
        <is>
          <t>Redken Rk Sty Spray Anti Frizz 250ml Strong Fixation Hairspray</t>
        </is>
      </c>
      <c r="C10253" t="inlineStr">
        <is>
          <t>Hairspray</t>
        </is>
      </c>
      <c r="D10253" t="inlineStr">
        <is>
          <t>Redken</t>
        </is>
      </c>
      <c r="E10253" t="n">
        <v>20.03</v>
      </c>
      <c r="F10253" t="n">
        <v>1</v>
      </c>
      <c r="G10253" t="n">
        <v>6</v>
      </c>
      <c r="H10253" s="5">
        <f>HYPERLINK("https://api.qogita.com/variants/link/3474637124304/", "View Product")</f>
        <v/>
      </c>
    </row>
    <row r="10254">
      <c r="A10254" t="inlineStr">
        <is>
          <t>3474637125493</t>
        </is>
      </c>
      <c r="B10254" t="inlineStr">
        <is>
          <t>Redken Spray Wax Fine Wax Mist 150ml</t>
        </is>
      </c>
      <c r="C10254" t="inlineStr">
        <is>
          <t>Wax</t>
        </is>
      </c>
      <c r="D10254" t="inlineStr">
        <is>
          <t>Redken</t>
        </is>
      </c>
      <c r="E10254" t="n">
        <v>20.16</v>
      </c>
      <c r="F10254" t="n">
        <v>1</v>
      </c>
      <c r="G10254" t="n">
        <v>4</v>
      </c>
      <c r="H10254" s="5">
        <f>HYPERLINK("https://api.qogita.com/variants/link/3474637125493/", "View Product")</f>
        <v/>
      </c>
    </row>
    <row r="10255">
      <c r="A10255" t="inlineStr">
        <is>
          <t>3474637125516</t>
        </is>
      </c>
      <c r="B10255" t="inlineStr">
        <is>
          <t>Redken Extra Strong Fixation Hairspray Control 400 Ml</t>
        </is>
      </c>
      <c r="C10255" t="inlineStr">
        <is>
          <t>Hairspray</t>
        </is>
      </c>
      <c r="D10255" t="inlineStr">
        <is>
          <t>Redken</t>
        </is>
      </c>
      <c r="E10255" t="n">
        <v>19.84</v>
      </c>
      <c r="F10255" t="n">
        <v>1</v>
      </c>
      <c r="G10255" t="n">
        <v>11</v>
      </c>
      <c r="H10255" s="5">
        <f>HYPERLINK("https://api.qogita.com/variants/link/3474637125516/", "View Product")</f>
        <v/>
      </c>
    </row>
    <row r="10256">
      <c r="A10256" t="inlineStr">
        <is>
          <t>3474637142018</t>
        </is>
      </c>
      <c r="B10256" t="inlineStr">
        <is>
          <t>Matrix Food For Soft Hydrating Oil Moisturizing Hair Oil 50ml</t>
        </is>
      </c>
      <c r="C10256" t="inlineStr">
        <is>
          <t>Hair Oil &amp; Hair Serum</t>
        </is>
      </c>
      <c r="D10256" t="inlineStr">
        <is>
          <t>Matrix</t>
        </is>
      </c>
      <c r="E10256" t="n">
        <v>16.15</v>
      </c>
      <c r="F10256" t="n">
        <v>1</v>
      </c>
      <c r="G10256" t="n">
        <v>6</v>
      </c>
      <c r="H10256" s="5">
        <f>HYPERLINK("https://api.qogita.com/variants/link/3474637142018/", "View Product")</f>
        <v/>
      </c>
    </row>
    <row r="10257">
      <c r="A10257" t="inlineStr">
        <is>
          <t>3474637153502</t>
        </is>
      </c>
      <c r="B10257" t="inlineStr">
        <is>
          <t>L'Oral Professionnel Absolut Repair Molecular Serum Rinseoff 250ml</t>
        </is>
      </c>
      <c r="C10257" t="inlineStr">
        <is>
          <t>Hair Oil &amp; Hair Serum</t>
        </is>
      </c>
      <c r="D10257" t="inlineStr">
        <is>
          <t>L'Oréal Professionnel</t>
        </is>
      </c>
      <c r="E10257" t="n">
        <v>20.29</v>
      </c>
      <c r="F10257" t="n">
        <v>1</v>
      </c>
      <c r="G10257" t="n">
        <v>8</v>
      </c>
      <c r="H10257" s="5">
        <f>HYPERLINK("https://api.qogita.com/variants/link/3474637153502/", "View Product")</f>
        <v/>
      </c>
    </row>
    <row r="10258">
      <c r="A10258" t="inlineStr">
        <is>
          <t>3474637154929</t>
        </is>
      </c>
      <c r="B10258" t="inlineStr">
        <is>
          <t>Krastase Nutritive Bain Satin Hydrating Shampoo For Dry Hair</t>
        </is>
      </c>
      <c r="C10258" t="inlineStr">
        <is>
          <t>Shampoo</t>
        </is>
      </c>
      <c r="D10258" t="inlineStr">
        <is>
          <t>Kérastase</t>
        </is>
      </c>
      <c r="E10258" t="n">
        <v>51.54</v>
      </c>
      <c r="F10258" t="n">
        <v>1</v>
      </c>
      <c r="G10258" t="n">
        <v>8</v>
      </c>
      <c r="H10258" s="5">
        <f>HYPERLINK("https://api.qogita.com/variants/link/3474637154929/", "View Product")</f>
        <v/>
      </c>
    </row>
    <row r="10259">
      <c r="A10259" t="inlineStr">
        <is>
          <t>3474637195809</t>
        </is>
      </c>
      <c r="B10259" t="inlineStr">
        <is>
          <t>Krastase Premire Bain Dcalcifiant Rparateur 250ml Decalcifying Repairing Shampoo</t>
        </is>
      </c>
      <c r="C10259" t="inlineStr">
        <is>
          <t>Shampoo</t>
        </is>
      </c>
      <c r="D10259" t="inlineStr">
        <is>
          <t>Kérastase</t>
        </is>
      </c>
      <c r="E10259" t="n">
        <v>31.76</v>
      </c>
      <c r="F10259" t="n">
        <v>1</v>
      </c>
      <c r="G10259" t="n">
        <v>6</v>
      </c>
      <c r="H10259" s="5">
        <f>HYPERLINK("https://api.qogita.com/variants/link/3474637195809/", "View Product")</f>
        <v/>
      </c>
    </row>
    <row r="10260">
      <c r="A10260" t="inlineStr">
        <is>
          <t>3474637209407</t>
        </is>
      </c>
      <c r="B10260" t="inlineStr">
        <is>
          <t>Redken Acidic Bonding Curls Leavein Treatment 250ml For Curly And Wavy Hair</t>
        </is>
      </c>
      <c r="C10260" t="inlineStr">
        <is>
          <t>Leave-In Conditioner</t>
        </is>
      </c>
      <c r="D10260" t="inlineStr">
        <is>
          <t>Redken</t>
        </is>
      </c>
      <c r="E10260" t="n">
        <v>34.74</v>
      </c>
      <c r="F10260" t="n">
        <v>1</v>
      </c>
      <c r="G10260" t="n">
        <v>5</v>
      </c>
      <c r="H10260" s="5">
        <f>HYPERLINK("https://api.qogita.com/variants/link/3474637209407/", "View Product")</f>
        <v/>
      </c>
    </row>
    <row r="10261">
      <c r="A10261" t="inlineStr">
        <is>
          <t>3474637209414</t>
        </is>
      </c>
      <c r="B10261" t="inlineStr">
        <is>
          <t>Redken Acidic Bonding Curls Siliconefree Conditioner 300ml</t>
        </is>
      </c>
      <c r="C10261" t="inlineStr">
        <is>
          <t>Conditioner</t>
        </is>
      </c>
      <c r="D10261" t="inlineStr">
        <is>
          <t>Redken</t>
        </is>
      </c>
      <c r="E10261" t="n">
        <v>24.35</v>
      </c>
      <c r="F10261" t="n">
        <v>1</v>
      </c>
      <c r="G10261" t="n">
        <v>5</v>
      </c>
      <c r="H10261" s="5">
        <f>HYPERLINK("https://api.qogita.com/variants/link/3474637209414/", "View Product")</f>
        <v/>
      </c>
    </row>
    <row r="10262">
      <c r="A10262" t="inlineStr">
        <is>
          <t>3474637212575</t>
        </is>
      </c>
      <c r="B10262" t="inlineStr">
        <is>
          <t>Biolage Bio Bond Th Cond 200ml Conditioner For Extremely Damaged Hair</t>
        </is>
      </c>
      <c r="C10262" t="inlineStr">
        <is>
          <t>Conditioner</t>
        </is>
      </c>
      <c r="D10262" t="inlineStr">
        <is>
          <t>Biolage</t>
        </is>
      </c>
      <c r="E10262" t="n">
        <v>12.53</v>
      </c>
      <c r="F10262" t="n">
        <v>1</v>
      </c>
      <c r="G10262" t="n">
        <v>4</v>
      </c>
      <c r="H10262" s="5">
        <f>HYPERLINK("https://api.qogita.com/variants/link/3474637212575/", "View Product")</f>
        <v/>
      </c>
    </row>
    <row r="10263">
      <c r="A10263" t="inlineStr">
        <is>
          <t>3474637212599</t>
        </is>
      </c>
      <c r="B10263" t="inlineStr">
        <is>
          <t>Biolage Bond Therapy Shampoo For Extremely Damaged Hair 250ml</t>
        </is>
      </c>
      <c r="C10263" t="inlineStr">
        <is>
          <t>Shampoo</t>
        </is>
      </c>
      <c r="D10263" t="inlineStr">
        <is>
          <t>Biolage</t>
        </is>
      </c>
      <c r="E10263" t="n">
        <v>12.07</v>
      </c>
      <c r="F10263" t="n">
        <v>1</v>
      </c>
      <c r="G10263" t="n">
        <v>4</v>
      </c>
      <c r="H10263" s="5">
        <f>HYPERLINK("https://api.qogita.com/variants/link/3474637212599/", "View Product")</f>
        <v/>
      </c>
    </row>
    <row r="10264">
      <c r="A10264" t="inlineStr">
        <is>
          <t>3474637219116</t>
        </is>
      </c>
      <c r="B10264" t="inlineStr">
        <is>
          <t>Matrix Biolage Bond Therapy Leave-In Cream For Hair 150ml</t>
        </is>
      </c>
      <c r="C10264" t="inlineStr">
        <is>
          <t>Leave-In Conditioner</t>
        </is>
      </c>
      <c r="D10264" t="inlineStr">
        <is>
          <t>Matrix</t>
        </is>
      </c>
      <c r="E10264" t="n">
        <v>16.82</v>
      </c>
      <c r="F10264" t="n">
        <v>1</v>
      </c>
      <c r="G10264" t="n">
        <v>18</v>
      </c>
      <c r="H10264" s="5">
        <f>HYPERLINK("https://api.qogita.com/variants/link/3474637219116/", "View Product")</f>
        <v/>
      </c>
    </row>
    <row r="10265">
      <c r="A10265" t="inlineStr">
        <is>
          <t>3474637219611</t>
        </is>
      </c>
      <c r="B10265" t="inlineStr">
        <is>
          <t>Krastase Chronologiste L'Huile De Parfum 75 Ml Perfumed Hair Oil</t>
        </is>
      </c>
      <c r="C10265" t="inlineStr">
        <is>
          <t>Hair Oil &amp; Hair Serum</t>
        </is>
      </c>
      <c r="D10265" t="inlineStr">
        <is>
          <t>Kérastase</t>
        </is>
      </c>
      <c r="E10265" t="n">
        <v>73.52</v>
      </c>
      <c r="F10265" t="n">
        <v>1</v>
      </c>
      <c r="G10265" t="n">
        <v>4</v>
      </c>
      <c r="H10265" s="5">
        <f>HYPERLINK("https://api.qogita.com/variants/link/3474637219611/", "View Product")</f>
        <v/>
      </c>
    </row>
    <row r="10266">
      <c r="A10266" t="inlineStr">
        <is>
          <t>3474637220662</t>
        </is>
      </c>
      <c r="B10266" t="inlineStr">
        <is>
          <t>Biolage Universal Conditioner for All Hair Types with Fermented Tea and Glycolic Acid 200ml</t>
        </is>
      </c>
      <c r="C10266" t="inlineStr">
        <is>
          <t>Conditioner</t>
        </is>
      </c>
      <c r="D10266" t="inlineStr">
        <is>
          <t>Biolage</t>
        </is>
      </c>
      <c r="E10266" t="n">
        <v>11.72</v>
      </c>
      <c r="F10266" t="n">
        <v>1</v>
      </c>
      <c r="G10266" t="n">
        <v>2</v>
      </c>
      <c r="H10266" s="5">
        <f>HYPERLINK("https://api.qogita.com/variants/link/3474637220662/", "View Product")</f>
        <v/>
      </c>
    </row>
    <row r="10267">
      <c r="A10267" t="inlineStr">
        <is>
          <t>3474637242152</t>
        </is>
      </c>
      <c r="B10267" t="inlineStr">
        <is>
          <t>L'Oral Professionnel Scalp Advanced Antidiscomfort Shampoo 500ml</t>
        </is>
      </c>
      <c r="C10267" t="inlineStr">
        <is>
          <t>Shampoo</t>
        </is>
      </c>
      <c r="D10267" t="inlineStr">
        <is>
          <t>L'Oréal Professionnel</t>
        </is>
      </c>
      <c r="E10267" t="n">
        <v>23.98</v>
      </c>
      <c r="F10267" t="n">
        <v>1</v>
      </c>
      <c r="G10267" t="n">
        <v>3</v>
      </c>
      <c r="H10267" s="5">
        <f>HYPERLINK("https://api.qogita.com/variants/link/3474637242152/", "View Product")</f>
        <v/>
      </c>
    </row>
    <row r="10268">
      <c r="A10268" t="inlineStr">
        <is>
          <t>3474637242176</t>
        </is>
      </c>
      <c r="B10268" t="inlineStr">
        <is>
          <t>L'Oral Professionnel Magnesium Silver Neutralising Shampoo For Grey And White Hair</t>
        </is>
      </c>
      <c r="C10268" t="inlineStr">
        <is>
          <t>Shampoo</t>
        </is>
      </c>
      <c r="D10268" t="inlineStr">
        <is>
          <t>L'Oréal Professionnel</t>
        </is>
      </c>
      <c r="E10268" t="n">
        <v>20.43</v>
      </c>
      <c r="F10268" t="n">
        <v>1</v>
      </c>
      <c r="G10268" t="n">
        <v>6</v>
      </c>
      <c r="H10268" s="5">
        <f>HYPERLINK("https://api.qogita.com/variants/link/3474637242176/", "View Product")</f>
        <v/>
      </c>
    </row>
    <row r="10269">
      <c r="A10269" t="inlineStr">
        <is>
          <t>3474637244385</t>
        </is>
      </c>
      <c r="B10269" t="inlineStr">
        <is>
          <t>Matrix A Curl Can Dream Weightless Moisture Shampoo 300 Ml Moisturizing Shampoo For Wavy And Curly Hair</t>
        </is>
      </c>
      <c r="C10269" t="inlineStr">
        <is>
          <t>Shampoo</t>
        </is>
      </c>
      <c r="D10269" t="inlineStr">
        <is>
          <t>Matrix</t>
        </is>
      </c>
      <c r="E10269" t="n">
        <v>11.21</v>
      </c>
      <c r="F10269" t="n">
        <v>1</v>
      </c>
      <c r="G10269" t="n">
        <v>4</v>
      </c>
      <c r="H10269" s="5">
        <f>HYPERLINK("https://api.qogita.com/variants/link/3474637244385/", "View Product")</f>
        <v/>
      </c>
    </row>
    <row r="10270">
      <c r="A10270" t="inlineStr">
        <is>
          <t>3474637257026</t>
        </is>
      </c>
      <c r="B10270" t="inlineStr">
        <is>
          <t>Matrix Glow Mania Color Protecting Shampoo - 300 Ml</t>
        </is>
      </c>
      <c r="C10270" t="inlineStr">
        <is>
          <t>Shampoo</t>
        </is>
      </c>
      <c r="D10270" t="inlineStr">
        <is>
          <t>Matrix</t>
        </is>
      </c>
      <c r="E10270" t="n">
        <v>11.2</v>
      </c>
      <c r="F10270" t="n">
        <v>1</v>
      </c>
      <c r="G10270" t="n">
        <v>16</v>
      </c>
      <c r="H10270" s="5">
        <f>HYPERLINK("https://api.qogita.com/variants/link/3474637257026/", "View Product")</f>
        <v/>
      </c>
    </row>
    <row r="10271">
      <c r="A10271" t="inlineStr">
        <is>
          <t>3474637257040</t>
        </is>
      </c>
      <c r="B10271" t="inlineStr">
        <is>
          <t>Matrix Glow Mania Color Protecting Conditioner - 300 Ml</t>
        </is>
      </c>
      <c r="C10271" t="inlineStr">
        <is>
          <t>Conditioner</t>
        </is>
      </c>
      <c r="D10271" t="inlineStr">
        <is>
          <t>Matrix</t>
        </is>
      </c>
      <c r="E10271" t="n">
        <v>9.85</v>
      </c>
      <c r="F10271" t="n">
        <v>1</v>
      </c>
      <c r="G10271" t="n">
        <v>7</v>
      </c>
      <c r="H10271" s="5">
        <f>HYPERLINK("https://api.qogita.com/variants/link/3474637257040/", "View Product")</f>
        <v/>
      </c>
    </row>
    <row r="10272">
      <c r="A10272" t="inlineStr">
        <is>
          <t>3474637268251</t>
        </is>
      </c>
      <c r="B10272" t="inlineStr">
        <is>
          <t>L'Oreal Professionnel Neutralizing Shampoo For Light Brown Hair Vitamino Color Spectrum Blue Dyes</t>
        </is>
      </c>
      <c r="C10272" t="inlineStr">
        <is>
          <t>Shampoo</t>
        </is>
      </c>
      <c r="D10272" t="inlineStr">
        <is>
          <t>Lo'real Professionnel</t>
        </is>
      </c>
      <c r="E10272" t="n">
        <v>21.54</v>
      </c>
      <c r="F10272" t="n">
        <v>1</v>
      </c>
      <c r="G10272" t="n">
        <v>5</v>
      </c>
      <c r="H10272" s="5">
        <f>HYPERLINK("https://api.qogita.com/variants/link/3474637268251/", "View Product")</f>
        <v/>
      </c>
    </row>
    <row r="10273">
      <c r="A10273" t="inlineStr">
        <is>
          <t>3474637268510</t>
        </is>
      </c>
      <c r="B10273" t="inlineStr">
        <is>
          <t>L'Oreal Professionnel Vitamino Color Spectrum Shampoo For Colored Hair</t>
        </is>
      </c>
      <c r="C10273" t="inlineStr">
        <is>
          <t>Shampoo</t>
        </is>
      </c>
      <c r="D10273" t="inlineStr">
        <is>
          <t>Lo'real Professionnel</t>
        </is>
      </c>
      <c r="E10273" t="n">
        <v>23.12</v>
      </c>
      <c r="F10273" t="n">
        <v>1</v>
      </c>
      <c r="G10273" t="n">
        <v>5</v>
      </c>
      <c r="H10273" s="5">
        <f>HYPERLINK("https://api.qogita.com/variants/link/3474637268510/", "View Product")</f>
        <v/>
      </c>
    </row>
    <row r="10274">
      <c r="A10274" t="inlineStr">
        <is>
          <t>3494800300038</t>
        </is>
      </c>
      <c r="B10274" t="inlineStr">
        <is>
          <t>Marina De Bourbon Rouge Royal EAU De Parfum Spray 3.4oz 100ml for Women</t>
        </is>
      </c>
      <c r="C10274" t="inlineStr">
        <is>
          <t>Eau De Parfum</t>
        </is>
      </c>
      <c r="D10274" t="inlineStr">
        <is>
          <t>Princesse Marina De Bourbon</t>
        </is>
      </c>
      <c r="E10274" t="n">
        <v>33.73</v>
      </c>
      <c r="F10274" t="n">
        <v>1</v>
      </c>
      <c r="G10274" t="n">
        <v>40</v>
      </c>
      <c r="H10274" s="5">
        <f>HYPERLINK("https://api.qogita.com/variants/link/3494800300038/", "View Product")</f>
        <v/>
      </c>
    </row>
    <row r="10275">
      <c r="A10275" t="inlineStr">
        <is>
          <t>3495080212103</t>
        </is>
      </c>
      <c r="B10275" t="inlineStr">
        <is>
          <t>Alyssa Ashley Ambre Marine Eau de Parfum for Women 100ml Spray</t>
        </is>
      </c>
      <c r="C10275" t="inlineStr">
        <is>
          <t>Eau De Parfum</t>
        </is>
      </c>
      <c r="D10275" t="inlineStr">
        <is>
          <t>Alyssa Ashley</t>
        </is>
      </c>
      <c r="E10275" t="n">
        <v>31.68</v>
      </c>
      <c r="F10275" t="n">
        <v>1</v>
      </c>
      <c r="G10275" t="n">
        <v>3</v>
      </c>
      <c r="H10275" s="5">
        <f>HYPERLINK("https://api.qogita.com/variants/link/3495080212103/", "View Product")</f>
        <v/>
      </c>
    </row>
    <row r="10276">
      <c r="A10276" t="inlineStr">
        <is>
          <t>3495080312100</t>
        </is>
      </c>
      <c r="B10276" t="inlineStr">
        <is>
          <t>Alyssa Ashley Tonka Musk Eau De Parfum 100 ml Unisex</t>
        </is>
      </c>
      <c r="C10276" t="inlineStr">
        <is>
          <t>Eau De Parfum</t>
        </is>
      </c>
      <c r="D10276" t="inlineStr">
        <is>
          <t>Tonka</t>
        </is>
      </c>
      <c r="E10276" t="n">
        <v>29.89</v>
      </c>
      <c r="F10276" t="n">
        <v>1</v>
      </c>
      <c r="G10276" t="n">
        <v>3</v>
      </c>
      <c r="H10276" s="5">
        <f>HYPERLINK("https://api.qogita.com/variants/link/3495080312100/", "View Product")</f>
        <v/>
      </c>
    </row>
    <row r="10277">
      <c r="A10277" t="inlineStr">
        <is>
          <t>3495080332337</t>
        </is>
      </c>
      <c r="B10277" t="inlineStr">
        <is>
          <t>Alyssa Ashley White Musk Eau De Toilette Spray 50ml</t>
        </is>
      </c>
      <c r="C10277" t="inlineStr">
        <is>
          <t>Eau De Toilette</t>
        </is>
      </c>
      <c r="D10277" t="inlineStr">
        <is>
          <t>Alyssa Ashley</t>
        </is>
      </c>
      <c r="E10277" t="n">
        <v>9.880000000000001</v>
      </c>
      <c r="F10277" t="n">
        <v>1</v>
      </c>
      <c r="G10277" t="n">
        <v>13</v>
      </c>
      <c r="H10277" s="5">
        <f>HYPERLINK("https://api.qogita.com/variants/link/3495080332337/", "View Product")</f>
        <v/>
      </c>
    </row>
    <row r="10278">
      <c r="A10278" t="inlineStr">
        <is>
          <t>3495080335833</t>
        </is>
      </c>
      <c r="B10278" t="inlineStr">
        <is>
          <t>Alyssa Ashley Bath/Shower Gel 500ml White Musk</t>
        </is>
      </c>
      <c r="C10278" t="inlineStr">
        <is>
          <t>Shower Gel</t>
        </is>
      </c>
      <c r="D10278" t="inlineStr">
        <is>
          <t>Alyssa Ashley</t>
        </is>
      </c>
      <c r="E10278" t="n">
        <v>9.640000000000001</v>
      </c>
      <c r="F10278" t="n">
        <v>1</v>
      </c>
      <c r="G10278" t="n">
        <v>2</v>
      </c>
      <c r="H10278" s="5">
        <f>HYPERLINK("https://api.qogita.com/variants/link/3495080335833/", "View Product")</f>
        <v/>
      </c>
    </row>
    <row r="10279">
      <c r="A10279" t="inlineStr">
        <is>
          <t>3495080352052</t>
        </is>
      </c>
      <c r="B10279" t="inlineStr">
        <is>
          <t>Alyssa Ashley Cedar Musk Eau De Parfum 50ml</t>
        </is>
      </c>
      <c r="C10279" t="inlineStr">
        <is>
          <t>Eau De Parfum</t>
        </is>
      </c>
      <c r="D10279" t="inlineStr">
        <is>
          <t>Alyssa Ashley</t>
        </is>
      </c>
      <c r="E10279" t="n">
        <v>20.22</v>
      </c>
      <c r="F10279" t="n">
        <v>1</v>
      </c>
      <c r="G10279" t="n">
        <v>4</v>
      </c>
      <c r="H10279" s="5">
        <f>HYPERLINK("https://api.qogita.com/variants/link/3495080352052/", "View Product")</f>
        <v/>
      </c>
    </row>
    <row r="10280">
      <c r="A10280" t="inlineStr">
        <is>
          <t>3495080362037</t>
        </is>
      </c>
      <c r="B10280" t="inlineStr">
        <is>
          <t>Alyssa Ashley Red Berry Musk Eau De Parfum Spray 30ml</t>
        </is>
      </c>
      <c r="C10280" t="inlineStr">
        <is>
          <t>Eau De Parfum</t>
        </is>
      </c>
      <c r="D10280" t="inlineStr">
        <is>
          <t>Alyssa Ashley</t>
        </is>
      </c>
      <c r="E10280" t="n">
        <v>16.84</v>
      </c>
      <c r="F10280" t="n">
        <v>1</v>
      </c>
      <c r="G10280" t="n">
        <v>5</v>
      </c>
      <c r="H10280" s="5">
        <f>HYPERLINK("https://api.qogita.com/variants/link/3495080362037/", "View Product")</f>
        <v/>
      </c>
    </row>
    <row r="10281">
      <c r="A10281" t="inlineStr">
        <is>
          <t>3495080372036</t>
        </is>
      </c>
      <c r="B10281" t="inlineStr">
        <is>
          <t>ALYSSA ASHLEY White Patchouli Eau De Parfum Unisex 30ml</t>
        </is>
      </c>
      <c r="C10281" t="inlineStr">
        <is>
          <t>Eau De Parfum</t>
        </is>
      </c>
      <c r="D10281" t="inlineStr">
        <is>
          <t>Alyssa Ashley</t>
        </is>
      </c>
      <c r="E10281" t="n">
        <v>16.33</v>
      </c>
      <c r="F10281" t="n">
        <v>1</v>
      </c>
      <c r="G10281" t="n">
        <v>3</v>
      </c>
      <c r="H10281" s="5">
        <f>HYPERLINK("https://api.qogita.com/variants/link/3495080372036/", "View Product")</f>
        <v/>
      </c>
    </row>
    <row r="10282">
      <c r="A10282" t="inlineStr">
        <is>
          <t>3495080725221</t>
        </is>
      </c>
      <c r="B10282" t="inlineStr">
        <is>
          <t>Alyssa Ashley Green Tea Body Lotion 500ml And Green Tea Essence Shower Gel</t>
        </is>
      </c>
      <c r="C10282" t="inlineStr">
        <is>
          <t>Body Lotion</t>
        </is>
      </c>
      <c r="D10282" t="inlineStr">
        <is>
          <t>Alyssa Ashley</t>
        </is>
      </c>
      <c r="E10282" t="n">
        <v>9.77</v>
      </c>
      <c r="F10282" t="n">
        <v>1</v>
      </c>
      <c r="G10282" t="n">
        <v>2</v>
      </c>
      <c r="H10282" s="5">
        <f>HYPERLINK("https://api.qogita.com/variants/link/3495080725221/", "View Product")</f>
        <v/>
      </c>
    </row>
    <row r="10283">
      <c r="A10283" t="inlineStr">
        <is>
          <t>3495080731741</t>
        </is>
      </c>
      <c r="B10283" t="inlineStr">
        <is>
          <t>MUSK Eau de Perfume Spray 100ml</t>
        </is>
      </c>
      <c r="C10283" t="inlineStr">
        <is>
          <t>Eau De Parfum</t>
        </is>
      </c>
      <c r="D10283" t="inlineStr">
        <is>
          <t>Alyssa Ashley</t>
        </is>
      </c>
      <c r="E10283" t="n">
        <v>28.84</v>
      </c>
      <c r="F10283" t="n">
        <v>1</v>
      </c>
      <c r="G10283" t="n">
        <v>2</v>
      </c>
      <c r="H10283" s="5">
        <f>HYPERLINK("https://api.qogita.com/variants/link/3495080731741/", "View Product")</f>
        <v/>
      </c>
    </row>
    <row r="10284">
      <c r="A10284" t="inlineStr">
        <is>
          <t>3495080745014</t>
        </is>
      </c>
      <c r="B10284" t="inlineStr">
        <is>
          <t>Alyssa Ashley Musk Body Lotion 100ml</t>
        </is>
      </c>
      <c r="C10284" t="inlineStr">
        <is>
          <t>Body Lotion</t>
        </is>
      </c>
      <c r="D10284" t="inlineStr">
        <is>
          <t>Alyssa Ashley</t>
        </is>
      </c>
      <c r="E10284" t="n">
        <v>3.52</v>
      </c>
      <c r="F10284" t="n">
        <v>1</v>
      </c>
      <c r="G10284" t="n">
        <v>2</v>
      </c>
      <c r="H10284" s="5">
        <f>HYPERLINK("https://api.qogita.com/variants/link/3495080745014/", "View Product")</f>
        <v/>
      </c>
    </row>
    <row r="10285">
      <c r="A10285" t="inlineStr">
        <is>
          <t>3495080745205</t>
        </is>
      </c>
      <c r="B10285" t="inlineStr">
        <is>
          <t>Alyssa Ashley Body Lotion 250ml</t>
        </is>
      </c>
      <c r="C10285" t="inlineStr">
        <is>
          <t>Body Lotion</t>
        </is>
      </c>
      <c r="D10285" t="inlineStr">
        <is>
          <t>Alyssa Ashley</t>
        </is>
      </c>
      <c r="E10285" t="n">
        <v>6.96</v>
      </c>
      <c r="F10285" t="n">
        <v>1</v>
      </c>
      <c r="G10285" t="n">
        <v>3</v>
      </c>
      <c r="H10285" s="5">
        <f>HYPERLINK("https://api.qogita.com/variants/link/3495080745205/", "View Product")</f>
        <v/>
      </c>
    </row>
    <row r="10286">
      <c r="A10286" t="inlineStr">
        <is>
          <t>3495080753057</t>
        </is>
      </c>
      <c r="B10286" t="inlineStr">
        <is>
          <t>Alyssa Ashley Fizzy Eau De Toilette Spray 50ml</t>
        </is>
      </c>
      <c r="C10286" t="inlineStr">
        <is>
          <t>Eau De Toilette</t>
        </is>
      </c>
      <c r="D10286" t="inlineStr">
        <is>
          <t>Alyssa Ashley</t>
        </is>
      </c>
      <c r="E10286" t="n">
        <v>8.44</v>
      </c>
      <c r="F10286" t="n">
        <v>1</v>
      </c>
      <c r="G10286" t="n">
        <v>2</v>
      </c>
      <c r="H10286" s="5">
        <f>HYPERLINK("https://api.qogita.com/variants/link/3495080753057/", "View Product")</f>
        <v/>
      </c>
    </row>
    <row r="10287">
      <c r="A10287" t="inlineStr">
        <is>
          <t>3495080776032</t>
        </is>
      </c>
      <c r="B10287" t="inlineStr">
        <is>
          <t>Alyssa Ashley Eau de Toilette 210g 100</t>
        </is>
      </c>
      <c r="C10287" t="inlineStr">
        <is>
          <t>Eau De Toilette</t>
        </is>
      </c>
      <c r="D10287" t="inlineStr">
        <is>
          <t>Alyssa Ashley</t>
        </is>
      </c>
      <c r="E10287" t="n">
        <v>14.96</v>
      </c>
      <c r="F10287" t="n">
        <v>1</v>
      </c>
      <c r="G10287" t="n">
        <v>18</v>
      </c>
      <c r="H10287" s="5">
        <f>HYPERLINK("https://api.qogita.com/variants/link/3495080776032/", "View Product")</f>
        <v/>
      </c>
    </row>
    <row r="10288">
      <c r="A10288" t="inlineStr">
        <is>
          <t>3499320009317</t>
        </is>
      </c>
      <c r="B10288" t="inlineStr">
        <is>
          <t>Cetaphil Sun Liposomal Sun Lotion SPF 50+ 200ml</t>
        </is>
      </c>
      <c r="C10288" t="inlineStr">
        <is>
          <t>Body Sun Protection</t>
        </is>
      </c>
      <c r="D10288" t="inlineStr">
        <is>
          <t>Cetaphil</t>
        </is>
      </c>
      <c r="E10288" t="n">
        <v>34.39</v>
      </c>
      <c r="F10288" t="n">
        <v>1</v>
      </c>
      <c r="G10288" t="n">
        <v>343</v>
      </c>
      <c r="H10288" s="5">
        <f>HYPERLINK("https://api.qogita.com/variants/link/3499320009317/", "View Product")</f>
        <v/>
      </c>
    </row>
    <row r="10289">
      <c r="A10289" t="inlineStr">
        <is>
          <t>3499320009812</t>
        </is>
      </c>
      <c r="B10289" t="inlineStr">
        <is>
          <t>Cetaphil SUN Multi-Protection Anti-Age Treatment SPF 50+ - 50 ml</t>
        </is>
      </c>
      <c r="C10289" t="inlineStr">
        <is>
          <t>Face Sun Protection</t>
        </is>
      </c>
      <c r="D10289" t="inlineStr">
        <is>
          <t>Cetaphil</t>
        </is>
      </c>
      <c r="E10289" t="n">
        <v>18.93</v>
      </c>
      <c r="F10289" t="n">
        <v>1</v>
      </c>
      <c r="G10289" t="n">
        <v>21</v>
      </c>
      <c r="H10289" s="5">
        <f>HYPERLINK("https://api.qogita.com/variants/link/3499320009812/", "View Product")</f>
        <v/>
      </c>
    </row>
    <row r="10290">
      <c r="A10290" t="inlineStr">
        <is>
          <t>3499320010252</t>
        </is>
      </c>
      <c r="B10290" t="inlineStr">
        <is>
          <t>Cetaphil Sun Daylong SPF 50+ Sensitive Gel 100ml</t>
        </is>
      </c>
      <c r="C10290" t="inlineStr">
        <is>
          <t>Face Sun Protection</t>
        </is>
      </c>
      <c r="D10290" t="inlineStr">
        <is>
          <t>Cetaphil</t>
        </is>
      </c>
      <c r="E10290" t="n">
        <v>21.64</v>
      </c>
      <c r="F10290" t="n">
        <v>1</v>
      </c>
      <c r="G10290" t="n">
        <v>102</v>
      </c>
      <c r="H10290" s="5">
        <f>HYPERLINK("https://api.qogita.com/variants/link/3499320010252/", "View Product")</f>
        <v/>
      </c>
    </row>
    <row r="10291">
      <c r="A10291" t="inlineStr">
        <is>
          <t>3504105030476</t>
        </is>
      </c>
      <c r="B10291" t="inlineStr">
        <is>
          <t>Mustela Bébé Liniment - Cleaning The Seat</t>
        </is>
      </c>
      <c r="C10291" t="inlineStr">
        <is>
          <t>Baby Wipes &amp; Diapers</t>
        </is>
      </c>
      <c r="D10291" t="inlineStr">
        <is>
          <t>Mustela</t>
        </is>
      </c>
      <c r="E10291" t="n">
        <v>12.02</v>
      </c>
      <c r="F10291" t="n">
        <v>1</v>
      </c>
      <c r="G10291" t="n">
        <v>5</v>
      </c>
      <c r="H10291" s="5">
        <f>HYPERLINK("https://api.qogita.com/variants/link/3504105030476/", "View Product")</f>
        <v/>
      </c>
    </row>
    <row r="10292">
      <c r="A10292" t="inlineStr">
        <is>
          <t>3504105031527</t>
        </is>
      </c>
      <c r="B10292" t="inlineStr">
        <is>
          <t>Mustela Baby Child Intimate Hygiene Gel 200ml</t>
        </is>
      </c>
      <c r="C10292" t="inlineStr">
        <is>
          <t>Intimate Hygiene</t>
        </is>
      </c>
      <c r="D10292" t="inlineStr">
        <is>
          <t>Mustela</t>
        </is>
      </c>
      <c r="E10292" t="n">
        <v>12.83</v>
      </c>
      <c r="F10292" t="n">
        <v>1</v>
      </c>
      <c r="G10292" t="n">
        <v>5</v>
      </c>
      <c r="H10292" s="5">
        <f>HYPERLINK("https://api.qogita.com/variants/link/3504105031527/", "View Product")</f>
        <v/>
      </c>
    </row>
    <row r="10293">
      <c r="A10293" t="inlineStr">
        <is>
          <t>3504105033828</t>
        </is>
      </c>
      <c r="B10293" t="inlineStr">
        <is>
          <t>Mustela Stretch Marks Cream 150ml Maternity Stretch Marks Prevention Cream</t>
        </is>
      </c>
      <c r="C10293" t="inlineStr">
        <is>
          <t>Pregnancy</t>
        </is>
      </c>
      <c r="D10293" t="inlineStr">
        <is>
          <t>Mustela</t>
        </is>
      </c>
      <c r="E10293" t="n">
        <v>13.32</v>
      </c>
      <c r="F10293" t="n">
        <v>1</v>
      </c>
      <c r="G10293" t="n">
        <v>16</v>
      </c>
      <c r="H10293" s="5">
        <f>HYPERLINK("https://api.qogita.com/variants/link/3504105033828/", "View Product")</f>
        <v/>
      </c>
    </row>
    <row r="10294">
      <c r="A10294" t="inlineStr">
        <is>
          <t>3504105033873</t>
        </is>
      </c>
      <c r="B10294" t="inlineStr">
        <is>
          <t>Mustela Maternity Organic Stretch Marks Oil Fragrance-Free 105ml</t>
        </is>
      </c>
      <c r="C10294" t="inlineStr">
        <is>
          <t>Anti-Stretch Mark Cream</t>
        </is>
      </c>
      <c r="D10294" t="inlineStr">
        <is>
          <t>Mustela</t>
        </is>
      </c>
      <c r="E10294" t="n">
        <v>9.91</v>
      </c>
      <c r="F10294" t="n">
        <v>1</v>
      </c>
      <c r="G10294" t="n">
        <v>74</v>
      </c>
      <c r="H10294" s="5">
        <f>HYPERLINK("https://api.qogita.com/variants/link/3504105033873/", "View Product")</f>
        <v/>
      </c>
    </row>
    <row r="10295">
      <c r="A10295" t="inlineStr">
        <is>
          <t>3504105035464</t>
        </is>
      </c>
      <c r="B10295" t="inlineStr">
        <is>
          <t>Mustela Bb Gentle Cleansing Gel Hair And Body 200ml</t>
        </is>
      </c>
      <c r="C10295" t="inlineStr">
        <is>
          <t>Baby Bath</t>
        </is>
      </c>
      <c r="D10295" t="inlineStr">
        <is>
          <t>Mustela</t>
        </is>
      </c>
      <c r="E10295" t="n">
        <v>7.01</v>
      </c>
      <c r="F10295" t="n">
        <v>1</v>
      </c>
      <c r="G10295" t="n">
        <v>5</v>
      </c>
      <c r="H10295" s="5">
        <f>HYPERLINK("https://api.qogita.com/variants/link/3504105035464/", "View Product")</f>
        <v/>
      </c>
    </row>
    <row r="10296">
      <c r="A10296" t="inlineStr">
        <is>
          <t>3504105035532</t>
        </is>
      </c>
      <c r="B10296" t="inlineStr">
        <is>
          <t>Mustela Baby Nourishing Lotion With Cold Cream 200ml</t>
        </is>
      </c>
      <c r="C10296" t="inlineStr">
        <is>
          <t>Baby Cream &amp; Oil</t>
        </is>
      </c>
      <c r="D10296" t="inlineStr">
        <is>
          <t>Mustela</t>
        </is>
      </c>
      <c r="E10296" t="n">
        <v>7.87</v>
      </c>
      <c r="F10296" t="n">
        <v>1</v>
      </c>
      <c r="G10296" t="n">
        <v>4</v>
      </c>
      <c r="H10296" s="5">
        <f>HYPERLINK("https://api.qogita.com/variants/link/3504105035532/", "View Product")</f>
        <v/>
      </c>
    </row>
    <row r="10297">
      <c r="A10297" t="inlineStr">
        <is>
          <t>3504105036126</t>
        </is>
      </c>
      <c r="B10297" t="inlineStr">
        <is>
          <t>Mustela Gentle Shampoo 200ml</t>
        </is>
      </c>
      <c r="C10297" t="inlineStr">
        <is>
          <t>Shampoo</t>
        </is>
      </c>
      <c r="D10297" t="inlineStr">
        <is>
          <t>Mustela</t>
        </is>
      </c>
      <c r="E10297" t="n">
        <v>7</v>
      </c>
      <c r="F10297" t="n">
        <v>1</v>
      </c>
      <c r="G10297" t="n">
        <v>5</v>
      </c>
      <c r="H10297" s="5">
        <f>HYPERLINK("https://api.qogita.com/variants/link/3504105036126/", "View Product")</f>
        <v/>
      </c>
    </row>
    <row r="10298">
      <c r="A10298" t="inlineStr">
        <is>
          <t>3504105039875</t>
        </is>
      </c>
      <c r="B10298" t="inlineStr">
        <is>
          <t>Mustela Stelatopia Lipidreplenishing Cream 300 Ml Ideal For Soothing And Replenishing Dry Skin</t>
        </is>
      </c>
      <c r="C10298" t="inlineStr">
        <is>
          <t>Face Cream</t>
        </is>
      </c>
      <c r="D10298" t="inlineStr">
        <is>
          <t>Mustela</t>
        </is>
      </c>
      <c r="E10298" t="n">
        <v>20.87</v>
      </c>
      <c r="F10298" t="n">
        <v>1</v>
      </c>
      <c r="G10298" t="n">
        <v>7</v>
      </c>
      <c r="H10298" s="5">
        <f>HYPERLINK("https://api.qogita.com/variants/link/3504105039875/", "View Product")</f>
        <v/>
      </c>
    </row>
    <row r="10299">
      <c r="A10299" t="inlineStr">
        <is>
          <t>3508240003364</t>
        </is>
      </c>
      <c r="B10299" t="inlineStr">
        <is>
          <t>Lierac Eye Radiance Serum 15 Ml</t>
        </is>
      </c>
      <c r="C10299" t="inlineStr">
        <is>
          <t>Eye Serum</t>
        </is>
      </c>
      <c r="D10299" t="inlineStr">
        <is>
          <t>Lierac</t>
        </is>
      </c>
      <c r="E10299" t="n">
        <v>28.36</v>
      </c>
      <c r="F10299" t="n">
        <v>1</v>
      </c>
      <c r="G10299" t="n">
        <v>20</v>
      </c>
      <c r="H10299" s="5">
        <f>HYPERLINK("https://api.qogita.com/variants/link/3508240003364/", "View Product")</f>
        <v/>
      </c>
    </row>
    <row r="10300">
      <c r="A10300" t="inlineStr">
        <is>
          <t>3508440505002</t>
        </is>
      </c>
      <c r="B10300" t="inlineStr">
        <is>
          <t>Creed Bois Du Portugal Eau De Toilette 50ml For Men</t>
        </is>
      </c>
      <c r="C10300" t="inlineStr">
        <is>
          <t>Eau De Toilette</t>
        </is>
      </c>
      <c r="D10300" t="inlineStr">
        <is>
          <t>Creed</t>
        </is>
      </c>
      <c r="E10300" t="n">
        <v>157.22</v>
      </c>
      <c r="F10300" t="n">
        <v>1</v>
      </c>
      <c r="G10300" t="n">
        <v>2</v>
      </c>
      <c r="H10300" s="5">
        <f>HYPERLINK("https://api.qogita.com/variants/link/3508440505002/", "View Product")</f>
        <v/>
      </c>
    </row>
    <row r="10301">
      <c r="A10301" t="inlineStr">
        <is>
          <t>3508440505057</t>
        </is>
      </c>
      <c r="B10301" t="inlineStr">
        <is>
          <t>Creed Silver Mountain Water Eau De Perfume Spray 50ml</t>
        </is>
      </c>
      <c r="C10301" t="inlineStr">
        <is>
          <t>Eau De Parfum</t>
        </is>
      </c>
      <c r="D10301" t="inlineStr">
        <is>
          <t>Creed</t>
        </is>
      </c>
      <c r="E10301" t="n">
        <v>246.58</v>
      </c>
      <c r="F10301" t="n">
        <v>1</v>
      </c>
      <c r="G10301" t="n">
        <v>7</v>
      </c>
      <c r="H10301" s="5">
        <f>HYPERLINK("https://api.qogita.com/variants/link/3508440505057/", "View Product")</f>
        <v/>
      </c>
    </row>
    <row r="10302">
      <c r="A10302" t="inlineStr">
        <is>
          <t>3508440506955</t>
        </is>
      </c>
      <c r="B10302" t="inlineStr">
        <is>
          <t>Creed Love In White For Summer Eau De Parfum 75ml Women Spray</t>
        </is>
      </c>
      <c r="C10302" t="inlineStr">
        <is>
          <t>Eau De Parfum</t>
        </is>
      </c>
      <c r="D10302" t="inlineStr">
        <is>
          <t>Creed</t>
        </is>
      </c>
      <c r="E10302" t="n">
        <v>172.33</v>
      </c>
      <c r="F10302" t="n">
        <v>1</v>
      </c>
      <c r="G10302" t="n">
        <v>3</v>
      </c>
      <c r="H10302" s="5">
        <f>HYPERLINK("https://api.qogita.com/variants/link/3508440506955/", "View Product")</f>
        <v/>
      </c>
    </row>
    <row r="10303">
      <c r="A10303" t="inlineStr">
        <is>
          <t>3508441001022</t>
        </is>
      </c>
      <c r="B10303" t="inlineStr">
        <is>
          <t>Creed Green Irish Tweed Eau De Parfum 100ml Men Spray</t>
        </is>
      </c>
      <c r="C10303" t="inlineStr">
        <is>
          <t>Eau De Parfum</t>
        </is>
      </c>
      <c r="D10303" t="inlineStr">
        <is>
          <t>Creed</t>
        </is>
      </c>
      <c r="E10303" t="n">
        <v>198.21</v>
      </c>
      <c r="F10303" t="n">
        <v>1</v>
      </c>
      <c r="G10303" t="n">
        <v>21</v>
      </c>
      <c r="H10303" s="5">
        <f>HYPERLINK("https://api.qogita.com/variants/link/3508441001022/", "View Product")</f>
        <v/>
      </c>
    </row>
    <row r="10304">
      <c r="A10304" t="inlineStr">
        <is>
          <t>3516641717315</t>
        </is>
      </c>
      <c r="B10304" t="inlineStr">
        <is>
          <t>Franck Olivier Oud Vanille Unisex Eau De Parfum</t>
        </is>
      </c>
      <c r="C10304" t="inlineStr">
        <is>
          <t>Eau De Parfum</t>
        </is>
      </c>
      <c r="D10304" t="inlineStr">
        <is>
          <t>Franck Olivier</t>
        </is>
      </c>
      <c r="E10304" t="n">
        <v>15.34</v>
      </c>
      <c r="F10304" t="n">
        <v>1</v>
      </c>
      <c r="G10304" t="n">
        <v>66</v>
      </c>
      <c r="H10304" s="5">
        <f>HYPERLINK("https://api.qogita.com/variants/link/3516641717315/", "View Product")</f>
        <v/>
      </c>
    </row>
    <row r="10305">
      <c r="A10305" t="inlineStr">
        <is>
          <t>3516641926328</t>
        </is>
      </c>
      <c r="B10305" t="inlineStr">
        <is>
          <t>Franck Olivier One Kiss For Women Eau De Parfum Spray 75ml</t>
        </is>
      </c>
      <c r="C10305" t="inlineStr">
        <is>
          <t>Eau De Parfum</t>
        </is>
      </c>
      <c r="D10305" t="inlineStr">
        <is>
          <t>Franck Olivier</t>
        </is>
      </c>
      <c r="E10305" t="n">
        <v>12.02</v>
      </c>
      <c r="F10305" t="n">
        <v>1</v>
      </c>
      <c r="G10305" t="n">
        <v>2</v>
      </c>
      <c r="H10305" s="5">
        <f>HYPERLINK("https://api.qogita.com/variants/link/3516641926328/", "View Product")</f>
        <v/>
      </c>
    </row>
    <row r="10306">
      <c r="A10306" t="inlineStr">
        <is>
          <t>3516642011122</t>
        </is>
      </c>
      <c r="B10306" t="inlineStr">
        <is>
          <t>Franck Olivier Blue Franck Eau De Toilette Spray 75ml</t>
        </is>
      </c>
      <c r="C10306" t="inlineStr">
        <is>
          <t>Eau De Toilette</t>
        </is>
      </c>
      <c r="D10306" t="inlineStr">
        <is>
          <t>Franck Olivier</t>
        </is>
      </c>
      <c r="E10306" t="n">
        <v>13.45</v>
      </c>
      <c r="F10306" t="n">
        <v>1</v>
      </c>
      <c r="G10306" t="n">
        <v>8</v>
      </c>
      <c r="H10306" s="5">
        <f>HYPERLINK("https://api.qogita.com/variants/link/3516642011122/", "View Product")</f>
        <v/>
      </c>
    </row>
    <row r="10307">
      <c r="A10307" t="inlineStr">
        <is>
          <t>3516642063312</t>
        </is>
      </c>
      <c r="B10307" t="inlineStr">
        <is>
          <t>Franck Olivier Pure Addiction Eau De Parfum 100ml</t>
        </is>
      </c>
      <c r="C10307" t="inlineStr">
        <is>
          <t>Eau De Parfum</t>
        </is>
      </c>
      <c r="D10307" t="inlineStr">
        <is>
          <t>Franck Olivier</t>
        </is>
      </c>
      <c r="E10307" t="n">
        <v>14.08</v>
      </c>
      <c r="F10307" t="n">
        <v>1</v>
      </c>
      <c r="G10307" t="n">
        <v>69</v>
      </c>
      <c r="H10307" s="5">
        <f>HYPERLINK("https://api.qogita.com/variants/link/3516642063312/", "View Product")</f>
        <v/>
      </c>
    </row>
    <row r="10308">
      <c r="A10308" t="inlineStr">
        <is>
          <t>3516642117114</t>
        </is>
      </c>
      <c r="B10308" t="inlineStr">
        <is>
          <t>Franck Olivier Night Touch For Men Eau De Toilette Spray 100ml</t>
        </is>
      </c>
      <c r="C10308" t="inlineStr">
        <is>
          <t>Eau De Toilette</t>
        </is>
      </c>
      <c r="D10308" t="inlineStr">
        <is>
          <t>Franck Olivier</t>
        </is>
      </c>
      <c r="E10308" t="n">
        <v>14.77</v>
      </c>
      <c r="F10308" t="n">
        <v>1</v>
      </c>
      <c r="G10308" t="n">
        <v>20</v>
      </c>
      <c r="H10308" s="5">
        <f>HYPERLINK("https://api.qogita.com/variants/link/3516642117114/", "View Product")</f>
        <v/>
      </c>
    </row>
    <row r="10309">
      <c r="A10309" t="inlineStr">
        <is>
          <t>3516642117312</t>
        </is>
      </c>
      <c r="B10309" t="inlineStr">
        <is>
          <t>Franck Olivier White Touch Pour Elle Eau De Parfum Spray 100ml</t>
        </is>
      </c>
      <c r="C10309" t="inlineStr">
        <is>
          <t>Eau De Parfum</t>
        </is>
      </c>
      <c r="D10309" t="inlineStr">
        <is>
          <t>Franck Olivier</t>
        </is>
      </c>
      <c r="E10309" t="n">
        <v>12.58</v>
      </c>
      <c r="F10309" t="n">
        <v>1</v>
      </c>
      <c r="G10309" t="n">
        <v>12</v>
      </c>
      <c r="H10309" s="5">
        <f>HYPERLINK("https://api.qogita.com/variants/link/3516642117312/", "View Product")</f>
        <v/>
      </c>
    </row>
    <row r="10310">
      <c r="A10310" t="inlineStr">
        <is>
          <t>3516642130113</t>
        </is>
      </c>
      <c r="B10310" t="inlineStr">
        <is>
          <t>Franck Olivier Blue Touch EDT 100ml</t>
        </is>
      </c>
      <c r="C10310" t="inlineStr">
        <is>
          <t>Eau De Toilette</t>
        </is>
      </c>
      <c r="D10310" t="inlineStr">
        <is>
          <t>Franck Olivier</t>
        </is>
      </c>
      <c r="E10310" t="n">
        <v>15.01</v>
      </c>
      <c r="F10310" t="n">
        <v>1</v>
      </c>
      <c r="G10310" t="n">
        <v>27</v>
      </c>
      <c r="H10310" s="5">
        <f>HYPERLINK("https://api.qogita.com/variants/link/3516642130113/", "View Product")</f>
        <v/>
      </c>
    </row>
    <row r="10311">
      <c r="A10311" t="inlineStr">
        <is>
          <t>3522930003038</t>
        </is>
      </c>
      <c r="B10311" t="inlineStr">
        <is>
          <t>Caudalie Gentle Buffing Cream 75 Ml Gentle Exfoliating Cream For Sensitive Skin</t>
        </is>
      </c>
      <c r="C10311" t="inlineStr">
        <is>
          <t>Facial Scrub &amp; Peeling</t>
        </is>
      </c>
      <c r="D10311" t="inlineStr">
        <is>
          <t>Caudalie</t>
        </is>
      </c>
      <c r="E10311" t="n">
        <v>17.93</v>
      </c>
      <c r="F10311" t="n">
        <v>1</v>
      </c>
      <c r="G10311" t="n">
        <v>5</v>
      </c>
      <c r="H10311" s="5">
        <f>HYPERLINK("https://api.qogita.com/variants/link/3522930003038/", "View Product")</f>
        <v/>
      </c>
    </row>
    <row r="10312">
      <c r="A10312" t="inlineStr">
        <is>
          <t>3522930004127</t>
        </is>
      </c>
      <c r="B10312" t="inlineStr">
        <is>
          <t>Caudalie Vinocrush Colour Cream Shade 4 Toning Cream 30ml</t>
        </is>
      </c>
      <c r="C10312" t="inlineStr">
        <is>
          <t>Foundation</t>
        </is>
      </c>
      <c r="D10312" t="inlineStr">
        <is>
          <t>Caudalie</t>
        </is>
      </c>
      <c r="E10312" t="n">
        <v>25.84</v>
      </c>
      <c r="F10312" t="n">
        <v>1</v>
      </c>
      <c r="G10312" t="n">
        <v>3</v>
      </c>
      <c r="H10312" s="5">
        <f>HYPERLINK("https://api.qogita.com/variants/link/3522930004127/", "View Product")</f>
        <v/>
      </c>
    </row>
    <row r="10313">
      <c r="A10313" t="inlineStr">
        <is>
          <t>3522930004318</t>
        </is>
      </c>
      <c r="B10313" t="inlineStr">
        <is>
          <t>Caudalie Vinoperfect Brightening Micropeel Foam 100ml</t>
        </is>
      </c>
      <c r="C10313" t="inlineStr">
        <is>
          <t>Cleansing Foam</t>
        </is>
      </c>
      <c r="D10313" t="inlineStr">
        <is>
          <t>Caudalie</t>
        </is>
      </c>
      <c r="E10313" t="n">
        <v>22.07</v>
      </c>
      <c r="F10313" t="n">
        <v>1</v>
      </c>
      <c r="G10313" t="n">
        <v>40</v>
      </c>
      <c r="H10313" s="5">
        <f>HYPERLINK("https://api.qogita.com/variants/link/3522930004318/", "View Product")</f>
        <v/>
      </c>
    </row>
    <row r="10314">
      <c r="A10314" t="inlineStr">
        <is>
          <t>3525801655022</t>
        </is>
      </c>
      <c r="B10314" t="inlineStr">
        <is>
          <t>THALGO Creams 250ml</t>
        </is>
      </c>
      <c r="C10314" t="inlineStr">
        <is>
          <t>Face Cream</t>
        </is>
      </c>
      <c r="D10314" t="inlineStr">
        <is>
          <t>Thalgo</t>
        </is>
      </c>
      <c r="E10314" t="n">
        <v>19.85</v>
      </c>
      <c r="F10314" t="n">
        <v>1</v>
      </c>
      <c r="G10314" t="n">
        <v>9</v>
      </c>
      <c r="H10314" s="5">
        <f>HYPERLINK("https://api.qogita.com/variants/link/3525801655022/", "View Product")</f>
        <v/>
      </c>
    </row>
    <row r="10315">
      <c r="A10315" t="inlineStr">
        <is>
          <t>3525801665137</t>
        </is>
      </c>
      <c r="B10315" t="inlineStr">
        <is>
          <t>Thalgo Spa Merveille Arctique Milky Moisturising Gel 200ml</t>
        </is>
      </c>
      <c r="C10315" t="inlineStr">
        <is>
          <t>Body Lotion</t>
        </is>
      </c>
      <c r="D10315" t="inlineStr">
        <is>
          <t>Thalgo</t>
        </is>
      </c>
      <c r="E10315" t="n">
        <v>21.19</v>
      </c>
      <c r="F10315" t="n">
        <v>1</v>
      </c>
      <c r="G10315" t="n">
        <v>2</v>
      </c>
      <c r="H10315" s="5">
        <f>HYPERLINK("https://api.qogita.com/variants/link/3525801665137/", "View Product")</f>
        <v/>
      </c>
    </row>
    <row r="10316">
      <c r="A10316" t="inlineStr">
        <is>
          <t>3525801686019</t>
        </is>
      </c>
      <c r="B10316" t="inlineStr">
        <is>
          <t>Thalgo Men Force Marine Antifatigue Serum For Eyes 15 Ml</t>
        </is>
      </c>
      <c r="C10316" t="inlineStr">
        <is>
          <t>Eye Serum</t>
        </is>
      </c>
      <c r="D10316" t="inlineStr">
        <is>
          <t>Thalgo</t>
        </is>
      </c>
      <c r="E10316" t="n">
        <v>19.76</v>
      </c>
      <c r="F10316" t="n">
        <v>1</v>
      </c>
      <c r="G10316" t="n">
        <v>5</v>
      </c>
      <c r="H10316" s="5">
        <f>HYPERLINK("https://api.qogita.com/variants/link/3525801686019/", "View Product")</f>
        <v/>
      </c>
    </row>
    <row r="10317">
      <c r="A10317" t="inlineStr">
        <is>
          <t>3552570127481</t>
        </is>
      </c>
      <c r="B10317" t="inlineStr">
        <is>
          <t>Annayake Koga For Him Size 100 Ml</t>
        </is>
      </c>
      <c r="C10317" t="inlineStr">
        <is>
          <t>Eau De Toilette</t>
        </is>
      </c>
      <c r="D10317" t="inlineStr">
        <is>
          <t>Annayake</t>
        </is>
      </c>
      <c r="E10317" t="n">
        <v>53.42</v>
      </c>
      <c r="F10317" t="n">
        <v>1</v>
      </c>
      <c r="G10317" t="n">
        <v>5</v>
      </c>
      <c r="H10317" s="5">
        <f>HYPERLINK("https://api.qogita.com/variants/link/3552570127481/", "View Product")</f>
        <v/>
      </c>
    </row>
    <row r="10318">
      <c r="A10318" t="inlineStr">
        <is>
          <t>3552575000116</t>
        </is>
      </c>
      <c r="B10318" t="inlineStr">
        <is>
          <t>Annayake Pour Elle Eau de Parfum Spray 100ml</t>
        </is>
      </c>
      <c r="C10318" t="inlineStr">
        <is>
          <t>Eau De Parfum</t>
        </is>
      </c>
      <c r="D10318" t="inlineStr">
        <is>
          <t>Annayake</t>
        </is>
      </c>
      <c r="E10318" t="n">
        <v>56.2</v>
      </c>
      <c r="F10318" t="n">
        <v>1</v>
      </c>
      <c r="G10318" t="n">
        <v>2</v>
      </c>
      <c r="H10318" s="5">
        <f>HYPERLINK("https://api.qogita.com/variants/link/3552575000116/", "View Product")</f>
        <v/>
      </c>
    </row>
    <row r="10319">
      <c r="A10319" t="inlineStr">
        <is>
          <t>3552575200110</t>
        </is>
      </c>
      <c r="B10319" t="inlineStr">
        <is>
          <t>Annayake Undo Pour Homme Eau De Toilette</t>
        </is>
      </c>
      <c r="C10319" t="inlineStr">
        <is>
          <t>Eau De Toilette</t>
        </is>
      </c>
      <c r="D10319" t="inlineStr">
        <is>
          <t>Annayake</t>
        </is>
      </c>
      <c r="E10319" t="n">
        <v>34.84</v>
      </c>
      <c r="F10319" t="n">
        <v>1</v>
      </c>
      <c r="G10319" t="n">
        <v>13</v>
      </c>
      <c r="H10319" s="5">
        <f>HYPERLINK("https://api.qogita.com/variants/link/3552575200110/", "View Product")</f>
        <v/>
      </c>
    </row>
    <row r="10320">
      <c r="A10320" t="inlineStr">
        <is>
          <t>3574660533576</t>
        </is>
      </c>
      <c r="B10320" t="inlineStr">
        <is>
          <t>Neutrogena Deep Moisture Fast Absorbing Comfort Balm 300 Ml Moisturizing Body Balm</t>
        </is>
      </c>
      <c r="C10320" t="inlineStr">
        <is>
          <t>Body Lotion</t>
        </is>
      </c>
      <c r="D10320" t="inlineStr">
        <is>
          <t>Neutrogena</t>
        </is>
      </c>
      <c r="E10320" t="n">
        <v>7.08</v>
      </c>
      <c r="F10320" t="n">
        <v>1</v>
      </c>
      <c r="G10320" t="n">
        <v>10</v>
      </c>
      <c r="H10320" s="5">
        <f>HYPERLINK("https://api.qogita.com/variants/link/3574660533576/", "View Product")</f>
        <v/>
      </c>
    </row>
    <row r="10321">
      <c r="A10321" t="inlineStr">
        <is>
          <t>3574660537222</t>
        </is>
      </c>
      <c r="B10321" t="inlineStr">
        <is>
          <t>Listerine Total Care Mouthwash For Complete Protection</t>
        </is>
      </c>
      <c r="C10321" t="inlineStr">
        <is>
          <t>Mouthwash</t>
        </is>
      </c>
      <c r="D10321" t="inlineStr">
        <is>
          <t>Listerine</t>
        </is>
      </c>
      <c r="E10321" t="n">
        <v>7.3</v>
      </c>
      <c r="F10321" t="n">
        <v>1</v>
      </c>
      <c r="G10321" t="n">
        <v>6</v>
      </c>
      <c r="H10321" s="5">
        <f>HYPERLINK("https://api.qogita.com/variants/link/3574660537222/", "View Product")</f>
        <v/>
      </c>
    </row>
    <row r="10322">
      <c r="A10322" t="inlineStr">
        <is>
          <t>3574660653151</t>
        </is>
      </c>
      <c r="B10322" t="inlineStr">
        <is>
          <t>Neutrogena Norwegian Formula Deep Moisture Oil-In-Lotion</t>
        </is>
      </c>
      <c r="C10322" t="inlineStr">
        <is>
          <t>Body Lotion</t>
        </is>
      </c>
      <c r="D10322" t="inlineStr">
        <is>
          <t>Neutrogena</t>
        </is>
      </c>
      <c r="E10322" t="n">
        <v>7.88</v>
      </c>
      <c r="F10322" t="n">
        <v>1</v>
      </c>
      <c r="G10322" t="n">
        <v>35</v>
      </c>
      <c r="H10322" s="5">
        <f>HYPERLINK("https://api.qogita.com/variants/link/3574660653151/", "View Product")</f>
        <v/>
      </c>
    </row>
    <row r="10323">
      <c r="A10323" t="inlineStr">
        <is>
          <t>3574660674972</t>
        </is>
      </c>
      <c r="B10323" t="inlineStr">
        <is>
          <t>Piz Buin Piz Buin Mountain Sun Lip Balm Spf 30 49g</t>
        </is>
      </c>
      <c r="C10323" t="inlineStr">
        <is>
          <t>Face Sun Protection</t>
        </is>
      </c>
      <c r="D10323" t="inlineStr">
        <is>
          <t>Piz Buin</t>
        </is>
      </c>
      <c r="E10323" t="n">
        <v>5.58</v>
      </c>
      <c r="F10323" t="n">
        <v>1</v>
      </c>
      <c r="G10323" t="n">
        <v>16</v>
      </c>
      <c r="H10323" s="5">
        <f>HYPERLINK("https://api.qogita.com/variants/link/3574660674972/", "View Product")</f>
        <v/>
      </c>
    </row>
    <row r="10324">
      <c r="A10324" t="inlineStr">
        <is>
          <t>3574661332581</t>
        </is>
      </c>
      <c r="B10324" t="inlineStr">
        <is>
          <t>Neutrogena Oilfree Moisturiser With Salicylic Acid Clear &amp; Defend 50 Ml</t>
        </is>
      </c>
      <c r="C10324" t="inlineStr">
        <is>
          <t>Pimple &amp; Blackhead Treatments</t>
        </is>
      </c>
      <c r="D10324" t="inlineStr">
        <is>
          <t>Neutrogena</t>
        </is>
      </c>
      <c r="E10324" t="n">
        <v>7.34</v>
      </c>
      <c r="F10324" t="n">
        <v>1</v>
      </c>
      <c r="G10324" t="n">
        <v>15</v>
      </c>
      <c r="H10324" s="5">
        <f>HYPERLINK("https://api.qogita.com/variants/link/3574661332581/", "View Product")</f>
        <v/>
      </c>
    </row>
    <row r="10325">
      <c r="A10325" t="inlineStr">
        <is>
          <t>3574661351711</t>
        </is>
      </c>
      <c r="B10325" t="inlineStr">
        <is>
          <t>Neutrogena City Shield Ultra-Violet Protection SPF 25 Hydration Lotion 50ml</t>
        </is>
      </c>
      <c r="C10325" t="inlineStr">
        <is>
          <t>Body Sun Protection</t>
        </is>
      </c>
      <c r="D10325" t="inlineStr">
        <is>
          <t>Neutrogena</t>
        </is>
      </c>
      <c r="E10325" t="n">
        <v>13.96</v>
      </c>
      <c r="F10325" t="n">
        <v>1</v>
      </c>
      <c r="G10325" t="n">
        <v>12</v>
      </c>
      <c r="H10325" s="5">
        <f>HYPERLINK("https://api.qogita.com/variants/link/3574661351711/", "View Product")</f>
        <v/>
      </c>
    </row>
    <row r="10326">
      <c r="A10326" t="inlineStr">
        <is>
          <t>3574661373591</t>
        </is>
      </c>
      <c r="B10326" t="inlineStr">
        <is>
          <t>Piz Buin Tan Intensifying Sun Spray Spf 15 150ml Protective Spray For Intense Tanning</t>
        </is>
      </c>
      <c r="C10326" t="inlineStr">
        <is>
          <t>Body Sun Protection</t>
        </is>
      </c>
      <c r="D10326" t="inlineStr">
        <is>
          <t>Piz Buin</t>
        </is>
      </c>
      <c r="E10326" t="n">
        <v>8.27</v>
      </c>
      <c r="F10326" t="n">
        <v>1</v>
      </c>
      <c r="G10326" t="n">
        <v>18</v>
      </c>
      <c r="H10326" s="5">
        <f>HYPERLINK("https://api.qogita.com/variants/link/3574661373591/", "View Product")</f>
        <v/>
      </c>
    </row>
    <row r="10327">
      <c r="A10327" t="inlineStr">
        <is>
          <t>3574661390710</t>
        </is>
      </c>
      <c r="B10327" t="inlineStr">
        <is>
          <t>Neutrogena Hydro Boost Body Gel Cream Citrus 250ml</t>
        </is>
      </c>
      <c r="C10327" t="inlineStr">
        <is>
          <t>Body Lotion</t>
        </is>
      </c>
      <c r="D10327" t="inlineStr">
        <is>
          <t>Neutrogena</t>
        </is>
      </c>
      <c r="E10327" t="n">
        <v>6.75</v>
      </c>
      <c r="F10327" t="n">
        <v>1</v>
      </c>
      <c r="G10327" t="n">
        <v>21</v>
      </c>
      <c r="H10327" s="5">
        <f>HYPERLINK("https://api.qogita.com/variants/link/3574661390710/", "View Product")</f>
        <v/>
      </c>
    </row>
    <row r="10328">
      <c r="A10328" t="inlineStr">
        <is>
          <t>3574661407692</t>
        </is>
      </c>
      <c r="B10328" t="inlineStr">
        <is>
          <t>Piz Buin After Sun Spray 200 Ml Instant Relief Mist Spray For Soothing Freshness</t>
        </is>
      </c>
      <c r="C10328" t="inlineStr">
        <is>
          <t>Aftersun</t>
        </is>
      </c>
      <c r="D10328" t="inlineStr">
        <is>
          <t>Piz Buin</t>
        </is>
      </c>
      <c r="E10328" t="n">
        <v>8.039999999999999</v>
      </c>
      <c r="F10328" t="n">
        <v>1</v>
      </c>
      <c r="G10328" t="n">
        <v>270</v>
      </c>
      <c r="H10328" s="5">
        <f>HYPERLINK("https://api.qogita.com/variants/link/3574661407692/", "View Product")</f>
        <v/>
      </c>
    </row>
    <row r="10329">
      <c r="A10329" t="inlineStr">
        <is>
          <t>3574661450940</t>
        </is>
      </c>
      <c r="B10329" t="inlineStr">
        <is>
          <t>Neutrogena Hydro Boost Micellar Water 3 In 1 400 Ml</t>
        </is>
      </c>
      <c r="C10329" t="inlineStr">
        <is>
          <t>Micellar Water</t>
        </is>
      </c>
      <c r="D10329" t="inlineStr">
        <is>
          <t>Neutrogena</t>
        </is>
      </c>
      <c r="E10329" t="n">
        <v>8.18</v>
      </c>
      <c r="F10329" t="n">
        <v>1</v>
      </c>
      <c r="G10329" t="n">
        <v>7</v>
      </c>
      <c r="H10329" s="5">
        <f>HYPERLINK("https://api.qogita.com/variants/link/3574661450940/", "View Product")</f>
        <v/>
      </c>
    </row>
    <row r="10330">
      <c r="A10330" t="inlineStr">
        <is>
          <t>3574661467153</t>
        </is>
      </c>
      <c r="B10330" t="inlineStr">
        <is>
          <t>Piz Buin Allergy Lotion Spf 50 200ml Protection Against Sun Allergy</t>
        </is>
      </c>
      <c r="C10330" t="inlineStr">
        <is>
          <t>Body Sun Protection</t>
        </is>
      </c>
      <c r="D10330" t="inlineStr">
        <is>
          <t>Piz Buin</t>
        </is>
      </c>
      <c r="E10330" t="n">
        <v>7.87</v>
      </c>
      <c r="F10330" t="n">
        <v>1</v>
      </c>
      <c r="G10330" t="n">
        <v>47</v>
      </c>
      <c r="H10330" s="5">
        <f>HYPERLINK("https://api.qogita.com/variants/link/3574661467153/", "View Product")</f>
        <v/>
      </c>
    </row>
    <row r="10331">
      <c r="A10331" t="inlineStr">
        <is>
          <t>3574661469270</t>
        </is>
      </c>
      <c r="B10331" t="inlineStr">
        <is>
          <t>Piz Buin After Sun Soothing And Refreshing Lotion 200ml</t>
        </is>
      </c>
      <c r="C10331" t="inlineStr">
        <is>
          <t>Aftersun</t>
        </is>
      </c>
      <c r="D10331" t="inlineStr">
        <is>
          <t>Piz Buin</t>
        </is>
      </c>
      <c r="E10331" t="n">
        <v>6.71</v>
      </c>
      <c r="F10331" t="n">
        <v>1</v>
      </c>
      <c r="G10331" t="n">
        <v>24</v>
      </c>
      <c r="H10331" s="5">
        <f>HYPERLINK("https://api.qogita.com/variants/link/3574661469270/", "View Product")</f>
        <v/>
      </c>
    </row>
    <row r="10332">
      <c r="A10332" t="inlineStr">
        <is>
          <t>3574661527918</t>
        </is>
      </c>
      <c r="B10332" t="inlineStr">
        <is>
          <t>Neutrogena Highly Concentrated Hand Cream 75 Ml</t>
        </is>
      </c>
      <c r="C10332" t="inlineStr">
        <is>
          <t>Hand Cream</t>
        </is>
      </c>
      <c r="D10332" t="inlineStr">
        <is>
          <t>Neutrogena</t>
        </is>
      </c>
      <c r="E10332" t="n">
        <v>5.18</v>
      </c>
      <c r="F10332" t="n">
        <v>1</v>
      </c>
      <c r="G10332" t="n">
        <v>13</v>
      </c>
      <c r="H10332" s="5">
        <f>HYPERLINK("https://api.qogita.com/variants/link/3574661527918/", "View Product")</f>
        <v/>
      </c>
    </row>
    <row r="10333">
      <c r="A10333" t="inlineStr">
        <is>
          <t>3574661527925</t>
        </is>
      </c>
      <c r="B10333" t="inlineStr">
        <is>
          <t>Neutrogena Norwegian Formula Hand Cream Concentrated Hand Cream 75ml</t>
        </is>
      </c>
      <c r="C10333" t="inlineStr">
        <is>
          <t>Hand Cream</t>
        </is>
      </c>
      <c r="D10333" t="inlineStr">
        <is>
          <t>Neutrogena</t>
        </is>
      </c>
      <c r="E10333" t="n">
        <v>5.18</v>
      </c>
      <c r="F10333" t="n">
        <v>1</v>
      </c>
      <c r="G10333" t="n">
        <v>8</v>
      </c>
      <c r="H10333" s="5">
        <f>HYPERLINK("https://api.qogita.com/variants/link/3574661527925/", "View Product")</f>
        <v/>
      </c>
    </row>
    <row r="10334">
      <c r="A10334" t="inlineStr">
        <is>
          <t>3574661630199</t>
        </is>
      </c>
      <c r="B10334" t="inlineStr">
        <is>
          <t>Listerine Mild Taste Mouthwash Clean &amp; Fresh 500ml</t>
        </is>
      </c>
      <c r="C10334" t="inlineStr">
        <is>
          <t>Mouthwash</t>
        </is>
      </c>
      <c r="D10334" t="inlineStr">
        <is>
          <t>Listerine</t>
        </is>
      </c>
      <c r="E10334" t="n">
        <v>6.6</v>
      </c>
      <c r="F10334" t="n">
        <v>1</v>
      </c>
      <c r="G10334" t="n">
        <v>5</v>
      </c>
      <c r="H10334" s="5">
        <f>HYPERLINK("https://api.qogita.com/variants/link/3574661630199/", "View Product")</f>
        <v/>
      </c>
    </row>
    <row r="10335">
      <c r="A10335" t="inlineStr">
        <is>
          <t>3574661632926</t>
        </is>
      </c>
      <c r="B10335" t="inlineStr">
        <is>
          <t>Neutrogena Hydro Boost Hyaluronic Acid Concentrated Serum - 15ml</t>
        </is>
      </c>
      <c r="C10335" t="inlineStr">
        <is>
          <t>Hyaluronic Acid Serum</t>
        </is>
      </c>
      <c r="D10335" t="inlineStr">
        <is>
          <t>Neutrogena</t>
        </is>
      </c>
      <c r="E10335" t="n">
        <v>13.96</v>
      </c>
      <c r="F10335" t="n">
        <v>1</v>
      </c>
      <c r="G10335" t="n">
        <v>17</v>
      </c>
      <c r="H10335" s="5">
        <f>HYPERLINK("https://api.qogita.com/variants/link/3574661632926/", "View Product")</f>
        <v/>
      </c>
    </row>
    <row r="10336">
      <c r="A10336" t="inlineStr">
        <is>
          <t>3574661646510</t>
        </is>
      </c>
      <c r="B10336" t="inlineStr">
        <is>
          <t>Neutrogena Clear &amp; Defend+ Peeling Serum 30ml</t>
        </is>
      </c>
      <c r="C10336" t="inlineStr">
        <is>
          <t>Hydrating Serum</t>
        </is>
      </c>
      <c r="D10336" t="inlineStr">
        <is>
          <t>Neutrogena</t>
        </is>
      </c>
      <c r="E10336" t="n">
        <v>9.69</v>
      </c>
      <c r="F10336" t="n">
        <v>1</v>
      </c>
      <c r="G10336" t="n">
        <v>12</v>
      </c>
      <c r="H10336" s="5">
        <f>HYPERLINK("https://api.qogita.com/variants/link/3574661646510/", "View Product")</f>
        <v/>
      </c>
    </row>
    <row r="10337">
      <c r="A10337" t="inlineStr">
        <is>
          <t>3574661650760</t>
        </is>
      </c>
      <c r="B10337" t="inlineStr">
        <is>
          <t>Neutrogena Clear &amp; Defend Facial Wash 200 Ml Cleansing Gel Against Pimples</t>
        </is>
      </c>
      <c r="C10337" t="inlineStr">
        <is>
          <t>Cleansing Gel</t>
        </is>
      </c>
      <c r="D10337" t="inlineStr">
        <is>
          <t>Neutrogena</t>
        </is>
      </c>
      <c r="E10337" t="n">
        <v>9.68</v>
      </c>
      <c r="F10337" t="n">
        <v>1</v>
      </c>
      <c r="G10337" t="n">
        <v>22</v>
      </c>
      <c r="H10337" s="5">
        <f>HYPERLINK("https://api.qogita.com/variants/link/3574661650760/", "View Product")</f>
        <v/>
      </c>
    </row>
    <row r="10338">
      <c r="A10338" t="inlineStr">
        <is>
          <t>3574661653365</t>
        </is>
      </c>
      <c r="B10338" t="inlineStr">
        <is>
          <t>Neutrogena Fast Absorbing Hand Cream 150 Ml</t>
        </is>
      </c>
      <c r="C10338" t="inlineStr">
        <is>
          <t>Hand Cream</t>
        </is>
      </c>
      <c r="D10338" t="inlineStr">
        <is>
          <t>Neutrogena</t>
        </is>
      </c>
      <c r="E10338" t="n">
        <v>6.58</v>
      </c>
      <c r="F10338" t="n">
        <v>1</v>
      </c>
      <c r="G10338" t="n">
        <v>29</v>
      </c>
      <c r="H10338" s="5">
        <f>HYPERLINK("https://api.qogita.com/variants/link/3574661653365/", "View Product")</f>
        <v/>
      </c>
    </row>
    <row r="10339">
      <c r="A10339" t="inlineStr">
        <is>
          <t>3574661655499</t>
        </is>
      </c>
      <c r="B10339" t="inlineStr">
        <is>
          <t>Neutrogena Retinol Boost Night Cream 50ml for Wrinkles and Spots on Sensitive Skin</t>
        </is>
      </c>
      <c r="C10339" t="inlineStr">
        <is>
          <t>Night Cream</t>
        </is>
      </c>
      <c r="D10339" t="inlineStr">
        <is>
          <t>Neutrogena</t>
        </is>
      </c>
      <c r="E10339" t="n">
        <v>16.63</v>
      </c>
      <c r="F10339" t="n">
        <v>1</v>
      </c>
      <c r="G10339" t="n">
        <v>20</v>
      </c>
      <c r="H10339" s="5">
        <f>HYPERLINK("https://api.qogita.com/variants/link/3574661655499/", "View Product")</f>
        <v/>
      </c>
    </row>
    <row r="10340">
      <c r="A10340" t="inlineStr">
        <is>
          <t>3574661790145</t>
        </is>
      </c>
      <c r="B10340" t="inlineStr">
        <is>
          <t>Neutrogena Hydro Boost Hydrating Gel Cleanser Fragrance-Free</t>
        </is>
      </c>
      <c r="C10340" t="inlineStr">
        <is>
          <t>Cleansing Gel</t>
        </is>
      </c>
      <c r="D10340" t="inlineStr">
        <is>
          <t>Neutrogena</t>
        </is>
      </c>
      <c r="E10340" t="n">
        <v>7.36</v>
      </c>
      <c r="F10340" t="n">
        <v>1</v>
      </c>
      <c r="G10340" t="n">
        <v>30</v>
      </c>
      <c r="H10340" s="5">
        <f>HYPERLINK("https://api.qogita.com/variants/link/3574661790145/", "View Product")</f>
        <v/>
      </c>
    </row>
    <row r="10341">
      <c r="A10341" t="inlineStr">
        <is>
          <t>3574661800776</t>
        </is>
      </c>
      <c r="B10341" t="inlineStr">
        <is>
          <t>Neutrogena Norwegian Formula Intense Repair Cica Hand Cream For Soothing Very Dry And Itchy Skin</t>
        </is>
      </c>
      <c r="C10341" t="inlineStr">
        <is>
          <t>Hand Cream</t>
        </is>
      </c>
      <c r="D10341" t="inlineStr">
        <is>
          <t>Neutrogena</t>
        </is>
      </c>
      <c r="E10341" t="n">
        <v>4.92</v>
      </c>
      <c r="F10341" t="n">
        <v>1</v>
      </c>
      <c r="G10341" t="n">
        <v>22</v>
      </c>
      <c r="H10341" s="5">
        <f>HYPERLINK("https://api.qogita.com/variants/link/3574661800776/", "View Product")</f>
        <v/>
      </c>
    </row>
    <row r="10342">
      <c r="A10342" t="inlineStr">
        <is>
          <t>3574661809007</t>
        </is>
      </c>
      <c r="B10342" t="inlineStr">
        <is>
          <t>Aveeno Moisturising Hand Cream Skin Relief 75 Ml</t>
        </is>
      </c>
      <c r="C10342" t="inlineStr">
        <is>
          <t>Hand Cream</t>
        </is>
      </c>
      <c r="D10342" t="inlineStr">
        <is>
          <t>Aveeno</t>
        </is>
      </c>
      <c r="E10342" t="n">
        <v>7.13</v>
      </c>
      <c r="F10342" t="n">
        <v>1</v>
      </c>
      <c r="G10342" t="n">
        <v>22</v>
      </c>
      <c r="H10342" s="5">
        <f>HYPERLINK("https://api.qogita.com/variants/link/3574661809007/", "View Product")</f>
        <v/>
      </c>
    </row>
    <row r="10343">
      <c r="A10343" t="inlineStr">
        <is>
          <t>3574661810737</t>
        </is>
      </c>
      <c r="B10343" t="inlineStr">
        <is>
          <t>Aveeno Skin Relief Moisturising Lotion 300 Ml - Fragrance-Free</t>
        </is>
      </c>
      <c r="C10343" t="inlineStr">
        <is>
          <t>Body Lotion</t>
        </is>
      </c>
      <c r="D10343" t="inlineStr">
        <is>
          <t>Aveeno</t>
        </is>
      </c>
      <c r="E10343" t="n">
        <v>14.29</v>
      </c>
      <c r="F10343" t="n">
        <v>1</v>
      </c>
      <c r="G10343" t="n">
        <v>23</v>
      </c>
      <c r="H10343" s="5">
        <f>HYPERLINK("https://api.qogita.com/variants/link/3574661810737/", "View Product")</f>
        <v/>
      </c>
    </row>
    <row r="10344">
      <c r="A10344" t="inlineStr">
        <is>
          <t>3574661810751</t>
        </is>
      </c>
      <c r="B10344" t="inlineStr">
        <is>
          <t>Aveeno Daily Moisturising Body Lotion Unscented 300 Ml</t>
        </is>
      </c>
      <c r="C10344" t="inlineStr">
        <is>
          <t>Body Lotion</t>
        </is>
      </c>
      <c r="D10344" t="inlineStr">
        <is>
          <t>Aveeno</t>
        </is>
      </c>
      <c r="E10344" t="n">
        <v>12.43</v>
      </c>
      <c r="F10344" t="n">
        <v>1</v>
      </c>
      <c r="G10344" t="n">
        <v>33</v>
      </c>
      <c r="H10344" s="5">
        <f>HYPERLINK("https://api.qogita.com/variants/link/3574661810751/", "View Product")</f>
        <v/>
      </c>
    </row>
    <row r="10345">
      <c r="A10345" t="inlineStr">
        <is>
          <t>3574661810775</t>
        </is>
      </c>
      <c r="B10345" t="inlineStr">
        <is>
          <t>Aveeno Calm Restore Nourishing Oat Cleanser 200 Ml</t>
        </is>
      </c>
      <c r="C10345" t="inlineStr">
        <is>
          <t>Facial Soap</t>
        </is>
      </c>
      <c r="D10345" t="inlineStr">
        <is>
          <t>Aveeno</t>
        </is>
      </c>
      <c r="E10345" t="n">
        <v>12.79</v>
      </c>
      <c r="F10345" t="n">
        <v>1</v>
      </c>
      <c r="G10345" t="n">
        <v>54</v>
      </c>
      <c r="H10345" s="5">
        <f>HYPERLINK("https://api.qogita.com/variants/link/3574661810775/", "View Product")</f>
        <v/>
      </c>
    </row>
    <row r="10346">
      <c r="A10346" t="inlineStr">
        <is>
          <t>3574661812960</t>
        </is>
      </c>
      <c r="B10346" t="inlineStr">
        <is>
          <t>Neutrogena Blackhead Eliminating Toner</t>
        </is>
      </c>
      <c r="C10346" t="inlineStr">
        <is>
          <t>Pimple &amp; Blackhead Treatments</t>
        </is>
      </c>
      <c r="D10346" t="inlineStr">
        <is>
          <t>Neutrogena</t>
        </is>
      </c>
      <c r="E10346" t="n">
        <v>7.34</v>
      </c>
      <c r="F10346" t="n">
        <v>1</v>
      </c>
      <c r="G10346" t="n">
        <v>22</v>
      </c>
      <c r="H10346" s="5">
        <f>HYPERLINK("https://api.qogita.com/variants/link/3574661812960/", "View Product")</f>
        <v/>
      </c>
    </row>
    <row r="10347">
      <c r="A10347" t="inlineStr">
        <is>
          <t>3575070044416</t>
        </is>
      </c>
      <c r="B10347" t="inlineStr">
        <is>
          <t>Franck Boclet Leather Eau De Parfum 100ml</t>
        </is>
      </c>
      <c r="C10347" t="inlineStr">
        <is>
          <t>Eau De Parfum</t>
        </is>
      </c>
      <c r="D10347" t="inlineStr">
        <is>
          <t>Franck Boclet</t>
        </is>
      </c>
      <c r="E10347" t="n">
        <v>62.53</v>
      </c>
      <c r="F10347" t="n">
        <v>1</v>
      </c>
      <c r="G10347" t="n">
        <v>6</v>
      </c>
      <c r="H10347" s="5">
        <f>HYPERLINK("https://api.qogita.com/variants/link/3575070044416/", "View Product")</f>
        <v/>
      </c>
    </row>
    <row r="10348">
      <c r="A10348" t="inlineStr">
        <is>
          <t>3575070044508</t>
        </is>
      </c>
      <c r="B10348" t="inlineStr">
        <is>
          <t>Franck Boclet Tonka Eau De Parfum Spray 100ml</t>
        </is>
      </c>
      <c r="C10348" t="inlineStr">
        <is>
          <t>Eau De Parfum</t>
        </is>
      </c>
      <c r="D10348" t="inlineStr">
        <is>
          <t>Franck Boclet</t>
        </is>
      </c>
      <c r="E10348" t="n">
        <v>62.32</v>
      </c>
      <c r="F10348" t="n">
        <v>1</v>
      </c>
      <c r="G10348" t="n">
        <v>4</v>
      </c>
      <c r="H10348" s="5">
        <f>HYPERLINK("https://api.qogita.com/variants/link/3575070044508/", "View Product")</f>
        <v/>
      </c>
    </row>
    <row r="10349">
      <c r="A10349" t="inlineStr">
        <is>
          <t>3575070054415</t>
        </is>
      </c>
      <c r="B10349" t="inlineStr">
        <is>
          <t>Franck Boclet Heroes Extrait De Parfum Spray 100ml</t>
        </is>
      </c>
      <c r="C10349" t="inlineStr">
        <is>
          <t>Extrait De Parfum</t>
        </is>
      </c>
      <c r="D10349" t="inlineStr">
        <is>
          <t>Franck Boclet</t>
        </is>
      </c>
      <c r="E10349" t="n">
        <v>85.33</v>
      </c>
      <c r="F10349" t="n">
        <v>1</v>
      </c>
      <c r="G10349" t="n">
        <v>6</v>
      </c>
      <c r="H10349" s="5">
        <f>HYPERLINK("https://api.qogita.com/variants/link/3575070054415/", "View Product")</f>
        <v/>
      </c>
    </row>
    <row r="10350">
      <c r="A10350" t="inlineStr">
        <is>
          <t>3575070054477</t>
        </is>
      </c>
      <c r="B10350" t="inlineStr">
        <is>
          <t>Franck Boclet Rock &amp; Riot Crime Extrait De Parfum 100ml</t>
        </is>
      </c>
      <c r="C10350" t="inlineStr">
        <is>
          <t>Extrait De Parfum</t>
        </is>
      </c>
      <c r="D10350" t="inlineStr">
        <is>
          <t>Franck Boclet</t>
        </is>
      </c>
      <c r="E10350" t="n">
        <v>88.68000000000001</v>
      </c>
      <c r="F10350" t="n">
        <v>1</v>
      </c>
      <c r="G10350" t="n">
        <v>4</v>
      </c>
      <c r="H10350" s="5">
        <f>HYPERLINK("https://api.qogita.com/variants/link/3575070054477/", "View Product")</f>
        <v/>
      </c>
    </row>
    <row r="10351">
      <c r="A10351" t="inlineStr">
        <is>
          <t>3575070054484</t>
        </is>
      </c>
      <c r="B10351" t="inlineStr">
        <is>
          <t>Franck Boclet Erotic Unisex Extrait De Parfum 100ml 3.4fl.oz</t>
        </is>
      </c>
      <c r="C10351" t="inlineStr">
        <is>
          <t>Extrait De Parfum</t>
        </is>
      </c>
      <c r="D10351" t="inlineStr">
        <is>
          <t>Franck Boclet</t>
        </is>
      </c>
      <c r="E10351" t="n">
        <v>69.55</v>
      </c>
      <c r="F10351" t="n">
        <v>1</v>
      </c>
      <c r="G10351" t="n">
        <v>2</v>
      </c>
      <c r="H10351" s="5">
        <f>HYPERLINK("https://api.qogita.com/variants/link/3575070054484/", "View Product")</f>
        <v/>
      </c>
    </row>
    <row r="10352">
      <c r="A10352" t="inlineStr">
        <is>
          <t>3581000012417</t>
        </is>
      </c>
      <c r="B10352" t="inlineStr">
        <is>
          <t>FIG TEA by Parfums De Nicolai Eau Fraiche Spray 3.4oz 100ml</t>
        </is>
      </c>
      <c r="C10352" t="inlineStr">
        <is>
          <t>Eau De Cologne</t>
        </is>
      </c>
      <c r="D10352" t="inlineStr">
        <is>
          <t>Nikolai</t>
        </is>
      </c>
      <c r="E10352" t="n">
        <v>79.17</v>
      </c>
      <c r="F10352" t="n">
        <v>1</v>
      </c>
      <c r="G10352" t="n">
        <v>4</v>
      </c>
      <c r="H10352" s="5">
        <f>HYPERLINK("https://api.qogita.com/variants/link/3581000012417/", "View Product")</f>
        <v/>
      </c>
    </row>
    <row r="10353">
      <c r="A10353" t="inlineStr">
        <is>
          <t>3581000018020</t>
        </is>
      </c>
      <c r="B10353" t="inlineStr">
        <is>
          <t>Nicolai Parfumeur Createur Saint Honore 3.4oz / 100ml</t>
        </is>
      </c>
      <c r="C10353" t="inlineStr">
        <is>
          <t>Eau De Parfum</t>
        </is>
      </c>
      <c r="D10353" t="inlineStr">
        <is>
          <t>Nicolai Parfumeur Createur</t>
        </is>
      </c>
      <c r="E10353" t="n">
        <v>97.06999999999999</v>
      </c>
      <c r="F10353" t="n">
        <v>1</v>
      </c>
      <c r="G10353" t="n">
        <v>3</v>
      </c>
      <c r="H10353" s="5">
        <f>HYPERLINK("https://api.qogita.com/variants/link/3581000018020/", "View Product")</f>
        <v/>
      </c>
    </row>
    <row r="10354">
      <c r="A10354" t="inlineStr">
        <is>
          <t>3581000018181</t>
        </is>
      </c>
      <c r="B10354" t="inlineStr">
        <is>
          <t>Nicolai Nic Musc Intense Eau De Parfum 100ml</t>
        </is>
      </c>
      <c r="C10354" t="inlineStr">
        <is>
          <t>Eau De Parfum</t>
        </is>
      </c>
      <c r="D10354" t="inlineStr">
        <is>
          <t>Nikolai</t>
        </is>
      </c>
      <c r="E10354" t="n">
        <v>100.36</v>
      </c>
      <c r="F10354" t="n">
        <v>1</v>
      </c>
      <c r="G10354" t="n">
        <v>5</v>
      </c>
      <c r="H10354" s="5">
        <f>HYPERLINK("https://api.qogita.com/variants/link/3581000018181/", "View Product")</f>
        <v/>
      </c>
    </row>
    <row r="10355">
      <c r="A10355" t="inlineStr">
        <is>
          <t>3593787001195</t>
        </is>
      </c>
      <c r="B10355" t="inlineStr">
        <is>
          <t>Rexaline Hydra-Shock Hyper-Hydrating Rejuvenating Mask</t>
        </is>
      </c>
      <c r="C10355" t="inlineStr">
        <is>
          <t>Hydrating Mask</t>
        </is>
      </c>
      <c r="D10355" t="inlineStr">
        <is>
          <t>Rexaline</t>
        </is>
      </c>
      <c r="E10355" t="n">
        <v>34.42</v>
      </c>
      <c r="F10355" t="n">
        <v>1</v>
      </c>
      <c r="G10355" t="n">
        <v>2</v>
      </c>
      <c r="H10355" s="5">
        <f>HYPERLINK("https://api.qogita.com/variants/link/3593787001195/", "View Product")</f>
        <v/>
      </c>
    </row>
    <row r="10356">
      <c r="A10356" t="inlineStr">
        <is>
          <t>3593787600138</t>
        </is>
      </c>
      <c r="B10356" t="inlineStr">
        <is>
          <t>Rexaline X-Treme Renovator Anti-Aging Regenerating Cream - Anti-Wrinkle</t>
        </is>
      </c>
      <c r="C10356" t="inlineStr">
        <is>
          <t>Anti-Aging Facial Care</t>
        </is>
      </c>
      <c r="D10356" t="inlineStr">
        <is>
          <t>Rexaline</t>
        </is>
      </c>
      <c r="E10356" t="n">
        <v>67.98</v>
      </c>
      <c r="F10356" t="n">
        <v>1</v>
      </c>
      <c r="G10356" t="n">
        <v>2</v>
      </c>
      <c r="H10356" s="5">
        <f>HYPERLINK("https://api.qogita.com/variants/link/3593787600138/", "View Product")</f>
        <v/>
      </c>
    </row>
    <row r="10357">
      <c r="A10357" t="inlineStr">
        <is>
          <t>3595471024725</t>
        </is>
      </c>
      <c r="B10357" t="inlineStr">
        <is>
          <t>Mercedes Benz For Men EDT Eau De Toilette for Men 75ml/120ml New</t>
        </is>
      </c>
      <c r="C10357" t="inlineStr">
        <is>
          <t>Eau De Toilette</t>
        </is>
      </c>
      <c r="D10357" t="inlineStr">
        <is>
          <t>Mercedes-Benz</t>
        </is>
      </c>
      <c r="E10357" t="n">
        <v>25.18</v>
      </c>
      <c r="F10357" t="n">
        <v>1</v>
      </c>
      <c r="G10357" t="n">
        <v>9</v>
      </c>
      <c r="H10357" s="5">
        <f>HYPERLINK("https://api.qogita.com/variants/link/3595471024725/", "View Product")</f>
        <v/>
      </c>
    </row>
    <row r="10358">
      <c r="A10358" t="inlineStr">
        <is>
          <t>3595471024831</t>
        </is>
      </c>
      <c r="B10358" t="inlineStr">
        <is>
          <t>Mercedes-Benz Woman Eau De Parfum for Women - Vanilla Scent</t>
        </is>
      </c>
      <c r="C10358" t="inlineStr">
        <is>
          <t>Eau De Parfum</t>
        </is>
      </c>
      <c r="D10358" t="inlineStr">
        <is>
          <t>Mercedes-Benz</t>
        </is>
      </c>
      <c r="E10358" t="n">
        <v>33.45</v>
      </c>
      <c r="F10358" t="n">
        <v>1</v>
      </c>
      <c r="G10358" t="n">
        <v>9</v>
      </c>
      <c r="H10358" s="5">
        <f>HYPERLINK("https://api.qogita.com/variants/link/3595471024831/", "View Product")</f>
        <v/>
      </c>
    </row>
    <row r="10359">
      <c r="A10359" t="inlineStr">
        <is>
          <t>3595471028334</t>
        </is>
      </c>
      <c r="B10359" t="inlineStr">
        <is>
          <t>Mercedes-Benz Sign Your Power Intense Eau De Parfum Spray 100ml</t>
        </is>
      </c>
      <c r="C10359" t="inlineStr">
        <is>
          <t>Eau De Parfum</t>
        </is>
      </c>
      <c r="D10359" t="inlineStr">
        <is>
          <t>Mercedes-Benz</t>
        </is>
      </c>
      <c r="E10359" t="n">
        <v>27.23</v>
      </c>
      <c r="F10359" t="n">
        <v>1</v>
      </c>
      <c r="G10359" t="n">
        <v>49</v>
      </c>
      <c r="H10359" s="5">
        <f>HYPERLINK("https://api.qogita.com/variants/link/3595471028334/", "View Product")</f>
        <v/>
      </c>
    </row>
    <row r="10360">
      <c r="A10360" t="inlineStr">
        <is>
          <t>3595471031174</t>
        </is>
      </c>
      <c r="B10360" t="inlineStr">
        <is>
          <t>Mercedes-Benz Woman for Her Pop Edition Eau de Parfum Spray 90ml</t>
        </is>
      </c>
      <c r="C10360" t="inlineStr">
        <is>
          <t>Eau De Parfum</t>
        </is>
      </c>
      <c r="D10360" t="inlineStr">
        <is>
          <t>Mercedes-Benz</t>
        </is>
      </c>
      <c r="E10360" t="n">
        <v>25.07</v>
      </c>
      <c r="F10360" t="n">
        <v>1</v>
      </c>
      <c r="G10360" t="n">
        <v>2</v>
      </c>
      <c r="H10360" s="5">
        <f>HYPERLINK("https://api.qogita.com/variants/link/3595471031174/", "View Product")</f>
        <v/>
      </c>
    </row>
    <row r="10361">
      <c r="A10361" t="inlineStr">
        <is>
          <t>3595471041012</t>
        </is>
      </c>
      <c r="B10361" t="inlineStr">
        <is>
          <t>Mercedes Benz Club Eau De Toilette 100ml</t>
        </is>
      </c>
      <c r="C10361" t="inlineStr">
        <is>
          <t>Eau De Toilette</t>
        </is>
      </c>
      <c r="D10361" t="inlineStr">
        <is>
          <t>Mercedes-Benz</t>
        </is>
      </c>
      <c r="E10361" t="n">
        <v>30.68</v>
      </c>
      <c r="F10361" t="n">
        <v>1</v>
      </c>
      <c r="G10361" t="n">
        <v>70</v>
      </c>
      <c r="H10361" s="5">
        <f>HYPERLINK("https://api.qogita.com/variants/link/3595471041012/", "View Product")</f>
        <v/>
      </c>
    </row>
    <row r="10362">
      <c r="A10362" t="inlineStr">
        <is>
          <t>3595471091048</t>
        </is>
      </c>
      <c r="B10362" t="inlineStr">
        <is>
          <t>Mercedes Benz The Move Express Yourself Eau De Toilette 60ml</t>
        </is>
      </c>
      <c r="C10362" t="inlineStr">
        <is>
          <t>Eau De Toilette</t>
        </is>
      </c>
      <c r="D10362" t="inlineStr">
        <is>
          <t>Mercedes-Benz</t>
        </is>
      </c>
      <c r="E10362" t="n">
        <v>22.22</v>
      </c>
      <c r="F10362" t="n">
        <v>1</v>
      </c>
      <c r="G10362" t="n">
        <v>4</v>
      </c>
      <c r="H10362" s="5">
        <f>HYPERLINK("https://api.qogita.com/variants/link/3595471091048/", "View Product")</f>
        <v/>
      </c>
    </row>
    <row r="10363">
      <c r="A10363" t="inlineStr">
        <is>
          <t>3595471095367</t>
        </is>
      </c>
      <c r="B10363" t="inlineStr">
        <is>
          <t>Amg Red Thrill Eau De Parfum Spray 100ml</t>
        </is>
      </c>
      <c r="C10363" t="inlineStr">
        <is>
          <t>Eau De Parfum</t>
        </is>
      </c>
      <c r="D10363" t="inlineStr">
        <is>
          <t>Amg</t>
        </is>
      </c>
      <c r="E10363" t="n">
        <v>38.16</v>
      </c>
      <c r="F10363" t="n">
        <v>1</v>
      </c>
      <c r="G10363" t="n">
        <v>14</v>
      </c>
      <c r="H10363" s="5">
        <f>HYPERLINK("https://api.qogita.com/variants/link/3595471095367/", "View Product")</f>
        <v/>
      </c>
    </row>
    <row r="10364">
      <c r="A10364" t="inlineStr">
        <is>
          <t>3595471111029</t>
        </is>
      </c>
      <c r="B10364" t="inlineStr">
        <is>
          <t>Mercedes Benz Mercedesbenz Sign Eau De Parfum 50ml</t>
        </is>
      </c>
      <c r="C10364" t="inlineStr">
        <is>
          <t>Eau De Parfum</t>
        </is>
      </c>
      <c r="D10364" t="inlineStr">
        <is>
          <t>Mercedes-Benz</t>
        </is>
      </c>
      <c r="E10364" t="n">
        <v>27.52</v>
      </c>
      <c r="F10364" t="n">
        <v>1</v>
      </c>
      <c r="G10364" t="n">
        <v>3</v>
      </c>
      <c r="H10364" s="5">
        <f>HYPERLINK("https://api.qogita.com/variants/link/3595471111029/", "View Product")</f>
        <v/>
      </c>
    </row>
    <row r="10365">
      <c r="A10365" t="inlineStr">
        <is>
          <t>3595472061279</t>
        </is>
      </c>
      <c r="B10365" t="inlineStr">
        <is>
          <t>Mercedes-Benz Ultimate Eau De Parfum for Men - Long Lasting Cologne with Amber</t>
        </is>
      </c>
      <c r="C10365" t="inlineStr">
        <is>
          <t>Eau De Parfum</t>
        </is>
      </c>
      <c r="D10365" t="inlineStr">
        <is>
          <t>Mercedes-Benz</t>
        </is>
      </c>
      <c r="E10365" t="n">
        <v>21.1</v>
      </c>
      <c r="F10365" t="n">
        <v>1</v>
      </c>
      <c r="G10365" t="n">
        <v>14</v>
      </c>
      <c r="H10365" s="5">
        <f>HYPERLINK("https://api.qogita.com/variants/link/3595472061279/", "View Product")</f>
        <v/>
      </c>
    </row>
    <row r="10366">
      <c r="A10366" t="inlineStr">
        <is>
          <t>3596200000041</t>
        </is>
      </c>
      <c r="B10366" t="inlineStr">
        <is>
          <t>Weleda Skin Food Lip Butter Stick - Nourishing Lip Care</t>
        </is>
      </c>
      <c r="C10366" t="inlineStr">
        <is>
          <t>Medicated Treatments</t>
        </is>
      </c>
      <c r="D10366" t="inlineStr">
        <is>
          <t>Weleda</t>
        </is>
      </c>
      <c r="E10366" t="n">
        <v>6.86</v>
      </c>
      <c r="F10366" t="n">
        <v>1</v>
      </c>
      <c r="G10366" t="n">
        <v>4</v>
      </c>
      <c r="H10366" s="5">
        <f>HYPERLINK("https://api.qogita.com/variants/link/3596200000041/", "View Product")</f>
        <v/>
      </c>
    </row>
    <row r="10367">
      <c r="A10367" t="inlineStr">
        <is>
          <t>3596204711394</t>
        </is>
      </c>
      <c r="B10367" t="inlineStr">
        <is>
          <t>Weleda Everon Lip Balm Spf 4 48 G</t>
        </is>
      </c>
      <c r="C10367" t="inlineStr">
        <is>
          <t>Medicated Treatments</t>
        </is>
      </c>
      <c r="D10367" t="inlineStr">
        <is>
          <t>Weleda</t>
        </is>
      </c>
      <c r="E10367" t="n">
        <v>6.86</v>
      </c>
      <c r="F10367" t="n">
        <v>1</v>
      </c>
      <c r="G10367" t="n">
        <v>5</v>
      </c>
      <c r="H10367" s="5">
        <f>HYPERLINK("https://api.qogita.com/variants/link/3596204711394/", "View Product")</f>
        <v/>
      </c>
    </row>
    <row r="10368">
      <c r="A10368" t="inlineStr">
        <is>
          <t>3596206289112</t>
        </is>
      </c>
      <c r="B10368" t="inlineStr">
        <is>
          <t>Weleda Men Shaving Cream 75ml</t>
        </is>
      </c>
      <c r="C10368" t="inlineStr">
        <is>
          <t>Shaving</t>
        </is>
      </c>
      <c r="D10368" t="inlineStr">
        <is>
          <t>Weleda</t>
        </is>
      </c>
      <c r="E10368" t="n">
        <v>8.1</v>
      </c>
      <c r="F10368" t="n">
        <v>1</v>
      </c>
      <c r="G10368" t="n">
        <v>4</v>
      </c>
      <c r="H10368" s="5">
        <f>HYPERLINK("https://api.qogita.com/variants/link/3596206289112/", "View Product")</f>
        <v/>
      </c>
    </row>
    <row r="10369">
      <c r="A10369" t="inlineStr">
        <is>
          <t>3596936251717</t>
        </is>
      </c>
      <c r="B10369" t="inlineStr">
        <is>
          <t>Reminiscence Perfume 30ml</t>
        </is>
      </c>
      <c r="C10369" t="inlineStr">
        <is>
          <t>Eau De Parfum</t>
        </is>
      </c>
      <c r="D10369" t="inlineStr">
        <is>
          <t>Reminiscence</t>
        </is>
      </c>
      <c r="E10369" t="n">
        <v>25.59</v>
      </c>
      <c r="F10369" t="n">
        <v>1</v>
      </c>
      <c r="G10369" t="n">
        <v>2</v>
      </c>
      <c r="H10369" s="5">
        <f>HYPERLINK("https://api.qogita.com/variants/link/3596936251717/", "View Product")</f>
        <v/>
      </c>
    </row>
    <row r="10370">
      <c r="A10370" t="inlineStr">
        <is>
          <t>3600010006725</t>
        </is>
      </c>
      <c r="B10370" t="inlineStr">
        <is>
          <t>L'Oreal Revitalift Night Cream 50ml - Anti-Aging Moisturizer</t>
        </is>
      </c>
      <c r="C10370" t="inlineStr">
        <is>
          <t>Night Cream</t>
        </is>
      </c>
      <c r="D10370" t="inlineStr">
        <is>
          <t>L'Oréal</t>
        </is>
      </c>
      <c r="E10370" t="n">
        <v>8.279999999999999</v>
      </c>
      <c r="F10370" t="n">
        <v>1</v>
      </c>
      <c r="G10370" t="n">
        <v>4</v>
      </c>
      <c r="H10370" s="5">
        <f>HYPERLINK("https://api.qogita.com/variants/link/3600010006725/", "View Product")</f>
        <v/>
      </c>
    </row>
    <row r="10371">
      <c r="A10371" t="inlineStr">
        <is>
          <t>3600010018278</t>
        </is>
      </c>
      <c r="B10371" t="inlineStr">
        <is>
          <t>Garnier Pure Skin Tightening And Cleansing Toner 200ml</t>
        </is>
      </c>
      <c r="C10371" t="inlineStr">
        <is>
          <t>Cleansing Milk</t>
        </is>
      </c>
      <c r="D10371" t="inlineStr">
        <is>
          <t>Garnier</t>
        </is>
      </c>
      <c r="E10371" t="n">
        <v>5.81</v>
      </c>
      <c r="F10371" t="n">
        <v>1</v>
      </c>
      <c r="G10371" t="n">
        <v>5</v>
      </c>
      <c r="H10371" s="5">
        <f>HYPERLINK("https://api.qogita.com/variants/link/3600010018278/", "View Product")</f>
        <v/>
      </c>
    </row>
    <row r="10372">
      <c r="A10372" t="inlineStr">
        <is>
          <t>3600520881799</t>
        </is>
      </c>
      <c r="B10372" t="inlineStr">
        <is>
          <t>L'Oreal Telescopic Mascara - Black, 8ml</t>
        </is>
      </c>
      <c r="C10372" t="inlineStr">
        <is>
          <t>Mascara</t>
        </is>
      </c>
      <c r="D10372" t="inlineStr">
        <is>
          <t>L'Oréal</t>
        </is>
      </c>
      <c r="E10372" t="n">
        <v>13.41</v>
      </c>
      <c r="F10372" t="n">
        <v>1</v>
      </c>
      <c r="G10372" t="n">
        <v>8</v>
      </c>
      <c r="H10372" s="5">
        <f>HYPERLINK("https://api.qogita.com/variants/link/3600520881799/", "View Product")</f>
        <v/>
      </c>
    </row>
    <row r="10373">
      <c r="A10373" t="inlineStr">
        <is>
          <t>3600522066798</t>
        </is>
      </c>
      <c r="B10373" t="inlineStr">
        <is>
          <t>L'Oreal Paris Mega Volume Collagene Extra Black Mascara 9 Ml</t>
        </is>
      </c>
      <c r="C10373" t="inlineStr">
        <is>
          <t>Mascara</t>
        </is>
      </c>
      <c r="D10373" t="inlineStr">
        <is>
          <t>L'Oréal Paris</t>
        </is>
      </c>
      <c r="E10373" t="n">
        <v>6.88</v>
      </c>
      <c r="F10373" t="n">
        <v>1</v>
      </c>
      <c r="G10373" t="n">
        <v>15</v>
      </c>
      <c r="H10373" s="5">
        <f>HYPERLINK("https://api.qogita.com/variants/link/3600522066798/", "View Product")</f>
        <v/>
      </c>
    </row>
    <row r="10374">
      <c r="A10374" t="inlineStr">
        <is>
          <t>3600522086505</t>
        </is>
      </c>
      <c r="B10374" t="inlineStr">
        <is>
          <t>L'Oral Paris Strengthening Shampoo Elsev Arginine Resist X3 Volume 250 Ml</t>
        </is>
      </c>
      <c r="C10374" t="inlineStr">
        <is>
          <t>Shampoo</t>
        </is>
      </c>
      <c r="D10374" t="inlineStr">
        <is>
          <t>L'Oréal Paris</t>
        </is>
      </c>
      <c r="E10374" t="n">
        <v>5.76</v>
      </c>
      <c r="F10374" t="n">
        <v>1</v>
      </c>
      <c r="G10374" t="n">
        <v>26</v>
      </c>
      <c r="H10374" s="5">
        <f>HYPERLINK("https://api.qogita.com/variants/link/3600522086505/", "View Product")</f>
        <v/>
      </c>
    </row>
    <row r="10375">
      <c r="A10375" t="inlineStr">
        <is>
          <t>3600522086543</t>
        </is>
      </c>
      <c r="B10375" t="inlineStr">
        <is>
          <t>L'Oral Professionnel L'Oral Paris Strengthening Shampoo Elsev Arginine Resist X3 Volume 250 Ml</t>
        </is>
      </c>
      <c r="C10375" t="inlineStr">
        <is>
          <t>Shampoo</t>
        </is>
      </c>
      <c r="D10375" t="inlineStr">
        <is>
          <t>L'Oréal Professionnel</t>
        </is>
      </c>
      <c r="E10375" t="n">
        <v>7.03</v>
      </c>
      <c r="F10375" t="n">
        <v>1</v>
      </c>
      <c r="G10375" t="n">
        <v>27</v>
      </c>
      <c r="H10375" s="5">
        <f>HYPERLINK("https://api.qogita.com/variants/link/3600522086543/", "View Product")</f>
        <v/>
      </c>
    </row>
    <row r="10376">
      <c r="A10376" t="inlineStr">
        <is>
          <t>3600522086581</t>
        </is>
      </c>
      <c r="B10376" t="inlineStr">
        <is>
          <t>L'Oral Paris Strengthening Balm Elsev Arginine Resist X3 200 Ml</t>
        </is>
      </c>
      <c r="C10376" t="inlineStr">
        <is>
          <t>Conditioner</t>
        </is>
      </c>
      <c r="D10376" t="inlineStr">
        <is>
          <t>L'Oréal Paris</t>
        </is>
      </c>
      <c r="E10376" t="n">
        <v>5.76</v>
      </c>
      <c r="F10376" t="n">
        <v>1</v>
      </c>
      <c r="G10376" t="n">
        <v>34</v>
      </c>
      <c r="H10376" s="5">
        <f>HYPERLINK("https://api.qogita.com/variants/link/3600522086581/", "View Product")</f>
        <v/>
      </c>
    </row>
    <row r="10377">
      <c r="A10377" t="inlineStr">
        <is>
          <t>3600522416906</t>
        </is>
      </c>
      <c r="B10377" t="inlineStr">
        <is>
          <t>L'Oreal Paris Revitalift Hydrating Day Cream Spf 30 50 Ml</t>
        </is>
      </c>
      <c r="C10377" t="inlineStr">
        <is>
          <t>Day Cream</t>
        </is>
      </c>
      <c r="D10377" t="inlineStr">
        <is>
          <t>L'Oréal Paris</t>
        </is>
      </c>
      <c r="E10377" t="n">
        <v>12.15</v>
      </c>
      <c r="F10377" t="n">
        <v>1</v>
      </c>
      <c r="G10377" t="n">
        <v>5</v>
      </c>
      <c r="H10377" s="5">
        <f>HYPERLINK("https://api.qogita.com/variants/link/3600522416906/", "View Product")</f>
        <v/>
      </c>
    </row>
    <row r="10378">
      <c r="A10378" t="inlineStr">
        <is>
          <t>3600522550044</t>
        </is>
      </c>
      <c r="B10378" t="inlineStr">
        <is>
          <t>L'Oreal Age Specialist Expert Age 40+ Anti-Wrinkle Day Cream 50ml</t>
        </is>
      </c>
      <c r="C10378" t="inlineStr">
        <is>
          <t>Day Cream</t>
        </is>
      </c>
      <c r="D10378" t="inlineStr">
        <is>
          <t>L'Oréal</t>
        </is>
      </c>
      <c r="E10378" t="n">
        <v>5.74</v>
      </c>
      <c r="F10378" t="n">
        <v>1</v>
      </c>
      <c r="G10378" t="n">
        <v>4</v>
      </c>
      <c r="H10378" s="5">
        <f>HYPERLINK("https://api.qogita.com/variants/link/3600522550044/", "View Product")</f>
        <v/>
      </c>
    </row>
    <row r="10379">
      <c r="A10379" t="inlineStr">
        <is>
          <t>3600522550105</t>
        </is>
      </c>
      <c r="B10379" t="inlineStr">
        <is>
          <t>L'Oral Paris Daily Antiwrinkle Cream Age 45 Specialist 50 Ml</t>
        </is>
      </c>
      <c r="C10379" t="inlineStr">
        <is>
          <t>Anti-Aging Facial Care</t>
        </is>
      </c>
      <c r="D10379" t="inlineStr">
        <is>
          <t>L'Oréal Paris</t>
        </is>
      </c>
      <c r="E10379" t="n">
        <v>8.35</v>
      </c>
      <c r="F10379" t="n">
        <v>1</v>
      </c>
      <c r="G10379" t="n">
        <v>9</v>
      </c>
      <c r="H10379" s="5">
        <f>HYPERLINK("https://api.qogita.com/variants/link/3600522550105/", "View Product")</f>
        <v/>
      </c>
    </row>
    <row r="10380">
      <c r="A10380" t="inlineStr">
        <is>
          <t>3600522862390</t>
        </is>
      </c>
      <c r="B10380" t="inlineStr">
        <is>
          <t>L'Oreal True Match Foundation New Face Foundation 2.N Neutral Undertone 30ml</t>
        </is>
      </c>
      <c r="C10380" t="inlineStr">
        <is>
          <t>Foundation</t>
        </is>
      </c>
      <c r="D10380" t="inlineStr">
        <is>
          <t>L'Oréal</t>
        </is>
      </c>
      <c r="E10380" t="n">
        <v>11.03</v>
      </c>
      <c r="F10380" t="n">
        <v>1</v>
      </c>
      <c r="G10380" t="n">
        <v>5</v>
      </c>
      <c r="H10380" s="5">
        <f>HYPERLINK("https://api.qogita.com/variants/link/3600522862390/", "View Product")</f>
        <v/>
      </c>
    </row>
    <row r="10381">
      <c r="A10381" t="inlineStr">
        <is>
          <t>3600522862420</t>
        </is>
      </c>
      <c r="B10381" t="inlineStr">
        <is>
          <t>L'Oreal True Match Foundation - N5 Neutral Undertone/Sand, 30ml</t>
        </is>
      </c>
      <c r="C10381" t="inlineStr">
        <is>
          <t>Foundation</t>
        </is>
      </c>
      <c r="D10381" t="inlineStr">
        <is>
          <t>L'Oréal</t>
        </is>
      </c>
      <c r="E10381" t="n">
        <v>10.53</v>
      </c>
      <c r="F10381" t="n">
        <v>1</v>
      </c>
      <c r="G10381" t="n">
        <v>8</v>
      </c>
      <c r="H10381" s="5">
        <f>HYPERLINK("https://api.qogita.com/variants/link/3600522862420/", "View Product")</f>
        <v/>
      </c>
    </row>
    <row r="10382">
      <c r="A10382" t="inlineStr">
        <is>
          <t>3600522894971</t>
        </is>
      </c>
      <c r="B10382" t="inlineStr">
        <is>
          <t>L'Oréal Paris Elseve Extraordinary Oil Jojoba Multi-Use Mask 300ml - Hair Mask</t>
        </is>
      </c>
      <c r="C10382" t="inlineStr">
        <is>
          <t>Hair Masks</t>
        </is>
      </c>
      <c r="D10382" t="inlineStr">
        <is>
          <t>L'Oréal</t>
        </is>
      </c>
      <c r="E10382" t="n">
        <v>6.87</v>
      </c>
      <c r="F10382" t="n">
        <v>1</v>
      </c>
      <c r="G10382" t="n">
        <v>27</v>
      </c>
      <c r="H10382" s="5">
        <f>HYPERLINK("https://api.qogita.com/variants/link/3600522894971/", "View Product")</f>
        <v/>
      </c>
    </row>
    <row r="10383">
      <c r="A10383" t="inlineStr">
        <is>
          <t>3600523192908</t>
        </is>
      </c>
      <c r="B10383" t="inlineStr">
        <is>
          <t>L'Oral Paris Magic Retouch Instant Root Concealer Spray 75 Ml Brown</t>
        </is>
      </c>
      <c r="C10383" t="inlineStr">
        <is>
          <t>Hairline Paint</t>
        </is>
      </c>
      <c r="D10383" t="inlineStr">
        <is>
          <t>L'Oréal Paris</t>
        </is>
      </c>
      <c r="E10383" t="n">
        <v>7.97</v>
      </c>
      <c r="F10383" t="n">
        <v>1</v>
      </c>
      <c r="G10383" t="n">
        <v>4</v>
      </c>
      <c r="H10383" s="5">
        <f>HYPERLINK("https://api.qogita.com/variants/link/3600523192908/", "View Product")</f>
        <v/>
      </c>
    </row>
    <row r="10384">
      <c r="A10384" t="inlineStr">
        <is>
          <t>3600523193059</t>
        </is>
      </c>
      <c r="B10384" t="inlineStr">
        <is>
          <t>L'Oreal Magic Retouch Instant Root Touch Up Spray Brown 75ml</t>
        </is>
      </c>
      <c r="C10384" t="inlineStr">
        <is>
          <t>Hairline Paint</t>
        </is>
      </c>
      <c r="D10384" t="inlineStr">
        <is>
          <t>L'Oréal</t>
        </is>
      </c>
      <c r="E10384" t="n">
        <v>6.58</v>
      </c>
      <c r="F10384" t="n">
        <v>1</v>
      </c>
      <c r="G10384" t="n">
        <v>3</v>
      </c>
      <c r="H10384" s="5">
        <f>HYPERLINK("https://api.qogita.com/variants/link/3600523193059/", "View Product")</f>
        <v/>
      </c>
    </row>
    <row r="10385">
      <c r="A10385" t="inlineStr">
        <is>
          <t>3600523279111</t>
        </is>
      </c>
      <c r="B10385" t="inlineStr">
        <is>
          <t>L'Oral Paris Revitalift Hydrating Smoothing Serum 30 Ml</t>
        </is>
      </c>
      <c r="C10385" t="inlineStr">
        <is>
          <t>Hydrating Serum</t>
        </is>
      </c>
      <c r="D10385" t="inlineStr">
        <is>
          <t>L'Oréal Paris</t>
        </is>
      </c>
      <c r="E10385" t="n">
        <v>13.87</v>
      </c>
      <c r="F10385" t="n">
        <v>1</v>
      </c>
      <c r="G10385" t="n">
        <v>6</v>
      </c>
      <c r="H10385" s="5">
        <f>HYPERLINK("https://api.qogita.com/variants/link/3600523279111/", "View Product")</f>
        <v/>
      </c>
    </row>
    <row r="10386">
      <c r="A10386" t="inlineStr">
        <is>
          <t>3600523337507</t>
        </is>
      </c>
      <c r="B10386" t="inlineStr">
        <is>
          <t>L'Oral Magic Retouch Instant Root Concealer Spray 75 Ml Cold Brown</t>
        </is>
      </c>
      <c r="C10386" t="inlineStr">
        <is>
          <t>Hairline Paint</t>
        </is>
      </c>
      <c r="D10386" t="inlineStr">
        <is>
          <t>L'Oréal</t>
        </is>
      </c>
      <c r="E10386" t="n">
        <v>7.97</v>
      </c>
      <c r="F10386" t="n">
        <v>1</v>
      </c>
      <c r="G10386" t="n">
        <v>14</v>
      </c>
      <c r="H10386" s="5">
        <f>HYPERLINK("https://api.qogita.com/variants/link/3600523337507/", "View Product")</f>
        <v/>
      </c>
    </row>
    <row r="10387">
      <c r="A10387" t="inlineStr">
        <is>
          <t>3600523409273</t>
        </is>
      </c>
      <c r="B10387" t="inlineStr">
        <is>
          <t>L'Oreal Superliner Le Kohl Eye Pencil 101 Midnight Black 4g</t>
        </is>
      </c>
      <c r="C10387" t="inlineStr">
        <is>
          <t>Eye Pencil</t>
        </is>
      </c>
      <c r="D10387" t="inlineStr">
        <is>
          <t>L'Oréal</t>
        </is>
      </c>
      <c r="E10387" t="n">
        <v>4.83</v>
      </c>
      <c r="F10387" t="n">
        <v>1</v>
      </c>
      <c r="G10387" t="n">
        <v>7</v>
      </c>
      <c r="H10387" s="5">
        <f>HYPERLINK("https://api.qogita.com/variants/link/3600523409273/", "View Product")</f>
        <v/>
      </c>
    </row>
    <row r="10388">
      <c r="A10388" t="inlineStr">
        <is>
          <t>3600523464548</t>
        </is>
      </c>
      <c r="B10388" t="inlineStr">
        <is>
          <t>L'Oreal Paris Liquid Care Moisturiser Normal Combination Skin 70ml</t>
        </is>
      </c>
      <c r="C10388" t="inlineStr">
        <is>
          <t>Face Cream</t>
        </is>
      </c>
      <c r="D10388" t="inlineStr">
        <is>
          <t>L'Oréal</t>
        </is>
      </c>
      <c r="E10388" t="n">
        <v>12.11</v>
      </c>
      <c r="F10388" t="n">
        <v>1</v>
      </c>
      <c r="G10388" t="n">
        <v>8</v>
      </c>
      <c r="H10388" s="5">
        <f>HYPERLINK("https://api.qogita.com/variants/link/3600523464548/", "View Product")</f>
        <v/>
      </c>
    </row>
    <row r="10389">
      <c r="A10389" t="inlineStr">
        <is>
          <t>3600523524778</t>
        </is>
      </c>
      <c r="B10389" t="inlineStr">
        <is>
          <t>L'Oral Paris Elseve Extraordinary Oil Hair Mask With Coconut Oil For Normal To Dry Hair 300 Ml</t>
        </is>
      </c>
      <c r="C10389" t="inlineStr">
        <is>
          <t>Hair Masks</t>
        </is>
      </c>
      <c r="D10389" t="inlineStr">
        <is>
          <t>L'Oréal Paris</t>
        </is>
      </c>
      <c r="E10389" t="n">
        <v>6.87</v>
      </c>
      <c r="F10389" t="n">
        <v>1</v>
      </c>
      <c r="G10389" t="n">
        <v>8</v>
      </c>
      <c r="H10389" s="5">
        <f>HYPERLINK("https://api.qogita.com/variants/link/3600523524778/", "View Product")</f>
        <v/>
      </c>
    </row>
    <row r="10390">
      <c r="A10390" t="inlineStr">
        <is>
          <t>3600523591831</t>
        </is>
      </c>
      <c r="B10390" t="inlineStr">
        <is>
          <t>L'Oreal Paris Paradise Extatic Waterproof Mascara 64 Ml Black</t>
        </is>
      </c>
      <c r="C10390" t="inlineStr">
        <is>
          <t>Mascara</t>
        </is>
      </c>
      <c r="D10390" t="inlineStr">
        <is>
          <t>L'Oréal Paris</t>
        </is>
      </c>
      <c r="E10390" t="n">
        <v>7.92</v>
      </c>
      <c r="F10390" t="n">
        <v>1</v>
      </c>
      <c r="G10390" t="n">
        <v>21</v>
      </c>
      <c r="H10390" s="5">
        <f>HYPERLINK("https://api.qogita.com/variants/link/3600523591831/", "View Product")</f>
        <v/>
      </c>
    </row>
    <row r="10391">
      <c r="A10391" t="inlineStr">
        <is>
          <t>3600523614479</t>
        </is>
      </c>
      <c r="B10391" t="inlineStr">
        <is>
          <t>L'Oreal Infallible 32h Fresh Wear Foundation Long-Lasting Face Foundation 220 Sand 30ml</t>
        </is>
      </c>
      <c r="C10391" t="inlineStr">
        <is>
          <t>Foundation</t>
        </is>
      </c>
      <c r="D10391" t="inlineStr">
        <is>
          <t>L'Oréal</t>
        </is>
      </c>
      <c r="E10391" t="n">
        <v>8.640000000000001</v>
      </c>
      <c r="F10391" t="n">
        <v>1</v>
      </c>
      <c r="G10391" t="n">
        <v>9</v>
      </c>
      <c r="H10391" s="5">
        <f>HYPERLINK("https://api.qogita.com/variants/link/3600523614479/", "View Product")</f>
        <v/>
      </c>
    </row>
    <row r="10392">
      <c r="A10392" t="inlineStr">
        <is>
          <t>3600523614486</t>
        </is>
      </c>
      <c r="B10392" t="inlineStr">
        <is>
          <t>L'Oral Paris Infaillible Liquid Foundation 32h 260 Golden Sun 30ml</t>
        </is>
      </c>
      <c r="C10392" t="inlineStr">
        <is>
          <t>Foundation</t>
        </is>
      </c>
      <c r="D10392" t="inlineStr">
        <is>
          <t>L'Oréal Paris</t>
        </is>
      </c>
      <c r="E10392" t="n">
        <v>9.359999999999999</v>
      </c>
      <c r="F10392" t="n">
        <v>1</v>
      </c>
      <c r="G10392" t="n">
        <v>6</v>
      </c>
      <c r="H10392" s="5">
        <f>HYPERLINK("https://api.qogita.com/variants/link/3600523614486/", "View Product")</f>
        <v/>
      </c>
    </row>
    <row r="10393">
      <c r="A10393" t="inlineStr">
        <is>
          <t>3600523655601</t>
        </is>
      </c>
      <c r="B10393" t="inlineStr">
        <is>
          <t>L'Oral Paris Paradise Lash Fortifying Serum 19 Ml</t>
        </is>
      </c>
      <c r="C10393" t="inlineStr">
        <is>
          <t>Eyelash Serum &amp; Eyebrow Serum</t>
        </is>
      </c>
      <c r="D10393" t="inlineStr">
        <is>
          <t>L'Oréal Paris</t>
        </is>
      </c>
      <c r="E10393" t="n">
        <v>13.13</v>
      </c>
      <c r="F10393" t="n">
        <v>1</v>
      </c>
      <c r="G10393" t="n">
        <v>54</v>
      </c>
      <c r="H10393" s="5">
        <f>HYPERLINK("https://api.qogita.com/variants/link/3600523655601/", "View Product")</f>
        <v/>
      </c>
    </row>
    <row r="10394">
      <c r="A10394" t="inlineStr">
        <is>
          <t>3600523723515</t>
        </is>
      </c>
      <c r="B10394" t="inlineStr">
        <is>
          <t>L'Oréal Paris Magic BB Cream with SPF 20 5-in-1 Skin Tint 30ml Shade 05 Medium Dark</t>
        </is>
      </c>
      <c r="C10394" t="inlineStr">
        <is>
          <t>Tinted Day Cream</t>
        </is>
      </c>
      <c r="D10394" t="inlineStr">
        <is>
          <t>L'Oréal</t>
        </is>
      </c>
      <c r="E10394" t="n">
        <v>10.74</v>
      </c>
      <c r="F10394" t="n">
        <v>1</v>
      </c>
      <c r="G10394" t="n">
        <v>15</v>
      </c>
      <c r="H10394" s="5">
        <f>HYPERLINK("https://api.qogita.com/variants/link/3600523723515/", "View Product")</f>
        <v/>
      </c>
    </row>
    <row r="10395">
      <c r="A10395" t="inlineStr">
        <is>
          <t>3600523724635</t>
        </is>
      </c>
      <c r="B10395" t="inlineStr">
        <is>
          <t>L'Oreal Magic Cc 5in1 Anti-Redness Skin Enhancer Moisturizing Cc Cream 30ml</t>
        </is>
      </c>
      <c r="C10395" t="inlineStr">
        <is>
          <t>Tinted Day Cream</t>
        </is>
      </c>
      <c r="D10395" t="inlineStr">
        <is>
          <t>L'Oréal</t>
        </is>
      </c>
      <c r="E10395" t="n">
        <v>10.74</v>
      </c>
      <c r="F10395" t="n">
        <v>1</v>
      </c>
      <c r="G10395" t="n">
        <v>2</v>
      </c>
      <c r="H10395" s="5">
        <f>HYPERLINK("https://api.qogita.com/variants/link/3600523724635/", "View Product")</f>
        <v/>
      </c>
    </row>
    <row r="10396">
      <c r="A10396" t="inlineStr">
        <is>
          <t>3600523755264</t>
        </is>
      </c>
      <c r="B10396" t="inlineStr">
        <is>
          <t>L'Oreal Brow Artist Plump &amp; Set Transparent Eyebrow Gel 4.9ml</t>
        </is>
      </c>
      <c r="C10396" t="inlineStr">
        <is>
          <t>Eyebrow Gel</t>
        </is>
      </c>
      <c r="D10396" t="inlineStr">
        <is>
          <t>L'Oréal</t>
        </is>
      </c>
      <c r="E10396" t="n">
        <v>7.13</v>
      </c>
      <c r="F10396" t="n">
        <v>1</v>
      </c>
      <c r="G10396" t="n">
        <v>3</v>
      </c>
      <c r="H10396" s="5">
        <f>HYPERLINK("https://api.qogita.com/variants/link/3600523755264/", "View Product")</f>
        <v/>
      </c>
    </row>
    <row r="10397">
      <c r="A10397" t="inlineStr">
        <is>
          <t>3600523794867</t>
        </is>
      </c>
      <c r="B10397" t="inlineStr">
        <is>
          <t>L'Oral Brilliant Signature High Shine Colour Lip Ink Liquid Glossy Lipstick 308 Be Demanding 64 Ml</t>
        </is>
      </c>
      <c r="C10397" t="inlineStr">
        <is>
          <t>Lip Gloss</t>
        </is>
      </c>
      <c r="D10397" t="inlineStr">
        <is>
          <t>L'Oréal</t>
        </is>
      </c>
      <c r="E10397" t="n">
        <v>5.98</v>
      </c>
      <c r="F10397" t="n">
        <v>1</v>
      </c>
      <c r="G10397" t="n">
        <v>2</v>
      </c>
      <c r="H10397" s="5">
        <f>HYPERLINK("https://api.qogita.com/variants/link/3600523794867/", "View Product")</f>
        <v/>
      </c>
    </row>
    <row r="10398">
      <c r="A10398" t="inlineStr">
        <is>
          <t>3600523802005</t>
        </is>
      </c>
      <c r="B10398" t="inlineStr">
        <is>
          <t>L'Oreal Color Riche Satin Lipstick 125 Maison Marais 3.8g</t>
        </is>
      </c>
      <c r="C10398" t="inlineStr">
        <is>
          <t>Lipstick</t>
        </is>
      </c>
      <c r="D10398" t="inlineStr">
        <is>
          <t>L'Oréal</t>
        </is>
      </c>
      <c r="E10398" t="n">
        <v>10.25</v>
      </c>
      <c r="F10398" t="n">
        <v>1</v>
      </c>
      <c r="G10398" t="n">
        <v>2</v>
      </c>
      <c r="H10398" s="5">
        <f>HYPERLINK("https://api.qogita.com/variants/link/3600523802005/", "View Product")</f>
        <v/>
      </c>
    </row>
    <row r="10399">
      <c r="A10399" t="inlineStr">
        <is>
          <t>3600523827770</t>
        </is>
      </c>
      <c r="B10399" t="inlineStr">
        <is>
          <t>L'Oreal Color Riche Le Lip Liner 114 Confidentielle</t>
        </is>
      </c>
      <c r="C10399" t="inlineStr">
        <is>
          <t>Lip Liner</t>
        </is>
      </c>
      <c r="D10399" t="inlineStr">
        <is>
          <t>L'Oréal</t>
        </is>
      </c>
      <c r="E10399" t="n">
        <v>5.74</v>
      </c>
      <c r="F10399" t="n">
        <v>1</v>
      </c>
      <c r="G10399" t="n">
        <v>3</v>
      </c>
      <c r="H10399" s="5">
        <f>HYPERLINK("https://api.qogita.com/variants/link/3600523827770/", "View Product")</f>
        <v/>
      </c>
    </row>
    <row r="10400">
      <c r="A10400" t="inlineStr">
        <is>
          <t>3600523951444</t>
        </is>
      </c>
      <c r="B10400" t="inlineStr">
        <is>
          <t>L'Oreal Infallible 24h Fresh Wear Foundation In A Powder Long-Lasting Face Foundation In Powder 120 Vanilla 9g</t>
        </is>
      </c>
      <c r="C10400" t="inlineStr">
        <is>
          <t>Foundation</t>
        </is>
      </c>
      <c r="D10400" t="inlineStr">
        <is>
          <t>L'Oréal</t>
        </is>
      </c>
      <c r="E10400" t="n">
        <v>13.02</v>
      </c>
      <c r="F10400" t="n">
        <v>1</v>
      </c>
      <c r="G10400" t="n">
        <v>2</v>
      </c>
      <c r="H10400" s="5">
        <f>HYPERLINK("https://api.qogita.com/variants/link/3600523951444/", "View Product")</f>
        <v/>
      </c>
    </row>
    <row r="10401">
      <c r="A10401" t="inlineStr">
        <is>
          <t>3600523951543</t>
        </is>
      </c>
      <c r="B10401" t="inlineStr">
        <is>
          <t>L'Oreal Infallible 24h Fresh Wear Foundation In A Powder - 130 True Beige, 9g</t>
        </is>
      </c>
      <c r="C10401" t="inlineStr">
        <is>
          <t>Foundation</t>
        </is>
      </c>
      <c r="D10401" t="inlineStr">
        <is>
          <t>L'Oréal</t>
        </is>
      </c>
      <c r="E10401" t="n">
        <v>13.02</v>
      </c>
      <c r="F10401" t="n">
        <v>1</v>
      </c>
      <c r="G10401" t="n">
        <v>3</v>
      </c>
      <c r="H10401" s="5">
        <f>HYPERLINK("https://api.qogita.com/variants/link/3600523951543/", "View Product")</f>
        <v/>
      </c>
    </row>
    <row r="10402">
      <c r="A10402" t="inlineStr">
        <is>
          <t>3600523951840</t>
        </is>
      </c>
      <c r="B10402" t="inlineStr">
        <is>
          <t>L'Oral Infaillible 24h Fresh Wear Foundation In A Powder 9 G 200 Golden Sand</t>
        </is>
      </c>
      <c r="C10402" t="inlineStr">
        <is>
          <t>Foundation</t>
        </is>
      </c>
      <c r="D10402" t="inlineStr">
        <is>
          <t>L'Oréal</t>
        </is>
      </c>
      <c r="E10402" t="n">
        <v>15.68</v>
      </c>
      <c r="F10402" t="n">
        <v>1</v>
      </c>
      <c r="G10402" t="n">
        <v>2</v>
      </c>
      <c r="H10402" s="5">
        <f>HYPERLINK("https://api.qogita.com/variants/link/3600523951840/", "View Product")</f>
        <v/>
      </c>
    </row>
    <row r="10403">
      <c r="A10403" t="inlineStr">
        <is>
          <t>3600523959587</t>
        </is>
      </c>
      <c r="B10403" t="inlineStr">
        <is>
          <t>L'Oreal Micellar Water Replumping Moisturizing Hyaluronic Acid Makeup Remover</t>
        </is>
      </c>
      <c r="C10403" t="inlineStr">
        <is>
          <t>Micellar Water</t>
        </is>
      </c>
      <c r="D10403" t="inlineStr">
        <is>
          <t>L'Oréal</t>
        </is>
      </c>
      <c r="E10403" t="n">
        <v>7.13</v>
      </c>
      <c r="F10403" t="n">
        <v>1</v>
      </c>
      <c r="G10403" t="n">
        <v>10</v>
      </c>
      <c r="H10403" s="5">
        <f>HYPERLINK("https://api.qogita.com/variants/link/3600523959587/", "View Product")</f>
        <v/>
      </c>
    </row>
    <row r="10404">
      <c r="A10404" t="inlineStr">
        <is>
          <t>3600523972036</t>
        </is>
      </c>
      <c r="B10404" t="inlineStr">
        <is>
          <t>L'Oreal Revitalift Laser Retinol Deep Wrinkle Anti Age Night Serum 30mL</t>
        </is>
      </c>
      <c r="C10404" t="inlineStr">
        <is>
          <t>Anti-Aging Serum</t>
        </is>
      </c>
      <c r="D10404" t="inlineStr">
        <is>
          <t>L'Oréal Paris</t>
        </is>
      </c>
      <c r="E10404" t="n">
        <v>15.47</v>
      </c>
      <c r="F10404" t="n">
        <v>1</v>
      </c>
      <c r="G10404" t="n">
        <v>10</v>
      </c>
      <c r="H10404" s="5">
        <f>HYPERLINK("https://api.qogita.com/variants/link/3600523972036/", "View Product")</f>
        <v/>
      </c>
    </row>
    <row r="10405">
      <c r="A10405" t="inlineStr">
        <is>
          <t>3600523999965</t>
        </is>
      </c>
      <c r="B10405" t="inlineStr">
        <is>
          <t>L'Oral Paris Infallible 24h Parisian Nudes Lipstick Longlasting Lipstick And Lip Gloss 2in1 6 Ml 804 Metro Proof Rose</t>
        </is>
      </c>
      <c r="C10405" t="inlineStr">
        <is>
          <t>Lipstick</t>
        </is>
      </c>
      <c r="D10405" t="inlineStr">
        <is>
          <t>L'Oréal Paris</t>
        </is>
      </c>
      <c r="E10405" t="n">
        <v>10.81</v>
      </c>
      <c r="F10405" t="n">
        <v>1</v>
      </c>
      <c r="G10405" t="n">
        <v>4</v>
      </c>
      <c r="H10405" s="5">
        <f>HYPERLINK("https://api.qogita.com/variants/link/3600523999965/", "View Product")</f>
        <v/>
      </c>
    </row>
    <row r="10406">
      <c r="A10406" t="inlineStr">
        <is>
          <t>3600524026578</t>
        </is>
      </c>
      <c r="B10406" t="inlineStr">
        <is>
          <t>L'Oreal Glow Paradise Balm In Lipstick 193 Rose Mirage - 3.8g</t>
        </is>
      </c>
      <c r="C10406" t="inlineStr">
        <is>
          <t>Lipstick</t>
        </is>
      </c>
      <c r="D10406" t="inlineStr">
        <is>
          <t>L'Oréal</t>
        </is>
      </c>
      <c r="E10406" t="n">
        <v>11.13</v>
      </c>
      <c r="F10406" t="n">
        <v>1</v>
      </c>
      <c r="G10406" t="n">
        <v>5</v>
      </c>
      <c r="H10406" s="5">
        <f>HYPERLINK("https://api.qogita.com/variants/link/3600524026578/", "View Product")</f>
        <v/>
      </c>
    </row>
    <row r="10407">
      <c r="A10407" t="inlineStr">
        <is>
          <t>3600524029784</t>
        </is>
      </c>
      <c r="B10407" t="inlineStr">
        <is>
          <t>L'Oral Paris Hydrating Balm Elseve Hyaluron Plump 72h</t>
        </is>
      </c>
      <c r="C10407" t="inlineStr">
        <is>
          <t>Conditioner</t>
        </is>
      </c>
      <c r="D10407" t="inlineStr">
        <is>
          <t>L'Oréal Paris</t>
        </is>
      </c>
      <c r="E10407" t="n">
        <v>5.76</v>
      </c>
      <c r="F10407" t="n">
        <v>1</v>
      </c>
      <c r="G10407" t="n">
        <v>43</v>
      </c>
      <c r="H10407" s="5">
        <f>HYPERLINK("https://api.qogita.com/variants/link/3600524029784/", "View Product")</f>
        <v/>
      </c>
    </row>
    <row r="10408">
      <c r="A10408" t="inlineStr">
        <is>
          <t>3600524032418</t>
        </is>
      </c>
      <c r="B10408" t="inlineStr">
        <is>
          <t>L'Oreal Elseve Hyaluron Plump Serum Moisturizing And Filling Spray 150ml</t>
        </is>
      </c>
      <c r="C10408" t="inlineStr">
        <is>
          <t>Hair Oil &amp; Hair Serum</t>
        </is>
      </c>
      <c r="D10408" t="inlineStr">
        <is>
          <t>L'Oréal</t>
        </is>
      </c>
      <c r="E10408" t="n">
        <v>7.5</v>
      </c>
      <c r="F10408" t="n">
        <v>1</v>
      </c>
      <c r="G10408" t="n">
        <v>43</v>
      </c>
      <c r="H10408" s="5">
        <f>HYPERLINK("https://api.qogita.com/variants/link/3600524032418/", "View Product")</f>
        <v/>
      </c>
    </row>
    <row r="10409">
      <c r="A10409" t="inlineStr">
        <is>
          <t>3600524033514</t>
        </is>
      </c>
      <c r="B10409" t="inlineStr">
        <is>
          <t>L'Oral Paris Hydrating Mask With Hyaluronic Acid Elseve Hyaluron Plump 72h 300 Ml</t>
        </is>
      </c>
      <c r="C10409" t="inlineStr">
        <is>
          <t>Hydrating Mask</t>
        </is>
      </c>
      <c r="D10409" t="inlineStr">
        <is>
          <t>L'Oréal Paris</t>
        </is>
      </c>
      <c r="E10409" t="n">
        <v>6.87</v>
      </c>
      <c r="F10409" t="n">
        <v>1</v>
      </c>
      <c r="G10409" t="n">
        <v>10</v>
      </c>
      <c r="H10409" s="5">
        <f>HYPERLINK("https://api.qogita.com/variants/link/3600524033514/", "View Product")</f>
        <v/>
      </c>
    </row>
    <row r="10410">
      <c r="A10410" t="inlineStr">
        <is>
          <t>3600524069711</t>
        </is>
      </c>
      <c r="B10410" t="inlineStr">
        <is>
          <t>L'Oreal Revitalift Clinical Vitamin C Brightening Day Cream Spf50+ 50ml</t>
        </is>
      </c>
      <c r="C10410" t="inlineStr">
        <is>
          <t>Day Cream</t>
        </is>
      </c>
      <c r="D10410" t="inlineStr">
        <is>
          <t>L'Oréal</t>
        </is>
      </c>
      <c r="E10410" t="n">
        <v>14.3</v>
      </c>
      <c r="F10410" t="n">
        <v>1</v>
      </c>
      <c r="G10410" t="n">
        <v>3</v>
      </c>
      <c r="H10410" s="5">
        <f>HYPERLINK("https://api.qogita.com/variants/link/3600524069711/", "View Product")</f>
        <v/>
      </c>
    </row>
    <row r="10411">
      <c r="A10411" t="inlineStr">
        <is>
          <t>3600524070113</t>
        </is>
      </c>
      <c r="B10411" t="inlineStr">
        <is>
          <t>L'Oreal Prime Lab 24h Pore Minimizer Smoothing Makeup Base 30ml</t>
        </is>
      </c>
      <c r="C10411" t="inlineStr">
        <is>
          <t>Primer</t>
        </is>
      </c>
      <c r="D10411" t="inlineStr">
        <is>
          <t>L'Oréal</t>
        </is>
      </c>
      <c r="E10411" t="n">
        <v>7.55</v>
      </c>
      <c r="F10411" t="n">
        <v>1</v>
      </c>
      <c r="G10411" t="n">
        <v>38</v>
      </c>
      <c r="H10411" s="5">
        <f>HYPERLINK("https://api.qogita.com/variants/link/3600524070113/", "View Product")</f>
        <v/>
      </c>
    </row>
    <row r="10412">
      <c r="A10412" t="inlineStr">
        <is>
          <t>3600524076061</t>
        </is>
      </c>
      <c r="B10412" t="inlineStr">
        <is>
          <t>L'Oréal Paris Revitalift Clinical Vitamin C Salicylic Acid Cleanser 150ml</t>
        </is>
      </c>
      <c r="C10412" t="inlineStr">
        <is>
          <t>Cleansing Gel</t>
        </is>
      </c>
      <c r="D10412" t="inlineStr">
        <is>
          <t>L'Oréal</t>
        </is>
      </c>
      <c r="E10412" t="n">
        <v>6.51</v>
      </c>
      <c r="F10412" t="n">
        <v>1</v>
      </c>
      <c r="G10412" t="n">
        <v>3</v>
      </c>
      <c r="H10412" s="5">
        <f>HYPERLINK("https://api.qogita.com/variants/link/3600524076061/", "View Product")</f>
        <v/>
      </c>
    </row>
    <row r="10413">
      <c r="A10413" t="inlineStr">
        <is>
          <t>3600524078539</t>
        </is>
      </c>
      <c r="B10413" t="inlineStr">
        <is>
          <t>L'Oral Paris Regenerating Hair Mask Elseve Dream Long Xxl Fiber 400 Ml</t>
        </is>
      </c>
      <c r="C10413" t="inlineStr">
        <is>
          <t>Hair Masks</t>
        </is>
      </c>
      <c r="D10413" t="inlineStr">
        <is>
          <t>L'Oréal Paris</t>
        </is>
      </c>
      <c r="E10413" t="n">
        <v>8.609999999999999</v>
      </c>
      <c r="F10413" t="n">
        <v>1</v>
      </c>
      <c r="G10413" t="n">
        <v>27</v>
      </c>
      <c r="H10413" s="5">
        <f>HYPERLINK("https://api.qogita.com/variants/link/3600524078539/", "View Product")</f>
        <v/>
      </c>
    </row>
    <row r="10414">
      <c r="A10414" t="inlineStr">
        <is>
          <t>3600524096793</t>
        </is>
      </c>
      <c r="B10414" t="inlineStr">
        <is>
          <t>Revital 24h Moisturizing Cream Men Expert Power Age (Revitalizing 24H Moisturizer) 50 ml</t>
        </is>
      </c>
      <c r="C10414" t="inlineStr">
        <is>
          <t>Day Cream</t>
        </is>
      </c>
      <c r="D10414" t="inlineStr">
        <is>
          <t>L'Oréal</t>
        </is>
      </c>
      <c r="E10414" t="n">
        <v>13.02</v>
      </c>
      <c r="F10414" t="n">
        <v>1</v>
      </c>
      <c r="G10414" t="n">
        <v>12</v>
      </c>
      <c r="H10414" s="5">
        <f>HYPERLINK("https://api.qogita.com/variants/link/3600524096793/", "View Product")</f>
        <v/>
      </c>
    </row>
    <row r="10415">
      <c r="A10415" t="inlineStr">
        <is>
          <t>3600524100797</t>
        </is>
      </c>
      <c r="B10415" t="inlineStr">
        <is>
          <t>L'Oreal Paris Elnett Color Protection Micro-Diffusion Hairspray 300 Ml</t>
        </is>
      </c>
      <c r="C10415" t="inlineStr">
        <is>
          <t>Hairspray</t>
        </is>
      </c>
      <c r="D10415" t="inlineStr">
        <is>
          <t>L'Oréal Paris</t>
        </is>
      </c>
      <c r="E10415" t="n">
        <v>7.3</v>
      </c>
      <c r="F10415" t="n">
        <v>1</v>
      </c>
      <c r="G10415" t="n">
        <v>5</v>
      </c>
      <c r="H10415" s="5">
        <f>HYPERLINK("https://api.qogita.com/variants/link/3600524100797/", "View Product")</f>
        <v/>
      </c>
    </row>
    <row r="10416">
      <c r="A10416" t="inlineStr">
        <is>
          <t>3600524121815</t>
        </is>
      </c>
      <c r="B10416" t="inlineStr">
        <is>
          <t>L'Oral Paris Men Expert Pure Carbon Total Clean Carbon Shower Gel</t>
        </is>
      </c>
      <c r="C10416" t="inlineStr">
        <is>
          <t>Shower Gel</t>
        </is>
      </c>
      <c r="D10416" t="inlineStr">
        <is>
          <t>L'Oréal Paris</t>
        </is>
      </c>
      <c r="E10416" t="n">
        <v>10.79</v>
      </c>
      <c r="F10416" t="n">
        <v>1</v>
      </c>
      <c r="G10416" t="n">
        <v>5</v>
      </c>
      <c r="H10416" s="5">
        <f>HYPERLINK("https://api.qogita.com/variants/link/3600524121815/", "View Product")</f>
        <v/>
      </c>
    </row>
    <row r="10417">
      <c r="A10417" t="inlineStr">
        <is>
          <t>3600524125721</t>
        </is>
      </c>
      <c r="B10417" t="inlineStr">
        <is>
          <t>L'Oréal Paris Men Expert Barber Club Body Hair &amp; Beard Wash 300ml</t>
        </is>
      </c>
      <c r="C10417" t="inlineStr">
        <is>
          <t>Shower Gel</t>
        </is>
      </c>
      <c r="D10417" t="inlineStr">
        <is>
          <t>L'Oréal</t>
        </is>
      </c>
      <c r="E10417" t="n">
        <v>5.93</v>
      </c>
      <c r="F10417" t="n">
        <v>1</v>
      </c>
      <c r="G10417" t="n">
        <v>20</v>
      </c>
      <c r="H10417" s="5">
        <f>HYPERLINK("https://api.qogita.com/variants/link/3600524125721/", "View Product")</f>
        <v/>
      </c>
    </row>
    <row r="10418">
      <c r="A10418" t="inlineStr">
        <is>
          <t>3600524128968</t>
        </is>
      </c>
      <c r="B10418" t="inlineStr">
        <is>
          <t>L'Oreal Bright Reveal Gel Cleanser 150ml</t>
        </is>
      </c>
      <c r="C10418" t="inlineStr">
        <is>
          <t>Cleansing Gel</t>
        </is>
      </c>
      <c r="D10418" t="inlineStr">
        <is>
          <t>L'Oréal</t>
        </is>
      </c>
      <c r="E10418" t="n">
        <v>6.51</v>
      </c>
      <c r="F10418" t="n">
        <v>1</v>
      </c>
      <c r="G10418" t="n">
        <v>2</v>
      </c>
      <c r="H10418" s="5">
        <f>HYPERLINK("https://api.qogita.com/variants/link/3600524128968/", "View Product")</f>
        <v/>
      </c>
    </row>
    <row r="10419">
      <c r="A10419" t="inlineStr">
        <is>
          <t>3600524134938</t>
        </is>
      </c>
      <c r="B10419" t="inlineStr">
        <is>
          <t>L'Oréal Paris Elseve Hyaluron Pure 200ml Shampoo</t>
        </is>
      </c>
      <c r="C10419" t="inlineStr">
        <is>
          <t>Shampoo</t>
        </is>
      </c>
      <c r="D10419" t="inlineStr">
        <is>
          <t>L'Oréal</t>
        </is>
      </c>
      <c r="E10419" t="n">
        <v>5.76</v>
      </c>
      <c r="F10419" t="n">
        <v>1</v>
      </c>
      <c r="G10419" t="n">
        <v>23</v>
      </c>
      <c r="H10419" s="5">
        <f>HYPERLINK("https://api.qogita.com/variants/link/3600524134938/", "View Product")</f>
        <v/>
      </c>
    </row>
    <row r="10420">
      <c r="A10420" t="inlineStr">
        <is>
          <t>3600524141875</t>
        </is>
      </c>
      <c r="B10420" t="inlineStr">
        <is>
          <t>L'Oréal Paris Elseve Full Resist Aminexil Strengthening Balm 300ml</t>
        </is>
      </c>
      <c r="C10420" t="inlineStr">
        <is>
          <t>Conditioner</t>
        </is>
      </c>
      <c r="D10420" t="inlineStr">
        <is>
          <t>L'Oréal</t>
        </is>
      </c>
      <c r="E10420" t="n">
        <v>7.03</v>
      </c>
      <c r="F10420" t="n">
        <v>1</v>
      </c>
      <c r="G10420" t="n">
        <v>5</v>
      </c>
      <c r="H10420" s="5">
        <f>HYPERLINK("https://api.qogita.com/variants/link/3600524141875/", "View Product")</f>
        <v/>
      </c>
    </row>
    <row r="10421">
      <c r="A10421" t="inlineStr">
        <is>
          <t>3600524142551</t>
        </is>
      </c>
      <c r="B10421" t="inlineStr">
        <is>
          <t>L'Oréal Paris Elseve Hyaluron Plump Moisture Balm 300ml - Hair Treatment</t>
        </is>
      </c>
      <c r="C10421" t="inlineStr">
        <is>
          <t>Hair Masks</t>
        </is>
      </c>
      <c r="D10421" t="inlineStr">
        <is>
          <t>L'Oréal</t>
        </is>
      </c>
      <c r="E10421" t="n">
        <v>7.03</v>
      </c>
      <c r="F10421" t="n">
        <v>1</v>
      </c>
      <c r="G10421" t="n">
        <v>34</v>
      </c>
      <c r="H10421" s="5">
        <f>HYPERLINK("https://api.qogita.com/variants/link/3600524142551/", "View Product")</f>
        <v/>
      </c>
    </row>
    <row r="10422">
      <c r="A10422" t="inlineStr">
        <is>
          <t>3600524143909</t>
        </is>
      </c>
      <c r="B10422" t="inlineStr">
        <is>
          <t>L'Oréal Paris Elseve Glycolic Gloss Leave-In Serum 150ml</t>
        </is>
      </c>
      <c r="C10422" t="inlineStr">
        <is>
          <t>Hair Oil &amp; Hair Serum</t>
        </is>
      </c>
      <c r="D10422" t="inlineStr">
        <is>
          <t>L'Oréal</t>
        </is>
      </c>
      <c r="E10422" t="n">
        <v>10.14</v>
      </c>
      <c r="F10422" t="n">
        <v>1</v>
      </c>
      <c r="G10422" t="n">
        <v>43</v>
      </c>
      <c r="H10422" s="5">
        <f>HYPERLINK("https://api.qogita.com/variants/link/3600524143909/", "View Product")</f>
        <v/>
      </c>
    </row>
    <row r="10423">
      <c r="A10423" t="inlineStr">
        <is>
          <t>3600524143923</t>
        </is>
      </c>
      <c r="B10423" t="inlineStr">
        <is>
          <t>L'Oréal Paris Elseve Hyaluron Pure Oil Erasing Scalp Serum 102ml</t>
        </is>
      </c>
      <c r="C10423" t="inlineStr">
        <is>
          <t>Hair Oil &amp; Hair Serum</t>
        </is>
      </c>
      <c r="D10423" t="inlineStr">
        <is>
          <t>L'Oréal</t>
        </is>
      </c>
      <c r="E10423" t="n">
        <v>7.5</v>
      </c>
      <c r="F10423" t="n">
        <v>1</v>
      </c>
      <c r="G10423" t="n">
        <v>4</v>
      </c>
      <c r="H10423" s="5">
        <f>HYPERLINK("https://api.qogita.com/variants/link/3600524143923/", "View Product")</f>
        <v/>
      </c>
    </row>
    <row r="10424">
      <c r="A10424" t="inlineStr">
        <is>
          <t>3600524163570</t>
        </is>
      </c>
      <c r="B10424" t="inlineStr">
        <is>
          <t>L'Oreal Paris Elnett Anti-Brassiness Color-Correcting Purple Micro-Diffusion Hairspray 300 Ml</t>
        </is>
      </c>
      <c r="C10424" t="inlineStr">
        <is>
          <t>Hairspray</t>
        </is>
      </c>
      <c r="D10424" t="inlineStr">
        <is>
          <t>L'Oréal Paris</t>
        </is>
      </c>
      <c r="E10424" t="n">
        <v>7.3</v>
      </c>
      <c r="F10424" t="n">
        <v>1</v>
      </c>
      <c r="G10424" t="n">
        <v>11</v>
      </c>
      <c r="H10424" s="5">
        <f>HYPERLINK("https://api.qogita.com/variants/link/3600524163570/", "View Product")</f>
        <v/>
      </c>
    </row>
    <row r="10425">
      <c r="A10425" t="inlineStr">
        <is>
          <t>3600524186845</t>
        </is>
      </c>
      <c r="B10425" t="inlineStr">
        <is>
          <t>L'Oreal Paris Bright Reveal Brightening Tinted Fluid Spf 50+ Daily Fluid 50 Ml</t>
        </is>
      </c>
      <c r="C10425" t="inlineStr">
        <is>
          <t>Face Sun Protection</t>
        </is>
      </c>
      <c r="D10425" t="inlineStr">
        <is>
          <t>L'Oréal Paris</t>
        </is>
      </c>
      <c r="E10425" t="n">
        <v>16.05</v>
      </c>
      <c r="F10425" t="n">
        <v>1</v>
      </c>
      <c r="G10425" t="n">
        <v>14</v>
      </c>
      <c r="H10425" s="5">
        <f>HYPERLINK("https://api.qogita.com/variants/link/3600524186845/", "View Product")</f>
        <v/>
      </c>
    </row>
    <row r="10426">
      <c r="A10426" t="inlineStr">
        <is>
          <t>3600524190248</t>
        </is>
      </c>
      <c r="B10426" t="inlineStr">
        <is>
          <t>L'Oreal Infallible Skin Ink Multifunctional Foundation 180 Medium Cool 15ml</t>
        </is>
      </c>
      <c r="C10426" t="inlineStr">
        <is>
          <t>Foundation</t>
        </is>
      </c>
      <c r="D10426" t="inlineStr">
        <is>
          <t>L'Oréal</t>
        </is>
      </c>
      <c r="E10426" t="n">
        <v>15.29</v>
      </c>
      <c r="F10426" t="n">
        <v>1</v>
      </c>
      <c r="G10426" t="n">
        <v>3</v>
      </c>
      <c r="H10426" s="5">
        <f>HYPERLINK("https://api.qogita.com/variants/link/3600524190248/", "View Product")</f>
        <v/>
      </c>
    </row>
    <row r="10427">
      <c r="A10427" t="inlineStr">
        <is>
          <t>3600524195656</t>
        </is>
      </c>
      <c r="B10427" t="inlineStr">
        <is>
          <t>L'Oreal Paris Men Expert Derma Control Anti-Blemish Serum - 30 Ml</t>
        </is>
      </c>
      <c r="C10427" t="inlineStr">
        <is>
          <t>Hydrating Serum</t>
        </is>
      </c>
      <c r="D10427" t="inlineStr">
        <is>
          <t>L'Oréal Paris</t>
        </is>
      </c>
      <c r="E10427" t="n">
        <v>11.85</v>
      </c>
      <c r="F10427" t="n">
        <v>1</v>
      </c>
      <c r="G10427" t="n">
        <v>3</v>
      </c>
      <c r="H10427" s="5">
        <f>HYPERLINK("https://api.qogita.com/variants/link/3600524195656/", "View Product")</f>
        <v/>
      </c>
    </row>
    <row r="10428">
      <c r="A10428" t="inlineStr">
        <is>
          <t>3600524196844</t>
        </is>
      </c>
      <c r="B10428" t="inlineStr">
        <is>
          <t>L'Oreal Infaillible Laque Resistance Lipstick 415 Red Bisou 4.3ml</t>
        </is>
      </c>
      <c r="C10428" t="inlineStr">
        <is>
          <t>Lipstick</t>
        </is>
      </c>
      <c r="D10428" t="inlineStr">
        <is>
          <t>L'Oréal</t>
        </is>
      </c>
      <c r="E10428" t="n">
        <v>11.74</v>
      </c>
      <c r="F10428" t="n">
        <v>1</v>
      </c>
      <c r="G10428" t="n">
        <v>3</v>
      </c>
      <c r="H10428" s="5">
        <f>HYPERLINK("https://api.qogita.com/variants/link/3600524196844/", "View Product")</f>
        <v/>
      </c>
    </row>
    <row r="10429">
      <c r="A10429" t="inlineStr">
        <is>
          <t>3600530427451</t>
        </is>
      </c>
      <c r="B10429" t="inlineStr">
        <is>
          <t>Maybelline Affinitone Foundation 03 Light Sand Beige 30ml</t>
        </is>
      </c>
      <c r="C10429" t="inlineStr">
        <is>
          <t>Foundation</t>
        </is>
      </c>
      <c r="D10429" t="inlineStr">
        <is>
          <t>Maybelline</t>
        </is>
      </c>
      <c r="E10429" t="n">
        <v>5.54</v>
      </c>
      <c r="F10429" t="n">
        <v>1</v>
      </c>
      <c r="G10429" t="n">
        <v>5</v>
      </c>
      <c r="H10429" s="5">
        <f>HYPERLINK("https://api.qogita.com/variants/link/3600530427451/", "View Product")</f>
        <v/>
      </c>
    </row>
    <row r="10430">
      <c r="A10430" t="inlineStr">
        <is>
          <t>3600530733859</t>
        </is>
      </c>
      <c r="B10430" t="inlineStr">
        <is>
          <t>Maybelline Eraser Eye Perfect &amp; Cover Concealer In Nude, 6.8ml</t>
        </is>
      </c>
      <c r="C10430" t="inlineStr">
        <is>
          <t>Concealer</t>
        </is>
      </c>
      <c r="D10430" t="inlineStr">
        <is>
          <t>Maybelline</t>
        </is>
      </c>
      <c r="E10430" t="n">
        <v>7.03</v>
      </c>
      <c r="F10430" t="n">
        <v>1</v>
      </c>
      <c r="G10430" t="n">
        <v>10</v>
      </c>
      <c r="H10430" s="5">
        <f>HYPERLINK("https://api.qogita.com/variants/link/3600530733859/", "View Product")</f>
        <v/>
      </c>
    </row>
    <row r="10431">
      <c r="A10431" t="inlineStr">
        <is>
          <t>3600531047795</t>
        </is>
      </c>
      <c r="B10431" t="inlineStr">
        <is>
          <t>Maybelline Hyper Precise All Day Eyeliner In Forest Brown, 1ml</t>
        </is>
      </c>
      <c r="C10431" t="inlineStr">
        <is>
          <t>Eyeliner</t>
        </is>
      </c>
      <c r="D10431" t="inlineStr">
        <is>
          <t>Maybelline</t>
        </is>
      </c>
      <c r="E10431" t="n">
        <v>5.38</v>
      </c>
      <c r="F10431" t="n">
        <v>1</v>
      </c>
      <c r="G10431" t="n">
        <v>11</v>
      </c>
      <c r="H10431" s="5">
        <f>HYPERLINK("https://api.qogita.com/variants/link/3600531047795/", "View Product")</f>
        <v/>
      </c>
    </row>
    <row r="10432">
      <c r="A10432" t="inlineStr">
        <is>
          <t>3600531230906</t>
        </is>
      </c>
      <c r="B10432" t="inlineStr">
        <is>
          <t>Maybelline Lash Sensational Mascara Intense Black 9.5ml</t>
        </is>
      </c>
      <c r="C10432" t="inlineStr">
        <is>
          <t>Mascara</t>
        </is>
      </c>
      <c r="D10432" t="inlineStr">
        <is>
          <t>Maybelline</t>
        </is>
      </c>
      <c r="E10432" t="n">
        <v>5.95</v>
      </c>
      <c r="F10432" t="n">
        <v>1</v>
      </c>
      <c r="G10432" t="n">
        <v>2</v>
      </c>
      <c r="H10432" s="5">
        <f>HYPERLINK("https://api.qogita.com/variants/link/3600531230906/", "View Product")</f>
        <v/>
      </c>
    </row>
    <row r="10433">
      <c r="A10433" t="inlineStr">
        <is>
          <t>3600531320065</t>
        </is>
      </c>
      <c r="B10433" t="inlineStr">
        <is>
          <t>Maybelline Lash Sensational Luscious Mascara - Black, 9.5ml</t>
        </is>
      </c>
      <c r="C10433" t="inlineStr">
        <is>
          <t>Mascara</t>
        </is>
      </c>
      <c r="D10433" t="inlineStr">
        <is>
          <t>Maybelline</t>
        </is>
      </c>
      <c r="E10433" t="n">
        <v>5.15</v>
      </c>
      <c r="F10433" t="n">
        <v>1</v>
      </c>
      <c r="G10433" t="n">
        <v>21</v>
      </c>
      <c r="H10433" s="5">
        <f>HYPERLINK("https://api.qogita.com/variants/link/3600531320065/", "View Product")</f>
        <v/>
      </c>
    </row>
    <row r="10434">
      <c r="A10434" t="inlineStr">
        <is>
          <t>3600531324506</t>
        </is>
      </c>
      <c r="B10434" t="inlineStr">
        <is>
          <t>Maybelline Fit Me Liquid Foundation Mattifying Face Foundation 110 Porcelain 30ml</t>
        </is>
      </c>
      <c r="C10434" t="inlineStr">
        <is>
          <t>Foundation</t>
        </is>
      </c>
      <c r="D10434" t="inlineStr">
        <is>
          <t>Maybelline</t>
        </is>
      </c>
      <c r="E10434" t="n">
        <v>5.46</v>
      </c>
      <c r="F10434" t="n">
        <v>1</v>
      </c>
      <c r="G10434" t="n">
        <v>7</v>
      </c>
      <c r="H10434" s="5">
        <f>HYPERLINK("https://api.qogita.com/variants/link/3600531324506/", "View Product")</f>
        <v/>
      </c>
    </row>
    <row r="10435">
      <c r="A10435" t="inlineStr">
        <is>
          <t>3600531324513</t>
        </is>
      </c>
      <c r="B10435" t="inlineStr">
        <is>
          <t>Maybelline Fit Me Liquid Foundation Mattifying Face Foundation 115 Ivory 30ml</t>
        </is>
      </c>
      <c r="C10435" t="inlineStr">
        <is>
          <t>Foundation</t>
        </is>
      </c>
      <c r="D10435" t="inlineStr">
        <is>
          <t>Maybelline</t>
        </is>
      </c>
      <c r="E10435" t="n">
        <v>7.41</v>
      </c>
      <c r="F10435" t="n">
        <v>1</v>
      </c>
      <c r="G10435" t="n">
        <v>3</v>
      </c>
      <c r="H10435" s="5">
        <f>HYPERLINK("https://api.qogita.com/variants/link/3600531324513/", "View Product")</f>
        <v/>
      </c>
    </row>
    <row r="10436">
      <c r="A10436" t="inlineStr">
        <is>
          <t>3600531361426</t>
        </is>
      </c>
      <c r="B10436" t="inlineStr">
        <is>
          <t>Maybelline Color Sensational Shaping Lip Liner In Dusty Rose, 0.28g</t>
        </is>
      </c>
      <c r="C10436" t="inlineStr">
        <is>
          <t>Lip Liner</t>
        </is>
      </c>
      <c r="D10436" t="inlineStr">
        <is>
          <t>Maybelline</t>
        </is>
      </c>
      <c r="E10436" t="n">
        <v>5.25</v>
      </c>
      <c r="F10436" t="n">
        <v>1</v>
      </c>
      <c r="G10436" t="n">
        <v>4</v>
      </c>
      <c r="H10436" s="5">
        <f>HYPERLINK("https://api.qogita.com/variants/link/3600531361426/", "View Product")</f>
        <v/>
      </c>
    </row>
    <row r="10437">
      <c r="A10437" t="inlineStr">
        <is>
          <t>3600531371593</t>
        </is>
      </c>
      <c r="B10437" t="inlineStr">
        <is>
          <t>Maybelline Dream Bright Cream Concealer - 3 Grams</t>
        </is>
      </c>
      <c r="C10437" t="inlineStr">
        <is>
          <t>Concealer</t>
        </is>
      </c>
      <c r="D10437" t="inlineStr">
        <is>
          <t>Maybelline</t>
        </is>
      </c>
      <c r="E10437" t="n">
        <v>3.11</v>
      </c>
      <c r="F10437" t="n">
        <v>1</v>
      </c>
      <c r="G10437" t="n">
        <v>3</v>
      </c>
      <c r="H10437" s="5">
        <f>HYPERLINK("https://api.qogita.com/variants/link/3600531371593/", "View Product")</f>
        <v/>
      </c>
    </row>
    <row r="10438">
      <c r="A10438" t="inlineStr">
        <is>
          <t>3600531384197</t>
        </is>
      </c>
      <c r="B10438" t="inlineStr">
        <is>
          <t>Maybelline Fit Me Matte Poreless Pressed Powder 120 Classic Ivory 9g</t>
        </is>
      </c>
      <c r="C10438" t="inlineStr">
        <is>
          <t>Powder</t>
        </is>
      </c>
      <c r="D10438" t="inlineStr">
        <is>
          <t>Maybelline</t>
        </is>
      </c>
      <c r="E10438" t="n">
        <v>6.9</v>
      </c>
      <c r="F10438" t="n">
        <v>1</v>
      </c>
      <c r="G10438" t="n">
        <v>11</v>
      </c>
      <c r="H10438" s="5">
        <f>HYPERLINK("https://api.qogita.com/variants/link/3600531384197/", "View Product")</f>
        <v/>
      </c>
    </row>
    <row r="10439">
      <c r="A10439" t="inlineStr">
        <is>
          <t>3600531411107</t>
        </is>
      </c>
      <c r="B10439" t="inlineStr">
        <is>
          <t>Maybelline Super Stay Matte Ink Liquid Lipstick 15 Lover 5ml</t>
        </is>
      </c>
      <c r="C10439" t="inlineStr">
        <is>
          <t>Lipstick</t>
        </is>
      </c>
      <c r="D10439" t="inlineStr">
        <is>
          <t>Maybelline</t>
        </is>
      </c>
      <c r="E10439" t="n">
        <v>7.68</v>
      </c>
      <c r="F10439" t="n">
        <v>1</v>
      </c>
      <c r="G10439" t="n">
        <v>11</v>
      </c>
      <c r="H10439" s="5">
        <f>HYPERLINK("https://api.qogita.com/variants/link/3600531411107/", "View Product")</f>
        <v/>
      </c>
    </row>
    <row r="10440">
      <c r="A10440" t="inlineStr">
        <is>
          <t>3600531417765</t>
        </is>
      </c>
      <c r="B10440" t="inlineStr">
        <is>
          <t>Maybelline Tattoo Brow Easy Peel Off Tint 3 Dark Brown Semipermanent Eyebrow Color</t>
        </is>
      </c>
      <c r="C10440" t="inlineStr">
        <is>
          <t>Eyebrow Dye</t>
        </is>
      </c>
      <c r="D10440" t="inlineStr">
        <is>
          <t>Maybelline</t>
        </is>
      </c>
      <c r="E10440" t="n">
        <v>6.78</v>
      </c>
      <c r="F10440" t="n">
        <v>1</v>
      </c>
      <c r="G10440" t="n">
        <v>47</v>
      </c>
      <c r="H10440" s="5">
        <f>HYPERLINK("https://api.qogita.com/variants/link/3600531417765/", "View Product")</f>
        <v/>
      </c>
    </row>
    <row r="10441">
      <c r="A10441" t="inlineStr">
        <is>
          <t>3600531470449</t>
        </is>
      </c>
      <c r="B10441" t="inlineStr">
        <is>
          <t>Maybelline New York The Colossal Big Shot Tinted Fiber Primer Black 8ml</t>
        </is>
      </c>
      <c r="C10441" t="inlineStr">
        <is>
          <t>Mascara</t>
        </is>
      </c>
      <c r="D10441" t="inlineStr">
        <is>
          <t>Maybelline</t>
        </is>
      </c>
      <c r="E10441" t="n">
        <v>5.37</v>
      </c>
      <c r="F10441" t="n">
        <v>1</v>
      </c>
      <c r="G10441" t="n">
        <v>2</v>
      </c>
      <c r="H10441" s="5">
        <f>HYPERLINK("https://api.qogita.com/variants/link/3600531470449/", "View Product")</f>
        <v/>
      </c>
    </row>
    <row r="10442">
      <c r="A10442" t="inlineStr">
        <is>
          <t>3600531496203</t>
        </is>
      </c>
      <c r="B10442" t="inlineStr">
        <is>
          <t>Maybelline Color Sensational Shaping Lip Liner In 56 Almond Rose, 0.28g</t>
        </is>
      </c>
      <c r="C10442" t="inlineStr">
        <is>
          <t>Lip Liner</t>
        </is>
      </c>
      <c r="D10442" t="inlineStr">
        <is>
          <t>Maybelline</t>
        </is>
      </c>
      <c r="E10442" t="n">
        <v>3.35</v>
      </c>
      <c r="F10442" t="n">
        <v>1</v>
      </c>
      <c r="G10442" t="n">
        <v>3</v>
      </c>
      <c r="H10442" s="5">
        <f>HYPERLINK("https://api.qogita.com/variants/link/3600531496203/", "View Product")</f>
        <v/>
      </c>
    </row>
    <row r="10443">
      <c r="A10443" t="inlineStr">
        <is>
          <t>3600531513474</t>
        </is>
      </c>
      <c r="B10443" t="inlineStr">
        <is>
          <t>Maybelline Superstay Matte Longlasting Matte Liquid Lipstick 5 Ml</t>
        </is>
      </c>
      <c r="C10443" t="inlineStr">
        <is>
          <t>Lipstick</t>
        </is>
      </c>
      <c r="D10443" t="inlineStr">
        <is>
          <t>Maybelline</t>
        </is>
      </c>
      <c r="E10443" t="n">
        <v>9.09</v>
      </c>
      <c r="F10443" t="n">
        <v>1</v>
      </c>
      <c r="G10443" t="n">
        <v>4</v>
      </c>
      <c r="H10443" s="5">
        <f>HYPERLINK("https://api.qogita.com/variants/link/3600531513474/", "View Product")</f>
        <v/>
      </c>
    </row>
    <row r="10444">
      <c r="A10444" t="inlineStr">
        <is>
          <t>3600531539306</t>
        </is>
      </c>
      <c r="B10444" t="inlineStr">
        <is>
          <t>Maybelline The City Mini Palette 400 Rooftop Bronzes 1 Count</t>
        </is>
      </c>
      <c r="C10444" t="inlineStr">
        <is>
          <t>Eye Sets &amp; Pallets</t>
        </is>
      </c>
      <c r="D10444" t="inlineStr">
        <is>
          <t>Maybelline</t>
        </is>
      </c>
      <c r="E10444" t="n">
        <v>10.49</v>
      </c>
      <c r="F10444" t="n">
        <v>1</v>
      </c>
      <c r="G10444" t="n">
        <v>16</v>
      </c>
      <c r="H10444" s="5">
        <f>HYPERLINK("https://api.qogita.com/variants/link/3600531539306/", "View Product")</f>
        <v/>
      </c>
    </row>
    <row r="10445">
      <c r="A10445" t="inlineStr">
        <is>
          <t>3600531579432</t>
        </is>
      </c>
      <c r="B10445" t="inlineStr">
        <is>
          <t>Maybelline Brow Ultra Slim Defining Eyebrow Pencil 00 Light Blond 9 G</t>
        </is>
      </c>
      <c r="C10445" t="inlineStr">
        <is>
          <t>Eyebrow Pencil</t>
        </is>
      </c>
      <c r="D10445" t="inlineStr">
        <is>
          <t>Maybelline</t>
        </is>
      </c>
      <c r="E10445" t="n">
        <v>6.44</v>
      </c>
      <c r="F10445" t="n">
        <v>1</v>
      </c>
      <c r="G10445" t="n">
        <v>3</v>
      </c>
      <c r="H10445" s="5">
        <f>HYPERLINK("https://api.qogita.com/variants/link/3600531579432/", "View Product")</f>
        <v/>
      </c>
    </row>
    <row r="10446">
      <c r="A10446" t="inlineStr">
        <is>
          <t>3600531579470</t>
        </is>
      </c>
      <c r="B10446" t="inlineStr">
        <is>
          <t>Maybelline Brow Ultra Slim Automatic Eyebrow Pencil In Black Brown 9 G</t>
        </is>
      </c>
      <c r="C10446" t="inlineStr">
        <is>
          <t>Eyebrow Pencil</t>
        </is>
      </c>
      <c r="D10446" t="inlineStr">
        <is>
          <t>Maybelline</t>
        </is>
      </c>
      <c r="E10446" t="n">
        <v>5.33</v>
      </c>
      <c r="F10446" t="n">
        <v>1</v>
      </c>
      <c r="G10446" t="n">
        <v>3</v>
      </c>
      <c r="H10446" s="5">
        <f>HYPERLINK("https://api.qogita.com/variants/link/3600531579470/", "View Product")</f>
        <v/>
      </c>
    </row>
    <row r="10447">
      <c r="A10447" t="inlineStr">
        <is>
          <t>3600531579487</t>
        </is>
      </c>
      <c r="B10447" t="inlineStr">
        <is>
          <t>Maybelline Brow Ultra Slim Defining Eyebrow Pencil 15 Mm 9 G Blonde</t>
        </is>
      </c>
      <c r="C10447" t="inlineStr">
        <is>
          <t>Eyebrow Pencil</t>
        </is>
      </c>
      <c r="D10447" t="inlineStr">
        <is>
          <t>Maybelline</t>
        </is>
      </c>
      <c r="E10447" t="n">
        <v>6.44</v>
      </c>
      <c r="F10447" t="n">
        <v>1</v>
      </c>
      <c r="G10447" t="n">
        <v>36</v>
      </c>
      <c r="H10447" s="5">
        <f>HYPERLINK("https://api.qogita.com/variants/link/3600531579487/", "View Product")</f>
        <v/>
      </c>
    </row>
    <row r="10448">
      <c r="A10448" t="inlineStr">
        <is>
          <t>3600531584696</t>
        </is>
      </c>
      <c r="B10448" t="inlineStr">
        <is>
          <t>Maybelline The Falsies Lash Lift Mascara 01 Black Volume Extending Mascara</t>
        </is>
      </c>
      <c r="C10448" t="inlineStr">
        <is>
          <t>Mascara</t>
        </is>
      </c>
      <c r="D10448" t="inlineStr">
        <is>
          <t>Maybelline</t>
        </is>
      </c>
      <c r="E10448" t="n">
        <v>8.029999999999999</v>
      </c>
      <c r="F10448" t="n">
        <v>1</v>
      </c>
      <c r="G10448" t="n">
        <v>13</v>
      </c>
      <c r="H10448" s="5">
        <f>HYPERLINK("https://api.qogita.com/variants/link/3600531584696/", "View Product")</f>
        <v/>
      </c>
    </row>
    <row r="10449">
      <c r="A10449" t="inlineStr">
        <is>
          <t>3600531606497</t>
        </is>
      </c>
      <c r="B10449" t="inlineStr">
        <is>
          <t>Maybelline Brow Extensions Stick 00 Light Blonde Eyebrow Makeup</t>
        </is>
      </c>
      <c r="C10449" t="inlineStr">
        <is>
          <t>Eyebrow Pencil</t>
        </is>
      </c>
      <c r="D10449" t="inlineStr">
        <is>
          <t>Maybelline</t>
        </is>
      </c>
      <c r="E10449" t="n">
        <v>3.85</v>
      </c>
      <c r="F10449" t="n">
        <v>1</v>
      </c>
      <c r="G10449" t="n">
        <v>5</v>
      </c>
      <c r="H10449" s="5">
        <f>HYPERLINK("https://api.qogita.com/variants/link/3600531606497/", "View Product")</f>
        <v/>
      </c>
    </row>
    <row r="10450">
      <c r="A10450" t="inlineStr">
        <is>
          <t>3600531608729</t>
        </is>
      </c>
      <c r="B10450" t="inlineStr">
        <is>
          <t>Maybelline Lash Sensational Mascara In Burgundy Brown, 9.5ml</t>
        </is>
      </c>
      <c r="C10450" t="inlineStr">
        <is>
          <t>Mascara</t>
        </is>
      </c>
      <c r="D10450" t="inlineStr">
        <is>
          <t>Maybelline</t>
        </is>
      </c>
      <c r="E10450" t="n">
        <v>8.02</v>
      </c>
      <c r="F10450" t="n">
        <v>1</v>
      </c>
      <c r="G10450" t="n">
        <v>3</v>
      </c>
      <c r="H10450" s="5">
        <f>HYPERLINK("https://api.qogita.com/variants/link/3600531608729/", "View Product")</f>
        <v/>
      </c>
    </row>
    <row r="10451">
      <c r="A10451" t="inlineStr">
        <is>
          <t>3600531609726</t>
        </is>
      </c>
      <c r="B10451" t="inlineStr">
        <is>
          <t>Maybelline Lifter Gloss Lip Gloss 004 Silk 5.4ml</t>
        </is>
      </c>
      <c r="C10451" t="inlineStr">
        <is>
          <t>Lip Gloss</t>
        </is>
      </c>
      <c r="D10451" t="inlineStr">
        <is>
          <t>Maybelline</t>
        </is>
      </c>
      <c r="E10451" t="n">
        <v>5.44</v>
      </c>
      <c r="F10451" t="n">
        <v>1</v>
      </c>
      <c r="G10451" t="n">
        <v>9</v>
      </c>
      <c r="H10451" s="5">
        <f>HYPERLINK("https://api.qogita.com/variants/link/3600531609726/", "View Product")</f>
        <v/>
      </c>
    </row>
    <row r="10452">
      <c r="A10452" t="inlineStr">
        <is>
          <t>3600531609733</t>
        </is>
      </c>
      <c r="B10452" t="inlineStr">
        <is>
          <t>Maybelline Lifter Gloss Lip Gloss 005 Petal 5.4ml</t>
        </is>
      </c>
      <c r="C10452" t="inlineStr">
        <is>
          <t>Lip Gloss</t>
        </is>
      </c>
      <c r="D10452" t="inlineStr">
        <is>
          <t>Maybelline</t>
        </is>
      </c>
      <c r="E10452" t="n">
        <v>7.79</v>
      </c>
      <c r="F10452" t="n">
        <v>1</v>
      </c>
      <c r="G10452" t="n">
        <v>6</v>
      </c>
      <c r="H10452" s="5">
        <f>HYPERLINK("https://api.qogita.com/variants/link/3600531609733/", "View Product")</f>
        <v/>
      </c>
    </row>
    <row r="10453">
      <c r="A10453" t="inlineStr">
        <is>
          <t>3600531609771</t>
        </is>
      </c>
      <c r="B10453" t="inlineStr">
        <is>
          <t>Maybelline Lifter Gloss Lip Gloss 003 Moon 5.4ml</t>
        </is>
      </c>
      <c r="C10453" t="inlineStr">
        <is>
          <t>Lip Gloss</t>
        </is>
      </c>
      <c r="D10453" t="inlineStr">
        <is>
          <t>Maybelline</t>
        </is>
      </c>
      <c r="E10453" t="n">
        <v>6.2</v>
      </c>
      <c r="F10453" t="n">
        <v>1</v>
      </c>
      <c r="G10453" t="n">
        <v>3</v>
      </c>
      <c r="H10453" s="5">
        <f>HYPERLINK("https://api.qogita.com/variants/link/3600531609771/", "View Product")</f>
        <v/>
      </c>
    </row>
    <row r="10454">
      <c r="A10454" t="inlineStr">
        <is>
          <t>3600531639525</t>
        </is>
      </c>
      <c r="B10454" t="inlineStr">
        <is>
          <t>Maybelline Instant Antiage Perfector 4in1 Matte Deep A Versatile Foundation For A Flawless Finish</t>
        </is>
      </c>
      <c r="C10454" t="inlineStr">
        <is>
          <t>Foundation</t>
        </is>
      </c>
      <c r="D10454" t="inlineStr">
        <is>
          <t>Maybelline</t>
        </is>
      </c>
      <c r="E10454" t="n">
        <v>4.61</v>
      </c>
      <c r="F10454" t="n">
        <v>1</v>
      </c>
      <c r="G10454" t="n">
        <v>5</v>
      </c>
      <c r="H10454" s="5">
        <f>HYPERLINK("https://api.qogita.com/variants/link/3600531639525/", "View Product")</f>
        <v/>
      </c>
    </row>
    <row r="10455">
      <c r="A10455" t="inlineStr">
        <is>
          <t>3600531640378</t>
        </is>
      </c>
      <c r="B10455" t="inlineStr">
        <is>
          <t>Maybelline Express Brow Satin Duo Eyebrow Pencil 01 Dark Blonde 0.71g</t>
        </is>
      </c>
      <c r="C10455" t="inlineStr">
        <is>
          <t>Eyebrow Pencil</t>
        </is>
      </c>
      <c r="D10455" t="inlineStr">
        <is>
          <t>Maybelline</t>
        </is>
      </c>
      <c r="E10455" t="n">
        <v>5.12</v>
      </c>
      <c r="F10455" t="n">
        <v>1</v>
      </c>
      <c r="G10455" t="n">
        <v>4</v>
      </c>
      <c r="H10455" s="5">
        <f>HYPERLINK("https://api.qogita.com/variants/link/3600531640378/", "View Product")</f>
        <v/>
      </c>
    </row>
    <row r="10456">
      <c r="A10456" t="inlineStr">
        <is>
          <t>3600531651213</t>
        </is>
      </c>
      <c r="B10456" t="inlineStr">
        <is>
          <t>Maybelline Lifter Gloss Moisturizing Lip Gloss 54 Ml 20 Sun</t>
        </is>
      </c>
      <c r="C10456" t="inlineStr">
        <is>
          <t>Lip Gloss</t>
        </is>
      </c>
      <c r="D10456" t="inlineStr">
        <is>
          <t>Maybelline</t>
        </is>
      </c>
      <c r="E10456" t="n">
        <v>7.79</v>
      </c>
      <c r="F10456" t="n">
        <v>1</v>
      </c>
      <c r="G10456" t="n">
        <v>2</v>
      </c>
      <c r="H10456" s="5">
        <f>HYPERLINK("https://api.qogita.com/variants/link/3600531651213/", "View Product")</f>
        <v/>
      </c>
    </row>
    <row r="10457">
      <c r="A10457" t="inlineStr">
        <is>
          <t>3600531663483</t>
        </is>
      </c>
      <c r="B10457" t="inlineStr">
        <is>
          <t>Maybelline Tattoo Liner Gel Pencil 970polished White 13g Waterproof</t>
        </is>
      </c>
      <c r="C10457" t="inlineStr">
        <is>
          <t>Eye Pencil</t>
        </is>
      </c>
      <c r="D10457" t="inlineStr">
        <is>
          <t>Maybelline</t>
        </is>
      </c>
      <c r="E10457" t="n">
        <v>6.16</v>
      </c>
      <c r="F10457" t="n">
        <v>1</v>
      </c>
      <c r="G10457" t="n">
        <v>2</v>
      </c>
      <c r="H10457" s="5">
        <f>HYPERLINK("https://api.qogita.com/variants/link/3600531663483/", "View Product")</f>
        <v/>
      </c>
    </row>
    <row r="10458">
      <c r="A10458" t="inlineStr">
        <is>
          <t>3600531668464</t>
        </is>
      </c>
      <c r="B10458" t="inlineStr">
        <is>
          <t>Maybelline Liquid Blush 08 Shades On 4.7ml</t>
        </is>
      </c>
      <c r="C10458" t="inlineStr">
        <is>
          <t>Blush</t>
        </is>
      </c>
      <c r="D10458" t="inlineStr">
        <is>
          <t>Maybelline</t>
        </is>
      </c>
      <c r="E10458" t="n">
        <v>9.140000000000001</v>
      </c>
      <c r="F10458" t="n">
        <v>1</v>
      </c>
      <c r="G10458" t="n">
        <v>3</v>
      </c>
      <c r="H10458" s="5">
        <f>HYPERLINK("https://api.qogita.com/variants/link/3600531668464/", "View Product")</f>
        <v/>
      </c>
    </row>
    <row r="10459">
      <c r="A10459" t="inlineStr">
        <is>
          <t>3600531672317</t>
        </is>
      </c>
      <c r="B10459" t="inlineStr">
        <is>
          <t>Maybelline Super Stay 24h Skin Tint Illuminating Foundation With Vitamin C 02 30ml</t>
        </is>
      </c>
      <c r="C10459" t="inlineStr">
        <is>
          <t>Foundation</t>
        </is>
      </c>
      <c r="D10459" t="inlineStr">
        <is>
          <t>Maybelline</t>
        </is>
      </c>
      <c r="E10459" t="n">
        <v>12.41</v>
      </c>
      <c r="F10459" t="n">
        <v>1</v>
      </c>
      <c r="G10459" t="n">
        <v>2</v>
      </c>
      <c r="H10459" s="5">
        <f>HYPERLINK("https://api.qogita.com/variants/link/3600531672317/", "View Product")</f>
        <v/>
      </c>
    </row>
    <row r="10460">
      <c r="A10460" t="inlineStr">
        <is>
          <t>3600531672348</t>
        </is>
      </c>
      <c r="B10460" t="inlineStr">
        <is>
          <t>Maybelline Super Stay 24h Skin Tint Illuminating Foundation With Vitamin C 05.5 30ml</t>
        </is>
      </c>
      <c r="C10460" t="inlineStr">
        <is>
          <t>Foundation</t>
        </is>
      </c>
      <c r="D10460" t="inlineStr">
        <is>
          <t>Maybelline</t>
        </is>
      </c>
      <c r="E10460" t="n">
        <v>12.41</v>
      </c>
      <c r="F10460" t="n">
        <v>1</v>
      </c>
      <c r="G10460" t="n">
        <v>3</v>
      </c>
      <c r="H10460" s="5">
        <f>HYPERLINK("https://api.qogita.com/variants/link/3600531672348/", "View Product")</f>
        <v/>
      </c>
    </row>
    <row r="10461">
      <c r="A10461" t="inlineStr">
        <is>
          <t>3600531681333</t>
        </is>
      </c>
      <c r="B10461" t="inlineStr">
        <is>
          <t>Maybelline Buildabrow 2in1 259 Ash Brown 14g</t>
        </is>
      </c>
      <c r="C10461" t="inlineStr">
        <is>
          <t>Other</t>
        </is>
      </c>
      <c r="D10461" t="inlineStr">
        <is>
          <t>Maybelline</t>
        </is>
      </c>
      <c r="E10461" t="n">
        <v>10.8</v>
      </c>
      <c r="F10461" t="n">
        <v>1</v>
      </c>
      <c r="G10461" t="n">
        <v>5</v>
      </c>
      <c r="H10461" s="5">
        <f>HYPERLINK("https://api.qogita.com/variants/link/3600531681333/", "View Product")</f>
        <v/>
      </c>
    </row>
    <row r="10462">
      <c r="A10462" t="inlineStr">
        <is>
          <t>3600531681562</t>
        </is>
      </c>
      <c r="B10462" t="inlineStr">
        <is>
          <t>Maybelline New York Tattoo Liner Gel Pencil Gel Eyeliner Moonstruck 1ml</t>
        </is>
      </c>
      <c r="C10462" t="inlineStr">
        <is>
          <t>Eyeliner</t>
        </is>
      </c>
      <c r="D10462" t="inlineStr">
        <is>
          <t>Maybelline</t>
        </is>
      </c>
      <c r="E10462" t="n">
        <v>6.67</v>
      </c>
      <c r="F10462" t="n">
        <v>1</v>
      </c>
      <c r="G10462" t="n">
        <v>3</v>
      </c>
      <c r="H10462" s="5">
        <f>HYPERLINK("https://api.qogita.com/variants/link/3600531681562/", "View Product")</f>
        <v/>
      </c>
    </row>
    <row r="10463">
      <c r="A10463" t="inlineStr">
        <is>
          <t>3600531684914</t>
        </is>
      </c>
      <c r="B10463" t="inlineStr">
        <is>
          <t>Maybelline Lasting Drama Eye Pencil In Midnight Black</t>
        </is>
      </c>
      <c r="C10463" t="inlineStr">
        <is>
          <t>Eye Pencil</t>
        </is>
      </c>
      <c r="D10463" t="inlineStr">
        <is>
          <t>Maybelline</t>
        </is>
      </c>
      <c r="E10463" t="n">
        <v>5</v>
      </c>
      <c r="F10463" t="n">
        <v>1</v>
      </c>
      <c r="G10463" t="n">
        <v>2</v>
      </c>
      <c r="H10463" s="5">
        <f>HYPERLINK("https://api.qogita.com/variants/link/3600531684914/", "View Product")</f>
        <v/>
      </c>
    </row>
    <row r="10464">
      <c r="A10464" t="inlineStr">
        <is>
          <t>3600531691936</t>
        </is>
      </c>
      <c r="B10464" t="inlineStr">
        <is>
          <t>Maybelline Super Stay 30h Lumi Matte Foundation 115 30ml</t>
        </is>
      </c>
      <c r="C10464" t="inlineStr">
        <is>
          <t>Foundation</t>
        </is>
      </c>
      <c r="D10464" t="inlineStr">
        <is>
          <t>Maybelline</t>
        </is>
      </c>
      <c r="E10464" t="n">
        <v>11.34</v>
      </c>
      <c r="F10464" t="n">
        <v>1</v>
      </c>
      <c r="G10464" t="n">
        <v>3</v>
      </c>
      <c r="H10464" s="5">
        <f>HYPERLINK("https://api.qogita.com/variants/link/3600531691936/", "View Product")</f>
        <v/>
      </c>
    </row>
    <row r="10465">
      <c r="A10465" t="inlineStr">
        <is>
          <t>3600531697402</t>
        </is>
      </c>
      <c r="B10465" t="inlineStr">
        <is>
          <t>Maybelline Sunkisser Highlighter 4.7 Ml</t>
        </is>
      </c>
      <c r="C10465" t="inlineStr">
        <is>
          <t>Highlighter</t>
        </is>
      </c>
      <c r="D10465" t="inlineStr">
        <is>
          <t>Maybelline</t>
        </is>
      </c>
      <c r="E10465" t="n">
        <v>9.140000000000001</v>
      </c>
      <c r="F10465" t="n">
        <v>1</v>
      </c>
      <c r="G10465" t="n">
        <v>8</v>
      </c>
      <c r="H10465" s="5">
        <f>HYPERLINK("https://api.qogita.com/variants/link/3600531697402/", "View Product")</f>
        <v/>
      </c>
    </row>
    <row r="10466">
      <c r="A10466" t="inlineStr">
        <is>
          <t>3600531700379</t>
        </is>
      </c>
      <c r="B10466" t="inlineStr">
        <is>
          <t>Maybelline Grippy Serum Primer 30 Ml</t>
        </is>
      </c>
      <c r="C10466" t="inlineStr">
        <is>
          <t>Hydrating Serum</t>
        </is>
      </c>
      <c r="D10466" t="inlineStr">
        <is>
          <t>Maybelline</t>
        </is>
      </c>
      <c r="E10466" t="n">
        <v>11.25</v>
      </c>
      <c r="F10466" t="n">
        <v>1</v>
      </c>
      <c r="G10466" t="n">
        <v>5</v>
      </c>
      <c r="H10466" s="5">
        <f>HYPERLINK("https://api.qogita.com/variants/link/3600531700379/", "View Product")</f>
        <v/>
      </c>
    </row>
    <row r="10467">
      <c r="A10467" t="inlineStr">
        <is>
          <t>3600531701802</t>
        </is>
      </c>
      <c r="B10467" t="inlineStr">
        <is>
          <t>Maybelline Colossal Bubble Mascara 10 Ml</t>
        </is>
      </c>
      <c r="C10467" t="inlineStr">
        <is>
          <t>Mascara</t>
        </is>
      </c>
      <c r="D10467" t="inlineStr">
        <is>
          <t>Maybelline</t>
        </is>
      </c>
      <c r="E10467" t="n">
        <v>9.35</v>
      </c>
      <c r="F10467" t="n">
        <v>1</v>
      </c>
      <c r="G10467" t="n">
        <v>29</v>
      </c>
      <c r="H10467" s="5">
        <f>HYPERLINK("https://api.qogita.com/variants/link/3600531701802/", "View Product")</f>
        <v/>
      </c>
    </row>
    <row r="10468">
      <c r="A10468" t="inlineStr">
        <is>
          <t>3600531701819</t>
        </is>
      </c>
      <c r="B10468" t="inlineStr">
        <is>
          <t>Maybelline 3 In 1 Color Tattoo 24h Eye Pencil Eye Stix 1.4 G</t>
        </is>
      </c>
      <c r="C10468" t="inlineStr">
        <is>
          <t>Eye Pencil</t>
        </is>
      </c>
      <c r="D10468" t="inlineStr">
        <is>
          <t>Maybelline</t>
        </is>
      </c>
      <c r="E10468" t="n">
        <v>9.41</v>
      </c>
      <c r="F10468" t="n">
        <v>1</v>
      </c>
      <c r="G10468" t="n">
        <v>5</v>
      </c>
      <c r="H10468" s="5">
        <f>HYPERLINK("https://api.qogita.com/variants/link/3600531701819/", "View Product")</f>
        <v/>
      </c>
    </row>
    <row r="10469">
      <c r="A10469" t="inlineStr">
        <is>
          <t>3600531701925</t>
        </is>
      </c>
      <c r="B10469" t="inlineStr">
        <is>
          <t>Maybelline Moisturizing Lip Gloss Lifter Gloss 5.4 Ml</t>
        </is>
      </c>
      <c r="C10469" t="inlineStr">
        <is>
          <t>Lip Gloss</t>
        </is>
      </c>
      <c r="D10469" t="inlineStr">
        <is>
          <t>Maybelline</t>
        </is>
      </c>
      <c r="E10469" t="n">
        <v>6.25</v>
      </c>
      <c r="F10469" t="n">
        <v>1</v>
      </c>
      <c r="G10469" t="n">
        <v>3</v>
      </c>
      <c r="H10469" s="5">
        <f>HYPERLINK("https://api.qogita.com/variants/link/3600531701925/", "View Product")</f>
        <v/>
      </c>
    </row>
    <row r="10470">
      <c r="A10470" t="inlineStr">
        <is>
          <t>3600531702229</t>
        </is>
      </c>
      <c r="B10470" t="inlineStr">
        <is>
          <t>Maybelline New York Lifter Glaze Lip Oil Balm with Hyaluronic Acid</t>
        </is>
      </c>
      <c r="C10470" t="inlineStr">
        <is>
          <t>Lip Balm</t>
        </is>
      </c>
      <c r="D10470" t="inlineStr">
        <is>
          <t>Maybelline</t>
        </is>
      </c>
      <c r="E10470" t="n">
        <v>5.69</v>
      </c>
      <c r="F10470" t="n">
        <v>1</v>
      </c>
      <c r="G10470" t="n">
        <v>8</v>
      </c>
      <c r="H10470" s="5">
        <f>HYPERLINK("https://api.qogita.com/variants/link/3600531702229/", "View Product")</f>
        <v/>
      </c>
    </row>
    <row r="10471">
      <c r="A10471" t="inlineStr">
        <is>
          <t>3600531702267</t>
        </is>
      </c>
      <c r="B10471" t="inlineStr">
        <is>
          <t>Maybelline Lifter Glaze Lip Balm 009 Latte Crush</t>
        </is>
      </c>
      <c r="C10471" t="inlineStr">
        <is>
          <t>Lip Balm</t>
        </is>
      </c>
      <c r="D10471" t="inlineStr">
        <is>
          <t>Maybelline</t>
        </is>
      </c>
      <c r="E10471" t="n">
        <v>5.69</v>
      </c>
      <c r="F10471" t="n">
        <v>1</v>
      </c>
      <c r="G10471" t="n">
        <v>10</v>
      </c>
      <c r="H10471" s="5">
        <f>HYPERLINK("https://api.qogita.com/variants/link/3600531702267/", "View Product")</f>
        <v/>
      </c>
    </row>
    <row r="10472">
      <c r="A10472" t="inlineStr">
        <is>
          <t>3600531712761</t>
        </is>
      </c>
      <c r="B10472" t="inlineStr">
        <is>
          <t>Maybelline New York Fit Me Nude BB Cream 10</t>
        </is>
      </c>
      <c r="C10472" t="inlineStr">
        <is>
          <t>Bb Cream &amp; Cc Cream</t>
        </is>
      </c>
      <c r="D10472" t="inlineStr">
        <is>
          <t>Maybelline</t>
        </is>
      </c>
      <c r="E10472" t="n">
        <v>5.69</v>
      </c>
      <c r="F10472" t="n">
        <v>1</v>
      </c>
      <c r="G10472" t="n">
        <v>6</v>
      </c>
      <c r="H10472" s="5">
        <f>HYPERLINK("https://api.qogita.com/variants/link/3600531712761/", "View Product")</f>
        <v/>
      </c>
    </row>
    <row r="10473">
      <c r="A10473" t="inlineStr">
        <is>
          <t>3600531712785</t>
        </is>
      </c>
      <c r="B10473" t="inlineStr">
        <is>
          <t>Maybelline Fit Me Bb Nude Cream Bb For Face 30 30ml</t>
        </is>
      </c>
      <c r="C10473" t="inlineStr">
        <is>
          <t>Bb Cream &amp; Cc Cream</t>
        </is>
      </c>
      <c r="D10473" t="inlineStr">
        <is>
          <t>Maybelline</t>
        </is>
      </c>
      <c r="E10473" t="n">
        <v>5.69</v>
      </c>
      <c r="F10473" t="n">
        <v>1</v>
      </c>
      <c r="G10473" t="n">
        <v>2</v>
      </c>
      <c r="H10473" s="5">
        <f>HYPERLINK("https://api.qogita.com/variants/link/3600531712785/", "View Product")</f>
        <v/>
      </c>
    </row>
    <row r="10474">
      <c r="A10474" t="inlineStr">
        <is>
          <t>3600540360724</t>
        </is>
      </c>
      <c r="B10474" t="inlineStr">
        <is>
          <t>Garnier Skin Naturals Botanical Cream 48h For Normal And Combination Skin 50ml Moisturizing Cream With Grape Extracts</t>
        </is>
      </c>
      <c r="C10474" t="inlineStr">
        <is>
          <t>Day Cream</t>
        </is>
      </c>
      <c r="D10474" t="inlineStr">
        <is>
          <t>Garnier</t>
        </is>
      </c>
      <c r="E10474" t="n">
        <v>6.7</v>
      </c>
      <c r="F10474" t="n">
        <v>1</v>
      </c>
      <c r="G10474" t="n">
        <v>16</v>
      </c>
      <c r="H10474" s="5">
        <f>HYPERLINK("https://api.qogita.com/variants/link/3600540360724/", "View Product")</f>
        <v/>
      </c>
    </row>
    <row r="10475">
      <c r="A10475" t="inlineStr">
        <is>
          <t>3600540554789</t>
        </is>
      </c>
      <c r="B10475" t="inlineStr">
        <is>
          <t>Garnier 24h Essentials Dry And Sensitive Skin Moisturizing Cream 50 Ml With Rose Water</t>
        </is>
      </c>
      <c r="C10475" t="inlineStr">
        <is>
          <t>Face Cream</t>
        </is>
      </c>
      <c r="D10475" t="inlineStr">
        <is>
          <t>Garnier</t>
        </is>
      </c>
      <c r="E10475" t="n">
        <v>6.7</v>
      </c>
      <c r="F10475" t="n">
        <v>1</v>
      </c>
      <c r="G10475" t="n">
        <v>17</v>
      </c>
      <c r="H10475" s="5">
        <f>HYPERLINK("https://api.qogita.com/variants/link/3600540554789/", "View Product")</f>
        <v/>
      </c>
    </row>
    <row r="10476">
      <c r="A10476" t="inlineStr">
        <is>
          <t>3600540705129</t>
        </is>
      </c>
      <c r="B10476" t="inlineStr">
        <is>
          <t>Garnier Essentials Sensitive Make Up Remover 2in1 200 Ml</t>
        </is>
      </c>
      <c r="C10476" t="inlineStr">
        <is>
          <t>Makeup Remover</t>
        </is>
      </c>
      <c r="D10476" t="inlineStr">
        <is>
          <t>Garnier</t>
        </is>
      </c>
      <c r="E10476" t="n">
        <v>6.08</v>
      </c>
      <c r="F10476" t="n">
        <v>1</v>
      </c>
      <c r="G10476" t="n">
        <v>14</v>
      </c>
      <c r="H10476" s="5">
        <f>HYPERLINK("https://api.qogita.com/variants/link/3600540705129/", "View Product")</f>
        <v/>
      </c>
    </row>
    <row r="10477">
      <c r="A10477" t="inlineStr">
        <is>
          <t>3600541119246</t>
        </is>
      </c>
      <c r="B10477" t="inlineStr">
        <is>
          <t>Garnier Skin Naturals BB Cream Anti Aging - 50 ml - Light</t>
        </is>
      </c>
      <c r="C10477" t="inlineStr">
        <is>
          <t>Anti-Aging Facial Care</t>
        </is>
      </c>
      <c r="D10477" t="inlineStr">
        <is>
          <t>Garnier</t>
        </is>
      </c>
      <c r="E10477" t="n">
        <v>8.300000000000001</v>
      </c>
      <c r="F10477" t="n">
        <v>1</v>
      </c>
      <c r="G10477" t="n">
        <v>16</v>
      </c>
      <c r="H10477" s="5">
        <f>HYPERLINK("https://api.qogita.com/variants/link/3600541119246/", "View Product")</f>
        <v/>
      </c>
    </row>
    <row r="10478">
      <c r="A10478" t="inlineStr">
        <is>
          <t>3600541264137</t>
        </is>
      </c>
      <c r="B10478" t="inlineStr">
        <is>
          <t>Garnier Color Naturals Creme hair color 7.40 Passionate copper 40ml</t>
        </is>
      </c>
      <c r="C10478" t="inlineStr">
        <is>
          <t>Hair Dye</t>
        </is>
      </c>
      <c r="D10478" t="inlineStr">
        <is>
          <t>Garnier</t>
        </is>
      </c>
      <c r="E10478" t="n">
        <v>3.3</v>
      </c>
      <c r="F10478" t="n">
        <v>1</v>
      </c>
      <c r="G10478" t="n">
        <v>1</v>
      </c>
      <c r="H10478" s="5">
        <f>HYPERLINK("https://api.qogita.com/variants/link/3600541264137/", "View Product")</f>
        <v/>
      </c>
    </row>
    <row r="10479">
      <c r="A10479" t="inlineStr">
        <is>
          <t>3600541970724</t>
        </is>
      </c>
      <c r="B10479" t="inlineStr">
        <is>
          <t>Fructis Pure Fresh Strengthening Shampoo</t>
        </is>
      </c>
      <c r="C10479" t="inlineStr">
        <is>
          <t>Shampoo</t>
        </is>
      </c>
      <c r="D10479" t="inlineStr">
        <is>
          <t>Garnier</t>
        </is>
      </c>
      <c r="E10479" t="n">
        <v>4.99</v>
      </c>
      <c r="F10479" t="n">
        <v>1</v>
      </c>
      <c r="G10479" t="n">
        <v>7</v>
      </c>
      <c r="H10479" s="5">
        <f>HYPERLINK("https://api.qogita.com/variants/link/3600541970724/", "View Product")</f>
        <v/>
      </c>
    </row>
    <row r="10480">
      <c r="A10480" t="inlineStr">
        <is>
          <t>3600541970847</t>
        </is>
      </c>
      <c r="B10480" t="inlineStr">
        <is>
          <t>Garnier Fructis Pure Fresh Strengthening Shampoo For Oily Hair</t>
        </is>
      </c>
      <c r="C10480" t="inlineStr">
        <is>
          <t>Shampoo</t>
        </is>
      </c>
      <c r="D10480" t="inlineStr">
        <is>
          <t>Garnier</t>
        </is>
      </c>
      <c r="E10480" t="n">
        <v>6.05</v>
      </c>
      <c r="F10480" t="n">
        <v>1</v>
      </c>
      <c r="G10480" t="n">
        <v>10</v>
      </c>
      <c r="H10480" s="5">
        <f>HYPERLINK("https://api.qogita.com/variants/link/3600541970847/", "View Product")</f>
        <v/>
      </c>
    </row>
    <row r="10481">
      <c r="A10481" t="inlineStr">
        <is>
          <t>3600542066136</t>
        </is>
      </c>
      <c r="B10481" t="inlineStr">
        <is>
          <t>Garnier Moisture Bomb Sakura Hydrating Tissue Face Mask</t>
        </is>
      </c>
      <c r="C10481" t="inlineStr">
        <is>
          <t>Sheet Mask</t>
        </is>
      </c>
      <c r="D10481" t="inlineStr">
        <is>
          <t>Garnier</t>
        </is>
      </c>
      <c r="E10481" t="n">
        <v>3.81</v>
      </c>
      <c r="F10481" t="n">
        <v>1</v>
      </c>
      <c r="G10481" t="n">
        <v>14</v>
      </c>
      <c r="H10481" s="5">
        <f>HYPERLINK("https://api.qogita.com/variants/link/3600542066136/", "View Product")</f>
        <v/>
      </c>
    </row>
    <row r="10482">
      <c r="A10482" t="inlineStr">
        <is>
          <t>3600542154840</t>
        </is>
      </c>
      <c r="B10482" t="inlineStr">
        <is>
          <t>Garnier Moisture Fresh Look Eye Tissue Mask - Orange, 6g</t>
        </is>
      </c>
      <c r="C10482" t="inlineStr">
        <is>
          <t>Sheet Mask</t>
        </is>
      </c>
      <c r="D10482" t="inlineStr">
        <is>
          <t>Garnier</t>
        </is>
      </c>
      <c r="E10482" t="n">
        <v>3.81</v>
      </c>
      <c r="F10482" t="n">
        <v>1</v>
      </c>
      <c r="G10482" t="n">
        <v>12</v>
      </c>
      <c r="H10482" s="5">
        <f>HYPERLINK("https://api.qogita.com/variants/link/3600542154840/", "View Product")</f>
        <v/>
      </c>
    </row>
    <row r="10483">
      <c r="A10483" t="inlineStr">
        <is>
          <t>3600542310390</t>
        </is>
      </c>
      <c r="B10483" t="inlineStr">
        <is>
          <t>Garnier Men Magnesium Ultra Dry Deospray Antiperspirant For Men With Magnesium 150 Ml</t>
        </is>
      </c>
      <c r="C10483" t="inlineStr">
        <is>
          <t>Deodorant &amp; Anti-Perspirant</t>
        </is>
      </c>
      <c r="D10483" t="inlineStr">
        <is>
          <t>Garnier</t>
        </is>
      </c>
      <c r="E10483" t="n">
        <v>5.15</v>
      </c>
      <c r="F10483" t="n">
        <v>1</v>
      </c>
      <c r="G10483" t="n">
        <v>5</v>
      </c>
      <c r="H10483" s="5">
        <f>HYPERLINK("https://api.qogita.com/variants/link/3600542310390/", "View Product")</f>
        <v/>
      </c>
    </row>
    <row r="10484">
      <c r="A10484" t="inlineStr">
        <is>
          <t>3600542328722</t>
        </is>
      </c>
      <c r="B10484" t="inlineStr">
        <is>
          <t>Garnier Hyaluronic Aloe Gel Wash Cleansing And Minimizing Pore 200 Ml Cleansing Gel For All Skin Types</t>
        </is>
      </c>
      <c r="C10484" t="inlineStr">
        <is>
          <t>Cleansing Gel</t>
        </is>
      </c>
      <c r="D10484" t="inlineStr">
        <is>
          <t>Garnier</t>
        </is>
      </c>
      <c r="E10484" t="n">
        <v>6.08</v>
      </c>
      <c r="F10484" t="n">
        <v>1</v>
      </c>
      <c r="G10484" t="n">
        <v>8</v>
      </c>
      <c r="H10484" s="5">
        <f>HYPERLINK("https://api.qogita.com/variants/link/3600542328722/", "View Product")</f>
        <v/>
      </c>
    </row>
    <row r="10485">
      <c r="A10485" t="inlineStr">
        <is>
          <t>3600542367899</t>
        </is>
      </c>
      <c r="B10485" t="inlineStr">
        <is>
          <t>Garnier Skin Naturals Hyaluronic Aloe Toner 200ml</t>
        </is>
      </c>
      <c r="C10485" t="inlineStr">
        <is>
          <t>Facial Spray</t>
        </is>
      </c>
      <c r="D10485" t="inlineStr">
        <is>
          <t>Garnier</t>
        </is>
      </c>
      <c r="E10485" t="n">
        <v>6.08</v>
      </c>
      <c r="F10485" t="n">
        <v>1</v>
      </c>
      <c r="G10485" t="n">
        <v>6</v>
      </c>
      <c r="H10485" s="5">
        <f>HYPERLINK("https://api.qogita.com/variants/link/3600542367899/", "View Product")</f>
        <v/>
      </c>
    </row>
    <row r="10486">
      <c r="A10486" t="inlineStr">
        <is>
          <t>3600542385329</t>
        </is>
      </c>
      <c r="B10486" t="inlineStr">
        <is>
          <t>Garnier Skin Active Ultra Hydrating Rebalancing Tissue Mask With Green Tea Extract</t>
        </is>
      </c>
      <c r="C10486" t="inlineStr">
        <is>
          <t>Sheet Mask</t>
        </is>
      </c>
      <c r="D10486" t="inlineStr">
        <is>
          <t>Garnier</t>
        </is>
      </c>
      <c r="E10486" t="n">
        <v>3.81</v>
      </c>
      <c r="F10486" t="n">
        <v>1</v>
      </c>
      <c r="G10486" t="n">
        <v>13</v>
      </c>
      <c r="H10486" s="5">
        <f>HYPERLINK("https://api.qogita.com/variants/link/3600542385329/", "View Product")</f>
        <v/>
      </c>
    </row>
    <row r="10487">
      <c r="A10487" t="inlineStr">
        <is>
          <t>3600542385336</t>
        </is>
      </c>
      <c r="B10487" t="inlineStr">
        <is>
          <t>Garnier Skin Naturals Hydra Bomb Moisturizing Face Mask with Chamomile Extract 32g</t>
        </is>
      </c>
      <c r="C10487" t="inlineStr">
        <is>
          <t>Hydrating Mask</t>
        </is>
      </c>
      <c r="D10487" t="inlineStr">
        <is>
          <t>Garnier</t>
        </is>
      </c>
      <c r="E10487" t="n">
        <v>3.81</v>
      </c>
      <c r="F10487" t="n">
        <v>1</v>
      </c>
      <c r="G10487" t="n">
        <v>15</v>
      </c>
      <c r="H10487" s="5">
        <f>HYPERLINK("https://api.qogita.com/variants/link/3600542385336/", "View Product")</f>
        <v/>
      </c>
    </row>
    <row r="10488">
      <c r="A10488" t="inlineStr">
        <is>
          <t>3600542413619</t>
        </is>
      </c>
      <c r="B10488" t="inlineStr">
        <is>
          <t>Garnier Skin Naturals Cherry Fabric Lip Mask 5g</t>
        </is>
      </c>
      <c r="C10488" t="inlineStr">
        <is>
          <t>Sheet Mask</t>
        </is>
      </c>
      <c r="D10488" t="inlineStr">
        <is>
          <t>Garnier</t>
        </is>
      </c>
      <c r="E10488" t="n">
        <v>3.81</v>
      </c>
      <c r="F10488" t="n">
        <v>1</v>
      </c>
      <c r="G10488" t="n">
        <v>14</v>
      </c>
      <c r="H10488" s="5">
        <f>HYPERLINK("https://api.qogita.com/variants/link/3600542413619/", "View Product")</f>
        <v/>
      </c>
    </row>
    <row r="10489">
      <c r="A10489" t="inlineStr">
        <is>
          <t>3600542453752</t>
        </is>
      </c>
      <c r="B10489" t="inlineStr">
        <is>
          <t>Garnier Pure Active Micellar Water With Active Carbon Purifying Jelly Water</t>
        </is>
      </c>
      <c r="C10489" t="inlineStr">
        <is>
          <t>Micellar Water</t>
        </is>
      </c>
      <c r="D10489" t="inlineStr">
        <is>
          <t>Garnier</t>
        </is>
      </c>
      <c r="E10489" t="n">
        <v>8.09</v>
      </c>
      <c r="F10489" t="n">
        <v>1</v>
      </c>
      <c r="G10489" t="n">
        <v>5</v>
      </c>
      <c r="H10489" s="5">
        <f>HYPERLINK("https://api.qogita.com/variants/link/3600542453752/", "View Product")</f>
        <v/>
      </c>
    </row>
    <row r="10490">
      <c r="A10490" t="inlineStr">
        <is>
          <t>3600542471046</t>
        </is>
      </c>
      <c r="B10490" t="inlineStr">
        <is>
          <t>Daily Moisturizing Care Skin Natural (Daily Moisturizing Care) 50 ml</t>
        </is>
      </c>
      <c r="C10490" t="inlineStr">
        <is>
          <t>Day Cream</t>
        </is>
      </c>
      <c r="D10490" t="inlineStr">
        <is>
          <t>Garnier</t>
        </is>
      </c>
      <c r="E10490" t="n">
        <v>7.33</v>
      </c>
      <c r="F10490" t="n">
        <v>1</v>
      </c>
      <c r="G10490" t="n">
        <v>13</v>
      </c>
      <c r="H10490" s="5">
        <f>HYPERLINK("https://api.qogita.com/variants/link/3600542471046/", "View Product")</f>
        <v/>
      </c>
    </row>
    <row r="10491">
      <c r="A10491" t="inlineStr">
        <is>
          <t>3600542512435</t>
        </is>
      </c>
      <c r="B10491" t="inlineStr">
        <is>
          <t>Garnier Botanic Therapy Magnetic Charcoal Cleansing Shampoo For Oily Hair With Dry Ends</t>
        </is>
      </c>
      <c r="C10491" t="inlineStr">
        <is>
          <t>Shampoo</t>
        </is>
      </c>
      <c r="D10491" t="inlineStr">
        <is>
          <t>Garnier</t>
        </is>
      </c>
      <c r="E10491" t="n">
        <v>5.72</v>
      </c>
      <c r="F10491" t="n">
        <v>1</v>
      </c>
      <c r="G10491" t="n">
        <v>5</v>
      </c>
      <c r="H10491" s="5">
        <f>HYPERLINK("https://api.qogita.com/variants/link/3600542512435/", "View Product")</f>
        <v/>
      </c>
    </row>
    <row r="10492">
      <c r="A10492" t="inlineStr">
        <is>
          <t>3600542520287</t>
        </is>
      </c>
      <c r="B10492" t="inlineStr">
        <is>
          <t>Garnier Ambre Solaire Sensitive Advanced Hypoallergenic Milk Spf50 - 175ml</t>
        </is>
      </c>
      <c r="C10492" t="inlineStr">
        <is>
          <t>Body Sun Protection</t>
        </is>
      </c>
      <c r="D10492" t="inlineStr">
        <is>
          <t>Garnier</t>
        </is>
      </c>
      <c r="E10492" t="n">
        <v>10.28</v>
      </c>
      <c r="F10492" t="n">
        <v>1</v>
      </c>
      <c r="G10492" t="n">
        <v>10</v>
      </c>
      <c r="H10492" s="5">
        <f>HYPERLINK("https://api.qogita.com/variants/link/3600542520287/", "View Product")</f>
        <v/>
      </c>
    </row>
    <row r="10493">
      <c r="A10493" t="inlineStr">
        <is>
          <t>3600542565950</t>
        </is>
      </c>
      <c r="B10493" t="inlineStr">
        <is>
          <t>Garnier Firming Body Lotion With Immediate Effect 400 Ml</t>
        </is>
      </c>
      <c r="C10493" t="inlineStr">
        <is>
          <t>Body Lotion</t>
        </is>
      </c>
      <c r="D10493" t="inlineStr">
        <is>
          <t>Garnier</t>
        </is>
      </c>
      <c r="E10493" t="n">
        <v>8.220000000000001</v>
      </c>
      <c r="F10493" t="n">
        <v>1</v>
      </c>
      <c r="G10493" t="n">
        <v>87</v>
      </c>
      <c r="H10493" s="5">
        <f>HYPERLINK("https://api.qogita.com/variants/link/3600542565950/", "View Product")</f>
        <v/>
      </c>
    </row>
    <row r="10494">
      <c r="A10494" t="inlineStr">
        <is>
          <t>3600542571746</t>
        </is>
      </c>
      <c r="B10494" t="inlineStr">
        <is>
          <t>Garnier Shampoo For Dry Wavy And Curly Hair Curls Method - 200 Ml</t>
        </is>
      </c>
      <c r="C10494" t="inlineStr">
        <is>
          <t>Shampoo</t>
        </is>
      </c>
      <c r="D10494" t="inlineStr">
        <is>
          <t>Garnier</t>
        </is>
      </c>
      <c r="E10494" t="n">
        <v>6.47</v>
      </c>
      <c r="F10494" t="n">
        <v>1</v>
      </c>
      <c r="G10494" t="n">
        <v>7</v>
      </c>
      <c r="H10494" s="5">
        <f>HYPERLINK("https://api.qogita.com/variants/link/3600542571746/", "View Product")</f>
        <v/>
      </c>
    </row>
    <row r="10495">
      <c r="A10495" t="inlineStr">
        <is>
          <t>3600542572743</t>
        </is>
      </c>
      <c r="B10495" t="inlineStr">
        <is>
          <t>Garnier Ambre Solaire Ideal Bronze Milk-In Tanning Spray SPF50 150ml</t>
        </is>
      </c>
      <c r="C10495" t="inlineStr">
        <is>
          <t>Body Sun Protection</t>
        </is>
      </c>
      <c r="D10495" t="inlineStr">
        <is>
          <t>Garnier</t>
        </is>
      </c>
      <c r="E10495" t="n">
        <v>13.87</v>
      </c>
      <c r="F10495" t="n">
        <v>1</v>
      </c>
      <c r="G10495" t="n">
        <v>5</v>
      </c>
      <c r="H10495" s="5">
        <f>HYPERLINK("https://api.qogita.com/variants/link/3600542572743/", "View Product")</f>
        <v/>
      </c>
    </row>
    <row r="10496">
      <c r="A10496" t="inlineStr">
        <is>
          <t>3600542572811</t>
        </is>
      </c>
      <c r="B10496" t="inlineStr">
        <is>
          <t>Garnier Pure Active AHA BHA Charcoal Daily Mattifying Air Cream 50ml</t>
        </is>
      </c>
      <c r="C10496" t="inlineStr">
        <is>
          <t>Day Cream</t>
        </is>
      </c>
      <c r="D10496" t="inlineStr">
        <is>
          <t>Garnier</t>
        </is>
      </c>
      <c r="E10496" t="n">
        <v>7.58</v>
      </c>
      <c r="F10496" t="n">
        <v>1</v>
      </c>
      <c r="G10496" t="n">
        <v>5</v>
      </c>
      <c r="H10496" s="5">
        <f>HYPERLINK("https://api.qogita.com/variants/link/3600542572811/", "View Product")</f>
        <v/>
      </c>
    </row>
    <row r="10497">
      <c r="A10497" t="inlineStr">
        <is>
          <t>3600542572927</t>
        </is>
      </c>
      <c r="B10497" t="inlineStr">
        <is>
          <t>Garnier Vitamin C Daily UV Invisible 40ml</t>
        </is>
      </c>
      <c r="C10497" t="inlineStr">
        <is>
          <t>Face Sun Protection</t>
        </is>
      </c>
      <c r="D10497" t="inlineStr">
        <is>
          <t>Garnier</t>
        </is>
      </c>
      <c r="E10497" t="n">
        <v>10.13</v>
      </c>
      <c r="F10497" t="n">
        <v>1</v>
      </c>
      <c r="G10497" t="n">
        <v>5</v>
      </c>
      <c r="H10497" s="5">
        <f>HYPERLINK("https://api.qogita.com/variants/link/3600542572927/", "View Product")</f>
        <v/>
      </c>
    </row>
    <row r="10498">
      <c r="A10498" t="inlineStr">
        <is>
          <t>3600542573146</t>
        </is>
      </c>
      <c r="B10498" t="inlineStr">
        <is>
          <t>Garnier Hydrocolloid Patches For Skin Imperfections Pure Active Pimple Patch - 22 Pieces</t>
        </is>
      </c>
      <c r="C10498" t="inlineStr">
        <is>
          <t>Pimple &amp; Blackhead Treatments</t>
        </is>
      </c>
      <c r="D10498" t="inlineStr">
        <is>
          <t>Garnier</t>
        </is>
      </c>
      <c r="E10498" t="n">
        <v>7.58</v>
      </c>
      <c r="F10498" t="n">
        <v>1</v>
      </c>
      <c r="G10498" t="n">
        <v>16</v>
      </c>
      <c r="H10498" s="5">
        <f>HYPERLINK("https://api.qogita.com/variants/link/3600542573146/", "View Product")</f>
        <v/>
      </c>
    </row>
    <row r="10499">
      <c r="A10499" t="inlineStr">
        <is>
          <t>3600542596688</t>
        </is>
      </c>
      <c r="B10499" t="inlineStr">
        <is>
          <t>Garnier Fructis Strength &amp; Shine Fortifying Shampoo 400ml</t>
        </is>
      </c>
      <c r="C10499" t="inlineStr">
        <is>
          <t>Shampoo</t>
        </is>
      </c>
      <c r="D10499" t="inlineStr">
        <is>
          <t>Garnier</t>
        </is>
      </c>
      <c r="E10499" t="n">
        <v>6.05</v>
      </c>
      <c r="F10499" t="n">
        <v>1</v>
      </c>
      <c r="G10499" t="n">
        <v>5</v>
      </c>
      <c r="H10499" s="5">
        <f>HYPERLINK("https://api.qogita.com/variants/link/3600542596688/", "View Product")</f>
        <v/>
      </c>
    </row>
    <row r="10500">
      <c r="A10500" t="inlineStr">
        <is>
          <t>3600542601634</t>
        </is>
      </c>
      <c r="B10500" t="inlineStr">
        <is>
          <t>Fructis Strength &amp; Shine Strengthening Shampoo - Posilující šampon pro všechny typy vlasů bez lesku a síly</t>
        </is>
      </c>
      <c r="C10500" t="inlineStr">
        <is>
          <t>Shampoo</t>
        </is>
      </c>
      <c r="D10500" t="inlineStr">
        <is>
          <t>Garnier</t>
        </is>
      </c>
      <c r="E10500" t="n">
        <v>4.99</v>
      </c>
      <c r="F10500" t="n">
        <v>1</v>
      </c>
      <c r="G10500" t="n">
        <v>2</v>
      </c>
      <c r="H10500" s="5">
        <f>HYPERLINK("https://api.qogita.com/variants/link/3600542601634/", "View Product")</f>
        <v/>
      </c>
    </row>
    <row r="10501">
      <c r="A10501" t="inlineStr">
        <is>
          <t>3600542626743</t>
        </is>
      </c>
      <c r="B10501" t="inlineStr">
        <is>
          <t>Garnier Brightening Over Make-Up Uv Mist Spf 50+ With Vitamin C, 75 Ml</t>
        </is>
      </c>
      <c r="C10501" t="inlineStr">
        <is>
          <t>Face Sun Protection</t>
        </is>
      </c>
      <c r="D10501" t="inlineStr">
        <is>
          <t>Garnier</t>
        </is>
      </c>
      <c r="E10501" t="n">
        <v>10.13</v>
      </c>
      <c r="F10501" t="n">
        <v>1</v>
      </c>
      <c r="G10501" t="n">
        <v>9</v>
      </c>
      <c r="H10501" s="5">
        <f>HYPERLINK("https://api.qogita.com/variants/link/3600542626743/", "View Product")</f>
        <v/>
      </c>
    </row>
    <row r="10502">
      <c r="A10502" t="inlineStr">
        <is>
          <t>3600542628532</t>
        </is>
      </c>
      <c r="B10502" t="inlineStr">
        <is>
          <t>Garnier Hyaluron Barrier Repair Liquid Care Essence 120 Ml</t>
        </is>
      </c>
      <c r="C10502" t="inlineStr">
        <is>
          <t>Hyaluronic Acid Serum</t>
        </is>
      </c>
      <c r="D10502" t="inlineStr">
        <is>
          <t>Garnier</t>
        </is>
      </c>
      <c r="E10502" t="n">
        <v>8.44</v>
      </c>
      <c r="F10502" t="n">
        <v>1</v>
      </c>
      <c r="G10502" t="n">
        <v>3</v>
      </c>
      <c r="H10502" s="5">
        <f>HYPERLINK("https://api.qogita.com/variants/link/3600542628532/", "View Product")</f>
        <v/>
      </c>
    </row>
    <row r="10503">
      <c r="A10503" t="inlineStr">
        <is>
          <t>3600542638807</t>
        </is>
      </c>
      <c r="B10503" t="inlineStr">
        <is>
          <t>Garnier Fructis Keratin Sleek Shampoo For Dry And Frizzy Hair - 200 Ml</t>
        </is>
      </c>
      <c r="C10503" t="inlineStr">
        <is>
          <t>Shampoo</t>
        </is>
      </c>
      <c r="D10503" t="inlineStr">
        <is>
          <t>Garnier</t>
        </is>
      </c>
      <c r="E10503" t="n">
        <v>6.47</v>
      </c>
      <c r="F10503" t="n">
        <v>1</v>
      </c>
      <c r="G10503" t="n">
        <v>8</v>
      </c>
      <c r="H10503" s="5">
        <f>HYPERLINK("https://api.qogita.com/variants/link/3600542638807/", "View Product")</f>
        <v/>
      </c>
    </row>
    <row r="10504">
      <c r="A10504" t="inlineStr">
        <is>
          <t>3600550290066</t>
        </is>
      </c>
      <c r="B10504" t="inlineStr">
        <is>
          <t>Daniel Hechter Coton Chic Eau De Toilette</t>
        </is>
      </c>
      <c r="C10504" t="inlineStr">
        <is>
          <t>Eau De Toilette</t>
        </is>
      </c>
      <c r="D10504" t="inlineStr">
        <is>
          <t>Daniel Hechter</t>
        </is>
      </c>
      <c r="E10504" t="n">
        <v>7.09</v>
      </c>
      <c r="F10504" t="n">
        <v>1</v>
      </c>
      <c r="G10504" t="n">
        <v>20</v>
      </c>
      <c r="H10504" s="5">
        <f>HYPERLINK("https://api.qogita.com/variants/link/3600550290066/", "View Product")</f>
        <v/>
      </c>
    </row>
    <row r="10505">
      <c r="A10505" t="inlineStr">
        <is>
          <t>3600550368444</t>
        </is>
      </c>
      <c r="B10505" t="inlineStr">
        <is>
          <t>Mixa Facial Makeup Remover 63ml</t>
        </is>
      </c>
      <c r="C10505" t="inlineStr">
        <is>
          <t>Micellar Water</t>
        </is>
      </c>
      <c r="D10505" t="inlineStr">
        <is>
          <t>Mixa</t>
        </is>
      </c>
      <c r="E10505" t="n">
        <v>8.09</v>
      </c>
      <c r="F10505" t="n">
        <v>1</v>
      </c>
      <c r="G10505" t="n">
        <v>9</v>
      </c>
      <c r="H10505" s="5">
        <f>HYPERLINK("https://api.qogita.com/variants/link/3600550368444/", "View Product")</f>
        <v/>
      </c>
    </row>
    <row r="10506">
      <c r="A10506" t="inlineStr">
        <is>
          <t>3600550392043</t>
        </is>
      </c>
      <c r="B10506" t="inlineStr">
        <is>
          <t>Mixa Extreme Nutrition Oil-based Rich Cream</t>
        </is>
      </c>
      <c r="C10506" t="inlineStr">
        <is>
          <t>Face Cream</t>
        </is>
      </c>
      <c r="D10506" t="inlineStr">
        <is>
          <t>Mixa</t>
        </is>
      </c>
      <c r="E10506" t="n">
        <v>8.960000000000001</v>
      </c>
      <c r="F10506" t="n">
        <v>1</v>
      </c>
      <c r="G10506" t="n">
        <v>2</v>
      </c>
      <c r="H10506" s="5">
        <f>HYPERLINK("https://api.qogita.com/variants/link/3600550392043/", "View Product")</f>
        <v/>
      </c>
    </row>
    <row r="10507">
      <c r="A10507" t="inlineStr">
        <is>
          <t>3600550793178</t>
        </is>
      </c>
      <c r="B10507" t="inlineStr">
        <is>
          <t>Daniel Hechter Collection Couture Black Eau de Parfum Spray Perfume for Men 100ml</t>
        </is>
      </c>
      <c r="C10507" t="inlineStr">
        <is>
          <t>Eau De Parfum</t>
        </is>
      </c>
      <c r="D10507" t="inlineStr">
        <is>
          <t>Daniel Hechter</t>
        </is>
      </c>
      <c r="E10507" t="n">
        <v>7.09</v>
      </c>
      <c r="F10507" t="n">
        <v>1</v>
      </c>
      <c r="G10507" t="n">
        <v>20</v>
      </c>
      <c r="H10507" s="5">
        <f>HYPERLINK("https://api.qogita.com/variants/link/3600550793178/", "View Product")</f>
        <v/>
      </c>
    </row>
    <row r="10508">
      <c r="A10508" t="inlineStr">
        <is>
          <t>3600550814262</t>
        </is>
      </c>
      <c r="B10508" t="inlineStr">
        <is>
          <t>Gloria Vanderbilt Minuit à New York EDP Spray 100ml</t>
        </is>
      </c>
      <c r="C10508" t="inlineStr">
        <is>
          <t>Eau De Parfum</t>
        </is>
      </c>
      <c r="D10508" t="inlineStr">
        <is>
          <t>Vanderbilt</t>
        </is>
      </c>
      <c r="E10508" t="n">
        <v>7.09</v>
      </c>
      <c r="F10508" t="n">
        <v>1</v>
      </c>
      <c r="G10508" t="n">
        <v>39</v>
      </c>
      <c r="H10508" s="5">
        <f>HYPERLINK("https://api.qogita.com/variants/link/3600550814262/", "View Product")</f>
        <v/>
      </c>
    </row>
    <row r="10509">
      <c r="A10509" t="inlineStr">
        <is>
          <t>3600550816587</t>
        </is>
      </c>
      <c r="B10509" t="inlineStr">
        <is>
          <t>Mixa for Women 50ml</t>
        </is>
      </c>
      <c r="C10509" t="inlineStr">
        <is>
          <t>Acne</t>
        </is>
      </c>
      <c r="D10509" t="inlineStr">
        <is>
          <t>Mixa</t>
        </is>
      </c>
      <c r="E10509" t="n">
        <v>8.43</v>
      </c>
      <c r="F10509" t="n">
        <v>1</v>
      </c>
      <c r="G10509" t="n">
        <v>12</v>
      </c>
      <c r="H10509" s="5">
        <f>HYPERLINK("https://api.qogita.com/variants/link/3600550816587/", "View Product")</f>
        <v/>
      </c>
    </row>
    <row r="10510">
      <c r="A10510" t="inlineStr">
        <is>
          <t>3600550826272</t>
        </is>
      </c>
      <c r="B10510" t="inlineStr">
        <is>
          <t>Sensitive Skin Expert Intensive Hydration 50ml</t>
        </is>
      </c>
      <c r="C10510" t="inlineStr">
        <is>
          <t>Face Cream</t>
        </is>
      </c>
      <c r="D10510" t="inlineStr">
        <is>
          <t>Mixa</t>
        </is>
      </c>
      <c r="E10510" t="n">
        <v>8.960000000000001</v>
      </c>
      <c r="F10510" t="n">
        <v>1</v>
      </c>
      <c r="G10510" t="n">
        <v>15</v>
      </c>
      <c r="H10510" s="5">
        <f>HYPERLINK("https://api.qogita.com/variants/link/3600550826272/", "View Product")</f>
        <v/>
      </c>
    </row>
    <row r="10511">
      <c r="A10511" t="inlineStr">
        <is>
          <t>3600550894004</t>
        </is>
      </c>
      <c r="B10511" t="inlineStr">
        <is>
          <t>Mixa Panthenol Comfort Body Milk 400ml</t>
        </is>
      </c>
      <c r="C10511" t="inlineStr">
        <is>
          <t>Body Lotion</t>
        </is>
      </c>
      <c r="D10511" t="inlineStr">
        <is>
          <t>Mixa</t>
        </is>
      </c>
      <c r="E10511" t="n">
        <v>8.18</v>
      </c>
      <c r="F10511" t="n">
        <v>1</v>
      </c>
      <c r="G10511" t="n">
        <v>3</v>
      </c>
      <c r="H10511" s="5">
        <f>HYPERLINK("https://api.qogita.com/variants/link/3600550894004/", "View Product")</f>
        <v/>
      </c>
    </row>
    <row r="10512">
      <c r="A10512" t="inlineStr">
        <is>
          <t>3600550934915</t>
        </is>
      </c>
      <c r="B10512" t="inlineStr">
        <is>
          <t>Intense Hydrating Day Cream Hyalurogel Rich Cream 50ml</t>
        </is>
      </c>
      <c r="C10512" t="inlineStr">
        <is>
          <t>Day Cream</t>
        </is>
      </c>
      <c r="D10512" t="inlineStr">
        <is>
          <t>Mixa</t>
        </is>
      </c>
      <c r="E10512" t="n">
        <v>8.960000000000001</v>
      </c>
      <c r="F10512" t="n">
        <v>1</v>
      </c>
      <c r="G10512" t="n">
        <v>34</v>
      </c>
      <c r="H10512" s="5">
        <f>HYPERLINK("https://api.qogita.com/variants/link/3600550934915/", "View Product")</f>
        <v/>
      </c>
    </row>
    <row r="10513">
      <c r="A10513" t="inlineStr">
        <is>
          <t>3600551049878</t>
        </is>
      </c>
      <c r="B10513" t="inlineStr">
        <is>
          <t>Mixa Brand Serum Ideal for Unisex Adults</t>
        </is>
      </c>
      <c r="C10513" t="inlineStr">
        <is>
          <t>Hydrating Serum</t>
        </is>
      </c>
      <c r="D10513" t="inlineStr">
        <is>
          <t>Mixa</t>
        </is>
      </c>
      <c r="E10513" t="n">
        <v>8.67</v>
      </c>
      <c r="F10513" t="n">
        <v>1</v>
      </c>
      <c r="G10513" t="n">
        <v>3</v>
      </c>
      <c r="H10513" s="5">
        <f>HYPERLINK("https://api.qogita.com/variants/link/3600551049878/", "View Product")</f>
        <v/>
      </c>
    </row>
    <row r="10514">
      <c r="A10514" t="inlineStr">
        <is>
          <t>3600551060330</t>
        </is>
      </c>
      <c r="B10514" t="inlineStr">
        <is>
          <t>Gloria Vanderbilt Miss Vanderbilt Eau De Toilette 100ml For Women</t>
        </is>
      </c>
      <c r="C10514" t="inlineStr">
        <is>
          <t>Eau De Toilette</t>
        </is>
      </c>
      <c r="D10514" t="inlineStr">
        <is>
          <t>Gloria Vanderbilt</t>
        </is>
      </c>
      <c r="E10514" t="n">
        <v>7.55</v>
      </c>
      <c r="F10514" t="n">
        <v>1</v>
      </c>
      <c r="G10514" t="n">
        <v>2</v>
      </c>
      <c r="H10514" s="5">
        <f>HYPERLINK("https://api.qogita.com/variants/link/3600551060330/", "View Product")</f>
        <v/>
      </c>
    </row>
    <row r="10515">
      <c r="A10515" t="inlineStr">
        <is>
          <t>3600551135915</t>
        </is>
      </c>
      <c r="B10515" t="inlineStr">
        <is>
          <t>Mixa Urea Cica Repair Renewing Cream For Very Dry And Rough Skin 400 Ml</t>
        </is>
      </c>
      <c r="C10515" t="inlineStr">
        <is>
          <t>Body Lotion</t>
        </is>
      </c>
      <c r="D10515" t="inlineStr">
        <is>
          <t>Mixa</t>
        </is>
      </c>
      <c r="E10515" t="n">
        <v>9.02</v>
      </c>
      <c r="F10515" t="n">
        <v>1</v>
      </c>
      <c r="G10515" t="n">
        <v>29</v>
      </c>
      <c r="H10515" s="5">
        <f>HYPERLINK("https://api.qogita.com/variants/link/3600551135915/", "View Product")</f>
        <v/>
      </c>
    </row>
    <row r="10516">
      <c r="A10516" t="inlineStr">
        <is>
          <t>3600551135984</t>
        </is>
      </c>
      <c r="B10516" t="inlineStr">
        <is>
          <t>Ceramide Protect Hand Cream for Dry Skin 100 ml</t>
        </is>
      </c>
      <c r="C10516" t="inlineStr">
        <is>
          <t>Hand Cream</t>
        </is>
      </c>
      <c r="D10516" t="inlineStr">
        <is>
          <t>Mixa</t>
        </is>
      </c>
      <c r="E10516" t="n">
        <v>4.97</v>
      </c>
      <c r="F10516" t="n">
        <v>1</v>
      </c>
      <c r="G10516" t="n">
        <v>10</v>
      </c>
      <c r="H10516" s="5">
        <f>HYPERLINK("https://api.qogita.com/variants/link/3600551135984/", "View Product")</f>
        <v/>
      </c>
    </row>
    <row r="10517">
      <c r="A10517" t="inlineStr">
        <is>
          <t>3600551136011</t>
        </is>
      </c>
      <c r="B10517" t="inlineStr">
        <is>
          <t>Ceramide Protect Body Lotion</t>
        </is>
      </c>
      <c r="C10517" t="inlineStr">
        <is>
          <t>Body Lotion</t>
        </is>
      </c>
      <c r="D10517" t="inlineStr">
        <is>
          <t>Ceramide</t>
        </is>
      </c>
      <c r="E10517" t="n">
        <v>9.02</v>
      </c>
      <c r="F10517" t="n">
        <v>1</v>
      </c>
      <c r="G10517" t="n">
        <v>10</v>
      </c>
      <c r="H10517" s="5">
        <f>HYPERLINK("https://api.qogita.com/variants/link/3600551136011/", "View Product")</f>
        <v/>
      </c>
    </row>
    <row r="10518">
      <c r="A10518" t="inlineStr">
        <is>
          <t>3600551158372</t>
        </is>
      </c>
      <c r="B10518" t="inlineStr">
        <is>
          <t>Mixa Anti-Imperfection Comfort Cleanser</t>
        </is>
      </c>
      <c r="C10518" t="inlineStr">
        <is>
          <t>Cleansing Gel</t>
        </is>
      </c>
      <c r="D10518" t="inlineStr">
        <is>
          <t>Mixa</t>
        </is>
      </c>
      <c r="E10518" t="n">
        <v>7.24</v>
      </c>
      <c r="F10518" t="n">
        <v>1</v>
      </c>
      <c r="G10518" t="n">
        <v>10</v>
      </c>
      <c r="H10518" s="5">
        <f>HYPERLINK("https://api.qogita.com/variants/link/3600551158372/", "View Product")</f>
        <v/>
      </c>
    </row>
    <row r="10519">
      <c r="A10519" t="inlineStr">
        <is>
          <t>3600551158419</t>
        </is>
      </c>
      <c r="B10519" t="inlineStr">
        <is>
          <t>Mixa Lab Hydra Comfort Face Wash Gel Against Dryness With Hyaluronic Acid And Squalane 150ml</t>
        </is>
      </c>
      <c r="C10519" t="inlineStr">
        <is>
          <t>Cleansing Gel</t>
        </is>
      </c>
      <c r="D10519" t="inlineStr">
        <is>
          <t>Mixa</t>
        </is>
      </c>
      <c r="E10519" t="n">
        <v>7.24</v>
      </c>
      <c r="F10519" t="n">
        <v>1</v>
      </c>
      <c r="G10519" t="n">
        <v>13</v>
      </c>
      <c r="H10519" s="5">
        <f>HYPERLINK("https://api.qogita.com/variants/link/3600551158419/", "View Product")</f>
        <v/>
      </c>
    </row>
    <row r="10520">
      <c r="A10520" t="inlineStr">
        <is>
          <t>3605520380259</t>
        </is>
      </c>
      <c r="B10520" t="inlineStr">
        <is>
          <t>Giorgio Armani Diamonds Woman Eau De Parfum Spray 50ml</t>
        </is>
      </c>
      <c r="C10520" t="inlineStr">
        <is>
          <t>Eau De Parfum</t>
        </is>
      </c>
      <c r="D10520" t="inlineStr">
        <is>
          <t>Giorgio Armani</t>
        </is>
      </c>
      <c r="E10520" t="n">
        <v>35.8</v>
      </c>
      <c r="F10520" t="n">
        <v>1</v>
      </c>
      <c r="G10520" t="n">
        <v>16</v>
      </c>
      <c r="H10520" s="5">
        <f>HYPERLINK("https://api.qogita.com/variants/link/3605520380259/", "View Product")</f>
        <v/>
      </c>
    </row>
    <row r="10521">
      <c r="A10521" t="inlineStr">
        <is>
          <t>3605520680014</t>
        </is>
      </c>
      <c r="B10521" t="inlineStr">
        <is>
          <t>Diesel Only The Brave For Man Eau De Toilette Spray 50ml</t>
        </is>
      </c>
      <c r="C10521" t="inlineStr">
        <is>
          <t>Eau De Toilette</t>
        </is>
      </c>
      <c r="D10521" t="inlineStr">
        <is>
          <t>Diesel</t>
        </is>
      </c>
      <c r="E10521" t="n">
        <v>24.8</v>
      </c>
      <c r="F10521" t="n">
        <v>1</v>
      </c>
      <c r="G10521" t="n">
        <v>15</v>
      </c>
      <c r="H10521" s="5">
        <f>HYPERLINK("https://api.qogita.com/variants/link/3605520680014/", "View Product")</f>
        <v/>
      </c>
    </row>
    <row r="10522">
      <c r="A10522" t="inlineStr">
        <is>
          <t>3605520983979</t>
        </is>
      </c>
      <c r="B10522" t="inlineStr">
        <is>
          <t>Viktor&amp;Rolf Flowerbomb Eau De Parfum Spray 20ml</t>
        </is>
      </c>
      <c r="C10522" t="inlineStr">
        <is>
          <t>Eau De Parfum</t>
        </is>
      </c>
      <c r="D10522" t="inlineStr">
        <is>
          <t>Viktor &amp; Rolf</t>
        </is>
      </c>
      <c r="E10522" t="n">
        <v>25.07</v>
      </c>
      <c r="F10522" t="n">
        <v>1</v>
      </c>
      <c r="G10522" t="n">
        <v>11</v>
      </c>
      <c r="H10522" s="5">
        <f>HYPERLINK("https://api.qogita.com/variants/link/3605520983979/", "View Product")</f>
        <v/>
      </c>
    </row>
    <row r="10523">
      <c r="A10523" t="inlineStr">
        <is>
          <t>3605521515346</t>
        </is>
      </c>
      <c r="B10523" t="inlineStr">
        <is>
          <t>Viktor &amp; Rolf Spicebomb Eau De Toilette Spray 90ml</t>
        </is>
      </c>
      <c r="C10523" t="inlineStr">
        <is>
          <t>Eau De Toilette</t>
        </is>
      </c>
      <c r="D10523" t="inlineStr">
        <is>
          <t>Viktor &amp; Rolf</t>
        </is>
      </c>
      <c r="E10523" t="n">
        <v>72.5</v>
      </c>
      <c r="F10523" t="n">
        <v>1</v>
      </c>
      <c r="G10523" t="n">
        <v>7</v>
      </c>
      <c r="H10523" s="5">
        <f>HYPERLINK("https://api.qogita.com/variants/link/3605521515346/", "View Product")</f>
        <v/>
      </c>
    </row>
    <row r="10524">
      <c r="A10524" t="inlineStr">
        <is>
          <t>3605521544353</t>
        </is>
      </c>
      <c r="B10524" t="inlineStr">
        <is>
          <t>Giorgio Armani Armani Eau Pour Homme Eau De Toilette 100ml Men Spray</t>
        </is>
      </c>
      <c r="C10524" t="inlineStr">
        <is>
          <t>Eau De Toilette</t>
        </is>
      </c>
      <c r="D10524" t="inlineStr">
        <is>
          <t>Giorgio Armani</t>
        </is>
      </c>
      <c r="E10524" t="n">
        <v>99.97</v>
      </c>
      <c r="F10524" t="n">
        <v>1</v>
      </c>
      <c r="G10524" t="n">
        <v>7</v>
      </c>
      <c r="H10524" s="5">
        <f>HYPERLINK("https://api.qogita.com/variants/link/3605521544353/", "View Product")</f>
        <v/>
      </c>
    </row>
    <row r="10525">
      <c r="A10525" t="inlineStr">
        <is>
          <t>3605521590060</t>
        </is>
      </c>
      <c r="B10525" t="inlineStr">
        <is>
          <t>Giorgio Armani Waterproof Smooth Silk Eye Pencil 12 G Black</t>
        </is>
      </c>
      <c r="C10525" t="inlineStr">
        <is>
          <t>Eye Pencil</t>
        </is>
      </c>
      <c r="D10525" t="inlineStr">
        <is>
          <t>Giorgio Armani</t>
        </is>
      </c>
      <c r="E10525" t="n">
        <v>23.74</v>
      </c>
      <c r="F10525" t="n">
        <v>1</v>
      </c>
      <c r="G10525" t="n">
        <v>9</v>
      </c>
      <c r="H10525" s="5">
        <f>HYPERLINK("https://api.qogita.com/variants/link/3605521590060/", "View Product")</f>
        <v/>
      </c>
    </row>
    <row r="10526">
      <c r="A10526" t="inlineStr">
        <is>
          <t>3605521816511</t>
        </is>
      </c>
      <c r="B10526" t="inlineStr">
        <is>
          <t>Giorgio Armani Armani S Eau De Parfum 30ml For Women</t>
        </is>
      </c>
      <c r="C10526" t="inlineStr">
        <is>
          <t>Eau De Parfum</t>
        </is>
      </c>
      <c r="D10526" t="inlineStr">
        <is>
          <t>Giorgio Armani</t>
        </is>
      </c>
      <c r="E10526" t="n">
        <v>51.39</v>
      </c>
      <c r="F10526" t="n">
        <v>1</v>
      </c>
      <c r="G10526" t="n">
        <v>7</v>
      </c>
      <c r="H10526" s="5">
        <f>HYPERLINK("https://api.qogita.com/variants/link/3605521816511/", "View Product")</f>
        <v/>
      </c>
    </row>
    <row r="10527">
      <c r="A10527" t="inlineStr">
        <is>
          <t>3605521816658</t>
        </is>
      </c>
      <c r="B10527" t="inlineStr">
        <is>
          <t>Giorgio Armani Si Eau De Parfum 100ml For Women</t>
        </is>
      </c>
      <c r="C10527" t="inlineStr">
        <is>
          <t>Eau De Parfum</t>
        </is>
      </c>
      <c r="D10527" t="inlineStr">
        <is>
          <t>Giorgio Armani</t>
        </is>
      </c>
      <c r="E10527" t="n">
        <v>84.02</v>
      </c>
      <c r="F10527" t="n">
        <v>1</v>
      </c>
      <c r="G10527" t="n">
        <v>19</v>
      </c>
      <c r="H10527" s="5">
        <f>HYPERLINK("https://api.qogita.com/variants/link/3605521816658/", "View Product")</f>
        <v/>
      </c>
    </row>
    <row r="10528">
      <c r="A10528" t="inlineStr">
        <is>
          <t>3605521932464</t>
        </is>
      </c>
      <c r="B10528" t="inlineStr">
        <is>
          <t>Maison Margiela Replica Lazy Sunday Morning Eau De Toilette 100ml Women Spray</t>
        </is>
      </c>
      <c r="C10528" t="inlineStr">
        <is>
          <t>Eau De Toilette</t>
        </is>
      </c>
      <c r="D10528" t="inlineStr">
        <is>
          <t>Maison Margiela</t>
        </is>
      </c>
      <c r="E10528" t="n">
        <v>80.06999999999999</v>
      </c>
      <c r="F10528" t="n">
        <v>1</v>
      </c>
      <c r="G10528" t="n">
        <v>45</v>
      </c>
      <c r="H10528" s="5">
        <f>HYPERLINK("https://api.qogita.com/variants/link/3605521932464/", "View Product")</f>
        <v/>
      </c>
    </row>
    <row r="10529">
      <c r="A10529" t="inlineStr">
        <is>
          <t>3605522040281</t>
        </is>
      </c>
      <c r="B10529" t="inlineStr">
        <is>
          <t>Armani Giorgio Armani Stronger With You Eau De Toilette 50ml</t>
        </is>
      </c>
      <c r="C10529" t="inlineStr">
        <is>
          <t>Eau De Toilette</t>
        </is>
      </c>
      <c r="D10529" t="inlineStr">
        <is>
          <t>Armani</t>
        </is>
      </c>
      <c r="E10529" t="n">
        <v>52.69</v>
      </c>
      <c r="F10529" t="n">
        <v>1</v>
      </c>
      <c r="G10529" t="n">
        <v>67</v>
      </c>
      <c r="H10529" s="5">
        <f>HYPERLINK("https://api.qogita.com/variants/link/3605522040281/", "View Product")</f>
        <v/>
      </c>
    </row>
    <row r="10530">
      <c r="A10530" t="inlineStr">
        <is>
          <t>3605522052826</t>
        </is>
      </c>
      <c r="B10530" t="inlineStr">
        <is>
          <t>Diesel Bad Eau De Toilette Spray 50ml</t>
        </is>
      </c>
      <c r="C10530" t="inlineStr">
        <is>
          <t>Eau De Toilette</t>
        </is>
      </c>
      <c r="D10530" t="inlineStr">
        <is>
          <t>Diesel</t>
        </is>
      </c>
      <c r="E10530" t="n">
        <v>23.41</v>
      </c>
      <c r="F10530" t="n">
        <v>1</v>
      </c>
      <c r="G10530" t="n">
        <v>14</v>
      </c>
      <c r="H10530" s="5">
        <f>HYPERLINK("https://api.qogita.com/variants/link/3605522052826/", "View Product")</f>
        <v/>
      </c>
    </row>
    <row r="10531">
      <c r="A10531" t="inlineStr">
        <is>
          <t>3605532612768</t>
        </is>
      </c>
      <c r="B10531" t="inlineStr">
        <is>
          <t>Lancme La Vie Est Belle Eau De Parfum 50ml Spray</t>
        </is>
      </c>
      <c r="C10531" t="inlineStr">
        <is>
          <t>Eau De Parfum</t>
        </is>
      </c>
      <c r="D10531" t="inlineStr">
        <is>
          <t>Lancôme</t>
        </is>
      </c>
      <c r="E10531" t="n">
        <v>62.23</v>
      </c>
      <c r="F10531" t="n">
        <v>1</v>
      </c>
      <c r="G10531" t="n">
        <v>5</v>
      </c>
      <c r="H10531" s="5">
        <f>HYPERLINK("https://api.qogita.com/variants/link/3605532612768/", "View Product")</f>
        <v/>
      </c>
    </row>
    <row r="10532">
      <c r="A10532" t="inlineStr">
        <is>
          <t>3605533315224</t>
        </is>
      </c>
      <c r="B10532" t="inlineStr">
        <is>
          <t>Lancme La Nuit Trsor Eau De Parfum 50ml Women's Fragrance</t>
        </is>
      </c>
      <c r="C10532" t="inlineStr">
        <is>
          <t>Eau De Parfum</t>
        </is>
      </c>
      <c r="D10532" t="inlineStr">
        <is>
          <t>Lancôme</t>
        </is>
      </c>
      <c r="E10532" t="n">
        <v>65.97</v>
      </c>
      <c r="F10532" t="n">
        <v>1</v>
      </c>
      <c r="G10532" t="n">
        <v>5</v>
      </c>
      <c r="H10532" s="5">
        <f>HYPERLINK("https://api.qogita.com/variants/link/3605533315224/", "View Product")</f>
        <v/>
      </c>
    </row>
    <row r="10533">
      <c r="A10533" t="inlineStr">
        <is>
          <t>3605533315347</t>
        </is>
      </c>
      <c r="B10533" t="inlineStr">
        <is>
          <t>Lancome La Nuit Tresor EDP Spray 75ml</t>
        </is>
      </c>
      <c r="C10533" t="inlineStr">
        <is>
          <t>Eau De Parfum</t>
        </is>
      </c>
      <c r="D10533" t="inlineStr">
        <is>
          <t>Lancôme</t>
        </is>
      </c>
      <c r="E10533" t="n">
        <v>87.78</v>
      </c>
      <c r="F10533" t="n">
        <v>1</v>
      </c>
      <c r="G10533" t="n">
        <v>5</v>
      </c>
      <c r="H10533" s="5">
        <f>HYPERLINK("https://api.qogita.com/variants/link/3605533315347/", "View Product")</f>
        <v/>
      </c>
    </row>
    <row r="10534">
      <c r="A10534" t="inlineStr">
        <is>
          <t>3605540569542</t>
        </is>
      </c>
      <c r="B10534" t="inlineStr">
        <is>
          <t>Biotherm Moisturizing Lip Balm 13ml</t>
        </is>
      </c>
      <c r="C10534" t="inlineStr">
        <is>
          <t>Medicated Treatments</t>
        </is>
      </c>
      <c r="D10534" t="inlineStr">
        <is>
          <t>Biotherm</t>
        </is>
      </c>
      <c r="E10534" t="n">
        <v>9.66</v>
      </c>
      <c r="F10534" t="n">
        <v>1</v>
      </c>
      <c r="G10534" t="n">
        <v>9</v>
      </c>
      <c r="H10534" s="5">
        <f>HYPERLINK("https://api.qogita.com/variants/link/3605540569542/", "View Product")</f>
        <v/>
      </c>
    </row>
    <row r="10535">
      <c r="A10535" t="inlineStr">
        <is>
          <t>3605540596951</t>
        </is>
      </c>
      <c r="B10535" t="inlineStr">
        <is>
          <t>Biotherm Homme Day Control Deodorant Natural Protect 24h Rollon 75ml</t>
        </is>
      </c>
      <c r="C10535" t="inlineStr">
        <is>
          <t>Deodorant &amp; Anti-Perspirant</t>
        </is>
      </c>
      <c r="D10535" t="inlineStr">
        <is>
          <t>Biotherm</t>
        </is>
      </c>
      <c r="E10535" t="n">
        <v>17.84</v>
      </c>
      <c r="F10535" t="n">
        <v>1</v>
      </c>
      <c r="G10535" t="n">
        <v>5</v>
      </c>
      <c r="H10535" s="5">
        <f>HYPERLINK("https://api.qogita.com/variants/link/3605540596951/", "View Product")</f>
        <v/>
      </c>
    </row>
    <row r="10536">
      <c r="A10536" t="inlineStr">
        <is>
          <t>3605540669099</t>
        </is>
      </c>
      <c r="B10536" t="inlineStr">
        <is>
          <t>Biotherm Vitaminee Eau de Toilette Spray for Women 50g</t>
        </is>
      </c>
      <c r="C10536" t="inlineStr">
        <is>
          <t>Eau De Toilette</t>
        </is>
      </c>
      <c r="D10536" t="inlineStr">
        <is>
          <t>Biotherm</t>
        </is>
      </c>
      <c r="E10536" t="n">
        <v>24.11</v>
      </c>
      <c r="F10536" t="n">
        <v>1</v>
      </c>
      <c r="G10536" t="n">
        <v>2</v>
      </c>
      <c r="H10536" s="5">
        <f>HYPERLINK("https://api.qogita.com/variants/link/3605540669099/", "View Product")</f>
        <v/>
      </c>
    </row>
    <row r="10537">
      <c r="A10537" t="inlineStr">
        <is>
          <t>3605540936931</t>
        </is>
      </c>
      <c r="B10537" t="inlineStr">
        <is>
          <t>Biotherm Homme Force Supreme Eye Serum Rejuvenating Eye Serum For Men 15 Ml</t>
        </is>
      </c>
      <c r="C10537" t="inlineStr">
        <is>
          <t>Eye Serum</t>
        </is>
      </c>
      <c r="D10537" t="inlineStr">
        <is>
          <t>Biotherm</t>
        </is>
      </c>
      <c r="E10537" t="n">
        <v>44.93</v>
      </c>
      <c r="F10537" t="n">
        <v>1</v>
      </c>
      <c r="G10537" t="n">
        <v>5</v>
      </c>
      <c r="H10537" s="5">
        <f>HYPERLINK("https://api.qogita.com/variants/link/3605540936931/", "View Product")</f>
        <v/>
      </c>
    </row>
    <row r="10538">
      <c r="A10538" t="inlineStr">
        <is>
          <t>3605970202637</t>
        </is>
      </c>
      <c r="B10538" t="inlineStr">
        <is>
          <t>Clearly Corrective Dark Spot Solution 30ml</t>
        </is>
      </c>
      <c r="C10538" t="inlineStr">
        <is>
          <t>Anti-Pigmentation Spot Cream</t>
        </is>
      </c>
      <c r="D10538" t="inlineStr">
        <is>
          <t>Kiehl's</t>
        </is>
      </c>
      <c r="E10538" t="n">
        <v>54.54</v>
      </c>
      <c r="F10538" t="n">
        <v>1</v>
      </c>
      <c r="G10538" t="n">
        <v>4</v>
      </c>
      <c r="H10538" s="5">
        <f>HYPERLINK("https://api.qogita.com/variants/link/3605970202637/", "View Product")</f>
        <v/>
      </c>
    </row>
    <row r="10539">
      <c r="A10539" t="inlineStr">
        <is>
          <t>3605970416003</t>
        </is>
      </c>
      <c r="B10539" t="inlineStr">
        <is>
          <t>Ralph Lauren Polo Red Eau De Toilette Spray 125ml</t>
        </is>
      </c>
      <c r="C10539" t="inlineStr">
        <is>
          <t>Eau De Toilette</t>
        </is>
      </c>
      <c r="D10539" t="inlineStr">
        <is>
          <t>Ralph Lauren</t>
        </is>
      </c>
      <c r="E10539" t="n">
        <v>31.57</v>
      </c>
      <c r="F10539" t="n">
        <v>1</v>
      </c>
      <c r="G10539" t="n">
        <v>68</v>
      </c>
      <c r="H10539" s="5">
        <f>HYPERLINK("https://api.qogita.com/variants/link/3605970416003/", "View Product")</f>
        <v/>
      </c>
    </row>
    <row r="10540">
      <c r="A10540" t="inlineStr">
        <is>
          <t>3605970989033</t>
        </is>
      </c>
      <c r="B10540" t="inlineStr">
        <is>
          <t>Kiehl's Dermatologist Solutions Breakout Control Blemish Treatment Facial Lotion 60 Ml</t>
        </is>
      </c>
      <c r="C10540" t="inlineStr">
        <is>
          <t>Pimple &amp; Blackhead Treatments</t>
        </is>
      </c>
      <c r="D10540" t="inlineStr">
        <is>
          <t>Kiehl's</t>
        </is>
      </c>
      <c r="E10540" t="n">
        <v>44.41</v>
      </c>
      <c r="F10540" t="n">
        <v>1</v>
      </c>
      <c r="G10540" t="n">
        <v>6</v>
      </c>
      <c r="H10540" s="5">
        <f>HYPERLINK("https://api.qogita.com/variants/link/3605970989033/", "View Product")</f>
        <v/>
      </c>
    </row>
    <row r="10541">
      <c r="A10541" t="inlineStr">
        <is>
          <t>3605971613401</t>
        </is>
      </c>
      <c r="B10541" t="inlineStr">
        <is>
          <t>Kiehl's Ultra Light Daily UV Defense SPF 50 with Pollution Sun Cream 30ml</t>
        </is>
      </c>
      <c r="C10541" t="inlineStr">
        <is>
          <t>Face Sun Protection</t>
        </is>
      </c>
      <c r="D10541" t="inlineStr">
        <is>
          <t>Kiehl's</t>
        </is>
      </c>
      <c r="E10541" t="n">
        <v>33.51</v>
      </c>
      <c r="F10541" t="n">
        <v>1</v>
      </c>
      <c r="G10541" t="n">
        <v>4</v>
      </c>
      <c r="H10541" s="5">
        <f>HYPERLINK("https://api.qogita.com/variants/link/3605971613401/", "View Product")</f>
        <v/>
      </c>
    </row>
    <row r="10542">
      <c r="A10542" t="inlineStr">
        <is>
          <t>3605972696984</t>
        </is>
      </c>
      <c r="B10542" t="inlineStr">
        <is>
          <t>Ralph Lauren Polo Blue Parfum Spray 125ml</t>
        </is>
      </c>
      <c r="C10542" t="inlineStr">
        <is>
          <t>Eau De Parfum</t>
        </is>
      </c>
      <c r="D10542" t="inlineStr">
        <is>
          <t>Ralph Lauren</t>
        </is>
      </c>
      <c r="E10542" t="n">
        <v>56.45</v>
      </c>
      <c r="F10542" t="n">
        <v>1</v>
      </c>
      <c r="G10542" t="n">
        <v>9</v>
      </c>
      <c r="H10542" s="5">
        <f>HYPERLINK("https://api.qogita.com/variants/link/3605972696984/", "View Product")</f>
        <v/>
      </c>
    </row>
    <row r="10543">
      <c r="A10543" t="inlineStr">
        <is>
          <t>3605972768919</t>
        </is>
      </c>
      <c r="B10543" t="inlineStr">
        <is>
          <t>Ralph Lauren Polo Red Parfum Spray 125ml</t>
        </is>
      </c>
      <c r="C10543" t="inlineStr">
        <is>
          <t>Eau De Parfum</t>
        </is>
      </c>
      <c r="D10543" t="inlineStr">
        <is>
          <t>Ralph Lauren</t>
        </is>
      </c>
      <c r="E10543" t="n">
        <v>57.61</v>
      </c>
      <c r="F10543" t="n">
        <v>1</v>
      </c>
      <c r="G10543" t="n">
        <v>13</v>
      </c>
      <c r="H10543" s="5">
        <f>HYPERLINK("https://api.qogita.com/variants/link/3605972768919/", "View Product")</f>
        <v/>
      </c>
    </row>
    <row r="10544">
      <c r="A10544" t="inlineStr">
        <is>
          <t>3605972789150</t>
        </is>
      </c>
      <c r="B10544" t="inlineStr">
        <is>
          <t>Urban Decay 247 Inks Easy Ergonomic Liquid Eyeliner Pen 028 G</t>
        </is>
      </c>
      <c r="C10544" t="inlineStr">
        <is>
          <t>Eyeliner</t>
        </is>
      </c>
      <c r="D10544" t="inlineStr">
        <is>
          <t>Urban Decay</t>
        </is>
      </c>
      <c r="E10544" t="n">
        <v>25.7</v>
      </c>
      <c r="F10544" t="n">
        <v>1</v>
      </c>
      <c r="G10544" t="n">
        <v>4</v>
      </c>
      <c r="H10544" s="5">
        <f>HYPERLINK("https://api.qogita.com/variants/link/3605972789150/", "View Product")</f>
        <v/>
      </c>
    </row>
    <row r="10545">
      <c r="A10545" t="inlineStr">
        <is>
          <t>3605972791238</t>
        </is>
      </c>
      <c r="B10545" t="inlineStr">
        <is>
          <t>Kiehl's Ultra Pure 5 Niacinamide Highpotency Serum 30 Ml</t>
        </is>
      </c>
      <c r="C10545" t="inlineStr">
        <is>
          <t>Vitamin Serum</t>
        </is>
      </c>
      <c r="D10545" t="inlineStr">
        <is>
          <t>Kiehl's</t>
        </is>
      </c>
      <c r="E10545" t="n">
        <v>31.75</v>
      </c>
      <c r="F10545" t="n">
        <v>1</v>
      </c>
      <c r="G10545" t="n">
        <v>4</v>
      </c>
      <c r="H10545" s="5">
        <f>HYPERLINK("https://api.qogita.com/variants/link/3605972791238/", "View Product")</f>
        <v/>
      </c>
    </row>
    <row r="10546">
      <c r="A10546" t="inlineStr">
        <is>
          <t>3605972793713</t>
        </is>
      </c>
      <c r="B10546" t="inlineStr">
        <is>
          <t>Ralph Lauren Polo Cologne Intense for Men Citrus &amp; Woody with Grapefruit and Sage</t>
        </is>
      </c>
      <c r="C10546" t="inlineStr">
        <is>
          <t>Eau De Toilette</t>
        </is>
      </c>
      <c r="D10546" t="inlineStr">
        <is>
          <t>Ralph Lauren</t>
        </is>
      </c>
      <c r="E10546" t="n">
        <v>33.56</v>
      </c>
      <c r="F10546" t="n">
        <v>1</v>
      </c>
      <c r="G10546" t="n">
        <v>3</v>
      </c>
      <c r="H10546" s="5">
        <f>HYPERLINK("https://api.qogita.com/variants/link/3605972793713/", "View Product")</f>
        <v/>
      </c>
    </row>
    <row r="10547">
      <c r="A10547" t="inlineStr">
        <is>
          <t>3605972980885</t>
        </is>
      </c>
      <c r="B10547" t="inlineStr">
        <is>
          <t>Kiehl's Facial Fuel</t>
        </is>
      </c>
      <c r="C10547" t="inlineStr">
        <is>
          <t>Face Cream</t>
        </is>
      </c>
      <c r="D10547" t="inlineStr">
        <is>
          <t>Kiehl's</t>
        </is>
      </c>
      <c r="E10547" t="n">
        <v>59.96</v>
      </c>
      <c r="F10547" t="n">
        <v>1</v>
      </c>
      <c r="G10547" t="n">
        <v>8</v>
      </c>
      <c r="H10547" s="5">
        <f>HYPERLINK("https://api.qogita.com/variants/link/3605972980885/", "View Product")</f>
        <v/>
      </c>
    </row>
    <row r="10548">
      <c r="A10548" t="inlineStr">
        <is>
          <t>3605972980946</t>
        </is>
      </c>
      <c r="B10548" t="inlineStr">
        <is>
          <t>Kiehl's Head To Toe Hydrators Set</t>
        </is>
      </c>
      <c r="C10548" t="inlineStr">
        <is>
          <t>Body Care Sets</t>
        </is>
      </c>
      <c r="D10548" t="inlineStr">
        <is>
          <t>Kiehl's</t>
        </is>
      </c>
      <c r="E10548" t="n">
        <v>53.91</v>
      </c>
      <c r="F10548" t="n">
        <v>1</v>
      </c>
      <c r="G10548" t="n">
        <v>7</v>
      </c>
      <c r="H10548" s="5">
        <f>HYPERLINK("https://api.qogita.com/variants/link/3605972980946/", "View Product")</f>
        <v/>
      </c>
    </row>
    <row r="10549">
      <c r="A10549" t="inlineStr">
        <is>
          <t>3605975038033</t>
        </is>
      </c>
      <c r="B10549" t="inlineStr">
        <is>
          <t>Kiehl's Rare Earth Deep Pore Daily Cleanser for Unisex 5 Ounce</t>
        </is>
      </c>
      <c r="C10549" t="inlineStr">
        <is>
          <t>Cleansing Foam</t>
        </is>
      </c>
      <c r="D10549" t="inlineStr">
        <is>
          <t>Kiehl's</t>
        </is>
      </c>
      <c r="E10549" t="n">
        <v>20.65</v>
      </c>
      <c r="F10549" t="n">
        <v>1</v>
      </c>
      <c r="G10549" t="n">
        <v>7</v>
      </c>
      <c r="H10549" s="5">
        <f>HYPERLINK("https://api.qogita.com/variants/link/3605975038033/", "View Product")</f>
        <v/>
      </c>
    </row>
    <row r="10550">
      <c r="A10550" t="inlineStr">
        <is>
          <t>3607340213267</t>
        </is>
      </c>
      <c r="B10550" t="inlineStr">
        <is>
          <t>Calvin Klein Beauty Eau De Parfum 100ml Spray For Women</t>
        </is>
      </c>
      <c r="C10550" t="inlineStr">
        <is>
          <t>Eau De Parfum</t>
        </is>
      </c>
      <c r="D10550" t="inlineStr">
        <is>
          <t>Calvin Klein</t>
        </is>
      </c>
      <c r="E10550" t="n">
        <v>23.11</v>
      </c>
      <c r="F10550" t="n">
        <v>1</v>
      </c>
      <c r="G10550" t="n">
        <v>191</v>
      </c>
      <c r="H10550" s="5">
        <f>HYPERLINK("https://api.qogita.com/variants/link/3607340213267/", "View Product")</f>
        <v/>
      </c>
    </row>
    <row r="10551">
      <c r="A10551" t="inlineStr">
        <is>
          <t>3607340625534</t>
        </is>
      </c>
      <c r="B10551" t="inlineStr">
        <is>
          <t>Adidas Fizzy Energy Deodorant</t>
        </is>
      </c>
      <c r="C10551" t="inlineStr">
        <is>
          <t>Deodorant &amp; Anti-Perspirant</t>
        </is>
      </c>
      <c r="D10551" t="inlineStr">
        <is>
          <t>adidas</t>
        </is>
      </c>
      <c r="E10551" t="n">
        <v>3.06</v>
      </c>
      <c r="F10551" t="n">
        <v>1</v>
      </c>
      <c r="G10551" t="n">
        <v>2</v>
      </c>
      <c r="H10551" s="5">
        <f>HYPERLINK("https://api.qogita.com/variants/link/3607340625534/", "View Product")</f>
        <v/>
      </c>
    </row>
    <row r="10552">
      <c r="A10552" t="inlineStr">
        <is>
          <t>3607341186805</t>
        </is>
      </c>
      <c r="B10552" t="inlineStr">
        <is>
          <t>Davidoff The Game Eau De Toilette Spray 100ml For Men Woody Fragrance</t>
        </is>
      </c>
      <c r="C10552" t="inlineStr">
        <is>
          <t>Eau De Toilette</t>
        </is>
      </c>
      <c r="D10552" t="inlineStr">
        <is>
          <t>Davidoff</t>
        </is>
      </c>
      <c r="E10552" t="n">
        <v>17.76</v>
      </c>
      <c r="F10552" t="n">
        <v>1</v>
      </c>
      <c r="G10552" t="n">
        <v>26</v>
      </c>
      <c r="H10552" s="5">
        <f>HYPERLINK("https://api.qogita.com/variants/link/3607341186805/", "View Product")</f>
        <v/>
      </c>
    </row>
    <row r="10553">
      <c r="A10553" t="inlineStr">
        <is>
          <t>3607341488855</t>
        </is>
      </c>
      <c r="B10553" t="inlineStr">
        <is>
          <t>Active Bodies Natural Spray Deodorant For Men 75ml</t>
        </is>
      </c>
      <c r="C10553" t="inlineStr">
        <is>
          <t>Deodorant &amp; Anti-Perspirant</t>
        </is>
      </c>
      <c r="D10553" t="inlineStr">
        <is>
          <t>Active Bodies</t>
        </is>
      </c>
      <c r="E10553" t="n">
        <v>4.06</v>
      </c>
      <c r="F10553" t="n">
        <v>1</v>
      </c>
      <c r="G10553" t="n">
        <v>15</v>
      </c>
      <c r="H10553" s="5">
        <f>HYPERLINK("https://api.qogita.com/variants/link/3607341488855/", "View Product")</f>
        <v/>
      </c>
    </row>
    <row r="10554">
      <c r="A10554" t="inlineStr">
        <is>
          <t>3607342107977</t>
        </is>
      </c>
      <c r="B10554" t="inlineStr">
        <is>
          <t>Calvin Klein Eternity Aqua For Men Eau De Toilette Spray 100ml</t>
        </is>
      </c>
      <c r="C10554" t="inlineStr">
        <is>
          <t>Eau De Toilette</t>
        </is>
      </c>
      <c r="D10554" t="inlineStr">
        <is>
          <t>Calvin Klein</t>
        </is>
      </c>
      <c r="E10554" t="n">
        <v>20.42</v>
      </c>
      <c r="F10554" t="n">
        <v>1</v>
      </c>
      <c r="G10554" t="n">
        <v>14</v>
      </c>
      <c r="H10554" s="5">
        <f>HYPERLINK("https://api.qogita.com/variants/link/3607342107977/", "View Product")</f>
        <v/>
      </c>
    </row>
    <row r="10555">
      <c r="A10555" t="inlineStr">
        <is>
          <t>3607342359789</t>
        </is>
      </c>
      <c r="B10555" t="inlineStr">
        <is>
          <t>Davidoff Cool Water Men Eau De Toilette Spray 200ml</t>
        </is>
      </c>
      <c r="C10555" t="inlineStr">
        <is>
          <t>Eau De Toilette</t>
        </is>
      </c>
      <c r="D10555" t="inlineStr">
        <is>
          <t>Davidoff</t>
        </is>
      </c>
      <c r="E10555" t="n">
        <v>28.73</v>
      </c>
      <c r="F10555" t="n">
        <v>1</v>
      </c>
      <c r="G10555" t="n">
        <v>210</v>
      </c>
      <c r="H10555" s="5">
        <f>HYPERLINK("https://api.qogita.com/variants/link/3607342359789/", "View Product")</f>
        <v/>
      </c>
    </row>
    <row r="10556">
      <c r="A10556" t="inlineStr">
        <is>
          <t>3607342367067</t>
        </is>
      </c>
      <c r="B10556" t="inlineStr">
        <is>
          <t>Calvin Klein Obsession For Men All Over Body Spray 152g</t>
        </is>
      </c>
      <c r="C10556" t="inlineStr">
        <is>
          <t>Eau De Toilette</t>
        </is>
      </c>
      <c r="D10556" t="inlineStr">
        <is>
          <t>Calvin Klein</t>
        </is>
      </c>
      <c r="E10556" t="n">
        <v>8.109999999999999</v>
      </c>
      <c r="F10556" t="n">
        <v>1</v>
      </c>
      <c r="G10556" t="n">
        <v>29</v>
      </c>
      <c r="H10556" s="5">
        <f>HYPERLINK("https://api.qogita.com/variants/link/3607342367067/", "View Product")</f>
        <v/>
      </c>
    </row>
    <row r="10557">
      <c r="A10557" t="inlineStr">
        <is>
          <t>3607342401341</t>
        </is>
      </c>
      <c r="B10557" t="inlineStr">
        <is>
          <t>Calvin Klein Ck One Shock For Him Eau De Toilette Spray 100ml</t>
        </is>
      </c>
      <c r="C10557" t="inlineStr">
        <is>
          <t>Eau De Toilette</t>
        </is>
      </c>
      <c r="D10557" t="inlineStr">
        <is>
          <t>Calvin Klein</t>
        </is>
      </c>
      <c r="E10557" t="n">
        <v>16.14</v>
      </c>
      <c r="F10557" t="n">
        <v>1</v>
      </c>
      <c r="G10557" t="n">
        <v>414</v>
      </c>
      <c r="H10557" s="5">
        <f>HYPERLINK("https://api.qogita.com/variants/link/3607342401341/", "View Product")</f>
        <v/>
      </c>
    </row>
    <row r="10558">
      <c r="A10558" t="inlineStr">
        <is>
          <t>3607342401426</t>
        </is>
      </c>
      <c r="B10558" t="inlineStr">
        <is>
          <t>Calvin Klein Ck One Shock For Him Eau De Toilette Spray 200ml</t>
        </is>
      </c>
      <c r="C10558" t="inlineStr">
        <is>
          <t>Eau De Toilette</t>
        </is>
      </c>
      <c r="D10558" t="inlineStr">
        <is>
          <t>Calvin Klein</t>
        </is>
      </c>
      <c r="E10558" t="n">
        <v>21.56</v>
      </c>
      <c r="F10558" t="n">
        <v>1</v>
      </c>
      <c r="G10558" t="n">
        <v>603</v>
      </c>
      <c r="H10558" s="5">
        <f>HYPERLINK("https://api.qogita.com/variants/link/3607342401426/", "View Product")</f>
        <v/>
      </c>
    </row>
    <row r="10559">
      <c r="A10559" t="inlineStr">
        <is>
          <t>3607342402065</t>
        </is>
      </c>
      <c r="B10559" t="inlineStr">
        <is>
          <t>Calvin Klein Ck One Shock For Her Eau De Toilette Spray 100ml</t>
        </is>
      </c>
      <c r="C10559" t="inlineStr">
        <is>
          <t>Eau De Toilette</t>
        </is>
      </c>
      <c r="D10559" t="inlineStr">
        <is>
          <t>Calvin Klein</t>
        </is>
      </c>
      <c r="E10559" t="n">
        <v>14.75</v>
      </c>
      <c r="F10559" t="n">
        <v>1</v>
      </c>
      <c r="G10559" t="n">
        <v>270</v>
      </c>
      <c r="H10559" s="5">
        <f>HYPERLINK("https://api.qogita.com/variants/link/3607342402065/", "View Product")</f>
        <v/>
      </c>
    </row>
    <row r="10560">
      <c r="A10560" t="inlineStr">
        <is>
          <t>3607342670617</t>
        </is>
      </c>
      <c r="B10560" t="inlineStr">
        <is>
          <t>Calvin Klein Euphoria Eau De Parfum Chypre Women's Perfume</t>
        </is>
      </c>
      <c r="C10560" t="inlineStr">
        <is>
          <t>Eau De Parfum</t>
        </is>
      </c>
      <c r="D10560" t="inlineStr">
        <is>
          <t>Calvin Klein</t>
        </is>
      </c>
      <c r="E10560" t="n">
        <v>8.380000000000001</v>
      </c>
      <c r="F10560" t="n">
        <v>1</v>
      </c>
      <c r="G10560" t="n">
        <v>18</v>
      </c>
      <c r="H10560" s="5">
        <f>HYPERLINK("https://api.qogita.com/variants/link/3607342670617/", "View Product")</f>
        <v/>
      </c>
    </row>
    <row r="10561">
      <c r="A10561" t="inlineStr">
        <is>
          <t>3607344163773</t>
        </is>
      </c>
      <c r="B10561" t="inlineStr">
        <is>
          <t>Davidoff Hot Water Eau De Toilette Spray 110ml For Men</t>
        </is>
      </c>
      <c r="C10561" t="inlineStr">
        <is>
          <t>Eau De Toilette</t>
        </is>
      </c>
      <c r="D10561" t="inlineStr">
        <is>
          <t>Davidoff</t>
        </is>
      </c>
      <c r="E10561" t="n">
        <v>18.01</v>
      </c>
      <c r="F10561" t="n">
        <v>1</v>
      </c>
      <c r="G10561" t="n">
        <v>32</v>
      </c>
      <c r="H10561" s="5">
        <f>HYPERLINK("https://api.qogita.com/variants/link/3607344163773/", "View Product")</f>
        <v/>
      </c>
    </row>
    <row r="10562">
      <c r="A10562" t="inlineStr">
        <is>
          <t>3607345064550</t>
        </is>
      </c>
      <c r="B10562" t="inlineStr">
        <is>
          <t>Rimmel Stay Matte Long Lasting Pressed Powder In Warm Beige, 14g</t>
        </is>
      </c>
      <c r="C10562" t="inlineStr">
        <is>
          <t>Powder</t>
        </is>
      </c>
      <c r="D10562" t="inlineStr">
        <is>
          <t>Rimmel London</t>
        </is>
      </c>
      <c r="E10562" t="n">
        <v>2.33</v>
      </c>
      <c r="F10562" t="n">
        <v>1</v>
      </c>
      <c r="G10562" t="n">
        <v>11</v>
      </c>
      <c r="H10562" s="5">
        <f>HYPERLINK("https://api.qogita.com/variants/link/3607345064550/", "View Product")</f>
        <v/>
      </c>
    </row>
    <row r="10563">
      <c r="A10563" t="inlineStr">
        <is>
          <t>3607345849867</t>
        </is>
      </c>
      <c r="B10563" t="inlineStr">
        <is>
          <t>Joop Joop Homme Wild Eau De Toilette 125ml Men Spray</t>
        </is>
      </c>
      <c r="C10563" t="inlineStr">
        <is>
          <t>Eau De Toilette</t>
        </is>
      </c>
      <c r="D10563" t="inlineStr">
        <is>
          <t>Joop!</t>
        </is>
      </c>
      <c r="E10563" t="n">
        <v>17.16</v>
      </c>
      <c r="F10563" t="n">
        <v>1</v>
      </c>
      <c r="G10563" t="n">
        <v>576</v>
      </c>
      <c r="H10563" s="5">
        <f>HYPERLINK("https://api.qogita.com/variants/link/3607345849867/", "View Product")</f>
        <v/>
      </c>
    </row>
    <row r="10564">
      <c r="A10564" t="inlineStr">
        <is>
          <t>3607346232385</t>
        </is>
      </c>
      <c r="B10564" t="inlineStr">
        <is>
          <t>Chloe Eau De Parfum Spray 75ml - Chloe</t>
        </is>
      </c>
      <c r="C10564" t="inlineStr">
        <is>
          <t>Eau De Parfum</t>
        </is>
      </c>
      <c r="D10564" t="inlineStr">
        <is>
          <t>Chloé</t>
        </is>
      </c>
      <c r="E10564" t="n">
        <v>62.32</v>
      </c>
      <c r="F10564" t="n">
        <v>1</v>
      </c>
      <c r="G10564" t="n">
        <v>106</v>
      </c>
      <c r="H10564" s="5">
        <f>HYPERLINK("https://api.qogita.com/variants/link/3607346232385/", "View Product")</f>
        <v/>
      </c>
    </row>
    <row r="10565">
      <c r="A10565" t="inlineStr">
        <is>
          <t>3607346236420</t>
        </is>
      </c>
      <c r="B10565" t="inlineStr">
        <is>
          <t>Just Cavalli Him 2013 Eau De Toilette Spray 30ml</t>
        </is>
      </c>
      <c r="C10565" t="inlineStr">
        <is>
          <t>Eau De Toilette</t>
        </is>
      </c>
      <c r="D10565" t="inlineStr">
        <is>
          <t>Just Cavalli</t>
        </is>
      </c>
      <c r="E10565" t="n">
        <v>13.77</v>
      </c>
      <c r="F10565" t="n">
        <v>1</v>
      </c>
      <c r="G10565" t="n">
        <v>7</v>
      </c>
      <c r="H10565" s="5">
        <f>HYPERLINK("https://api.qogita.com/variants/link/3607346236420/", "View Product")</f>
        <v/>
      </c>
    </row>
    <row r="10566">
      <c r="A10566" t="inlineStr">
        <is>
          <t>3607347462583</t>
        </is>
      </c>
      <c r="B10566" t="inlineStr">
        <is>
          <t>Davidoff Cool Water Sea Rose Eau De Toilette 100ml For Women</t>
        </is>
      </c>
      <c r="C10566" t="inlineStr">
        <is>
          <t>Eau De Toilette</t>
        </is>
      </c>
      <c r="D10566" t="inlineStr">
        <is>
          <t>Davidoff</t>
        </is>
      </c>
      <c r="E10566" t="n">
        <v>23.57</v>
      </c>
      <c r="F10566" t="n">
        <v>1</v>
      </c>
      <c r="G10566" t="n">
        <v>15</v>
      </c>
      <c r="H10566" s="5">
        <f>HYPERLINK("https://api.qogita.com/variants/link/3607347462583/", "View Product")</f>
        <v/>
      </c>
    </row>
    <row r="10567">
      <c r="A10567" t="inlineStr">
        <is>
          <t>3607349312459</t>
        </is>
      </c>
      <c r="B10567" t="inlineStr">
        <is>
          <t>Katy Perry Purr Eau De Parfum Natural Spray 100ml</t>
        </is>
      </c>
      <c r="C10567" t="inlineStr">
        <is>
          <t>Eau De Parfum</t>
        </is>
      </c>
      <c r="D10567" t="inlineStr">
        <is>
          <t>Katy Perry</t>
        </is>
      </c>
      <c r="E10567" t="n">
        <v>13.58</v>
      </c>
      <c r="F10567" t="n">
        <v>1</v>
      </c>
      <c r="G10567" t="n">
        <v>181</v>
      </c>
      <c r="H10567" s="5">
        <f>HYPERLINK("https://api.qogita.com/variants/link/3607349312459/", "View Product")</f>
        <v/>
      </c>
    </row>
    <row r="10568">
      <c r="A10568" t="inlineStr">
        <is>
          <t>3607349764289</t>
        </is>
      </c>
      <c r="B10568" t="inlineStr">
        <is>
          <t>Marc Jacobs Daisy Dream Eau De Toilette Spray 50ml</t>
        </is>
      </c>
      <c r="C10568" t="inlineStr">
        <is>
          <t>Eau De Toilette</t>
        </is>
      </c>
      <c r="D10568" t="inlineStr">
        <is>
          <t>Marc Jacobs</t>
        </is>
      </c>
      <c r="E10568" t="n">
        <v>32.11</v>
      </c>
      <c r="F10568" t="n">
        <v>1</v>
      </c>
      <c r="G10568" t="n">
        <v>5</v>
      </c>
      <c r="H10568" s="5">
        <f>HYPERLINK("https://api.qogita.com/variants/link/3607349764289/", "View Product")</f>
        <v/>
      </c>
    </row>
    <row r="10569">
      <c r="A10569" t="inlineStr">
        <is>
          <t>3607349776848</t>
        </is>
      </c>
      <c r="B10569" t="inlineStr">
        <is>
          <t>Jil Sander Evergreen Perfumed Shower Gel for Women 150ml</t>
        </is>
      </c>
      <c r="C10569" t="inlineStr">
        <is>
          <t>Shower Gel</t>
        </is>
      </c>
      <c r="D10569" t="inlineStr">
        <is>
          <t>Jil Sander</t>
        </is>
      </c>
      <c r="E10569" t="n">
        <v>6.68</v>
      </c>
      <c r="F10569" t="n">
        <v>1</v>
      </c>
      <c r="G10569" t="n">
        <v>22</v>
      </c>
      <c r="H10569" s="5">
        <f>HYPERLINK("https://api.qogita.com/variants/link/3607349776848/", "View Product")</f>
        <v/>
      </c>
    </row>
    <row r="10570">
      <c r="A10570" t="inlineStr">
        <is>
          <t>3607349796402</t>
        </is>
      </c>
      <c r="B10570" t="inlineStr">
        <is>
          <t>Adidas Get Ready For Her Deodorant 75ml</t>
        </is>
      </c>
      <c r="C10570" t="inlineStr">
        <is>
          <t>Deodorant &amp; Anti-Perspirant</t>
        </is>
      </c>
      <c r="D10570" t="inlineStr">
        <is>
          <t>adidas</t>
        </is>
      </c>
      <c r="E10570" t="n">
        <v>6.85</v>
      </c>
      <c r="F10570" t="n">
        <v>1</v>
      </c>
      <c r="G10570" t="n">
        <v>5</v>
      </c>
      <c r="H10570" s="5">
        <f>HYPERLINK("https://api.qogita.com/variants/link/3607349796402/", "View Product")</f>
        <v/>
      </c>
    </row>
    <row r="10571">
      <c r="A10571" t="inlineStr">
        <is>
          <t>3607349843076</t>
        </is>
      </c>
      <c r="B10571" t="inlineStr">
        <is>
          <t>Katy Perry Royal Revolution Eau De Parfum 100ml For Women</t>
        </is>
      </c>
      <c r="C10571" t="inlineStr">
        <is>
          <t>Eau De Parfum</t>
        </is>
      </c>
      <c r="D10571" t="inlineStr">
        <is>
          <t>Katy Perry</t>
        </is>
      </c>
      <c r="E10571" t="n">
        <v>15.15</v>
      </c>
      <c r="F10571" t="n">
        <v>1</v>
      </c>
      <c r="G10571" t="n">
        <v>109</v>
      </c>
      <c r="H10571" s="5">
        <f>HYPERLINK("https://api.qogita.com/variants/link/3607349843076/", "View Product")</f>
        <v/>
      </c>
    </row>
    <row r="10572">
      <c r="A10572" t="inlineStr">
        <is>
          <t>3614220080499</t>
        </is>
      </c>
      <c r="B10572" t="inlineStr">
        <is>
          <t>Davidoff Horizon Eau De Toilette 125ml For Men</t>
        </is>
      </c>
      <c r="C10572" t="inlineStr">
        <is>
          <t>Eau De Toilette</t>
        </is>
      </c>
      <c r="D10572" t="inlineStr">
        <is>
          <t>Davidoff</t>
        </is>
      </c>
      <c r="E10572" t="n">
        <v>18.36</v>
      </c>
      <c r="F10572" t="n">
        <v>1</v>
      </c>
      <c r="G10572" t="n">
        <v>40</v>
      </c>
      <c r="H10572" s="5">
        <f>HYPERLINK("https://api.qogita.com/variants/link/3614220080499/", "View Product")</f>
        <v/>
      </c>
    </row>
    <row r="10573">
      <c r="A10573" t="inlineStr">
        <is>
          <t>3614220756035</t>
        </is>
      </c>
      <c r="B10573" t="inlineStr">
        <is>
          <t>Adidas Born Original For Her Eau De Parfum Spray 50ml</t>
        </is>
      </c>
      <c r="C10573" t="inlineStr">
        <is>
          <t>Eau De Parfum</t>
        </is>
      </c>
      <c r="D10573" t="inlineStr">
        <is>
          <t>adidas</t>
        </is>
      </c>
      <c r="E10573" t="n">
        <v>10.53</v>
      </c>
      <c r="F10573" t="n">
        <v>1</v>
      </c>
      <c r="G10573" t="n">
        <v>4</v>
      </c>
      <c r="H10573" s="5">
        <f>HYPERLINK("https://api.qogita.com/variants/link/3614220756035/", "View Product")</f>
        <v/>
      </c>
    </row>
    <row r="10574">
      <c r="A10574" t="inlineStr">
        <is>
          <t>3614220808840</t>
        </is>
      </c>
      <c r="B10574" t="inlineStr">
        <is>
          <t>Chloe Eau De Parfum Spray 125ml - Chloe</t>
        </is>
      </c>
      <c r="C10574" t="inlineStr">
        <is>
          <t>Eau De Parfum</t>
        </is>
      </c>
      <c r="D10574" t="inlineStr">
        <is>
          <t>Chloé</t>
        </is>
      </c>
      <c r="E10574" t="n">
        <v>104.57</v>
      </c>
      <c r="F10574" t="n">
        <v>1</v>
      </c>
      <c r="G10574" t="n">
        <v>23</v>
      </c>
      <c r="H10574" s="5">
        <f>HYPERLINK("https://api.qogita.com/variants/link/3614220808840/", "View Product")</f>
        <v/>
      </c>
    </row>
    <row r="10575">
      <c r="A10575" t="inlineStr">
        <is>
          <t>3614221031735</t>
        </is>
      </c>
      <c r="B10575" t="inlineStr">
        <is>
          <t>Roberto Cavalli Gold Collection Splendid Vanilla Eau de Parfum 100ml</t>
        </is>
      </c>
      <c r="C10575" t="inlineStr">
        <is>
          <t>Eau De Parfum</t>
        </is>
      </c>
      <c r="D10575" t="inlineStr">
        <is>
          <t>Roberto Cavalli</t>
        </is>
      </c>
      <c r="E10575" t="n">
        <v>81.81</v>
      </c>
      <c r="F10575" t="n">
        <v>1</v>
      </c>
      <c r="G10575" t="n">
        <v>6</v>
      </c>
      <c r="H10575" s="5">
        <f>HYPERLINK("https://api.qogita.com/variants/link/3614221031735/", "View Product")</f>
        <v/>
      </c>
    </row>
    <row r="10576">
      <c r="A10576" t="inlineStr">
        <is>
          <t>3614222402152</t>
        </is>
      </c>
      <c r="B10576" t="inlineStr">
        <is>
          <t>Tiffany BL 200ml</t>
        </is>
      </c>
      <c r="C10576" t="inlineStr">
        <is>
          <t>Eau De Toilette</t>
        </is>
      </c>
      <c r="D10576" t="inlineStr">
        <is>
          <t>Tiffany &amp; Co.</t>
        </is>
      </c>
      <c r="E10576" t="n">
        <v>35.34</v>
      </c>
      <c r="F10576" t="n">
        <v>1</v>
      </c>
      <c r="G10576" t="n">
        <v>5</v>
      </c>
      <c r="H10576" s="5">
        <f>HYPERLINK("https://api.qogita.com/variants/link/3614222402152/", "View Product")</f>
        <v/>
      </c>
    </row>
    <row r="10577">
      <c r="A10577" t="inlineStr">
        <is>
          <t>3614222571667</t>
        </is>
      </c>
      <c r="B10577" t="inlineStr">
        <is>
          <t>Joop Joop Wow Eau De Toilette For Men 60ml Spray</t>
        </is>
      </c>
      <c r="C10577" t="inlineStr">
        <is>
          <t>Eau De Toilette</t>
        </is>
      </c>
      <c r="D10577" t="inlineStr">
        <is>
          <t>Joop!</t>
        </is>
      </c>
      <c r="E10577" t="n">
        <v>15.27</v>
      </c>
      <c r="F10577" t="n">
        <v>1</v>
      </c>
      <c r="G10577" t="n">
        <v>35</v>
      </c>
      <c r="H10577" s="5">
        <f>HYPERLINK("https://api.qogita.com/variants/link/3614222571667/", "View Product")</f>
        <v/>
      </c>
    </row>
    <row r="10578">
      <c r="A10578" t="inlineStr">
        <is>
          <t>3614223185665</t>
        </is>
      </c>
      <c r="B10578" t="inlineStr">
        <is>
          <t>Calvin Klein Ck All Eau De Toilette Spray 50ml</t>
        </is>
      </c>
      <c r="C10578" t="inlineStr">
        <is>
          <t>Eau De Toilette</t>
        </is>
      </c>
      <c r="D10578" t="inlineStr">
        <is>
          <t>Calvin Klein</t>
        </is>
      </c>
      <c r="E10578" t="n">
        <v>12.86</v>
      </c>
      <c r="F10578" t="n">
        <v>1</v>
      </c>
      <c r="G10578" t="n">
        <v>3</v>
      </c>
      <c r="H10578" s="5">
        <f>HYPERLINK("https://api.qogita.com/variants/link/3614223185665/", "View Product")</f>
        <v/>
      </c>
    </row>
    <row r="10579">
      <c r="A10579" t="inlineStr">
        <is>
          <t>3614223260768</t>
        </is>
      </c>
      <c r="B10579" t="inlineStr">
        <is>
          <t>Vera Wang Embrace French Lavender &amp; Tuberose Eau De Toilette for Women 30ml</t>
        </is>
      </c>
      <c r="C10579" t="inlineStr">
        <is>
          <t>Eau De Toilette</t>
        </is>
      </c>
      <c r="D10579" t="inlineStr">
        <is>
          <t>Vera Wang</t>
        </is>
      </c>
      <c r="E10579" t="n">
        <v>6.31</v>
      </c>
      <c r="F10579" t="n">
        <v>1</v>
      </c>
      <c r="G10579" t="n">
        <v>19</v>
      </c>
      <c r="H10579" s="5">
        <f>HYPERLINK("https://api.qogita.com/variants/link/3614223260768/", "View Product")</f>
        <v/>
      </c>
    </row>
    <row r="10580">
      <c r="A10580" t="inlineStr">
        <is>
          <t>3614223912193</t>
        </is>
      </c>
      <c r="B10580" t="inlineStr">
        <is>
          <t>Bourjois Khol Contour Xl Eye Pencil Longlasting Eyeliner 001 Noirissime</t>
        </is>
      </c>
      <c r="C10580" t="inlineStr">
        <is>
          <t>Eye Pencil</t>
        </is>
      </c>
      <c r="D10580" t="inlineStr">
        <is>
          <t>Bourjois</t>
        </is>
      </c>
      <c r="E10580" t="n">
        <v>1.52</v>
      </c>
      <c r="F10580" t="n">
        <v>1</v>
      </c>
      <c r="G10580" t="n">
        <v>4</v>
      </c>
      <c r="H10580" s="5">
        <f>HYPERLINK("https://api.qogita.com/variants/link/3614223912193/", "View Product")</f>
        <v/>
      </c>
    </row>
    <row r="10581">
      <c r="A10581" t="inlineStr">
        <is>
          <t>3614224332808</t>
        </is>
      </c>
      <c r="B10581" t="inlineStr">
        <is>
          <t>Jovan Musk Platinum Musk For Men Eau De Cologne Spray 88ml</t>
        </is>
      </c>
      <c r="C10581" t="inlineStr">
        <is>
          <t>Eau De Cologne</t>
        </is>
      </c>
      <c r="D10581" t="inlineStr">
        <is>
          <t>Jovan</t>
        </is>
      </c>
      <c r="E10581" t="n">
        <v>4.9</v>
      </c>
      <c r="F10581" t="n">
        <v>1</v>
      </c>
      <c r="G10581" t="n">
        <v>31</v>
      </c>
      <c r="H10581" s="5">
        <f>HYPERLINK("https://api.qogita.com/variants/link/3614224332808/", "View Product")</f>
        <v/>
      </c>
    </row>
    <row r="10582">
      <c r="A10582" t="inlineStr">
        <is>
          <t>3614224585730</t>
        </is>
      </c>
      <c r="B10582" t="inlineStr">
        <is>
          <t>Rimmel 60 Seconds Super Shine Nail Polish Violet En Vogue 336 8ml</t>
        </is>
      </c>
      <c r="C10582" t="inlineStr">
        <is>
          <t>Nail Polish</t>
        </is>
      </c>
      <c r="D10582" t="inlineStr">
        <is>
          <t>Rimmel London</t>
        </is>
      </c>
      <c r="E10582" t="n">
        <v>1.16</v>
      </c>
      <c r="F10582" t="n">
        <v>1</v>
      </c>
      <c r="G10582" t="n">
        <v>6</v>
      </c>
      <c r="H10582" s="5">
        <f>HYPERLINK("https://api.qogita.com/variants/link/3614224585730/", "View Product")</f>
        <v/>
      </c>
    </row>
    <row r="10583">
      <c r="A10583" t="inlineStr">
        <is>
          <t>3614225296802</t>
        </is>
      </c>
      <c r="B10583" t="inlineStr">
        <is>
          <t>Miu Miu Fleur D'Argent Eau De Parfum Spray 100ml</t>
        </is>
      </c>
      <c r="C10583" t="inlineStr">
        <is>
          <t>Eau De Parfum</t>
        </is>
      </c>
      <c r="D10583" t="inlineStr">
        <is>
          <t>Miu Miu</t>
        </is>
      </c>
      <c r="E10583" t="n">
        <v>59.38</v>
      </c>
      <c r="F10583" t="n">
        <v>1</v>
      </c>
      <c r="G10583" t="n">
        <v>4</v>
      </c>
      <c r="H10583" s="5">
        <f>HYPERLINK("https://api.qogita.com/variants/link/3614225296802/", "View Product")</f>
        <v/>
      </c>
    </row>
    <row r="10584">
      <c r="A10584" t="inlineStr">
        <is>
          <t>3614225298684</t>
        </is>
      </c>
      <c r="B10584" t="inlineStr">
        <is>
          <t>Bruno Banani Loyal Man After Shave 50ml</t>
        </is>
      </c>
      <c r="C10584" t="inlineStr">
        <is>
          <t>Aftershave</t>
        </is>
      </c>
      <c r="D10584" t="inlineStr">
        <is>
          <t>Bruno Banani</t>
        </is>
      </c>
      <c r="E10584" t="n">
        <v>7.06</v>
      </c>
      <c r="F10584" t="n">
        <v>1</v>
      </c>
      <c r="G10584" t="n">
        <v>5</v>
      </c>
      <c r="H10584" s="5">
        <f>HYPERLINK("https://api.qogita.com/variants/link/3614225298684/", "View Product")</f>
        <v/>
      </c>
    </row>
    <row r="10585">
      <c r="A10585" t="inlineStr">
        <is>
          <t>3614225307904</t>
        </is>
      </c>
      <c r="B10585" t="inlineStr">
        <is>
          <t>Gucci Mémorie D'Une Odeur Eau De Parfum 60ml</t>
        </is>
      </c>
      <c r="C10585" t="inlineStr">
        <is>
          <t>Eau De Parfum</t>
        </is>
      </c>
      <c r="D10585" t="inlineStr">
        <is>
          <t>Gucci</t>
        </is>
      </c>
      <c r="E10585" t="n">
        <v>51.42</v>
      </c>
      <c r="F10585" t="n">
        <v>1</v>
      </c>
      <c r="G10585" t="n">
        <v>28</v>
      </c>
      <c r="H10585" s="5">
        <f>HYPERLINK("https://api.qogita.com/variants/link/3614225307904/", "View Product")</f>
        <v/>
      </c>
    </row>
    <row r="10586">
      <c r="A10586" t="inlineStr">
        <is>
          <t>3614225357015</t>
        </is>
      </c>
      <c r="B10586" t="inlineStr">
        <is>
          <t>Calvin Klein Women Eau De Parfum 30ml Spray Perfume</t>
        </is>
      </c>
      <c r="C10586" t="inlineStr">
        <is>
          <t>Eau De Parfum</t>
        </is>
      </c>
      <c r="D10586" t="inlineStr">
        <is>
          <t>Calvin Klein</t>
        </is>
      </c>
      <c r="E10586" t="n">
        <v>17.29</v>
      </c>
      <c r="F10586" t="n">
        <v>1</v>
      </c>
      <c r="G10586" t="n">
        <v>203</v>
      </c>
      <c r="H10586" s="5">
        <f>HYPERLINK("https://api.qogita.com/variants/link/3614225357015/", "View Product")</f>
        <v/>
      </c>
    </row>
    <row r="10587">
      <c r="A10587" t="inlineStr">
        <is>
          <t>3614225613180</t>
        </is>
      </c>
      <c r="B10587" t="inlineStr">
        <is>
          <t>Bourjois Little Round Pot Blush 34 Rose Dor 25 G</t>
        </is>
      </c>
      <c r="C10587" t="inlineStr">
        <is>
          <t>Blush</t>
        </is>
      </c>
      <c r="D10587" t="inlineStr">
        <is>
          <t>Bourjois</t>
        </is>
      </c>
      <c r="E10587" t="n">
        <v>5.78</v>
      </c>
      <c r="F10587" t="n">
        <v>1</v>
      </c>
      <c r="G10587" t="n">
        <v>14</v>
      </c>
      <c r="H10587" s="5">
        <f>HYPERLINK("https://api.qogita.com/variants/link/3614225613180/", "View Product")</f>
        <v/>
      </c>
    </row>
    <row r="10588">
      <c r="A10588" t="inlineStr">
        <is>
          <t>3614225853531</t>
        </is>
      </c>
      <c r="B10588" t="inlineStr">
        <is>
          <t>Max Factor Masterpiece Max High Volume Definition Mascara 72 Ml 03 Deep Blue</t>
        </is>
      </c>
      <c r="C10588" t="inlineStr">
        <is>
          <t>Mascara</t>
        </is>
      </c>
      <c r="D10588" t="inlineStr">
        <is>
          <t>Max Factor</t>
        </is>
      </c>
      <c r="E10588" t="n">
        <v>7.02</v>
      </c>
      <c r="F10588" t="n">
        <v>1</v>
      </c>
      <c r="G10588" t="n">
        <v>14</v>
      </c>
      <c r="H10588" s="5">
        <f>HYPERLINK("https://api.qogita.com/variants/link/3614225853531/", "View Product")</f>
        <v/>
      </c>
    </row>
    <row r="10589">
      <c r="A10589" t="inlineStr">
        <is>
          <t>3614226751874</t>
        </is>
      </c>
      <c r="B10589" t="inlineStr">
        <is>
          <t>Londa Professional Gentle Shampoo For Dry Hair Without Shine Pure</t>
        </is>
      </c>
      <c r="C10589" t="inlineStr">
        <is>
          <t>Shampoo</t>
        </is>
      </c>
      <c r="D10589" t="inlineStr">
        <is>
          <t>Londa Professional</t>
        </is>
      </c>
      <c r="E10589" t="n">
        <v>14.47</v>
      </c>
      <c r="F10589" t="n">
        <v>1</v>
      </c>
      <c r="G10589" t="n">
        <v>4</v>
      </c>
      <c r="H10589" s="5">
        <f>HYPERLINK("https://api.qogita.com/variants/link/3614226751874/", "View Product")</f>
        <v/>
      </c>
    </row>
    <row r="10590">
      <c r="A10590" t="inlineStr">
        <is>
          <t>3614226759191</t>
        </is>
      </c>
      <c r="B10590" t="inlineStr">
        <is>
          <t>Max Factor Excess Intensity Long Wear Eyeliner 06 Excessive Brown</t>
        </is>
      </c>
      <c r="C10590" t="inlineStr">
        <is>
          <t>Eyeliner</t>
        </is>
      </c>
      <c r="D10590" t="inlineStr">
        <is>
          <t>Max Factor</t>
        </is>
      </c>
      <c r="E10590" t="n">
        <v>5</v>
      </c>
      <c r="F10590" t="n">
        <v>1</v>
      </c>
      <c r="G10590" t="n">
        <v>5</v>
      </c>
      <c r="H10590" s="5">
        <f>HYPERLINK("https://api.qogita.com/variants/link/3614226759191/", "View Product")</f>
        <v/>
      </c>
    </row>
    <row r="10591">
      <c r="A10591" t="inlineStr">
        <is>
          <t>3614226765376</t>
        </is>
      </c>
      <c r="B10591" t="inlineStr">
        <is>
          <t>Bruno Banani Made for Men Natural Deodorant Spray 75ml</t>
        </is>
      </c>
      <c r="C10591" t="inlineStr">
        <is>
          <t>Deodorant &amp; Anti-Perspirant</t>
        </is>
      </c>
      <c r="D10591" t="inlineStr">
        <is>
          <t>Bruno Banani</t>
        </is>
      </c>
      <c r="E10591" t="n">
        <v>4.66</v>
      </c>
      <c r="F10591" t="n">
        <v>1</v>
      </c>
      <c r="G10591" t="n">
        <v>2</v>
      </c>
      <c r="H10591" s="5">
        <f>HYPERLINK("https://api.qogita.com/variants/link/3614226765376/", "View Product")</f>
        <v/>
      </c>
    </row>
    <row r="10592">
      <c r="A10592" t="inlineStr">
        <is>
          <t>3614226765406</t>
        </is>
      </c>
      <c r="B10592" t="inlineStr">
        <is>
          <t>Bruno Banani Bnn Pure Woman Deodorant Spray 75ml</t>
        </is>
      </c>
      <c r="C10592" t="inlineStr">
        <is>
          <t>Deodorant &amp; Anti-Perspirant</t>
        </is>
      </c>
      <c r="D10592" t="inlineStr">
        <is>
          <t>Bruno Banani</t>
        </is>
      </c>
      <c r="E10592" t="n">
        <v>4.12</v>
      </c>
      <c r="F10592" t="n">
        <v>1</v>
      </c>
      <c r="G10592" t="n">
        <v>27</v>
      </c>
      <c r="H10592" s="5">
        <f>HYPERLINK("https://api.qogita.com/variants/link/3614226765406/", "View Product")</f>
        <v/>
      </c>
    </row>
    <row r="10593">
      <c r="A10593" t="inlineStr">
        <is>
          <t>3614226805065</t>
        </is>
      </c>
      <c r="B10593" t="inlineStr">
        <is>
          <t>Wella Color Touch Rich Naturals Ammonia Free 60ml Ivory 60ml</t>
        </is>
      </c>
      <c r="C10593" t="inlineStr">
        <is>
          <t>Hair Dye</t>
        </is>
      </c>
      <c r="D10593" t="inlineStr">
        <is>
          <t>Wella</t>
        </is>
      </c>
      <c r="E10593" t="n">
        <v>7.27</v>
      </c>
      <c r="F10593" t="n">
        <v>1</v>
      </c>
      <c r="G10593" t="n">
        <v>3</v>
      </c>
      <c r="H10593" s="5">
        <f>HYPERLINK("https://api.qogita.com/variants/link/3614226805065/", "View Product")</f>
        <v/>
      </c>
    </row>
    <row r="10594">
      <c r="A10594" t="inlineStr">
        <is>
          <t>3614226904973</t>
        </is>
      </c>
      <c r="B10594" t="inlineStr">
        <is>
          <t>Burberry Brit Eau De Parfum 100ml For Women A Classic Fragrance By Burberry</t>
        </is>
      </c>
      <c r="C10594" t="inlineStr">
        <is>
          <t>Eau De Parfum</t>
        </is>
      </c>
      <c r="D10594" t="inlineStr">
        <is>
          <t>Burberry</t>
        </is>
      </c>
      <c r="E10594" t="n">
        <v>31.92</v>
      </c>
      <c r="F10594" t="n">
        <v>1</v>
      </c>
      <c r="G10594" t="n">
        <v>131</v>
      </c>
      <c r="H10594" s="5">
        <f>HYPERLINK("https://api.qogita.com/variants/link/3614226904973/", "View Product")</f>
        <v/>
      </c>
    </row>
    <row r="10595">
      <c r="A10595" t="inlineStr">
        <is>
          <t>3614226905963</t>
        </is>
      </c>
      <c r="B10595" t="inlineStr">
        <is>
          <t>Burberry My Burberry Eau De Parfum Spray 90ml</t>
        </is>
      </c>
      <c r="C10595" t="inlineStr">
        <is>
          <t>Eau De Parfum</t>
        </is>
      </c>
      <c r="D10595" t="inlineStr">
        <is>
          <t>Burberry</t>
        </is>
      </c>
      <c r="E10595" t="n">
        <v>52.57</v>
      </c>
      <c r="F10595" t="n">
        <v>1</v>
      </c>
      <c r="G10595" t="n">
        <v>191</v>
      </c>
      <c r="H10595" s="5">
        <f>HYPERLINK("https://api.qogita.com/variants/link/3614226905963/", "View Product")</f>
        <v/>
      </c>
    </row>
    <row r="10596">
      <c r="A10596" t="inlineStr">
        <is>
          <t>3614227086227</t>
        </is>
      </c>
      <c r="B10596" t="inlineStr">
        <is>
          <t>Marc Jacobs Perfect Eau De Parfum 100ml Women Spray</t>
        </is>
      </c>
      <c r="C10596" t="inlineStr">
        <is>
          <t>Eau De Parfum</t>
        </is>
      </c>
      <c r="D10596" t="inlineStr">
        <is>
          <t>Marc Jacobs</t>
        </is>
      </c>
      <c r="E10596" t="n">
        <v>55.75</v>
      </c>
      <c r="F10596" t="n">
        <v>1</v>
      </c>
      <c r="G10596" t="n">
        <v>58</v>
      </c>
      <c r="H10596" s="5">
        <f>HYPERLINK("https://api.qogita.com/variants/link/3614227086227/", "View Product")</f>
        <v/>
      </c>
    </row>
    <row r="10597">
      <c r="A10597" t="inlineStr">
        <is>
          <t>3614227293960</t>
        </is>
      </c>
      <c r="B10597" t="inlineStr">
        <is>
          <t>Escada Magnetism Eau De Parfum Spray 75ml</t>
        </is>
      </c>
      <c r="C10597" t="inlineStr">
        <is>
          <t>Eau De Parfum</t>
        </is>
      </c>
      <c r="D10597" t="inlineStr">
        <is>
          <t>Escada</t>
        </is>
      </c>
      <c r="E10597" t="n">
        <v>23.33</v>
      </c>
      <c r="F10597" t="n">
        <v>1</v>
      </c>
      <c r="G10597" t="n">
        <v>115</v>
      </c>
      <c r="H10597" s="5">
        <f>HYPERLINK("https://api.qogita.com/variants/link/3614227293960/", "View Product")</f>
        <v/>
      </c>
    </row>
    <row r="10598">
      <c r="A10598" t="inlineStr">
        <is>
          <t>3614227348813</t>
        </is>
      </c>
      <c r="B10598" t="inlineStr">
        <is>
          <t>Wella Nutricurls Waves Shampoo 250ml</t>
        </is>
      </c>
      <c r="C10598" t="inlineStr">
        <is>
          <t>Shampoo</t>
        </is>
      </c>
      <c r="D10598" t="inlineStr">
        <is>
          <t>Wella</t>
        </is>
      </c>
      <c r="E10598" t="n">
        <v>5.3</v>
      </c>
      <c r="F10598" t="n">
        <v>1</v>
      </c>
      <c r="G10598" t="n">
        <v>23</v>
      </c>
      <c r="H10598" s="5">
        <f>HYPERLINK("https://api.qogita.com/variants/link/3614227348813/", "View Product")</f>
        <v/>
      </c>
    </row>
    <row r="10599">
      <c r="A10599" t="inlineStr">
        <is>
          <t>3614227426276</t>
        </is>
      </c>
      <c r="B10599" t="inlineStr">
        <is>
          <t>Marc Jacobs Perfect Body Cleanse Shower Gel 150ml</t>
        </is>
      </c>
      <c r="C10599" t="inlineStr">
        <is>
          <t>Shower Gel</t>
        </is>
      </c>
      <c r="D10599" t="inlineStr">
        <is>
          <t>Marc Jacobs</t>
        </is>
      </c>
      <c r="E10599" t="n">
        <v>9.130000000000001</v>
      </c>
      <c r="F10599" t="n">
        <v>1</v>
      </c>
      <c r="G10599" t="n">
        <v>5</v>
      </c>
      <c r="H10599" s="5">
        <f>HYPERLINK("https://api.qogita.com/variants/link/3614227426276/", "View Product")</f>
        <v/>
      </c>
    </row>
    <row r="10600">
      <c r="A10600" t="inlineStr">
        <is>
          <t>3614227426351</t>
        </is>
      </c>
      <c r="B10600" t="inlineStr">
        <is>
          <t>Marc Jacobs Perfect Body Lotion 150ml</t>
        </is>
      </c>
      <c r="C10600" t="inlineStr">
        <is>
          <t>Body Lotion</t>
        </is>
      </c>
      <c r="D10600" t="inlineStr">
        <is>
          <t>Marc Jacobs</t>
        </is>
      </c>
      <c r="E10600" t="n">
        <v>10.24</v>
      </c>
      <c r="F10600" t="n">
        <v>1</v>
      </c>
      <c r="G10600" t="n">
        <v>16</v>
      </c>
      <c r="H10600" s="5">
        <f>HYPERLINK("https://api.qogita.com/variants/link/3614227426351/", "View Product")</f>
        <v/>
      </c>
    </row>
    <row r="10601">
      <c r="A10601" t="inlineStr">
        <is>
          <t>3614227427211</t>
        </is>
      </c>
      <c r="B10601" t="inlineStr">
        <is>
          <t>Chanson D Eau Deodorant for Women Black 200ml</t>
        </is>
      </c>
      <c r="C10601" t="inlineStr">
        <is>
          <t>Deodorant &amp; Anti-Perspirant</t>
        </is>
      </c>
      <c r="D10601" t="inlineStr">
        <is>
          <t>Chanson D'Eau</t>
        </is>
      </c>
      <c r="E10601" t="n">
        <v>2.95</v>
      </c>
      <c r="F10601" t="n">
        <v>1</v>
      </c>
      <c r="G10601" t="n">
        <v>2</v>
      </c>
      <c r="H10601" s="5">
        <f>HYPERLINK("https://api.qogita.com/variants/link/3614227427211/", "View Product")</f>
        <v/>
      </c>
    </row>
    <row r="10602">
      <c r="A10602" t="inlineStr">
        <is>
          <t>3614227748606</t>
        </is>
      </c>
      <c r="B10602" t="inlineStr">
        <is>
          <t>Burberry Touch Eau De Parfum Spray 50ml For Women</t>
        </is>
      </c>
      <c r="C10602" t="inlineStr">
        <is>
          <t>Eau De Parfum</t>
        </is>
      </c>
      <c r="D10602" t="inlineStr">
        <is>
          <t>Burberry</t>
        </is>
      </c>
      <c r="E10602" t="n">
        <v>24.83</v>
      </c>
      <c r="F10602" t="n">
        <v>1</v>
      </c>
      <c r="G10602" t="n">
        <v>2</v>
      </c>
      <c r="H10602" s="5">
        <f>HYPERLINK("https://api.qogita.com/variants/link/3614227748606/", "View Product")</f>
        <v/>
      </c>
    </row>
    <row r="10603">
      <c r="A10603" t="inlineStr">
        <is>
          <t>3614227758117</t>
        </is>
      </c>
      <c r="B10603" t="inlineStr">
        <is>
          <t>Gucci Guilty Pour Femme Eau De Parfum 50ml Women's Fragrance</t>
        </is>
      </c>
      <c r="C10603" t="inlineStr">
        <is>
          <t>Eau De Parfum</t>
        </is>
      </c>
      <c r="D10603" t="inlineStr">
        <is>
          <t>Gucci</t>
        </is>
      </c>
      <c r="E10603" t="n">
        <v>56.74</v>
      </c>
      <c r="F10603" t="n">
        <v>1</v>
      </c>
      <c r="G10603" t="n">
        <v>13</v>
      </c>
      <c r="H10603" s="5">
        <f>HYPERLINK("https://api.qogita.com/variants/link/3614227758117/", "View Product")</f>
        <v/>
      </c>
    </row>
    <row r="10604">
      <c r="A10604" t="inlineStr">
        <is>
          <t>3614227758162</t>
        </is>
      </c>
      <c r="B10604" t="inlineStr">
        <is>
          <t>Gucci Guilty Woman Eau De Parfum Spray 90ml</t>
        </is>
      </c>
      <c r="C10604" t="inlineStr">
        <is>
          <t>Eau De Parfum</t>
        </is>
      </c>
      <c r="D10604" t="inlineStr">
        <is>
          <t>Gucci</t>
        </is>
      </c>
      <c r="E10604" t="n">
        <v>95.48999999999999</v>
      </c>
      <c r="F10604" t="n">
        <v>1</v>
      </c>
      <c r="G10604" t="n">
        <v>9</v>
      </c>
      <c r="H10604" s="5">
        <f>HYPERLINK("https://api.qogita.com/variants/link/3614227758162/", "View Product")</f>
        <v/>
      </c>
    </row>
    <row r="10605">
      <c r="A10605" t="inlineStr">
        <is>
          <t>3614227913974</t>
        </is>
      </c>
      <c r="B10605" t="inlineStr">
        <is>
          <t>Lancaster Golden Tan Maximizer After Sun Body Lotion</t>
        </is>
      </c>
      <c r="C10605" t="inlineStr">
        <is>
          <t>Aftersun</t>
        </is>
      </c>
      <c r="D10605" t="inlineStr">
        <is>
          <t>Lancaster</t>
        </is>
      </c>
      <c r="E10605" t="n">
        <v>21.78</v>
      </c>
      <c r="F10605" t="n">
        <v>1</v>
      </c>
      <c r="G10605" t="n">
        <v>27</v>
      </c>
      <c r="H10605" s="5">
        <f>HYPERLINK("https://api.qogita.com/variants/link/3614227913974/", "View Product")</f>
        <v/>
      </c>
    </row>
    <row r="10606">
      <c r="A10606" t="inlineStr">
        <is>
          <t>3614228174237</t>
        </is>
      </c>
      <c r="B10606" t="inlineStr">
        <is>
          <t>Davidoff Cool Water Man Intense Eau De Parfum 75ml</t>
        </is>
      </c>
      <c r="C10606" t="inlineStr">
        <is>
          <t>Eau De Parfum</t>
        </is>
      </c>
      <c r="D10606" t="inlineStr">
        <is>
          <t>Davidoff</t>
        </is>
      </c>
      <c r="E10606" t="n">
        <v>20.47</v>
      </c>
      <c r="F10606" t="n">
        <v>1</v>
      </c>
      <c r="G10606" t="n">
        <v>19</v>
      </c>
      <c r="H10606" s="5">
        <f>HYPERLINK("https://api.qogita.com/variants/link/3614228174237/", "View Product")</f>
        <v/>
      </c>
    </row>
    <row r="10607">
      <c r="A10607" t="inlineStr">
        <is>
          <t>3614228230674</t>
        </is>
      </c>
      <c r="B10607" t="inlineStr">
        <is>
          <t>Philosophy Field Of Flowers Peony Blossom Eau De Toilette 60ml Women Spray</t>
        </is>
      </c>
      <c r="C10607" t="inlineStr">
        <is>
          <t>Eau De Toilette</t>
        </is>
      </c>
      <c r="D10607" t="inlineStr">
        <is>
          <t>Philosophy</t>
        </is>
      </c>
      <c r="E10607" t="n">
        <v>23.6</v>
      </c>
      <c r="F10607" t="n">
        <v>1</v>
      </c>
      <c r="G10607" t="n">
        <v>8</v>
      </c>
      <c r="H10607" s="5">
        <f>HYPERLINK("https://api.qogita.com/variants/link/3614228230674/", "View Product")</f>
        <v/>
      </c>
    </row>
    <row r="10608">
      <c r="A10608" t="inlineStr">
        <is>
          <t>3614228237819</t>
        </is>
      </c>
      <c r="B10608" t="inlineStr">
        <is>
          <t>Mexx Whenever Wherever For Him Eau De Toilette Spray 30ml</t>
        </is>
      </c>
      <c r="C10608" t="inlineStr">
        <is>
          <t>Eau De Toilette</t>
        </is>
      </c>
      <c r="D10608" t="inlineStr">
        <is>
          <t>Mexx</t>
        </is>
      </c>
      <c r="E10608" t="n">
        <v>5.42</v>
      </c>
      <c r="F10608" t="n">
        <v>1</v>
      </c>
      <c r="G10608" t="n">
        <v>2</v>
      </c>
      <c r="H10608" s="5">
        <f>HYPERLINK("https://api.qogita.com/variants/link/3614228237819/", "View Product")</f>
        <v/>
      </c>
    </row>
    <row r="10609">
      <c r="A10609" t="inlineStr">
        <is>
          <t>3614228291781</t>
        </is>
      </c>
      <c r="B10609" t="inlineStr">
        <is>
          <t>Wella Sp Essential Nourishing Mask 150ml</t>
        </is>
      </c>
      <c r="C10609" t="inlineStr">
        <is>
          <t>Hair Masks</t>
        </is>
      </c>
      <c r="D10609" t="inlineStr">
        <is>
          <t>Wella</t>
        </is>
      </c>
      <c r="E10609" t="n">
        <v>12.5</v>
      </c>
      <c r="F10609" t="n">
        <v>1</v>
      </c>
      <c r="G10609" t="n">
        <v>34</v>
      </c>
      <c r="H10609" s="5">
        <f>HYPERLINK("https://api.qogita.com/variants/link/3614228291781/", "View Product")</f>
        <v/>
      </c>
    </row>
    <row r="10610">
      <c r="A10610" t="inlineStr">
        <is>
          <t>3614228411622</t>
        </is>
      </c>
      <c r="B10610" t="inlineStr">
        <is>
          <t>Bourjois Brush Liner Eyeliner 001 Black 2.5ml</t>
        </is>
      </c>
      <c r="C10610" t="inlineStr">
        <is>
          <t>Eyeliner</t>
        </is>
      </c>
      <c r="D10610" t="inlineStr">
        <is>
          <t>Bourjois</t>
        </is>
      </c>
      <c r="E10610" t="n">
        <v>5.88</v>
      </c>
      <c r="F10610" t="n">
        <v>1</v>
      </c>
      <c r="G10610" t="n">
        <v>20</v>
      </c>
      <c r="H10610" s="5">
        <f>HYPERLINK("https://api.qogita.com/variants/link/3614228411622/", "View Product")</f>
        <v/>
      </c>
    </row>
    <row r="10611">
      <c r="A10611" t="inlineStr">
        <is>
          <t>3614228411806</t>
        </is>
      </c>
      <c r="B10611" t="inlineStr">
        <is>
          <t>Bourjois Little Round Pot Mono Eyeshadow 3 Peau De Peach 12 G</t>
        </is>
      </c>
      <c r="C10611" t="inlineStr">
        <is>
          <t>Eyeshadow</t>
        </is>
      </c>
      <c r="D10611" t="inlineStr">
        <is>
          <t>Bourjois</t>
        </is>
      </c>
      <c r="E10611" t="n">
        <v>6.08</v>
      </c>
      <c r="F10611" t="n">
        <v>1</v>
      </c>
      <c r="G10611" t="n">
        <v>2</v>
      </c>
      <c r="H10611" s="5">
        <f>HYPERLINK("https://api.qogita.com/variants/link/3614228411806/", "View Product")</f>
        <v/>
      </c>
    </row>
    <row r="10612">
      <c r="A10612" t="inlineStr">
        <is>
          <t>3614228413459</t>
        </is>
      </c>
      <c r="B10612" t="inlineStr">
        <is>
          <t>Bourjois Always Fabulous Extreme Resist Spf20 Concealing Foundation 210 Vanilla 30ml</t>
        </is>
      </c>
      <c r="C10612" t="inlineStr">
        <is>
          <t>Foundation</t>
        </is>
      </c>
      <c r="D10612" t="inlineStr">
        <is>
          <t>Bourjois</t>
        </is>
      </c>
      <c r="E10612" t="n">
        <v>7.02</v>
      </c>
      <c r="F10612" t="n">
        <v>1</v>
      </c>
      <c r="G10612" t="n">
        <v>3</v>
      </c>
      <c r="H10612" s="5">
        <f>HYPERLINK("https://api.qogita.com/variants/link/3614228413459/", "View Product")</f>
        <v/>
      </c>
    </row>
    <row r="10613">
      <c r="A10613" t="inlineStr">
        <is>
          <t>3614228816410</t>
        </is>
      </c>
      <c r="B10613" t="inlineStr">
        <is>
          <t>Sebastian SebMan The Boss Thickening Shampoo 1000ml</t>
        </is>
      </c>
      <c r="C10613" t="inlineStr">
        <is>
          <t>Shampoo</t>
        </is>
      </c>
      <c r="D10613" t="inlineStr">
        <is>
          <t>Sebastian Professional</t>
        </is>
      </c>
      <c r="E10613" t="n">
        <v>17.64</v>
      </c>
      <c r="F10613" t="n">
        <v>1</v>
      </c>
      <c r="G10613" t="n">
        <v>4</v>
      </c>
      <c r="H10613" s="5">
        <f>HYPERLINK("https://api.qogita.com/variants/link/3614228816410/", "View Product")</f>
        <v/>
      </c>
    </row>
    <row r="10614">
      <c r="A10614" t="inlineStr">
        <is>
          <t>3614228834728</t>
        </is>
      </c>
      <c r="B10614" t="inlineStr">
        <is>
          <t>Mexx Black For Him Eau De Parfum 50ml</t>
        </is>
      </c>
      <c r="C10614" t="inlineStr">
        <is>
          <t>Eau De Parfum</t>
        </is>
      </c>
      <c r="D10614" t="inlineStr">
        <is>
          <t>Mexx</t>
        </is>
      </c>
      <c r="E10614" t="n">
        <v>13.33</v>
      </c>
      <c r="F10614" t="n">
        <v>1</v>
      </c>
      <c r="G10614" t="n">
        <v>67</v>
      </c>
      <c r="H10614" s="5">
        <f>HYPERLINK("https://api.qogita.com/variants/link/3614228834728/", "View Product")</f>
        <v/>
      </c>
    </row>
    <row r="10615">
      <c r="A10615" t="inlineStr">
        <is>
          <t>3614228858007</t>
        </is>
      </c>
      <c r="B10615" t="inlineStr">
        <is>
          <t>Joop! Homme Eau De Parfum for Men Woody Fragrance with Fresh Notes</t>
        </is>
      </c>
      <c r="C10615" t="inlineStr">
        <is>
          <t>Eau De Parfum</t>
        </is>
      </c>
      <c r="D10615" t="inlineStr">
        <is>
          <t>Joop!</t>
        </is>
      </c>
      <c r="E10615" t="n">
        <v>17.73</v>
      </c>
      <c r="F10615" t="n">
        <v>1</v>
      </c>
      <c r="G10615" t="n">
        <v>3</v>
      </c>
      <c r="H10615" s="5">
        <f>HYPERLINK("https://api.qogita.com/variants/link/3614228858007/", "View Product")</f>
        <v/>
      </c>
    </row>
    <row r="10616">
      <c r="A10616" t="inlineStr">
        <is>
          <t>3614228958578</t>
        </is>
      </c>
      <c r="B10616" t="inlineStr">
        <is>
          <t>Gucci Bloom Ambrosia Di Fiori Eau De Parfum Spray 30ml</t>
        </is>
      </c>
      <c r="C10616" t="inlineStr">
        <is>
          <t>Eau De Parfum</t>
        </is>
      </c>
      <c r="D10616" t="inlineStr">
        <is>
          <t>Gucci</t>
        </is>
      </c>
      <c r="E10616" t="n">
        <v>44.94</v>
      </c>
      <c r="F10616" t="n">
        <v>1</v>
      </c>
      <c r="G10616" t="n">
        <v>4</v>
      </c>
      <c r="H10616" s="5">
        <f>HYPERLINK("https://api.qogita.com/variants/link/3614228958578/", "View Product")</f>
        <v/>
      </c>
    </row>
    <row r="10617">
      <c r="A10617" t="inlineStr">
        <is>
          <t>3614229135060</t>
        </is>
      </c>
      <c r="B10617" t="inlineStr">
        <is>
          <t>CALVIN KLEIN Eternity Eau de Parfum for Him Woody-Aromatic Men's Fragrance 30ml</t>
        </is>
      </c>
      <c r="C10617" t="inlineStr">
        <is>
          <t>Eau De Parfum</t>
        </is>
      </c>
      <c r="D10617" t="inlineStr">
        <is>
          <t>Calvin Klein</t>
        </is>
      </c>
      <c r="E10617" t="n">
        <v>19.7</v>
      </c>
      <c r="F10617" t="n">
        <v>1</v>
      </c>
      <c r="G10617" t="n">
        <v>2</v>
      </c>
      <c r="H10617" s="5">
        <f>HYPERLINK("https://api.qogita.com/variants/link/3614229135060/", "View Product")</f>
        <v/>
      </c>
    </row>
    <row r="10618">
      <c r="A10618" t="inlineStr">
        <is>
          <t>3614229279108</t>
        </is>
      </c>
      <c r="B10618" t="inlineStr">
        <is>
          <t>Bruno Banani Body Spray Daring Woman Sensual Peach 250ml</t>
        </is>
      </c>
      <c r="C10618" t="inlineStr">
        <is>
          <t>Deodorant &amp; Anti-Perspirant</t>
        </is>
      </c>
      <c r="D10618" t="inlineStr">
        <is>
          <t>Bruno Banani</t>
        </is>
      </c>
      <c r="E10618" t="n">
        <v>5.13</v>
      </c>
      <c r="F10618" t="n">
        <v>1</v>
      </c>
      <c r="G10618" t="n">
        <v>21</v>
      </c>
      <c r="H10618" s="5">
        <f>HYPERLINK("https://api.qogita.com/variants/link/3614229279108/", "View Product")</f>
        <v/>
      </c>
    </row>
    <row r="10619">
      <c r="A10619" t="inlineStr">
        <is>
          <t>3614229395587</t>
        </is>
      </c>
      <c r="B10619" t="inlineStr">
        <is>
          <t>Chloe Rose Tangerine Eau de Toilette Spray 30ml</t>
        </is>
      </c>
      <c r="C10619" t="inlineStr">
        <is>
          <t>Eau De Toilette</t>
        </is>
      </c>
      <c r="D10619" t="inlineStr">
        <is>
          <t>Chloé</t>
        </is>
      </c>
      <c r="E10619" t="n">
        <v>29.94</v>
      </c>
      <c r="F10619" t="n">
        <v>1</v>
      </c>
      <c r="G10619" t="n">
        <v>5</v>
      </c>
      <c r="H10619" s="5">
        <f>HYPERLINK("https://api.qogita.com/variants/link/3614229395587/", "View Product")</f>
        <v/>
      </c>
    </row>
    <row r="10620">
      <c r="A10620" t="inlineStr">
        <is>
          <t>3614229396867</t>
        </is>
      </c>
      <c r="B10620" t="inlineStr">
        <is>
          <t>Escada Escada Candy Love Eau De Toilette Spray 100ml</t>
        </is>
      </c>
      <c r="C10620" t="inlineStr">
        <is>
          <t>Eau De Toilette</t>
        </is>
      </c>
      <c r="D10620" t="inlineStr">
        <is>
          <t>Escada</t>
        </is>
      </c>
      <c r="E10620" t="n">
        <v>27.3</v>
      </c>
      <c r="F10620" t="n">
        <v>1</v>
      </c>
      <c r="G10620" t="n">
        <v>66</v>
      </c>
      <c r="H10620" s="5">
        <f>HYPERLINK("https://api.qogita.com/variants/link/3614229396867/", "View Product")</f>
        <v/>
      </c>
    </row>
    <row r="10621">
      <c r="A10621" t="inlineStr">
        <is>
          <t>3614229461305</t>
        </is>
      </c>
      <c r="B10621" t="inlineStr">
        <is>
          <t>Gucci Bloom Profumo Di Fiori Eau De Parfum Spray 50ml</t>
        </is>
      </c>
      <c r="C10621" t="inlineStr">
        <is>
          <t>Eau De Parfum</t>
        </is>
      </c>
      <c r="D10621" t="inlineStr">
        <is>
          <t>Gucci</t>
        </is>
      </c>
      <c r="E10621" t="n">
        <v>53.23</v>
      </c>
      <c r="F10621" t="n">
        <v>1</v>
      </c>
      <c r="G10621" t="n">
        <v>9</v>
      </c>
      <c r="H10621" s="5">
        <f>HYPERLINK("https://api.qogita.com/variants/link/3614229461305/", "View Product")</f>
        <v/>
      </c>
    </row>
    <row r="10622">
      <c r="A10622" t="inlineStr">
        <is>
          <t>3614229461336</t>
        </is>
      </c>
      <c r="B10622" t="inlineStr">
        <is>
          <t>Gucci Bloom Ambrosia Di Fiori Eau De Parfum Spray 50ml</t>
        </is>
      </c>
      <c r="C10622" t="inlineStr">
        <is>
          <t>Eau De Parfum</t>
        </is>
      </c>
      <c r="D10622" t="inlineStr">
        <is>
          <t>Gucci</t>
        </is>
      </c>
      <c r="E10622" t="n">
        <v>49.15</v>
      </c>
      <c r="F10622" t="n">
        <v>1</v>
      </c>
      <c r="G10622" t="n">
        <v>2</v>
      </c>
      <c r="H10622" s="5">
        <f>HYPERLINK("https://api.qogita.com/variants/link/3614229461336/", "View Product")</f>
        <v/>
      </c>
    </row>
    <row r="10623">
      <c r="A10623" t="inlineStr">
        <is>
          <t>3614229461367</t>
        </is>
      </c>
      <c r="B10623" t="inlineStr">
        <is>
          <t>Gucci Bloom Profumo Di Fiori Eau De Parfum Spray 30ml</t>
        </is>
      </c>
      <c r="C10623" t="inlineStr">
        <is>
          <t>Eau De Parfum</t>
        </is>
      </c>
      <c r="D10623" t="inlineStr">
        <is>
          <t>Gucci</t>
        </is>
      </c>
      <c r="E10623" t="n">
        <v>35.5</v>
      </c>
      <c r="F10623" t="n">
        <v>1</v>
      </c>
      <c r="G10623" t="n">
        <v>6</v>
      </c>
      <c r="H10623" s="5">
        <f>HYPERLINK("https://api.qogita.com/variants/link/3614229461367/", "View Product")</f>
        <v/>
      </c>
    </row>
    <row r="10624">
      <c r="A10624" t="inlineStr">
        <is>
          <t>3614229656145</t>
        </is>
      </c>
      <c r="B10624" t="inlineStr">
        <is>
          <t>Calvin Klein Ck Everyone Eau De Toilette Spray 100ml</t>
        </is>
      </c>
      <c r="C10624" t="inlineStr">
        <is>
          <t>Eau De Toilette</t>
        </is>
      </c>
      <c r="D10624" t="inlineStr">
        <is>
          <t>Calvin Klein</t>
        </is>
      </c>
      <c r="E10624" t="n">
        <v>18.18</v>
      </c>
      <c r="F10624" t="n">
        <v>1</v>
      </c>
      <c r="G10624" t="n">
        <v>68</v>
      </c>
      <c r="H10624" s="5">
        <f>HYPERLINK("https://api.qogita.com/variants/link/3614229656145/", "View Product")</f>
        <v/>
      </c>
    </row>
    <row r="10625">
      <c r="A10625" t="inlineStr">
        <is>
          <t>3614229700893</t>
        </is>
      </c>
      <c r="B10625" t="inlineStr">
        <is>
          <t>Londa Professional Toneplex Rose Gold Blonde Intensive Toning Mask 200 Ml</t>
        </is>
      </c>
      <c r="C10625" t="inlineStr">
        <is>
          <t>Hair Masks</t>
        </is>
      </c>
      <c r="D10625" t="inlineStr">
        <is>
          <t>Londa Professional</t>
        </is>
      </c>
      <c r="E10625" t="n">
        <v>7.18</v>
      </c>
      <c r="F10625" t="n">
        <v>1</v>
      </c>
      <c r="G10625" t="n">
        <v>23</v>
      </c>
      <c r="H10625" s="5">
        <f>HYPERLINK("https://api.qogita.com/variants/link/3614229700893/", "View Product")</f>
        <v/>
      </c>
    </row>
    <row r="10626">
      <c r="A10626" t="inlineStr">
        <is>
          <t>3614229823790</t>
        </is>
      </c>
      <c r="B10626" t="inlineStr">
        <is>
          <t>Hugo Boss Hugo Man Eau De Toilette Spray 75ml</t>
        </is>
      </c>
      <c r="C10626" t="inlineStr">
        <is>
          <t>Eau De Toilette</t>
        </is>
      </c>
      <c r="D10626" t="inlineStr">
        <is>
          <t>Hugo Boss</t>
        </is>
      </c>
      <c r="E10626" t="n">
        <v>22.64</v>
      </c>
      <c r="F10626" t="n">
        <v>1</v>
      </c>
      <c r="G10626" t="n">
        <v>9</v>
      </c>
      <c r="H10626" s="5">
        <f>HYPERLINK("https://api.qogita.com/variants/link/3614229823790/", "View Product")</f>
        <v/>
      </c>
    </row>
    <row r="10627">
      <c r="A10627" t="inlineStr">
        <is>
          <t>3614229828542</t>
        </is>
      </c>
      <c r="B10627" t="inlineStr">
        <is>
          <t>Hugo Boss Boss Bottled Eau De Parfum Spray 200ml</t>
        </is>
      </c>
      <c r="C10627" t="inlineStr">
        <is>
          <t>Eau De Parfum</t>
        </is>
      </c>
      <c r="D10627" t="inlineStr">
        <is>
          <t>Hugo Boss</t>
        </is>
      </c>
      <c r="E10627" t="n">
        <v>68.36</v>
      </c>
      <c r="F10627" t="n">
        <v>1</v>
      </c>
      <c r="G10627" t="n">
        <v>5</v>
      </c>
      <c r="H10627" s="5">
        <f>HYPERLINK("https://api.qogita.com/variants/link/3614229828542/", "View Product")</f>
        <v/>
      </c>
    </row>
    <row r="10628">
      <c r="A10628" t="inlineStr">
        <is>
          <t>3614229828993</t>
        </is>
      </c>
      <c r="B10628" t="inlineStr">
        <is>
          <t>Burberry My Burberry Black Eau De Parfum Spray 50ml</t>
        </is>
      </c>
      <c r="C10628" t="inlineStr">
        <is>
          <t>Eau De Parfum</t>
        </is>
      </c>
      <c r="D10628" t="inlineStr">
        <is>
          <t>Burberry</t>
        </is>
      </c>
      <c r="E10628" t="n">
        <v>40.19</v>
      </c>
      <c r="F10628" t="n">
        <v>1</v>
      </c>
      <c r="G10628" t="n">
        <v>7</v>
      </c>
      <c r="H10628" s="5">
        <f>HYPERLINK("https://api.qogita.com/variants/link/3614229828993/", "View Product")</f>
        <v/>
      </c>
    </row>
    <row r="10629">
      <c r="A10629" t="inlineStr">
        <is>
          <t>3614229833775</t>
        </is>
      </c>
      <c r="B10629" t="inlineStr">
        <is>
          <t>Tiffany &amp; Co. Rose Gold Eau De Parfum Spray 50ml</t>
        </is>
      </c>
      <c r="C10629" t="inlineStr">
        <is>
          <t>Eau De Parfum</t>
        </is>
      </c>
      <c r="D10629" t="inlineStr">
        <is>
          <t>Tiffany Co</t>
        </is>
      </c>
      <c r="E10629" t="n">
        <v>46.9</v>
      </c>
      <c r="F10629" t="n">
        <v>1</v>
      </c>
      <c r="G10629" t="n">
        <v>24</v>
      </c>
      <c r="H10629" s="5">
        <f>HYPERLINK("https://api.qogita.com/variants/link/3614229833775/", "View Product")</f>
        <v/>
      </c>
    </row>
    <row r="10630">
      <c r="A10630" t="inlineStr">
        <is>
          <t>3614229840087</t>
        </is>
      </c>
      <c r="B10630" t="inlineStr">
        <is>
          <t>Burberry Mr. Burberry Eau De Toilette Spray 150ml</t>
        </is>
      </c>
      <c r="C10630" t="inlineStr">
        <is>
          <t>Eau De Toilette</t>
        </is>
      </c>
      <c r="D10630" t="inlineStr">
        <is>
          <t>Burberry</t>
        </is>
      </c>
      <c r="E10630" t="n">
        <v>75.12</v>
      </c>
      <c r="F10630" t="n">
        <v>1</v>
      </c>
      <c r="G10630" t="n">
        <v>3</v>
      </c>
      <c r="H10630" s="5">
        <f>HYPERLINK("https://api.qogita.com/variants/link/3614229840087/", "View Product")</f>
        <v/>
      </c>
    </row>
    <row r="10631">
      <c r="A10631" t="inlineStr">
        <is>
          <t>3614270197598</t>
        </is>
      </c>
      <c r="B10631" t="inlineStr">
        <is>
          <t>Giorgio Armani Eyes To Kill Classico Mascara # 1 Black 10ml</t>
        </is>
      </c>
      <c r="C10631" t="inlineStr">
        <is>
          <t>Mascara</t>
        </is>
      </c>
      <c r="D10631" t="inlineStr">
        <is>
          <t>Giorgio Armani</t>
        </is>
      </c>
      <c r="E10631" t="n">
        <v>31.41</v>
      </c>
      <c r="F10631" t="n">
        <v>1</v>
      </c>
      <c r="G10631" t="n">
        <v>42</v>
      </c>
      <c r="H10631" s="5">
        <f>HYPERLINK("https://api.qogita.com/variants/link/3614270197598/", "View Product")</f>
        <v/>
      </c>
    </row>
    <row r="10632">
      <c r="A10632" t="inlineStr">
        <is>
          <t>3614270274671</t>
        </is>
      </c>
      <c r="B10632" t="inlineStr">
        <is>
          <t>Bio L Eau Edt Vapo 100ml</t>
        </is>
      </c>
      <c r="C10632" t="inlineStr">
        <is>
          <t>Eau De Toilette</t>
        </is>
      </c>
      <c r="D10632" t="inlineStr">
        <is>
          <t>Biotherm</t>
        </is>
      </c>
      <c r="E10632" t="n">
        <v>35.83</v>
      </c>
      <c r="F10632" t="n">
        <v>1</v>
      </c>
      <c r="G10632" t="n">
        <v>4</v>
      </c>
      <c r="H10632" s="5">
        <f>HYPERLINK("https://api.qogita.com/variants/link/3614270274671/", "View Product")</f>
        <v/>
      </c>
    </row>
    <row r="10633">
      <c r="A10633" t="inlineStr">
        <is>
          <t>3614270562112</t>
        </is>
      </c>
      <c r="B10633" t="inlineStr">
        <is>
          <t>Maison Margiela Replica Fireplace Eau De Toilette Spray 100ml</t>
        </is>
      </c>
      <c r="C10633" t="inlineStr">
        <is>
          <t>Eau De Toilette</t>
        </is>
      </c>
      <c r="D10633" t="inlineStr">
        <is>
          <t>Maison Margiela</t>
        </is>
      </c>
      <c r="E10633" t="n">
        <v>71.03</v>
      </c>
      <c r="F10633" t="n">
        <v>1</v>
      </c>
      <c r="G10633" t="n">
        <v>53</v>
      </c>
      <c r="H10633" s="5">
        <f>HYPERLINK("https://api.qogita.com/variants/link/3614270562112/", "View Product")</f>
        <v/>
      </c>
    </row>
    <row r="10634">
      <c r="A10634" t="inlineStr">
        <is>
          <t>3614270971242</t>
        </is>
      </c>
      <c r="B10634" t="inlineStr">
        <is>
          <t>Lancme Effacernes Concealer Spf30 01 Beige Pastel 15ml</t>
        </is>
      </c>
      <c r="C10634" t="inlineStr">
        <is>
          <t>Concealer</t>
        </is>
      </c>
      <c r="D10634" t="inlineStr">
        <is>
          <t>Lancôme</t>
        </is>
      </c>
      <c r="E10634" t="n">
        <v>28.55</v>
      </c>
      <c r="F10634" t="n">
        <v>1</v>
      </c>
      <c r="G10634" t="n">
        <v>4</v>
      </c>
      <c r="H10634" s="5">
        <f>HYPERLINK("https://api.qogita.com/variants/link/3614270971242/", "View Product")</f>
        <v/>
      </c>
    </row>
    <row r="10635">
      <c r="A10635" t="inlineStr">
        <is>
          <t>3614270971273</t>
        </is>
      </c>
      <c r="B10635" t="inlineStr">
        <is>
          <t>Lancme Effacernes Longue Tenue Longlasting Softening Concealer Spf 30 03 Beige Ambre 15ml</t>
        </is>
      </c>
      <c r="C10635" t="inlineStr">
        <is>
          <t>Concealer</t>
        </is>
      </c>
      <c r="D10635" t="inlineStr">
        <is>
          <t>Lancôme</t>
        </is>
      </c>
      <c r="E10635" t="n">
        <v>28.59</v>
      </c>
      <c r="F10635" t="n">
        <v>1</v>
      </c>
      <c r="G10635" t="n">
        <v>4</v>
      </c>
      <c r="H10635" s="5">
        <f>HYPERLINK("https://api.qogita.com/variants/link/3614270971273/", "View Product")</f>
        <v/>
      </c>
    </row>
    <row r="10636">
      <c r="A10636" t="inlineStr">
        <is>
          <t>3614271099853</t>
        </is>
      </c>
      <c r="B10636" t="inlineStr">
        <is>
          <t>Biotherm 72h Homme Day Control Spray 150 Ml</t>
        </is>
      </c>
      <c r="C10636" t="inlineStr">
        <is>
          <t>Deodorant &amp; Anti-Perspirant</t>
        </is>
      </c>
      <c r="D10636" t="inlineStr">
        <is>
          <t>Biotherm</t>
        </is>
      </c>
      <c r="E10636" t="n">
        <v>17.46</v>
      </c>
      <c r="F10636" t="n">
        <v>1</v>
      </c>
      <c r="G10636" t="n">
        <v>49</v>
      </c>
      <c r="H10636" s="5">
        <f>HYPERLINK("https://api.qogita.com/variants/link/3614271099853/", "View Product")</f>
        <v/>
      </c>
    </row>
    <row r="10637">
      <c r="A10637" t="inlineStr">
        <is>
          <t>3614271256089</t>
        </is>
      </c>
      <c r="B10637" t="inlineStr">
        <is>
          <t>Biotherm Biosource 24h Hydrating Toner 400ml For Normal And Mixed Skin</t>
        </is>
      </c>
      <c r="C10637" t="inlineStr">
        <is>
          <t>Facial Spray</t>
        </is>
      </c>
      <c r="D10637" t="inlineStr">
        <is>
          <t>Biotherm</t>
        </is>
      </c>
      <c r="E10637" t="n">
        <v>23.06</v>
      </c>
      <c r="F10637" t="n">
        <v>1</v>
      </c>
      <c r="G10637" t="n">
        <v>2</v>
      </c>
      <c r="H10637" s="5">
        <f>HYPERLINK("https://api.qogita.com/variants/link/3614271256089/", "View Product")</f>
        <v/>
      </c>
    </row>
    <row r="10638">
      <c r="A10638" t="inlineStr">
        <is>
          <t>3614271429872</t>
        </is>
      </c>
      <c r="B10638" t="inlineStr">
        <is>
          <t>Maison Margiela Replica Dancing On The Moon Eau De Parfum 100 Ml</t>
        </is>
      </c>
      <c r="C10638" t="inlineStr">
        <is>
          <t>Eau De Parfum</t>
        </is>
      </c>
      <c r="D10638" t="inlineStr">
        <is>
          <t>Maison Margiela</t>
        </is>
      </c>
      <c r="E10638" t="n">
        <v>124.4</v>
      </c>
      <c r="F10638" t="n">
        <v>1</v>
      </c>
      <c r="G10638" t="n">
        <v>3</v>
      </c>
      <c r="H10638" s="5">
        <f>HYPERLINK("https://api.qogita.com/variants/link/3614271429872/", "View Product")</f>
        <v/>
      </c>
    </row>
    <row r="10639">
      <c r="A10639" t="inlineStr">
        <is>
          <t>3614271429902</t>
        </is>
      </c>
      <c r="B10639" t="inlineStr">
        <is>
          <t>Maison Margiela Replica Soul Of The Forest Eau De Parfum Spray 100 Ml</t>
        </is>
      </c>
      <c r="C10639" t="inlineStr">
        <is>
          <t>Eau De Parfum</t>
        </is>
      </c>
      <c r="D10639" t="inlineStr">
        <is>
          <t>Maison Margiela</t>
        </is>
      </c>
      <c r="E10639" t="n">
        <v>102.99</v>
      </c>
      <c r="F10639" t="n">
        <v>1</v>
      </c>
      <c r="G10639" t="n">
        <v>4</v>
      </c>
      <c r="H10639" s="5">
        <f>HYPERLINK("https://api.qogita.com/variants/link/3614271429902/", "View Product")</f>
        <v/>
      </c>
    </row>
    <row r="10640">
      <c r="A10640" t="inlineStr">
        <is>
          <t>3614271430434</t>
        </is>
      </c>
      <c r="B10640" t="inlineStr">
        <is>
          <t>Lancome Teint Idole Ultra Wear 24H Wear &amp; Comfort Foundation SPF15 No.012 Ambre Deep 30ml</t>
        </is>
      </c>
      <c r="C10640" t="inlineStr">
        <is>
          <t>Foundation</t>
        </is>
      </c>
      <c r="D10640" t="inlineStr">
        <is>
          <t>Lancôme</t>
        </is>
      </c>
      <c r="E10640" t="n">
        <v>39.78</v>
      </c>
      <c r="F10640" t="n">
        <v>1</v>
      </c>
      <c r="G10640" t="n">
        <v>2</v>
      </c>
      <c r="H10640" s="5">
        <f>HYPERLINK("https://api.qogita.com/variants/link/3614271430434/", "View Product")</f>
        <v/>
      </c>
    </row>
    <row r="10641">
      <c r="A10641" t="inlineStr">
        <is>
          <t>3614271579119</t>
        </is>
      </c>
      <c r="B10641" t="inlineStr">
        <is>
          <t>Giorgio Armani Si Eau De Parfum Spray 15ml</t>
        </is>
      </c>
      <c r="C10641" t="inlineStr">
        <is>
          <t>Eau De Parfum</t>
        </is>
      </c>
      <c r="D10641" t="inlineStr">
        <is>
          <t>Giorgio Armani</t>
        </is>
      </c>
      <c r="E10641" t="n">
        <v>22.02</v>
      </c>
      <c r="F10641" t="n">
        <v>1</v>
      </c>
      <c r="G10641" t="n">
        <v>38</v>
      </c>
      <c r="H10641" s="5">
        <f>HYPERLINK("https://api.qogita.com/variants/link/3614271579119/", "View Product")</f>
        <v/>
      </c>
    </row>
    <row r="10642">
      <c r="A10642" t="inlineStr">
        <is>
          <t>3614271701510</t>
        </is>
      </c>
      <c r="B10642" t="inlineStr">
        <is>
          <t>Biotherm Waterlover Sun Milk Solar milk SPF50 200 ml</t>
        </is>
      </c>
      <c r="C10642" t="inlineStr">
        <is>
          <t>Body Sun Protection</t>
        </is>
      </c>
      <c r="D10642" t="inlineStr">
        <is>
          <t>Biotherm</t>
        </is>
      </c>
      <c r="E10642" t="n">
        <v>35.16</v>
      </c>
      <c r="F10642" t="n">
        <v>1</v>
      </c>
      <c r="G10642" t="n">
        <v>2</v>
      </c>
      <c r="H10642" s="5">
        <f>HYPERLINK("https://api.qogita.com/variants/link/3614271701510/", "View Product")</f>
        <v/>
      </c>
    </row>
    <row r="10643">
      <c r="A10643" t="inlineStr">
        <is>
          <t>3614271994844</t>
        </is>
      </c>
      <c r="B10643" t="inlineStr">
        <is>
          <t>Giorgio Armani Si Passione Eau De Parfum Spray 100ml</t>
        </is>
      </c>
      <c r="C10643" t="inlineStr">
        <is>
          <t>Eau De Parfum</t>
        </is>
      </c>
      <c r="D10643" t="inlineStr">
        <is>
          <t>Giorgio Armani</t>
        </is>
      </c>
      <c r="E10643" t="n">
        <v>87.02</v>
      </c>
      <c r="F10643" t="n">
        <v>1</v>
      </c>
      <c r="G10643" t="n">
        <v>14</v>
      </c>
      <c r="H10643" s="5">
        <f>HYPERLINK("https://api.qogita.com/variants/link/3614271994844/", "View Product")</f>
        <v/>
      </c>
    </row>
    <row r="10644">
      <c r="A10644" t="inlineStr">
        <is>
          <t>3614272046283</t>
        </is>
      </c>
      <c r="B10644" t="inlineStr">
        <is>
          <t>Viktor &amp; Rolf Flowerbomb Nectar Eau De Parfum 50ml For Women</t>
        </is>
      </c>
      <c r="C10644" t="inlineStr">
        <is>
          <t>Eau De Parfum</t>
        </is>
      </c>
      <c r="D10644" t="inlineStr">
        <is>
          <t>Viktor &amp; Rolf</t>
        </is>
      </c>
      <c r="E10644" t="n">
        <v>65.52</v>
      </c>
      <c r="F10644" t="n">
        <v>1</v>
      </c>
      <c r="G10644" t="n">
        <v>3</v>
      </c>
      <c r="H10644" s="5">
        <f>HYPERLINK("https://api.qogita.com/variants/link/3614272046283/", "View Product")</f>
        <v/>
      </c>
    </row>
    <row r="10645">
      <c r="A10645" t="inlineStr">
        <is>
          <t>3614272140127</t>
        </is>
      </c>
      <c r="B10645" t="inlineStr">
        <is>
          <t>Yves Saint Laurent Rouge Pur Couture The Slim Matte Lipstick 23 2.2g</t>
        </is>
      </c>
      <c r="C10645" t="inlineStr">
        <is>
          <t>Lipstick</t>
        </is>
      </c>
      <c r="D10645" t="inlineStr">
        <is>
          <t>Yves Saint Laurent</t>
        </is>
      </c>
      <c r="E10645" t="n">
        <v>32.72</v>
      </c>
      <c r="F10645" t="n">
        <v>1</v>
      </c>
      <c r="G10645" t="n">
        <v>2</v>
      </c>
      <c r="H10645" s="5">
        <f>HYPERLINK("https://api.qogita.com/variants/link/3614272140127/", "View Product")</f>
        <v/>
      </c>
    </row>
    <row r="10646">
      <c r="A10646" t="inlineStr">
        <is>
          <t>3614272161825</t>
        </is>
      </c>
      <c r="B10646" t="inlineStr">
        <is>
          <t>Lancme Hypnse Waterproof Mascara 01 Noir Hypnotic 6ml For Maximum Length And Volume Of Eyelashes</t>
        </is>
      </c>
      <c r="C10646" t="inlineStr">
        <is>
          <t>Mascara</t>
        </is>
      </c>
      <c r="D10646" t="inlineStr">
        <is>
          <t>Lancôme</t>
        </is>
      </c>
      <c r="E10646" t="n">
        <v>27.28</v>
      </c>
      <c r="F10646" t="n">
        <v>1</v>
      </c>
      <c r="G10646" t="n">
        <v>32</v>
      </c>
      <c r="H10646" s="5">
        <f>HYPERLINK("https://api.qogita.com/variants/link/3614272161825/", "View Product")</f>
        <v/>
      </c>
    </row>
    <row r="10647">
      <c r="A10647" t="inlineStr">
        <is>
          <t>3614272163478</t>
        </is>
      </c>
      <c r="B10647" t="inlineStr">
        <is>
          <t>Giorgio Armani Eyes To Kill Stellar Eyeshadow 4 G</t>
        </is>
      </c>
      <c r="C10647" t="inlineStr">
        <is>
          <t>Eyeshadow</t>
        </is>
      </c>
      <c r="D10647" t="inlineStr">
        <is>
          <t>Giorgio Armani</t>
        </is>
      </c>
      <c r="E10647" t="n">
        <v>27.95</v>
      </c>
      <c r="F10647" t="n">
        <v>1</v>
      </c>
      <c r="G10647" t="n">
        <v>14</v>
      </c>
      <c r="H10647" s="5">
        <f>HYPERLINK("https://api.qogita.com/variants/link/3614272163478/", "View Product")</f>
        <v/>
      </c>
    </row>
    <row r="10648">
      <c r="A10648" t="inlineStr">
        <is>
          <t>3614272191549</t>
        </is>
      </c>
      <c r="B10648" t="inlineStr">
        <is>
          <t>Viktor&amp;Rolf Spicebomb Night Vision Eau De Toilette Spray 50ml</t>
        </is>
      </c>
      <c r="C10648" t="inlineStr">
        <is>
          <t>Eau De Toilette</t>
        </is>
      </c>
      <c r="D10648" t="inlineStr">
        <is>
          <t>Viktor &amp; Rolf</t>
        </is>
      </c>
      <c r="E10648" t="n">
        <v>40.27</v>
      </c>
      <c r="F10648" t="n">
        <v>1</v>
      </c>
      <c r="G10648" t="n">
        <v>5</v>
      </c>
      <c r="H10648" s="5">
        <f>HYPERLINK("https://api.qogita.com/variants/link/3614272191549/", "View Product")</f>
        <v/>
      </c>
    </row>
    <row r="10649">
      <c r="A10649" t="inlineStr">
        <is>
          <t>3614272257276</t>
        </is>
      </c>
      <c r="B10649" t="inlineStr">
        <is>
          <t>Giorgio Armani Luminous Silk Hydrating Primer 30ml Transparent</t>
        </is>
      </c>
      <c r="C10649" t="inlineStr">
        <is>
          <t>Face Cream</t>
        </is>
      </c>
      <c r="D10649" t="inlineStr">
        <is>
          <t>Giorgio Armani</t>
        </is>
      </c>
      <c r="E10649" t="n">
        <v>39.33</v>
      </c>
      <c r="F10649" t="n">
        <v>1</v>
      </c>
      <c r="G10649" t="n">
        <v>23</v>
      </c>
      <c r="H10649" s="5">
        <f>HYPERLINK("https://api.qogita.com/variants/link/3614272257276/", "View Product")</f>
        <v/>
      </c>
    </row>
    <row r="10650">
      <c r="A10650" t="inlineStr">
        <is>
          <t>3614272518100</t>
        </is>
      </c>
      <c r="B10650" t="inlineStr">
        <is>
          <t>Giorgio Armani Eye Tint Eyeshadow 8 Flannel 3.9ml</t>
        </is>
      </c>
      <c r="C10650" t="inlineStr">
        <is>
          <t>Eyeshadow</t>
        </is>
      </c>
      <c r="D10650" t="inlineStr">
        <is>
          <t>Giorgio Armani</t>
        </is>
      </c>
      <c r="E10650" t="n">
        <v>27.78</v>
      </c>
      <c r="F10650" t="n">
        <v>1</v>
      </c>
      <c r="G10650" t="n">
        <v>20</v>
      </c>
      <c r="H10650" s="5">
        <f>HYPERLINK("https://api.qogita.com/variants/link/3614272518100/", "View Product")</f>
        <v/>
      </c>
    </row>
    <row r="10651">
      <c r="A10651" t="inlineStr">
        <is>
          <t>3614272518131</t>
        </is>
      </c>
      <c r="B10651" t="inlineStr">
        <is>
          <t>Giorgio Armani Eye Tint Eyeshadow 11 Rose Ashes 3.9ml</t>
        </is>
      </c>
      <c r="C10651" t="inlineStr">
        <is>
          <t>Eyeshadow</t>
        </is>
      </c>
      <c r="D10651" t="inlineStr">
        <is>
          <t>Giorgio Armani</t>
        </is>
      </c>
      <c r="E10651" t="n">
        <v>27.76</v>
      </c>
      <c r="F10651" t="n">
        <v>1</v>
      </c>
      <c r="G10651" t="n">
        <v>21</v>
      </c>
      <c r="H10651" s="5">
        <f>HYPERLINK("https://api.qogita.com/variants/link/3614272518131/", "View Product")</f>
        <v/>
      </c>
    </row>
    <row r="10652">
      <c r="A10652" t="inlineStr">
        <is>
          <t>3614272518223</t>
        </is>
      </c>
      <c r="B10652" t="inlineStr">
        <is>
          <t>Armani Giorgio Armani Ey Tint Renovation 32</t>
        </is>
      </c>
      <c r="C10652" t="inlineStr">
        <is>
          <t>Eyeshadow</t>
        </is>
      </c>
      <c r="D10652" t="inlineStr">
        <is>
          <t>Armani</t>
        </is>
      </c>
      <c r="E10652" t="n">
        <v>28.16</v>
      </c>
      <c r="F10652" t="n">
        <v>1</v>
      </c>
      <c r="G10652" t="n">
        <v>8</v>
      </c>
      <c r="H10652" s="5">
        <f>HYPERLINK("https://api.qogita.com/variants/link/3614272518223/", "View Product")</f>
        <v/>
      </c>
    </row>
    <row r="10653">
      <c r="A10653" t="inlineStr">
        <is>
          <t>3614272537385</t>
        </is>
      </c>
      <c r="B10653" t="inlineStr">
        <is>
          <t>Biotherm Aqua Glow Super Concentrate 50ml Hydrating And Illuminating Fluid For Normal And Combination Skin</t>
        </is>
      </c>
      <c r="C10653" t="inlineStr">
        <is>
          <t>Glow Serum</t>
        </is>
      </c>
      <c r="D10653" t="inlineStr">
        <is>
          <t>Biotherm</t>
        </is>
      </c>
      <c r="E10653" t="n">
        <v>23.79</v>
      </c>
      <c r="F10653" t="n">
        <v>1</v>
      </c>
      <c r="G10653" t="n">
        <v>15</v>
      </c>
      <c r="H10653" s="5">
        <f>HYPERLINK("https://api.qogita.com/variants/link/3614272537385/", "View Product")</f>
        <v/>
      </c>
    </row>
    <row r="10654">
      <c r="A10654" t="inlineStr">
        <is>
          <t>3614272610682</t>
        </is>
      </c>
      <c r="B10654" t="inlineStr">
        <is>
          <t>Giorgio Armani Prive Winter Vetiver Eau de Toilette for Men 50ml</t>
        </is>
      </c>
      <c r="C10654" t="inlineStr">
        <is>
          <t>Eau De Toilette</t>
        </is>
      </c>
      <c r="D10654" t="inlineStr">
        <is>
          <t>Giorgio Armani</t>
        </is>
      </c>
      <c r="E10654" t="n">
        <v>114.61</v>
      </c>
      <c r="F10654" t="n">
        <v>1</v>
      </c>
      <c r="G10654" t="n">
        <v>5</v>
      </c>
      <c r="H10654" s="5">
        <f>HYPERLINK("https://api.qogita.com/variants/link/3614272610682/", "View Product")</f>
        <v/>
      </c>
    </row>
    <row r="10655">
      <c r="A10655" t="inlineStr">
        <is>
          <t>3614272623507</t>
        </is>
      </c>
      <c r="B10655" t="inlineStr">
        <is>
          <t>Lancome Genefique Ultimate Serum 100ml</t>
        </is>
      </c>
      <c r="C10655" t="inlineStr">
        <is>
          <t>Anti-Aging Serum</t>
        </is>
      </c>
      <c r="D10655" t="inlineStr">
        <is>
          <t>Lancôme</t>
        </is>
      </c>
      <c r="E10655" t="n">
        <v>134.63</v>
      </c>
      <c r="F10655" t="n">
        <v>1</v>
      </c>
      <c r="G10655" t="n">
        <v>23</v>
      </c>
      <c r="H10655" s="5">
        <f>HYPERLINK("https://api.qogita.com/variants/link/3614272623507/", "View Product")</f>
        <v/>
      </c>
    </row>
    <row r="10656">
      <c r="A10656" t="inlineStr">
        <is>
          <t>3614272631892</t>
        </is>
      </c>
      <c r="B10656" t="inlineStr">
        <is>
          <t>Diesel Spirit Of The Brave Eau De Toilette 35ml Men Spray</t>
        </is>
      </c>
      <c r="C10656" t="inlineStr">
        <is>
          <t>Eau De Toilette</t>
        </is>
      </c>
      <c r="D10656" t="inlineStr">
        <is>
          <t>Diesel</t>
        </is>
      </c>
      <c r="E10656" t="n">
        <v>20.47</v>
      </c>
      <c r="F10656" t="n">
        <v>1</v>
      </c>
      <c r="G10656" t="n">
        <v>19</v>
      </c>
      <c r="H10656" s="5">
        <f>HYPERLINK("https://api.qogita.com/variants/link/3614272631892/", "View Product")</f>
        <v/>
      </c>
    </row>
    <row r="10657">
      <c r="A10657" t="inlineStr">
        <is>
          <t>3614272649224</t>
        </is>
      </c>
      <c r="B10657" t="inlineStr">
        <is>
          <t>Giorgio Armani Lip Power 103 3.1g</t>
        </is>
      </c>
      <c r="C10657" t="inlineStr">
        <is>
          <t>Lipstick</t>
        </is>
      </c>
      <c r="D10657" t="inlineStr">
        <is>
          <t>Giorgio Armani</t>
        </is>
      </c>
      <c r="E10657" t="n">
        <v>35.38</v>
      </c>
      <c r="F10657" t="n">
        <v>1</v>
      </c>
      <c r="G10657" t="n">
        <v>12</v>
      </c>
      <c r="H10657" s="5">
        <f>HYPERLINK("https://api.qogita.com/variants/link/3614272649224/", "View Product")</f>
        <v/>
      </c>
    </row>
    <row r="10658">
      <c r="A10658" t="inlineStr">
        <is>
          <t>3614272732209</t>
        </is>
      </c>
      <c r="B10658" t="inlineStr">
        <is>
          <t>Valentino Eau de Toilette for Men 100ml</t>
        </is>
      </c>
      <c r="C10658" t="inlineStr">
        <is>
          <t>Eau De Toilette</t>
        </is>
      </c>
      <c r="D10658" t="inlineStr">
        <is>
          <t>Valentino</t>
        </is>
      </c>
      <c r="E10658" t="n">
        <v>54.85</v>
      </c>
      <c r="F10658" t="n">
        <v>1</v>
      </c>
      <c r="G10658" t="n">
        <v>9</v>
      </c>
      <c r="H10658" s="5">
        <f>HYPERLINK("https://api.qogita.com/variants/link/3614272732209/", "View Product")</f>
        <v/>
      </c>
    </row>
    <row r="10659">
      <c r="A10659" t="inlineStr">
        <is>
          <t>3614272761421</t>
        </is>
      </c>
      <c r="B10659" t="inlineStr">
        <is>
          <t>Valentino Donna Born In Roma Eau De Parfum 30ml</t>
        </is>
      </c>
      <c r="C10659" t="inlineStr">
        <is>
          <t>Eau De Parfum</t>
        </is>
      </c>
      <c r="D10659" t="inlineStr">
        <is>
          <t>Valentino</t>
        </is>
      </c>
      <c r="E10659" t="n">
        <v>52.13</v>
      </c>
      <c r="F10659" t="n">
        <v>1</v>
      </c>
      <c r="G10659" t="n">
        <v>1</v>
      </c>
      <c r="H10659" s="5">
        <f>HYPERLINK("https://api.qogita.com/variants/link/3614272761421/", "View Product")</f>
        <v/>
      </c>
    </row>
    <row r="10660">
      <c r="A10660" t="inlineStr">
        <is>
          <t>3614272761469</t>
        </is>
      </c>
      <c r="B10660" t="inlineStr">
        <is>
          <t>Valentino Uomo Born In Roma Eau De Toilette Spray 100ml</t>
        </is>
      </c>
      <c r="C10660" t="inlineStr">
        <is>
          <t>Eau De Toilette</t>
        </is>
      </c>
      <c r="D10660" t="inlineStr">
        <is>
          <t>Valentino</t>
        </is>
      </c>
      <c r="E10660" t="n">
        <v>69.56</v>
      </c>
      <c r="F10660" t="n">
        <v>1</v>
      </c>
      <c r="G10660" t="n">
        <v>28</v>
      </c>
      <c r="H10660" s="5">
        <f>HYPERLINK("https://api.qogita.com/variants/link/3614272761469/", "View Product")</f>
        <v/>
      </c>
    </row>
    <row r="10661">
      <c r="A10661" t="inlineStr">
        <is>
          <t>3614272798717</t>
        </is>
      </c>
      <c r="B10661" t="inlineStr">
        <is>
          <t>Giorgio Armani Prive Rose Alexandria Eau De Toilette for Women 100ml</t>
        </is>
      </c>
      <c r="C10661" t="inlineStr">
        <is>
          <t>Eau De Toilette</t>
        </is>
      </c>
      <c r="D10661" t="inlineStr">
        <is>
          <t>Giorgio Armani</t>
        </is>
      </c>
      <c r="E10661" t="n">
        <v>164.47</v>
      </c>
      <c r="F10661" t="n">
        <v>1</v>
      </c>
      <c r="G10661" t="n">
        <v>4</v>
      </c>
      <c r="H10661" s="5">
        <f>HYPERLINK("https://api.qogita.com/variants/link/3614272798717/", "View Product")</f>
        <v/>
      </c>
    </row>
    <row r="10662">
      <c r="A10662" t="inlineStr">
        <is>
          <t>3614272824973</t>
        </is>
      </c>
      <c r="B10662" t="inlineStr">
        <is>
          <t>Yves Saint Laurent Black Opium Neon Eau De Parfum Spray 75ml</t>
        </is>
      </c>
      <c r="C10662" t="inlineStr">
        <is>
          <t>Eau De Parfum</t>
        </is>
      </c>
      <c r="D10662" t="inlineStr">
        <is>
          <t>Yves Saint Laurent</t>
        </is>
      </c>
      <c r="E10662" t="n">
        <v>86.40000000000001</v>
      </c>
      <c r="F10662" t="n">
        <v>1</v>
      </c>
      <c r="G10662" t="n">
        <v>18</v>
      </c>
      <c r="H10662" s="5">
        <f>HYPERLINK("https://api.qogita.com/variants/link/3614272824973/", "View Product")</f>
        <v/>
      </c>
    </row>
    <row r="10663">
      <c r="A10663" t="inlineStr">
        <is>
          <t>3614272828032</t>
        </is>
      </c>
      <c r="B10663" t="inlineStr">
        <is>
          <t>Lancome Teint Idole Ultra Wear Stick 045 Beige Sable</t>
        </is>
      </c>
      <c r="C10663" t="inlineStr">
        <is>
          <t>Foundation</t>
        </is>
      </c>
      <c r="D10663" t="inlineStr">
        <is>
          <t>Lancôme</t>
        </is>
      </c>
      <c r="E10663" t="n">
        <v>34.97</v>
      </c>
      <c r="F10663" t="n">
        <v>1</v>
      </c>
      <c r="G10663" t="n">
        <v>3</v>
      </c>
      <c r="H10663" s="5">
        <f>HYPERLINK("https://api.qogita.com/variants/link/3614272828032/", "View Product")</f>
        <v/>
      </c>
    </row>
    <row r="10664">
      <c r="A10664" t="inlineStr">
        <is>
          <t>3614272890626</t>
        </is>
      </c>
      <c r="B10664" t="inlineStr">
        <is>
          <t>Yves Saint Laurent L'Homme Le Parfum Eau De Parfum</t>
        </is>
      </c>
      <c r="C10664" t="inlineStr">
        <is>
          <t>Eau De Parfum</t>
        </is>
      </c>
      <c r="D10664" t="inlineStr">
        <is>
          <t>Yves Saint Laurent</t>
        </is>
      </c>
      <c r="E10664" t="n">
        <v>75.3</v>
      </c>
      <c r="F10664" t="n">
        <v>1</v>
      </c>
      <c r="G10664" t="n">
        <v>60</v>
      </c>
      <c r="H10664" s="5">
        <f>HYPERLINK("https://api.qogita.com/variants/link/3614272890626/", "View Product")</f>
        <v/>
      </c>
    </row>
    <row r="10665">
      <c r="A10665" t="inlineStr">
        <is>
          <t>3614272941656</t>
        </is>
      </c>
      <c r="B10665" t="inlineStr">
        <is>
          <t>Giorgio Armani Luminous Silk Foundation</t>
        </is>
      </c>
      <c r="C10665" t="inlineStr">
        <is>
          <t>Foundation</t>
        </is>
      </c>
      <c r="D10665" t="inlineStr">
        <is>
          <t>Giorgio Armani</t>
        </is>
      </c>
      <c r="E10665" t="n">
        <v>44.58</v>
      </c>
      <c r="F10665" t="n">
        <v>1</v>
      </c>
      <c r="G10665" t="n">
        <v>3</v>
      </c>
      <c r="H10665" s="5">
        <f>HYPERLINK("https://api.qogita.com/variants/link/3614272941656/", "View Product")</f>
        <v/>
      </c>
    </row>
    <row r="10666">
      <c r="A10666" t="inlineStr">
        <is>
          <t>3614272951594</t>
        </is>
      </c>
      <c r="B10666" t="inlineStr">
        <is>
          <t>Giorgio Armani Luminous Silk Multi-Purpose Glow Concealer 8.75 0.40oz</t>
        </is>
      </c>
      <c r="C10666" t="inlineStr">
        <is>
          <t>Concealer</t>
        </is>
      </c>
      <c r="D10666" t="inlineStr">
        <is>
          <t>Giorgio Armani</t>
        </is>
      </c>
      <c r="E10666" t="n">
        <v>32.77</v>
      </c>
      <c r="F10666" t="n">
        <v>1</v>
      </c>
      <c r="G10666" t="n">
        <v>14</v>
      </c>
      <c r="H10666" s="5">
        <f>HYPERLINK("https://api.qogita.com/variants/link/3614272951594/", "View Product")</f>
        <v/>
      </c>
    </row>
    <row r="10667">
      <c r="A10667" t="inlineStr">
        <is>
          <t>3614272951631</t>
        </is>
      </c>
      <c r="B10667" t="inlineStr">
        <is>
          <t>Giorgio Armani Luminous Silk Concealer 12 Ml</t>
        </is>
      </c>
      <c r="C10667" t="inlineStr">
        <is>
          <t>Concealer</t>
        </is>
      </c>
      <c r="D10667" t="inlineStr">
        <is>
          <t>Giorgio Armani</t>
        </is>
      </c>
      <c r="E10667" t="n">
        <v>31.76</v>
      </c>
      <c r="F10667" t="n">
        <v>1</v>
      </c>
      <c r="G10667" t="n">
        <v>5</v>
      </c>
      <c r="H10667" s="5">
        <f>HYPERLINK("https://api.qogita.com/variants/link/3614272951631/", "View Product")</f>
        <v/>
      </c>
    </row>
    <row r="10668">
      <c r="A10668" t="inlineStr">
        <is>
          <t>3614272951693</t>
        </is>
      </c>
      <c r="B10668" t="inlineStr">
        <is>
          <t>Giorgio Armani Luminous Silk Multi-Purpose Glow Concealer 8 12ml</t>
        </is>
      </c>
      <c r="C10668" t="inlineStr">
        <is>
          <t>Concealer</t>
        </is>
      </c>
      <c r="D10668" t="inlineStr">
        <is>
          <t>Giorgio Armani</t>
        </is>
      </c>
      <c r="E10668" t="n">
        <v>31.61</v>
      </c>
      <c r="F10668" t="n">
        <v>1</v>
      </c>
      <c r="G10668" t="n">
        <v>5</v>
      </c>
      <c r="H10668" s="5">
        <f>HYPERLINK("https://api.qogita.com/variants/link/3614272951693/", "View Product")</f>
        <v/>
      </c>
    </row>
    <row r="10669">
      <c r="A10669" t="inlineStr">
        <is>
          <t>3614273056625</t>
        </is>
      </c>
      <c r="B10669" t="inlineStr">
        <is>
          <t>Yves Saint Laurent Rouge Pur Couture The Bold Lipstick Shade 28 Nu Incongru 28 Grams</t>
        </is>
      </c>
      <c r="C10669" t="inlineStr">
        <is>
          <t>Lipstick</t>
        </is>
      </c>
      <c r="D10669" t="inlineStr">
        <is>
          <t>Yves Saint Laurent</t>
        </is>
      </c>
      <c r="E10669" t="n">
        <v>32.73</v>
      </c>
      <c r="F10669" t="n">
        <v>1</v>
      </c>
      <c r="G10669" t="n">
        <v>2</v>
      </c>
      <c r="H10669" s="5">
        <f>HYPERLINK("https://api.qogita.com/variants/link/3614273056625/", "View Product")</f>
        <v/>
      </c>
    </row>
    <row r="10670">
      <c r="A10670" t="inlineStr">
        <is>
          <t>3614273067768</t>
        </is>
      </c>
      <c r="B10670" t="inlineStr">
        <is>
          <t>Viktor &amp; Rolf Spicebomb Night Vision Eau De Parfum 90ml For Men</t>
        </is>
      </c>
      <c r="C10670" t="inlineStr">
        <is>
          <t>Eau De Parfum</t>
        </is>
      </c>
      <c r="D10670" t="inlineStr">
        <is>
          <t>Viktor &amp; Rolf</t>
        </is>
      </c>
      <c r="E10670" t="n">
        <v>65.5</v>
      </c>
      <c r="F10670" t="n">
        <v>1</v>
      </c>
      <c r="G10670" t="n">
        <v>10</v>
      </c>
      <c r="H10670" s="5">
        <f>HYPERLINK("https://api.qogita.com/variants/link/3614273067768/", "View Product")</f>
        <v/>
      </c>
    </row>
    <row r="10671">
      <c r="A10671" t="inlineStr">
        <is>
          <t>3614273070225</t>
        </is>
      </c>
      <c r="B10671" t="inlineStr">
        <is>
          <t>Emporio Armani Homme Eau de Toilette 30ml</t>
        </is>
      </c>
      <c r="C10671" t="inlineStr">
        <is>
          <t>Eau De Toilette</t>
        </is>
      </c>
      <c r="D10671" t="inlineStr">
        <is>
          <t>Giorgio Armani</t>
        </is>
      </c>
      <c r="E10671" t="n">
        <v>39.52</v>
      </c>
      <c r="F10671" t="n">
        <v>1</v>
      </c>
      <c r="G10671" t="n">
        <v>5</v>
      </c>
      <c r="H10671" s="5">
        <f>HYPERLINK("https://api.qogita.com/variants/link/3614273070225/", "View Product")</f>
        <v/>
      </c>
    </row>
    <row r="10672">
      <c r="A10672" t="inlineStr">
        <is>
          <t>3614273073882</t>
        </is>
      </c>
      <c r="B10672" t="inlineStr">
        <is>
          <t>Valentino Voce Viva Eau De Parfum Spray 50ml</t>
        </is>
      </c>
      <c r="C10672" t="inlineStr">
        <is>
          <t>Eau De Parfum</t>
        </is>
      </c>
      <c r="D10672" t="inlineStr">
        <is>
          <t>Valentino</t>
        </is>
      </c>
      <c r="E10672" t="n">
        <v>71.36</v>
      </c>
      <c r="F10672" t="n">
        <v>1</v>
      </c>
      <c r="G10672" t="n">
        <v>13</v>
      </c>
      <c r="H10672" s="5">
        <f>HYPERLINK("https://api.qogita.com/variants/link/3614273073882/", "View Product")</f>
        <v/>
      </c>
    </row>
    <row r="10673">
      <c r="A10673" t="inlineStr">
        <is>
          <t>3614273256506</t>
        </is>
      </c>
      <c r="B10673" t="inlineStr">
        <is>
          <t>Yves Saint Laurent Black Opium Extreme Eau De Parfum Spray 30ml</t>
        </is>
      </c>
      <c r="C10673" t="inlineStr">
        <is>
          <t>Eau De Parfum</t>
        </is>
      </c>
      <c r="D10673" t="inlineStr">
        <is>
          <t>Yves Saint Laurent</t>
        </is>
      </c>
      <c r="E10673" t="n">
        <v>61.31</v>
      </c>
      <c r="F10673" t="n">
        <v>1</v>
      </c>
      <c r="G10673" t="n">
        <v>4</v>
      </c>
      <c r="H10673" s="5">
        <f>HYPERLINK("https://api.qogita.com/variants/link/3614273256506/", "View Product")</f>
        <v/>
      </c>
    </row>
    <row r="10674">
      <c r="A10674" t="inlineStr">
        <is>
          <t>3614273261425</t>
        </is>
      </c>
      <c r="B10674" t="inlineStr">
        <is>
          <t>Valentino Uomo Born In Roma Yellow Dream Eau De Parfum Spray 100 Ml</t>
        </is>
      </c>
      <c r="C10674" t="inlineStr">
        <is>
          <t>Eau De Parfum</t>
        </is>
      </c>
      <c r="D10674" t="inlineStr">
        <is>
          <t>Valentino</t>
        </is>
      </c>
      <c r="E10674" t="n">
        <v>68.84</v>
      </c>
      <c r="F10674" t="n">
        <v>1</v>
      </c>
      <c r="G10674" t="n">
        <v>44</v>
      </c>
      <c r="H10674" s="5">
        <f>HYPERLINK("https://api.qogita.com/variants/link/3614273261425/", "View Product")</f>
        <v/>
      </c>
    </row>
    <row r="10675">
      <c r="A10675" t="inlineStr">
        <is>
          <t>3614273307307</t>
        </is>
      </c>
      <c r="B10675" t="inlineStr">
        <is>
          <t>Lancme L'Absolu Rouge Cream Lipstick 11 Rose Nature 34 G</t>
        </is>
      </c>
      <c r="C10675" t="inlineStr">
        <is>
          <t>Lipstick</t>
        </is>
      </c>
      <c r="D10675" t="inlineStr">
        <is>
          <t>Lancôme</t>
        </is>
      </c>
      <c r="E10675" t="n">
        <v>30.99</v>
      </c>
      <c r="F10675" t="n">
        <v>1</v>
      </c>
      <c r="G10675" t="n">
        <v>6</v>
      </c>
      <c r="H10675" s="5">
        <f>HYPERLINK("https://api.qogita.com/variants/link/3614273307307/", "View Product")</f>
        <v/>
      </c>
    </row>
    <row r="10676">
      <c r="A10676" t="inlineStr">
        <is>
          <t>3614273307444</t>
        </is>
      </c>
      <c r="B10676" t="inlineStr">
        <is>
          <t>Lancome L'Absolu Rouge Cream Lipstick 06 Rose Nu 3.4g</t>
        </is>
      </c>
      <c r="C10676" t="inlineStr">
        <is>
          <t>Lipstick</t>
        </is>
      </c>
      <c r="D10676" t="inlineStr">
        <is>
          <t>Lancôme</t>
        </is>
      </c>
      <c r="E10676" t="n">
        <v>29.62</v>
      </c>
      <c r="F10676" t="n">
        <v>1</v>
      </c>
      <c r="G10676" t="n">
        <v>8</v>
      </c>
      <c r="H10676" s="5">
        <f>HYPERLINK("https://api.qogita.com/variants/link/3614273307444/", "View Product")</f>
        <v/>
      </c>
    </row>
    <row r="10677">
      <c r="A10677" t="inlineStr">
        <is>
          <t>3614273335812</t>
        </is>
      </c>
      <c r="B10677" t="inlineStr">
        <is>
          <t>Giorgio Armani Stronger With You Absolutely Eau De Parfum 50ml</t>
        </is>
      </c>
      <c r="C10677" t="inlineStr">
        <is>
          <t>Eau De Parfum</t>
        </is>
      </c>
      <c r="D10677" t="inlineStr">
        <is>
          <t>Giorgio Armani</t>
        </is>
      </c>
      <c r="E10677" t="n">
        <v>63.56</v>
      </c>
      <c r="F10677" t="n">
        <v>1</v>
      </c>
      <c r="G10677" t="n">
        <v>35</v>
      </c>
      <c r="H10677" s="5">
        <f>HYPERLINK("https://api.qogita.com/variants/link/3614273335812/", "View Product")</f>
        <v/>
      </c>
    </row>
    <row r="10678">
      <c r="A10678" t="inlineStr">
        <is>
          <t>3614273346498</t>
        </is>
      </c>
      <c r="B10678" t="inlineStr">
        <is>
          <t>Lancme Absolue Longevity Serum 30ml</t>
        </is>
      </c>
      <c r="C10678" t="inlineStr">
        <is>
          <t>Anti-Aging Serum</t>
        </is>
      </c>
      <c r="D10678" t="inlineStr">
        <is>
          <t>Lancôme</t>
        </is>
      </c>
      <c r="E10678" t="n">
        <v>247.19</v>
      </c>
      <c r="F10678" t="n">
        <v>1</v>
      </c>
      <c r="G10678" t="n">
        <v>7</v>
      </c>
      <c r="H10678" s="5">
        <f>HYPERLINK("https://api.qogita.com/variants/link/3614273346498/", "View Product")</f>
        <v/>
      </c>
    </row>
    <row r="10679">
      <c r="A10679" t="inlineStr">
        <is>
          <t>3614273356053</t>
        </is>
      </c>
      <c r="B10679" t="inlineStr">
        <is>
          <t>Diesel Bad Eau De Toilette 100ml For Men</t>
        </is>
      </c>
      <c r="C10679" t="inlineStr">
        <is>
          <t>Eau De Toilette</t>
        </is>
      </c>
      <c r="D10679" t="inlineStr">
        <is>
          <t>Diesel</t>
        </is>
      </c>
      <c r="E10679" t="n">
        <v>27.96</v>
      </c>
      <c r="F10679" t="n">
        <v>1</v>
      </c>
      <c r="G10679" t="n">
        <v>180</v>
      </c>
      <c r="H10679" s="5">
        <f>HYPERLINK("https://api.qogita.com/variants/link/3614273356053/", "View Product")</f>
        <v/>
      </c>
    </row>
    <row r="10680">
      <c r="A10680" t="inlineStr">
        <is>
          <t>3614273361002</t>
        </is>
      </c>
      <c r="B10680" t="inlineStr">
        <is>
          <t>Yves Saint Laurent Velvet Radical 303 Rose Incitement 302 Brown No Way Back</t>
        </is>
      </c>
      <c r="C10680" t="inlineStr">
        <is>
          <t>Lipstick</t>
        </is>
      </c>
      <c r="D10680" t="inlineStr">
        <is>
          <t>Yves Saint Laurent</t>
        </is>
      </c>
      <c r="E10680" t="n">
        <v>33.74</v>
      </c>
      <c r="F10680" t="n">
        <v>1</v>
      </c>
      <c r="G10680" t="n">
        <v>2</v>
      </c>
      <c r="H10680" s="5">
        <f>HYPERLINK("https://api.qogita.com/variants/link/3614273361002/", "View Product")</f>
        <v/>
      </c>
    </row>
    <row r="10681">
      <c r="A10681" t="inlineStr">
        <is>
          <t>3614273363617</t>
        </is>
      </c>
      <c r="B10681" t="inlineStr">
        <is>
          <t>Armani Power Fabric Concealer 2</t>
        </is>
      </c>
      <c r="C10681" t="inlineStr">
        <is>
          <t>Concealer</t>
        </is>
      </c>
      <c r="D10681" t="inlineStr">
        <is>
          <t>Giorgio Armani</t>
        </is>
      </c>
      <c r="E10681" t="n">
        <v>31.59</v>
      </c>
      <c r="F10681" t="n">
        <v>1</v>
      </c>
      <c r="G10681" t="n">
        <v>7</v>
      </c>
      <c r="H10681" s="5">
        <f>HYPERLINK("https://api.qogita.com/variants/link/3614273363617/", "View Product")</f>
        <v/>
      </c>
    </row>
    <row r="10682">
      <c r="A10682" t="inlineStr">
        <is>
          <t>3614273376310</t>
        </is>
      </c>
      <c r="B10682" t="inlineStr">
        <is>
          <t>Yves Saint Laurent Thin Frosting Lipstick With Leather Effect Rouge Pur Couture The Slim 22g Color 33 Orange Desire</t>
        </is>
      </c>
      <c r="C10682" t="inlineStr">
        <is>
          <t>Lipstick</t>
        </is>
      </c>
      <c r="D10682" t="inlineStr">
        <is>
          <t>Yves Saint Laurent</t>
        </is>
      </c>
      <c r="E10682" t="n">
        <v>32.33</v>
      </c>
      <c r="F10682" t="n">
        <v>1</v>
      </c>
      <c r="G10682" t="n">
        <v>3</v>
      </c>
      <c r="H10682" s="5">
        <f>HYPERLINK("https://api.qogita.com/variants/link/3614273376310/", "View Product")</f>
        <v/>
      </c>
    </row>
    <row r="10683">
      <c r="A10683" t="inlineStr">
        <is>
          <t>3614273427586</t>
        </is>
      </c>
      <c r="B10683" t="inlineStr">
        <is>
          <t>Armani Luminous Silk Glow Fusion Finishing Powder No.9</t>
        </is>
      </c>
      <c r="C10683" t="inlineStr">
        <is>
          <t>Powder</t>
        </is>
      </c>
      <c r="D10683" t="inlineStr">
        <is>
          <t>Giorgio Armani</t>
        </is>
      </c>
      <c r="E10683" t="n">
        <v>49.17</v>
      </c>
      <c r="F10683" t="n">
        <v>1</v>
      </c>
      <c r="G10683" t="n">
        <v>2</v>
      </c>
      <c r="H10683" s="5">
        <f>HYPERLINK("https://api.qogita.com/variants/link/3614273427586/", "View Product")</f>
        <v/>
      </c>
    </row>
    <row r="10684">
      <c r="A10684" t="inlineStr">
        <is>
          <t>3614273433068</t>
        </is>
      </c>
      <c r="B10684" t="inlineStr">
        <is>
          <t>Giorgio Armani Lip Power Longwear Vivid Color Lipstick 108 In Love 0.11 oz</t>
        </is>
      </c>
      <c r="C10684" t="inlineStr">
        <is>
          <t>Lipstick</t>
        </is>
      </c>
      <c r="D10684" t="inlineStr">
        <is>
          <t>Giorgio Armani</t>
        </is>
      </c>
      <c r="E10684" t="n">
        <v>35.16</v>
      </c>
      <c r="F10684" t="n">
        <v>1</v>
      </c>
      <c r="G10684" t="n">
        <v>8</v>
      </c>
      <c r="H10684" s="5">
        <f>HYPERLINK("https://api.qogita.com/variants/link/3614273433068/", "View Product")</f>
        <v/>
      </c>
    </row>
    <row r="10685">
      <c r="A10685" t="inlineStr">
        <is>
          <t>3614273437929</t>
        </is>
      </c>
      <c r="B10685" t="inlineStr">
        <is>
          <t>Lancome Hypnose L'Absolu De Noir Mascara Thickening Mascara 01 Extra Black 6.2ml</t>
        </is>
      </c>
      <c r="C10685" t="inlineStr">
        <is>
          <t>Mascara</t>
        </is>
      </c>
      <c r="D10685" t="inlineStr">
        <is>
          <t>Lancôme</t>
        </is>
      </c>
      <c r="E10685" t="n">
        <v>27.37</v>
      </c>
      <c r="F10685" t="n">
        <v>1</v>
      </c>
      <c r="G10685" t="n">
        <v>8</v>
      </c>
      <c r="H10685" s="5">
        <f>HYPERLINK("https://api.qogita.com/variants/link/3614273437929/", "View Product")</f>
        <v/>
      </c>
    </row>
    <row r="10686">
      <c r="A10686" t="inlineStr">
        <is>
          <t>3614273475112</t>
        </is>
      </c>
      <c r="B10686" t="inlineStr">
        <is>
          <t>Yves Saint Laurent Crushliner N1 Black</t>
        </is>
      </c>
      <c r="C10686" t="inlineStr">
        <is>
          <t>Eyeliner</t>
        </is>
      </c>
      <c r="D10686" t="inlineStr">
        <is>
          <t>Yves Saint Laurent</t>
        </is>
      </c>
      <c r="E10686" t="n">
        <v>23.43</v>
      </c>
      <c r="F10686" t="n">
        <v>1</v>
      </c>
      <c r="G10686" t="n">
        <v>3</v>
      </c>
      <c r="H10686" s="5">
        <f>HYPERLINK("https://api.qogita.com/variants/link/3614273475112/", "View Product")</f>
        <v/>
      </c>
    </row>
    <row r="10687">
      <c r="A10687" t="inlineStr">
        <is>
          <t>3614273476140</t>
        </is>
      </c>
      <c r="B10687" t="inlineStr">
        <is>
          <t>Cacharel Yes I Am Delicious Eau De Parfum Spray 50ml</t>
        </is>
      </c>
      <c r="C10687" t="inlineStr">
        <is>
          <t>Eau De Parfum</t>
        </is>
      </c>
      <c r="D10687" t="inlineStr">
        <is>
          <t>Cacharel</t>
        </is>
      </c>
      <c r="E10687" t="n">
        <v>19.97</v>
      </c>
      <c r="F10687" t="n">
        <v>1</v>
      </c>
      <c r="G10687" t="n">
        <v>5</v>
      </c>
      <c r="H10687" s="5">
        <f>HYPERLINK("https://api.qogita.com/variants/link/3614273476140/", "View Product")</f>
        <v/>
      </c>
    </row>
    <row r="10688">
      <c r="A10688" t="inlineStr">
        <is>
          <t>3614273476287</t>
        </is>
      </c>
      <c r="B10688" t="inlineStr">
        <is>
          <t>Lancome Idole Aura Eau De Parfum Spray 50ml</t>
        </is>
      </c>
      <c r="C10688" t="inlineStr">
        <is>
          <t>Eau De Parfum</t>
        </is>
      </c>
      <c r="D10688" t="inlineStr">
        <is>
          <t>Lancôme</t>
        </is>
      </c>
      <c r="E10688" t="n">
        <v>41.88</v>
      </c>
      <c r="F10688" t="n">
        <v>1</v>
      </c>
      <c r="G10688" t="n">
        <v>18</v>
      </c>
      <c r="H10688" s="5">
        <f>HYPERLINK("https://api.qogita.com/variants/link/3614273476287/", "View Product")</f>
        <v/>
      </c>
    </row>
    <row r="10689">
      <c r="A10689" t="inlineStr">
        <is>
          <t>3614273478748</t>
        </is>
      </c>
      <c r="B10689" t="inlineStr">
        <is>
          <t>Prada Luna Rossa Eau De Toilette Spray 50ml</t>
        </is>
      </c>
      <c r="C10689" t="inlineStr">
        <is>
          <t>Eau De Toilette</t>
        </is>
      </c>
      <c r="D10689" t="inlineStr">
        <is>
          <t>Prada</t>
        </is>
      </c>
      <c r="E10689" t="n">
        <v>43.87</v>
      </c>
      <c r="F10689" t="n">
        <v>1</v>
      </c>
      <c r="G10689" t="n">
        <v>22</v>
      </c>
      <c r="H10689" s="5">
        <f>HYPERLINK("https://api.qogita.com/variants/link/3614273478748/", "View Product")</f>
        <v/>
      </c>
    </row>
    <row r="10690">
      <c r="A10690" t="inlineStr">
        <is>
          <t>3614273478755</t>
        </is>
      </c>
      <c r="B10690" t="inlineStr">
        <is>
          <t>Prada Luna Rossa Eau De Toilette Spray 100ml</t>
        </is>
      </c>
      <c r="C10690" t="inlineStr">
        <is>
          <t>Eau De Toilette</t>
        </is>
      </c>
      <c r="D10690" t="inlineStr">
        <is>
          <t>Prada</t>
        </is>
      </c>
      <c r="E10690" t="n">
        <v>61.58</v>
      </c>
      <c r="F10690" t="n">
        <v>1</v>
      </c>
      <c r="G10690" t="n">
        <v>41</v>
      </c>
      <c r="H10690" s="5">
        <f>HYPERLINK("https://api.qogita.com/variants/link/3614273478755/", "View Product")</f>
        <v/>
      </c>
    </row>
    <row r="10691">
      <c r="A10691" t="inlineStr">
        <is>
          <t>3614273490559</t>
        </is>
      </c>
      <c r="B10691" t="inlineStr">
        <is>
          <t>Biotherm Waterlover Hydrating Sun Milk SPF 30 Moisturising Sunscreen</t>
        </is>
      </c>
      <c r="C10691" t="inlineStr">
        <is>
          <t>Body Sun Protection</t>
        </is>
      </c>
      <c r="D10691" t="inlineStr">
        <is>
          <t>Biotherm</t>
        </is>
      </c>
      <c r="E10691" t="n">
        <v>19.92</v>
      </c>
      <c r="F10691" t="n">
        <v>1</v>
      </c>
      <c r="G10691" t="n">
        <v>2</v>
      </c>
      <c r="H10691" s="5">
        <f>HYPERLINK("https://api.qogita.com/variants/link/3614273490559/", "View Product")</f>
        <v/>
      </c>
    </row>
    <row r="10692">
      <c r="A10692" t="inlineStr">
        <is>
          <t>3614273521307</t>
        </is>
      </c>
      <c r="B10692" t="inlineStr">
        <is>
          <t>Azzaro The Most Wanted Intense Eau De Parfum 100ml Woody &amp; Seductive Men's Cologne</t>
        </is>
      </c>
      <c r="C10692" t="inlineStr">
        <is>
          <t>Eau De Parfum</t>
        </is>
      </c>
      <c r="D10692" t="inlineStr">
        <is>
          <t>Azzaro</t>
        </is>
      </c>
      <c r="E10692" t="n">
        <v>54.38</v>
      </c>
      <c r="F10692" t="n">
        <v>1</v>
      </c>
      <c r="G10692" t="n">
        <v>73</v>
      </c>
      <c r="H10692" s="5">
        <f>HYPERLINK("https://api.qogita.com/variants/link/3614273521307/", "View Product")</f>
        <v/>
      </c>
    </row>
    <row r="10693">
      <c r="A10693" t="inlineStr">
        <is>
          <t>3614273544924</t>
        </is>
      </c>
      <c r="B10693" t="inlineStr">
        <is>
          <t>Prada Amber Eau De Parfum Spray 80ml</t>
        </is>
      </c>
      <c r="C10693" t="inlineStr">
        <is>
          <t>Eau De Parfum</t>
        </is>
      </c>
      <c r="D10693" t="inlineStr">
        <is>
          <t>Prada</t>
        </is>
      </c>
      <c r="E10693" t="n">
        <v>93.28</v>
      </c>
      <c r="F10693" t="n">
        <v>1</v>
      </c>
      <c r="G10693" t="n">
        <v>13</v>
      </c>
      <c r="H10693" s="5">
        <f>HYPERLINK("https://api.qogita.com/variants/link/3614273544924/", "View Product")</f>
        <v/>
      </c>
    </row>
    <row r="10694">
      <c r="A10694" t="inlineStr">
        <is>
          <t>3614273544962</t>
        </is>
      </c>
      <c r="B10694" t="inlineStr">
        <is>
          <t>Prada Luna Rossa Sport Eau De Toilette 100ml</t>
        </is>
      </c>
      <c r="C10694" t="inlineStr">
        <is>
          <t>Eau De Toilette</t>
        </is>
      </c>
      <c r="D10694" t="inlineStr">
        <is>
          <t>Prada</t>
        </is>
      </c>
      <c r="E10694" t="n">
        <v>64.01000000000001</v>
      </c>
      <c r="F10694" t="n">
        <v>1</v>
      </c>
      <c r="G10694" t="n">
        <v>25</v>
      </c>
      <c r="H10694" s="5">
        <f>HYPERLINK("https://api.qogita.com/variants/link/3614273544962/", "View Product")</f>
        <v/>
      </c>
    </row>
    <row r="10695">
      <c r="A10695" t="inlineStr">
        <is>
          <t>3614273558013</t>
        </is>
      </c>
      <c r="B10695" t="inlineStr">
        <is>
          <t>Giorgio Armani Power Fabric+ Foundation No.4 30ml</t>
        </is>
      </c>
      <c r="C10695" t="inlineStr">
        <is>
          <t>Foundation</t>
        </is>
      </c>
      <c r="D10695" t="inlineStr">
        <is>
          <t>Giorgio Armani</t>
        </is>
      </c>
      <c r="E10695" t="n">
        <v>43.91</v>
      </c>
      <c r="F10695" t="n">
        <v>1</v>
      </c>
      <c r="G10695" t="n">
        <v>18</v>
      </c>
      <c r="H10695" s="5">
        <f>HYPERLINK("https://api.qogita.com/variants/link/3614273558013/", "View Product")</f>
        <v/>
      </c>
    </row>
    <row r="10696">
      <c r="A10696" t="inlineStr">
        <is>
          <t>3614273558037</t>
        </is>
      </c>
      <c r="B10696" t="inlineStr">
        <is>
          <t>Giorgio Armani Power Fabric+ Foundation No. 4.5 30ml</t>
        </is>
      </c>
      <c r="C10696" t="inlineStr">
        <is>
          <t>Foundation</t>
        </is>
      </c>
      <c r="D10696" t="inlineStr">
        <is>
          <t>Giorgio Armani</t>
        </is>
      </c>
      <c r="E10696" t="n">
        <v>44.7</v>
      </c>
      <c r="F10696" t="n">
        <v>1</v>
      </c>
      <c r="G10696" t="n">
        <v>22</v>
      </c>
      <c r="H10696" s="5">
        <f>HYPERLINK("https://api.qogita.com/variants/link/3614273558037/", "View Product")</f>
        <v/>
      </c>
    </row>
    <row r="10697">
      <c r="A10697" t="inlineStr">
        <is>
          <t>3614273558099</t>
        </is>
      </c>
      <c r="B10697" t="inlineStr">
        <is>
          <t>Giorgio Armani Power Fabric Ultra Longwear Weightless Matte Foundation 30 Ml</t>
        </is>
      </c>
      <c r="C10697" t="inlineStr">
        <is>
          <t>Foundation</t>
        </is>
      </c>
      <c r="D10697" t="inlineStr">
        <is>
          <t>Giorgio Armani</t>
        </is>
      </c>
      <c r="E10697" t="n">
        <v>44.34</v>
      </c>
      <c r="F10697" t="n">
        <v>1</v>
      </c>
      <c r="G10697" t="n">
        <v>13</v>
      </c>
      <c r="H10697" s="5">
        <f>HYPERLINK("https://api.qogita.com/variants/link/3614273558099/", "View Product")</f>
        <v/>
      </c>
    </row>
    <row r="10698">
      <c r="A10698" t="inlineStr">
        <is>
          <t>3614273558136</t>
        </is>
      </c>
      <c r="B10698" t="inlineStr">
        <is>
          <t>Giorgio Armani Power Fabric Longwear High Cover Foundation SPF 25 1oz</t>
        </is>
      </c>
      <c r="C10698" t="inlineStr">
        <is>
          <t>Foundation</t>
        </is>
      </c>
      <c r="D10698" t="inlineStr">
        <is>
          <t>Giorgio Armani</t>
        </is>
      </c>
      <c r="E10698" t="n">
        <v>43.83</v>
      </c>
      <c r="F10698" t="n">
        <v>1</v>
      </c>
      <c r="G10698" t="n">
        <v>13</v>
      </c>
      <c r="H10698" s="5">
        <f>HYPERLINK("https://api.qogita.com/variants/link/3614273558136/", "View Product")</f>
        <v/>
      </c>
    </row>
    <row r="10699">
      <c r="A10699" t="inlineStr">
        <is>
          <t>3614273560405</t>
        </is>
      </c>
      <c r="B10699" t="inlineStr">
        <is>
          <t>Thierry Mugler Alien Goddess Eau De Parfum 90ml Spray For Women</t>
        </is>
      </c>
      <c r="C10699" t="inlineStr">
        <is>
          <t>Eau De Parfum</t>
        </is>
      </c>
      <c r="D10699" t="inlineStr">
        <is>
          <t>Thierry Mugler</t>
        </is>
      </c>
      <c r="E10699" t="n">
        <v>73.33</v>
      </c>
      <c r="F10699" t="n">
        <v>1</v>
      </c>
      <c r="G10699" t="n">
        <v>5</v>
      </c>
      <c r="H10699" s="5">
        <f>HYPERLINK("https://api.qogita.com/variants/link/3614273560405/", "View Product")</f>
        <v/>
      </c>
    </row>
    <row r="10700">
      <c r="A10700" t="inlineStr">
        <is>
          <t>3614273604932</t>
        </is>
      </c>
      <c r="B10700" t="inlineStr">
        <is>
          <t>Armani Code Pour Homme Refillable Spray 125ml</t>
        </is>
      </c>
      <c r="C10700" t="inlineStr">
        <is>
          <t>Refillable Fragrances &amp; Refills</t>
        </is>
      </c>
      <c r="D10700" t="inlineStr">
        <is>
          <t>Armani</t>
        </is>
      </c>
      <c r="E10700" t="n">
        <v>101.28</v>
      </c>
      <c r="F10700" t="n">
        <v>1</v>
      </c>
      <c r="G10700" t="n">
        <v>4</v>
      </c>
      <c r="H10700" s="5">
        <f>HYPERLINK("https://api.qogita.com/variants/link/3614273604932/", "View Product")</f>
        <v/>
      </c>
    </row>
    <row r="10701">
      <c r="A10701" t="inlineStr">
        <is>
          <t>3614273606417</t>
        </is>
      </c>
      <c r="B10701" t="inlineStr">
        <is>
          <t>Mugler Angel Eau De Parfum Women's Perfume Ambery &amp; Woody with Bergamot</t>
        </is>
      </c>
      <c r="C10701" t="inlineStr">
        <is>
          <t>Eau De Parfum</t>
        </is>
      </c>
      <c r="D10701" t="inlineStr">
        <is>
          <t>Mugler</t>
        </is>
      </c>
      <c r="E10701" t="n">
        <v>36.4</v>
      </c>
      <c r="F10701" t="n">
        <v>1</v>
      </c>
      <c r="G10701" t="n">
        <v>5</v>
      </c>
      <c r="H10701" s="5">
        <f>HYPERLINK("https://api.qogita.com/variants/link/3614273606417/", "View Product")</f>
        <v/>
      </c>
    </row>
    <row r="10702">
      <c r="A10702" t="inlineStr">
        <is>
          <t>3614273622622</t>
        </is>
      </c>
      <c r="B10702" t="inlineStr">
        <is>
          <t>Viktor&amp;Rolf Flowerbomb Ruby Orchid Eau De Parfum Spray 50ml</t>
        </is>
      </c>
      <c r="C10702" t="inlineStr">
        <is>
          <t>Eau De Parfum</t>
        </is>
      </c>
      <c r="D10702" t="inlineStr">
        <is>
          <t>Viktor &amp; Rolf</t>
        </is>
      </c>
      <c r="E10702" t="n">
        <v>49.81</v>
      </c>
      <c r="F10702" t="n">
        <v>1</v>
      </c>
      <c r="G10702" t="n">
        <v>7</v>
      </c>
      <c r="H10702" s="5">
        <f>HYPERLINK("https://api.qogita.com/variants/link/3614273622622/", "View Product")</f>
        <v/>
      </c>
    </row>
    <row r="10703">
      <c r="A10703" t="inlineStr">
        <is>
          <t>3614273622639</t>
        </is>
      </c>
      <c r="B10703" t="inlineStr">
        <is>
          <t>Viktor&amp;Rolf Flowerbomb Ruby Orchid Eau De Parfum Spray 100ml</t>
        </is>
      </c>
      <c r="C10703" t="inlineStr">
        <is>
          <t>Eau De Parfum</t>
        </is>
      </c>
      <c r="D10703" t="inlineStr">
        <is>
          <t>Viktor &amp; Rolf</t>
        </is>
      </c>
      <c r="E10703" t="n">
        <v>75.29000000000001</v>
      </c>
      <c r="F10703" t="n">
        <v>1</v>
      </c>
      <c r="G10703" t="n">
        <v>3</v>
      </c>
      <c r="H10703" s="5">
        <f>HYPERLINK("https://api.qogita.com/variants/link/3614273622639/", "View Product")</f>
        <v/>
      </c>
    </row>
    <row r="10704">
      <c r="A10704" t="inlineStr">
        <is>
          <t>3614273636384</t>
        </is>
      </c>
      <c r="B10704" t="inlineStr">
        <is>
          <t>Armani Code Pour Homme Eau De Parfum Refillable Spray 125ml</t>
        </is>
      </c>
      <c r="C10704" t="inlineStr">
        <is>
          <t>Eau De Parfum</t>
        </is>
      </c>
      <c r="D10704" t="inlineStr">
        <is>
          <t>Armani</t>
        </is>
      </c>
      <c r="E10704" t="n">
        <v>84.48</v>
      </c>
      <c r="F10704" t="n">
        <v>1</v>
      </c>
      <c r="G10704" t="n">
        <v>28</v>
      </c>
      <c r="H10704" s="5">
        <f>HYPERLINK("https://api.qogita.com/variants/link/3614273636384/", "View Product")</f>
        <v/>
      </c>
    </row>
    <row r="10705">
      <c r="A10705" t="inlineStr">
        <is>
          <t>3614273636490</t>
        </is>
      </c>
      <c r="B10705" t="inlineStr">
        <is>
          <t>Giorgio Armani Code Eau De Toilette Spray Refill 150ml</t>
        </is>
      </c>
      <c r="C10705" t="inlineStr">
        <is>
          <t>Eau De Toilette</t>
        </is>
      </c>
      <c r="D10705" t="inlineStr">
        <is>
          <t>Giorgio Armani</t>
        </is>
      </c>
      <c r="E10705" t="n">
        <v>73.53</v>
      </c>
      <c r="F10705" t="n">
        <v>1</v>
      </c>
      <c r="G10705" t="n">
        <v>49</v>
      </c>
      <c r="H10705" s="5">
        <f>HYPERLINK("https://api.qogita.com/variants/link/3614273636490/", "View Product")</f>
        <v/>
      </c>
    </row>
    <row r="10706">
      <c r="A10706" t="inlineStr">
        <is>
          <t>3614273636582</t>
        </is>
      </c>
      <c r="B10706" t="inlineStr">
        <is>
          <t>Armani Code Pour Homme Eau De Toilette Refillable Spray 50ml By Armani</t>
        </is>
      </c>
      <c r="C10706" t="inlineStr">
        <is>
          <t>Eau De Toilette</t>
        </is>
      </c>
      <c r="D10706" t="inlineStr">
        <is>
          <t>Armani</t>
        </is>
      </c>
      <c r="E10706" t="n">
        <v>48.42</v>
      </c>
      <c r="F10706" t="n">
        <v>1</v>
      </c>
      <c r="G10706" t="n">
        <v>21</v>
      </c>
      <c r="H10706" s="5">
        <f>HYPERLINK("https://api.qogita.com/variants/link/3614273636582/", "View Product")</f>
        <v/>
      </c>
    </row>
    <row r="10707">
      <c r="A10707" t="inlineStr">
        <is>
          <t>3614273665933</t>
        </is>
      </c>
      <c r="B10707" t="inlineStr">
        <is>
          <t>Viktor &amp; Rolf Good Fortune Eau de Parfum Refill 100ml</t>
        </is>
      </c>
      <c r="C10707" t="inlineStr">
        <is>
          <t>Eau De Parfum</t>
        </is>
      </c>
      <c r="D10707" t="inlineStr">
        <is>
          <t>Viktor &amp; Rolf</t>
        </is>
      </c>
      <c r="E10707" t="n">
        <v>89.48</v>
      </c>
      <c r="F10707" t="n">
        <v>1</v>
      </c>
      <c r="G10707" t="n">
        <v>3</v>
      </c>
      <c r="H10707" s="5">
        <f>HYPERLINK("https://api.qogita.com/variants/link/3614273665933/", "View Product")</f>
        <v/>
      </c>
    </row>
    <row r="10708">
      <c r="A10708" t="inlineStr">
        <is>
          <t>3614273667418</t>
        </is>
      </c>
      <c r="B10708" t="inlineStr">
        <is>
          <t>Azzaro Sport Eau De Toilette Spray 100ml</t>
        </is>
      </c>
      <c r="C10708" t="inlineStr">
        <is>
          <t>Eau De Toilette</t>
        </is>
      </c>
      <c r="D10708" t="inlineStr">
        <is>
          <t>Azzaro</t>
        </is>
      </c>
      <c r="E10708" t="n">
        <v>16.86</v>
      </c>
      <c r="F10708" t="n">
        <v>1</v>
      </c>
      <c r="G10708" t="n">
        <v>20</v>
      </c>
      <c r="H10708" s="5">
        <f>HYPERLINK("https://api.qogita.com/variants/link/3614273667418/", "View Product")</f>
        <v/>
      </c>
    </row>
    <row r="10709">
      <c r="A10709" t="inlineStr">
        <is>
          <t>3614273672054</t>
        </is>
      </c>
      <c r="B10709" t="inlineStr">
        <is>
          <t>Valentino Valentino Donna Born In Roma Coral Edp Spray 100 Ml</t>
        </is>
      </c>
      <c r="C10709" t="inlineStr">
        <is>
          <t>Eau De Parfum</t>
        </is>
      </c>
      <c r="D10709" t="inlineStr">
        <is>
          <t>Valentino</t>
        </is>
      </c>
      <c r="E10709" t="n">
        <v>98.19</v>
      </c>
      <c r="F10709" t="n">
        <v>1</v>
      </c>
      <c r="G10709" t="n">
        <v>16</v>
      </c>
      <c r="H10709" s="5">
        <f>HYPERLINK("https://api.qogita.com/variants/link/3614273672054/", "View Product")</f>
        <v/>
      </c>
    </row>
    <row r="10710">
      <c r="A10710" t="inlineStr">
        <is>
          <t>3614273672122</t>
        </is>
      </c>
      <c r="B10710" t="inlineStr">
        <is>
          <t>Valentino Uomo Born In Roma Coral Fantasy Eau De Toilette 50ml</t>
        </is>
      </c>
      <c r="C10710" t="inlineStr">
        <is>
          <t>Eau De Toilette</t>
        </is>
      </c>
      <c r="D10710" t="inlineStr">
        <is>
          <t>Valentino</t>
        </is>
      </c>
      <c r="E10710" t="n">
        <v>57.47</v>
      </c>
      <c r="F10710" t="n">
        <v>1</v>
      </c>
      <c r="G10710" t="n">
        <v>5</v>
      </c>
      <c r="H10710" s="5">
        <f>HYPERLINK("https://api.qogita.com/variants/link/3614273672122/", "View Product")</f>
        <v/>
      </c>
    </row>
    <row r="10711">
      <c r="A10711" t="inlineStr">
        <is>
          <t>3614273672481</t>
        </is>
      </c>
      <c r="B10711" t="inlineStr">
        <is>
          <t>Valentino Donna Born In Roma Coral Fantasy Eau De Parfum Spray 30ml</t>
        </is>
      </c>
      <c r="C10711" t="inlineStr">
        <is>
          <t>Eau De Parfum</t>
        </is>
      </c>
      <c r="D10711" t="inlineStr">
        <is>
          <t>Valentino</t>
        </is>
      </c>
      <c r="E10711" t="n">
        <v>50.55</v>
      </c>
      <c r="F10711" t="n">
        <v>1</v>
      </c>
      <c r="G10711" t="n">
        <v>53</v>
      </c>
      <c r="H10711" s="5">
        <f>HYPERLINK("https://api.qogita.com/variants/link/3614273672481/", "View Product")</f>
        <v/>
      </c>
    </row>
    <row r="10712">
      <c r="A10712" t="inlineStr">
        <is>
          <t>3614273675840</t>
        </is>
      </c>
      <c r="B10712" t="inlineStr">
        <is>
          <t>Lancome Teint Idole Ultra Wear Care &amp; Glow Foundation - Up to 24h Healthy Glow</t>
        </is>
      </c>
      <c r="C10712" t="inlineStr">
        <is>
          <t>Foundation</t>
        </is>
      </c>
      <c r="D10712" t="inlineStr">
        <is>
          <t>Lancôme</t>
        </is>
      </c>
      <c r="E10712" t="n">
        <v>40.43</v>
      </c>
      <c r="F10712" t="n">
        <v>1</v>
      </c>
      <c r="G10712" t="n">
        <v>7</v>
      </c>
      <c r="H10712" s="5">
        <f>HYPERLINK("https://api.qogita.com/variants/link/3614273675840/", "View Product")</f>
        <v/>
      </c>
    </row>
    <row r="10713">
      <c r="A10713" t="inlineStr">
        <is>
          <t>3614273711777</t>
        </is>
      </c>
      <c r="B10713" t="inlineStr">
        <is>
          <t>Maison Margiela Replica On A Date Eau De Toilette Spray 30ml</t>
        </is>
      </c>
      <c r="C10713" t="inlineStr">
        <is>
          <t>Eau De Toilette</t>
        </is>
      </c>
      <c r="D10713" t="inlineStr">
        <is>
          <t>Maison Margiela</t>
        </is>
      </c>
      <c r="E10713" t="n">
        <v>45.86</v>
      </c>
      <c r="F10713" t="n">
        <v>1</v>
      </c>
      <c r="G10713" t="n">
        <v>5</v>
      </c>
      <c r="H10713" s="5">
        <f>HYPERLINK("https://api.qogita.com/variants/link/3614273711777/", "View Product")</f>
        <v/>
      </c>
    </row>
    <row r="10714">
      <c r="A10714" t="inlineStr">
        <is>
          <t>3614273714532</t>
        </is>
      </c>
      <c r="B10714" t="inlineStr">
        <is>
          <t>Yves Saint Laurent Encre De Peau All Hours Foundation Mw2 25ml</t>
        </is>
      </c>
      <c r="C10714" t="inlineStr">
        <is>
          <t>Foundation</t>
        </is>
      </c>
      <c r="D10714" t="inlineStr">
        <is>
          <t>Yves Saint Laurent</t>
        </is>
      </c>
      <c r="E10714" t="n">
        <v>43.87</v>
      </c>
      <c r="F10714" t="n">
        <v>1</v>
      </c>
      <c r="G10714" t="n">
        <v>2</v>
      </c>
      <c r="H10714" s="5">
        <f>HYPERLINK("https://api.qogita.com/variants/link/3614273714532/", "View Product")</f>
        <v/>
      </c>
    </row>
    <row r="10715">
      <c r="A10715" t="inlineStr">
        <is>
          <t>3614273734882</t>
        </is>
      </c>
      <c r="B10715" t="inlineStr">
        <is>
          <t>Giorgio Armani S Eau De Parfum Intense Refillable 30ml</t>
        </is>
      </c>
      <c r="C10715" t="inlineStr">
        <is>
          <t>Eau De Parfum</t>
        </is>
      </c>
      <c r="D10715" t="inlineStr">
        <is>
          <t>Giorgio Armani</t>
        </is>
      </c>
      <c r="E10715" t="n">
        <v>55.53</v>
      </c>
      <c r="F10715" t="n">
        <v>1</v>
      </c>
      <c r="G10715" t="n">
        <v>3</v>
      </c>
      <c r="H10715" s="5">
        <f>HYPERLINK("https://api.qogita.com/variants/link/3614273734882/", "View Product")</f>
        <v/>
      </c>
    </row>
    <row r="10716">
      <c r="A10716" t="inlineStr">
        <is>
          <t>3614273735582</t>
        </is>
      </c>
      <c r="B10716" t="inlineStr">
        <is>
          <t>Giorgio Armani Luminous Silk Powder Blush Glow Blush 50 Euphoric 36 G</t>
        </is>
      </c>
      <c r="C10716" t="inlineStr">
        <is>
          <t>Blush</t>
        </is>
      </c>
      <c r="D10716" t="inlineStr">
        <is>
          <t>Giorgio Armani</t>
        </is>
      </c>
      <c r="E10716" t="n">
        <v>36.75</v>
      </c>
      <c r="F10716" t="n">
        <v>1</v>
      </c>
      <c r="G10716" t="n">
        <v>5</v>
      </c>
      <c r="H10716" s="5">
        <f>HYPERLINK("https://api.qogita.com/variants/link/3614273735582/", "View Product")</f>
        <v/>
      </c>
    </row>
    <row r="10717">
      <c r="A10717" t="inlineStr">
        <is>
          <t>3614273735605</t>
        </is>
      </c>
      <c r="B10717" t="inlineStr">
        <is>
          <t>Giorgio Armani Luminous Silk Glow Blush 36 G And 4 G</t>
        </is>
      </c>
      <c r="C10717" t="inlineStr">
        <is>
          <t>Blush</t>
        </is>
      </c>
      <c r="D10717" t="inlineStr">
        <is>
          <t>Giorgio Armani</t>
        </is>
      </c>
      <c r="E10717" t="n">
        <v>39.01</v>
      </c>
      <c r="F10717" t="n">
        <v>1</v>
      </c>
      <c r="G10717" t="n">
        <v>4</v>
      </c>
      <c r="H10717" s="5">
        <f>HYPERLINK("https://api.qogita.com/variants/link/3614273735605/", "View Product")</f>
        <v/>
      </c>
    </row>
    <row r="10718">
      <c r="A10718" t="inlineStr">
        <is>
          <t>3614273744881</t>
        </is>
      </c>
      <c r="B10718" t="inlineStr">
        <is>
          <t>Giorgio Armani Long-Lasting Liquid Eyeshadow Wood 0.13 fl oz</t>
        </is>
      </c>
      <c r="C10718" t="inlineStr">
        <is>
          <t>Eyeshadow</t>
        </is>
      </c>
      <c r="D10718" t="inlineStr">
        <is>
          <t>Revolution</t>
        </is>
      </c>
      <c r="E10718" t="n">
        <v>27.76</v>
      </c>
      <c r="F10718" t="n">
        <v>1</v>
      </c>
      <c r="G10718" t="n">
        <v>14</v>
      </c>
      <c r="H10718" s="5">
        <f>HYPERLINK("https://api.qogita.com/variants/link/3614273744881/", "View Product")</f>
        <v/>
      </c>
    </row>
    <row r="10719">
      <c r="A10719" t="inlineStr">
        <is>
          <t>3614273744898</t>
        </is>
      </c>
      <c r="B10719" t="inlineStr">
        <is>
          <t>Giorgio Armani Eye Tint Eyeshadow - 4 Ml</t>
        </is>
      </c>
      <c r="C10719" t="inlineStr">
        <is>
          <t>Eyeshadow</t>
        </is>
      </c>
      <c r="D10719" t="inlineStr">
        <is>
          <t>Giorgio Armani</t>
        </is>
      </c>
      <c r="E10719" t="n">
        <v>27.76</v>
      </c>
      <c r="F10719" t="n">
        <v>1</v>
      </c>
      <c r="G10719" t="n">
        <v>8</v>
      </c>
      <c r="H10719" s="5">
        <f>HYPERLINK("https://api.qogita.com/variants/link/3614273744898/", "View Product")</f>
        <v/>
      </c>
    </row>
    <row r="10720">
      <c r="A10720" t="inlineStr">
        <is>
          <t>3614273755160</t>
        </is>
      </c>
      <c r="B10720" t="inlineStr">
        <is>
          <t>Giorgio Armani Brightening Liquid Makeup Spf 15 Designer Glow Radiant Revitalizing Foundation 30 Ml</t>
        </is>
      </c>
      <c r="C10720" t="inlineStr">
        <is>
          <t>Foundation</t>
        </is>
      </c>
      <c r="D10720" t="inlineStr">
        <is>
          <t>Giorgio Armani</t>
        </is>
      </c>
      <c r="E10720" t="n">
        <v>49.17</v>
      </c>
      <c r="F10720" t="n">
        <v>1</v>
      </c>
      <c r="G10720" t="n">
        <v>10</v>
      </c>
      <c r="H10720" s="5">
        <f>HYPERLINK("https://api.qogita.com/variants/link/3614273755160/", "View Product")</f>
        <v/>
      </c>
    </row>
    <row r="10721">
      <c r="A10721" t="inlineStr">
        <is>
          <t>3614273755184</t>
        </is>
      </c>
      <c r="B10721" t="inlineStr">
        <is>
          <t>Giorgio Armani Brightening Liquid Makeup Spf 15 Designer Glow Radiant Revitalizing Foundation 30 Ml</t>
        </is>
      </c>
      <c r="C10721" t="inlineStr">
        <is>
          <t>Foundation</t>
        </is>
      </c>
      <c r="D10721" t="inlineStr">
        <is>
          <t>Giorgio Armani</t>
        </is>
      </c>
      <c r="E10721" t="n">
        <v>49.5</v>
      </c>
      <c r="F10721" t="n">
        <v>1</v>
      </c>
      <c r="G10721" t="n">
        <v>19</v>
      </c>
      <c r="H10721" s="5">
        <f>HYPERLINK("https://api.qogita.com/variants/link/3614273755184/", "View Product")</f>
        <v/>
      </c>
    </row>
    <row r="10722">
      <c r="A10722" t="inlineStr">
        <is>
          <t>3614273764896</t>
        </is>
      </c>
      <c r="B10722" t="inlineStr">
        <is>
          <t>Thierry Mugler Angel Elixir Eau De Parfum Refill 100ml</t>
        </is>
      </c>
      <c r="C10722" t="inlineStr">
        <is>
          <t>Eau De Parfum</t>
        </is>
      </c>
      <c r="D10722" t="inlineStr">
        <is>
          <t>Thierry Mugler</t>
        </is>
      </c>
      <c r="E10722" t="n">
        <v>62</v>
      </c>
      <c r="F10722" t="n">
        <v>1</v>
      </c>
      <c r="G10722" t="n">
        <v>5</v>
      </c>
      <c r="H10722" s="5">
        <f>HYPERLINK("https://api.qogita.com/variants/link/3614273764896/", "View Product")</f>
        <v/>
      </c>
    </row>
    <row r="10723">
      <c r="A10723" t="inlineStr">
        <is>
          <t>3614273764926</t>
        </is>
      </c>
      <c r="B10723" t="inlineStr">
        <is>
          <t>Thierry Mugler Angel Elixir Eau De Parfum 100ml For Women</t>
        </is>
      </c>
      <c r="C10723" t="inlineStr">
        <is>
          <t>Eau De Parfum</t>
        </is>
      </c>
      <c r="D10723" t="inlineStr">
        <is>
          <t>Thierry Mugler</t>
        </is>
      </c>
      <c r="E10723" t="n">
        <v>79.73999999999999</v>
      </c>
      <c r="F10723" t="n">
        <v>1</v>
      </c>
      <c r="G10723" t="n">
        <v>37</v>
      </c>
      <c r="H10723" s="5">
        <f>HYPERLINK("https://api.qogita.com/variants/link/3614273764926/", "View Product")</f>
        <v/>
      </c>
    </row>
    <row r="10724">
      <c r="A10724" t="inlineStr">
        <is>
          <t>3614273764933</t>
        </is>
      </c>
      <c r="B10724" t="inlineStr">
        <is>
          <t>Thierry Mugler Angel Elixir Eau De Parfum Refillable Spray 50ml</t>
        </is>
      </c>
      <c r="C10724" t="inlineStr">
        <is>
          <t>Eau De Parfum</t>
        </is>
      </c>
      <c r="D10724" t="inlineStr">
        <is>
          <t>Thierry Mugler</t>
        </is>
      </c>
      <c r="E10724" t="n">
        <v>54.8</v>
      </c>
      <c r="F10724" t="n">
        <v>1</v>
      </c>
      <c r="G10724" t="n">
        <v>32</v>
      </c>
      <c r="H10724" s="5">
        <f>HYPERLINK("https://api.qogita.com/variants/link/3614273764933/", "View Product")</f>
        <v/>
      </c>
    </row>
    <row r="10725">
      <c r="A10725" t="inlineStr">
        <is>
          <t>3614273768825</t>
        </is>
      </c>
      <c r="B10725" t="inlineStr">
        <is>
          <t>Prada Luna Rossa Ocean Eau De Parfum 50 Ml</t>
        </is>
      </c>
      <c r="C10725" t="inlineStr">
        <is>
          <t>Eau De Parfum</t>
        </is>
      </c>
      <c r="D10725" t="inlineStr">
        <is>
          <t>Prada</t>
        </is>
      </c>
      <c r="E10725" t="n">
        <v>71.04000000000001</v>
      </c>
      <c r="F10725" t="n">
        <v>1</v>
      </c>
      <c r="G10725" t="n">
        <v>38</v>
      </c>
      <c r="H10725" s="5">
        <f>HYPERLINK("https://api.qogita.com/variants/link/3614273768825/", "View Product")</f>
        <v/>
      </c>
    </row>
    <row r="10726">
      <c r="A10726" t="inlineStr">
        <is>
          <t>3614273775397</t>
        </is>
      </c>
      <c r="B10726" t="inlineStr">
        <is>
          <t>Prada Luna Rossa Ocean Eau De Parfum 150ml</t>
        </is>
      </c>
      <c r="C10726" t="inlineStr">
        <is>
          <t>Eau De Parfum</t>
        </is>
      </c>
      <c r="D10726" t="inlineStr">
        <is>
          <t>Prada</t>
        </is>
      </c>
      <c r="E10726" t="n">
        <v>117.83</v>
      </c>
      <c r="F10726" t="n">
        <v>1</v>
      </c>
      <c r="G10726" t="n">
        <v>19</v>
      </c>
      <c r="H10726" s="5">
        <f>HYPERLINK("https://api.qogita.com/variants/link/3614273775397/", "View Product")</f>
        <v/>
      </c>
    </row>
    <row r="10727">
      <c r="A10727" t="inlineStr">
        <is>
          <t>3614273792486</t>
        </is>
      </c>
      <c r="B10727" t="inlineStr">
        <is>
          <t>Lancme Teint Idole Ultra Wear 210c 30ml Longlasting Foundation With Spf35</t>
        </is>
      </c>
      <c r="C10727" t="inlineStr">
        <is>
          <t>Foundation</t>
        </is>
      </c>
      <c r="D10727" t="inlineStr">
        <is>
          <t>Lancôme</t>
        </is>
      </c>
      <c r="E10727" t="n">
        <v>40.05</v>
      </c>
      <c r="F10727" t="n">
        <v>1</v>
      </c>
      <c r="G10727" t="n">
        <v>5</v>
      </c>
      <c r="H10727" s="5">
        <f>HYPERLINK("https://api.qogita.com/variants/link/3614273792486/", "View Product")</f>
        <v/>
      </c>
    </row>
    <row r="10728">
      <c r="A10728" t="inlineStr">
        <is>
          <t>3614273792547</t>
        </is>
      </c>
      <c r="B10728" t="inlineStr">
        <is>
          <t>Lancme Teint Idole Ultra Wear Foundation Spf 35 30 Ml Shade 245c</t>
        </is>
      </c>
      <c r="C10728" t="inlineStr">
        <is>
          <t>Foundation</t>
        </is>
      </c>
      <c r="D10728" t="inlineStr">
        <is>
          <t>Lancôme</t>
        </is>
      </c>
      <c r="E10728" t="n">
        <v>39.5</v>
      </c>
      <c r="F10728" t="n">
        <v>1</v>
      </c>
      <c r="G10728" t="n">
        <v>2</v>
      </c>
      <c r="H10728" s="5">
        <f>HYPERLINK("https://api.qogita.com/variants/link/3614273792547/", "View Product")</f>
        <v/>
      </c>
    </row>
    <row r="10729">
      <c r="A10729" t="inlineStr">
        <is>
          <t>3614273792646</t>
        </is>
      </c>
      <c r="B10729" t="inlineStr">
        <is>
          <t>Lancme Teint Idole Ultra Wear Foundation Spf 35 30 Ml</t>
        </is>
      </c>
      <c r="C10729" t="inlineStr">
        <is>
          <t>Foundation</t>
        </is>
      </c>
      <c r="D10729" t="inlineStr">
        <is>
          <t>Lancôme</t>
        </is>
      </c>
      <c r="E10729" t="n">
        <v>38.09</v>
      </c>
      <c r="F10729" t="n">
        <v>1</v>
      </c>
      <c r="G10729" t="n">
        <v>38</v>
      </c>
      <c r="H10729" s="5">
        <f>HYPERLINK("https://api.qogita.com/variants/link/3614273792646/", "View Product")</f>
        <v/>
      </c>
    </row>
    <row r="10730">
      <c r="A10730" t="inlineStr">
        <is>
          <t>3614273792653</t>
        </is>
      </c>
      <c r="B10730" t="inlineStr">
        <is>
          <t>Lancome Teint Idole Ultra Wear Long-Lasting Foundation Spf35 355n 30ml</t>
        </is>
      </c>
      <c r="C10730" t="inlineStr">
        <is>
          <t>Foundation</t>
        </is>
      </c>
      <c r="D10730" t="inlineStr">
        <is>
          <t>Lancôme</t>
        </is>
      </c>
      <c r="E10730" t="n">
        <v>36.06</v>
      </c>
      <c r="F10730" t="n">
        <v>1</v>
      </c>
      <c r="G10730" t="n">
        <v>18</v>
      </c>
      <c r="H10730" s="5">
        <f>HYPERLINK("https://api.qogita.com/variants/link/3614273792653/", "View Product")</f>
        <v/>
      </c>
    </row>
    <row r="10731">
      <c r="A10731" t="inlineStr">
        <is>
          <t>3614273792806</t>
        </is>
      </c>
      <c r="B10731" t="inlineStr">
        <is>
          <t>Lancme Idole Ultra Wear Foundation 510w Matte Makeup Spf 35 30 Ml</t>
        </is>
      </c>
      <c r="C10731" t="inlineStr">
        <is>
          <t>Foundation</t>
        </is>
      </c>
      <c r="D10731" t="inlineStr">
        <is>
          <t>Lancôme</t>
        </is>
      </c>
      <c r="E10731" t="n">
        <v>35.25</v>
      </c>
      <c r="F10731" t="n">
        <v>1</v>
      </c>
      <c r="G10731" t="n">
        <v>9</v>
      </c>
      <c r="H10731" s="5">
        <f>HYPERLINK("https://api.qogita.com/variants/link/3614273792806/", "View Product")</f>
        <v/>
      </c>
    </row>
    <row r="10732">
      <c r="A10732" t="inlineStr">
        <is>
          <t>3614273809870</t>
        </is>
      </c>
      <c r="B10732" t="inlineStr">
        <is>
          <t>GIORGIO ARMANI Eye Tint Matte Long-Lasting Liquid Eyeshadow 0.13 oz Beige</t>
        </is>
      </c>
      <c r="C10732" t="inlineStr">
        <is>
          <t>Eyeshadow</t>
        </is>
      </c>
      <c r="D10732" t="inlineStr">
        <is>
          <t>Giorgio Armani</t>
        </is>
      </c>
      <c r="E10732" t="n">
        <v>27.76</v>
      </c>
      <c r="F10732" t="n">
        <v>1</v>
      </c>
      <c r="G10732" t="n">
        <v>10</v>
      </c>
      <c r="H10732" s="5">
        <f>HYPERLINK("https://api.qogita.com/variants/link/3614273809870/", "View Product")</f>
        <v/>
      </c>
    </row>
    <row r="10733">
      <c r="A10733" t="inlineStr">
        <is>
          <t>3614273831246</t>
        </is>
      </c>
      <c r="B10733" t="inlineStr">
        <is>
          <t>Giorgio Armani Armani Lip Power Matte 508 Eccentric Longlasting Matte Lipstick 31 G</t>
        </is>
      </c>
      <c r="C10733" t="inlineStr">
        <is>
          <t>Lipstick</t>
        </is>
      </c>
      <c r="D10733" t="inlineStr">
        <is>
          <t>Giorgio Armani</t>
        </is>
      </c>
      <c r="E10733" t="n">
        <v>35.56</v>
      </c>
      <c r="F10733" t="n">
        <v>1</v>
      </c>
      <c r="G10733" t="n">
        <v>6</v>
      </c>
      <c r="H10733" s="5">
        <f>HYPERLINK("https://api.qogita.com/variants/link/3614273831246/", "View Product")</f>
        <v/>
      </c>
    </row>
    <row r="10734">
      <c r="A10734" t="inlineStr">
        <is>
          <t>3614273855051</t>
        </is>
      </c>
      <c r="B10734" t="inlineStr">
        <is>
          <t>Lancme Idle Waterproof Liner 02 Syrup Brown 1 Ml</t>
        </is>
      </c>
      <c r="C10734" t="inlineStr">
        <is>
          <t>Eyeliner</t>
        </is>
      </c>
      <c r="D10734" t="inlineStr">
        <is>
          <t>Lancôme</t>
        </is>
      </c>
      <c r="E10734" t="n">
        <v>24.52</v>
      </c>
      <c r="F10734" t="n">
        <v>1</v>
      </c>
      <c r="G10734" t="n">
        <v>4</v>
      </c>
      <c r="H10734" s="5">
        <f>HYPERLINK("https://api.qogita.com/variants/link/3614273855051/", "View Product")</f>
        <v/>
      </c>
    </row>
    <row r="10735">
      <c r="A10735" t="inlineStr">
        <is>
          <t>3614273887816</t>
        </is>
      </c>
      <c r="B10735" t="inlineStr">
        <is>
          <t>Mugler Alien Goddess Eau de Parfum 60ml - New and Sealed</t>
        </is>
      </c>
      <c r="C10735" t="inlineStr">
        <is>
          <t>Eau De Parfum</t>
        </is>
      </c>
      <c r="D10735" t="inlineStr">
        <is>
          <t>Mugler</t>
        </is>
      </c>
      <c r="E10735" t="n">
        <v>74.2</v>
      </c>
      <c r="F10735" t="n">
        <v>1</v>
      </c>
      <c r="G10735" t="n">
        <v>2</v>
      </c>
      <c r="H10735" s="5">
        <f>HYPERLINK("https://api.qogita.com/variants/link/3614273887816/", "View Product")</f>
        <v/>
      </c>
    </row>
    <row r="10736">
      <c r="A10736" t="inlineStr">
        <is>
          <t>3614273887854</t>
        </is>
      </c>
      <c r="B10736" t="inlineStr">
        <is>
          <t>THIERRY MUGLER Alien Eau de Parfum 30ml + Body Lotion 2 Units x 50ml Gift Set</t>
        </is>
      </c>
      <c r="C10736" t="inlineStr">
        <is>
          <t>Fragrance Sets</t>
        </is>
      </c>
      <c r="D10736" t="inlineStr">
        <is>
          <t>Thierry Mugler</t>
        </is>
      </c>
      <c r="E10736" t="n">
        <v>75.41</v>
      </c>
      <c r="F10736" t="n">
        <v>1</v>
      </c>
      <c r="G10736" t="n">
        <v>2</v>
      </c>
      <c r="H10736" s="5">
        <f>HYPERLINK("https://api.qogita.com/variants/link/3614273887854/", "View Product")</f>
        <v/>
      </c>
    </row>
    <row r="10737">
      <c r="A10737" t="inlineStr">
        <is>
          <t>3614273919982</t>
        </is>
      </c>
      <c r="B10737" t="inlineStr">
        <is>
          <t>Viktor&amp;Rolf Good Fortune Elixir Intense Eau De Parfum Spray 90ml</t>
        </is>
      </c>
      <c r="C10737" t="inlineStr">
        <is>
          <t>Eau De Parfum</t>
        </is>
      </c>
      <c r="D10737" t="inlineStr">
        <is>
          <t>Viktor &amp; Rolf</t>
        </is>
      </c>
      <c r="E10737" t="n">
        <v>77.29000000000001</v>
      </c>
      <c r="F10737" t="n">
        <v>1</v>
      </c>
      <c r="G10737" t="n">
        <v>4</v>
      </c>
      <c r="H10737" s="5">
        <f>HYPERLINK("https://api.qogita.com/variants/link/3614273919982/", "View Product")</f>
        <v/>
      </c>
    </row>
    <row r="10738">
      <c r="A10738" t="inlineStr">
        <is>
          <t>3614273919999</t>
        </is>
      </c>
      <c r="B10738" t="inlineStr">
        <is>
          <t>Viktor&amp;Rolf Good Fortune Elixir Intense Eau De Parfum Spray 50ml</t>
        </is>
      </c>
      <c r="C10738" t="inlineStr">
        <is>
          <t>Eau De Parfum</t>
        </is>
      </c>
      <c r="D10738" t="inlineStr">
        <is>
          <t>Viktor &amp; Rolf</t>
        </is>
      </c>
      <c r="E10738" t="n">
        <v>70.55</v>
      </c>
      <c r="F10738" t="n">
        <v>1</v>
      </c>
      <c r="G10738" t="n">
        <v>5</v>
      </c>
      <c r="H10738" s="5">
        <f>HYPERLINK("https://api.qogita.com/variants/link/3614273919999/", "View Product")</f>
        <v/>
      </c>
    </row>
    <row r="10739">
      <c r="A10739" t="inlineStr">
        <is>
          <t>3614273924368</t>
        </is>
      </c>
      <c r="B10739" t="inlineStr">
        <is>
          <t>Lancome La Vie Est Belle L'Extrait Perfume Extract Spray 30ml</t>
        </is>
      </c>
      <c r="C10739" t="inlineStr">
        <is>
          <t>Extrait De Parfum</t>
        </is>
      </c>
      <c r="D10739" t="inlineStr">
        <is>
          <t>Lancôme</t>
        </is>
      </c>
      <c r="E10739" t="n">
        <v>60.04</v>
      </c>
      <c r="F10739" t="n">
        <v>1</v>
      </c>
      <c r="G10739" t="n">
        <v>4</v>
      </c>
      <c r="H10739" s="5">
        <f>HYPERLINK("https://api.qogita.com/variants/link/3614273924368/", "View Product")</f>
        <v/>
      </c>
    </row>
    <row r="10740">
      <c r="A10740" t="inlineStr">
        <is>
          <t>3614273924450</t>
        </is>
      </c>
      <c r="B10740" t="inlineStr">
        <is>
          <t>Diesel D RED Eau de Parfum Spray Cologne for Men Fougere with Red Grapefruit and Sandal Wood Notes 3.4 Fl Oz</t>
        </is>
      </c>
      <c r="C10740" t="inlineStr">
        <is>
          <t>Eau De Parfum</t>
        </is>
      </c>
      <c r="D10740" t="inlineStr">
        <is>
          <t>Diesel</t>
        </is>
      </c>
      <c r="E10740" t="n">
        <v>31.18</v>
      </c>
      <c r="F10740" t="n">
        <v>1</v>
      </c>
      <c r="G10740" t="n">
        <v>9</v>
      </c>
      <c r="H10740" s="5">
        <f>HYPERLINK("https://api.qogita.com/variants/link/3614273924450/", "View Product")</f>
        <v/>
      </c>
    </row>
    <row r="10741">
      <c r="A10741" t="inlineStr">
        <is>
          <t>3614273927321</t>
        </is>
      </c>
      <c r="B10741" t="inlineStr">
        <is>
          <t>Lancome Idole Now Eau De Parfum Spray 100ml</t>
        </is>
      </c>
      <c r="C10741" t="inlineStr">
        <is>
          <t>Eau De Parfum</t>
        </is>
      </c>
      <c r="D10741" t="inlineStr">
        <is>
          <t>Lancôme</t>
        </is>
      </c>
      <c r="E10741" t="n">
        <v>76.59999999999999</v>
      </c>
      <c r="F10741" t="n">
        <v>1</v>
      </c>
      <c r="G10741" t="n">
        <v>7</v>
      </c>
      <c r="H10741" s="5">
        <f>HYPERLINK("https://api.qogita.com/variants/link/3614273927321/", "View Product")</f>
        <v/>
      </c>
    </row>
    <row r="10742">
      <c r="A10742" t="inlineStr">
        <is>
          <t>3614273927338</t>
        </is>
      </c>
      <c r="B10742" t="inlineStr">
        <is>
          <t>Lancme Idole Now Eau De Parfum 50ml</t>
        </is>
      </c>
      <c r="C10742" t="inlineStr">
        <is>
          <t>Eau De Parfum</t>
        </is>
      </c>
      <c r="D10742" t="inlineStr">
        <is>
          <t>Lancôme</t>
        </is>
      </c>
      <c r="E10742" t="n">
        <v>60.51</v>
      </c>
      <c r="F10742" t="n">
        <v>1</v>
      </c>
      <c r="G10742" t="n">
        <v>38</v>
      </c>
      <c r="H10742" s="5">
        <f>HYPERLINK("https://api.qogita.com/variants/link/3614273927338/", "View Product")</f>
        <v/>
      </c>
    </row>
    <row r="10743">
      <c r="A10743" t="inlineStr">
        <is>
          <t>3614273927352</t>
        </is>
      </c>
      <c r="B10743" t="inlineStr">
        <is>
          <t>Giorgio Armani My Way Le Parfum Spray 90 Ml</t>
        </is>
      </c>
      <c r="C10743" t="inlineStr">
        <is>
          <t>Eau De Parfum</t>
        </is>
      </c>
      <c r="D10743" t="inlineStr">
        <is>
          <t>Giorgio Armani</t>
        </is>
      </c>
      <c r="E10743" t="n">
        <v>96.37</v>
      </c>
      <c r="F10743" t="n">
        <v>1</v>
      </c>
      <c r="G10743" t="n">
        <v>7</v>
      </c>
      <c r="H10743" s="5">
        <f>HYPERLINK("https://api.qogita.com/variants/link/3614273927352/", "View Product")</f>
        <v/>
      </c>
    </row>
    <row r="10744">
      <c r="A10744" t="inlineStr">
        <is>
          <t>3614273945400</t>
        </is>
      </c>
      <c r="B10744" t="inlineStr">
        <is>
          <t>Yves Saint Laurent Rouge Pur Couture Caring Satin Lipstick Nude 12 38 G</t>
        </is>
      </c>
      <c r="C10744" t="inlineStr">
        <is>
          <t>Lipstick</t>
        </is>
      </c>
      <c r="D10744" t="inlineStr">
        <is>
          <t>Yves Saint Laurent</t>
        </is>
      </c>
      <c r="E10744" t="n">
        <v>33.94</v>
      </c>
      <c r="F10744" t="n">
        <v>1</v>
      </c>
      <c r="G10744" t="n">
        <v>3</v>
      </c>
      <c r="H10744" s="5">
        <f>HYPERLINK("https://api.qogita.com/variants/link/3614273945400/", "View Product")</f>
        <v/>
      </c>
    </row>
    <row r="10745">
      <c r="A10745" t="inlineStr">
        <is>
          <t>3614273953672</t>
        </is>
      </c>
      <c r="B10745" t="inlineStr">
        <is>
          <t>Giorgio Armani Acqua Di Gio Profondo Perfume Spray 200ml</t>
        </is>
      </c>
      <c r="C10745" t="inlineStr">
        <is>
          <t>Eau De Parfum</t>
        </is>
      </c>
      <c r="D10745" t="inlineStr">
        <is>
          <t>Giorgio Armani</t>
        </is>
      </c>
      <c r="E10745" t="n">
        <v>123.98</v>
      </c>
      <c r="F10745" t="n">
        <v>1</v>
      </c>
      <c r="G10745" t="n">
        <v>16</v>
      </c>
      <c r="H10745" s="5">
        <f>HYPERLINK("https://api.qogita.com/variants/link/3614273953672/", "View Product")</f>
        <v/>
      </c>
    </row>
    <row r="10746">
      <c r="A10746" t="inlineStr">
        <is>
          <t>3614273954167</t>
        </is>
      </c>
      <c r="B10746" t="inlineStr">
        <is>
          <t>Giorgio Armani Acqua Di Gio Men Parfum Spray 100ml</t>
        </is>
      </c>
      <c r="C10746" t="inlineStr">
        <is>
          <t>Eau De Parfum</t>
        </is>
      </c>
      <c r="D10746" t="inlineStr">
        <is>
          <t>Giorgio Armani</t>
        </is>
      </c>
      <c r="E10746" t="n">
        <v>104.57</v>
      </c>
      <c r="F10746" t="n">
        <v>1</v>
      </c>
      <c r="G10746" t="n">
        <v>19</v>
      </c>
      <c r="H10746" s="5">
        <f>HYPERLINK("https://api.qogita.com/variants/link/3614273954167/", "View Product")</f>
        <v/>
      </c>
    </row>
    <row r="10747">
      <c r="A10747" t="inlineStr">
        <is>
          <t>3614273955553</t>
        </is>
      </c>
      <c r="B10747" t="inlineStr">
        <is>
          <t>Giorgio Armani Acqua Di Gio Pour Homme Eau De Toilette Refillable Spray 50ml</t>
        </is>
      </c>
      <c r="C10747" t="inlineStr">
        <is>
          <t>Eau De Toilette</t>
        </is>
      </c>
      <c r="D10747" t="inlineStr">
        <is>
          <t>Giorgio Armani</t>
        </is>
      </c>
      <c r="E10747" t="n">
        <v>49.61</v>
      </c>
      <c r="F10747" t="n">
        <v>1</v>
      </c>
      <c r="G10747" t="n">
        <v>19</v>
      </c>
      <c r="H10747" s="5">
        <f>HYPERLINK("https://api.qogita.com/variants/link/3614273955553/", "View Product")</f>
        <v/>
      </c>
    </row>
    <row r="10748">
      <c r="A10748" t="inlineStr">
        <is>
          <t>3614273961707</t>
        </is>
      </c>
      <c r="B10748" t="inlineStr">
        <is>
          <t>Prada Paradoxe Intense Eau De Parfum Spray 90ml For Women</t>
        </is>
      </c>
      <c r="C10748" t="inlineStr">
        <is>
          <t>Eau De Parfum</t>
        </is>
      </c>
      <c r="D10748" t="inlineStr">
        <is>
          <t>Prada</t>
        </is>
      </c>
      <c r="E10748" t="n">
        <v>104.76</v>
      </c>
      <c r="F10748" t="n">
        <v>1</v>
      </c>
      <c r="G10748" t="n">
        <v>76</v>
      </c>
      <c r="H10748" s="5">
        <f>HYPERLINK("https://api.qogita.com/variants/link/3614273961707/", "View Product")</f>
        <v/>
      </c>
    </row>
    <row r="10749">
      <c r="A10749" t="inlineStr">
        <is>
          <t>3614273962391</t>
        </is>
      </c>
      <c r="B10749" t="inlineStr">
        <is>
          <t>Azzaro Chrome Legend Eau De Toilette 100ml</t>
        </is>
      </c>
      <c r="C10749" t="inlineStr">
        <is>
          <t>Eau De Toilette</t>
        </is>
      </c>
      <c r="D10749" t="inlineStr">
        <is>
          <t>Azzaro</t>
        </is>
      </c>
      <c r="E10749" t="n">
        <v>23.24</v>
      </c>
      <c r="F10749" t="n">
        <v>1</v>
      </c>
      <c r="G10749" t="n">
        <v>5</v>
      </c>
      <c r="H10749" s="5">
        <f>HYPERLINK("https://api.qogita.com/variants/link/3614273962391/", "View Product")</f>
        <v/>
      </c>
    </row>
    <row r="10750">
      <c r="A10750" t="inlineStr">
        <is>
          <t>3614273983624</t>
        </is>
      </c>
      <c r="B10750" t="inlineStr">
        <is>
          <t>Yves Saint Laurent Night Reboot 30ml</t>
        </is>
      </c>
      <c r="C10750" t="inlineStr">
        <is>
          <t>Night Cream</t>
        </is>
      </c>
      <c r="D10750" t="inlineStr">
        <is>
          <t>Yves Saint Laurent</t>
        </is>
      </c>
      <c r="E10750" t="n">
        <v>77.09999999999999</v>
      </c>
      <c r="F10750" t="n">
        <v>1</v>
      </c>
      <c r="G10750" t="n">
        <v>5</v>
      </c>
      <c r="H10750" s="5">
        <f>HYPERLINK("https://api.qogita.com/variants/link/3614273983624/", "View Product")</f>
        <v/>
      </c>
    </row>
    <row r="10751">
      <c r="A10751" t="inlineStr">
        <is>
          <t>3614273986519</t>
        </is>
      </c>
      <c r="B10751" t="inlineStr">
        <is>
          <t>Giorgio Armani Eye Tint Shimmer Liquid Eyeshadow 9 Cold Copper for Women 0.13 oz Eye Shadow</t>
        </is>
      </c>
      <c r="C10751" t="inlineStr">
        <is>
          <t>Eyeshadow</t>
        </is>
      </c>
      <c r="D10751" t="inlineStr">
        <is>
          <t>Giorgio Armani</t>
        </is>
      </c>
      <c r="E10751" t="n">
        <v>27.76</v>
      </c>
      <c r="F10751" t="n">
        <v>1</v>
      </c>
      <c r="G10751" t="n">
        <v>10</v>
      </c>
      <c r="H10751" s="5">
        <f>HYPERLINK("https://api.qogita.com/variants/link/3614273986519/", "View Product")</f>
        <v/>
      </c>
    </row>
    <row r="10752">
      <c r="A10752" t="inlineStr">
        <is>
          <t>3614273988544</t>
        </is>
      </c>
      <c r="B10752" t="inlineStr">
        <is>
          <t>Lancme Teint Idole Ultra Wear Care &amp; Glow Concealer 325c 13ml</t>
        </is>
      </c>
      <c r="C10752" t="inlineStr">
        <is>
          <t>Concealer</t>
        </is>
      </c>
      <c r="D10752" t="inlineStr">
        <is>
          <t>Lancôme</t>
        </is>
      </c>
      <c r="E10752" t="n">
        <v>23.9</v>
      </c>
      <c r="F10752" t="n">
        <v>1</v>
      </c>
      <c r="G10752" t="n">
        <v>3</v>
      </c>
      <c r="H10752" s="5">
        <f>HYPERLINK("https://api.qogita.com/variants/link/3614273988544/", "View Product")</f>
        <v/>
      </c>
    </row>
    <row r="10753">
      <c r="A10753" t="inlineStr">
        <is>
          <t>3614273991872</t>
        </is>
      </c>
      <c r="B10753" t="inlineStr">
        <is>
          <t>Prada Luna Rossa Carbon Eau De Toilette Refill 150ml</t>
        </is>
      </c>
      <c r="C10753" t="inlineStr">
        <is>
          <t>Refillable Fragrances &amp; Refills</t>
        </is>
      </c>
      <c r="D10753" t="inlineStr">
        <is>
          <t>Prada</t>
        </is>
      </c>
      <c r="E10753" t="n">
        <v>103.58</v>
      </c>
      <c r="F10753" t="n">
        <v>1</v>
      </c>
      <c r="G10753" t="n">
        <v>10</v>
      </c>
      <c r="H10753" s="5">
        <f>HYPERLINK("https://api.qogita.com/variants/link/3614273991872/", "View Product")</f>
        <v/>
      </c>
    </row>
    <row r="10754">
      <c r="A10754" t="inlineStr">
        <is>
          <t>3614273994774</t>
        </is>
      </c>
      <c r="B10754" t="inlineStr">
        <is>
          <t>Biotherm Life Plankton Elixir Serum 75 Ml</t>
        </is>
      </c>
      <c r="C10754" t="inlineStr">
        <is>
          <t>Hydrating Serum</t>
        </is>
      </c>
      <c r="D10754" t="inlineStr">
        <is>
          <t>Biotherm</t>
        </is>
      </c>
      <c r="E10754" t="n">
        <v>88.14</v>
      </c>
      <c r="F10754" t="n">
        <v>1</v>
      </c>
      <c r="G10754" t="n">
        <v>10</v>
      </c>
      <c r="H10754" s="5">
        <f>HYPERLINK("https://api.qogita.com/variants/link/3614273994774/", "View Product")</f>
        <v/>
      </c>
    </row>
    <row r="10755">
      <c r="A10755" t="inlineStr">
        <is>
          <t>3614274000566</t>
        </is>
      </c>
      <c r="B10755" t="inlineStr">
        <is>
          <t>Prada Paradoxe Virtual Flower Eau De Parfum 50ml</t>
        </is>
      </c>
      <c r="C10755" t="inlineStr">
        <is>
          <t>Eau De Parfum</t>
        </is>
      </c>
      <c r="D10755" t="inlineStr">
        <is>
          <t>Prada</t>
        </is>
      </c>
      <c r="E10755" t="n">
        <v>65.22</v>
      </c>
      <c r="F10755" t="n">
        <v>1</v>
      </c>
      <c r="G10755" t="n">
        <v>7</v>
      </c>
      <c r="H10755" s="5">
        <f>HYPERLINK("https://api.qogita.com/variants/link/3614274000566/", "View Product")</f>
        <v/>
      </c>
    </row>
    <row r="10756">
      <c r="A10756" t="inlineStr">
        <is>
          <t>3614274000610</t>
        </is>
      </c>
      <c r="B10756" t="inlineStr">
        <is>
          <t>Prada Paradoxe Virtual Flower Eau De Parfum Refillable Spray 30ml</t>
        </is>
      </c>
      <c r="C10756" t="inlineStr">
        <is>
          <t>Eau De Parfum</t>
        </is>
      </c>
      <c r="D10756" t="inlineStr">
        <is>
          <t>Prada</t>
        </is>
      </c>
      <c r="E10756" t="n">
        <v>58.29</v>
      </c>
      <c r="F10756" t="n">
        <v>1</v>
      </c>
      <c r="G10756" t="n">
        <v>7</v>
      </c>
      <c r="H10756" s="5">
        <f>HYPERLINK("https://api.qogita.com/variants/link/3614274000610/", "View Product")</f>
        <v/>
      </c>
    </row>
    <row r="10757">
      <c r="A10757" t="inlineStr">
        <is>
          <t>3614274024753</t>
        </is>
      </c>
      <c r="B10757" t="inlineStr">
        <is>
          <t>Valentino Donna Born In Roma Green Stravaganza Eau De Parfum 50ml</t>
        </is>
      </c>
      <c r="C10757" t="inlineStr">
        <is>
          <t>Eau De Parfum</t>
        </is>
      </c>
      <c r="D10757" t="inlineStr">
        <is>
          <t>Valentino</t>
        </is>
      </c>
      <c r="E10757" t="n">
        <v>67.53</v>
      </c>
      <c r="F10757" t="n">
        <v>1</v>
      </c>
      <c r="G10757" t="n">
        <v>25</v>
      </c>
      <c r="H10757" s="5">
        <f>HYPERLINK("https://api.qogita.com/variants/link/3614274024753/", "View Product")</f>
        <v/>
      </c>
    </row>
    <row r="10758">
      <c r="A10758" t="inlineStr">
        <is>
          <t>3614274024777</t>
        </is>
      </c>
      <c r="B10758" t="inlineStr">
        <is>
          <t>Valentino Donna Born In Roma Green Stravaganza Eau De Parfum 30ml</t>
        </is>
      </c>
      <c r="C10758" t="inlineStr">
        <is>
          <t>Eau De Parfum</t>
        </is>
      </c>
      <c r="D10758" t="inlineStr">
        <is>
          <t>Valentino</t>
        </is>
      </c>
      <c r="E10758" t="n">
        <v>54.26</v>
      </c>
      <c r="F10758" t="n">
        <v>1</v>
      </c>
      <c r="G10758" t="n">
        <v>41</v>
      </c>
      <c r="H10758" s="5">
        <f>HYPERLINK("https://api.qogita.com/variants/link/3614274024777/", "View Product")</f>
        <v/>
      </c>
    </row>
    <row r="10759">
      <c r="A10759" t="inlineStr">
        <is>
          <t>3614274042870</t>
        </is>
      </c>
      <c r="B10759" t="inlineStr">
        <is>
          <t>Biotherm Oil Therapy Body Milk 400ml Moisturizing Body Lotion</t>
        </is>
      </c>
      <c r="C10759" t="inlineStr">
        <is>
          <t>Body Lotion</t>
        </is>
      </c>
      <c r="D10759" t="inlineStr">
        <is>
          <t>Biotherm</t>
        </is>
      </c>
      <c r="E10759" t="n">
        <v>21.51</v>
      </c>
      <c r="F10759" t="n">
        <v>1</v>
      </c>
      <c r="G10759" t="n">
        <v>2</v>
      </c>
      <c r="H10759" s="5">
        <f>HYPERLINK("https://api.qogita.com/variants/link/3614274042870/", "View Product")</f>
        <v/>
      </c>
    </row>
    <row r="10760">
      <c r="A10760" t="inlineStr">
        <is>
          <t>3614274068795</t>
        </is>
      </c>
      <c r="B10760" t="inlineStr">
        <is>
          <t>Lancome La Nuit Tresor Le Parfum Eau De Parfum Spray 30ml</t>
        </is>
      </c>
      <c r="C10760" t="inlineStr">
        <is>
          <t>Eau De Parfum</t>
        </is>
      </c>
      <c r="D10760" t="inlineStr">
        <is>
          <t>Lancôme</t>
        </is>
      </c>
      <c r="E10760" t="n">
        <v>40.35</v>
      </c>
      <c r="F10760" t="n">
        <v>1</v>
      </c>
      <c r="G10760" t="n">
        <v>15</v>
      </c>
      <c r="H10760" s="5">
        <f>HYPERLINK("https://api.qogita.com/variants/link/3614274068795/", "View Product")</f>
        <v/>
      </c>
    </row>
    <row r="10761">
      <c r="A10761" t="inlineStr">
        <is>
          <t>3614274078381</t>
        </is>
      </c>
      <c r="B10761" t="inlineStr">
        <is>
          <t>Lancme Trsor Eau De Parfum Spray 30 Ml Nav23 Sets Includes 30 Ml Eau De Parfum 50 Ml Body Lotion And 2 Ml Mascara</t>
        </is>
      </c>
      <c r="C10761" t="inlineStr">
        <is>
          <t>Fragrance Sets</t>
        </is>
      </c>
      <c r="D10761" t="inlineStr">
        <is>
          <t>Lancôme</t>
        </is>
      </c>
      <c r="E10761" t="n">
        <v>60.77</v>
      </c>
      <c r="F10761" t="n">
        <v>1</v>
      </c>
      <c r="G10761" t="n">
        <v>7</v>
      </c>
      <c r="H10761" s="5">
        <f>HYPERLINK("https://api.qogita.com/variants/link/3614274078381/", "View Product")</f>
        <v/>
      </c>
    </row>
    <row r="10762">
      <c r="A10762" t="inlineStr">
        <is>
          <t>3614274078558</t>
        </is>
      </c>
      <c r="B10762" t="inlineStr">
        <is>
          <t>Lancme Idle Eau De Toilette 50ml</t>
        </is>
      </c>
      <c r="C10762" t="inlineStr">
        <is>
          <t>Eau De Toilette</t>
        </is>
      </c>
      <c r="D10762" t="inlineStr">
        <is>
          <t>Lancôme</t>
        </is>
      </c>
      <c r="E10762" t="n">
        <v>52.53</v>
      </c>
      <c r="F10762" t="n">
        <v>1</v>
      </c>
      <c r="G10762" t="n">
        <v>6</v>
      </c>
      <c r="H10762" s="5">
        <f>HYPERLINK("https://api.qogita.com/variants/link/3614274078558/", "View Product")</f>
        <v/>
      </c>
    </row>
    <row r="10763">
      <c r="A10763" t="inlineStr">
        <is>
          <t>3614274081183</t>
        </is>
      </c>
      <c r="B10763" t="inlineStr">
        <is>
          <t>Viktor &amp; Rolf Flowerbomb Tiger Lily Eau De Parfum</t>
        </is>
      </c>
      <c r="C10763" t="inlineStr">
        <is>
          <t>Eau De Parfum</t>
        </is>
      </c>
      <c r="D10763" t="inlineStr">
        <is>
          <t>Viktor &amp; Rolf</t>
        </is>
      </c>
      <c r="E10763" t="n">
        <v>76.54000000000001</v>
      </c>
      <c r="F10763" t="n">
        <v>1</v>
      </c>
      <c r="G10763" t="n">
        <v>15</v>
      </c>
      <c r="H10763" s="5">
        <f>HYPERLINK("https://api.qogita.com/variants/link/3614274081183/", "View Product")</f>
        <v/>
      </c>
    </row>
    <row r="10764">
      <c r="A10764" t="inlineStr">
        <is>
          <t>3614274089349</t>
        </is>
      </c>
      <c r="B10764" t="inlineStr">
        <is>
          <t>Prada Luna Rossa Ocean Le Parfum 50ml A Premium Fragrance By Prada</t>
        </is>
      </c>
      <c r="C10764" t="inlineStr">
        <is>
          <t>Eau De Parfum</t>
        </is>
      </c>
      <c r="D10764" t="inlineStr">
        <is>
          <t>Prada</t>
        </is>
      </c>
      <c r="E10764" t="n">
        <v>51.65</v>
      </c>
      <c r="F10764" t="n">
        <v>1</v>
      </c>
      <c r="G10764" t="n">
        <v>7</v>
      </c>
      <c r="H10764" s="5">
        <f>HYPERLINK("https://api.qogita.com/variants/link/3614274089349/", "View Product")</f>
        <v/>
      </c>
    </row>
    <row r="10765">
      <c r="A10765" t="inlineStr">
        <is>
          <t>3614274089356</t>
        </is>
      </c>
      <c r="B10765" t="inlineStr">
        <is>
          <t>Luna Rossa Ocean Le Parfum Perfume Spray 100ml</t>
        </is>
      </c>
      <c r="C10765" t="inlineStr">
        <is>
          <t>Eau De Parfum</t>
        </is>
      </c>
      <c r="D10765" t="inlineStr">
        <is>
          <t>Luna Rossa</t>
        </is>
      </c>
      <c r="E10765" t="n">
        <v>78.36</v>
      </c>
      <c r="F10765" t="n">
        <v>1</v>
      </c>
      <c r="G10765" t="n">
        <v>35</v>
      </c>
      <c r="H10765" s="5">
        <f>HYPERLINK("https://api.qogita.com/variants/link/3614274089356/", "View Product")</f>
        <v/>
      </c>
    </row>
    <row r="10766">
      <c r="A10766" t="inlineStr">
        <is>
          <t>3614274091007</t>
        </is>
      </c>
      <c r="B10766" t="inlineStr">
        <is>
          <t>Cacharel Anais Anais Eau De Toilette 100ml With Two 50ml Perfumed Body Lotions</t>
        </is>
      </c>
      <c r="C10766" t="inlineStr">
        <is>
          <t>Eau De Toilette</t>
        </is>
      </c>
      <c r="D10766" t="inlineStr">
        <is>
          <t>Cacharel</t>
        </is>
      </c>
      <c r="E10766" t="n">
        <v>50.25</v>
      </c>
      <c r="F10766" t="n">
        <v>1</v>
      </c>
      <c r="G10766" t="n">
        <v>1</v>
      </c>
      <c r="H10766" s="5">
        <f>HYPERLINK("https://api.qogita.com/variants/link/3614274091007/", "View Product")</f>
        <v/>
      </c>
    </row>
    <row r="10767">
      <c r="A10767" t="inlineStr">
        <is>
          <t>3614274096842</t>
        </is>
      </c>
      <c r="B10767" t="inlineStr">
        <is>
          <t>Biotherm Daily Firming Cream Blue Peptides 50 Ml</t>
        </is>
      </c>
      <c r="C10767" t="inlineStr">
        <is>
          <t>Day Cream</t>
        </is>
      </c>
      <c r="D10767" t="inlineStr">
        <is>
          <t>Biotherm</t>
        </is>
      </c>
      <c r="E10767" t="n">
        <v>58.62</v>
      </c>
      <c r="F10767" t="n">
        <v>1</v>
      </c>
      <c r="G10767" t="n">
        <v>7</v>
      </c>
      <c r="H10767" s="5">
        <f>HYPERLINK("https://api.qogita.com/variants/link/3614274096842/", "View Product")</f>
        <v/>
      </c>
    </row>
    <row r="10768">
      <c r="A10768" t="inlineStr">
        <is>
          <t>3614274097894</t>
        </is>
      </c>
      <c r="B10768" t="inlineStr">
        <is>
          <t>Lancome Idle Tint Liquid Eyeblusher 7 Ml 03 Hot Lava</t>
        </is>
      </c>
      <c r="C10768" t="inlineStr">
        <is>
          <t>Blush</t>
        </is>
      </c>
      <c r="D10768" t="inlineStr">
        <is>
          <t>Lancôme</t>
        </is>
      </c>
      <c r="E10768" t="n">
        <v>25.56</v>
      </c>
      <c r="F10768" t="n">
        <v>1</v>
      </c>
      <c r="G10768" t="n">
        <v>3</v>
      </c>
      <c r="H10768" s="5">
        <f>HYPERLINK("https://api.qogita.com/variants/link/3614274097894/", "View Product")</f>
        <v/>
      </c>
    </row>
    <row r="10769">
      <c r="A10769" t="inlineStr">
        <is>
          <t>3614274097900</t>
        </is>
      </c>
      <c r="B10769" t="inlineStr">
        <is>
          <t>Lancme Idle Tint Liquid Eyeshadows And Liners 2in1 Liquid Eyeblusher 7 Ml</t>
        </is>
      </c>
      <c r="C10769" t="inlineStr">
        <is>
          <t>Eyeshadow</t>
        </is>
      </c>
      <c r="D10769" t="inlineStr">
        <is>
          <t>Lancôme</t>
        </is>
      </c>
      <c r="E10769" t="n">
        <v>20.34</v>
      </c>
      <c r="F10769" t="n">
        <v>1</v>
      </c>
      <c r="G10769" t="n">
        <v>2</v>
      </c>
      <c r="H10769" s="5">
        <f>HYPERLINK("https://api.qogita.com/variants/link/3614274097900/", "View Product")</f>
        <v/>
      </c>
    </row>
    <row r="10770">
      <c r="A10770" t="inlineStr">
        <is>
          <t>3614274110128</t>
        </is>
      </c>
      <c r="B10770" t="inlineStr">
        <is>
          <t>Lancme Teint Idole Ultra Wear Skin Transforming Bronzer 06 Deep Tan 10 G</t>
        </is>
      </c>
      <c r="C10770" t="inlineStr">
        <is>
          <t>Bronzer</t>
        </is>
      </c>
      <c r="D10770" t="inlineStr">
        <is>
          <t>Lancôme</t>
        </is>
      </c>
      <c r="E10770" t="n">
        <v>36.3</v>
      </c>
      <c r="F10770" t="n">
        <v>1</v>
      </c>
      <c r="G10770" t="n">
        <v>2</v>
      </c>
      <c r="H10770" s="5">
        <f>HYPERLINK("https://api.qogita.com/variants/link/3614274110128/", "View Product")</f>
        <v/>
      </c>
    </row>
    <row r="10771">
      <c r="A10771" t="inlineStr">
        <is>
          <t>3614274111965</t>
        </is>
      </c>
      <c r="B10771" t="inlineStr">
        <is>
          <t>Prada Luna Rossa Ocean Eau de Toilette 100ml Gift Set 2023</t>
        </is>
      </c>
      <c r="C10771" t="inlineStr">
        <is>
          <t>Fragrance Sets</t>
        </is>
      </c>
      <c r="D10771" t="inlineStr">
        <is>
          <t>Prada</t>
        </is>
      </c>
      <c r="E10771" t="n">
        <v>90.53</v>
      </c>
      <c r="F10771" t="n">
        <v>1</v>
      </c>
      <c r="G10771" t="n">
        <v>10</v>
      </c>
      <c r="H10771" s="5">
        <f>HYPERLINK("https://api.qogita.com/variants/link/3614274111965/", "View Product")</f>
        <v/>
      </c>
    </row>
    <row r="10772">
      <c r="A10772" t="inlineStr">
        <is>
          <t>3614274129281</t>
        </is>
      </c>
      <c r="B10772" t="inlineStr">
        <is>
          <t>Azzaro The Most Wanted Intense Eau De Toilette 100ml</t>
        </is>
      </c>
      <c r="C10772" t="inlineStr">
        <is>
          <t>Eau De Toilette</t>
        </is>
      </c>
      <c r="D10772" t="inlineStr">
        <is>
          <t>Azzaro</t>
        </is>
      </c>
      <c r="E10772" t="n">
        <v>42.91</v>
      </c>
      <c r="F10772" t="n">
        <v>1</v>
      </c>
      <c r="G10772" t="n">
        <v>20</v>
      </c>
      <c r="H10772" s="5">
        <f>HYPERLINK("https://api.qogita.com/variants/link/3614274129281/", "View Product")</f>
        <v/>
      </c>
    </row>
    <row r="10773">
      <c r="A10773" t="inlineStr">
        <is>
          <t>3614274132335</t>
        </is>
      </c>
      <c r="B10773" t="inlineStr">
        <is>
          <t>Lancme Le Stylo Waterproof Eyeliner 10 Ruby Fever 035 G</t>
        </is>
      </c>
      <c r="C10773" t="inlineStr">
        <is>
          <t>Eyeliner</t>
        </is>
      </c>
      <c r="D10773" t="inlineStr">
        <is>
          <t>Lancôme</t>
        </is>
      </c>
      <c r="E10773" t="n">
        <v>22.76</v>
      </c>
      <c r="F10773" t="n">
        <v>1</v>
      </c>
      <c r="G10773" t="n">
        <v>4</v>
      </c>
      <c r="H10773" s="5">
        <f>HYPERLINK("https://api.qogita.com/variants/link/3614274132335/", "View Product")</f>
        <v/>
      </c>
    </row>
    <row r="10774">
      <c r="A10774" t="inlineStr">
        <is>
          <t>3614274132694</t>
        </is>
      </c>
      <c r="B10774" t="inlineStr">
        <is>
          <t>Yves Saint Laurent Loveshine Glossy Lipstick 201 32 G</t>
        </is>
      </c>
      <c r="C10774" t="inlineStr">
        <is>
          <t>Lipstick</t>
        </is>
      </c>
      <c r="D10774" t="inlineStr">
        <is>
          <t>Yves Saint Laurent</t>
        </is>
      </c>
      <c r="E10774" t="n">
        <v>34.73</v>
      </c>
      <c r="F10774" t="n">
        <v>1</v>
      </c>
      <c r="G10774" t="n">
        <v>2</v>
      </c>
      <c r="H10774" s="5">
        <f>HYPERLINK("https://api.qogita.com/variants/link/3614274132694/", "View Product")</f>
        <v/>
      </c>
    </row>
    <row r="10775">
      <c r="A10775" t="inlineStr">
        <is>
          <t>3614274132779</t>
        </is>
      </c>
      <c r="B10775" t="inlineStr">
        <is>
          <t>Yves Saint Laurent Loveshine High Shine Caring Lipstick 209 Pink Desire Brand New in Packaging</t>
        </is>
      </c>
      <c r="C10775" t="inlineStr">
        <is>
          <t>Lipstick</t>
        </is>
      </c>
      <c r="D10775" t="inlineStr">
        <is>
          <t>Yves Saint Laurent</t>
        </is>
      </c>
      <c r="E10775" t="n">
        <v>34.33</v>
      </c>
      <c r="F10775" t="n">
        <v>1</v>
      </c>
      <c r="G10775" t="n">
        <v>5</v>
      </c>
      <c r="H10775" s="5">
        <f>HYPERLINK("https://api.qogita.com/variants/link/3614274132779/", "View Product")</f>
        <v/>
      </c>
    </row>
    <row r="10776">
      <c r="A10776" t="inlineStr">
        <is>
          <t>3614274150926</t>
        </is>
      </c>
      <c r="B10776" t="inlineStr">
        <is>
          <t>Giorgio Armani Si Passione Intense Eau De Parfum 100ml</t>
        </is>
      </c>
      <c r="C10776" t="inlineStr">
        <is>
          <t>Eau De Parfum</t>
        </is>
      </c>
      <c r="D10776" t="inlineStr">
        <is>
          <t>Giorgio Armani</t>
        </is>
      </c>
      <c r="E10776" t="n">
        <v>98.84</v>
      </c>
      <c r="F10776" t="n">
        <v>1</v>
      </c>
      <c r="G10776" t="n">
        <v>3</v>
      </c>
      <c r="H10776" s="5">
        <f>HYPERLINK("https://api.qogita.com/variants/link/3614274150926/", "View Product")</f>
        <v/>
      </c>
    </row>
    <row r="10777">
      <c r="A10777" t="inlineStr">
        <is>
          <t>3614274154382</t>
        </is>
      </c>
      <c r="B10777" t="inlineStr">
        <is>
          <t>Giorgio Armani Prisma Glass Lipgloss - 4 Ml</t>
        </is>
      </c>
      <c r="C10777" t="inlineStr">
        <is>
          <t>Lip Gloss</t>
        </is>
      </c>
      <c r="D10777" t="inlineStr">
        <is>
          <t>Giorgio Armani</t>
        </is>
      </c>
      <c r="E10777" t="n">
        <v>38.67</v>
      </c>
      <c r="F10777" t="n">
        <v>1</v>
      </c>
      <c r="G10777" t="n">
        <v>2</v>
      </c>
      <c r="H10777" s="5">
        <f>HYPERLINK("https://api.qogita.com/variants/link/3614274154382/", "View Product")</f>
        <v/>
      </c>
    </row>
    <row r="10778">
      <c r="A10778" t="inlineStr">
        <is>
          <t>3614274160666</t>
        </is>
      </c>
      <c r="B10778" t="inlineStr">
        <is>
          <t>Lancme Lash Idole Mascara Set</t>
        </is>
      </c>
      <c r="C10778" t="inlineStr">
        <is>
          <t>Mascara</t>
        </is>
      </c>
      <c r="D10778" t="inlineStr">
        <is>
          <t>Lancôme</t>
        </is>
      </c>
      <c r="E10778" t="n">
        <v>45.05</v>
      </c>
      <c r="F10778" t="n">
        <v>1</v>
      </c>
      <c r="G10778" t="n">
        <v>67</v>
      </c>
      <c r="H10778" s="5">
        <f>HYPERLINK("https://api.qogita.com/variants/link/3614274160666/", "View Product")</f>
        <v/>
      </c>
    </row>
    <row r="10779">
      <c r="A10779" t="inlineStr">
        <is>
          <t>3614274160741</t>
        </is>
      </c>
      <c r="B10779" t="inlineStr">
        <is>
          <t>Mascara Hypnôse Set by Lancôme</t>
        </is>
      </c>
      <c r="C10779" t="inlineStr">
        <is>
          <t>Mascara</t>
        </is>
      </c>
      <c r="D10779" t="inlineStr">
        <is>
          <t>Lancôme</t>
        </is>
      </c>
      <c r="E10779" t="n">
        <v>31.4</v>
      </c>
      <c r="F10779" t="n">
        <v>1</v>
      </c>
      <c r="G10779" t="n">
        <v>11</v>
      </c>
      <c r="H10779" s="5">
        <f>HYPERLINK("https://api.qogita.com/variants/link/3614274160741/", "View Product")</f>
        <v/>
      </c>
    </row>
    <row r="10780">
      <c r="A10780" t="inlineStr">
        <is>
          <t>3614274162943</t>
        </is>
      </c>
      <c r="B10780" t="inlineStr">
        <is>
          <t>Lancme Uv Expert Supra Screen Spf50 Invisible Uv Serum 40ml</t>
        </is>
      </c>
      <c r="C10780" t="inlineStr">
        <is>
          <t>Face Sun Protection</t>
        </is>
      </c>
      <c r="D10780" t="inlineStr">
        <is>
          <t>Lancôme</t>
        </is>
      </c>
      <c r="E10780" t="n">
        <v>32.83</v>
      </c>
      <c r="F10780" t="n">
        <v>1</v>
      </c>
      <c r="G10780" t="n">
        <v>4</v>
      </c>
      <c r="H10780" s="5">
        <f>HYPERLINK("https://api.qogita.com/variants/link/3614274162943/", "View Product")</f>
        <v/>
      </c>
    </row>
    <row r="10781">
      <c r="A10781" t="inlineStr">
        <is>
          <t>3614274169027</t>
        </is>
      </c>
      <c r="B10781" t="inlineStr">
        <is>
          <t>Giorgio Armani Luminous Silk Acqua Highlighter - 12 Ml</t>
        </is>
      </c>
      <c r="C10781" t="inlineStr">
        <is>
          <t>Highlighter</t>
        </is>
      </c>
      <c r="D10781" t="inlineStr">
        <is>
          <t>Giorgio Armani</t>
        </is>
      </c>
      <c r="E10781" t="n">
        <v>31.26</v>
      </c>
      <c r="F10781" t="n">
        <v>1</v>
      </c>
      <c r="G10781" t="n">
        <v>2</v>
      </c>
      <c r="H10781" s="5">
        <f>HYPERLINK("https://api.qogita.com/variants/link/3614274169027/", "View Product")</f>
        <v/>
      </c>
    </row>
    <row r="10782">
      <c r="A10782" t="inlineStr">
        <is>
          <t>3614274169713</t>
        </is>
      </c>
      <c r="B10782" t="inlineStr">
        <is>
          <t>Lancme La Vie Est Belle L'Elixir Eau De Parfum 50ml</t>
        </is>
      </c>
      <c r="C10782" t="inlineStr">
        <is>
          <t>Eau De Parfum</t>
        </is>
      </c>
      <c r="D10782" t="inlineStr">
        <is>
          <t>Lancôme</t>
        </is>
      </c>
      <c r="E10782" t="n">
        <v>88.45999999999999</v>
      </c>
      <c r="F10782" t="n">
        <v>1</v>
      </c>
      <c r="G10782" t="n">
        <v>10</v>
      </c>
      <c r="H10782" s="5">
        <f>HYPERLINK("https://api.qogita.com/variants/link/3614274169713/", "View Product")</f>
        <v/>
      </c>
    </row>
    <row r="10783">
      <c r="A10783" t="inlineStr">
        <is>
          <t>3614274169720</t>
        </is>
      </c>
      <c r="B10783" t="inlineStr">
        <is>
          <t>Lancme La Vie Est Belle L'Elixir Eau De Parfum 30ml</t>
        </is>
      </c>
      <c r="C10783" t="inlineStr">
        <is>
          <t>Eau De Parfum</t>
        </is>
      </c>
      <c r="D10783" t="inlineStr">
        <is>
          <t>Lancôme</t>
        </is>
      </c>
      <c r="E10783" t="n">
        <v>69.18000000000001</v>
      </c>
      <c r="F10783" t="n">
        <v>1</v>
      </c>
      <c r="G10783" t="n">
        <v>9</v>
      </c>
      <c r="H10783" s="5">
        <f>HYPERLINK("https://api.qogita.com/variants/link/3614274169720/", "View Product")</f>
        <v/>
      </c>
    </row>
    <row r="10784">
      <c r="A10784" t="inlineStr">
        <is>
          <t>3614274169867</t>
        </is>
      </c>
      <c r="B10784" t="inlineStr">
        <is>
          <t>Lancme Lip Idle Squalane12 Butterglow 53 The Tea Is Hot Hydrating Lip Balm 3 G</t>
        </is>
      </c>
      <c r="C10784" t="inlineStr">
        <is>
          <t>Lip Balm</t>
        </is>
      </c>
      <c r="D10784" t="inlineStr">
        <is>
          <t>Lancôme</t>
        </is>
      </c>
      <c r="E10784" t="n">
        <v>28.53</v>
      </c>
      <c r="F10784" t="n">
        <v>1</v>
      </c>
      <c r="G10784" t="n">
        <v>3</v>
      </c>
      <c r="H10784" s="5">
        <f>HYPERLINK("https://api.qogita.com/variants/link/3614274169867/", "View Product")</f>
        <v/>
      </c>
    </row>
    <row r="10785">
      <c r="A10785" t="inlineStr">
        <is>
          <t>3614274183290</t>
        </is>
      </c>
      <c r="B10785" t="inlineStr">
        <is>
          <t>Armani Prisma Glass 06 Amber Shine - 3.5ml</t>
        </is>
      </c>
      <c r="C10785" t="inlineStr">
        <is>
          <t>Eau De Parfum</t>
        </is>
      </c>
      <c r="D10785" t="inlineStr">
        <is>
          <t>Armani</t>
        </is>
      </c>
      <c r="E10785" t="n">
        <v>38.67</v>
      </c>
      <c r="F10785" t="n">
        <v>1</v>
      </c>
      <c r="G10785" t="n">
        <v>2</v>
      </c>
      <c r="H10785" s="5">
        <f>HYPERLINK("https://api.qogita.com/variants/link/3614274183290/", "View Product")</f>
        <v/>
      </c>
    </row>
    <row r="10786">
      <c r="A10786" t="inlineStr">
        <is>
          <t>3614274186123</t>
        </is>
      </c>
      <c r="B10786" t="inlineStr">
        <is>
          <t>Giorgio Armani Luminous Silk Bronzing Powder - 18 G</t>
        </is>
      </c>
      <c r="C10786" t="inlineStr">
        <is>
          <t>Bronzer</t>
        </is>
      </c>
      <c r="D10786" t="inlineStr">
        <is>
          <t>Giorgio Armani</t>
        </is>
      </c>
      <c r="E10786" t="n">
        <v>56.72</v>
      </c>
      <c r="F10786" t="n">
        <v>1</v>
      </c>
      <c r="G10786" t="n">
        <v>11</v>
      </c>
      <c r="H10786" s="5">
        <f>HYPERLINK("https://api.qogita.com/variants/link/3614274186123/", "View Product")</f>
        <v/>
      </c>
    </row>
    <row r="10787">
      <c r="A10787" t="inlineStr">
        <is>
          <t>3614274192278</t>
        </is>
      </c>
      <c r="B10787" t="inlineStr">
        <is>
          <t>Giorgio Armani My Way Ylang - Eau De Parfum</t>
        </is>
      </c>
      <c r="C10787" t="inlineStr">
        <is>
          <t>Eau De Parfum</t>
        </is>
      </c>
      <c r="D10787" t="inlineStr">
        <is>
          <t>Giorgio Armani</t>
        </is>
      </c>
      <c r="E10787" t="n">
        <v>116.21</v>
      </c>
      <c r="F10787" t="n">
        <v>1</v>
      </c>
      <c r="G10787" t="n">
        <v>23</v>
      </c>
      <c r="H10787" s="5">
        <f>HYPERLINK("https://api.qogita.com/variants/link/3614274192278/", "View Product")</f>
        <v/>
      </c>
    </row>
    <row r="10788">
      <c r="A10788" t="inlineStr">
        <is>
          <t>3614274222982</t>
        </is>
      </c>
      <c r="B10788" t="inlineStr">
        <is>
          <t>Yves Saint Laurent Ysl La Collection Elle Eau De Parfum 80 Milliliters</t>
        </is>
      </c>
      <c r="C10788" t="inlineStr">
        <is>
          <t>Eau De Parfum</t>
        </is>
      </c>
      <c r="D10788" t="inlineStr">
        <is>
          <t>Yves Saint Laurent</t>
        </is>
      </c>
      <c r="E10788" t="n">
        <v>92.69</v>
      </c>
      <c r="F10788" t="n">
        <v>1</v>
      </c>
      <c r="G10788" t="n">
        <v>3</v>
      </c>
      <c r="H10788" s="5">
        <f>HYPERLINK("https://api.qogita.com/variants/link/3614274222982/", "View Product")</f>
        <v/>
      </c>
    </row>
    <row r="10789">
      <c r="A10789" t="inlineStr">
        <is>
          <t>3614274266818</t>
        </is>
      </c>
      <c r="B10789" t="inlineStr">
        <is>
          <t>Yves Saint Laurent Ysl Y For Men Le Parfum - 60ml</t>
        </is>
      </c>
      <c r="C10789" t="inlineStr">
        <is>
          <t>Eau De Parfum</t>
        </is>
      </c>
      <c r="D10789" t="inlineStr">
        <is>
          <t>Yves Saint Laurent</t>
        </is>
      </c>
      <c r="E10789" t="n">
        <v>91.15000000000001</v>
      </c>
      <c r="F10789" t="n">
        <v>1</v>
      </c>
      <c r="G10789" t="n">
        <v>21</v>
      </c>
      <c r="H10789" s="5">
        <f>HYPERLINK("https://api.qogita.com/variants/link/3614274266818/", "View Product")</f>
        <v/>
      </c>
    </row>
    <row r="10790">
      <c r="A10790" t="inlineStr">
        <is>
          <t>3614274289480</t>
        </is>
      </c>
      <c r="B10790" t="inlineStr">
        <is>
          <t>Mugler Alien Extraintense Eau De Parfum Intense Refill Bottle 100ml</t>
        </is>
      </c>
      <c r="C10790" t="inlineStr">
        <is>
          <t>Refillable Fragrances &amp; Refills</t>
        </is>
      </c>
      <c r="D10790" t="inlineStr">
        <is>
          <t>Mugler</t>
        </is>
      </c>
      <c r="E10790" t="n">
        <v>113.31</v>
      </c>
      <c r="F10790" t="n">
        <v>1</v>
      </c>
      <c r="G10790" t="n">
        <v>10</v>
      </c>
      <c r="H10790" s="5">
        <f>HYPERLINK("https://api.qogita.com/variants/link/3614274289480/", "View Product")</f>
        <v/>
      </c>
    </row>
    <row r="10791">
      <c r="A10791" t="inlineStr">
        <is>
          <t>3614274293845</t>
        </is>
      </c>
      <c r="B10791" t="inlineStr">
        <is>
          <t>Yves Saint Laurent Libre L'Eau Nue Parfum Peau 50 Ml</t>
        </is>
      </c>
      <c r="C10791" t="inlineStr">
        <is>
          <t>Eau De Parfum</t>
        </is>
      </c>
      <c r="D10791" t="inlineStr">
        <is>
          <t>Yves Saint Laurent</t>
        </is>
      </c>
      <c r="E10791" t="n">
        <v>68.62</v>
      </c>
      <c r="F10791" t="n">
        <v>1</v>
      </c>
      <c r="G10791" t="n">
        <v>4</v>
      </c>
      <c r="H10791" s="5">
        <f>HYPERLINK("https://api.qogita.com/variants/link/3614274293845/", "View Product")</f>
        <v/>
      </c>
    </row>
    <row r="10792">
      <c r="A10792" t="inlineStr">
        <is>
          <t>3614274299205</t>
        </is>
      </c>
      <c r="B10792" t="inlineStr">
        <is>
          <t>Lancme Idle Power Eau De Parfum Intense 25ml</t>
        </is>
      </c>
      <c r="C10792" t="inlineStr">
        <is>
          <t>Eau De Parfum</t>
        </is>
      </c>
      <c r="D10792" t="inlineStr">
        <is>
          <t>Lancôme</t>
        </is>
      </c>
      <c r="E10792" t="n">
        <v>58.39</v>
      </c>
      <c r="F10792" t="n">
        <v>1</v>
      </c>
      <c r="G10792" t="n">
        <v>4</v>
      </c>
      <c r="H10792" s="5">
        <f>HYPERLINK("https://api.qogita.com/variants/link/3614274299205/", "View Product")</f>
        <v/>
      </c>
    </row>
    <row r="10793">
      <c r="A10793" t="inlineStr">
        <is>
          <t>3614274330137</t>
        </is>
      </c>
      <c r="B10793" t="inlineStr">
        <is>
          <t>Thierry Mugler Alien Goddess 60 Ml - A Captivating Fragrance For Women</t>
        </is>
      </c>
      <c r="C10793" t="inlineStr">
        <is>
          <t>Eau De Parfum</t>
        </is>
      </c>
      <c r="D10793" t="inlineStr">
        <is>
          <t>Thierry Mugler</t>
        </is>
      </c>
      <c r="E10793" t="n">
        <v>93.95999999999999</v>
      </c>
      <c r="F10793" t="n">
        <v>1</v>
      </c>
      <c r="G10793" t="n">
        <v>2</v>
      </c>
      <c r="H10793" s="5">
        <f>HYPERLINK("https://api.qogita.com/variants/link/3614274330137/", "View Product")</f>
        <v/>
      </c>
    </row>
    <row r="10794">
      <c r="A10794" t="inlineStr">
        <is>
          <t>3614274330588</t>
        </is>
      </c>
      <c r="B10794" t="inlineStr">
        <is>
          <t>Thierry Mugler Alien Hypersense 60 Ml Eau De Parfum For Women</t>
        </is>
      </c>
      <c r="C10794" t="inlineStr">
        <is>
          <t>Eau De Parfum</t>
        </is>
      </c>
      <c r="D10794" t="inlineStr">
        <is>
          <t>Thierry Mugler</t>
        </is>
      </c>
      <c r="E10794" t="n">
        <v>63.67</v>
      </c>
      <c r="F10794" t="n">
        <v>1</v>
      </c>
      <c r="G10794" t="n">
        <v>11</v>
      </c>
      <c r="H10794" s="5">
        <f>HYPERLINK("https://api.qogita.com/variants/link/3614274330588/", "View Product")</f>
        <v/>
      </c>
    </row>
    <row r="10795">
      <c r="A10795" t="inlineStr">
        <is>
          <t>3614274331073</t>
        </is>
      </c>
      <c r="B10795" t="inlineStr">
        <is>
          <t>Lancome Tresor - Eau De Parfum 50 Ml + Body Lotion 50 Ml + Eau De Parfum 10 Ml</t>
        </is>
      </c>
      <c r="C10795" t="inlineStr">
        <is>
          <t>Fragrance Sets</t>
        </is>
      </c>
      <c r="D10795" t="inlineStr">
        <is>
          <t>Lancôme</t>
        </is>
      </c>
      <c r="E10795" t="n">
        <v>90.36</v>
      </c>
      <c r="F10795" t="n">
        <v>1</v>
      </c>
      <c r="G10795" t="n">
        <v>5</v>
      </c>
      <c r="H10795" s="5">
        <f>HYPERLINK("https://api.qogita.com/variants/link/3614274331073/", "View Product")</f>
        <v/>
      </c>
    </row>
    <row r="10796">
      <c r="A10796" t="inlineStr">
        <is>
          <t>3614274336252</t>
        </is>
      </c>
      <c r="B10796" t="inlineStr">
        <is>
          <t>Lancome La Vie Est Belle Sparkling Edition 2024 - Eau De Parfum Refillable</t>
        </is>
      </c>
      <c r="C10796" t="inlineStr">
        <is>
          <t>Eau De Parfum</t>
        </is>
      </c>
      <c r="D10796" t="inlineStr">
        <is>
          <t>Lancôme</t>
        </is>
      </c>
      <c r="E10796" t="n">
        <v>87.62</v>
      </c>
      <c r="F10796" t="n">
        <v>1</v>
      </c>
      <c r="G10796" t="n">
        <v>9</v>
      </c>
      <c r="H10796" s="5">
        <f>HYPERLINK("https://api.qogita.com/variants/link/3614274336252/", "View Product")</f>
        <v/>
      </c>
    </row>
    <row r="10797">
      <c r="A10797" t="inlineStr">
        <is>
          <t>3614274336931</t>
        </is>
      </c>
      <c r="B10797" t="inlineStr">
        <is>
          <t>Armani Aqua Di Gioia Eau De Parfum Spray 100 Ml</t>
        </is>
      </c>
      <c r="C10797" t="inlineStr">
        <is>
          <t>Eau De Parfum</t>
        </is>
      </c>
      <c r="D10797" t="inlineStr">
        <is>
          <t>Armani</t>
        </is>
      </c>
      <c r="E10797" t="n">
        <v>88.45999999999999</v>
      </c>
      <c r="F10797" t="n">
        <v>1</v>
      </c>
      <c r="G10797" t="n">
        <v>14</v>
      </c>
      <c r="H10797" s="5">
        <f>HYPERLINK("https://api.qogita.com/variants/link/3614274336931/", "View Product")</f>
        <v/>
      </c>
    </row>
    <row r="10798">
      <c r="A10798" t="inlineStr">
        <is>
          <t>3614274338980</t>
        </is>
      </c>
      <c r="B10798" t="inlineStr">
        <is>
          <t>Lancome La Vie Est Belle Eau De Parfum 50ml Gift Set</t>
        </is>
      </c>
      <c r="C10798" t="inlineStr">
        <is>
          <t>Fragrance Sets</t>
        </is>
      </c>
      <c r="D10798" t="inlineStr">
        <is>
          <t>Lancôme</t>
        </is>
      </c>
      <c r="E10798" t="n">
        <v>78.45</v>
      </c>
      <c r="F10798" t="n">
        <v>1</v>
      </c>
      <c r="G10798" t="n">
        <v>52</v>
      </c>
      <c r="H10798" s="5">
        <f>HYPERLINK("https://api.qogita.com/variants/link/3614274338980/", "View Product")</f>
        <v/>
      </c>
    </row>
    <row r="10799">
      <c r="A10799" t="inlineStr">
        <is>
          <t>3614274344752</t>
        </is>
      </c>
      <c r="B10799" t="inlineStr">
        <is>
          <t>Lancome Idole 3 Serum Supertint Skin Tint - Dewy Even Tone with Niacinamide</t>
        </is>
      </c>
      <c r="C10799" t="inlineStr">
        <is>
          <t>Glow Serum</t>
        </is>
      </c>
      <c r="D10799" t="inlineStr">
        <is>
          <t>Lancôme</t>
        </is>
      </c>
      <c r="E10799" t="n">
        <v>39.68</v>
      </c>
      <c r="F10799" t="n">
        <v>1</v>
      </c>
      <c r="G10799" t="n">
        <v>5</v>
      </c>
      <c r="H10799" s="5">
        <f>HYPERLINK("https://api.qogita.com/variants/link/3614274344752/", "View Product")</f>
        <v/>
      </c>
    </row>
    <row r="10800">
      <c r="A10800" t="inlineStr">
        <is>
          <t>3614274344776</t>
        </is>
      </c>
      <c r="B10800" t="inlineStr">
        <is>
          <t>Lancome Skin Idole 3 Serum Supertint 30ml 30w</t>
        </is>
      </c>
      <c r="C10800" t="inlineStr">
        <is>
          <t>Hydrating Serum</t>
        </is>
      </c>
      <c r="D10800" t="inlineStr">
        <is>
          <t>Lancôme</t>
        </is>
      </c>
      <c r="E10800" t="n">
        <v>39.68</v>
      </c>
      <c r="F10800" t="n">
        <v>1</v>
      </c>
      <c r="G10800" t="n">
        <v>3</v>
      </c>
      <c r="H10800" s="5">
        <f>HYPERLINK("https://api.qogita.com/variants/link/3614274344776/", "View Product")</f>
        <v/>
      </c>
    </row>
    <row r="10801">
      <c r="A10801" t="inlineStr">
        <is>
          <t>3614274344837</t>
        </is>
      </c>
      <c r="B10801" t="inlineStr">
        <is>
          <t>Lancome Idole 3 Serum Supertint Skin Tint - Dewy Even Tone with Niacinamide</t>
        </is>
      </c>
      <c r="C10801" t="inlineStr">
        <is>
          <t>Glow Serum</t>
        </is>
      </c>
      <c r="D10801" t="inlineStr">
        <is>
          <t>Lancôme</t>
        </is>
      </c>
      <c r="E10801" t="n">
        <v>39.68</v>
      </c>
      <c r="F10801" t="n">
        <v>1</v>
      </c>
      <c r="G10801" t="n">
        <v>3</v>
      </c>
      <c r="H10801" s="5">
        <f>HYPERLINK("https://api.qogita.com/variants/link/3614274344837/", "View Product")</f>
        <v/>
      </c>
    </row>
    <row r="10802">
      <c r="A10802" t="inlineStr">
        <is>
          <t>3614274347388</t>
        </is>
      </c>
      <c r="B10802" t="inlineStr">
        <is>
          <t>Emporio Armani Stronger With You Intensely Eau De Parfum - 150ml</t>
        </is>
      </c>
      <c r="C10802" t="inlineStr">
        <is>
          <t>Eau De Parfum</t>
        </is>
      </c>
      <c r="D10802" t="inlineStr">
        <is>
          <t>Emporio Armani</t>
        </is>
      </c>
      <c r="E10802" t="n">
        <v>97.69</v>
      </c>
      <c r="F10802" t="n">
        <v>1</v>
      </c>
      <c r="G10802" t="n">
        <v>3</v>
      </c>
      <c r="H10802" s="5">
        <f>HYPERLINK("https://api.qogita.com/variants/link/3614274347388/", "View Product")</f>
        <v/>
      </c>
    </row>
    <row r="10803">
      <c r="A10803" t="inlineStr">
        <is>
          <t>3614274382624</t>
        </is>
      </c>
      <c r="B10803" t="inlineStr">
        <is>
          <t>Lancome Lip Idole Juicytreat - N 22</t>
        </is>
      </c>
      <c r="C10803" t="inlineStr">
        <is>
          <t>Lip Gloss</t>
        </is>
      </c>
      <c r="D10803" t="inlineStr">
        <is>
          <t>Lancôme</t>
        </is>
      </c>
      <c r="E10803" t="n">
        <v>29.18</v>
      </c>
      <c r="F10803" t="n">
        <v>1</v>
      </c>
      <c r="G10803" t="n">
        <v>3</v>
      </c>
      <c r="H10803" s="5">
        <f>HYPERLINK("https://api.qogita.com/variants/link/3614274382624/", "View Product")</f>
        <v/>
      </c>
    </row>
    <row r="10804">
      <c r="A10804" t="inlineStr">
        <is>
          <t>3614274399172</t>
        </is>
      </c>
      <c r="B10804" t="inlineStr">
        <is>
          <t>Biotherm Blue Peptides Eye &amp; Lip Reshaper Balm - 15 Ml</t>
        </is>
      </c>
      <c r="C10804" t="inlineStr">
        <is>
          <t>Eye Cream</t>
        </is>
      </c>
      <c r="D10804" t="inlineStr">
        <is>
          <t>Biotherm</t>
        </is>
      </c>
      <c r="E10804" t="n">
        <v>47.34</v>
      </c>
      <c r="F10804" t="n">
        <v>1</v>
      </c>
      <c r="G10804" t="n">
        <v>3</v>
      </c>
      <c r="H10804" s="5">
        <f>HYPERLINK("https://api.qogita.com/variants/link/3614274399172/", "View Product")</f>
        <v/>
      </c>
    </row>
    <row r="10805">
      <c r="A10805" t="inlineStr">
        <is>
          <t>3614274400151</t>
        </is>
      </c>
      <c r="B10805" t="inlineStr">
        <is>
          <t>Yves Saint Laurent Ysl Myslf Eau De Parfum Spray 100 Ml + Eau De Parfum 10 Ml Sets</t>
        </is>
      </c>
      <c r="C10805" t="inlineStr">
        <is>
          <t>Fragrance Sets</t>
        </is>
      </c>
      <c r="D10805" t="inlineStr">
        <is>
          <t>Yves Saint Laurent</t>
        </is>
      </c>
      <c r="E10805" t="n">
        <v>104.33</v>
      </c>
      <c r="F10805" t="n">
        <v>1</v>
      </c>
      <c r="G10805" t="n">
        <v>11</v>
      </c>
      <c r="H10805" s="5">
        <f>HYPERLINK("https://api.qogita.com/variants/link/3614274400151/", "View Product")</f>
        <v/>
      </c>
    </row>
    <row r="10806">
      <c r="A10806" t="inlineStr">
        <is>
          <t>3614274423822</t>
        </is>
      </c>
      <c r="B10806" t="inlineStr">
        <is>
          <t>Prada Luna Rossa Ocean Eau De Parfum Gift Set</t>
        </is>
      </c>
      <c r="C10806" t="inlineStr">
        <is>
          <t>Fragrance Sets</t>
        </is>
      </c>
      <c r="D10806" t="inlineStr">
        <is>
          <t>Prada</t>
        </is>
      </c>
      <c r="E10806" t="n">
        <v>98.68000000000001</v>
      </c>
      <c r="F10806" t="n">
        <v>1</v>
      </c>
      <c r="G10806" t="n">
        <v>6</v>
      </c>
      <c r="H10806" s="5">
        <f>HYPERLINK("https://api.qogita.com/variants/link/3614274423822/", "View Product")</f>
        <v/>
      </c>
    </row>
    <row r="10807">
      <c r="A10807" t="inlineStr">
        <is>
          <t>3614274481549</t>
        </is>
      </c>
      <c r="B10807" t="inlineStr">
        <is>
          <t>Biotherm Aquascreen Fluid Uv Protection Spf50+ 40 Ml</t>
        </is>
      </c>
      <c r="C10807" t="inlineStr">
        <is>
          <t>Face Sun Protection</t>
        </is>
      </c>
      <c r="D10807" t="inlineStr">
        <is>
          <t>Biotherm</t>
        </is>
      </c>
      <c r="E10807" t="n">
        <v>29.72</v>
      </c>
      <c r="F10807" t="n">
        <v>1</v>
      </c>
      <c r="G10807" t="n">
        <v>3</v>
      </c>
      <c r="H10807" s="5">
        <f>HYPERLINK("https://api.qogita.com/variants/link/3614274481549/", "View Product")</f>
        <v/>
      </c>
    </row>
    <row r="10808">
      <c r="A10808" t="inlineStr">
        <is>
          <t>3614274489262</t>
        </is>
      </c>
      <c r="B10808" t="inlineStr">
        <is>
          <t>Biotherm Aquasource Cleansing Foam 150ml</t>
        </is>
      </c>
      <c r="C10808" t="inlineStr">
        <is>
          <t>Cleansing Foam</t>
        </is>
      </c>
      <c r="D10808" t="inlineStr">
        <is>
          <t>Biotherm</t>
        </is>
      </c>
      <c r="E10808" t="n">
        <v>29.16</v>
      </c>
      <c r="F10808" t="n">
        <v>1</v>
      </c>
      <c r="G10808" t="n">
        <v>2</v>
      </c>
      <c r="H10808" s="5">
        <f>HYPERLINK("https://api.qogita.com/variants/link/3614274489262/", "View Product")</f>
        <v/>
      </c>
    </row>
    <row r="10809">
      <c r="A10809" t="inlineStr">
        <is>
          <t>3614274521443</t>
        </is>
      </c>
      <c r="B10809" t="inlineStr">
        <is>
          <t>Biotherm Cica Aquasource Nourishing Cream - 30ml</t>
        </is>
      </c>
      <c r="C10809" t="inlineStr">
        <is>
          <t>Face Cream</t>
        </is>
      </c>
      <c r="D10809" t="inlineStr">
        <is>
          <t>Biotherm</t>
        </is>
      </c>
      <c r="E10809" t="n">
        <v>17.67</v>
      </c>
      <c r="F10809" t="n">
        <v>1</v>
      </c>
      <c r="G10809" t="n">
        <v>2</v>
      </c>
      <c r="H10809" s="5">
        <f>HYPERLINK("https://api.qogita.com/variants/link/3614274521443/", "View Product")</f>
        <v/>
      </c>
    </row>
    <row r="10810">
      <c r="A10810" t="inlineStr">
        <is>
          <t>3616300892442</t>
        </is>
      </c>
      <c r="B10810" t="inlineStr">
        <is>
          <t>Burberry Her London Dream Eau De Parfum</t>
        </is>
      </c>
      <c r="C10810" t="inlineStr">
        <is>
          <t>Eau De Parfum</t>
        </is>
      </c>
      <c r="D10810" t="inlineStr">
        <is>
          <t>Burberry</t>
        </is>
      </c>
      <c r="E10810" t="n">
        <v>71.33</v>
      </c>
      <c r="F10810" t="n">
        <v>1</v>
      </c>
      <c r="G10810" t="n">
        <v>12</v>
      </c>
      <c r="H10810" s="5">
        <f>HYPERLINK("https://api.qogita.com/variants/link/3616300892442/", "View Product")</f>
        <v/>
      </c>
    </row>
    <row r="10811">
      <c r="A10811" t="inlineStr">
        <is>
          <t>3616300919767</t>
        </is>
      </c>
      <c r="B10811" t="inlineStr">
        <is>
          <t>Mexx Black Woman Parfum To Go Floral Fruity Women Perfume Pen with Creamy</t>
        </is>
      </c>
      <c r="C10811" t="inlineStr">
        <is>
          <t>Eau De Parfum</t>
        </is>
      </c>
      <c r="D10811" t="inlineStr">
        <is>
          <t>Mexx</t>
        </is>
      </c>
      <c r="E10811" t="n">
        <v>0.75</v>
      </c>
      <c r="F10811" t="n">
        <v>1</v>
      </c>
      <c r="G10811" t="n">
        <v>969</v>
      </c>
      <c r="H10811" s="5">
        <f>HYPERLINK("https://api.qogita.com/variants/link/3616300919767/", "View Product")</f>
        <v/>
      </c>
    </row>
    <row r="10812">
      <c r="A10812" t="inlineStr">
        <is>
          <t>3616301118923</t>
        </is>
      </c>
      <c r="B10812" t="inlineStr">
        <is>
          <t>Wella Color Touch Vibrant Reds 10/34 60ml</t>
        </is>
      </c>
      <c r="C10812" t="inlineStr">
        <is>
          <t>Hair Dye</t>
        </is>
      </c>
      <c r="D10812" t="inlineStr">
        <is>
          <t>Wella</t>
        </is>
      </c>
      <c r="E10812" t="n">
        <v>7.54</v>
      </c>
      <c r="F10812" t="n">
        <v>1</v>
      </c>
      <c r="G10812" t="n">
        <v>3</v>
      </c>
      <c r="H10812" s="5">
        <f>HYPERLINK("https://api.qogita.com/variants/link/3616301118923/", "View Product")</f>
        <v/>
      </c>
    </row>
    <row r="10813">
      <c r="A10813" t="inlineStr">
        <is>
          <t>3616301119036</t>
        </is>
      </c>
      <c r="B10813" t="inlineStr">
        <is>
          <t>Wella Color Touch 8/41 60ml</t>
        </is>
      </c>
      <c r="C10813" t="inlineStr">
        <is>
          <t>Hair Dye</t>
        </is>
      </c>
      <c r="D10813" t="inlineStr">
        <is>
          <t>Wella</t>
        </is>
      </c>
      <c r="E10813" t="n">
        <v>6.43</v>
      </c>
      <c r="F10813" t="n">
        <v>1</v>
      </c>
      <c r="G10813" t="n">
        <v>5</v>
      </c>
      <c r="H10813" s="5">
        <f>HYPERLINK("https://api.qogita.com/variants/link/3616301119036/", "View Product")</f>
        <v/>
      </c>
    </row>
    <row r="10814">
      <c r="A10814" t="inlineStr">
        <is>
          <t>3616301238393</t>
        </is>
      </c>
      <c r="B10814" t="inlineStr">
        <is>
          <t>Max Factor Colour X-Pert Palette Eyeshadow Palette 002 Crushed Blooms 7g</t>
        </is>
      </c>
      <c r="C10814" t="inlineStr">
        <is>
          <t>Eye Sets &amp; Pallets</t>
        </is>
      </c>
      <c r="D10814" t="inlineStr">
        <is>
          <t>Max Factor</t>
        </is>
      </c>
      <c r="E10814" t="n">
        <v>8.56</v>
      </c>
      <c r="F10814" t="n">
        <v>1</v>
      </c>
      <c r="G10814" t="n">
        <v>7</v>
      </c>
      <c r="H10814" s="5">
        <f>HYPERLINK("https://api.qogita.com/variants/link/3616301238393/", "View Product")</f>
        <v/>
      </c>
    </row>
    <row r="10815">
      <c r="A10815" t="inlineStr">
        <is>
          <t>3616301273172</t>
        </is>
      </c>
      <c r="B10815" t="inlineStr">
        <is>
          <t>Rimmel The Multi Tasker Concealer Liquid 50 Sand 8g</t>
        </is>
      </c>
      <c r="C10815" t="inlineStr">
        <is>
          <t>Concealer</t>
        </is>
      </c>
      <c r="D10815" t="inlineStr">
        <is>
          <t>Rimmel London</t>
        </is>
      </c>
      <c r="E10815" t="n">
        <v>6.16</v>
      </c>
      <c r="F10815" t="n">
        <v>1</v>
      </c>
      <c r="G10815" t="n">
        <v>3</v>
      </c>
      <c r="H10815" s="5">
        <f>HYPERLINK("https://api.qogita.com/variants/link/3616301273172/", "View Product")</f>
        <v/>
      </c>
    </row>
    <row r="10816">
      <c r="A10816" t="inlineStr">
        <is>
          <t>3616301623335</t>
        </is>
      </c>
      <c r="B10816" t="inlineStr">
        <is>
          <t>Hugo Boss Number One Eau De Toilette Spray 100 Ml</t>
        </is>
      </c>
      <c r="C10816" t="inlineStr">
        <is>
          <t>Eau De Toilette</t>
        </is>
      </c>
      <c r="D10816" t="inlineStr">
        <is>
          <t>Hugo Boss</t>
        </is>
      </c>
      <c r="E10816" t="n">
        <v>23.41</v>
      </c>
      <c r="F10816" t="n">
        <v>1</v>
      </c>
      <c r="G10816" t="n">
        <v>179</v>
      </c>
      <c r="H10816" s="5">
        <f>HYPERLINK("https://api.qogita.com/variants/link/3616301623335/", "View Product")</f>
        <v/>
      </c>
    </row>
    <row r="10817">
      <c r="A10817" t="inlineStr">
        <is>
          <t>3616301623373</t>
        </is>
      </c>
      <c r="B10817" t="inlineStr">
        <is>
          <t>Hugo Boss Hugo Energise Eau De Toilette Spray 75ml</t>
        </is>
      </c>
      <c r="C10817" t="inlineStr">
        <is>
          <t>Eau De Toilette</t>
        </is>
      </c>
      <c r="D10817" t="inlineStr">
        <is>
          <t>Hugo Boss</t>
        </is>
      </c>
      <c r="E10817" t="n">
        <v>21.32</v>
      </c>
      <c r="F10817" t="n">
        <v>1</v>
      </c>
      <c r="G10817" t="n">
        <v>164</v>
      </c>
      <c r="H10817" s="5">
        <f>HYPERLINK("https://api.qogita.com/variants/link/3616301623373/", "View Product")</f>
        <v/>
      </c>
    </row>
    <row r="10818">
      <c r="A10818" t="inlineStr">
        <is>
          <t>3616301641247</t>
        </is>
      </c>
      <c r="B10818" t="inlineStr">
        <is>
          <t>Bruno Banani Woman's Best Eau De Parfum Spray 30ml</t>
        </is>
      </c>
      <c r="C10818" t="inlineStr">
        <is>
          <t>Eau De Parfum</t>
        </is>
      </c>
      <c r="D10818" t="inlineStr">
        <is>
          <t>Bruno Banani</t>
        </is>
      </c>
      <c r="E10818" t="n">
        <v>13.66</v>
      </c>
      <c r="F10818" t="n">
        <v>1</v>
      </c>
      <c r="G10818" t="n">
        <v>2</v>
      </c>
      <c r="H10818" s="5">
        <f>HYPERLINK("https://api.qogita.com/variants/link/3616301641247/", "View Product")</f>
        <v/>
      </c>
    </row>
    <row r="10819">
      <c r="A10819" t="inlineStr">
        <is>
          <t>3616301725800</t>
        </is>
      </c>
      <c r="B10819" t="inlineStr">
        <is>
          <t>Max Factor False Lash Effect Xxl Mascara - Black, 12ml</t>
        </is>
      </c>
      <c r="C10819" t="inlineStr">
        <is>
          <t>Mascara</t>
        </is>
      </c>
      <c r="D10819" t="inlineStr">
        <is>
          <t>Max Factor</t>
        </is>
      </c>
      <c r="E10819" t="n">
        <v>8.300000000000001</v>
      </c>
      <c r="F10819" t="n">
        <v>1</v>
      </c>
      <c r="G10819" t="n">
        <v>23</v>
      </c>
      <c r="H10819" s="5">
        <f>HYPERLINK("https://api.qogita.com/variants/link/3616301725800/", "View Product")</f>
        <v/>
      </c>
    </row>
    <row r="10820">
      <c r="A10820" t="inlineStr">
        <is>
          <t>3616301776000</t>
        </is>
      </c>
      <c r="B10820" t="inlineStr">
        <is>
          <t>Marc Jacobs Daisy Eau So Intense De Parfum 30ml</t>
        </is>
      </c>
      <c r="C10820" t="inlineStr">
        <is>
          <t>Eau De Parfum</t>
        </is>
      </c>
      <c r="D10820" t="inlineStr">
        <is>
          <t>Marc Jacobs</t>
        </is>
      </c>
      <c r="E10820" t="n">
        <v>28.18</v>
      </c>
      <c r="F10820" t="n">
        <v>1</v>
      </c>
      <c r="G10820" t="n">
        <v>19</v>
      </c>
      <c r="H10820" s="5">
        <f>HYPERLINK("https://api.qogita.com/variants/link/3616301776000/", "View Product")</f>
        <v/>
      </c>
    </row>
    <row r="10821">
      <c r="A10821" t="inlineStr">
        <is>
          <t>3616301776017</t>
        </is>
      </c>
      <c r="B10821" t="inlineStr">
        <is>
          <t>Marc Jacobs Daisy Eau So Intense Eau De Parfum Spray 50ml</t>
        </is>
      </c>
      <c r="C10821" t="inlineStr">
        <is>
          <t>Eau De Parfum</t>
        </is>
      </c>
      <c r="D10821" t="inlineStr">
        <is>
          <t>Marc Jacobs</t>
        </is>
      </c>
      <c r="E10821" t="n">
        <v>35.29</v>
      </c>
      <c r="F10821" t="n">
        <v>1</v>
      </c>
      <c r="G10821" t="n">
        <v>16</v>
      </c>
      <c r="H10821" s="5">
        <f>HYPERLINK("https://api.qogita.com/variants/link/3616301776017/", "View Product")</f>
        <v/>
      </c>
    </row>
    <row r="10822">
      <c r="A10822" t="inlineStr">
        <is>
          <t>3616301776154</t>
        </is>
      </c>
      <c r="B10822" t="inlineStr">
        <is>
          <t>Roberto Cavalli Gold Collection Wild Incense U Parfum 100ml</t>
        </is>
      </c>
      <c r="C10822" t="inlineStr">
        <is>
          <t>Eau De Parfum</t>
        </is>
      </c>
      <c r="D10822" t="inlineStr">
        <is>
          <t>Roberto Cavalli</t>
        </is>
      </c>
      <c r="E10822" t="n">
        <v>83.05</v>
      </c>
      <c r="F10822" t="n">
        <v>1</v>
      </c>
      <c r="G10822" t="n">
        <v>10</v>
      </c>
      <c r="H10822" s="5">
        <f>HYPERLINK("https://api.qogita.com/variants/link/3616301776154/", "View Product")</f>
        <v/>
      </c>
    </row>
    <row r="10823">
      <c r="A10823" t="inlineStr">
        <is>
          <t>3616301787242</t>
        </is>
      </c>
      <c r="B10823" t="inlineStr">
        <is>
          <t>Marc Jacobs Daisy Eau De Toilette</t>
        </is>
      </c>
      <c r="C10823" t="inlineStr">
        <is>
          <t>Eau De Toilette</t>
        </is>
      </c>
      <c r="D10823" t="inlineStr">
        <is>
          <t>Marc Jacobs</t>
        </is>
      </c>
      <c r="E10823" t="n">
        <v>67.14</v>
      </c>
      <c r="F10823" t="n">
        <v>1</v>
      </c>
      <c r="G10823" t="n">
        <v>5</v>
      </c>
      <c r="H10823" s="5">
        <f>HYPERLINK("https://api.qogita.com/variants/link/3616301787242/", "View Product")</f>
        <v/>
      </c>
    </row>
    <row r="10824">
      <c r="A10824" t="inlineStr">
        <is>
          <t>3616301789239</t>
        </is>
      </c>
      <c r="B10824" t="inlineStr">
        <is>
          <t>Escada Fairy Love Eau De Toilette Spray 30ml</t>
        </is>
      </c>
      <c r="C10824" t="inlineStr">
        <is>
          <t>Eau De Toilette</t>
        </is>
      </c>
      <c r="D10824" t="inlineStr">
        <is>
          <t>Escada</t>
        </is>
      </c>
      <c r="E10824" t="n">
        <v>10.2</v>
      </c>
      <c r="F10824" t="n">
        <v>1</v>
      </c>
      <c r="G10824" t="n">
        <v>129</v>
      </c>
      <c r="H10824" s="5">
        <f>HYPERLINK("https://api.qogita.com/variants/link/3616301789239/", "View Product")</f>
        <v/>
      </c>
    </row>
    <row r="10825">
      <c r="A10825" t="inlineStr">
        <is>
          <t>3616301794615</t>
        </is>
      </c>
      <c r="B10825" t="inlineStr">
        <is>
          <t>Gucci Guilty Pour Homme Parfum Spray 50ml - A Sophisticated Fragrance For Men</t>
        </is>
      </c>
      <c r="C10825" t="inlineStr">
        <is>
          <t>Eau De Parfum</t>
        </is>
      </c>
      <c r="D10825" t="inlineStr">
        <is>
          <t>Gucci</t>
        </is>
      </c>
      <c r="E10825" t="n">
        <v>67.59</v>
      </c>
      <c r="F10825" t="n">
        <v>1</v>
      </c>
      <c r="G10825" t="n">
        <v>8</v>
      </c>
      <c r="H10825" s="5">
        <f>HYPERLINK("https://api.qogita.com/variants/link/3616301794615/", "View Product")</f>
        <v/>
      </c>
    </row>
    <row r="10826">
      <c r="A10826" t="inlineStr">
        <is>
          <t>3616301794646</t>
        </is>
      </c>
      <c r="B10826" t="inlineStr">
        <is>
          <t>Gucci Guilty Intense Pour Femme Eau De Parfum 50ml Women's Spray</t>
        </is>
      </c>
      <c r="C10826" t="inlineStr">
        <is>
          <t>Eau De Parfum</t>
        </is>
      </c>
      <c r="D10826" t="inlineStr">
        <is>
          <t>Gucci</t>
        </is>
      </c>
      <c r="E10826" t="n">
        <v>63.72</v>
      </c>
      <c r="F10826" t="n">
        <v>1</v>
      </c>
      <c r="G10826" t="n">
        <v>8</v>
      </c>
      <c r="H10826" s="5">
        <f>HYPERLINK("https://api.qogita.com/variants/link/3616301794646/", "View Product")</f>
        <v/>
      </c>
    </row>
    <row r="10827">
      <c r="A10827" t="inlineStr">
        <is>
          <t>3616301838210</t>
        </is>
      </c>
      <c r="B10827" t="inlineStr">
        <is>
          <t>Burberry Mr. Burberry Eau De Parfum Spray 100ml</t>
        </is>
      </c>
      <c r="C10827" t="inlineStr">
        <is>
          <t>Eau De Parfum</t>
        </is>
      </c>
      <c r="D10827" t="inlineStr">
        <is>
          <t>Burberry</t>
        </is>
      </c>
      <c r="E10827" t="n">
        <v>48.93</v>
      </c>
      <c r="F10827" t="n">
        <v>1</v>
      </c>
      <c r="G10827" t="n">
        <v>19</v>
      </c>
      <c r="H10827" s="5">
        <f>HYPERLINK("https://api.qogita.com/variants/link/3616301838210/", "View Product")</f>
        <v/>
      </c>
    </row>
    <row r="10828">
      <c r="A10828" t="inlineStr">
        <is>
          <t>3616301976134</t>
        </is>
      </c>
      <c r="B10828" t="inlineStr">
        <is>
          <t>Gucci Guilty Pour Femme Eau De Toilette Spray 30ml</t>
        </is>
      </c>
      <c r="C10828" t="inlineStr">
        <is>
          <t>Eau De Toilette</t>
        </is>
      </c>
      <c r="D10828" t="inlineStr">
        <is>
          <t>Gucci</t>
        </is>
      </c>
      <c r="E10828" t="n">
        <v>36.51</v>
      </c>
      <c r="F10828" t="n">
        <v>1</v>
      </c>
      <c r="G10828" t="n">
        <v>4</v>
      </c>
      <c r="H10828" s="5">
        <f>HYPERLINK("https://api.qogita.com/variants/link/3616301976134/", "View Product")</f>
        <v/>
      </c>
    </row>
    <row r="10829">
      <c r="A10829" t="inlineStr">
        <is>
          <t>3616301976141</t>
        </is>
      </c>
      <c r="B10829" t="inlineStr">
        <is>
          <t>Gucci Guilty Pour Femme Eau De Toilette Spray 90ml Women's Fragrance</t>
        </is>
      </c>
      <c r="C10829" t="inlineStr">
        <is>
          <t>Eau De Toilette</t>
        </is>
      </c>
      <c r="D10829" t="inlineStr">
        <is>
          <t>Gucci</t>
        </is>
      </c>
      <c r="E10829" t="n">
        <v>85.92</v>
      </c>
      <c r="F10829" t="n">
        <v>1</v>
      </c>
      <c r="G10829" t="n">
        <v>2</v>
      </c>
      <c r="H10829" s="5">
        <f>HYPERLINK("https://api.qogita.com/variants/link/3616301976141/", "View Product")</f>
        <v/>
      </c>
    </row>
    <row r="10830">
      <c r="A10830" t="inlineStr">
        <is>
          <t>3616302013357</t>
        </is>
      </c>
      <c r="B10830" t="inlineStr">
        <is>
          <t>Lacoste Match Point Eau De Parfum 100ml For Men</t>
        </is>
      </c>
      <c r="C10830" t="inlineStr">
        <is>
          <t>Eau De Parfum</t>
        </is>
      </c>
      <c r="D10830" t="inlineStr">
        <is>
          <t>Lacoste</t>
        </is>
      </c>
      <c r="E10830" t="n">
        <v>33.25</v>
      </c>
      <c r="F10830" t="n">
        <v>1</v>
      </c>
      <c r="G10830" t="n">
        <v>85</v>
      </c>
      <c r="H10830" s="5">
        <f>HYPERLINK("https://api.qogita.com/variants/link/3616302013357/", "View Product")</f>
        <v/>
      </c>
    </row>
    <row r="10831">
      <c r="A10831" t="inlineStr">
        <is>
          <t>3616302016716</t>
        </is>
      </c>
      <c r="B10831" t="inlineStr">
        <is>
          <t>Calvin Klein Defy Eau De Parfum Woody &amp; Leathery Men's Cologne</t>
        </is>
      </c>
      <c r="C10831" t="inlineStr">
        <is>
          <t>Eau De Parfum</t>
        </is>
      </c>
      <c r="D10831" t="inlineStr">
        <is>
          <t>Calvin Klein</t>
        </is>
      </c>
      <c r="E10831" t="n">
        <v>22.65</v>
      </c>
      <c r="F10831" t="n">
        <v>1</v>
      </c>
      <c r="G10831" t="n">
        <v>18</v>
      </c>
      <c r="H10831" s="5">
        <f>HYPERLINK("https://api.qogita.com/variants/link/3616302016716/", "View Product")</f>
        <v/>
      </c>
    </row>
    <row r="10832">
      <c r="A10832" t="inlineStr">
        <is>
          <t>3616302022472</t>
        </is>
      </c>
      <c r="B10832" t="inlineStr">
        <is>
          <t>Gucci Flora Gorgeous Gardenia Eau De Parfum Spray 100ml</t>
        </is>
      </c>
      <c r="C10832" t="inlineStr">
        <is>
          <t>Eau De Parfum</t>
        </is>
      </c>
      <c r="D10832" t="inlineStr">
        <is>
          <t>Gucci</t>
        </is>
      </c>
      <c r="E10832" t="n">
        <v>61.13</v>
      </c>
      <c r="F10832" t="n">
        <v>1</v>
      </c>
      <c r="G10832" t="n">
        <v>3</v>
      </c>
      <c r="H10832" s="5">
        <f>HYPERLINK("https://api.qogita.com/variants/link/3616302022472/", "View Product")</f>
        <v/>
      </c>
    </row>
    <row r="10833">
      <c r="A10833" t="inlineStr">
        <is>
          <t>3616302022502</t>
        </is>
      </c>
      <c r="B10833" t="inlineStr">
        <is>
          <t>Lancaster Sun Beauty Face Cream Spf 50 50 Ml</t>
        </is>
      </c>
      <c r="C10833" t="inlineStr">
        <is>
          <t>Face Sun Protection</t>
        </is>
      </c>
      <c r="D10833" t="inlineStr">
        <is>
          <t>Lancaster</t>
        </is>
      </c>
      <c r="E10833" t="n">
        <v>19.94</v>
      </c>
      <c r="F10833" t="n">
        <v>1</v>
      </c>
      <c r="G10833" t="n">
        <v>5</v>
      </c>
      <c r="H10833" s="5">
        <f>HYPERLINK("https://api.qogita.com/variants/link/3616302022502/", "View Product")</f>
        <v/>
      </c>
    </row>
    <row r="10834">
      <c r="A10834" t="inlineStr">
        <is>
          <t>3616302022519</t>
        </is>
      </c>
      <c r="B10834" t="inlineStr">
        <is>
          <t>Lancaster Sun Beauty Protective Fluid Spf 30 30 Ml</t>
        </is>
      </c>
      <c r="C10834" t="inlineStr">
        <is>
          <t>Face Sun Protection</t>
        </is>
      </c>
      <c r="D10834" t="inlineStr">
        <is>
          <t>Lancaster</t>
        </is>
      </c>
      <c r="E10834" t="n">
        <v>22.13</v>
      </c>
      <c r="F10834" t="n">
        <v>1</v>
      </c>
      <c r="G10834" t="n">
        <v>34</v>
      </c>
      <c r="H10834" s="5">
        <f>HYPERLINK("https://api.qogita.com/variants/link/3616302022519/", "View Product")</f>
        <v/>
      </c>
    </row>
    <row r="10835">
      <c r="A10835" t="inlineStr">
        <is>
          <t>3616302022564</t>
        </is>
      </c>
      <c r="B10835" t="inlineStr">
        <is>
          <t>Lancaster Sun Beauty Tanning Milk Spf 50 Size 175 Ml</t>
        </is>
      </c>
      <c r="C10835" t="inlineStr">
        <is>
          <t>Body Sun Protection</t>
        </is>
      </c>
      <c r="D10835" t="inlineStr">
        <is>
          <t>Lancaster</t>
        </is>
      </c>
      <c r="E10835" t="n">
        <v>21.37</v>
      </c>
      <c r="F10835" t="n">
        <v>1</v>
      </c>
      <c r="G10835" t="n">
        <v>5</v>
      </c>
      <c r="H10835" s="5">
        <f>HYPERLINK("https://api.qogita.com/variants/link/3616302022564/", "View Product")</f>
        <v/>
      </c>
    </row>
    <row r="10836">
      <c r="A10836" t="inlineStr">
        <is>
          <t>3616302035458</t>
        </is>
      </c>
      <c r="B10836" t="inlineStr">
        <is>
          <t>Bruno Banani Loyal Man Deodorant Spray 150ml</t>
        </is>
      </c>
      <c r="C10836" t="inlineStr">
        <is>
          <t>Deodorant &amp; Anti-Perspirant</t>
        </is>
      </c>
      <c r="D10836" t="inlineStr">
        <is>
          <t>Bruno Banani</t>
        </is>
      </c>
      <c r="E10836" t="n">
        <v>4.11</v>
      </c>
      <c r="F10836" t="n">
        <v>1</v>
      </c>
      <c r="G10836" t="n">
        <v>17</v>
      </c>
      <c r="H10836" s="5">
        <f>HYPERLINK("https://api.qogita.com/variants/link/3616302035458/", "View Product")</f>
        <v/>
      </c>
    </row>
    <row r="10837">
      <c r="A10837" t="inlineStr">
        <is>
          <t>3616302038381</t>
        </is>
      </c>
      <c r="B10837" t="inlineStr">
        <is>
          <t>Davidoff Cool Water Reborn Eau De Toilette Spray 125ml</t>
        </is>
      </c>
      <c r="C10837" t="inlineStr">
        <is>
          <t>Eau De Toilette</t>
        </is>
      </c>
      <c r="D10837" t="inlineStr">
        <is>
          <t>Davidoff</t>
        </is>
      </c>
      <c r="E10837" t="n">
        <v>30.89</v>
      </c>
      <c r="F10837" t="n">
        <v>1</v>
      </c>
      <c r="G10837" t="n">
        <v>3</v>
      </c>
      <c r="H10837" s="5">
        <f>HYPERLINK("https://api.qogita.com/variants/link/3616302038381/", "View Product")</f>
        <v/>
      </c>
    </row>
    <row r="10838">
      <c r="A10838" t="inlineStr">
        <is>
          <t>3616302038626</t>
        </is>
      </c>
      <c r="B10838" t="inlineStr">
        <is>
          <t>Chloe Intense Natural Rose Eau De Parfum 30ml</t>
        </is>
      </c>
      <c r="C10838" t="inlineStr">
        <is>
          <t>Eau De Parfum</t>
        </is>
      </c>
      <c r="D10838" t="inlineStr">
        <is>
          <t>Chloé</t>
        </is>
      </c>
      <c r="E10838" t="n">
        <v>28.14</v>
      </c>
      <c r="F10838" t="n">
        <v>1</v>
      </c>
      <c r="G10838" t="n">
        <v>6</v>
      </c>
      <c r="H10838" s="5">
        <f>HYPERLINK("https://api.qogita.com/variants/link/3616302038626/", "View Product")</f>
        <v/>
      </c>
    </row>
    <row r="10839">
      <c r="A10839" t="inlineStr">
        <is>
          <t>3616302514274</t>
        </is>
      </c>
      <c r="B10839" t="inlineStr">
        <is>
          <t>Gucci Bloom Eau De Toilette Spray 30ml</t>
        </is>
      </c>
      <c r="C10839" t="inlineStr">
        <is>
          <t>Eau De Toilette</t>
        </is>
      </c>
      <c r="D10839" t="inlineStr">
        <is>
          <t>Gucci</t>
        </is>
      </c>
      <c r="E10839" t="n">
        <v>35.42</v>
      </c>
      <c r="F10839" t="n">
        <v>1</v>
      </c>
      <c r="G10839" t="n">
        <v>6</v>
      </c>
      <c r="H10839" s="5">
        <f>HYPERLINK("https://api.qogita.com/variants/link/3616302514274/", "View Product")</f>
        <v/>
      </c>
    </row>
    <row r="10840">
      <c r="A10840" t="inlineStr">
        <is>
          <t>3616302514281</t>
        </is>
      </c>
      <c r="B10840" t="inlineStr">
        <is>
          <t>Gucci Bloom Eau De Toilette Spray 50ml</t>
        </is>
      </c>
      <c r="C10840" t="inlineStr">
        <is>
          <t>Eau De Toilette</t>
        </is>
      </c>
      <c r="D10840" t="inlineStr">
        <is>
          <t>Gucci</t>
        </is>
      </c>
      <c r="E10840" t="n">
        <v>54.13</v>
      </c>
      <c r="F10840" t="n">
        <v>1</v>
      </c>
      <c r="G10840" t="n">
        <v>4</v>
      </c>
      <c r="H10840" s="5">
        <f>HYPERLINK("https://api.qogita.com/variants/link/3616302514281/", "View Product")</f>
        <v/>
      </c>
    </row>
    <row r="10841">
      <c r="A10841" t="inlineStr">
        <is>
          <t>3616302515295</t>
        </is>
      </c>
      <c r="B10841" t="inlineStr">
        <is>
          <t>Lancaster Sun Beauty Body Milk Spf 15 250 Ml</t>
        </is>
      </c>
      <c r="C10841" t="inlineStr">
        <is>
          <t>Body Sun Protection</t>
        </is>
      </c>
      <c r="D10841" t="inlineStr">
        <is>
          <t>Lancaster</t>
        </is>
      </c>
      <c r="E10841" t="n">
        <v>27.42</v>
      </c>
      <c r="F10841" t="n">
        <v>1</v>
      </c>
      <c r="G10841" t="n">
        <v>32</v>
      </c>
      <c r="H10841" s="5">
        <f>HYPERLINK("https://api.qogita.com/variants/link/3616302515295/", "View Product")</f>
        <v/>
      </c>
    </row>
    <row r="10842">
      <c r="A10842" t="inlineStr">
        <is>
          <t>3616302681099</t>
        </is>
      </c>
      <c r="B10842" t="inlineStr">
        <is>
          <t>Hugo Boss The Scent Le Parfum Eau De Parfum 30ml For Women</t>
        </is>
      </c>
      <c r="C10842" t="inlineStr">
        <is>
          <t>Eau De Parfum</t>
        </is>
      </c>
      <c r="D10842" t="inlineStr">
        <is>
          <t>Hugo Boss</t>
        </is>
      </c>
      <c r="E10842" t="n">
        <v>32.88</v>
      </c>
      <c r="F10842" t="n">
        <v>1</v>
      </c>
      <c r="G10842" t="n">
        <v>9</v>
      </c>
      <c r="H10842" s="5">
        <f>HYPERLINK("https://api.qogita.com/variants/link/3616302681099/", "View Product")</f>
        <v/>
      </c>
    </row>
    <row r="10843">
      <c r="A10843" t="inlineStr">
        <is>
          <t>3616302736904</t>
        </is>
      </c>
      <c r="B10843" t="inlineStr">
        <is>
          <t>Bourjois Twist Up The Volume Balm Booster Mascara Black Balm 8ml</t>
        </is>
      </c>
      <c r="C10843" t="inlineStr">
        <is>
          <t>Mascara</t>
        </is>
      </c>
      <c r="D10843" t="inlineStr">
        <is>
          <t>Bourjois</t>
        </is>
      </c>
      <c r="E10843" t="n">
        <v>7.8</v>
      </c>
      <c r="F10843" t="n">
        <v>1</v>
      </c>
      <c r="G10843" t="n">
        <v>5</v>
      </c>
      <c r="H10843" s="5">
        <f>HYPERLINK("https://api.qogita.com/variants/link/3616302736904/", "View Product")</f>
        <v/>
      </c>
    </row>
    <row r="10844">
      <c r="A10844" t="inlineStr">
        <is>
          <t>3616302737352</t>
        </is>
      </c>
      <c r="B10844" t="inlineStr">
        <is>
          <t>Bourjois Twist Up The Volume Mascara 001 Ultra Black 8ml</t>
        </is>
      </c>
      <c r="C10844" t="inlineStr">
        <is>
          <t>Mascara</t>
        </is>
      </c>
      <c r="D10844" t="inlineStr">
        <is>
          <t>Bourjois</t>
        </is>
      </c>
      <c r="E10844" t="n">
        <v>7.77</v>
      </c>
      <c r="F10844" t="n">
        <v>1</v>
      </c>
      <c r="G10844" t="n">
        <v>5</v>
      </c>
      <c r="H10844" s="5">
        <f>HYPERLINK("https://api.qogita.com/variants/link/3616302737352/", "View Product")</f>
        <v/>
      </c>
    </row>
    <row r="10845">
      <c r="A10845" t="inlineStr">
        <is>
          <t>3616302748730</t>
        </is>
      </c>
      <c r="B10845" t="inlineStr">
        <is>
          <t>Max Factor Creme Puff Powder No 41 14 G Medium Beige</t>
        </is>
      </c>
      <c r="C10845" t="inlineStr">
        <is>
          <t>Powder</t>
        </is>
      </c>
      <c r="D10845" t="inlineStr">
        <is>
          <t>Max Factor</t>
        </is>
      </c>
      <c r="E10845" t="n">
        <v>4.83</v>
      </c>
      <c r="F10845" t="n">
        <v>1</v>
      </c>
      <c r="G10845" t="n">
        <v>3</v>
      </c>
      <c r="H10845" s="5">
        <f>HYPERLINK("https://api.qogita.com/variants/link/3616302748730/", "View Product")</f>
        <v/>
      </c>
    </row>
    <row r="10846">
      <c r="A10846" t="inlineStr">
        <is>
          <t>3616302748792</t>
        </is>
      </c>
      <c r="B10846" t="inlineStr">
        <is>
          <t>Max Factor Creme Puff Pressed Powder 05 Translucent - 14g</t>
        </is>
      </c>
      <c r="C10846" t="inlineStr">
        <is>
          <t>Powder</t>
        </is>
      </c>
      <c r="D10846" t="inlineStr">
        <is>
          <t>Max Factor</t>
        </is>
      </c>
      <c r="E10846" t="n">
        <v>4.8</v>
      </c>
      <c r="F10846" t="n">
        <v>1</v>
      </c>
      <c r="G10846" t="n">
        <v>21</v>
      </c>
      <c r="H10846" s="5">
        <f>HYPERLINK("https://api.qogita.com/variants/link/3616302748792/", "View Product")</f>
        <v/>
      </c>
    </row>
    <row r="10847">
      <c r="A10847" t="inlineStr">
        <is>
          <t>3616302748822</t>
        </is>
      </c>
      <c r="B10847" t="inlineStr">
        <is>
          <t>Max Factor Creme Puff Pressed Powder 13 Nouveau Beige 14g</t>
        </is>
      </c>
      <c r="C10847" t="inlineStr">
        <is>
          <t>Powder</t>
        </is>
      </c>
      <c r="D10847" t="inlineStr">
        <is>
          <t>Max Factor</t>
        </is>
      </c>
      <c r="E10847" t="n">
        <v>4.34</v>
      </c>
      <c r="F10847" t="n">
        <v>1</v>
      </c>
      <c r="G10847" t="n">
        <v>20</v>
      </c>
      <c r="H10847" s="5">
        <f>HYPERLINK("https://api.qogita.com/variants/link/3616302748822/", "View Product")</f>
        <v/>
      </c>
    </row>
    <row r="10848">
      <c r="A10848" t="inlineStr">
        <is>
          <t>3616302939190</t>
        </is>
      </c>
      <c r="B10848" t="inlineStr">
        <is>
          <t>Mexx Simply For Him Eau De Toilette 30ml A Refreshing Fragrance For Men</t>
        </is>
      </c>
      <c r="C10848" t="inlineStr">
        <is>
          <t>Eau De Toilette</t>
        </is>
      </c>
      <c r="D10848" t="inlineStr">
        <is>
          <t>Mexx</t>
        </is>
      </c>
      <c r="E10848" t="n">
        <v>4.84</v>
      </c>
      <c r="F10848" t="n">
        <v>1</v>
      </c>
      <c r="G10848" t="n">
        <v>7</v>
      </c>
      <c r="H10848" s="5">
        <f>HYPERLINK("https://api.qogita.com/variants/link/3616302939190/", "View Product")</f>
        <v/>
      </c>
    </row>
    <row r="10849">
      <c r="A10849" t="inlineStr">
        <is>
          <t>3616302968220</t>
        </is>
      </c>
      <c r="B10849" t="inlineStr">
        <is>
          <t>Hugo Boss Alive Intense Eau De Parfum 30ml</t>
        </is>
      </c>
      <c r="C10849" t="inlineStr">
        <is>
          <t>Eau De Parfum</t>
        </is>
      </c>
      <c r="D10849" t="inlineStr">
        <is>
          <t>Hugo Boss</t>
        </is>
      </c>
      <c r="E10849" t="n">
        <v>24.19</v>
      </c>
      <c r="F10849" t="n">
        <v>1</v>
      </c>
      <c r="G10849" t="n">
        <v>10</v>
      </c>
      <c r="H10849" s="5">
        <f>HYPERLINK("https://api.qogita.com/variants/link/3616302968220/", "View Product")</f>
        <v/>
      </c>
    </row>
    <row r="10850">
      <c r="A10850" t="inlineStr">
        <is>
          <t>3616303011178</t>
        </is>
      </c>
      <c r="B10850" t="inlineStr">
        <is>
          <t>Bourjois Healthy Mix Tinted Beautifier Cream 006 Deep</t>
        </is>
      </c>
      <c r="C10850" t="inlineStr">
        <is>
          <t>Bb Cream &amp; Cc Cream</t>
        </is>
      </c>
      <c r="D10850" t="inlineStr">
        <is>
          <t>Bourjois</t>
        </is>
      </c>
      <c r="E10850" t="n">
        <v>7.1</v>
      </c>
      <c r="F10850" t="n">
        <v>1</v>
      </c>
      <c r="G10850" t="n">
        <v>2</v>
      </c>
      <c r="H10850" s="5">
        <f>HYPERLINK("https://api.qogita.com/variants/link/3616303011178/", "View Product")</f>
        <v/>
      </c>
    </row>
    <row r="10851">
      <c r="A10851" t="inlineStr">
        <is>
          <t>3616303030315</t>
        </is>
      </c>
      <c r="B10851" t="inlineStr">
        <is>
          <t>Calvin Klein Ck One Summer Daze Eau De Toilette Spray 100ml</t>
        </is>
      </c>
      <c r="C10851" t="inlineStr">
        <is>
          <t>Eau De Toilette</t>
        </is>
      </c>
      <c r="D10851" t="inlineStr">
        <is>
          <t>Calvin Klein</t>
        </is>
      </c>
      <c r="E10851" t="n">
        <v>24.77</v>
      </c>
      <c r="F10851" t="n">
        <v>1</v>
      </c>
      <c r="G10851" t="n">
        <v>25</v>
      </c>
      <c r="H10851" s="5">
        <f>HYPERLINK("https://api.qogita.com/variants/link/3616303030315/", "View Product")</f>
        <v/>
      </c>
    </row>
    <row r="10852">
      <c r="A10852" t="inlineStr">
        <is>
          <t>3616303173098</t>
        </is>
      </c>
      <c r="B10852" t="inlineStr">
        <is>
          <t>Hugo Boss Boss Bottled Perfume Spray 100ml</t>
        </is>
      </c>
      <c r="C10852" t="inlineStr">
        <is>
          <t>Eau De Toilette</t>
        </is>
      </c>
      <c r="D10852" t="inlineStr">
        <is>
          <t>Hugo Boss</t>
        </is>
      </c>
      <c r="E10852" t="n">
        <v>64.31999999999999</v>
      </c>
      <c r="F10852" t="n">
        <v>1</v>
      </c>
      <c r="G10852" t="n">
        <v>16</v>
      </c>
      <c r="H10852" s="5">
        <f>HYPERLINK("https://api.qogita.com/variants/link/3616303173098/", "View Product")</f>
        <v/>
      </c>
    </row>
    <row r="10853">
      <c r="A10853" t="inlineStr">
        <is>
          <t>3616303312435</t>
        </is>
      </c>
      <c r="B10853" t="inlineStr">
        <is>
          <t>Chloe Natural Rose Eau De Parfum Refill 150ml</t>
        </is>
      </c>
      <c r="C10853" t="inlineStr">
        <is>
          <t>Eau De Parfum</t>
        </is>
      </c>
      <c r="D10853" t="inlineStr">
        <is>
          <t>Chloé</t>
        </is>
      </c>
      <c r="E10853" t="n">
        <v>60.31</v>
      </c>
      <c r="F10853" t="n">
        <v>1</v>
      </c>
      <c r="G10853" t="n">
        <v>36</v>
      </c>
      <c r="H10853" s="5">
        <f>HYPERLINK("https://api.qogita.com/variants/link/3616303312435/", "View Product")</f>
        <v/>
      </c>
    </row>
    <row r="10854">
      <c r="A10854" t="inlineStr">
        <is>
          <t>3616303322144</t>
        </is>
      </c>
      <c r="B10854" t="inlineStr">
        <is>
          <t>Adidas Team Force Eau De Toilette Spray 100ml</t>
        </is>
      </c>
      <c r="C10854" t="inlineStr">
        <is>
          <t>Eau De Toilette</t>
        </is>
      </c>
      <c r="D10854" t="inlineStr">
        <is>
          <t>adidas</t>
        </is>
      </c>
      <c r="E10854" t="n">
        <v>7.23</v>
      </c>
      <c r="F10854" t="n">
        <v>1</v>
      </c>
      <c r="G10854" t="n">
        <v>24</v>
      </c>
      <c r="H10854" s="5">
        <f>HYPERLINK("https://api.qogita.com/variants/link/3616303322144/", "View Product")</f>
        <v/>
      </c>
    </row>
    <row r="10855">
      <c r="A10855" t="inlineStr">
        <is>
          <t>3616303407056</t>
        </is>
      </c>
      <c r="B10855" t="inlineStr">
        <is>
          <t>Max Factor Facefinity Compact Foundation SPF 20 10g</t>
        </is>
      </c>
      <c r="C10855" t="inlineStr">
        <is>
          <t>Foundation</t>
        </is>
      </c>
      <c r="D10855" t="inlineStr">
        <is>
          <t>Max Factor</t>
        </is>
      </c>
      <c r="E10855" t="n">
        <v>8.359999999999999</v>
      </c>
      <c r="F10855" t="n">
        <v>1</v>
      </c>
      <c r="G10855" t="n">
        <v>4</v>
      </c>
      <c r="H10855" s="5">
        <f>HYPERLINK("https://api.qogita.com/variants/link/3616303407056/", "View Product")</f>
        <v/>
      </c>
    </row>
    <row r="10856">
      <c r="A10856" t="inlineStr">
        <is>
          <t>3616303423834</t>
        </is>
      </c>
      <c r="B10856" t="inlineStr">
        <is>
          <t>Marc Jacobs Daisy Ever So Fresh Eau De Parfum 30ml</t>
        </is>
      </c>
      <c r="C10856" t="inlineStr">
        <is>
          <t>Eau De Parfum</t>
        </is>
      </c>
      <c r="D10856" t="inlineStr">
        <is>
          <t>Marc Jacobs</t>
        </is>
      </c>
      <c r="E10856" t="n">
        <v>28.87</v>
      </c>
      <c r="F10856" t="n">
        <v>1</v>
      </c>
      <c r="G10856" t="n">
        <v>14</v>
      </c>
      <c r="H10856" s="5">
        <f>HYPERLINK("https://api.qogita.com/variants/link/3616303423834/", "View Product")</f>
        <v/>
      </c>
    </row>
    <row r="10857">
      <c r="A10857" t="inlineStr">
        <is>
          <t>3616303444020</t>
        </is>
      </c>
      <c r="B10857" t="inlineStr">
        <is>
          <t>Adidas Cool Down Shower Gel 400ml</t>
        </is>
      </c>
      <c r="C10857" t="inlineStr">
        <is>
          <t>Shower Gel</t>
        </is>
      </c>
      <c r="D10857" t="inlineStr">
        <is>
          <t>adidas</t>
        </is>
      </c>
      <c r="E10857" t="n">
        <v>4.06</v>
      </c>
      <c r="F10857" t="n">
        <v>1</v>
      </c>
      <c r="G10857" t="n">
        <v>30</v>
      </c>
      <c r="H10857" s="5">
        <f>HYPERLINK("https://api.qogita.com/variants/link/3616303444020/", "View Product")</f>
        <v/>
      </c>
    </row>
    <row r="10858">
      <c r="A10858" t="inlineStr">
        <is>
          <t>3616303444341</t>
        </is>
      </c>
      <c r="B10858" t="inlineStr">
        <is>
          <t>Adidas Skin Detox Shower Gel 400ml</t>
        </is>
      </c>
      <c r="C10858" t="inlineStr">
        <is>
          <t>Shower Gel</t>
        </is>
      </c>
      <c r="D10858" t="inlineStr">
        <is>
          <t>adidas</t>
        </is>
      </c>
      <c r="E10858" t="n">
        <v>5.85</v>
      </c>
      <c r="F10858" t="n">
        <v>1</v>
      </c>
      <c r="G10858" t="n">
        <v>3</v>
      </c>
      <c r="H10858" s="5">
        <f>HYPERLINK("https://api.qogita.com/variants/link/3616303444341/", "View Product")</f>
        <v/>
      </c>
    </row>
    <row r="10859">
      <c r="A10859" t="inlineStr">
        <is>
          <t>3616303444365</t>
        </is>
      </c>
      <c r="B10859" t="inlineStr">
        <is>
          <t>Adidas Energy Kick Shower Gel 250ml</t>
        </is>
      </c>
      <c r="C10859" t="inlineStr">
        <is>
          <t>Shower Gel</t>
        </is>
      </c>
      <c r="D10859" t="inlineStr">
        <is>
          <t>adidas</t>
        </is>
      </c>
      <c r="E10859" t="n">
        <v>3.75</v>
      </c>
      <c r="F10859" t="n">
        <v>1</v>
      </c>
      <c r="G10859" t="n">
        <v>22</v>
      </c>
      <c r="H10859" s="5">
        <f>HYPERLINK("https://api.qogita.com/variants/link/3616303444365/", "View Product")</f>
        <v/>
      </c>
    </row>
    <row r="10860">
      <c r="A10860" t="inlineStr">
        <is>
          <t>3616303444570</t>
        </is>
      </c>
      <c r="B10860" t="inlineStr">
        <is>
          <t>Adidas Deep Clean Shower Gel</t>
        </is>
      </c>
      <c r="C10860" t="inlineStr">
        <is>
          <t>Shower Gel</t>
        </is>
      </c>
      <c r="D10860" t="inlineStr">
        <is>
          <t>adidas</t>
        </is>
      </c>
      <c r="E10860" t="n">
        <v>1.55</v>
      </c>
      <c r="F10860" t="n">
        <v>1</v>
      </c>
      <c r="G10860" t="n">
        <v>86</v>
      </c>
      <c r="H10860" s="5">
        <f>HYPERLINK("https://api.qogita.com/variants/link/3616303444570/", "View Product")</f>
        <v/>
      </c>
    </row>
    <row r="10861">
      <c r="A10861" t="inlineStr">
        <is>
          <t>3616303445126</t>
        </is>
      </c>
      <c r="B10861" t="inlineStr">
        <is>
          <t>Roberto Cavalli Collection Signature EDP Spray 50ml</t>
        </is>
      </c>
      <c r="C10861" t="inlineStr">
        <is>
          <t>Eau De Parfum</t>
        </is>
      </c>
      <c r="D10861" t="inlineStr">
        <is>
          <t>Roberto Cavalli</t>
        </is>
      </c>
      <c r="E10861" t="n">
        <v>20.42</v>
      </c>
      <c r="F10861" t="n">
        <v>1</v>
      </c>
      <c r="G10861" t="n">
        <v>5</v>
      </c>
      <c r="H10861" s="5">
        <f>HYPERLINK("https://api.qogita.com/variants/link/3616303445126/", "View Product")</f>
        <v/>
      </c>
    </row>
    <row r="10862">
      <c r="A10862" t="inlineStr">
        <is>
          <t>3616303445577</t>
        </is>
      </c>
      <c r="B10862" t="inlineStr">
        <is>
          <t>Chloe Chloe Signature Intense Eau De Parfum Vaporizer 50 Ml</t>
        </is>
      </c>
      <c r="C10862" t="inlineStr">
        <is>
          <t>Eau De Parfum</t>
        </is>
      </c>
      <c r="D10862" t="inlineStr">
        <is>
          <t>Chloé</t>
        </is>
      </c>
      <c r="E10862" t="n">
        <v>62.93</v>
      </c>
      <c r="F10862" t="n">
        <v>1</v>
      </c>
      <c r="G10862" t="n">
        <v>6</v>
      </c>
      <c r="H10862" s="5">
        <f>HYPERLINK("https://api.qogita.com/variants/link/3616303445577/", "View Product")</f>
        <v/>
      </c>
    </row>
    <row r="10863">
      <c r="A10863" t="inlineStr">
        <is>
          <t>3616303452421</t>
        </is>
      </c>
      <c r="B10863" t="inlineStr">
        <is>
          <t>Escada Show me Love Eau de Parfum Limited Edition 1.6 Fl Oz</t>
        </is>
      </c>
      <c r="C10863" t="inlineStr">
        <is>
          <t>Eau De Parfum</t>
        </is>
      </c>
      <c r="D10863" t="inlineStr">
        <is>
          <t>Escada</t>
        </is>
      </c>
      <c r="E10863" t="n">
        <v>12.98</v>
      </c>
      <c r="F10863" t="n">
        <v>1</v>
      </c>
      <c r="G10863" t="n">
        <v>77</v>
      </c>
      <c r="H10863" s="5">
        <f>HYPERLINK("https://api.qogita.com/variants/link/3616303452421/", "View Product")</f>
        <v/>
      </c>
    </row>
    <row r="10864">
      <c r="A10864" t="inlineStr">
        <is>
          <t>3616303455095</t>
        </is>
      </c>
      <c r="B10864" t="inlineStr">
        <is>
          <t>CK Eternity Men Gift Set - 50ml Eau de Toilette Spray 100ml Shower Gel</t>
        </is>
      </c>
      <c r="C10864" t="inlineStr">
        <is>
          <t>Fragrance Sets</t>
        </is>
      </c>
      <c r="D10864" t="inlineStr">
        <is>
          <t>Calvin Klein</t>
        </is>
      </c>
      <c r="E10864" t="n">
        <v>67.23</v>
      </c>
      <c r="F10864" t="n">
        <v>1</v>
      </c>
      <c r="G10864" t="n">
        <v>78</v>
      </c>
      <c r="H10864" s="5">
        <f>HYPERLINK("https://api.qogita.com/variants/link/3616303455095/", "View Product")</f>
        <v/>
      </c>
    </row>
    <row r="10865">
      <c r="A10865" t="inlineStr">
        <is>
          <t>3616303458904</t>
        </is>
      </c>
      <c r="B10865" t="inlineStr">
        <is>
          <t>Adidas After Sport Shower Gel 400ml</t>
        </is>
      </c>
      <c r="C10865" t="inlineStr">
        <is>
          <t>Shower Gel</t>
        </is>
      </c>
      <c r="D10865" t="inlineStr">
        <is>
          <t>adidas</t>
        </is>
      </c>
      <c r="E10865" t="n">
        <v>2.64</v>
      </c>
      <c r="F10865" t="n">
        <v>1</v>
      </c>
      <c r="G10865" t="n">
        <v>9</v>
      </c>
      <c r="H10865" s="5">
        <f>HYPERLINK("https://api.qogita.com/variants/link/3616303458904/", "View Product")</f>
        <v/>
      </c>
    </row>
    <row r="10866">
      <c r="A10866" t="inlineStr">
        <is>
          <t>3616303459659</t>
        </is>
      </c>
      <c r="B10866" t="inlineStr">
        <is>
          <t>Chlo Nomade Jasmin Naturel Intense Eau De Parfum</t>
        </is>
      </c>
      <c r="C10866" t="inlineStr">
        <is>
          <t>Eau De Parfum</t>
        </is>
      </c>
      <c r="D10866" t="inlineStr">
        <is>
          <t>Chloé</t>
        </is>
      </c>
      <c r="E10866" t="n">
        <v>40.19</v>
      </c>
      <c r="F10866" t="n">
        <v>1</v>
      </c>
      <c r="G10866" t="n">
        <v>5</v>
      </c>
      <c r="H10866" s="5">
        <f>HYPERLINK("https://api.qogita.com/variants/link/3616303459659/", "View Product")</f>
        <v/>
      </c>
    </row>
    <row r="10867">
      <c r="A10867" t="inlineStr">
        <is>
          <t>3616303461966</t>
        </is>
      </c>
      <c r="B10867" t="inlineStr">
        <is>
          <t>David Beckham Classic Eau De Toilette Spray 100ml</t>
        </is>
      </c>
      <c r="C10867" t="inlineStr">
        <is>
          <t>Eau De Toilette</t>
        </is>
      </c>
      <c r="D10867" t="inlineStr">
        <is>
          <t>David Beckham</t>
        </is>
      </c>
      <c r="E10867" t="n">
        <v>10.28</v>
      </c>
      <c r="F10867" t="n">
        <v>1</v>
      </c>
      <c r="G10867" t="n">
        <v>41</v>
      </c>
      <c r="H10867" s="5">
        <f>HYPERLINK("https://api.qogita.com/variants/link/3616303461966/", "View Product")</f>
        <v/>
      </c>
    </row>
    <row r="10868">
      <c r="A10868" t="inlineStr">
        <is>
          <t>3616303463359</t>
        </is>
      </c>
      <c r="B10868" t="inlineStr">
        <is>
          <t>Calvin Klein Ck One Reflections Eau De Toilette Spray 100ml</t>
        </is>
      </c>
      <c r="C10868" t="inlineStr">
        <is>
          <t>Eau De Toilette</t>
        </is>
      </c>
      <c r="D10868" t="inlineStr">
        <is>
          <t>Calvin Klein</t>
        </is>
      </c>
      <c r="E10868" t="n">
        <v>16.58</v>
      </c>
      <c r="F10868" t="n">
        <v>1</v>
      </c>
      <c r="G10868" t="n">
        <v>32</v>
      </c>
      <c r="H10868" s="5">
        <f>HYPERLINK("https://api.qogita.com/variants/link/3616303463359/", "View Product")</f>
        <v/>
      </c>
    </row>
    <row r="10869">
      <c r="A10869" t="inlineStr">
        <is>
          <t>3616303466060</t>
        </is>
      </c>
      <c r="B10869" t="inlineStr">
        <is>
          <t>Marc Jacobs Daisy Wild Eau De Parfum Spray for Women 3.4 Ounce</t>
        </is>
      </c>
      <c r="C10869" t="inlineStr">
        <is>
          <t>Eau De Parfum</t>
        </is>
      </c>
      <c r="D10869" t="inlineStr">
        <is>
          <t>Marc Jacobs</t>
        </is>
      </c>
      <c r="E10869" t="n">
        <v>68.48999999999999</v>
      </c>
      <c r="F10869" t="n">
        <v>1</v>
      </c>
      <c r="G10869" t="n">
        <v>10</v>
      </c>
      <c r="H10869" s="5">
        <f>HYPERLINK("https://api.qogita.com/variants/link/3616303466060/", "View Product")</f>
        <v/>
      </c>
    </row>
    <row r="10870">
      <c r="A10870" t="inlineStr">
        <is>
          <t>3616303470036</t>
        </is>
      </c>
      <c r="B10870" t="inlineStr">
        <is>
          <t>Davidoff Cool Water Reborn Eau De Parfum 50ml Spray</t>
        </is>
      </c>
      <c r="C10870" t="inlineStr">
        <is>
          <t>Eau De Parfum</t>
        </is>
      </c>
      <c r="D10870" t="inlineStr">
        <is>
          <t>Davidoff</t>
        </is>
      </c>
      <c r="E10870" t="n">
        <v>17.73</v>
      </c>
      <c r="F10870" t="n">
        <v>1</v>
      </c>
      <c r="G10870" t="n">
        <v>32</v>
      </c>
      <c r="H10870" s="5">
        <f>HYPERLINK("https://api.qogita.com/variants/link/3616303470036/", "View Product")</f>
        <v/>
      </c>
    </row>
    <row r="10871">
      <c r="A10871" t="inlineStr">
        <is>
          <t>3616303470043</t>
        </is>
      </c>
      <c r="B10871" t="inlineStr">
        <is>
          <t>Davidoff Cool Water Reborn Eau De Parfum 100ml Spray</t>
        </is>
      </c>
      <c r="C10871" t="inlineStr">
        <is>
          <t>Eau De Parfum</t>
        </is>
      </c>
      <c r="D10871" t="inlineStr">
        <is>
          <t>Davidoff</t>
        </is>
      </c>
      <c r="E10871" t="n">
        <v>30.89</v>
      </c>
      <c r="F10871" t="n">
        <v>1</v>
      </c>
      <c r="G10871" t="n">
        <v>4</v>
      </c>
      <c r="H10871" s="5">
        <f>HYPERLINK("https://api.qogita.com/variants/link/3616303470043/", "View Product")</f>
        <v/>
      </c>
    </row>
    <row r="10872">
      <c r="A10872" t="inlineStr">
        <is>
          <t>3616303473396</t>
        </is>
      </c>
      <c r="B10872" t="inlineStr">
        <is>
          <t>Calvin Klein CK One Essence Parfum Intense Fresh Unisex Fragrance 3.3 Fl Oz</t>
        </is>
      </c>
      <c r="C10872" t="inlineStr">
        <is>
          <t>Eau De Parfum</t>
        </is>
      </c>
      <c r="D10872" t="inlineStr">
        <is>
          <t>Calvin Klein</t>
        </is>
      </c>
      <c r="E10872" t="n">
        <v>32.86</v>
      </c>
      <c r="F10872" t="n">
        <v>1</v>
      </c>
      <c r="G10872" t="n">
        <v>7</v>
      </c>
      <c r="H10872" s="5">
        <f>HYPERLINK("https://api.qogita.com/variants/link/3616303473396/", "View Product")</f>
        <v/>
      </c>
    </row>
    <row r="10873">
      <c r="A10873" t="inlineStr">
        <is>
          <t>3616303473402</t>
        </is>
      </c>
      <c r="B10873" t="inlineStr">
        <is>
          <t>Calvin Klein Ck One Essence Perfume Spray 50ml</t>
        </is>
      </c>
      <c r="C10873" t="inlineStr">
        <is>
          <t>Eau De Toilette</t>
        </is>
      </c>
      <c r="D10873" t="inlineStr">
        <is>
          <t>Calvin Klein</t>
        </is>
      </c>
      <c r="E10873" t="n">
        <v>21.32</v>
      </c>
      <c r="F10873" t="n">
        <v>1</v>
      </c>
      <c r="G10873" t="n">
        <v>11</v>
      </c>
      <c r="H10873" s="5">
        <f>HYPERLINK("https://api.qogita.com/variants/link/3616303473402/", "View Product")</f>
        <v/>
      </c>
    </row>
    <row r="10874">
      <c r="A10874" t="inlineStr">
        <is>
          <t>3616303475291</t>
        </is>
      </c>
      <c r="B10874" t="inlineStr">
        <is>
          <t>Nikos Nikos Sculpture Mykonos Eau De Parfum Spray 100ml</t>
        </is>
      </c>
      <c r="C10874" t="inlineStr">
        <is>
          <t>Eau De Parfum</t>
        </is>
      </c>
      <c r="D10874" t="inlineStr">
        <is>
          <t>Nikos</t>
        </is>
      </c>
      <c r="E10874" t="n">
        <v>38.55</v>
      </c>
      <c r="F10874" t="n">
        <v>1</v>
      </c>
      <c r="G10874" t="n">
        <v>44</v>
      </c>
      <c r="H10874" s="5">
        <f>HYPERLINK("https://api.qogita.com/variants/link/3616303475291/", "View Product")</f>
        <v/>
      </c>
    </row>
    <row r="10875">
      <c r="A10875" t="inlineStr">
        <is>
          <t>3616303475413</t>
        </is>
      </c>
      <c r="B10875" t="inlineStr">
        <is>
          <t>Chlo Lumineuse Eau De Parfum 30ml</t>
        </is>
      </c>
      <c r="C10875" t="inlineStr">
        <is>
          <t>Eau De Parfum</t>
        </is>
      </c>
      <c r="D10875" t="inlineStr">
        <is>
          <t>Chloé</t>
        </is>
      </c>
      <c r="E10875" t="n">
        <v>48.64</v>
      </c>
      <c r="F10875" t="n">
        <v>1</v>
      </c>
      <c r="G10875" t="n">
        <v>5</v>
      </c>
      <c r="H10875" s="5">
        <f>HYPERLINK("https://api.qogita.com/variants/link/3616303475413/", "View Product")</f>
        <v/>
      </c>
    </row>
    <row r="10876">
      <c r="A10876" t="inlineStr">
        <is>
          <t>3616303477943</t>
        </is>
      </c>
      <c r="B10876" t="inlineStr">
        <is>
          <t>Chlo Nomade Nuit D'Gypte Eau De Parfum 50ml</t>
        </is>
      </c>
      <c r="C10876" t="inlineStr">
        <is>
          <t>Eau De Parfum</t>
        </is>
      </c>
      <c r="D10876" t="inlineStr">
        <is>
          <t>Chloé</t>
        </is>
      </c>
      <c r="E10876" t="n">
        <v>54.07</v>
      </c>
      <c r="F10876" t="n">
        <v>1</v>
      </c>
      <c r="G10876" t="n">
        <v>5</v>
      </c>
      <c r="H10876" s="5">
        <f>HYPERLINK("https://api.qogita.com/variants/link/3616303477943/", "View Product")</f>
        <v/>
      </c>
    </row>
    <row r="10877">
      <c r="A10877" t="inlineStr">
        <is>
          <t>3616303549992</t>
        </is>
      </c>
      <c r="B10877" t="inlineStr">
        <is>
          <t>Escada Show Me Love Eau De Parfum Spray 100ml</t>
        </is>
      </c>
      <c r="C10877" t="inlineStr">
        <is>
          <t>Eau De Parfum</t>
        </is>
      </c>
      <c r="D10877" t="inlineStr">
        <is>
          <t>Escada</t>
        </is>
      </c>
      <c r="E10877" t="n">
        <v>38.79</v>
      </c>
      <c r="F10877" t="n">
        <v>1</v>
      </c>
      <c r="G10877" t="n">
        <v>2</v>
      </c>
      <c r="H10877" s="5">
        <f>HYPERLINK("https://api.qogita.com/variants/link/3616303549992/", "View Product")</f>
        <v/>
      </c>
    </row>
    <row r="10878">
      <c r="A10878" t="inlineStr">
        <is>
          <t>3616303855949</t>
        </is>
      </c>
      <c r="B10878" t="inlineStr">
        <is>
          <t>Gucci Guilty Women Shower Gel 150ml</t>
        </is>
      </c>
      <c r="C10878" t="inlineStr">
        <is>
          <t>Shower Gel</t>
        </is>
      </c>
      <c r="D10878" t="inlineStr">
        <is>
          <t>Gucci</t>
        </is>
      </c>
      <c r="E10878" t="n">
        <v>23.21</v>
      </c>
      <c r="F10878" t="n">
        <v>1</v>
      </c>
      <c r="G10878" t="n">
        <v>4</v>
      </c>
      <c r="H10878" s="5">
        <f>HYPERLINK("https://api.qogita.com/variants/link/3616303855949/", "View Product")</f>
        <v/>
      </c>
    </row>
    <row r="10879">
      <c r="A10879" t="inlineStr">
        <is>
          <t>3616303999421</t>
        </is>
      </c>
      <c r="B10879" t="inlineStr">
        <is>
          <t>Max Factor Facenity All Day Flawless 3in1 Foundation W44 30ml</t>
        </is>
      </c>
      <c r="C10879" t="inlineStr">
        <is>
          <t>Foundation</t>
        </is>
      </c>
      <c r="D10879" t="inlineStr">
        <is>
          <t>Max Factor</t>
        </is>
      </c>
      <c r="E10879" t="n">
        <v>8.26</v>
      </c>
      <c r="F10879" t="n">
        <v>1</v>
      </c>
      <c r="G10879" t="n">
        <v>3</v>
      </c>
      <c r="H10879" s="5">
        <f>HYPERLINK("https://api.qogita.com/variants/link/3616303999421/", "View Product")</f>
        <v/>
      </c>
    </row>
    <row r="10880">
      <c r="A10880" t="inlineStr">
        <is>
          <t>3616304175848</t>
        </is>
      </c>
      <c r="B10880" t="inlineStr">
        <is>
          <t>Calvin Klein Defy Parfum Spray 10ml Miniature</t>
        </is>
      </c>
      <c r="C10880" t="inlineStr">
        <is>
          <t>Eau De Parfum</t>
        </is>
      </c>
      <c r="D10880" t="inlineStr">
        <is>
          <t>Calvin Klein</t>
        </is>
      </c>
      <c r="E10880" t="n">
        <v>7.33</v>
      </c>
      <c r="F10880" t="n">
        <v>1</v>
      </c>
      <c r="G10880" t="n">
        <v>15</v>
      </c>
      <c r="H10880" s="5">
        <f>HYPERLINK("https://api.qogita.com/variants/link/3616304175848/", "View Product")</f>
        <v/>
      </c>
    </row>
    <row r="10881">
      <c r="A10881" t="inlineStr">
        <is>
          <t>3616304175978</t>
        </is>
      </c>
      <c r="B10881" t="inlineStr">
        <is>
          <t>Calvin Klein Defy Woody Men's Cologne with Mandarin Oil</t>
        </is>
      </c>
      <c r="C10881" t="inlineStr">
        <is>
          <t>Eau De Parfum</t>
        </is>
      </c>
      <c r="D10881" t="inlineStr">
        <is>
          <t>Calvin Klein</t>
        </is>
      </c>
      <c r="E10881" t="n">
        <v>17.34</v>
      </c>
      <c r="F10881" t="n">
        <v>1</v>
      </c>
      <c r="G10881" t="n">
        <v>10</v>
      </c>
      <c r="H10881" s="5">
        <f>HYPERLINK("https://api.qogita.com/variants/link/3616304175978/", "View Product")</f>
        <v/>
      </c>
    </row>
    <row r="10882">
      <c r="A10882" t="inlineStr">
        <is>
          <t>3616304177989</t>
        </is>
      </c>
      <c r="B10882" t="inlineStr">
        <is>
          <t>Lancaster Infinite Bronze Tinted Protection Spf30 Light Tone 50ml</t>
        </is>
      </c>
      <c r="C10882" t="inlineStr">
        <is>
          <t>Face Sun Protection</t>
        </is>
      </c>
      <c r="D10882" t="inlineStr">
        <is>
          <t>Lancaster</t>
        </is>
      </c>
      <c r="E10882" t="n">
        <v>17.41</v>
      </c>
      <c r="F10882" t="n">
        <v>1</v>
      </c>
      <c r="G10882" t="n">
        <v>16</v>
      </c>
      <c r="H10882" s="5">
        <f>HYPERLINK("https://api.qogita.com/variants/link/3616304177989/", "View Product")</f>
        <v/>
      </c>
    </row>
    <row r="10883">
      <c r="A10883" t="inlineStr">
        <is>
          <t>3616304178016</t>
        </is>
      </c>
      <c r="B10883" t="inlineStr">
        <is>
          <t>Lancaster Infinite Bronze Tinted Protection Spf30 50ml</t>
        </is>
      </c>
      <c r="C10883" t="inlineStr">
        <is>
          <t>Face Sun Protection</t>
        </is>
      </c>
      <c r="D10883" t="inlineStr">
        <is>
          <t>Lancaster</t>
        </is>
      </c>
      <c r="E10883" t="n">
        <v>17.47</v>
      </c>
      <c r="F10883" t="n">
        <v>1</v>
      </c>
      <c r="G10883" t="n">
        <v>5</v>
      </c>
      <c r="H10883" s="5">
        <f>HYPERLINK("https://api.qogita.com/variants/link/3616304178016/", "View Product")</f>
        <v/>
      </c>
    </row>
    <row r="10884">
      <c r="A10884" t="inlineStr">
        <is>
          <t>3616304183621</t>
        </is>
      </c>
      <c r="B10884" t="inlineStr">
        <is>
          <t>Calvin Klein Defy Woody Men's Cologne with Mandarin Oil</t>
        </is>
      </c>
      <c r="C10884" t="inlineStr">
        <is>
          <t>Eau De Parfum</t>
        </is>
      </c>
      <c r="D10884" t="inlineStr">
        <is>
          <t>Calvin Klein</t>
        </is>
      </c>
      <c r="E10884" t="n">
        <v>30.76</v>
      </c>
      <c r="F10884" t="n">
        <v>1</v>
      </c>
      <c r="G10884" t="n">
        <v>2</v>
      </c>
      <c r="H10884" s="5">
        <f>HYPERLINK("https://api.qogita.com/variants/link/3616304183621/", "View Product")</f>
        <v/>
      </c>
    </row>
    <row r="10885">
      <c r="A10885" t="inlineStr">
        <is>
          <t>3616304183638</t>
        </is>
      </c>
      <c r="B10885" t="inlineStr">
        <is>
          <t>Calvin Klein Defy Eau De Parfum 200ml Men's Perfume</t>
        </is>
      </c>
      <c r="C10885" t="inlineStr">
        <is>
          <t>Eau De Parfum</t>
        </is>
      </c>
      <c r="D10885" t="inlineStr">
        <is>
          <t>Calvin Klein</t>
        </is>
      </c>
      <c r="E10885" t="n">
        <v>92.93000000000001</v>
      </c>
      <c r="F10885" t="n">
        <v>1</v>
      </c>
      <c r="G10885" t="n">
        <v>4</v>
      </c>
      <c r="H10885" s="5">
        <f>HYPERLINK("https://api.qogita.com/variants/link/3616304183638/", "View Product")</f>
        <v/>
      </c>
    </row>
    <row r="10886">
      <c r="A10886" t="inlineStr">
        <is>
          <t>3616304197413</t>
        </is>
      </c>
      <c r="B10886" t="inlineStr">
        <is>
          <t>Davidoff Cool Water for Men EDT 40 ml</t>
        </is>
      </c>
      <c r="C10886" t="inlineStr">
        <is>
          <t>Eau De Toilette</t>
        </is>
      </c>
      <c r="D10886" t="inlineStr">
        <is>
          <t>Davidoff</t>
        </is>
      </c>
      <c r="E10886" t="n">
        <v>29.45</v>
      </c>
      <c r="F10886" t="n">
        <v>1</v>
      </c>
      <c r="G10886" t="n">
        <v>120</v>
      </c>
      <c r="H10886" s="5">
        <f>HYPERLINK("https://api.qogita.com/variants/link/3616304197413/", "View Product")</f>
        <v/>
      </c>
    </row>
    <row r="10887">
      <c r="A10887" t="inlineStr">
        <is>
          <t>3616304203558</t>
        </is>
      </c>
      <c r="B10887" t="inlineStr">
        <is>
          <t>Escada Escada Brisa Cubana Eau De Toilette Spray Limited Edition 30ml</t>
        </is>
      </c>
      <c r="C10887" t="inlineStr">
        <is>
          <t>Eau De Toilette</t>
        </is>
      </c>
      <c r="D10887" t="inlineStr">
        <is>
          <t>Escada</t>
        </is>
      </c>
      <c r="E10887" t="n">
        <v>14.84</v>
      </c>
      <c r="F10887" t="n">
        <v>1</v>
      </c>
      <c r="G10887" t="n">
        <v>83</v>
      </c>
      <c r="H10887" s="5">
        <f>HYPERLINK("https://api.qogita.com/variants/link/3616304203558/", "View Product")</f>
        <v/>
      </c>
    </row>
    <row r="10888">
      <c r="A10888" t="inlineStr">
        <is>
          <t>3616304203657</t>
        </is>
      </c>
      <c r="B10888" t="inlineStr">
        <is>
          <t>Escada Sorbetto Rosso Eau De Toilette 100ml</t>
        </is>
      </c>
      <c r="C10888" t="inlineStr">
        <is>
          <t>Eau De Toilette</t>
        </is>
      </c>
      <c r="D10888" t="inlineStr">
        <is>
          <t>Escada</t>
        </is>
      </c>
      <c r="E10888" t="n">
        <v>22.45</v>
      </c>
      <c r="F10888" t="n">
        <v>1</v>
      </c>
      <c r="G10888" t="n">
        <v>305</v>
      </c>
      <c r="H10888" s="5">
        <f>HYPERLINK("https://api.qogita.com/variants/link/3616304203657/", "View Product")</f>
        <v/>
      </c>
    </row>
    <row r="10889">
      <c r="A10889" t="inlineStr">
        <is>
          <t>3616304249693</t>
        </is>
      </c>
      <c r="B10889" t="inlineStr">
        <is>
          <t>Gucci Bloom Intense Eau De Parfum Spray 30ml</t>
        </is>
      </c>
      <c r="C10889" t="inlineStr">
        <is>
          <t>Eau De Parfum</t>
        </is>
      </c>
      <c r="D10889" t="inlineStr">
        <is>
          <t>Gucci</t>
        </is>
      </c>
      <c r="E10889" t="n">
        <v>38.79</v>
      </c>
      <c r="F10889" t="n">
        <v>1</v>
      </c>
      <c r="G10889" t="n">
        <v>23</v>
      </c>
      <c r="H10889" s="5">
        <f>HYPERLINK("https://api.qogita.com/variants/link/3616304249693/", "View Product")</f>
        <v/>
      </c>
    </row>
    <row r="10890">
      <c r="A10890" t="inlineStr">
        <is>
          <t>3616304249709</t>
        </is>
      </c>
      <c r="B10890" t="inlineStr">
        <is>
          <t>Gucci Bloom Intense Eau De Parfum Spray 45ml</t>
        </is>
      </c>
      <c r="C10890" t="inlineStr">
        <is>
          <t>Eau De Parfum</t>
        </is>
      </c>
      <c r="D10890" t="inlineStr">
        <is>
          <t>Gucci</t>
        </is>
      </c>
      <c r="E10890" t="n">
        <v>46.27</v>
      </c>
      <c r="F10890" t="n">
        <v>1</v>
      </c>
      <c r="G10890" t="n">
        <v>8</v>
      </c>
      <c r="H10890" s="5">
        <f>HYPERLINK("https://api.qogita.com/variants/link/3616304249709/", "View Product")</f>
        <v/>
      </c>
    </row>
    <row r="10891">
      <c r="A10891" t="inlineStr">
        <is>
          <t>3616304615009</t>
        </is>
      </c>
      <c r="B10891" t="inlineStr">
        <is>
          <t>Max Factor Facefinity All-Day Concealer 010 - 7.8ml</t>
        </is>
      </c>
      <c r="C10891" t="inlineStr">
        <is>
          <t>Concealer</t>
        </is>
      </c>
      <c r="D10891" t="inlineStr">
        <is>
          <t>Max Factor</t>
        </is>
      </c>
      <c r="E10891" t="n">
        <v>6.59</v>
      </c>
      <c r="F10891" t="n">
        <v>1</v>
      </c>
      <c r="G10891" t="n">
        <v>5</v>
      </c>
      <c r="H10891" s="5">
        <f>HYPERLINK("https://api.qogita.com/variants/link/3616304615009/", "View Product")</f>
        <v/>
      </c>
    </row>
    <row r="10892">
      <c r="A10892" t="inlineStr">
        <is>
          <t>3616304615054</t>
        </is>
      </c>
      <c r="B10892" t="inlineStr">
        <is>
          <t>Max Factor Facefinity All Day Flawless Airbrush Finish Concealer 30h 78 Ml</t>
        </is>
      </c>
      <c r="C10892" t="inlineStr">
        <is>
          <t>Concealer</t>
        </is>
      </c>
      <c r="D10892" t="inlineStr">
        <is>
          <t>Max Factor</t>
        </is>
      </c>
      <c r="E10892" t="n">
        <v>6.59</v>
      </c>
      <c r="F10892" t="n">
        <v>1</v>
      </c>
      <c r="G10892" t="n">
        <v>5</v>
      </c>
      <c r="H10892" s="5">
        <f>HYPERLINK("https://api.qogita.com/variants/link/3616304615054/", "View Product")</f>
        <v/>
      </c>
    </row>
    <row r="10893">
      <c r="A10893" t="inlineStr">
        <is>
          <t>3616304615108</t>
        </is>
      </c>
      <c r="B10893" t="inlineStr">
        <is>
          <t>Max Factor Facefinity All Day Flawless Liquid Concealer 78 Ml</t>
        </is>
      </c>
      <c r="C10893" t="inlineStr">
        <is>
          <t>Concealer</t>
        </is>
      </c>
      <c r="D10893" t="inlineStr">
        <is>
          <t>Max Factor</t>
        </is>
      </c>
      <c r="E10893" t="n">
        <v>6.59</v>
      </c>
      <c r="F10893" t="n">
        <v>1</v>
      </c>
      <c r="G10893" t="n">
        <v>10</v>
      </c>
      <c r="H10893" s="5">
        <f>HYPERLINK("https://api.qogita.com/variants/link/3616304615108/", "View Product")</f>
        <v/>
      </c>
    </row>
    <row r="10894">
      <c r="A10894" t="inlineStr">
        <is>
          <t>3616304782541</t>
        </is>
      </c>
      <c r="B10894" t="inlineStr">
        <is>
          <t>Max Factor 2000 Calorie Volumising Brow Gel 000clear 45 Ml</t>
        </is>
      </c>
      <c r="C10894" t="inlineStr">
        <is>
          <t>Eyebrow Gel</t>
        </is>
      </c>
      <c r="D10894" t="inlineStr">
        <is>
          <t>Max Factor</t>
        </is>
      </c>
      <c r="E10894" t="n">
        <v>5.5</v>
      </c>
      <c r="F10894" t="n">
        <v>1</v>
      </c>
      <c r="G10894" t="n">
        <v>2</v>
      </c>
      <c r="H10894" s="5">
        <f>HYPERLINK("https://api.qogita.com/variants/link/3616304782541/", "View Product")</f>
        <v/>
      </c>
    </row>
    <row r="10895">
      <c r="A10895" t="inlineStr">
        <is>
          <t>3616304895654</t>
        </is>
      </c>
      <c r="B10895" t="inlineStr">
        <is>
          <t>Marc Jacobs Daisy Pop Eau De Toilette Spray 50ml</t>
        </is>
      </c>
      <c r="C10895" t="inlineStr">
        <is>
          <t>Eau De Toilette</t>
        </is>
      </c>
      <c r="D10895" t="inlineStr">
        <is>
          <t>Marc Jacobs</t>
        </is>
      </c>
      <c r="E10895" t="n">
        <v>37.31</v>
      </c>
      <c r="F10895" t="n">
        <v>1</v>
      </c>
      <c r="G10895" t="n">
        <v>5</v>
      </c>
      <c r="H10895" s="5">
        <f>HYPERLINK("https://api.qogita.com/variants/link/3616304895654/", "View Product")</f>
        <v/>
      </c>
    </row>
    <row r="10896">
      <c r="A10896" t="inlineStr">
        <is>
          <t>3616304895661</t>
        </is>
      </c>
      <c r="B10896" t="inlineStr">
        <is>
          <t>Marc Jacobs Daisy Eau So Fresh Pop Eau De Toilette Spray 75ml</t>
        </is>
      </c>
      <c r="C10896" t="inlineStr">
        <is>
          <t>Eau De Toilette</t>
        </is>
      </c>
      <c r="D10896" t="inlineStr">
        <is>
          <t>Marc Jacobs</t>
        </is>
      </c>
      <c r="E10896" t="n">
        <v>48.67</v>
      </c>
      <c r="F10896" t="n">
        <v>1</v>
      </c>
      <c r="G10896" t="n">
        <v>3</v>
      </c>
      <c r="H10896" s="5">
        <f>HYPERLINK("https://api.qogita.com/variants/link/3616304895661/", "View Product")</f>
        <v/>
      </c>
    </row>
    <row r="10897">
      <c r="A10897" t="inlineStr">
        <is>
          <t>3616304957697</t>
        </is>
      </c>
      <c r="B10897" t="inlineStr">
        <is>
          <t>Hugo Boss Ladies Boss Alive Gift Set Fragrances</t>
        </is>
      </c>
      <c r="C10897" t="inlineStr">
        <is>
          <t>Fragrance Sets</t>
        </is>
      </c>
      <c r="D10897" t="inlineStr">
        <is>
          <t>Hugo Boss</t>
        </is>
      </c>
      <c r="E10897" t="n">
        <v>37.28</v>
      </c>
      <c r="F10897" t="n">
        <v>1</v>
      </c>
      <c r="G10897" t="n">
        <v>16</v>
      </c>
      <c r="H10897" s="5">
        <f>HYPERLINK("https://api.qogita.com/variants/link/3616304957697/", "View Product")</f>
        <v/>
      </c>
    </row>
    <row r="10898">
      <c r="A10898" t="inlineStr">
        <is>
          <t>3616304966637</t>
        </is>
      </c>
      <c r="B10898" t="inlineStr">
        <is>
          <t>Calvin Klein Eternity Men Eau De Toilette Spray 100 Ml Set</t>
        </is>
      </c>
      <c r="C10898" t="inlineStr">
        <is>
          <t>Fragrance Sets</t>
        </is>
      </c>
      <c r="D10898" t="inlineStr">
        <is>
          <t>Calvin Klein</t>
        </is>
      </c>
      <c r="E10898" t="n">
        <v>56.44</v>
      </c>
      <c r="F10898" t="n">
        <v>1</v>
      </c>
      <c r="G10898" t="n">
        <v>9</v>
      </c>
      <c r="H10898" s="5">
        <f>HYPERLINK("https://api.qogita.com/variants/link/3616304966637/", "View Product")</f>
        <v/>
      </c>
    </row>
    <row r="10899">
      <c r="A10899" t="inlineStr">
        <is>
          <t>3616304967108</t>
        </is>
      </c>
      <c r="B10899" t="inlineStr">
        <is>
          <t>Burberry Goddess Intense Eau De Parfum Size 30 Ml</t>
        </is>
      </c>
      <c r="C10899" t="inlineStr">
        <is>
          <t>Eau De Parfum</t>
        </is>
      </c>
      <c r="D10899" t="inlineStr">
        <is>
          <t>Burberry</t>
        </is>
      </c>
      <c r="E10899" t="n">
        <v>44.61</v>
      </c>
      <c r="F10899" t="n">
        <v>1</v>
      </c>
      <c r="G10899" t="n">
        <v>9</v>
      </c>
      <c r="H10899" s="5">
        <f>HYPERLINK("https://api.qogita.com/variants/link/3616304967108/", "View Product")</f>
        <v/>
      </c>
    </row>
    <row r="10900">
      <c r="A10900" t="inlineStr">
        <is>
          <t>3616304984921</t>
        </is>
      </c>
      <c r="B10900" t="inlineStr">
        <is>
          <t>Jil Sander Sun Men Eau De Toilette 75ml + Body Shampoo 75ml</t>
        </is>
      </c>
      <c r="C10900" t="inlineStr">
        <is>
          <t>Fragrance Sets</t>
        </is>
      </c>
      <c r="D10900" t="inlineStr">
        <is>
          <t>Jil Sander</t>
        </is>
      </c>
      <c r="E10900" t="n">
        <v>20.22</v>
      </c>
      <c r="F10900" t="n">
        <v>1</v>
      </c>
      <c r="G10900" t="n">
        <v>41</v>
      </c>
      <c r="H10900" s="5">
        <f>HYPERLINK("https://api.qogita.com/variants/link/3616304984921/", "View Product")</f>
        <v/>
      </c>
    </row>
    <row r="10901">
      <c r="A10901" t="inlineStr">
        <is>
          <t>3616304990489</t>
        </is>
      </c>
      <c r="B10901" t="inlineStr">
        <is>
          <t>Davidoff Cool Water Woman Eau De Toilette Spray 30ml - Women's Fragrance</t>
        </is>
      </c>
      <c r="C10901" t="inlineStr">
        <is>
          <t>Eau De Toilette</t>
        </is>
      </c>
      <c r="D10901" t="inlineStr">
        <is>
          <t>Davidoff</t>
        </is>
      </c>
      <c r="E10901" t="n">
        <v>12.61</v>
      </c>
      <c r="F10901" t="n">
        <v>1</v>
      </c>
      <c r="G10901" t="n">
        <v>1448</v>
      </c>
      <c r="H10901" s="5">
        <f>HYPERLINK("https://api.qogita.com/variants/link/3616304990489/", "View Product")</f>
        <v/>
      </c>
    </row>
    <row r="10902">
      <c r="A10902" t="inlineStr">
        <is>
          <t>3616305026057</t>
        </is>
      </c>
      <c r="B10902" t="inlineStr">
        <is>
          <t>David Beckham Collection Amber Breeze Eau De Parfum for Men 100ml</t>
        </is>
      </c>
      <c r="C10902" t="inlineStr">
        <is>
          <t>Eau De Parfum</t>
        </is>
      </c>
      <c r="D10902" t="inlineStr">
        <is>
          <t>David Beckham</t>
        </is>
      </c>
      <c r="E10902" t="n">
        <v>16.15</v>
      </c>
      <c r="F10902" t="n">
        <v>1</v>
      </c>
      <c r="G10902" t="n">
        <v>14</v>
      </c>
      <c r="H10902" s="5">
        <f>HYPERLINK("https://api.qogita.com/variants/link/3616305026057/", "View Product")</f>
        <v/>
      </c>
    </row>
    <row r="10903">
      <c r="A10903" t="inlineStr">
        <is>
          <t>3616305040497</t>
        </is>
      </c>
      <c r="B10903" t="inlineStr">
        <is>
          <t>Hugo Boss The Scent Eau De Toilette Spray 200 Milliliters</t>
        </is>
      </c>
      <c r="C10903" t="inlineStr">
        <is>
          <t>Eau De Toilette</t>
        </is>
      </c>
      <c r="D10903" t="inlineStr">
        <is>
          <t>Hugo Boss</t>
        </is>
      </c>
      <c r="E10903" t="n">
        <v>58</v>
      </c>
      <c r="F10903" t="n">
        <v>1</v>
      </c>
      <c r="G10903" t="n">
        <v>57</v>
      </c>
      <c r="H10903" s="5">
        <f>HYPERLINK("https://api.qogita.com/variants/link/3616305040497/", "View Product")</f>
        <v/>
      </c>
    </row>
    <row r="10904">
      <c r="A10904" t="inlineStr">
        <is>
          <t>3616305160584</t>
        </is>
      </c>
      <c r="B10904" t="inlineStr">
        <is>
          <t>Hugo Boss Boss Bottled Triumph Elixir Perfume Spray 100ml</t>
        </is>
      </c>
      <c r="C10904" t="inlineStr">
        <is>
          <t>Eau De Parfum</t>
        </is>
      </c>
      <c r="D10904" t="inlineStr">
        <is>
          <t>Hugo Boss</t>
        </is>
      </c>
      <c r="E10904" t="n">
        <v>51.08</v>
      </c>
      <c r="F10904" t="n">
        <v>1</v>
      </c>
      <c r="G10904" t="n">
        <v>5</v>
      </c>
      <c r="H10904" s="5">
        <f>HYPERLINK("https://api.qogita.com/variants/link/3616305160584/", "View Product")</f>
        <v/>
      </c>
    </row>
    <row r="10905">
      <c r="A10905" t="inlineStr">
        <is>
          <t>3616305168979</t>
        </is>
      </c>
      <c r="B10905" t="inlineStr">
        <is>
          <t>Mexx Woman Eau De Toilette Spray 60ml</t>
        </is>
      </c>
      <c r="C10905" t="inlineStr">
        <is>
          <t>Eau De Toilette</t>
        </is>
      </c>
      <c r="D10905" t="inlineStr">
        <is>
          <t>Mexx</t>
        </is>
      </c>
      <c r="E10905" t="n">
        <v>12.03</v>
      </c>
      <c r="F10905" t="n">
        <v>1</v>
      </c>
      <c r="G10905" t="n">
        <v>209</v>
      </c>
      <c r="H10905" s="5">
        <f>HYPERLINK("https://api.qogita.com/variants/link/3616305168979/", "View Product")</f>
        <v/>
      </c>
    </row>
    <row r="10906">
      <c r="A10906" t="inlineStr">
        <is>
          <t>3616305181015</t>
        </is>
      </c>
      <c r="B10906" t="inlineStr">
        <is>
          <t>Bruno Banani Magnetic Man Body Balm 3-in-1 Body Lotion with Captivating Woody Scent 150ml</t>
        </is>
      </c>
      <c r="C10906" t="inlineStr">
        <is>
          <t>Body Lotion</t>
        </is>
      </c>
      <c r="D10906" t="inlineStr">
        <is>
          <t>Bruno Banani</t>
        </is>
      </c>
      <c r="E10906" t="n">
        <v>7.03</v>
      </c>
      <c r="F10906" t="n">
        <v>1</v>
      </c>
      <c r="G10906" t="n">
        <v>7</v>
      </c>
      <c r="H10906" s="5">
        <f>HYPERLINK("https://api.qogita.com/variants/link/3616305181015/", "View Product")</f>
        <v/>
      </c>
    </row>
    <row r="10907">
      <c r="A10907" t="inlineStr">
        <is>
          <t>3616305187314</t>
        </is>
      </c>
      <c r="B10907" t="inlineStr">
        <is>
          <t>Marc Jacobs Perfect Elixir Eau De Parfum Spray - 50ml</t>
        </is>
      </c>
      <c r="C10907" t="inlineStr">
        <is>
          <t>Eau De Parfum</t>
        </is>
      </c>
      <c r="D10907" t="inlineStr">
        <is>
          <t>Marc Jacobs</t>
        </is>
      </c>
      <c r="E10907" t="n">
        <v>66.31999999999999</v>
      </c>
      <c r="F10907" t="n">
        <v>1</v>
      </c>
      <c r="G10907" t="n">
        <v>3</v>
      </c>
      <c r="H10907" s="5">
        <f>HYPERLINK("https://api.qogita.com/variants/link/3616305187314/", "View Product")</f>
        <v/>
      </c>
    </row>
    <row r="10908">
      <c r="A10908" t="inlineStr">
        <is>
          <t>3616305243065</t>
        </is>
      </c>
      <c r="B10908" t="inlineStr">
        <is>
          <t>Max Factor Nailfinity Nail Polish 595 Green Room 12 Ml</t>
        </is>
      </c>
      <c r="C10908" t="inlineStr">
        <is>
          <t>Nail Polish</t>
        </is>
      </c>
      <c r="D10908" t="inlineStr">
        <is>
          <t>Max Factor</t>
        </is>
      </c>
      <c r="E10908" t="n">
        <v>3.2</v>
      </c>
      <c r="F10908" t="n">
        <v>1</v>
      </c>
      <c r="G10908" t="n">
        <v>4</v>
      </c>
      <c r="H10908" s="5">
        <f>HYPERLINK("https://api.qogita.com/variants/link/3616305243065/", "View Product")</f>
        <v/>
      </c>
    </row>
    <row r="10909">
      <c r="A10909" t="inlineStr">
        <is>
          <t>3616305243072</t>
        </is>
      </c>
      <c r="B10909" t="inlineStr">
        <is>
          <t>Max Factor Nailfinity Nail Polish No. 865 12ml</t>
        </is>
      </c>
      <c r="C10909" t="inlineStr">
        <is>
          <t>Nail Polish</t>
        </is>
      </c>
      <c r="D10909" t="inlineStr">
        <is>
          <t>Max Factor</t>
        </is>
      </c>
      <c r="E10909" t="n">
        <v>0.27</v>
      </c>
      <c r="F10909" t="n">
        <v>1</v>
      </c>
      <c r="G10909" t="n">
        <v>67</v>
      </c>
      <c r="H10909" s="5">
        <f>HYPERLINK("https://api.qogita.com/variants/link/3616305243072/", "View Product")</f>
        <v/>
      </c>
    </row>
    <row r="10910">
      <c r="A10910" t="inlineStr">
        <is>
          <t>3616305254436</t>
        </is>
      </c>
      <c r="B10910" t="inlineStr">
        <is>
          <t>Mexx Black Gift Set For Him - Eau De Toilette 30 Ml And Shower Gel 50 Ml</t>
        </is>
      </c>
      <c r="C10910" t="inlineStr">
        <is>
          <t>Fragrance</t>
        </is>
      </c>
      <c r="D10910" t="inlineStr">
        <is>
          <t>Mexx</t>
        </is>
      </c>
      <c r="E10910" t="n">
        <v>7.28</v>
      </c>
      <c r="F10910" t="n">
        <v>1</v>
      </c>
      <c r="G10910" t="n">
        <v>81</v>
      </c>
      <c r="H10910" s="5">
        <f>HYPERLINK("https://api.qogita.com/variants/link/3616305254436/", "View Product")</f>
        <v/>
      </c>
    </row>
    <row r="10911">
      <c r="A10911" t="inlineStr">
        <is>
          <t>3616305258199</t>
        </is>
      </c>
      <c r="B10911" t="inlineStr">
        <is>
          <t>Lancaster Sun Perfect Sun Clear &amp; Tinted Stick Spf 50 12g</t>
        </is>
      </c>
      <c r="C10911" t="inlineStr">
        <is>
          <t>Face Sun Protection</t>
        </is>
      </c>
      <c r="D10911" t="inlineStr">
        <is>
          <t>Lancaster</t>
        </is>
      </c>
      <c r="E10911" t="n">
        <v>33.89</v>
      </c>
      <c r="F10911" t="n">
        <v>1</v>
      </c>
      <c r="G10911" t="n">
        <v>7</v>
      </c>
      <c r="H10911" s="5">
        <f>HYPERLINK("https://api.qogita.com/variants/link/3616305258199/", "View Product")</f>
        <v/>
      </c>
    </row>
    <row r="10912">
      <c r="A10912" t="inlineStr">
        <is>
          <t>3616305265142</t>
        </is>
      </c>
      <c r="B10912" t="inlineStr">
        <is>
          <t>Hugo Boss Boss Bottled 50 Ml + Deodorant 150 Ml Eau De Toilette Set</t>
        </is>
      </c>
      <c r="C10912" t="inlineStr">
        <is>
          <t>Fragrance Sets</t>
        </is>
      </c>
      <c r="D10912" t="inlineStr">
        <is>
          <t>Hugo Boss</t>
        </is>
      </c>
      <c r="E10912" t="n">
        <v>29.07</v>
      </c>
      <c r="F10912" t="n">
        <v>1</v>
      </c>
      <c r="G10912" t="n">
        <v>304</v>
      </c>
      <c r="H10912" s="5">
        <f>HYPERLINK("https://api.qogita.com/variants/link/3616305265142/", "View Product")</f>
        <v/>
      </c>
    </row>
    <row r="10913">
      <c r="A10913" t="inlineStr">
        <is>
          <t>3616305265210</t>
        </is>
      </c>
      <c r="B10913" t="inlineStr">
        <is>
          <t>Hugo Boss The Scent For Him Eau De Toilette Spray 100ml Set 3 Pieces</t>
        </is>
      </c>
      <c r="C10913" t="inlineStr">
        <is>
          <t>Fragrance Sets</t>
        </is>
      </c>
      <c r="D10913" t="inlineStr">
        <is>
          <t>Hugo Boss</t>
        </is>
      </c>
      <c r="E10913" t="n">
        <v>42.94</v>
      </c>
      <c r="F10913" t="n">
        <v>1</v>
      </c>
      <c r="G10913" t="n">
        <v>274</v>
      </c>
      <c r="H10913" s="5">
        <f>HYPERLINK("https://api.qogita.com/variants/link/3616305265210/", "View Product")</f>
        <v/>
      </c>
    </row>
    <row r="10914">
      <c r="A10914" t="inlineStr">
        <is>
          <t>3616305265272</t>
        </is>
      </c>
      <c r="B10914" t="inlineStr">
        <is>
          <t>Hugo Boss Hugo Man Eau De Toilette 75ml And Deodorant Spray 150ml</t>
        </is>
      </c>
      <c r="C10914" t="inlineStr">
        <is>
          <t>Eau De Toilette</t>
        </is>
      </c>
      <c r="D10914" t="inlineStr">
        <is>
          <t>Hugo Boss</t>
        </is>
      </c>
      <c r="E10914" t="n">
        <v>31.11</v>
      </c>
      <c r="F10914" t="n">
        <v>1</v>
      </c>
      <c r="G10914" t="n">
        <v>321</v>
      </c>
      <c r="H10914" s="5">
        <f>HYPERLINK("https://api.qogita.com/variants/link/3616305265272/", "View Product")</f>
        <v/>
      </c>
    </row>
    <row r="10915">
      <c r="A10915" t="inlineStr">
        <is>
          <t>3616305267030</t>
        </is>
      </c>
      <c r="B10915" t="inlineStr">
        <is>
          <t>Davidoff Cool Water Men's Fragrance</t>
        </is>
      </c>
      <c r="C10915" t="inlineStr">
        <is>
          <t>Eau De Toilette</t>
        </is>
      </c>
      <c r="D10915" t="inlineStr">
        <is>
          <t>Davidoff</t>
        </is>
      </c>
      <c r="E10915" t="n">
        <v>28.48</v>
      </c>
      <c r="F10915" t="n">
        <v>1</v>
      </c>
      <c r="G10915" t="n">
        <v>60</v>
      </c>
      <c r="H10915" s="5">
        <f>HYPERLINK("https://api.qogita.com/variants/link/3616305267030/", "View Product")</f>
        <v/>
      </c>
    </row>
    <row r="10916">
      <c r="A10916" t="inlineStr">
        <is>
          <t>3616305439383</t>
        </is>
      </c>
      <c r="B10916" t="inlineStr">
        <is>
          <t>Davidoff Cool Water Reborn Men Fragrance</t>
        </is>
      </c>
      <c r="C10916" t="inlineStr">
        <is>
          <t>Eau De Toilette</t>
        </is>
      </c>
      <c r="D10916" t="inlineStr">
        <is>
          <t>Davidoff</t>
        </is>
      </c>
      <c r="E10916" t="n">
        <v>13.58</v>
      </c>
      <c r="F10916" t="n">
        <v>1</v>
      </c>
      <c r="G10916" t="n">
        <v>32</v>
      </c>
      <c r="H10916" s="5">
        <f>HYPERLINK("https://api.qogita.com/variants/link/3616305439383/", "View Product")</f>
        <v/>
      </c>
    </row>
    <row r="10917">
      <c r="A10917" t="inlineStr">
        <is>
          <t>3616305439543</t>
        </is>
      </c>
      <c r="B10917" t="inlineStr">
        <is>
          <t>Hugo Boss The Scent Eau De Toilette Spray 100 Ml Nav24 Sets</t>
        </is>
      </c>
      <c r="C10917" t="inlineStr">
        <is>
          <t>Fragrance Sets</t>
        </is>
      </c>
      <c r="D10917" t="inlineStr">
        <is>
          <t>Hugo Boss</t>
        </is>
      </c>
      <c r="E10917" t="n">
        <v>60.9</v>
      </c>
      <c r="F10917" t="n">
        <v>1</v>
      </c>
      <c r="G10917" t="n">
        <v>51</v>
      </c>
      <c r="H10917" s="5">
        <f>HYPERLINK("https://api.qogita.com/variants/link/3616305439543/", "View Product")</f>
        <v/>
      </c>
    </row>
    <row r="10918">
      <c r="A10918" t="inlineStr">
        <is>
          <t>3616305448422</t>
        </is>
      </c>
      <c r="B10918" t="inlineStr">
        <is>
          <t>Bruno Banani Magic Man 3-in-1 Shower Gel for Men with Woody Fougere Fragrance</t>
        </is>
      </c>
      <c r="C10918" t="inlineStr">
        <is>
          <t>Shower Gel</t>
        </is>
      </c>
      <c r="D10918" t="inlineStr">
        <is>
          <t>Bruno Banani</t>
        </is>
      </c>
      <c r="E10918" t="n">
        <v>2.67</v>
      </c>
      <c r="F10918" t="n">
        <v>1</v>
      </c>
      <c r="G10918" t="n">
        <v>24</v>
      </c>
      <c r="H10918" s="5">
        <f>HYPERLINK("https://api.qogita.com/variants/link/3616305448422/", "View Product")</f>
        <v/>
      </c>
    </row>
    <row r="10919">
      <c r="A10919" t="inlineStr">
        <is>
          <t>3616305467911</t>
        </is>
      </c>
      <c r="B10919" t="inlineStr">
        <is>
          <t>Adidas Victory League Gift Set With Deodorant 75 Ml And Shower Gel 250 Ml</t>
        </is>
      </c>
      <c r="C10919" t="inlineStr">
        <is>
          <t>Fragrance</t>
        </is>
      </c>
      <c r="D10919" t="inlineStr">
        <is>
          <t>adidas</t>
        </is>
      </c>
      <c r="E10919" t="n">
        <v>8.01</v>
      </c>
      <c r="F10919" t="n">
        <v>1</v>
      </c>
      <c r="G10919" t="n">
        <v>22</v>
      </c>
      <c r="H10919" s="5">
        <f>HYPERLINK("https://api.qogita.com/variants/link/3616305467911/", "View Product")</f>
        <v/>
      </c>
    </row>
    <row r="10920">
      <c r="A10920" t="inlineStr">
        <is>
          <t>3616305500205</t>
        </is>
      </c>
      <c r="B10920" t="inlineStr">
        <is>
          <t>Rimmel London Thrill Seeker Lip Latex Lip Gloss 200so Peachy 6ml</t>
        </is>
      </c>
      <c r="C10920" t="inlineStr">
        <is>
          <t>Lip Gloss</t>
        </is>
      </c>
      <c r="D10920" t="inlineStr">
        <is>
          <t>Rimmel London</t>
        </is>
      </c>
      <c r="E10920" t="n">
        <v>8.699999999999999</v>
      </c>
      <c r="F10920" t="n">
        <v>1</v>
      </c>
      <c r="G10920" t="n">
        <v>2</v>
      </c>
      <c r="H10920" s="5">
        <f>HYPERLINK("https://api.qogita.com/variants/link/3616305500205/", "View Product")</f>
        <v/>
      </c>
    </row>
    <row r="10921">
      <c r="A10921" t="inlineStr">
        <is>
          <t>3616305556417</t>
        </is>
      </c>
      <c r="B10921" t="inlineStr">
        <is>
          <t>Bourjois Fabuleux Gloss Nourishing Lip Gloss 11 Brillante Bal 3.5ml</t>
        </is>
      </c>
      <c r="C10921" t="inlineStr">
        <is>
          <t>Lip Gloss</t>
        </is>
      </c>
      <c r="D10921" t="inlineStr">
        <is>
          <t>Bourjois</t>
        </is>
      </c>
      <c r="E10921" t="n">
        <v>4.76</v>
      </c>
      <c r="F10921" t="n">
        <v>1</v>
      </c>
      <c r="G10921" t="n">
        <v>2</v>
      </c>
      <c r="H10921" s="5">
        <f>HYPERLINK("https://api.qogita.com/variants/link/3616305556417/", "View Product")</f>
        <v/>
      </c>
    </row>
    <row r="10922">
      <c r="A10922" t="inlineStr">
        <is>
          <t>3616305714916</t>
        </is>
      </c>
      <c r="B10922" t="inlineStr">
        <is>
          <t>Rimmel London Multi Tasker Wake Me Up Concealer Foundation 20 Ml 060 Light Honey</t>
        </is>
      </c>
      <c r="C10922" t="inlineStr">
        <is>
          <t>Concealer</t>
        </is>
      </c>
      <c r="D10922" t="inlineStr">
        <is>
          <t>Rimmel London</t>
        </is>
      </c>
      <c r="E10922" t="n">
        <v>7</v>
      </c>
      <c r="F10922" t="n">
        <v>1</v>
      </c>
      <c r="G10922" t="n">
        <v>31</v>
      </c>
      <c r="H10922" s="5">
        <f>HYPERLINK("https://api.qogita.com/variants/link/3616305714916/", "View Product")</f>
        <v/>
      </c>
    </row>
    <row r="10923">
      <c r="A10923" t="inlineStr">
        <is>
          <t>3616305821089</t>
        </is>
      </c>
      <c r="B10923" t="inlineStr">
        <is>
          <t>Hugo Boss Boss Bottled Bold Citrus Eau De Parfum Vaporizer Limited Edition 100 Ml</t>
        </is>
      </c>
      <c r="C10923" t="inlineStr">
        <is>
          <t>Eau De Parfum</t>
        </is>
      </c>
      <c r="D10923" t="inlineStr">
        <is>
          <t>Hugo Boss</t>
        </is>
      </c>
      <c r="E10923" t="n">
        <v>88.45999999999999</v>
      </c>
      <c r="F10923" t="n">
        <v>1</v>
      </c>
      <c r="G10923" t="n">
        <v>4</v>
      </c>
      <c r="H10923" s="5">
        <f>HYPERLINK("https://api.qogita.com/variants/link/3616305821089/", "View Product")</f>
        <v/>
      </c>
    </row>
    <row r="10924">
      <c r="A10924" t="inlineStr">
        <is>
          <t>3616305924933</t>
        </is>
      </c>
      <c r="B10924" t="inlineStr">
        <is>
          <t>Lancaster Sun Sensitive Milky Spray for Kids SPF 50 150ml - Children's Sunscreen</t>
        </is>
      </c>
      <c r="C10924" t="inlineStr">
        <is>
          <t>Sun Protection For Children</t>
        </is>
      </c>
      <c r="D10924" t="inlineStr">
        <is>
          <t>Lancaster</t>
        </is>
      </c>
      <c r="E10924" t="n">
        <v>18.24</v>
      </c>
      <c r="F10924" t="n">
        <v>1</v>
      </c>
      <c r="G10924" t="n">
        <v>12</v>
      </c>
      <c r="H10924" s="5">
        <f>HYPERLINK("https://api.qogita.com/variants/link/3616305924933/", "View Product")</f>
        <v/>
      </c>
    </row>
    <row r="10925">
      <c r="A10925" t="inlineStr">
        <is>
          <t>3616305988485</t>
        </is>
      </c>
      <c r="B10925" t="inlineStr">
        <is>
          <t>Rimmel Lasting Finish 25 HR Compact Foundation 009 Honey Matte Buildable Coverage Powder-to-Cream Anti-Pollution Shields SPF 20 Hyaluronic Acid Waterproof Hides Imperfections</t>
        </is>
      </c>
      <c r="C10925" t="inlineStr">
        <is>
          <t>Foundation</t>
        </is>
      </c>
      <c r="D10925" t="inlineStr">
        <is>
          <t>Rimmel</t>
        </is>
      </c>
      <c r="E10925" t="n">
        <v>7.15</v>
      </c>
      <c r="F10925" t="n">
        <v>1</v>
      </c>
      <c r="G10925" t="n">
        <v>2</v>
      </c>
      <c r="H10925" s="5">
        <f>HYPERLINK("https://api.qogita.com/variants/link/3616305988485/", "View Product")</f>
        <v/>
      </c>
    </row>
    <row r="10926">
      <c r="A10926" t="inlineStr">
        <is>
          <t>3616306168619</t>
        </is>
      </c>
      <c r="B10926" t="inlineStr">
        <is>
          <t>Max Factor Masterpiece Wow Liner Waterproof Vegan Eyeliner 24 Hours</t>
        </is>
      </c>
      <c r="C10926" t="inlineStr">
        <is>
          <t>Eyeliner</t>
        </is>
      </c>
      <c r="D10926" t="inlineStr">
        <is>
          <t>Max Factor</t>
        </is>
      </c>
      <c r="E10926" t="n">
        <v>3.78</v>
      </c>
      <c r="F10926" t="n">
        <v>1</v>
      </c>
      <c r="G10926" t="n">
        <v>8</v>
      </c>
      <c r="H10926" s="5">
        <f>HYPERLINK("https://api.qogita.com/variants/link/3616306168619/", "View Product")</f>
        <v/>
      </c>
    </row>
    <row r="10927">
      <c r="A10927" t="inlineStr">
        <is>
          <t>3616306361966</t>
        </is>
      </c>
      <c r="B10927" t="inlineStr">
        <is>
          <t>Rimmel Kind &amp; Free Blur It Out Mattifying Skin Tint</t>
        </is>
      </c>
      <c r="C10927" t="inlineStr">
        <is>
          <t>Foundation</t>
        </is>
      </c>
      <c r="D10927" t="inlineStr">
        <is>
          <t>Rimmel London</t>
        </is>
      </c>
      <c r="E10927" t="n">
        <v>4.58</v>
      </c>
      <c r="F10927" t="n">
        <v>1</v>
      </c>
      <c r="G10927" t="n">
        <v>3</v>
      </c>
      <c r="H10927" s="5">
        <f>HYPERLINK("https://api.qogita.com/variants/link/3616306361966/", "View Product")</f>
        <v/>
      </c>
    </row>
    <row r="10928">
      <c r="A10928" t="inlineStr">
        <is>
          <t>3616306643147</t>
        </is>
      </c>
      <c r="B10928" t="inlineStr">
        <is>
          <t>Bruno Banani Pure Woman Gift Set - Deodorant 75 Ml And Antiperspirant 150 Ml</t>
        </is>
      </c>
      <c r="C10928" t="inlineStr">
        <is>
          <t>Deodorant &amp; Anti-Perspirant</t>
        </is>
      </c>
      <c r="D10928" t="inlineStr">
        <is>
          <t>Bruno Banani</t>
        </is>
      </c>
      <c r="E10928" t="n">
        <v>9.710000000000001</v>
      </c>
      <c r="F10928" t="n">
        <v>1</v>
      </c>
      <c r="G10928" t="n">
        <v>14</v>
      </c>
      <c r="H10928" s="5">
        <f>HYPERLINK("https://api.qogita.com/variants/link/3616306643147/", "View Product")</f>
        <v/>
      </c>
    </row>
    <row r="10929">
      <c r="A10929" t="inlineStr">
        <is>
          <t>3660732524129</t>
        </is>
      </c>
      <c r="B10929" t="inlineStr">
        <is>
          <t>Viktor &amp; Rolf Flowerbomb Eau De Parfum Spray 100ml + Eau De Parfum Spray 20ml Set</t>
        </is>
      </c>
      <c r="C10929" t="inlineStr">
        <is>
          <t>Fragrance Sets</t>
        </is>
      </c>
      <c r="D10929" t="inlineStr">
        <is>
          <t>Viktor &amp; Rolf</t>
        </is>
      </c>
      <c r="E10929" t="n">
        <v>108.4</v>
      </c>
      <c r="F10929" t="n">
        <v>1</v>
      </c>
      <c r="G10929" t="n">
        <v>2</v>
      </c>
      <c r="H10929" s="5">
        <f>HYPERLINK("https://api.qogita.com/variants/link/3660732524129/", "View Product")</f>
        <v/>
      </c>
    </row>
    <row r="10930">
      <c r="A10930" t="inlineStr">
        <is>
          <t>3660732588428</t>
        </is>
      </c>
      <c r="B10930" t="inlineStr">
        <is>
          <t>Yves Saint Laurent YSL Libre Set: EDP Spray 50ml + Shower Gel 50ml</t>
        </is>
      </c>
      <c r="C10930" t="inlineStr">
        <is>
          <t>Fragrance Sets</t>
        </is>
      </c>
      <c r="D10930" t="inlineStr">
        <is>
          <t>Yves Saint Laurent</t>
        </is>
      </c>
      <c r="E10930" t="n">
        <v>77.87</v>
      </c>
      <c r="F10930" t="n">
        <v>1</v>
      </c>
      <c r="G10930" t="n">
        <v>5</v>
      </c>
      <c r="H10930" s="5">
        <f>HYPERLINK("https://api.qogita.com/variants/link/3660732588428/", "View Product")</f>
        <v/>
      </c>
    </row>
    <row r="10931">
      <c r="A10931" t="inlineStr">
        <is>
          <t>3660732593743</t>
        </is>
      </c>
      <c r="B10931" t="inlineStr">
        <is>
          <t>Giorgio Armani My Way Eau De Parfum 90 Ml And Eau De Parfum 15 Ml Gift Set</t>
        </is>
      </c>
      <c r="C10931" t="inlineStr">
        <is>
          <t>Fragrance Sets</t>
        </is>
      </c>
      <c r="D10931" t="inlineStr">
        <is>
          <t>Giorgio Armani</t>
        </is>
      </c>
      <c r="E10931" t="n">
        <v>98.08</v>
      </c>
      <c r="F10931" t="n">
        <v>1</v>
      </c>
      <c r="G10931" t="n">
        <v>12</v>
      </c>
      <c r="H10931" s="5">
        <f>HYPERLINK("https://api.qogita.com/variants/link/3660732593743/", "View Product")</f>
        <v/>
      </c>
    </row>
    <row r="10932">
      <c r="A10932" t="inlineStr">
        <is>
          <t>3661434000522</t>
        </is>
      </c>
      <c r="B10932" t="inlineStr">
        <is>
          <t>Uriage Thermal Water 300ml Soothing And Hydrating Face Mist</t>
        </is>
      </c>
      <c r="C10932" t="inlineStr">
        <is>
          <t>Facial Spray</t>
        </is>
      </c>
      <c r="D10932" t="inlineStr">
        <is>
          <t>Uriage</t>
        </is>
      </c>
      <c r="E10932" t="n">
        <v>6.06</v>
      </c>
      <c r="F10932" t="n">
        <v>1</v>
      </c>
      <c r="G10932" t="n">
        <v>40</v>
      </c>
      <c r="H10932" s="5">
        <f>HYPERLINK("https://api.qogita.com/variants/link/3661434000522/", "View Product")</f>
        <v/>
      </c>
    </row>
    <row r="10933">
      <c r="A10933" t="inlineStr">
        <is>
          <t>3661434001437</t>
        </is>
      </c>
      <c r="B10933" t="inlineStr">
        <is>
          <t>Uriage Barisun Mineral Cream Spf 50 Very High Protection 100ml</t>
        </is>
      </c>
      <c r="C10933" t="inlineStr">
        <is>
          <t>Face Sun Protection</t>
        </is>
      </c>
      <c r="D10933" t="inlineStr">
        <is>
          <t>Uriage</t>
        </is>
      </c>
      <c r="E10933" t="n">
        <v>17.27</v>
      </c>
      <c r="F10933" t="n">
        <v>1</v>
      </c>
      <c r="G10933" t="n">
        <v>17</v>
      </c>
      <c r="H10933" s="5">
        <f>HYPERLINK("https://api.qogita.com/variants/link/3661434001437/", "View Product")</f>
        <v/>
      </c>
    </row>
    <row r="10934">
      <c r="A10934" t="inlineStr">
        <is>
          <t>3661434001468</t>
        </is>
      </c>
      <c r="B10934" t="inlineStr">
        <is>
          <t>Uriage Bariesun After Sun Repair Balm 150ml Regenerating Balm After Sunbathing</t>
        </is>
      </c>
      <c r="C10934" t="inlineStr">
        <is>
          <t>Aftersun</t>
        </is>
      </c>
      <c r="D10934" t="inlineStr">
        <is>
          <t>Uriage</t>
        </is>
      </c>
      <c r="E10934" t="n">
        <v>9.07</v>
      </c>
      <c r="F10934" t="n">
        <v>1</v>
      </c>
      <c r="G10934" t="n">
        <v>4</v>
      </c>
      <c r="H10934" s="5">
        <f>HYPERLINK("https://api.qogita.com/variants/link/3661434001468/", "View Product")</f>
        <v/>
      </c>
    </row>
    <row r="10935">
      <c r="A10935" t="inlineStr">
        <is>
          <t>3661434002687</t>
        </is>
      </c>
      <c r="B10935" t="inlineStr">
        <is>
          <t>Uriage Gentle Deodorant For Sensitive Skin 50ml Unisex</t>
        </is>
      </c>
      <c r="C10935" t="inlineStr">
        <is>
          <t>Deodorant &amp; Anti-Perspirant</t>
        </is>
      </c>
      <c r="D10935" t="inlineStr">
        <is>
          <t>Uriage</t>
        </is>
      </c>
      <c r="E10935" t="n">
        <v>5.71</v>
      </c>
      <c r="F10935" t="n">
        <v>1</v>
      </c>
      <c r="G10935" t="n">
        <v>64</v>
      </c>
      <c r="H10935" s="5">
        <f>HYPERLINK("https://api.qogita.com/variants/link/3661434002687/", "View Product")</f>
        <v/>
      </c>
    </row>
    <row r="10936">
      <c r="A10936" t="inlineStr">
        <is>
          <t>3661434004698</t>
        </is>
      </c>
      <c r="B10936" t="inlineStr">
        <is>
          <t>Uriage Eau Thermale Silky Body Lotion - 200ml</t>
        </is>
      </c>
      <c r="C10936" t="inlineStr">
        <is>
          <t>Body Lotion</t>
        </is>
      </c>
      <c r="D10936" t="inlineStr">
        <is>
          <t>Uriage</t>
        </is>
      </c>
      <c r="E10936" t="n">
        <v>7.03</v>
      </c>
      <c r="F10936" t="n">
        <v>1</v>
      </c>
      <c r="G10936" t="n">
        <v>63</v>
      </c>
      <c r="H10936" s="5">
        <f>HYPERLINK("https://api.qogita.com/variants/link/3661434004698/", "View Product")</f>
        <v/>
      </c>
    </row>
    <row r="10937">
      <c r="A10937" t="inlineStr">
        <is>
          <t>3661434004735</t>
        </is>
      </c>
      <c r="B10937" t="inlineStr">
        <is>
          <t>Uriage Baridermcica Cream 40ml Reparative Cream With Copper And Zinc</t>
        </is>
      </c>
      <c r="C10937" t="inlineStr">
        <is>
          <t>Face Cream</t>
        </is>
      </c>
      <c r="D10937" t="inlineStr">
        <is>
          <t>Uriage</t>
        </is>
      </c>
      <c r="E10937" t="n">
        <v>5.13</v>
      </c>
      <c r="F10937" t="n">
        <v>1</v>
      </c>
      <c r="G10937" t="n">
        <v>20</v>
      </c>
      <c r="H10937" s="5">
        <f>HYPERLINK("https://api.qogita.com/variants/link/3661434004735/", "View Product")</f>
        <v/>
      </c>
    </row>
    <row r="10938">
      <c r="A10938" t="inlineStr">
        <is>
          <t>3661434004742</t>
        </is>
      </c>
      <c r="B10938" t="inlineStr">
        <is>
          <t>Uriage Bariderm Repairing Cica Cream 100ml Unisex Cream With Copper And Zinc For Skin Repair</t>
        </is>
      </c>
      <c r="C10938" t="inlineStr">
        <is>
          <t>Face Cream</t>
        </is>
      </c>
      <c r="D10938" t="inlineStr">
        <is>
          <t>Uriage</t>
        </is>
      </c>
      <c r="E10938" t="n">
        <v>7.8</v>
      </c>
      <c r="F10938" t="n">
        <v>1</v>
      </c>
      <c r="G10938" t="n">
        <v>53</v>
      </c>
      <c r="H10938" s="5">
        <f>HYPERLINK("https://api.qogita.com/variants/link/3661434004742/", "View Product")</f>
        <v/>
      </c>
    </row>
    <row r="10939">
      <c r="A10939" t="inlineStr">
        <is>
          <t>3661434004858</t>
        </is>
      </c>
      <c r="B10939" t="inlineStr">
        <is>
          <t>Uriage Xemose Lipid-Replenishing Cream For Dry Skin 400ml</t>
        </is>
      </c>
      <c r="C10939" t="inlineStr">
        <is>
          <t>Face Cream</t>
        </is>
      </c>
      <c r="D10939" t="inlineStr">
        <is>
          <t>Uriage</t>
        </is>
      </c>
      <c r="E10939" t="n">
        <v>14.72</v>
      </c>
      <c r="F10939" t="n">
        <v>1</v>
      </c>
      <c r="G10939" t="n">
        <v>57</v>
      </c>
      <c r="H10939" s="5">
        <f>HYPERLINK("https://api.qogita.com/variants/link/3661434004858/", "View Product")</f>
        <v/>
      </c>
    </row>
    <row r="10940">
      <c r="A10940" t="inlineStr">
        <is>
          <t>3661434005268</t>
        </is>
      </c>
      <c r="B10940" t="inlineStr">
        <is>
          <t>Uriage Gyn-Phy Intimate Hygiene Daily Cleansing Gel Refreshing Gel For Intimate Hygiene 200ml</t>
        </is>
      </c>
      <c r="C10940" t="inlineStr">
        <is>
          <t>Intimate Hygiene</t>
        </is>
      </c>
      <c r="D10940" t="inlineStr">
        <is>
          <t>Uriage</t>
        </is>
      </c>
      <c r="E10940" t="n">
        <v>6.08</v>
      </c>
      <c r="F10940" t="n">
        <v>1</v>
      </c>
      <c r="G10940" t="n">
        <v>41</v>
      </c>
      <c r="H10940" s="5">
        <f>HYPERLINK("https://api.qogita.com/variants/link/3661434005268/", "View Product")</f>
        <v/>
      </c>
    </row>
    <row r="10941">
      <c r="A10941" t="inlineStr">
        <is>
          <t>3661434005596</t>
        </is>
      </c>
      <c r="B10941" t="inlineStr">
        <is>
          <t>Uriage Bariesun Mat Fluid Mattifying And Moisturizing Foundation Spf50+ 50ml</t>
        </is>
      </c>
      <c r="C10941" t="inlineStr">
        <is>
          <t>Face Sun Protection</t>
        </is>
      </c>
      <c r="D10941" t="inlineStr">
        <is>
          <t>Uriage</t>
        </is>
      </c>
      <c r="E10941" t="n">
        <v>11.13</v>
      </c>
      <c r="F10941" t="n">
        <v>1</v>
      </c>
      <c r="G10941" t="n">
        <v>31</v>
      </c>
      <c r="H10941" s="5">
        <f>HYPERLINK("https://api.qogita.com/variants/link/3661434005596/", "View Product")</f>
        <v/>
      </c>
    </row>
    <row r="10942">
      <c r="A10942" t="inlineStr">
        <is>
          <t>3661434005923</t>
        </is>
      </c>
      <c r="B10942" t="inlineStr">
        <is>
          <t>Uriage Xmose Cleansing Soothing Oil 500ml Gentle Cleansing Oil For Face And Body</t>
        </is>
      </c>
      <c r="C10942" t="inlineStr">
        <is>
          <t>Shower Oil</t>
        </is>
      </c>
      <c r="D10942" t="inlineStr">
        <is>
          <t>Uriage</t>
        </is>
      </c>
      <c r="E10942" t="n">
        <v>12.75</v>
      </c>
      <c r="F10942" t="n">
        <v>1</v>
      </c>
      <c r="G10942" t="n">
        <v>9</v>
      </c>
      <c r="H10942" s="5">
        <f>HYPERLINK("https://api.qogita.com/variants/link/3661434005923/", "View Product")</f>
        <v/>
      </c>
    </row>
    <row r="10943">
      <c r="A10943" t="inlineStr">
        <is>
          <t>3661434006234</t>
        </is>
      </c>
      <c r="B10943" t="inlineStr">
        <is>
          <t>Uriage Body Scrubbing Cream Exfoliating Body Cream 200ml</t>
        </is>
      </c>
      <c r="C10943" t="inlineStr">
        <is>
          <t>Body Care Sets</t>
        </is>
      </c>
      <c r="D10943" t="inlineStr">
        <is>
          <t>Uriage</t>
        </is>
      </c>
      <c r="E10943" t="n">
        <v>9.41</v>
      </c>
      <c r="F10943" t="n">
        <v>1</v>
      </c>
      <c r="G10943" t="n">
        <v>8</v>
      </c>
      <c r="H10943" s="5">
        <f>HYPERLINK("https://api.qogita.com/variants/link/3661434006234/", "View Product")</f>
        <v/>
      </c>
    </row>
    <row r="10944">
      <c r="A10944" t="inlineStr">
        <is>
          <t>3661434006968</t>
        </is>
      </c>
      <c r="B10944" t="inlineStr">
        <is>
          <t>Uriage Xemose Anti-Itch Soothing Oil Balm - 500ml</t>
        </is>
      </c>
      <c r="C10944" t="inlineStr">
        <is>
          <t>Body Oil</t>
        </is>
      </c>
      <c r="D10944" t="inlineStr">
        <is>
          <t>Uriage</t>
        </is>
      </c>
      <c r="E10944" t="n">
        <v>13.85</v>
      </c>
      <c r="F10944" t="n">
        <v>1</v>
      </c>
      <c r="G10944" t="n">
        <v>11</v>
      </c>
      <c r="H10944" s="5">
        <f>HYPERLINK("https://api.qogita.com/variants/link/3661434006968/", "View Product")</f>
        <v/>
      </c>
    </row>
    <row r="10945">
      <c r="A10945" t="inlineStr">
        <is>
          <t>3661434007347</t>
        </is>
      </c>
      <c r="B10945" t="inlineStr">
        <is>
          <t>Uriage Xemose Anti-Itch Soothing Oil Balm 200ml</t>
        </is>
      </c>
      <c r="C10945" t="inlineStr">
        <is>
          <t>Body Oil</t>
        </is>
      </c>
      <c r="D10945" t="inlineStr">
        <is>
          <t>Uriage</t>
        </is>
      </c>
      <c r="E10945" t="n">
        <v>8.92</v>
      </c>
      <c r="F10945" t="n">
        <v>1</v>
      </c>
      <c r="G10945" t="n">
        <v>19</v>
      </c>
      <c r="H10945" s="5">
        <f>HYPERLINK("https://api.qogita.com/variants/link/3661434007347/", "View Product")</f>
        <v/>
      </c>
    </row>
    <row r="10946">
      <c r="A10946" t="inlineStr">
        <is>
          <t>3661434008399</t>
        </is>
      </c>
      <c r="B10946" t="inlineStr">
        <is>
          <t>Uriage Barisun Spf50 Moisturizing Kid Spray 200ml</t>
        </is>
      </c>
      <c r="C10946" t="inlineStr">
        <is>
          <t>Sun Protection For Children</t>
        </is>
      </c>
      <c r="D10946" t="inlineStr">
        <is>
          <t>Uriage</t>
        </is>
      </c>
      <c r="E10946" t="n">
        <v>14.9</v>
      </c>
      <c r="F10946" t="n">
        <v>1</v>
      </c>
      <c r="G10946" t="n">
        <v>4</v>
      </c>
      <c r="H10946" s="5">
        <f>HYPERLINK("https://api.qogita.com/variants/link/3661434008399/", "View Product")</f>
        <v/>
      </c>
    </row>
    <row r="10947">
      <c r="A10947" t="inlineStr">
        <is>
          <t>3661434008481</t>
        </is>
      </c>
      <c r="B10947" t="inlineStr">
        <is>
          <t>Uriage Tolderm Eye Cream 15ml Soothing Eye Cream For Women</t>
        </is>
      </c>
      <c r="C10947" t="inlineStr">
        <is>
          <t>Eye Cream</t>
        </is>
      </c>
      <c r="D10947" t="inlineStr">
        <is>
          <t>Uriage</t>
        </is>
      </c>
      <c r="E10947" t="n">
        <v>8.960000000000001</v>
      </c>
      <c r="F10947" t="n">
        <v>1</v>
      </c>
      <c r="G10947" t="n">
        <v>2</v>
      </c>
      <c r="H10947" s="5">
        <f>HYPERLINK("https://api.qogita.com/variants/link/3661434008481/", "View Product")</f>
        <v/>
      </c>
    </row>
    <row r="10948">
      <c r="A10948" t="inlineStr">
        <is>
          <t>3661434008641</t>
        </is>
      </c>
      <c r="B10948" t="inlineStr">
        <is>
          <t>Bebe 1st Drying Repairing Spray Soothing Irritations For Children 100ml</t>
        </is>
      </c>
      <c r="C10948" t="inlineStr">
        <is>
          <t>Baby Cream &amp; Oil</t>
        </is>
      </c>
      <c r="D10948" t="inlineStr">
        <is>
          <t>Bebe</t>
        </is>
      </c>
      <c r="E10948" t="n">
        <v>6.81</v>
      </c>
      <c r="F10948" t="n">
        <v>1</v>
      </c>
      <c r="G10948" t="n">
        <v>29</v>
      </c>
      <c r="H10948" s="5">
        <f>HYPERLINK("https://api.qogita.com/variants/link/3661434008641/", "View Product")</f>
        <v/>
      </c>
    </row>
    <row r="10949">
      <c r="A10949" t="inlineStr">
        <is>
          <t>3661434008672</t>
        </is>
      </c>
      <c r="B10949" t="inlineStr">
        <is>
          <t>Uriage Bebe 1st Cleansing Cream Face, Body &amp; Scalp - 500ml</t>
        </is>
      </c>
      <c r="C10949" t="inlineStr">
        <is>
          <t>Baby Bath</t>
        </is>
      </c>
      <c r="D10949" t="inlineStr">
        <is>
          <t>Uriage</t>
        </is>
      </c>
      <c r="E10949" t="n">
        <v>8.67</v>
      </c>
      <c r="F10949" t="n">
        <v>1</v>
      </c>
      <c r="G10949" t="n">
        <v>14</v>
      </c>
      <c r="H10949" s="5">
        <f>HYPERLINK("https://api.qogita.com/variants/link/3661434008672/", "View Product")</f>
        <v/>
      </c>
    </row>
    <row r="10950">
      <c r="A10950" t="inlineStr">
        <is>
          <t>3661434008788</t>
        </is>
      </c>
      <c r="B10950" t="inlineStr">
        <is>
          <t>Uriage Eau Thermale Cleansing Cream Creamy Cleansing Gel 500ml</t>
        </is>
      </c>
      <c r="C10950" t="inlineStr">
        <is>
          <t>Cleansing Cream</t>
        </is>
      </c>
      <c r="D10950" t="inlineStr">
        <is>
          <t>Uriage</t>
        </is>
      </c>
      <c r="E10950" t="n">
        <v>8.67</v>
      </c>
      <c r="F10950" t="n">
        <v>1</v>
      </c>
      <c r="G10950" t="n">
        <v>2</v>
      </c>
      <c r="H10950" s="5">
        <f>HYPERLINK("https://api.qogita.com/variants/link/3661434008788/", "View Product")</f>
        <v/>
      </c>
    </row>
    <row r="10951">
      <c r="A10951" t="inlineStr">
        <is>
          <t>3661434008825</t>
        </is>
      </c>
      <c r="B10951" t="inlineStr">
        <is>
          <t>Uriage Baby 1st Solid Cleansing Cream 100g</t>
        </is>
      </c>
      <c r="C10951" t="inlineStr">
        <is>
          <t>Baby Cream &amp; Oil</t>
        </is>
      </c>
      <c r="D10951" t="inlineStr">
        <is>
          <t>Uriage</t>
        </is>
      </c>
      <c r="E10951" t="n">
        <v>4.05</v>
      </c>
      <c r="F10951" t="n">
        <v>1</v>
      </c>
      <c r="G10951" t="n">
        <v>7</v>
      </c>
      <c r="H10951" s="5">
        <f>HYPERLINK("https://api.qogita.com/variants/link/3661434008825/", "View Product")</f>
        <v/>
      </c>
    </row>
    <row r="10952">
      <c r="A10952" t="inlineStr">
        <is>
          <t>3661434008900</t>
        </is>
      </c>
      <c r="B10952" t="inlineStr">
        <is>
          <t>Uriage Barisun Spf50 Tinted Cream 50ml Golden Tint</t>
        </is>
      </c>
      <c r="C10952" t="inlineStr">
        <is>
          <t>Tinted Day Cream</t>
        </is>
      </c>
      <c r="D10952" t="inlineStr">
        <is>
          <t>Uriage</t>
        </is>
      </c>
      <c r="E10952" t="n">
        <v>9.83</v>
      </c>
      <c r="F10952" t="n">
        <v>1</v>
      </c>
      <c r="G10952" t="n">
        <v>3</v>
      </c>
      <c r="H10952" s="5">
        <f>HYPERLINK("https://api.qogita.com/variants/link/3661434008900/", "View Product")</f>
        <v/>
      </c>
    </row>
    <row r="10953">
      <c r="A10953" t="inlineStr">
        <is>
          <t>3661434009228</t>
        </is>
      </c>
      <c r="B10953" t="inlineStr">
        <is>
          <t>Uriage Age Lift Revitalizing Night Smoothing Cream 40ml</t>
        </is>
      </c>
      <c r="C10953" t="inlineStr">
        <is>
          <t>Night Cream</t>
        </is>
      </c>
      <c r="D10953" t="inlineStr">
        <is>
          <t>Uriage</t>
        </is>
      </c>
      <c r="E10953" t="n">
        <v>19.42</v>
      </c>
      <c r="F10953" t="n">
        <v>1</v>
      </c>
      <c r="G10953" t="n">
        <v>8</v>
      </c>
      <c r="H10953" s="5">
        <f>HYPERLINK("https://api.qogita.com/variants/link/3661434009228/", "View Product")</f>
        <v/>
      </c>
    </row>
    <row r="10954">
      <c r="A10954" t="inlineStr">
        <is>
          <t>3661434009310</t>
        </is>
      </c>
      <c r="B10954" t="inlineStr">
        <is>
          <t>Uriage Ds Hair Kreato- Reducing Treatment Shampoo 150ml</t>
        </is>
      </c>
      <c r="C10954" t="inlineStr">
        <is>
          <t>Shampoo</t>
        </is>
      </c>
      <c r="D10954" t="inlineStr">
        <is>
          <t>Uriage</t>
        </is>
      </c>
      <c r="E10954" t="n">
        <v>8.51</v>
      </c>
      <c r="F10954" t="n">
        <v>1</v>
      </c>
      <c r="G10954" t="n">
        <v>16</v>
      </c>
      <c r="H10954" s="5">
        <f>HYPERLINK("https://api.qogita.com/variants/link/3661434009310/", "View Product")</f>
        <v/>
      </c>
    </row>
    <row r="10955">
      <c r="A10955" t="inlineStr">
        <is>
          <t>3661434009334</t>
        </is>
      </c>
      <c r="B10955" t="inlineStr">
        <is>
          <t>Uriage Thermal Micellar Water 500ml For Sensitive Skin</t>
        </is>
      </c>
      <c r="C10955" t="inlineStr">
        <is>
          <t>Micellar Water</t>
        </is>
      </c>
      <c r="D10955" t="inlineStr">
        <is>
          <t>Uriage</t>
        </is>
      </c>
      <c r="E10955" t="n">
        <v>10.96</v>
      </c>
      <c r="F10955" t="n">
        <v>1</v>
      </c>
      <c r="G10955" t="n">
        <v>13</v>
      </c>
      <c r="H10955" s="5">
        <f>HYPERLINK("https://api.qogita.com/variants/link/3661434009334/", "View Product")</f>
        <v/>
      </c>
    </row>
    <row r="10956">
      <c r="A10956" t="inlineStr">
        <is>
          <t>3661434010002</t>
        </is>
      </c>
      <c r="B10956" t="inlineStr">
        <is>
          <t>Uriage Hyseac Hydra Soothing Cleansing Cream - Ideal For Dry Problematic Skin</t>
        </is>
      </c>
      <c r="C10956" t="inlineStr">
        <is>
          <t>Cleansing Cream</t>
        </is>
      </c>
      <c r="D10956" t="inlineStr">
        <is>
          <t>Uriage</t>
        </is>
      </c>
      <c r="E10956" t="n">
        <v>8.029999999999999</v>
      </c>
      <c r="F10956" t="n">
        <v>1</v>
      </c>
      <c r="G10956" t="n">
        <v>4</v>
      </c>
      <c r="H10956" s="5">
        <f>HYPERLINK("https://api.qogita.com/variants/link/3661434010002/", "View Product")</f>
        <v/>
      </c>
    </row>
    <row r="10957">
      <c r="A10957" t="inlineStr">
        <is>
          <t>3661434010088</t>
        </is>
      </c>
      <c r="B10957" t="inlineStr">
        <is>
          <t>Uriage Hysac 3regul Global Care Antiimperfections 40ml</t>
        </is>
      </c>
      <c r="C10957" t="inlineStr">
        <is>
          <t>Pimple &amp; Blackhead Treatments</t>
        </is>
      </c>
      <c r="D10957" t="inlineStr">
        <is>
          <t>Uriage</t>
        </is>
      </c>
      <c r="E10957" t="n">
        <v>11.44</v>
      </c>
      <c r="F10957" t="n">
        <v>1</v>
      </c>
      <c r="G10957" t="n">
        <v>29</v>
      </c>
      <c r="H10957" s="5">
        <f>HYPERLINK("https://api.qogita.com/variants/link/3661434010088/", "View Product")</f>
        <v/>
      </c>
    </row>
    <row r="10958">
      <c r="A10958" t="inlineStr">
        <is>
          <t>3664526000066</t>
        </is>
      </c>
      <c r="B10958" t="inlineStr">
        <is>
          <t>Pierre Cardin Fusion Eau De Toilette 90ml For Men</t>
        </is>
      </c>
      <c r="C10958" t="inlineStr">
        <is>
          <t>Eau De Toilette</t>
        </is>
      </c>
      <c r="D10958" t="inlineStr">
        <is>
          <t>Pierre Cardin</t>
        </is>
      </c>
      <c r="E10958" t="n">
        <v>11.01</v>
      </c>
      <c r="F10958" t="n">
        <v>1</v>
      </c>
      <c r="G10958" t="n">
        <v>6</v>
      </c>
      <c r="H10958" s="5">
        <f>HYPERLINK("https://api.qogita.com/variants/link/3664526000066/", "View Product")</f>
        <v/>
      </c>
    </row>
    <row r="10959">
      <c r="A10959" t="inlineStr">
        <is>
          <t>3666057008122</t>
        </is>
      </c>
      <c r="B10959" t="inlineStr">
        <is>
          <t>Clarins Hand and Nail Treatment Cream 30ml</t>
        </is>
      </c>
      <c r="C10959" t="inlineStr">
        <is>
          <t>Hand Cream</t>
        </is>
      </c>
      <c r="D10959" t="inlineStr">
        <is>
          <t>Clarins</t>
        </is>
      </c>
      <c r="E10959" t="n">
        <v>8.460000000000001</v>
      </c>
      <c r="F10959" t="n">
        <v>1</v>
      </c>
      <c r="G10959" t="n">
        <v>65</v>
      </c>
      <c r="H10959" s="5">
        <f>HYPERLINK("https://api.qogita.com/variants/link/3666057008122/", "View Product")</f>
        <v/>
      </c>
    </row>
    <row r="10960">
      <c r="A10960" t="inlineStr">
        <is>
          <t>3666057012822</t>
        </is>
      </c>
      <c r="B10960" t="inlineStr">
        <is>
          <t>Clarins Total Eye Contour Gel 20ml</t>
        </is>
      </c>
      <c r="C10960" t="inlineStr">
        <is>
          <t>Eye Gel</t>
        </is>
      </c>
      <c r="D10960" t="inlineStr">
        <is>
          <t>Clarins</t>
        </is>
      </c>
      <c r="E10960" t="n">
        <v>27.9</v>
      </c>
      <c r="F10960" t="n">
        <v>1</v>
      </c>
      <c r="G10960" t="n">
        <v>11</v>
      </c>
      <c r="H10960" s="5">
        <f>HYPERLINK("https://api.qogita.com/variants/link/3666057012822/", "View Product")</f>
        <v/>
      </c>
    </row>
    <row r="10961">
      <c r="A10961" t="inlineStr">
        <is>
          <t>3666057012853</t>
        </is>
      </c>
      <c r="B10961" t="inlineStr">
        <is>
          <t>Clarins Total Eye Smooth Eye Balm 15ml</t>
        </is>
      </c>
      <c r="C10961" t="inlineStr">
        <is>
          <t>Eye Cream</t>
        </is>
      </c>
      <c r="D10961" t="inlineStr">
        <is>
          <t>Clarins</t>
        </is>
      </c>
      <c r="E10961" t="n">
        <v>33.05</v>
      </c>
      <c r="F10961" t="n">
        <v>1</v>
      </c>
      <c r="G10961" t="n">
        <v>8</v>
      </c>
      <c r="H10961" s="5">
        <f>HYPERLINK("https://api.qogita.com/variants/link/3666057012853/", "View Product")</f>
        <v/>
      </c>
    </row>
    <row r="10962">
      <c r="A10962" t="inlineStr">
        <is>
          <t>3666057014857</t>
        </is>
      </c>
      <c r="B10962" t="inlineStr">
        <is>
          <t>Clarins Instant Eye Makeup Remover 125ml Twophase Eye Makeup Remover With Alpine Golden Gentian &amp; Cornflower Extracts</t>
        </is>
      </c>
      <c r="C10962" t="inlineStr">
        <is>
          <t>Eye Makeup Remover</t>
        </is>
      </c>
      <c r="D10962" t="inlineStr">
        <is>
          <t>Clarins</t>
        </is>
      </c>
      <c r="E10962" t="n">
        <v>15.7</v>
      </c>
      <c r="F10962" t="n">
        <v>1</v>
      </c>
      <c r="G10962" t="n">
        <v>36</v>
      </c>
      <c r="H10962" s="5">
        <f>HYPERLINK("https://api.qogita.com/variants/link/3666057014857/", "View Product")</f>
        <v/>
      </c>
    </row>
    <row r="10963">
      <c r="A10963" t="inlineStr">
        <is>
          <t>3666057019050</t>
        </is>
      </c>
      <c r="B10963" t="inlineStr">
        <is>
          <t>Clarins Men Super Moisture Gel 50ml Moisturizing Gel For Men</t>
        </is>
      </c>
      <c r="C10963" t="inlineStr">
        <is>
          <t>Face Cream</t>
        </is>
      </c>
      <c r="D10963" t="inlineStr">
        <is>
          <t>Clarins</t>
        </is>
      </c>
      <c r="E10963" t="n">
        <v>23.34</v>
      </c>
      <c r="F10963" t="n">
        <v>1</v>
      </c>
      <c r="G10963" t="n">
        <v>8</v>
      </c>
      <c r="H10963" s="5">
        <f>HYPERLINK("https://api.qogita.com/variants/link/3666057019050/", "View Product")</f>
        <v/>
      </c>
    </row>
    <row r="10964">
      <c r="A10964" t="inlineStr">
        <is>
          <t>3666057020070</t>
        </is>
      </c>
      <c r="B10964" t="inlineStr">
        <is>
          <t>Clarins Nutrilumire Revive 50ml Revitalizing Day Cream For Mature Skin</t>
        </is>
      </c>
      <c r="C10964" t="inlineStr">
        <is>
          <t>Day Cream</t>
        </is>
      </c>
      <c r="D10964" t="inlineStr">
        <is>
          <t>Clarins</t>
        </is>
      </c>
      <c r="E10964" t="n">
        <v>86.7</v>
      </c>
      <c r="F10964" t="n">
        <v>1</v>
      </c>
      <c r="G10964" t="n">
        <v>5</v>
      </c>
      <c r="H10964" s="5">
        <f>HYPERLINK("https://api.qogita.com/variants/link/3666057020070/", "View Product")</f>
        <v/>
      </c>
    </row>
    <row r="10965">
      <c r="A10965" t="inlineStr">
        <is>
          <t>3666057024948</t>
        </is>
      </c>
      <c r="B10965" t="inlineStr">
        <is>
          <t>Clarins Hand And Nail Treatment Balm 100ml</t>
        </is>
      </c>
      <c r="C10965" t="inlineStr">
        <is>
          <t>Hand Cream</t>
        </is>
      </c>
      <c r="D10965" t="inlineStr">
        <is>
          <t>Clarins</t>
        </is>
      </c>
      <c r="E10965" t="n">
        <v>16.89</v>
      </c>
      <c r="F10965" t="n">
        <v>1</v>
      </c>
      <c r="G10965" t="n">
        <v>6</v>
      </c>
      <c r="H10965" s="5">
        <f>HYPERLINK("https://api.qogita.com/variants/link/3666057024948/", "View Product")</f>
        <v/>
      </c>
    </row>
    <row r="10966">
      <c r="A10966" t="inlineStr">
        <is>
          <t>3666057025754</t>
        </is>
      </c>
      <c r="B10966" t="inlineStr">
        <is>
          <t>Clarins Eau Dynamisante Body Spray 100ml</t>
        </is>
      </c>
      <c r="C10966" t="inlineStr">
        <is>
          <t>Eau De Toilette</t>
        </is>
      </c>
      <c r="D10966" t="inlineStr">
        <is>
          <t>Clarins</t>
        </is>
      </c>
      <c r="E10966" t="n">
        <v>34.8</v>
      </c>
      <c r="F10966" t="n">
        <v>1</v>
      </c>
      <c r="G10966" t="n">
        <v>5</v>
      </c>
      <c r="H10966" s="5">
        <f>HYPERLINK("https://api.qogita.com/variants/link/3666057025754/", "View Product")</f>
        <v/>
      </c>
    </row>
    <row r="10967">
      <c r="A10967" t="inlineStr">
        <is>
          <t>3666057026164</t>
        </is>
      </c>
      <c r="B10967" t="inlineStr">
        <is>
          <t>Clarins Eau Extraordinaire Spray 100ml Caring Scent</t>
        </is>
      </c>
      <c r="C10967" t="inlineStr">
        <is>
          <t>Eau De Toilette</t>
        </is>
      </c>
      <c r="D10967" t="inlineStr">
        <is>
          <t>Clarins</t>
        </is>
      </c>
      <c r="E10967" t="n">
        <v>34.64</v>
      </c>
      <c r="F10967" t="n">
        <v>1</v>
      </c>
      <c r="G10967" t="n">
        <v>25</v>
      </c>
      <c r="H10967" s="5">
        <f>HYPERLINK("https://api.qogita.com/variants/link/3666057026164/", "View Product")</f>
        <v/>
      </c>
    </row>
    <row r="10968">
      <c r="A10968" t="inlineStr">
        <is>
          <t>3666057030956</t>
        </is>
      </c>
      <c r="B10968" t="inlineStr">
        <is>
          <t>Clarins Lotus Face Treatment Oil 30ml For Combination To Oily Skin</t>
        </is>
      </c>
      <c r="C10968" t="inlineStr">
        <is>
          <t>Facial Oil</t>
        </is>
      </c>
      <c r="D10968" t="inlineStr">
        <is>
          <t>Clarins</t>
        </is>
      </c>
      <c r="E10968" t="n">
        <v>24.53</v>
      </c>
      <c r="F10968" t="n">
        <v>1</v>
      </c>
      <c r="G10968" t="n">
        <v>8</v>
      </c>
      <c r="H10968" s="5">
        <f>HYPERLINK("https://api.qogita.com/variants/link/3666057030956/", "View Product")</f>
        <v/>
      </c>
    </row>
    <row r="10969">
      <c r="A10969" t="inlineStr">
        <is>
          <t>3666057030994</t>
        </is>
      </c>
      <c r="B10969" t="inlineStr">
        <is>
          <t>Clarins Santal Face Treatment Oil 30ml For Dry Skin</t>
        </is>
      </c>
      <c r="C10969" t="inlineStr">
        <is>
          <t>Facial Oil</t>
        </is>
      </c>
      <c r="D10969" t="inlineStr">
        <is>
          <t>Clarins</t>
        </is>
      </c>
      <c r="E10969" t="n">
        <v>24.53</v>
      </c>
      <c r="F10969" t="n">
        <v>1</v>
      </c>
      <c r="G10969" t="n">
        <v>8</v>
      </c>
      <c r="H10969" s="5">
        <f>HYPERLINK("https://api.qogita.com/variants/link/3666057030994/", "View Product")</f>
        <v/>
      </c>
    </row>
    <row r="10970">
      <c r="A10970" t="inlineStr">
        <is>
          <t>3666057031076</t>
        </is>
      </c>
      <c r="B10970" t="inlineStr">
        <is>
          <t>Clarins Tonic Treatment Oil 100ml</t>
        </is>
      </c>
      <c r="C10970" t="inlineStr">
        <is>
          <t>Body Oil</t>
        </is>
      </c>
      <c r="D10970" t="inlineStr">
        <is>
          <t>Clarins</t>
        </is>
      </c>
      <c r="E10970" t="n">
        <v>37.92</v>
      </c>
      <c r="F10970" t="n">
        <v>1</v>
      </c>
      <c r="G10970" t="n">
        <v>32</v>
      </c>
      <c r="H10970" s="5">
        <f>HYPERLINK("https://api.qogita.com/variants/link/3666057031076/", "View Product")</f>
        <v/>
      </c>
    </row>
    <row r="10971">
      <c r="A10971" t="inlineStr">
        <is>
          <t>3666057031380</t>
        </is>
      </c>
      <c r="B10971" t="inlineStr">
        <is>
          <t>Clarins Tonic Sugar Polisher 250g With Essential Oils</t>
        </is>
      </c>
      <c r="C10971" t="inlineStr">
        <is>
          <t>Body Care Sets</t>
        </is>
      </c>
      <c r="D10971" t="inlineStr">
        <is>
          <t>Clarins</t>
        </is>
      </c>
      <c r="E10971" t="n">
        <v>30.6</v>
      </c>
      <c r="F10971" t="n">
        <v>1</v>
      </c>
      <c r="G10971" t="n">
        <v>3</v>
      </c>
      <c r="H10971" s="5">
        <f>HYPERLINK("https://api.qogita.com/variants/link/3666057031380/", "View Product")</f>
        <v/>
      </c>
    </row>
    <row r="10972">
      <c r="A10972" t="inlineStr">
        <is>
          <t>3666057031663</t>
        </is>
      </c>
      <c r="B10972" t="inlineStr">
        <is>
          <t>Clarins Bb Skin Detox Fluid Spf 25 Light 45ml</t>
        </is>
      </c>
      <c r="C10972" t="inlineStr">
        <is>
          <t>Tinted Day Cream</t>
        </is>
      </c>
      <c r="D10972" t="inlineStr">
        <is>
          <t>Clarins</t>
        </is>
      </c>
      <c r="E10972" t="n">
        <v>22.27</v>
      </c>
      <c r="F10972" t="n">
        <v>1</v>
      </c>
      <c r="G10972" t="n">
        <v>2</v>
      </c>
      <c r="H10972" s="5">
        <f>HYPERLINK("https://api.qogita.com/variants/link/3666057031663/", "View Product")</f>
        <v/>
      </c>
    </row>
    <row r="10973">
      <c r="A10973" t="inlineStr">
        <is>
          <t>3666057061578</t>
        </is>
      </c>
      <c r="B10973" t="inlineStr">
        <is>
          <t>Clarins Beauty Flash Balm Duo Set Gift Set</t>
        </is>
      </c>
      <c r="C10973" t="inlineStr">
        <is>
          <t>Face</t>
        </is>
      </c>
      <c r="D10973" t="inlineStr">
        <is>
          <t>Clarins</t>
        </is>
      </c>
      <c r="E10973" t="n">
        <v>62.25</v>
      </c>
      <c r="F10973" t="n">
        <v>1</v>
      </c>
      <c r="G10973" t="n">
        <v>15</v>
      </c>
      <c r="H10973" s="5">
        <f>HYPERLINK("https://api.qogita.com/variants/link/3666057061578/", "View Product")</f>
        <v/>
      </c>
    </row>
    <row r="10974">
      <c r="A10974" t="inlineStr">
        <is>
          <t>3666057064555</t>
        </is>
      </c>
      <c r="B10974" t="inlineStr">
        <is>
          <t>Clarins Super Restorative Night Cream 50ml For Mature And Very Dry Skin</t>
        </is>
      </c>
      <c r="C10974" t="inlineStr">
        <is>
          <t>Night Cream</t>
        </is>
      </c>
      <c r="D10974" t="inlineStr">
        <is>
          <t>Clarins</t>
        </is>
      </c>
      <c r="E10974" t="n">
        <v>58.62</v>
      </c>
      <c r="F10974" t="n">
        <v>1</v>
      </c>
      <c r="G10974" t="n">
        <v>5</v>
      </c>
      <c r="H10974" s="5">
        <f>HYPERLINK("https://api.qogita.com/variants/link/3666057064555/", "View Product")</f>
        <v/>
      </c>
    </row>
    <row r="10975">
      <c r="A10975" t="inlineStr">
        <is>
          <t>3666057098017</t>
        </is>
      </c>
      <c r="B10975" t="inlineStr">
        <is>
          <t>Clarins Hydraessentiel Silky Cream Spf 15 50ml Moisturizing Face Cream</t>
        </is>
      </c>
      <c r="C10975" t="inlineStr">
        <is>
          <t>Day Cream</t>
        </is>
      </c>
      <c r="D10975" t="inlineStr">
        <is>
          <t>Clarins</t>
        </is>
      </c>
      <c r="E10975" t="n">
        <v>27.36</v>
      </c>
      <c r="F10975" t="n">
        <v>1</v>
      </c>
      <c r="G10975" t="n">
        <v>5</v>
      </c>
      <c r="H10975" s="5">
        <f>HYPERLINK("https://api.qogita.com/variants/link/3666057098017/", "View Product")</f>
        <v/>
      </c>
    </row>
    <row r="10976">
      <c r="A10976" t="inlineStr">
        <is>
          <t>3666057108594</t>
        </is>
      </c>
      <c r="B10976" t="inlineStr">
        <is>
          <t>Clarins Multiintensive Super Restorative Balm For Abdomen And Waist 200ml</t>
        </is>
      </c>
      <c r="C10976" t="inlineStr">
        <is>
          <t>Anti-Stretch Mark Cream</t>
        </is>
      </c>
      <c r="D10976" t="inlineStr">
        <is>
          <t>Clarins</t>
        </is>
      </c>
      <c r="E10976" t="n">
        <v>42.05</v>
      </c>
      <c r="F10976" t="n">
        <v>1</v>
      </c>
      <c r="G10976" t="n">
        <v>3</v>
      </c>
      <c r="H10976" s="5">
        <f>HYPERLINK("https://api.qogita.com/variants/link/3666057108594/", "View Product")</f>
        <v/>
      </c>
    </row>
    <row r="10977">
      <c r="A10977" t="inlineStr">
        <is>
          <t>3666057117015</t>
        </is>
      </c>
      <c r="B10977" t="inlineStr">
        <is>
          <t>Clarins Joli Rouge Lipstick 768 Strawberry 35g</t>
        </is>
      </c>
      <c r="C10977" t="inlineStr">
        <is>
          <t>Lipstick</t>
        </is>
      </c>
      <c r="D10977" t="inlineStr">
        <is>
          <t>Clarins</t>
        </is>
      </c>
      <c r="E10977" t="n">
        <v>19.41</v>
      </c>
      <c r="F10977" t="n">
        <v>1</v>
      </c>
      <c r="G10977" t="n">
        <v>5</v>
      </c>
      <c r="H10977" s="5">
        <f>HYPERLINK("https://api.qogita.com/variants/link/3666057117015/", "View Product")</f>
        <v/>
      </c>
    </row>
    <row r="10978">
      <c r="A10978" t="inlineStr">
        <is>
          <t>3666057117022</t>
        </is>
      </c>
      <c r="B10978" t="inlineStr">
        <is>
          <t>Clarins Joli Rouge Lipstick 769 Burgundy Lily 35g</t>
        </is>
      </c>
      <c r="C10978" t="inlineStr">
        <is>
          <t>Lipstick</t>
        </is>
      </c>
      <c r="D10978" t="inlineStr">
        <is>
          <t>Clarins</t>
        </is>
      </c>
      <c r="E10978" t="n">
        <v>19.41</v>
      </c>
      <c r="F10978" t="n">
        <v>1</v>
      </c>
      <c r="G10978" t="n">
        <v>5</v>
      </c>
      <c r="H10978" s="5">
        <f>HYPERLINK("https://api.qogita.com/variants/link/3666057117022/", "View Product")</f>
        <v/>
      </c>
    </row>
    <row r="10979">
      <c r="A10979" t="inlineStr">
        <is>
          <t>3666057117114</t>
        </is>
      </c>
      <c r="B10979" t="inlineStr">
        <is>
          <t>Clarins Joli Rouge 732 Grenadine Lipstick 35 G</t>
        </is>
      </c>
      <c r="C10979" t="inlineStr">
        <is>
          <t>Lipstick</t>
        </is>
      </c>
      <c r="D10979" t="inlineStr">
        <is>
          <t>Clarins</t>
        </is>
      </c>
      <c r="E10979" t="n">
        <v>18.93</v>
      </c>
      <c r="F10979" t="n">
        <v>1</v>
      </c>
      <c r="G10979" t="n">
        <v>4</v>
      </c>
      <c r="H10979" s="5">
        <f>HYPERLINK("https://api.qogita.com/variants/link/3666057117114/", "View Product")</f>
        <v/>
      </c>
    </row>
    <row r="10980">
      <c r="A10980" t="inlineStr">
        <is>
          <t>3666057117220</t>
        </is>
      </c>
      <c r="B10980" t="inlineStr">
        <is>
          <t>Clarins Joli Rouge Shine Lipstick 742s 35g Glossy Lipstick</t>
        </is>
      </c>
      <c r="C10980" t="inlineStr">
        <is>
          <t>Lipstick</t>
        </is>
      </c>
      <c r="D10980" t="inlineStr">
        <is>
          <t>Clarins</t>
        </is>
      </c>
      <c r="E10980" t="n">
        <v>17.86</v>
      </c>
      <c r="F10980" t="n">
        <v>1</v>
      </c>
      <c r="G10980" t="n">
        <v>8</v>
      </c>
      <c r="H10980" s="5">
        <f>HYPERLINK("https://api.qogita.com/variants/link/3666057117220/", "View Product")</f>
        <v/>
      </c>
    </row>
    <row r="10981">
      <c r="A10981" t="inlineStr">
        <is>
          <t>3666057117329</t>
        </is>
      </c>
      <c r="B10981" t="inlineStr">
        <is>
          <t>Clarins Joli Rouge Shine Lipstick 35 G In Shade 706s Fig</t>
        </is>
      </c>
      <c r="C10981" t="inlineStr">
        <is>
          <t>Lipstick</t>
        </is>
      </c>
      <c r="D10981" t="inlineStr">
        <is>
          <t>Clarins</t>
        </is>
      </c>
      <c r="E10981" t="n">
        <v>17.94</v>
      </c>
      <c r="F10981" t="n">
        <v>1</v>
      </c>
      <c r="G10981" t="n">
        <v>5</v>
      </c>
      <c r="H10981" s="5">
        <f>HYPERLINK("https://api.qogita.com/variants/link/3666057117329/", "View Product")</f>
        <v/>
      </c>
    </row>
    <row r="10982">
      <c r="A10982" t="inlineStr">
        <is>
          <t>3666057117343</t>
        </is>
      </c>
      <c r="B10982" t="inlineStr">
        <is>
          <t>Clarins Joli Rouge Shine 757s Nude Brick Glossy Lipstick 35 G</t>
        </is>
      </c>
      <c r="C10982" t="inlineStr">
        <is>
          <t>Lipstick</t>
        </is>
      </c>
      <c r="D10982" t="inlineStr">
        <is>
          <t>Clarins</t>
        </is>
      </c>
      <c r="E10982" t="n">
        <v>19.12</v>
      </c>
      <c r="F10982" t="n">
        <v>1</v>
      </c>
      <c r="G10982" t="n">
        <v>5</v>
      </c>
      <c r="H10982" s="5">
        <f>HYPERLINK("https://api.qogita.com/variants/link/3666057117343/", "View Product")</f>
        <v/>
      </c>
    </row>
    <row r="10983">
      <c r="A10983" t="inlineStr">
        <is>
          <t>3666057125669</t>
        </is>
      </c>
      <c r="B10983" t="inlineStr">
        <is>
          <t>Clarins One-Step Gentle Exfoliating Cleanser with Orange Extract 125ml</t>
        </is>
      </c>
      <c r="C10983" t="inlineStr">
        <is>
          <t>Facial Scrub &amp; Peeling</t>
        </is>
      </c>
      <c r="D10983" t="inlineStr">
        <is>
          <t>Clarins</t>
        </is>
      </c>
      <c r="E10983" t="n">
        <v>19.31</v>
      </c>
      <c r="F10983" t="n">
        <v>1</v>
      </c>
      <c r="G10983" t="n">
        <v>5</v>
      </c>
      <c r="H10983" s="5">
        <f>HYPERLINK("https://api.qogita.com/variants/link/3666057125669/", "View Product")</f>
        <v/>
      </c>
    </row>
    <row r="10984">
      <c r="A10984" t="inlineStr">
        <is>
          <t>3666057130823</t>
        </is>
      </c>
      <c r="B10984" t="inlineStr">
        <is>
          <t>Clarins Set Of Moisturizing Hand Creams Super Hydrating Hand Cream 8 X 30 Ml</t>
        </is>
      </c>
      <c r="C10984" t="inlineStr">
        <is>
          <t>Hand Care Sets</t>
        </is>
      </c>
      <c r="D10984" t="inlineStr">
        <is>
          <t>Clarins</t>
        </is>
      </c>
      <c r="E10984" t="n">
        <v>41.33</v>
      </c>
      <c r="F10984" t="n">
        <v>1</v>
      </c>
      <c r="G10984" t="n">
        <v>12</v>
      </c>
      <c r="H10984" s="5">
        <f>HYPERLINK("https://api.qogita.com/variants/link/3666057130823/", "View Product")</f>
        <v/>
      </c>
    </row>
    <row r="10985">
      <c r="A10985" t="inlineStr">
        <is>
          <t>3666057133442</t>
        </is>
      </c>
      <c r="B10985" t="inlineStr">
        <is>
          <t>Clarins Sos Primer 00 White 30ml</t>
        </is>
      </c>
      <c r="C10985" t="inlineStr">
        <is>
          <t>Face Cream</t>
        </is>
      </c>
      <c r="D10985" t="inlineStr">
        <is>
          <t>Clarins</t>
        </is>
      </c>
      <c r="E10985" t="n">
        <v>22.97</v>
      </c>
      <c r="F10985" t="n">
        <v>1</v>
      </c>
      <c r="G10985" t="n">
        <v>3</v>
      </c>
      <c r="H10985" s="5">
        <f>HYPERLINK("https://api.qogita.com/variants/link/3666057133442/", "View Product")</f>
        <v/>
      </c>
    </row>
    <row r="10986">
      <c r="A10986" t="inlineStr">
        <is>
          <t>3666057133473</t>
        </is>
      </c>
      <c r="B10986" t="inlineStr">
        <is>
          <t>Clarins Sos Primer Green 30ml</t>
        </is>
      </c>
      <c r="C10986" t="inlineStr">
        <is>
          <t>Face Cream</t>
        </is>
      </c>
      <c r="D10986" t="inlineStr">
        <is>
          <t>Clarins</t>
        </is>
      </c>
      <c r="E10986" t="n">
        <v>22.97</v>
      </c>
      <c r="F10986" t="n">
        <v>1</v>
      </c>
      <c r="G10986" t="n">
        <v>8</v>
      </c>
      <c r="H10986" s="5">
        <f>HYPERLINK("https://api.qogita.com/variants/link/3666057133473/", "View Product")</f>
        <v/>
      </c>
    </row>
    <row r="10987">
      <c r="A10987" t="inlineStr">
        <is>
          <t>3666057159343</t>
        </is>
      </c>
      <c r="B10987" t="inlineStr">
        <is>
          <t>Clarins Glow Lip Perfector 12 Ml</t>
        </is>
      </c>
      <c r="C10987" t="inlineStr">
        <is>
          <t>Lip Gloss</t>
        </is>
      </c>
      <c r="D10987" t="inlineStr">
        <is>
          <t>Clarins</t>
        </is>
      </c>
      <c r="E10987" t="n">
        <v>14.75</v>
      </c>
      <c r="F10987" t="n">
        <v>1</v>
      </c>
      <c r="G10987" t="n">
        <v>5</v>
      </c>
      <c r="H10987" s="5">
        <f>HYPERLINK("https://api.qogita.com/variants/link/3666057159343/", "View Product")</f>
        <v/>
      </c>
    </row>
    <row r="10988">
      <c r="A10988" t="inlineStr">
        <is>
          <t>3666057159350</t>
        </is>
      </c>
      <c r="B10988" t="inlineStr">
        <is>
          <t>Clarins Glow Lip Perfector Fuchsia Glow 12 Ml</t>
        </is>
      </c>
      <c r="C10988" t="inlineStr">
        <is>
          <t>Lip Gloss</t>
        </is>
      </c>
      <c r="D10988" t="inlineStr">
        <is>
          <t>Clarins</t>
        </is>
      </c>
      <c r="E10988" t="n">
        <v>14.71</v>
      </c>
      <c r="F10988" t="n">
        <v>1</v>
      </c>
      <c r="G10988" t="n">
        <v>6</v>
      </c>
      <c r="H10988" s="5">
        <f>HYPERLINK("https://api.qogita.com/variants/link/3666057159350/", "View Product")</f>
        <v/>
      </c>
    </row>
    <row r="10989">
      <c r="A10989" t="inlineStr">
        <is>
          <t>3666057161551</t>
        </is>
      </c>
      <c r="B10989" t="inlineStr">
        <is>
          <t>Clarins Tinted Oleoserum 04 30ml</t>
        </is>
      </c>
      <c r="C10989" t="inlineStr">
        <is>
          <t>Glow Serum</t>
        </is>
      </c>
      <c r="D10989" t="inlineStr">
        <is>
          <t>Clarins</t>
        </is>
      </c>
      <c r="E10989" t="n">
        <v>26.34</v>
      </c>
      <c r="F10989" t="n">
        <v>1</v>
      </c>
      <c r="G10989" t="n">
        <v>12</v>
      </c>
      <c r="H10989" s="5">
        <f>HYPERLINK("https://api.qogita.com/variants/link/3666057161551/", "View Product")</f>
        <v/>
      </c>
    </row>
    <row r="10990">
      <c r="A10990" t="inlineStr">
        <is>
          <t>3666057161568</t>
        </is>
      </c>
      <c r="B10990" t="inlineStr">
        <is>
          <t>Clarins Tinted Oleoserum No 05 30ml</t>
        </is>
      </c>
      <c r="C10990" t="inlineStr">
        <is>
          <t>Glow Serum</t>
        </is>
      </c>
      <c r="D10990" t="inlineStr">
        <is>
          <t>Clarins</t>
        </is>
      </c>
      <c r="E10990" t="n">
        <v>26.83</v>
      </c>
      <c r="F10990" t="n">
        <v>1</v>
      </c>
      <c r="G10990" t="n">
        <v>23</v>
      </c>
      <c r="H10990" s="5">
        <f>HYPERLINK("https://api.qogita.com/variants/link/3666057161568/", "View Product")</f>
        <v/>
      </c>
    </row>
    <row r="10991">
      <c r="A10991" t="inlineStr">
        <is>
          <t>3666057161575</t>
        </is>
      </c>
      <c r="B10991" t="inlineStr">
        <is>
          <t>Clarins Tinted Oleoserum No 06 30 Ml</t>
        </is>
      </c>
      <c r="C10991" t="inlineStr">
        <is>
          <t>Glow Serum</t>
        </is>
      </c>
      <c r="D10991" t="inlineStr">
        <is>
          <t>Clarins</t>
        </is>
      </c>
      <c r="E10991" t="n">
        <v>26.78</v>
      </c>
      <c r="F10991" t="n">
        <v>1</v>
      </c>
      <c r="G10991" t="n">
        <v>8</v>
      </c>
      <c r="H10991" s="5">
        <f>HYPERLINK("https://api.qogita.com/variants/link/3666057161575/", "View Product")</f>
        <v/>
      </c>
    </row>
    <row r="10992">
      <c r="A10992" t="inlineStr">
        <is>
          <t>3666057162978</t>
        </is>
      </c>
      <c r="B10992" t="inlineStr">
        <is>
          <t>Clarins Joli Rouge Velvet Matte Lipstick 35 G 782v Bell Pepper</t>
        </is>
      </c>
      <c r="C10992" t="inlineStr">
        <is>
          <t>Lipstick</t>
        </is>
      </c>
      <c r="D10992" t="inlineStr">
        <is>
          <t>Clarins</t>
        </is>
      </c>
      <c r="E10992" t="n">
        <v>17.94</v>
      </c>
      <c r="F10992" t="n">
        <v>1</v>
      </c>
      <c r="G10992" t="n">
        <v>6</v>
      </c>
      <c r="H10992" s="5">
        <f>HYPERLINK("https://api.qogita.com/variants/link/3666057162978/", "View Product")</f>
        <v/>
      </c>
    </row>
    <row r="10993">
      <c r="A10993" t="inlineStr">
        <is>
          <t>3666057162985</t>
        </is>
      </c>
      <c r="B10993" t="inlineStr">
        <is>
          <t>Clarins Joli Rouge Velvet Matte Lipstick 705v Soft Berry 35 G</t>
        </is>
      </c>
      <c r="C10993" t="inlineStr">
        <is>
          <t>Lipstick</t>
        </is>
      </c>
      <c r="D10993" t="inlineStr">
        <is>
          <t>Clarins</t>
        </is>
      </c>
      <c r="E10993" t="n">
        <v>17.62</v>
      </c>
      <c r="F10993" t="n">
        <v>1</v>
      </c>
      <c r="G10993" t="n">
        <v>9</v>
      </c>
      <c r="H10993" s="5">
        <f>HYPERLINK("https://api.qogita.com/variants/link/3666057162985/", "View Product")</f>
        <v/>
      </c>
    </row>
    <row r="10994">
      <c r="A10994" t="inlineStr">
        <is>
          <t>3666057163005</t>
        </is>
      </c>
      <c r="B10994" t="inlineStr">
        <is>
          <t>Clarins Joli Rouge Velvet Matte Lipstick 35 G 732v Grenadine</t>
        </is>
      </c>
      <c r="C10994" t="inlineStr">
        <is>
          <t>Lipstick</t>
        </is>
      </c>
      <c r="D10994" t="inlineStr">
        <is>
          <t>Clarins</t>
        </is>
      </c>
      <c r="E10994" t="n">
        <v>16.29</v>
      </c>
      <c r="F10994" t="n">
        <v>1</v>
      </c>
      <c r="G10994" t="n">
        <v>6</v>
      </c>
      <c r="H10994" s="5">
        <f>HYPERLINK("https://api.qogita.com/variants/link/3666057163005/", "View Product")</f>
        <v/>
      </c>
    </row>
    <row r="10995">
      <c r="A10995" t="inlineStr">
        <is>
          <t>3666057163043</t>
        </is>
      </c>
      <c r="B10995" t="inlineStr">
        <is>
          <t>Clarins Joli Rouge Velvet Matte Lipstick 783 Almond Nude 35 G</t>
        </is>
      </c>
      <c r="C10995" t="inlineStr">
        <is>
          <t>Lipstick</t>
        </is>
      </c>
      <c r="D10995" t="inlineStr">
        <is>
          <t>Clarins</t>
        </is>
      </c>
      <c r="E10995" t="n">
        <v>17.94</v>
      </c>
      <c r="F10995" t="n">
        <v>1</v>
      </c>
      <c r="G10995" t="n">
        <v>5</v>
      </c>
      <c r="H10995" s="5">
        <f>HYPERLINK("https://api.qogita.com/variants/link/3666057163043/", "View Product")</f>
        <v/>
      </c>
    </row>
    <row r="10996">
      <c r="A10996" t="inlineStr">
        <is>
          <t>3666057165498</t>
        </is>
      </c>
      <c r="B10996" t="inlineStr">
        <is>
          <t>Clarins Wonder Volume Mascara Xxl 8 Ml Black</t>
        </is>
      </c>
      <c r="C10996" t="inlineStr">
        <is>
          <t>Mascara</t>
        </is>
      </c>
      <c r="D10996" t="inlineStr">
        <is>
          <t>Clarins</t>
        </is>
      </c>
      <c r="E10996" t="n">
        <v>18.64</v>
      </c>
      <c r="F10996" t="n">
        <v>1</v>
      </c>
      <c r="G10996" t="n">
        <v>2</v>
      </c>
      <c r="H10996" s="5">
        <f>HYPERLINK("https://api.qogita.com/variants/link/3666057165498/", "View Product")</f>
        <v/>
      </c>
    </row>
    <row r="10997">
      <c r="A10997" t="inlineStr">
        <is>
          <t>3666057177620</t>
        </is>
      </c>
      <c r="B10997" t="inlineStr">
        <is>
          <t>Clarins Multiactive Day Cream Spf 15 50ml</t>
        </is>
      </c>
      <c r="C10997" t="inlineStr">
        <is>
          <t>Day Cream</t>
        </is>
      </c>
      <c r="D10997" t="inlineStr">
        <is>
          <t>Clarins</t>
        </is>
      </c>
      <c r="E10997" t="n">
        <v>34.7</v>
      </c>
      <c r="F10997" t="n">
        <v>1</v>
      </c>
      <c r="G10997" t="n">
        <v>4</v>
      </c>
      <c r="H10997" s="5">
        <f>HYPERLINK("https://api.qogita.com/variants/link/3666057177620/", "View Product")</f>
        <v/>
      </c>
    </row>
    <row r="10998">
      <c r="A10998" t="inlineStr">
        <is>
          <t>3666057177644</t>
        </is>
      </c>
      <c r="B10998" t="inlineStr">
        <is>
          <t>Clarins Multiactive Linesmoothing Emulsion 100ml</t>
        </is>
      </c>
      <c r="C10998" t="inlineStr">
        <is>
          <t>Anti-Aging Facial Care</t>
        </is>
      </c>
      <c r="D10998" t="inlineStr">
        <is>
          <t>Clarins</t>
        </is>
      </c>
      <c r="E10998" t="n">
        <v>34.71</v>
      </c>
      <c r="F10998" t="n">
        <v>1</v>
      </c>
      <c r="G10998" t="n">
        <v>5</v>
      </c>
      <c r="H10998" s="5">
        <f>HYPERLINK("https://api.qogita.com/variants/link/3666057177644/", "View Product")</f>
        <v/>
      </c>
    </row>
    <row r="10999">
      <c r="A10999" t="inlineStr">
        <is>
          <t>3666057178870</t>
        </is>
      </c>
      <c r="B10999" t="inlineStr">
        <is>
          <t>Clarins Eau Extraordinaire Revitalizing Silky Body Cream 200ml</t>
        </is>
      </c>
      <c r="C10999" t="inlineStr">
        <is>
          <t>Body Butter</t>
        </is>
      </c>
      <c r="D10999" t="inlineStr">
        <is>
          <t>Clarins</t>
        </is>
      </c>
      <c r="E10999" t="n">
        <v>24.18</v>
      </c>
      <c r="F10999" t="n">
        <v>1</v>
      </c>
      <c r="G10999" t="n">
        <v>22</v>
      </c>
      <c r="H10999" s="5">
        <f>HYPERLINK("https://api.qogita.com/variants/link/3666057178870/", "View Product")</f>
        <v/>
      </c>
    </row>
    <row r="11000">
      <c r="A11000" t="inlineStr">
        <is>
          <t>3666057180590</t>
        </is>
      </c>
      <c r="B11000" t="inlineStr">
        <is>
          <t>Clarins Ever Matte Compact Powder 05 10g</t>
        </is>
      </c>
      <c r="C11000" t="inlineStr">
        <is>
          <t>Powder</t>
        </is>
      </c>
      <c r="D11000" t="inlineStr">
        <is>
          <t>Clarins</t>
        </is>
      </c>
      <c r="E11000" t="n">
        <v>23.33</v>
      </c>
      <c r="F11000" t="n">
        <v>1</v>
      </c>
      <c r="G11000" t="n">
        <v>23</v>
      </c>
      <c r="H11000" s="5">
        <f>HYPERLINK("https://api.qogita.com/variants/link/3666057180590/", "View Product")</f>
        <v/>
      </c>
    </row>
    <row r="11001">
      <c r="A11001" t="inlineStr">
        <is>
          <t>3666057196348</t>
        </is>
      </c>
      <c r="B11001" t="inlineStr">
        <is>
          <t>Clarins Moisture Rich Body Lotion With Shea Butter 200ml</t>
        </is>
      </c>
      <c r="C11001" t="inlineStr">
        <is>
          <t>Body Lotion</t>
        </is>
      </c>
      <c r="D11001" t="inlineStr">
        <is>
          <t>Clarins</t>
        </is>
      </c>
      <c r="E11001" t="n">
        <v>18.58</v>
      </c>
      <c r="F11001" t="n">
        <v>1</v>
      </c>
      <c r="G11001" t="n">
        <v>50</v>
      </c>
      <c r="H11001" s="5">
        <f>HYPERLINK("https://api.qogita.com/variants/link/3666057196348/", "View Product")</f>
        <v/>
      </c>
    </row>
    <row r="11002">
      <c r="A11002" t="inlineStr">
        <is>
          <t>3666057200069</t>
        </is>
      </c>
      <c r="B11002" t="inlineStr">
        <is>
          <t>Clarins Hydraessentiel Hydra Mask 75ml Hydrating And Restoring Cream Mask</t>
        </is>
      </c>
      <c r="C11002" t="inlineStr">
        <is>
          <t>Hydrating Mask</t>
        </is>
      </c>
      <c r="D11002" t="inlineStr">
        <is>
          <t>Clarins</t>
        </is>
      </c>
      <c r="E11002" t="n">
        <v>23.03</v>
      </c>
      <c r="F11002" t="n">
        <v>1</v>
      </c>
      <c r="G11002" t="n">
        <v>41</v>
      </c>
      <c r="H11002" s="5">
        <f>HYPERLINK("https://api.qogita.com/variants/link/3666057200069/", "View Product")</f>
        <v/>
      </c>
    </row>
    <row r="11003">
      <c r="A11003" t="inlineStr">
        <is>
          <t>3666057201172</t>
        </is>
      </c>
      <c r="B11003" t="inlineStr">
        <is>
          <t>Clarins Body Fit Active 400ml</t>
        </is>
      </c>
      <c r="C11003" t="inlineStr">
        <is>
          <t>Anti-Cellulite</t>
        </is>
      </c>
      <c r="D11003" t="inlineStr">
        <is>
          <t>Clarins</t>
        </is>
      </c>
      <c r="E11003" t="n">
        <v>44.34</v>
      </c>
      <c r="F11003" t="n">
        <v>1</v>
      </c>
      <c r="G11003" t="n">
        <v>3</v>
      </c>
      <c r="H11003" s="5">
        <f>HYPERLINK("https://api.qogita.com/variants/link/3666057201172/", "View Product")</f>
        <v/>
      </c>
    </row>
    <row r="11004">
      <c r="A11004" t="inlineStr">
        <is>
          <t>3666057202506</t>
        </is>
      </c>
      <c r="B11004" t="inlineStr">
        <is>
          <t>Clarins Double Serum 75ml Complete Age Defying Concentrate</t>
        </is>
      </c>
      <c r="C11004" t="inlineStr">
        <is>
          <t>Anti-Aging Serum</t>
        </is>
      </c>
      <c r="D11004" t="inlineStr">
        <is>
          <t>Clarins</t>
        </is>
      </c>
      <c r="E11004" t="n">
        <v>97.88</v>
      </c>
      <c r="F11004" t="n">
        <v>1</v>
      </c>
      <c r="G11004" t="n">
        <v>33</v>
      </c>
      <c r="H11004" s="5">
        <f>HYPERLINK("https://api.qogita.com/variants/link/3666057202506/", "View Product")</f>
        <v/>
      </c>
    </row>
    <row r="11005">
      <c r="A11005" t="inlineStr">
        <is>
          <t>3666057210068</t>
        </is>
      </c>
      <c r="B11005" t="inlineStr">
        <is>
          <t>CLARINS Double Serum 50ml</t>
        </is>
      </c>
      <c r="C11005" t="inlineStr">
        <is>
          <t>Anti-Aging Serum</t>
        </is>
      </c>
      <c r="D11005" t="inlineStr">
        <is>
          <t>Clarins</t>
        </is>
      </c>
      <c r="E11005" t="n">
        <v>96.87</v>
      </c>
      <c r="F11005" t="n">
        <v>1</v>
      </c>
      <c r="G11005" t="n">
        <v>6</v>
      </c>
      <c r="H11005" s="5">
        <f>HYPERLINK("https://api.qogita.com/variants/link/3666057210068/", "View Product")</f>
        <v/>
      </c>
    </row>
    <row r="11006">
      <c r="A11006" t="inlineStr">
        <is>
          <t>3666057216718</t>
        </is>
      </c>
      <c r="B11006" t="inlineStr">
        <is>
          <t>Clarins Purifying Toning Lotion 200ml</t>
        </is>
      </c>
      <c r="C11006" t="inlineStr">
        <is>
          <t>Facial Spray</t>
        </is>
      </c>
      <c r="D11006" t="inlineStr">
        <is>
          <t>Clarins</t>
        </is>
      </c>
      <c r="E11006" t="n">
        <v>15.11</v>
      </c>
      <c r="F11006" t="n">
        <v>1</v>
      </c>
      <c r="G11006" t="n">
        <v>3</v>
      </c>
      <c r="H11006" s="5">
        <f>HYPERLINK("https://api.qogita.com/variants/link/3666057216718/", "View Product")</f>
        <v/>
      </c>
    </row>
    <row r="11007">
      <c r="A11007" t="inlineStr">
        <is>
          <t>3666057216725</t>
        </is>
      </c>
      <c r="B11007" t="inlineStr">
        <is>
          <t>Clarins Soothing Toning Lotion 200ml</t>
        </is>
      </c>
      <c r="C11007" t="inlineStr">
        <is>
          <t>Facial Spray</t>
        </is>
      </c>
      <c r="D11007" t="inlineStr">
        <is>
          <t>Clarins</t>
        </is>
      </c>
      <c r="E11007" t="n">
        <v>14.52</v>
      </c>
      <c r="F11007" t="n">
        <v>1</v>
      </c>
      <c r="G11007" t="n">
        <v>28</v>
      </c>
      <c r="H11007" s="5">
        <f>HYPERLINK("https://api.qogita.com/variants/link/3666057216725/", "View Product")</f>
        <v/>
      </c>
    </row>
    <row r="11008">
      <c r="A11008" t="inlineStr">
        <is>
          <t>3666057217364</t>
        </is>
      </c>
      <c r="B11008" t="inlineStr">
        <is>
          <t>Clarins Sun Spray Lotion Very High Protection Spf 50 Body 150ml</t>
        </is>
      </c>
      <c r="C11008" t="inlineStr">
        <is>
          <t>Body Sun Protection</t>
        </is>
      </c>
      <c r="D11008" t="inlineStr">
        <is>
          <t>Clarins</t>
        </is>
      </c>
      <c r="E11008" t="n">
        <v>20.79</v>
      </c>
      <c r="F11008" t="n">
        <v>1</v>
      </c>
      <c r="G11008" t="n">
        <v>15</v>
      </c>
      <c r="H11008" s="5">
        <f>HYPERLINK("https://api.qogita.com/variants/link/3666057217364/", "View Product")</f>
        <v/>
      </c>
    </row>
    <row r="11009">
      <c r="A11009" t="inlineStr">
        <is>
          <t>3666057227257</t>
        </is>
      </c>
      <c r="B11009" t="inlineStr">
        <is>
          <t>Clarins Rose Radiance Multiintensive 50ml A Rejuvenating Cream For A Rosy Glow</t>
        </is>
      </c>
      <c r="C11009" t="inlineStr">
        <is>
          <t>Day Cream</t>
        </is>
      </c>
      <c r="D11009" t="inlineStr">
        <is>
          <t>Clarins</t>
        </is>
      </c>
      <c r="E11009" t="n">
        <v>53.63</v>
      </c>
      <c r="F11009" t="n">
        <v>1</v>
      </c>
      <c r="G11009" t="n">
        <v>2</v>
      </c>
      <c r="H11009" s="5">
        <f>HYPERLINK("https://api.qogita.com/variants/link/3666057227257/", "View Product")</f>
        <v/>
      </c>
    </row>
    <row r="11010">
      <c r="A11010" t="inlineStr">
        <is>
          <t>3666057235221</t>
        </is>
      </c>
      <c r="B11010" t="inlineStr">
        <is>
          <t>Clarins Precious Oil Serum For Oily Skin - 30 Ml</t>
        </is>
      </c>
      <c r="C11010" t="inlineStr">
        <is>
          <t>Hydrating Serum</t>
        </is>
      </c>
      <c r="D11010" t="inlineStr">
        <is>
          <t>Clarins</t>
        </is>
      </c>
      <c r="E11010" t="n">
        <v>226.56</v>
      </c>
      <c r="F11010" t="n">
        <v>1</v>
      </c>
      <c r="G11010" t="n">
        <v>29</v>
      </c>
      <c r="H11010" s="5">
        <f>HYPERLINK("https://api.qogita.com/variants/link/3666057235221/", "View Product")</f>
        <v/>
      </c>
    </row>
    <row r="11011">
      <c r="A11011" t="inlineStr">
        <is>
          <t>3666057237126</t>
        </is>
      </c>
      <c r="B11011" t="inlineStr">
        <is>
          <t>Clarins Lip Oil Balm 01 Pale Pink 29g</t>
        </is>
      </c>
      <c r="C11011" t="inlineStr">
        <is>
          <t>Lip Balm</t>
        </is>
      </c>
      <c r="D11011" t="inlineStr">
        <is>
          <t>Clarins</t>
        </is>
      </c>
      <c r="E11011" t="n">
        <v>20.17</v>
      </c>
      <c r="F11011" t="n">
        <v>1</v>
      </c>
      <c r="G11011" t="n">
        <v>14</v>
      </c>
      <c r="H11011" s="5">
        <f>HYPERLINK("https://api.qogita.com/variants/link/3666057237126/", "View Product")</f>
        <v/>
      </c>
    </row>
    <row r="11012">
      <c r="A11012" t="inlineStr">
        <is>
          <t>3666057241406</t>
        </is>
      </c>
      <c r="B11012" t="inlineStr">
        <is>
          <t>Clarins Skin Illusion Full Coverage 30ml 108W</t>
        </is>
      </c>
      <c r="C11012" t="inlineStr">
        <is>
          <t>Tinted Day Cream</t>
        </is>
      </c>
      <c r="D11012" t="inlineStr">
        <is>
          <t>Clarins</t>
        </is>
      </c>
      <c r="E11012" t="n">
        <v>39.94</v>
      </c>
      <c r="F11012" t="n">
        <v>1</v>
      </c>
      <c r="G11012" t="n">
        <v>5</v>
      </c>
      <c r="H11012" s="5">
        <f>HYPERLINK("https://api.qogita.com/variants/link/3666057241406/", "View Product")</f>
        <v/>
      </c>
    </row>
    <row r="11013">
      <c r="A11013" t="inlineStr">
        <is>
          <t>3666057241420</t>
        </is>
      </c>
      <c r="B11013" t="inlineStr">
        <is>
          <t>Clarins Skin Illusion Full Coverage Foundation 30ml Shade 1085w</t>
        </is>
      </c>
      <c r="C11013" t="inlineStr">
        <is>
          <t>Foundation</t>
        </is>
      </c>
      <c r="D11013" t="inlineStr">
        <is>
          <t>Clarins</t>
        </is>
      </c>
      <c r="E11013" t="n">
        <v>39.94</v>
      </c>
      <c r="F11013" t="n">
        <v>1</v>
      </c>
      <c r="G11013" t="n">
        <v>5</v>
      </c>
      <c r="H11013" s="5">
        <f>HYPERLINK("https://api.qogita.com/variants/link/3666057241420/", "View Product")</f>
        <v/>
      </c>
    </row>
    <row r="11014">
      <c r="A11014" t="inlineStr">
        <is>
          <t>3666057241444</t>
        </is>
      </c>
      <c r="B11014" t="inlineStr">
        <is>
          <t>Clarins Skin Illusion Full Coverage Foundation 30ml 110n</t>
        </is>
      </c>
      <c r="C11014" t="inlineStr">
        <is>
          <t>Foundation</t>
        </is>
      </c>
      <c r="D11014" t="inlineStr">
        <is>
          <t>Clarins</t>
        </is>
      </c>
      <c r="E11014" t="n">
        <v>39.94</v>
      </c>
      <c r="F11014" t="n">
        <v>1</v>
      </c>
      <c r="G11014" t="n">
        <v>4</v>
      </c>
      <c r="H11014" s="5">
        <f>HYPERLINK("https://api.qogita.com/variants/link/3666057241444/", "View Product")</f>
        <v/>
      </c>
    </row>
    <row r="11015">
      <c r="A11015" t="inlineStr">
        <is>
          <t>3666057241529</t>
        </is>
      </c>
      <c r="B11015" t="inlineStr">
        <is>
          <t>Clarins Skin Illusion Full Coverage Hydrating Foundation 30 Ml Shade 114n</t>
        </is>
      </c>
      <c r="C11015" t="inlineStr">
        <is>
          <t>Foundation</t>
        </is>
      </c>
      <c r="D11015" t="inlineStr">
        <is>
          <t>Clarins</t>
        </is>
      </c>
      <c r="E11015" t="n">
        <v>39.94</v>
      </c>
      <c r="F11015" t="n">
        <v>1</v>
      </c>
      <c r="G11015" t="n">
        <v>4</v>
      </c>
      <c r="H11015" s="5">
        <f>HYPERLINK("https://api.qogita.com/variants/link/3666057241529/", "View Product")</f>
        <v/>
      </c>
    </row>
    <row r="11016">
      <c r="A11016" t="inlineStr">
        <is>
          <t>3666057246302</t>
        </is>
      </c>
      <c r="B11016" t="inlineStr">
        <is>
          <t>Clarins Eyebrow Pencil 01 Dark Brown 11 Grams</t>
        </is>
      </c>
      <c r="C11016" t="inlineStr">
        <is>
          <t>Eyebrow Pencil</t>
        </is>
      </c>
      <c r="D11016" t="inlineStr">
        <is>
          <t>Clarins</t>
        </is>
      </c>
      <c r="E11016" t="n">
        <v>13.25</v>
      </c>
      <c r="F11016" t="n">
        <v>1</v>
      </c>
      <c r="G11016" t="n">
        <v>24</v>
      </c>
      <c r="H11016" s="5">
        <f>HYPERLINK("https://api.qogita.com/variants/link/3666057246302/", "View Product")</f>
        <v/>
      </c>
    </row>
    <row r="11017">
      <c r="A11017" t="inlineStr">
        <is>
          <t>3666057247927</t>
        </is>
      </c>
      <c r="B11017" t="inlineStr">
        <is>
          <t>Clarins Joli Rouge Satin 786 Beige Nude Lipstick - 4 Grams</t>
        </is>
      </c>
      <c r="C11017" t="inlineStr">
        <is>
          <t>Lipstick</t>
        </is>
      </c>
      <c r="D11017" t="inlineStr">
        <is>
          <t>Clarins</t>
        </is>
      </c>
      <c r="E11017" t="n">
        <v>21.35</v>
      </c>
      <c r="F11017" t="n">
        <v>1</v>
      </c>
      <c r="G11017" t="n">
        <v>5</v>
      </c>
      <c r="H11017" s="5">
        <f>HYPERLINK("https://api.qogita.com/variants/link/3666057247927/", "View Product")</f>
        <v/>
      </c>
    </row>
    <row r="11018">
      <c r="A11018" t="inlineStr">
        <is>
          <t>3666057263828</t>
        </is>
      </c>
      <c r="B11018" t="inlineStr">
        <is>
          <t>Clarins Skin Tonic Precious La Lotion 150 Ml</t>
        </is>
      </c>
      <c r="C11018" t="inlineStr">
        <is>
          <t>Facial Spray</t>
        </is>
      </c>
      <c r="D11018" t="inlineStr">
        <is>
          <t>Clarins</t>
        </is>
      </c>
      <c r="E11018" t="n">
        <v>73.34999999999999</v>
      </c>
      <c r="F11018" t="n">
        <v>1</v>
      </c>
      <c r="G11018" t="n">
        <v>40</v>
      </c>
      <c r="H11018" s="5">
        <f>HYPERLINK("https://api.qogita.com/variants/link/3666057263828/", "View Product")</f>
        <v/>
      </c>
    </row>
    <row r="11019">
      <c r="A11019" t="inlineStr">
        <is>
          <t>3666057273612</t>
        </is>
      </c>
      <c r="B11019" t="inlineStr">
        <is>
          <t>Clarins Poreless Skin Perfecting Mask 50ml</t>
        </is>
      </c>
      <c r="C11019" t="inlineStr">
        <is>
          <t>Purifying Mask</t>
        </is>
      </c>
      <c r="D11019" t="inlineStr">
        <is>
          <t>Clarins</t>
        </is>
      </c>
      <c r="E11019" t="n">
        <v>18.03</v>
      </c>
      <c r="F11019" t="n">
        <v>1</v>
      </c>
      <c r="G11019" t="n">
        <v>6</v>
      </c>
      <c r="H11019" s="5">
        <f>HYPERLINK("https://api.qogita.com/variants/link/3666057273612/", "View Product")</f>
        <v/>
      </c>
    </row>
    <row r="11020">
      <c r="A11020" t="inlineStr">
        <is>
          <t>3666057288197</t>
        </is>
      </c>
      <c r="B11020" t="inlineStr">
        <is>
          <t>Clarins Sole Stick Invisible Spf 50</t>
        </is>
      </c>
      <c r="C11020" t="inlineStr">
        <is>
          <t>Face Sun Protection</t>
        </is>
      </c>
      <c r="D11020" t="inlineStr">
        <is>
          <t>Clarins</t>
        </is>
      </c>
      <c r="E11020" t="n">
        <v>17.8</v>
      </c>
      <c r="F11020" t="n">
        <v>1</v>
      </c>
      <c r="G11020" t="n">
        <v>5</v>
      </c>
      <c r="H11020" s="5">
        <f>HYPERLINK("https://api.qogita.com/variants/link/3666057288197/", "View Product")</f>
        <v/>
      </c>
    </row>
    <row r="11021">
      <c r="A11021" t="inlineStr">
        <is>
          <t>3666057297458</t>
        </is>
      </c>
      <c r="B11021" t="inlineStr">
        <is>
          <t>Clarins Double Serum Light Collection Skin Care Gift Set</t>
        </is>
      </c>
      <c r="C11021" t="inlineStr">
        <is>
          <t>Facial Care Sets</t>
        </is>
      </c>
      <c r="D11021" t="inlineStr">
        <is>
          <t>Clarins</t>
        </is>
      </c>
      <c r="E11021" t="n">
        <v>100.92</v>
      </c>
      <c r="F11021" t="n">
        <v>1</v>
      </c>
      <c r="G11021" t="n">
        <v>5</v>
      </c>
      <c r="H11021" s="5">
        <f>HYPERLINK("https://api.qogita.com/variants/link/3666057297458/", "View Product")</f>
        <v/>
      </c>
    </row>
    <row r="11022">
      <c r="A11022" t="inlineStr">
        <is>
          <t>3666057297595</t>
        </is>
      </c>
      <c r="B11022" t="inlineStr">
        <is>
          <t>Clarins All About Eyes Collection Gift Set</t>
        </is>
      </c>
      <c r="C11022" t="inlineStr">
        <is>
          <t>Face</t>
        </is>
      </c>
      <c r="D11022" t="inlineStr">
        <is>
          <t>Clarins</t>
        </is>
      </c>
      <c r="E11022" t="n">
        <v>27.86</v>
      </c>
      <c r="F11022" t="n">
        <v>1</v>
      </c>
      <c r="G11022" t="n">
        <v>28</v>
      </c>
      <c r="H11022" s="5">
        <f>HYPERLINK("https://api.qogita.com/variants/link/3666057297595/", "View Product")</f>
        <v/>
      </c>
    </row>
    <row r="11023">
      <c r="A11023" t="inlineStr">
        <is>
          <t>3666057319068</t>
        </is>
      </c>
      <c r="B11023" t="inlineStr">
        <is>
          <t>Clarins Intense Lip Perfector 17 Intense Garment - 12 Ml Lip Gloss</t>
        </is>
      </c>
      <c r="C11023" t="inlineStr">
        <is>
          <t>Lip Gloss</t>
        </is>
      </c>
      <c r="D11023" t="inlineStr">
        <is>
          <t>Clarins</t>
        </is>
      </c>
      <c r="E11023" t="n">
        <v>14.86</v>
      </c>
      <c r="F11023" t="n">
        <v>1</v>
      </c>
      <c r="G11023" t="n">
        <v>7</v>
      </c>
      <c r="H11023" s="5">
        <f>HYPERLINK("https://api.qogita.com/variants/link/3666057319068/", "View Product")</f>
        <v/>
      </c>
    </row>
    <row r="11024">
      <c r="A11024" t="inlineStr">
        <is>
          <t>3666057327476</t>
        </is>
      </c>
      <c r="B11024" t="inlineStr">
        <is>
          <t>Clarins Multi-Active Day Cream 50 Ml Sets By Clarins</t>
        </is>
      </c>
      <c r="C11024" t="inlineStr">
        <is>
          <t>Day Cream</t>
        </is>
      </c>
      <c r="D11024" t="inlineStr">
        <is>
          <t>Clarins</t>
        </is>
      </c>
      <c r="E11024" t="n">
        <v>53.51</v>
      </c>
      <c r="F11024" t="n">
        <v>1</v>
      </c>
      <c r="G11024" t="n">
        <v>10</v>
      </c>
      <c r="H11024" s="5">
        <f>HYPERLINK("https://api.qogita.com/variants/link/3666057327476/", "View Product")</f>
        <v/>
      </c>
    </row>
    <row r="11025">
      <c r="A11025" t="inlineStr">
        <is>
          <t>3666057332739</t>
        </is>
      </c>
      <c r="B11025" t="inlineStr">
        <is>
          <t>Clarins Lip Perfector Collection 2 X 12 Ml Lip Gloss Set</t>
        </is>
      </c>
      <c r="C11025" t="inlineStr">
        <is>
          <t>Lip Sets</t>
        </is>
      </c>
      <c r="D11025" t="inlineStr">
        <is>
          <t>Clarins</t>
        </is>
      </c>
      <c r="E11025" t="n">
        <v>32.38</v>
      </c>
      <c r="F11025" t="n">
        <v>1</v>
      </c>
      <c r="G11025" t="n">
        <v>5</v>
      </c>
      <c r="H11025" s="5">
        <f>HYPERLINK("https://api.qogita.com/variants/link/3666057332739/", "View Product")</f>
        <v/>
      </c>
    </row>
    <row r="11026">
      <c r="A11026" t="inlineStr">
        <is>
          <t>3666057332753</t>
        </is>
      </c>
      <c r="B11026" t="inlineStr">
        <is>
          <t>Clarins Lip Perfector Duo 01 Rose Shimmer And 08 Plum Shimmer - 12ml Each</t>
        </is>
      </c>
      <c r="C11026" t="inlineStr">
        <is>
          <t>Lip Sets</t>
        </is>
      </c>
      <c r="D11026" t="inlineStr">
        <is>
          <t>Clarins</t>
        </is>
      </c>
      <c r="E11026" t="n">
        <v>26.53</v>
      </c>
      <c r="F11026" t="n">
        <v>1</v>
      </c>
      <c r="G11026" t="n">
        <v>2</v>
      </c>
      <c r="H11026" s="5">
        <f>HYPERLINK("https://api.qogita.com/variants/link/3666057332753/", "View Product")</f>
        <v/>
      </c>
    </row>
    <row r="11027">
      <c r="A11027" t="inlineStr">
        <is>
          <t>3666057333552</t>
        </is>
      </c>
      <c r="B11027" t="inlineStr">
        <is>
          <t>Clarins Skin Oil Peeling Comfort Scrub Nourishing Oil Scrub 50 Ml</t>
        </is>
      </c>
      <c r="C11027" t="inlineStr">
        <is>
          <t>Facial Scrub &amp; Peeling</t>
        </is>
      </c>
      <c r="D11027" t="inlineStr">
        <is>
          <t>Clarins</t>
        </is>
      </c>
      <c r="E11027" t="n">
        <v>20.47</v>
      </c>
      <c r="F11027" t="n">
        <v>1</v>
      </c>
      <c r="G11027" t="n">
        <v>21</v>
      </c>
      <c r="H11027" s="5">
        <f>HYPERLINK("https://api.qogita.com/variants/link/3666057333552/", "View Product")</f>
        <v/>
      </c>
    </row>
    <row r="11028">
      <c r="A11028" t="inlineStr">
        <is>
          <t>3666057343773</t>
        </is>
      </c>
      <c r="B11028" t="inlineStr">
        <is>
          <t>Clarins Lip Comfort Oil 54 "10 Years</t>
        </is>
      </c>
      <c r="C11028" t="inlineStr">
        <is>
          <t>Lip Gloss</t>
        </is>
      </c>
      <c r="D11028" t="inlineStr">
        <is>
          <t>Clarins</t>
        </is>
      </c>
      <c r="E11028" t="n">
        <v>18.99</v>
      </c>
      <c r="F11028" t="n">
        <v>1</v>
      </c>
      <c r="G11028" t="n">
        <v>5</v>
      </c>
      <c r="H11028" s="5">
        <f>HYPERLINK("https://api.qogita.com/variants/link/3666057343773/", "View Product")</f>
        <v/>
      </c>
    </row>
    <row r="11029">
      <c r="A11029" t="inlineStr">
        <is>
          <t>3666057372940</t>
        </is>
      </c>
      <c r="B11029" t="inlineStr">
        <is>
          <t>Clarins Rituale Nutri-Lumiere Skin Care Gift Set</t>
        </is>
      </c>
      <c r="C11029" t="inlineStr">
        <is>
          <t>Facial Care Sets</t>
        </is>
      </c>
      <c r="D11029" t="inlineStr">
        <is>
          <t>Clarins</t>
        </is>
      </c>
      <c r="E11029" t="n">
        <v>83.59999999999999</v>
      </c>
      <c r="F11029" t="n">
        <v>1</v>
      </c>
      <c r="G11029" t="n">
        <v>7</v>
      </c>
      <c r="H11029" s="5">
        <f>HYPERLINK("https://api.qogita.com/variants/link/3666057372940/", "View Product")</f>
        <v/>
      </c>
    </row>
    <row r="11030">
      <c r="A11030" t="inlineStr">
        <is>
          <t>3700135003194</t>
        </is>
      </c>
      <c r="B11030" t="inlineStr">
        <is>
          <t>Frederic Malle Iris Poudre Eau De Parfum Spray 100ml</t>
        </is>
      </c>
      <c r="C11030" t="inlineStr">
        <is>
          <t>Eau De Parfum</t>
        </is>
      </c>
      <c r="D11030" t="inlineStr">
        <is>
          <t>Frederic Malle</t>
        </is>
      </c>
      <c r="E11030" t="n">
        <v>193.17</v>
      </c>
      <c r="F11030" t="n">
        <v>1</v>
      </c>
      <c r="G11030" t="n">
        <v>5</v>
      </c>
      <c r="H11030" s="5">
        <f>HYPERLINK("https://api.qogita.com/variants/link/3700135003194/", "View Product")</f>
        <v/>
      </c>
    </row>
    <row r="11031">
      <c r="A11031" t="inlineStr">
        <is>
          <t>3700194708498</t>
        </is>
      </c>
      <c r="B11031" t="inlineStr">
        <is>
          <t>Kiehl's Ultimate Strength Hand Salve Small 2.5oz 75ml</t>
        </is>
      </c>
      <c r="C11031" t="inlineStr">
        <is>
          <t>Hand Cream</t>
        </is>
      </c>
      <c r="D11031" t="inlineStr">
        <is>
          <t>Kiehl's</t>
        </is>
      </c>
      <c r="E11031" t="n">
        <v>16.83</v>
      </c>
      <c r="F11031" t="n">
        <v>1</v>
      </c>
      <c r="G11031" t="n">
        <v>7</v>
      </c>
      <c r="H11031" s="5">
        <f>HYPERLINK("https://api.qogita.com/variants/link/3700194708498/", "View Product")</f>
        <v/>
      </c>
    </row>
    <row r="11032">
      <c r="A11032" t="inlineStr">
        <is>
          <t>3700227206298</t>
        </is>
      </c>
      <c r="B11032" t="inlineStr">
        <is>
          <t>Akro Unisex Night Eau De Parfum Spray 3.4 Ounces</t>
        </is>
      </c>
      <c r="C11032" t="inlineStr">
        <is>
          <t>Eau De Parfum</t>
        </is>
      </c>
      <c r="D11032" t="inlineStr">
        <is>
          <t>Akro</t>
        </is>
      </c>
      <c r="E11032" t="n">
        <v>82.28</v>
      </c>
      <c r="F11032" t="n">
        <v>1</v>
      </c>
      <c r="G11032" t="n">
        <v>5</v>
      </c>
      <c r="H11032" s="5">
        <f>HYPERLINK("https://api.qogita.com/variants/link/3700227206298/", "View Product")</f>
        <v/>
      </c>
    </row>
    <row r="11033">
      <c r="A11033" t="inlineStr">
        <is>
          <t>3700227206304</t>
        </is>
      </c>
      <c r="B11033" t="inlineStr">
        <is>
          <t>Akro Dark Eau de Parfum Spray 100ml</t>
        </is>
      </c>
      <c r="C11033" t="inlineStr">
        <is>
          <t>Eau De Parfum</t>
        </is>
      </c>
      <c r="D11033" t="inlineStr">
        <is>
          <t>Akro</t>
        </is>
      </c>
      <c r="E11033" t="n">
        <v>100.93</v>
      </c>
      <c r="F11033" t="n">
        <v>1</v>
      </c>
      <c r="G11033" t="n">
        <v>2</v>
      </c>
      <c r="H11033" s="5">
        <f>HYPERLINK("https://api.qogita.com/variants/link/3700227206304/", "View Product")</f>
        <v/>
      </c>
    </row>
    <row r="11034">
      <c r="A11034" t="inlineStr">
        <is>
          <t>3700227206328</t>
        </is>
      </c>
      <c r="B11034" t="inlineStr">
        <is>
          <t>Akro Malt Eau de Parfum Spray 100ml</t>
        </is>
      </c>
      <c r="C11034" t="inlineStr">
        <is>
          <t>Eau De Parfum</t>
        </is>
      </c>
      <c r="D11034" t="inlineStr">
        <is>
          <t>Akro</t>
        </is>
      </c>
      <c r="E11034" t="n">
        <v>84.15000000000001</v>
      </c>
      <c r="F11034" t="n">
        <v>1</v>
      </c>
      <c r="G11034" t="n">
        <v>3</v>
      </c>
      <c r="H11034" s="5">
        <f>HYPERLINK("https://api.qogita.com/variants/link/3700227206328/", "View Product")</f>
        <v/>
      </c>
    </row>
    <row r="11035">
      <c r="A11035" t="inlineStr">
        <is>
          <t>3700281702286</t>
        </is>
      </c>
      <c r="B11035" t="inlineStr">
        <is>
          <t>Topicrem Moisturizing Body Milk For Dry And Sensitive Skin Ultramoisturizing Body Milk</t>
        </is>
      </c>
      <c r="C11035" t="inlineStr">
        <is>
          <t>Body Lotion</t>
        </is>
      </c>
      <c r="D11035" t="inlineStr">
        <is>
          <t>Topicrem</t>
        </is>
      </c>
      <c r="E11035" t="n">
        <v>14.69</v>
      </c>
      <c r="F11035" t="n">
        <v>1</v>
      </c>
      <c r="G11035" t="n">
        <v>67</v>
      </c>
      <c r="H11035" s="5">
        <f>HYPERLINK("https://api.qogita.com/variants/link/3700281702286/", "View Product")</f>
        <v/>
      </c>
    </row>
    <row r="11036">
      <c r="A11036" t="inlineStr">
        <is>
          <t>3700281702408</t>
        </is>
      </c>
      <c r="B11036" t="inlineStr">
        <is>
          <t>Topicrem Gentle Cleansing Gel For Face Body And Hair 200ml</t>
        </is>
      </c>
      <c r="C11036" t="inlineStr">
        <is>
          <t>Shower Gel</t>
        </is>
      </c>
      <c r="D11036" t="inlineStr">
        <is>
          <t>Topicrem</t>
        </is>
      </c>
      <c r="E11036" t="n">
        <v>7.35</v>
      </c>
      <c r="F11036" t="n">
        <v>1</v>
      </c>
      <c r="G11036" t="n">
        <v>29</v>
      </c>
      <c r="H11036" s="5">
        <f>HYPERLINK("https://api.qogita.com/variants/link/3700281702408/", "View Product")</f>
        <v/>
      </c>
    </row>
    <row r="11037">
      <c r="A11037" t="inlineStr">
        <is>
          <t>3700281702446</t>
        </is>
      </c>
      <c r="B11037" t="inlineStr">
        <is>
          <t>Topicrem UH Ultra-Moisturizing Lip Balm 4g</t>
        </is>
      </c>
      <c r="C11037" t="inlineStr">
        <is>
          <t>Lip Balm</t>
        </is>
      </c>
      <c r="D11037" t="inlineStr">
        <is>
          <t>Topicrem</t>
        </is>
      </c>
      <c r="E11037" t="n">
        <v>4.88</v>
      </c>
      <c r="F11037" t="n">
        <v>1</v>
      </c>
      <c r="G11037" t="n">
        <v>19</v>
      </c>
      <c r="H11037" s="5">
        <f>HYPERLINK("https://api.qogita.com/variants/link/3700281702446/", "View Product")</f>
        <v/>
      </c>
    </row>
    <row r="11038">
      <c r="A11038" t="inlineStr">
        <is>
          <t>3700281702583</t>
        </is>
      </c>
      <c r="B11038" t="inlineStr">
        <is>
          <t>Topicrem Da Emollient Balm Body Balm For Dry Sensitive And Atopic Skin</t>
        </is>
      </c>
      <c r="C11038" t="inlineStr">
        <is>
          <t>Body Lotion</t>
        </is>
      </c>
      <c r="D11038" t="inlineStr">
        <is>
          <t>Topicrem</t>
        </is>
      </c>
      <c r="E11038" t="n">
        <v>12.2</v>
      </c>
      <c r="F11038" t="n">
        <v>1</v>
      </c>
      <c r="G11038" t="n">
        <v>75</v>
      </c>
      <c r="H11038" s="5">
        <f>HYPERLINK("https://api.qogita.com/variants/link/3700281702583/", "View Product")</f>
        <v/>
      </c>
    </row>
    <row r="11039">
      <c r="A11039" t="inlineStr">
        <is>
          <t>3700281702774</t>
        </is>
      </c>
      <c r="B11039" t="inlineStr">
        <is>
          <t>Topicrem Ac Purifying Cleansing Gel For Oily And Sensitive Skin 200ml</t>
        </is>
      </c>
      <c r="C11039" t="inlineStr">
        <is>
          <t>Cleansing Gel</t>
        </is>
      </c>
      <c r="D11039" t="inlineStr">
        <is>
          <t>Topicrem</t>
        </is>
      </c>
      <c r="E11039" t="n">
        <v>9.82</v>
      </c>
      <c r="F11039" t="n">
        <v>1</v>
      </c>
      <c r="G11039" t="n">
        <v>165</v>
      </c>
      <c r="H11039" s="5">
        <f>HYPERLINK("https://api.qogita.com/variants/link/3700281702774/", "View Product")</f>
        <v/>
      </c>
    </row>
    <row r="11040">
      <c r="A11040" t="inlineStr">
        <is>
          <t>3700281702835</t>
        </is>
      </c>
      <c r="B11040" t="inlineStr">
        <is>
          <t>Topicrem Da Gel Sobreegrasante 500ml</t>
        </is>
      </c>
      <c r="C11040" t="inlineStr">
        <is>
          <t>Body Lotion</t>
        </is>
      </c>
      <c r="D11040" t="inlineStr">
        <is>
          <t>Topicrem</t>
        </is>
      </c>
      <c r="E11040" t="n">
        <v>13.03</v>
      </c>
      <c r="F11040" t="n">
        <v>1</v>
      </c>
      <c r="G11040" t="n">
        <v>256</v>
      </c>
      <c r="H11040" s="5">
        <f>HYPERLINK("https://api.qogita.com/variants/link/3700281702835/", "View Product")</f>
        <v/>
      </c>
    </row>
    <row r="11041">
      <c r="A11041" t="inlineStr">
        <is>
          <t>3700281703207</t>
        </is>
      </c>
      <c r="B11041" t="inlineStr">
        <is>
          <t>Topicrem - Da Emollient Balm</t>
        </is>
      </c>
      <c r="C11041" t="inlineStr">
        <is>
          <t>Body Lotion</t>
        </is>
      </c>
      <c r="D11041" t="inlineStr">
        <is>
          <t>Topicrem</t>
        </is>
      </c>
      <c r="E11041" t="n">
        <v>8.08</v>
      </c>
      <c r="F11041" t="n">
        <v>1</v>
      </c>
      <c r="G11041" t="n">
        <v>41</v>
      </c>
      <c r="H11041" s="5">
        <f>HYPERLINK("https://api.qogita.com/variants/link/3700281703207/", "View Product")</f>
        <v/>
      </c>
    </row>
    <row r="11042">
      <c r="A11042" t="inlineStr">
        <is>
          <t>3700281703214</t>
        </is>
      </c>
      <c r="B11042" t="inlineStr">
        <is>
          <t>Topicrem Facial Makeup Remover 400ml</t>
        </is>
      </c>
      <c r="C11042" t="inlineStr">
        <is>
          <t>Makeup Remover</t>
        </is>
      </c>
      <c r="D11042" t="inlineStr">
        <is>
          <t>Topicrem</t>
        </is>
      </c>
      <c r="E11042" t="n">
        <v>11.12</v>
      </c>
      <c r="F11042" t="n">
        <v>1</v>
      </c>
      <c r="G11042" t="n">
        <v>14</v>
      </c>
      <c r="H11042" s="5">
        <f>HYPERLINK("https://api.qogita.com/variants/link/3700281703214/", "View Product")</f>
        <v/>
      </c>
    </row>
    <row r="11043">
      <c r="A11043" t="inlineStr">
        <is>
          <t>3700281703245</t>
        </is>
      </c>
      <c r="B11043" t="inlineStr">
        <is>
          <t>Topicrem Ultra-Moisturizing Body Milk 75ml</t>
        </is>
      </c>
      <c r="C11043" t="inlineStr">
        <is>
          <t>Body Lotion</t>
        </is>
      </c>
      <c r="D11043" t="inlineStr">
        <is>
          <t>Topicrem</t>
        </is>
      </c>
      <c r="E11043" t="n">
        <v>6.47</v>
      </c>
      <c r="F11043" t="n">
        <v>1</v>
      </c>
      <c r="G11043" t="n">
        <v>43</v>
      </c>
      <c r="H11043" s="5">
        <f>HYPERLINK("https://api.qogita.com/variants/link/3700281703245/", "View Product")</f>
        <v/>
      </c>
    </row>
    <row r="11044">
      <c r="A11044" t="inlineStr">
        <is>
          <t>3700281703252</t>
        </is>
      </c>
      <c r="B11044" t="inlineStr">
        <is>
          <t>Topicrem Ultra Hydrating Hand Cream 50ml</t>
        </is>
      </c>
      <c r="C11044" t="inlineStr">
        <is>
          <t>Hand Cream</t>
        </is>
      </c>
      <c r="D11044" t="inlineStr">
        <is>
          <t>Topicrem</t>
        </is>
      </c>
      <c r="E11044" t="n">
        <v>3.68</v>
      </c>
      <c r="F11044" t="n">
        <v>1</v>
      </c>
      <c r="G11044" t="n">
        <v>2</v>
      </c>
      <c r="H11044" s="5">
        <f>HYPERLINK("https://api.qogita.com/variants/link/3700281703252/", "View Product")</f>
        <v/>
      </c>
    </row>
    <row r="11045">
      <c r="A11045" t="inlineStr">
        <is>
          <t>3700281703283</t>
        </is>
      </c>
      <c r="B11045" t="inlineStr">
        <is>
          <t>Topicrem CICA Repair Soothing Cream 100ml</t>
        </is>
      </c>
      <c r="C11045" t="inlineStr">
        <is>
          <t>Neurodermatitis</t>
        </is>
      </c>
      <c r="D11045" t="inlineStr">
        <is>
          <t>Topicrem</t>
        </is>
      </c>
      <c r="E11045" t="n">
        <v>16.29</v>
      </c>
      <c r="F11045" t="n">
        <v>1</v>
      </c>
      <c r="G11045" t="n">
        <v>7</v>
      </c>
      <c r="H11045" s="5">
        <f>HYPERLINK("https://api.qogita.com/variants/link/3700281703283/", "View Product")</f>
        <v/>
      </c>
    </row>
    <row r="11046">
      <c r="A11046" t="inlineStr">
        <is>
          <t>3700281703306</t>
        </is>
      </c>
      <c r="B11046" t="inlineStr">
        <is>
          <t>Topicrem UR-10 Anti-Roughness Smoothing Cream 500ml</t>
        </is>
      </c>
      <c r="C11046" t="inlineStr">
        <is>
          <t>Body Lotion</t>
        </is>
      </c>
      <c r="D11046" t="inlineStr">
        <is>
          <t>Topicrem</t>
        </is>
      </c>
      <c r="E11046" t="n">
        <v>15.64</v>
      </c>
      <c r="F11046" t="n">
        <v>1</v>
      </c>
      <c r="G11046" t="n">
        <v>5</v>
      </c>
      <c r="H11046" s="5">
        <f>HYPERLINK("https://api.qogita.com/variants/link/3700281703306/", "View Product")</f>
        <v/>
      </c>
    </row>
    <row r="11047">
      <c r="A11047" t="inlineStr">
        <is>
          <t>3700281703580</t>
        </is>
      </c>
      <c r="B11047" t="inlineStr">
        <is>
          <t>Topicrem UH Hydra+ FPS40 Light 40ml</t>
        </is>
      </c>
      <c r="C11047" t="inlineStr">
        <is>
          <t>Face Sun Protection</t>
        </is>
      </c>
      <c r="D11047" t="inlineStr">
        <is>
          <t>Topicrem</t>
        </is>
      </c>
      <c r="E11047" t="n">
        <v>16.4</v>
      </c>
      <c r="F11047" t="n">
        <v>1</v>
      </c>
      <c r="G11047" t="n">
        <v>15</v>
      </c>
      <c r="H11047" s="5">
        <f>HYPERLINK("https://api.qogita.com/variants/link/3700281703580/", "View Product")</f>
        <v/>
      </c>
    </row>
    <row r="11048">
      <c r="A11048" t="inlineStr">
        <is>
          <t>3700281703856</t>
        </is>
      </c>
      <c r="B11048" t="inlineStr">
        <is>
          <t>Topicrem Anti-Aging Cream Serum - 30ml</t>
        </is>
      </c>
      <c r="C11048" t="inlineStr">
        <is>
          <t>Anti-Aging Serum</t>
        </is>
      </c>
      <c r="D11048" t="inlineStr">
        <is>
          <t>Topicrem</t>
        </is>
      </c>
      <c r="E11048" t="n">
        <v>33.35</v>
      </c>
      <c r="F11048" t="n">
        <v>1</v>
      </c>
      <c r="G11048" t="n">
        <v>85</v>
      </c>
      <c r="H11048" s="5">
        <f>HYPERLINK("https://api.qogita.com/variants/link/3700281703856/", "View Product")</f>
        <v/>
      </c>
    </row>
    <row r="11049">
      <c r="A11049" t="inlineStr">
        <is>
          <t>3700281703955</t>
        </is>
      </c>
      <c r="B11049" t="inlineStr">
        <is>
          <t>Mela Pain Exfoliant Unifiant 150g</t>
        </is>
      </c>
      <c r="C11049" t="inlineStr">
        <is>
          <t>Anti-Pigmentation Spot Cream</t>
        </is>
      </c>
      <c r="D11049" t="inlineStr">
        <is>
          <t>Topicrem</t>
        </is>
      </c>
      <c r="E11049" t="n">
        <v>8.99</v>
      </c>
      <c r="F11049" t="n">
        <v>1</v>
      </c>
      <c r="G11049" t="n">
        <v>6</v>
      </c>
      <c r="H11049" s="5">
        <f>HYPERLINK("https://api.qogita.com/variants/link/3700281703955/", "View Product")</f>
        <v/>
      </c>
    </row>
    <row r="11050">
      <c r="A11050" t="inlineStr">
        <is>
          <t>3700281704020</t>
        </is>
      </c>
      <c r="B11050" t="inlineStr">
        <is>
          <t>Topicrem Ah3 Global Antiaging Fluid 40ml</t>
        </is>
      </c>
      <c r="C11050" t="inlineStr">
        <is>
          <t>Anti-Aging Serum</t>
        </is>
      </c>
      <c r="D11050" t="inlineStr">
        <is>
          <t>Topicrem</t>
        </is>
      </c>
      <c r="E11050" t="n">
        <v>25.96</v>
      </c>
      <c r="F11050" t="n">
        <v>1</v>
      </c>
      <c r="G11050" t="n">
        <v>24</v>
      </c>
      <c r="H11050" s="5">
        <f>HYPERLINK("https://api.qogita.com/variants/link/3700281704020/", "View Product")</f>
        <v/>
      </c>
    </row>
    <row r="11051">
      <c r="A11051" t="inlineStr">
        <is>
          <t>3700281704037</t>
        </is>
      </c>
      <c r="B11051" t="inlineStr">
        <is>
          <t>Topicrem Ah Global Cream 40ml Ah3 Global Antiaging Cream</t>
        </is>
      </c>
      <c r="C11051" t="inlineStr">
        <is>
          <t>Anti-Aging Facial Care</t>
        </is>
      </c>
      <c r="D11051" t="inlineStr">
        <is>
          <t>Topicrem</t>
        </is>
      </c>
      <c r="E11051" t="n">
        <v>26.39</v>
      </c>
      <c r="F11051" t="n">
        <v>1</v>
      </c>
      <c r="G11051" t="n">
        <v>23</v>
      </c>
      <c r="H11051" s="5">
        <f>HYPERLINK("https://api.qogita.com/variants/link/3700281704037/", "View Product")</f>
        <v/>
      </c>
    </row>
    <row r="11052">
      <c r="A11052" t="inlineStr">
        <is>
          <t>3700281704198</t>
        </is>
      </c>
      <c r="B11052" t="inlineStr">
        <is>
          <t>Topicrem AC Purifying Mask 50ml</t>
        </is>
      </c>
      <c r="C11052" t="inlineStr">
        <is>
          <t>Purifying Mask</t>
        </is>
      </c>
      <c r="D11052" t="inlineStr">
        <is>
          <t>Topicrem</t>
        </is>
      </c>
      <c r="E11052" t="n">
        <v>7.87</v>
      </c>
      <c r="F11052" t="n">
        <v>1</v>
      </c>
      <c r="G11052" t="n">
        <v>87</v>
      </c>
      <c r="H11052" s="5">
        <f>HYPERLINK("https://api.qogita.com/variants/link/3700281704198/", "View Product")</f>
        <v/>
      </c>
    </row>
    <row r="11053">
      <c r="A11053" t="inlineStr">
        <is>
          <t>3700281704334</t>
        </is>
      </c>
      <c r="B11053" t="inlineStr">
        <is>
          <t>Topicrem Hydra Active Light Skin Cream For Sensitive Normal To Mixed Skin 40 Ml</t>
        </is>
      </c>
      <c r="C11053" t="inlineStr">
        <is>
          <t>Face Cream</t>
        </is>
      </c>
      <c r="D11053" t="inlineStr">
        <is>
          <t>Topicrem</t>
        </is>
      </c>
      <c r="E11053" t="n">
        <v>10.22</v>
      </c>
      <c r="F11053" t="n">
        <v>1</v>
      </c>
      <c r="G11053" t="n">
        <v>5</v>
      </c>
      <c r="H11053" s="5">
        <f>HYPERLINK("https://api.qogita.com/variants/link/3700281704334/", "View Product")</f>
        <v/>
      </c>
    </row>
    <row r="11054">
      <c r="A11054" t="inlineStr">
        <is>
          <t>3700281704471</t>
        </is>
      </c>
      <c r="B11054" t="inlineStr">
        <is>
          <t>Topicrem Cica Concentrate Oil for Tension and Brick Prevents Soothes Moisturises 24 Hours Facial Care and Body Care for Sensitive Skin Non-Greasy Non-Adhesive 100ml</t>
        </is>
      </c>
      <c r="C11054" t="inlineStr">
        <is>
          <t>Facial Oil</t>
        </is>
      </c>
      <c r="D11054" t="inlineStr">
        <is>
          <t>Topicrem</t>
        </is>
      </c>
      <c r="E11054" t="n">
        <v>15.51</v>
      </c>
      <c r="F11054" t="n">
        <v>1</v>
      </c>
      <c r="G11054" t="n">
        <v>13</v>
      </c>
      <c r="H11054" s="5">
        <f>HYPERLINK("https://api.qogita.com/variants/link/3700281704471/", "View Product")</f>
        <v/>
      </c>
    </row>
    <row r="11055">
      <c r="A11055" t="inlineStr">
        <is>
          <t>3700281704556</t>
        </is>
      </c>
      <c r="B11055" t="inlineStr">
        <is>
          <t>Topicrem DA Emollient Face Cream 40ml</t>
        </is>
      </c>
      <c r="C11055" t="inlineStr">
        <is>
          <t>Face Cream</t>
        </is>
      </c>
      <c r="D11055" t="inlineStr">
        <is>
          <t>Topicrem</t>
        </is>
      </c>
      <c r="E11055" t="n">
        <v>10.59</v>
      </c>
      <c r="F11055" t="n">
        <v>1</v>
      </c>
      <c r="G11055" t="n">
        <v>2</v>
      </c>
      <c r="H11055" s="5">
        <f>HYPERLINK("https://api.qogita.com/variants/link/3700281704556/", "View Product")</f>
        <v/>
      </c>
    </row>
    <row r="11056">
      <c r="A11056" t="inlineStr">
        <is>
          <t>3700281704815</t>
        </is>
      </c>
      <c r="B11056" t="inlineStr">
        <is>
          <t>Topicrem Karite Gentle Fortifying Shampoo For Curly And Frizzy Hair 200 Ml</t>
        </is>
      </c>
      <c r="C11056" t="inlineStr">
        <is>
          <t>Shampoo</t>
        </is>
      </c>
      <c r="D11056" t="inlineStr">
        <is>
          <t>Topicrem</t>
        </is>
      </c>
      <c r="E11056" t="n">
        <v>7.36</v>
      </c>
      <c r="F11056" t="n">
        <v>1</v>
      </c>
      <c r="G11056" t="n">
        <v>5</v>
      </c>
      <c r="H11056" s="5">
        <f>HYPERLINK("https://api.qogita.com/variants/link/3700281704815/", "View Product")</f>
        <v/>
      </c>
    </row>
    <row r="11057">
      <c r="A11057" t="inlineStr">
        <is>
          <t>3700281704822</t>
        </is>
      </c>
      <c r="B11057" t="inlineStr">
        <is>
          <t>Topicrem Shea Nourishing Fortifying Cream For Curly And Frizzy Hair 200 Ml</t>
        </is>
      </c>
      <c r="C11057" t="inlineStr">
        <is>
          <t>Conditioner</t>
        </is>
      </c>
      <c r="D11057" t="inlineStr">
        <is>
          <t>Topicrem</t>
        </is>
      </c>
      <c r="E11057" t="n">
        <v>13.74</v>
      </c>
      <c r="F11057" t="n">
        <v>1</v>
      </c>
      <c r="G11057" t="n">
        <v>21</v>
      </c>
      <c r="H11057" s="5">
        <f>HYPERLINK("https://api.qogita.com/variants/link/3700281704822/", "View Product")</f>
        <v/>
      </c>
    </row>
    <row r="11058">
      <c r="A11058" t="inlineStr">
        <is>
          <t>3700281704976</t>
        </is>
      </c>
      <c r="B11058" t="inlineStr">
        <is>
          <t>Topicrem Dermovegetal Shower Cream 390 Ml Nuevo</t>
        </is>
      </c>
      <c r="C11058" t="inlineStr">
        <is>
          <t>Shower Gel</t>
        </is>
      </c>
      <c r="D11058" t="inlineStr">
        <is>
          <t>Topicrem</t>
        </is>
      </c>
      <c r="E11058" t="n">
        <v>10.53</v>
      </c>
      <c r="F11058" t="n">
        <v>1</v>
      </c>
      <c r="G11058" t="n">
        <v>11</v>
      </c>
      <c r="H11058" s="5">
        <f>HYPERLINK("https://api.qogita.com/variants/link/3700281704976/", "View Product")</f>
        <v/>
      </c>
    </row>
    <row r="11059">
      <c r="A11059" t="inlineStr">
        <is>
          <t>3700281705010</t>
        </is>
      </c>
      <c r="B11059" t="inlineStr">
        <is>
          <t>Topicrem Calm + AR Anti-Redness Daily Cream 40ml SPF50 + Soothing Couperose</t>
        </is>
      </c>
      <c r="C11059" t="inlineStr">
        <is>
          <t>Day Cream</t>
        </is>
      </c>
      <c r="D11059" t="inlineStr">
        <is>
          <t>Topicrem</t>
        </is>
      </c>
      <c r="E11059" t="n">
        <v>15.36</v>
      </c>
      <c r="F11059" t="n">
        <v>1</v>
      </c>
      <c r="G11059" t="n">
        <v>20</v>
      </c>
      <c r="H11059" s="5">
        <f>HYPERLINK("https://api.qogita.com/variants/link/3700281705010/", "View Product")</f>
        <v/>
      </c>
    </row>
    <row r="11060">
      <c r="A11060" t="inlineStr">
        <is>
          <t>3700281705065</t>
        </is>
      </c>
      <c r="B11060" t="inlineStr">
        <is>
          <t>Topicrem Intensive Night Serum For Combination To Oily Skin Ac Control 34 Ml</t>
        </is>
      </c>
      <c r="C11060" t="inlineStr">
        <is>
          <t>Hydrating Serum</t>
        </is>
      </c>
      <c r="D11060" t="inlineStr">
        <is>
          <t>Topicrem</t>
        </is>
      </c>
      <c r="E11060" t="n">
        <v>14.37</v>
      </c>
      <c r="F11060" t="n">
        <v>1</v>
      </c>
      <c r="G11060" t="n">
        <v>9</v>
      </c>
      <c r="H11060" s="5">
        <f>HYPERLINK("https://api.qogita.com/variants/link/3700281705065/", "View Product")</f>
        <v/>
      </c>
    </row>
    <row r="11061">
      <c r="A11061" t="inlineStr">
        <is>
          <t>3700281705225</t>
        </is>
      </c>
      <c r="B11061" t="inlineStr">
        <is>
          <t>Topicrem Ultrahydrating Shower Oil For Dry And Sensitive Skin</t>
        </is>
      </c>
      <c r="C11061" t="inlineStr">
        <is>
          <t>Shower Oil</t>
        </is>
      </c>
      <c r="D11061" t="inlineStr">
        <is>
          <t>Topicrem</t>
        </is>
      </c>
      <c r="E11061" t="n">
        <v>14.16</v>
      </c>
      <c r="F11061" t="n">
        <v>1</v>
      </c>
      <c r="G11061" t="n">
        <v>5</v>
      </c>
      <c r="H11061" s="5">
        <f>HYPERLINK("https://api.qogita.com/variants/link/3700281705225/", "View Product")</f>
        <v/>
      </c>
    </row>
    <row r="11062">
      <c r="A11062" t="inlineStr">
        <is>
          <t>3700281705294</t>
        </is>
      </c>
      <c r="B11062" t="inlineStr">
        <is>
          <t>Topicrem Uh - Baby Cradle Cap Care Express 40 Ml</t>
        </is>
      </c>
      <c r="C11062" t="inlineStr">
        <is>
          <t>Baby Cream &amp; Oil</t>
        </is>
      </c>
      <c r="D11062" t="inlineStr">
        <is>
          <t>Topicrem</t>
        </is>
      </c>
      <c r="E11062" t="n">
        <v>15.17</v>
      </c>
      <c r="F11062" t="n">
        <v>1</v>
      </c>
      <c r="G11062" t="n">
        <v>3</v>
      </c>
      <c r="H11062" s="5">
        <f>HYPERLINK("https://api.qogita.com/variants/link/3700281705294/", "View Product")</f>
        <v/>
      </c>
    </row>
    <row r="11063">
      <c r="A11063" t="inlineStr">
        <is>
          <t>3700281705690</t>
        </is>
      </c>
      <c r="B11063" t="inlineStr">
        <is>
          <t>Topicrem Baby Moisturizing Protective Milk 200 Ml</t>
        </is>
      </c>
      <c r="C11063" t="inlineStr">
        <is>
          <t>Baby Cream &amp; Oil</t>
        </is>
      </c>
      <c r="D11063" t="inlineStr">
        <is>
          <t>Topicrem</t>
        </is>
      </c>
      <c r="E11063" t="n">
        <v>10.44</v>
      </c>
      <c r="F11063" t="n">
        <v>1</v>
      </c>
      <c r="G11063" t="n">
        <v>3</v>
      </c>
      <c r="H11063" s="5">
        <f>HYPERLINK("https://api.qogita.com/variants/link/3700281705690/", "View Product")</f>
        <v/>
      </c>
    </row>
    <row r="11064">
      <c r="A11064" t="inlineStr">
        <is>
          <t>3700426218665</t>
        </is>
      </c>
      <c r="B11064" t="inlineStr">
        <is>
          <t>Superdry Neon Pink Cologne Spray 25ml</t>
        </is>
      </c>
      <c r="C11064" t="inlineStr">
        <is>
          <t>Eau De Cologne</t>
        </is>
      </c>
      <c r="D11064" t="inlineStr">
        <is>
          <t>Superdry</t>
        </is>
      </c>
      <c r="E11064" t="n">
        <v>9.85</v>
      </c>
      <c r="F11064" t="n">
        <v>1</v>
      </c>
      <c r="G11064" t="n">
        <v>8</v>
      </c>
      <c r="H11064" s="5">
        <f>HYPERLINK("https://api.qogita.com/variants/link/3700426218665/", "View Product")</f>
        <v/>
      </c>
    </row>
    <row r="11065">
      <c r="A11065" t="inlineStr">
        <is>
          <t>3700431405845</t>
        </is>
      </c>
      <c r="B11065" t="inlineStr">
        <is>
          <t>Diptyque Lombre Dans Leau Eau De Toilette 100ml Unisex Spray</t>
        </is>
      </c>
      <c r="C11065" t="inlineStr">
        <is>
          <t>Eau De Toilette</t>
        </is>
      </c>
      <c r="D11065" t="inlineStr">
        <is>
          <t>Diptyque</t>
        </is>
      </c>
      <c r="E11065" t="n">
        <v>120.43</v>
      </c>
      <c r="F11065" t="n">
        <v>1</v>
      </c>
      <c r="G11065" t="n">
        <v>3</v>
      </c>
      <c r="H11065" s="5">
        <f>HYPERLINK("https://api.qogita.com/variants/link/3700431405845/", "View Product")</f>
        <v/>
      </c>
    </row>
    <row r="11066">
      <c r="A11066" t="inlineStr">
        <is>
          <t>3700431416117</t>
        </is>
      </c>
      <c r="B11066" t="inlineStr">
        <is>
          <t>Diptyque 34 Boulevard Saint Germain Eau De Parfum 75ml Unisex Spray</t>
        </is>
      </c>
      <c r="C11066" t="inlineStr">
        <is>
          <t>Eau De Parfum</t>
        </is>
      </c>
      <c r="D11066" t="inlineStr">
        <is>
          <t>Diptyque</t>
        </is>
      </c>
      <c r="E11066" t="n">
        <v>146.86</v>
      </c>
      <c r="F11066" t="n">
        <v>1</v>
      </c>
      <c r="G11066" t="n">
        <v>14</v>
      </c>
      <c r="H11066" s="5">
        <f>HYPERLINK("https://api.qogita.com/variants/link/3700431416117/", "View Product")</f>
        <v/>
      </c>
    </row>
    <row r="11067">
      <c r="A11067" t="inlineStr">
        <is>
          <t>3700431425638</t>
        </is>
      </c>
      <c r="B11067" t="inlineStr">
        <is>
          <t>Diptyque Do Son Eau De Toilette</t>
        </is>
      </c>
      <c r="C11067" t="inlineStr">
        <is>
          <t>Eau De Toilette</t>
        </is>
      </c>
      <c r="D11067" t="inlineStr">
        <is>
          <t>Diptyque</t>
        </is>
      </c>
      <c r="E11067" t="n">
        <v>92.77</v>
      </c>
      <c r="F11067" t="n">
        <v>1</v>
      </c>
      <c r="G11067" t="n">
        <v>5</v>
      </c>
      <c r="H11067" s="5">
        <f>HYPERLINK("https://api.qogita.com/variants/link/3700431425638/", "View Product")</f>
        <v/>
      </c>
    </row>
    <row r="11068">
      <c r="A11068" t="inlineStr">
        <is>
          <t>3700431425683</t>
        </is>
      </c>
      <c r="B11068" t="inlineStr">
        <is>
          <t>Vetyverio by Diptyque for Women 1.7 Oz EDT Spray</t>
        </is>
      </c>
      <c r="C11068" t="inlineStr">
        <is>
          <t>Eau De Toilette</t>
        </is>
      </c>
      <c r="D11068" t="inlineStr">
        <is>
          <t>Diptyque</t>
        </is>
      </c>
      <c r="E11068" t="n">
        <v>91.76000000000001</v>
      </c>
      <c r="F11068" t="n">
        <v>1</v>
      </c>
      <c r="G11068" t="n">
        <v>2</v>
      </c>
      <c r="H11068" s="5">
        <f>HYPERLINK("https://api.qogita.com/variants/link/3700431425683/", "View Product")</f>
        <v/>
      </c>
    </row>
    <row r="11069">
      <c r="A11069" t="inlineStr">
        <is>
          <t>3700431425843</t>
        </is>
      </c>
      <c r="B11069" t="inlineStr">
        <is>
          <t>Diptyque Do Son Eau De Toilette 100ml For Women</t>
        </is>
      </c>
      <c r="C11069" t="inlineStr">
        <is>
          <t>Eau De Toilette</t>
        </is>
      </c>
      <c r="D11069" t="inlineStr">
        <is>
          <t>Diptyque</t>
        </is>
      </c>
      <c r="E11069" t="n">
        <v>142.28</v>
      </c>
      <c r="F11069" t="n">
        <v>1</v>
      </c>
      <c r="G11069" t="n">
        <v>2</v>
      </c>
      <c r="H11069" s="5">
        <f>HYPERLINK("https://api.qogita.com/variants/link/3700431425843/", "View Product")</f>
        <v/>
      </c>
    </row>
    <row r="11070">
      <c r="A11070" t="inlineStr">
        <is>
          <t>3700431425867</t>
        </is>
      </c>
      <c r="B11070" t="inlineStr">
        <is>
          <t>Diptyque Eau Des Sens Eau De Toilette 100ml</t>
        </is>
      </c>
      <c r="C11070" t="inlineStr">
        <is>
          <t>Eau De Toilette</t>
        </is>
      </c>
      <c r="D11070" t="inlineStr">
        <is>
          <t>Diptyque</t>
        </is>
      </c>
      <c r="E11070" t="n">
        <v>125.91</v>
      </c>
      <c r="F11070" t="n">
        <v>1</v>
      </c>
      <c r="G11070" t="n">
        <v>8</v>
      </c>
      <c r="H11070" s="5">
        <f>HYPERLINK("https://api.qogita.com/variants/link/3700431425867/", "View Product")</f>
        <v/>
      </c>
    </row>
    <row r="11071">
      <c r="A11071" t="inlineStr">
        <is>
          <t>3700431442697</t>
        </is>
      </c>
      <c r="B11071" t="inlineStr">
        <is>
          <t>Diptyque Eau Moheli Eau De Toilette Spray 100ml</t>
        </is>
      </c>
      <c r="C11071" t="inlineStr">
        <is>
          <t>Eau De Toilette</t>
        </is>
      </c>
      <c r="D11071" t="inlineStr">
        <is>
          <t>Diptyque</t>
        </is>
      </c>
      <c r="E11071" t="n">
        <v>117.16</v>
      </c>
      <c r="F11071" t="n">
        <v>1</v>
      </c>
      <c r="G11071" t="n">
        <v>3</v>
      </c>
      <c r="H11071" s="5">
        <f>HYPERLINK("https://api.qogita.com/variants/link/3700431442697/", "View Product")</f>
        <v/>
      </c>
    </row>
    <row r="11072">
      <c r="A11072" t="inlineStr">
        <is>
          <t>3700431443083</t>
        </is>
      </c>
      <c r="B11072" t="inlineStr">
        <is>
          <t>Diptyque Oyedo Eau De Toilette 50ml</t>
        </is>
      </c>
      <c r="C11072" t="inlineStr">
        <is>
          <t>Eau De Toilette</t>
        </is>
      </c>
      <c r="D11072" t="inlineStr">
        <is>
          <t>Diptyque</t>
        </is>
      </c>
      <c r="E11072" t="n">
        <v>89.09999999999999</v>
      </c>
      <c r="F11072" t="n">
        <v>1</v>
      </c>
      <c r="G11072" t="n">
        <v>13</v>
      </c>
      <c r="H11072" s="5">
        <f>HYPERLINK("https://api.qogita.com/variants/link/3700431443083/", "View Product")</f>
        <v/>
      </c>
    </row>
    <row r="11073">
      <c r="A11073" t="inlineStr">
        <is>
          <t>3700458601121</t>
        </is>
      </c>
      <c r="B11073" t="inlineStr">
        <is>
          <t>Memo Paris Vaadhoo Eau De Parfum</t>
        </is>
      </c>
      <c r="C11073" t="inlineStr">
        <is>
          <t>Eau De Parfum</t>
        </is>
      </c>
      <c r="D11073" t="inlineStr">
        <is>
          <t>Memo Paris</t>
        </is>
      </c>
      <c r="E11073" t="n">
        <v>114.77</v>
      </c>
      <c r="F11073" t="n">
        <v>1</v>
      </c>
      <c r="G11073" t="n">
        <v>4</v>
      </c>
      <c r="H11073" s="5">
        <f>HYPERLINK("https://api.qogita.com/variants/link/3700458601121/", "View Product")</f>
        <v/>
      </c>
    </row>
    <row r="11074">
      <c r="A11074" t="inlineStr">
        <is>
          <t>3700458602951</t>
        </is>
      </c>
      <c r="B11074" t="inlineStr">
        <is>
          <t>Memo Paris Inle Eau De Parfum Spray 75ml</t>
        </is>
      </c>
      <c r="C11074" t="inlineStr">
        <is>
          <t>Eau De Parfum</t>
        </is>
      </c>
      <c r="D11074" t="inlineStr">
        <is>
          <t>Memo Paris</t>
        </is>
      </c>
      <c r="E11074" t="n">
        <v>120.5</v>
      </c>
      <c r="F11074" t="n">
        <v>1</v>
      </c>
      <c r="G11074" t="n">
        <v>3</v>
      </c>
      <c r="H11074" s="5">
        <f>HYPERLINK("https://api.qogita.com/variants/link/3700458602951/", "View Product")</f>
        <v/>
      </c>
    </row>
    <row r="11075">
      <c r="A11075" t="inlineStr">
        <is>
          <t>3700458603323</t>
        </is>
      </c>
      <c r="B11075" t="inlineStr">
        <is>
          <t>Memo Paris Lalibela Eau De Parfum 75ml</t>
        </is>
      </c>
      <c r="C11075" t="inlineStr">
        <is>
          <t>Eau De Parfum</t>
        </is>
      </c>
      <c r="D11075" t="inlineStr">
        <is>
          <t>Memo Paris</t>
        </is>
      </c>
      <c r="E11075" t="n">
        <v>121.54</v>
      </c>
      <c r="F11075" t="n">
        <v>1</v>
      </c>
      <c r="G11075" t="n">
        <v>8</v>
      </c>
      <c r="H11075" s="5">
        <f>HYPERLINK("https://api.qogita.com/variants/link/3700458603323/", "View Product")</f>
        <v/>
      </c>
    </row>
    <row r="11076">
      <c r="A11076" t="inlineStr">
        <is>
          <t>3700458619881</t>
        </is>
      </c>
      <c r="B11076" t="inlineStr">
        <is>
          <t>Memo Paris Oriental Leather Eau De Parfum 75ml Unisex Spray</t>
        </is>
      </c>
      <c r="C11076" t="inlineStr">
        <is>
          <t>Eau De Parfum</t>
        </is>
      </c>
      <c r="D11076" t="inlineStr">
        <is>
          <t>Memo Paris</t>
        </is>
      </c>
      <c r="E11076" t="n">
        <v>122.35</v>
      </c>
      <c r="F11076" t="n">
        <v>1</v>
      </c>
      <c r="G11076" t="n">
        <v>4</v>
      </c>
      <c r="H11076" s="5">
        <f>HYPERLINK("https://api.qogita.com/variants/link/3700458619881/", "View Product")</f>
        <v/>
      </c>
    </row>
    <row r="11077">
      <c r="A11077" t="inlineStr">
        <is>
          <t>3700490504138</t>
        </is>
      </c>
      <c r="B11077" t="inlineStr">
        <is>
          <t>Chypre 21 by Heeley Eau De Parfum 3.3 oz</t>
        </is>
      </c>
      <c r="C11077" t="inlineStr">
        <is>
          <t>Eau De Parfum</t>
        </is>
      </c>
      <c r="D11077" t="inlineStr">
        <is>
          <t>Heeley</t>
        </is>
      </c>
      <c r="E11077" t="n">
        <v>134.17</v>
      </c>
      <c r="F11077" t="n">
        <v>1</v>
      </c>
      <c r="G11077" t="n">
        <v>3</v>
      </c>
      <c r="H11077" s="5">
        <f>HYPERLINK("https://api.qogita.com/variants/link/3700490504138/", "View Product")</f>
        <v/>
      </c>
    </row>
    <row r="11078">
      <c r="A11078" t="inlineStr">
        <is>
          <t>3700550218159</t>
        </is>
      </c>
      <c r="B11078" t="inlineStr">
        <is>
          <t>Kilian Vodka On The Rocks 50ml</t>
        </is>
      </c>
      <c r="C11078" t="inlineStr">
        <is>
          <t>Eau De Parfum</t>
        </is>
      </c>
      <c r="D11078" t="inlineStr">
        <is>
          <t>Kilian</t>
        </is>
      </c>
      <c r="E11078" t="n">
        <v>181.71</v>
      </c>
      <c r="F11078" t="n">
        <v>1</v>
      </c>
      <c r="G11078" t="n">
        <v>4</v>
      </c>
      <c r="H11078" s="5">
        <f>HYPERLINK("https://api.qogita.com/variants/link/3700550218159/", "View Product")</f>
        <v/>
      </c>
    </row>
    <row r="11079">
      <c r="A11079" t="inlineStr">
        <is>
          <t>3700550218210</t>
        </is>
      </c>
      <c r="B11079" t="inlineStr">
        <is>
          <t>By Killian Woman In Gold Eau De Parfum Spray 50ml</t>
        </is>
      </c>
      <c r="C11079" t="inlineStr">
        <is>
          <t>Eau De Parfum</t>
        </is>
      </c>
      <c r="D11079" t="inlineStr">
        <is>
          <t>By Kilian</t>
        </is>
      </c>
      <c r="E11079" t="n">
        <v>177.47</v>
      </c>
      <c r="F11079" t="n">
        <v>1</v>
      </c>
      <c r="G11079" t="n">
        <v>5</v>
      </c>
      <c r="H11079" s="5">
        <f>HYPERLINK("https://api.qogita.com/variants/link/3700550218210/", "View Product")</f>
        <v/>
      </c>
    </row>
    <row r="11080">
      <c r="A11080" t="inlineStr">
        <is>
          <t>3700550218227</t>
        </is>
      </c>
      <c r="B11080" t="inlineStr">
        <is>
          <t>Kilian Love, Don't Be Shy 50ml</t>
        </is>
      </c>
      <c r="C11080" t="inlineStr">
        <is>
          <t>Eau De Parfum</t>
        </is>
      </c>
      <c r="D11080" t="inlineStr">
        <is>
          <t>Kilian</t>
        </is>
      </c>
      <c r="E11080" t="n">
        <v>171.39</v>
      </c>
      <c r="F11080" t="n">
        <v>1</v>
      </c>
      <c r="G11080" t="n">
        <v>27</v>
      </c>
      <c r="H11080" s="5">
        <f>HYPERLINK("https://api.qogita.com/variants/link/3700550218227/", "View Product")</f>
        <v/>
      </c>
    </row>
    <row r="11081">
      <c r="A11081" t="inlineStr">
        <is>
          <t>3700550218234</t>
        </is>
      </c>
      <c r="B11081" t="inlineStr">
        <is>
          <t>Kilian Voulez-Vous Coucher Avec Moi 50ml</t>
        </is>
      </c>
      <c r="C11081" t="inlineStr">
        <is>
          <t>Eau De Parfum</t>
        </is>
      </c>
      <c r="D11081" t="inlineStr">
        <is>
          <t>Kilian</t>
        </is>
      </c>
      <c r="E11081" t="n">
        <v>142.02</v>
      </c>
      <c r="F11081" t="n">
        <v>1</v>
      </c>
      <c r="G11081" t="n">
        <v>30</v>
      </c>
      <c r="H11081" s="5">
        <f>HYPERLINK("https://api.qogita.com/variants/link/3700550218234/", "View Product")</f>
        <v/>
      </c>
    </row>
    <row r="11082">
      <c r="A11082" t="inlineStr">
        <is>
          <t>3700550218326</t>
        </is>
      </c>
      <c r="B11082" t="inlineStr">
        <is>
          <t>Kilian Back To Black 50ml</t>
        </is>
      </c>
      <c r="C11082" t="inlineStr">
        <is>
          <t>Aftershave</t>
        </is>
      </c>
      <c r="D11082" t="inlineStr">
        <is>
          <t>Kilian</t>
        </is>
      </c>
      <c r="E11082" t="n">
        <v>176.28</v>
      </c>
      <c r="F11082" t="n">
        <v>1</v>
      </c>
      <c r="G11082" t="n">
        <v>3</v>
      </c>
      <c r="H11082" s="5">
        <f>HYPERLINK("https://api.qogita.com/variants/link/3700550218326/", "View Product")</f>
        <v/>
      </c>
    </row>
    <row r="11083">
      <c r="A11083" t="inlineStr">
        <is>
          <t>3700550232971</t>
        </is>
      </c>
      <c r="B11083" t="inlineStr">
        <is>
          <t>Kilian Eau de Parfum Unisex Angels Share 100ml</t>
        </is>
      </c>
      <c r="C11083" t="inlineStr">
        <is>
          <t>Eau De Parfum</t>
        </is>
      </c>
      <c r="D11083" t="inlineStr">
        <is>
          <t>Kilian</t>
        </is>
      </c>
      <c r="E11083" t="n">
        <v>251.81</v>
      </c>
      <c r="F11083" t="n">
        <v>1</v>
      </c>
      <c r="G11083" t="n">
        <v>4</v>
      </c>
      <c r="H11083" s="5">
        <f>HYPERLINK("https://api.qogita.com/variants/link/3700550232971/", "View Product")</f>
        <v/>
      </c>
    </row>
    <row r="11084">
      <c r="A11084" t="inlineStr">
        <is>
          <t>3700550233381</t>
        </is>
      </c>
      <c r="B11084" t="inlineStr">
        <is>
          <t>Kilian Can't Stop Loving You Women's Perfume 100ml</t>
        </is>
      </c>
      <c r="C11084" t="inlineStr">
        <is>
          <t>Eau De Parfum</t>
        </is>
      </c>
      <c r="D11084" t="inlineStr">
        <is>
          <t>Kilian</t>
        </is>
      </c>
      <c r="E11084" t="n">
        <v>153.5</v>
      </c>
      <c r="F11084" t="n">
        <v>1</v>
      </c>
      <c r="G11084" t="n">
        <v>2</v>
      </c>
      <c r="H11084" s="5">
        <f>HYPERLINK("https://api.qogita.com/variants/link/3700550233381/", "View Product")</f>
        <v/>
      </c>
    </row>
    <row r="11085">
      <c r="A11085" t="inlineStr">
        <is>
          <t>3700550234678</t>
        </is>
      </c>
      <c r="B11085" t="inlineStr">
        <is>
          <t>Kilian Eau De Parfum for Men</t>
        </is>
      </c>
      <c r="C11085" t="inlineStr">
        <is>
          <t>Eau De Parfum</t>
        </is>
      </c>
      <c r="D11085" t="inlineStr">
        <is>
          <t>Kilian</t>
        </is>
      </c>
      <c r="E11085" t="n">
        <v>172.51</v>
      </c>
      <c r="F11085" t="n">
        <v>1</v>
      </c>
      <c r="G11085" t="n">
        <v>5</v>
      </c>
      <c r="H11085" s="5">
        <f>HYPERLINK("https://api.qogita.com/variants/link/3700550234678/", "View Product")</f>
        <v/>
      </c>
    </row>
    <row r="11086">
      <c r="A11086" t="inlineStr">
        <is>
          <t>3700550236948</t>
        </is>
      </c>
      <c r="B11086" t="inlineStr">
        <is>
          <t>By Kilian Woman In Gold - Eau De Parfum</t>
        </is>
      </c>
      <c r="C11086" t="inlineStr">
        <is>
          <t>Eau De Parfum</t>
        </is>
      </c>
      <c r="D11086" t="inlineStr">
        <is>
          <t>By Kilian</t>
        </is>
      </c>
      <c r="E11086" t="n">
        <v>293.91</v>
      </c>
      <c r="F11086" t="n">
        <v>1</v>
      </c>
      <c r="G11086" t="n">
        <v>6</v>
      </c>
      <c r="H11086" s="5">
        <f>HYPERLINK("https://api.qogita.com/variants/link/3700550236948/", "View Product")</f>
        <v/>
      </c>
    </row>
    <row r="11087">
      <c r="A11087" t="inlineStr">
        <is>
          <t>3700573864005</t>
        </is>
      </c>
      <c r="B11087" t="inlineStr">
        <is>
          <t>Montana Suggestion Pour Elle For Women 100ml EDP</t>
        </is>
      </c>
      <c r="C11087" t="inlineStr">
        <is>
          <t>Eau De Parfum</t>
        </is>
      </c>
      <c r="D11087" t="inlineStr">
        <is>
          <t>Montana</t>
        </is>
      </c>
      <c r="E11087" t="n">
        <v>20.1</v>
      </c>
      <c r="F11087" t="n">
        <v>1</v>
      </c>
      <c r="G11087" t="n">
        <v>5</v>
      </c>
      <c r="H11087" s="5">
        <f>HYPERLINK("https://api.qogita.com/variants/link/3700573864005/", "View Product")</f>
        <v/>
      </c>
    </row>
    <row r="11088">
      <c r="A11088" t="inlineStr">
        <is>
          <t>3700578501967</t>
        </is>
      </c>
      <c r="B11088" t="inlineStr">
        <is>
          <t>Parfums De Marly Delina La Rosee Eau De Parfum</t>
        </is>
      </c>
      <c r="C11088" t="inlineStr">
        <is>
          <t>Eau De Parfum</t>
        </is>
      </c>
      <c r="D11088" t="inlineStr">
        <is>
          <t>Parfums De Marly</t>
        </is>
      </c>
      <c r="E11088" t="n">
        <v>212.02</v>
      </c>
      <c r="F11088" t="n">
        <v>1</v>
      </c>
      <c r="G11088" t="n">
        <v>7</v>
      </c>
      <c r="H11088" s="5">
        <f>HYPERLINK("https://api.qogita.com/variants/link/3700578501967/", "View Product")</f>
        <v/>
      </c>
    </row>
    <row r="11089">
      <c r="A11089" t="inlineStr">
        <is>
          <t>3700578502056</t>
        </is>
      </c>
      <c r="B11089" t="inlineStr">
        <is>
          <t>Parfums De Marly Safanad Eau De Parfum Spray for Her 75ml</t>
        </is>
      </c>
      <c r="C11089" t="inlineStr">
        <is>
          <t>Eau De Parfum</t>
        </is>
      </c>
      <c r="D11089" t="inlineStr">
        <is>
          <t>Parfums De Marly</t>
        </is>
      </c>
      <c r="E11089" t="n">
        <v>185.58</v>
      </c>
      <c r="F11089" t="n">
        <v>1</v>
      </c>
      <c r="G11089" t="n">
        <v>9</v>
      </c>
      <c r="H11089" s="5">
        <f>HYPERLINK("https://api.qogita.com/variants/link/3700578502056/", "View Product")</f>
        <v/>
      </c>
    </row>
    <row r="11090">
      <c r="A11090" t="inlineStr">
        <is>
          <t>3700578502193</t>
        </is>
      </c>
      <c r="B11090" t="inlineStr">
        <is>
          <t>Parfums de Marly Pegasus Exclusif Perfume Spray 75ml</t>
        </is>
      </c>
      <c r="C11090" t="inlineStr">
        <is>
          <t>Eau De Parfum</t>
        </is>
      </c>
      <c r="D11090" t="inlineStr">
        <is>
          <t>Parfums De Marly</t>
        </is>
      </c>
      <c r="E11090" t="n">
        <v>153</v>
      </c>
      <c r="F11090" t="n">
        <v>1</v>
      </c>
      <c r="G11090" t="n">
        <v>19</v>
      </c>
      <c r="H11090" s="5">
        <f>HYPERLINK("https://api.qogita.com/variants/link/3700578502193/", "View Product")</f>
        <v/>
      </c>
    </row>
    <row r="11091">
      <c r="A11091" t="inlineStr">
        <is>
          <t>3700578502292</t>
        </is>
      </c>
      <c r="B11091" t="inlineStr">
        <is>
          <t>Parfums De Marly Godolphin Eau De Parfum Spray 75ml</t>
        </is>
      </c>
      <c r="C11091" t="inlineStr">
        <is>
          <t>Eau De Parfum</t>
        </is>
      </c>
      <c r="D11091" t="inlineStr">
        <is>
          <t>Parfums De Marly</t>
        </is>
      </c>
      <c r="E11091" t="n">
        <v>112.9</v>
      </c>
      <c r="F11091" t="n">
        <v>1</v>
      </c>
      <c r="G11091" t="n">
        <v>3</v>
      </c>
      <c r="H11091" s="5">
        <f>HYPERLINK("https://api.qogita.com/variants/link/3700578502292/", "View Product")</f>
        <v/>
      </c>
    </row>
    <row r="11092">
      <c r="A11092" t="inlineStr">
        <is>
          <t>3700578502322</t>
        </is>
      </c>
      <c r="B11092" t="inlineStr">
        <is>
          <t>Parfums De Marly Layton Eau De Parfum 125ml For Men</t>
        </is>
      </c>
      <c r="C11092" t="inlineStr">
        <is>
          <t>Eau De Parfum</t>
        </is>
      </c>
      <c r="D11092" t="inlineStr">
        <is>
          <t>Parfums De Marly</t>
        </is>
      </c>
      <c r="E11092" t="n">
        <v>208.81</v>
      </c>
      <c r="F11092" t="n">
        <v>1</v>
      </c>
      <c r="G11092" t="n">
        <v>18</v>
      </c>
      <c r="H11092" s="5">
        <f>HYPERLINK("https://api.qogita.com/variants/link/3700578502322/", "View Product")</f>
        <v/>
      </c>
    </row>
    <row r="11093">
      <c r="A11093" t="inlineStr">
        <is>
          <t>3700578502360</t>
        </is>
      </c>
      <c r="B11093" t="inlineStr">
        <is>
          <t>Parfums De Marly Pegasus Eau De Parfum</t>
        </is>
      </c>
      <c r="C11093" t="inlineStr">
        <is>
          <t>Eau De Parfum</t>
        </is>
      </c>
      <c r="D11093" t="inlineStr">
        <is>
          <t>Parfums De Marly</t>
        </is>
      </c>
      <c r="E11093" t="n">
        <v>179.58</v>
      </c>
      <c r="F11093" t="n">
        <v>1</v>
      </c>
      <c r="G11093" t="n">
        <v>10</v>
      </c>
      <c r="H11093" s="5">
        <f>HYPERLINK("https://api.qogita.com/variants/link/3700578502360/", "View Product")</f>
        <v/>
      </c>
    </row>
    <row r="11094">
      <c r="A11094" t="inlineStr">
        <is>
          <t>3700578503305</t>
        </is>
      </c>
      <c r="B11094" t="inlineStr">
        <is>
          <t>Parfums De Marly Haltane Eau De Parfum 125ml For Men</t>
        </is>
      </c>
      <c r="C11094" t="inlineStr">
        <is>
          <t>Eau De Parfum</t>
        </is>
      </c>
      <c r="D11094" t="inlineStr">
        <is>
          <t>Parfums De Marly</t>
        </is>
      </c>
      <c r="E11094" t="n">
        <v>195.03</v>
      </c>
      <c r="F11094" t="n">
        <v>1</v>
      </c>
      <c r="G11094" t="n">
        <v>19</v>
      </c>
      <c r="H11094" s="5">
        <f>HYPERLINK("https://api.qogita.com/variants/link/3700578503305/", "View Product")</f>
        <v/>
      </c>
    </row>
    <row r="11095">
      <c r="A11095" t="inlineStr">
        <is>
          <t>3700583501396</t>
        </is>
      </c>
      <c r="B11095" t="inlineStr">
        <is>
          <t>Sospiro Unisex Vibrato Eau De Parfum Spray 3.4 Oz</t>
        </is>
      </c>
      <c r="C11095" t="inlineStr">
        <is>
          <t>Eau De Parfum</t>
        </is>
      </c>
      <c r="D11095" t="inlineStr">
        <is>
          <t>Sospiro</t>
        </is>
      </c>
      <c r="E11095" t="n">
        <v>172.59</v>
      </c>
      <c r="F11095" t="n">
        <v>1</v>
      </c>
      <c r="G11095" t="n">
        <v>582</v>
      </c>
      <c r="H11095" s="5">
        <f>HYPERLINK("https://api.qogita.com/variants/link/3700583501396/", "View Product")</f>
        <v/>
      </c>
    </row>
    <row r="11096">
      <c r="A11096" t="inlineStr">
        <is>
          <t>3700753001381</t>
        </is>
      </c>
      <c r="B11096" t="inlineStr">
        <is>
          <t>Alexandre J The Collector Iris Violet Eau De Parfum 100ml For Women</t>
        </is>
      </c>
      <c r="C11096" t="inlineStr">
        <is>
          <t>Eau De Parfum</t>
        </is>
      </c>
      <c r="D11096" t="inlineStr">
        <is>
          <t>Alexandre J</t>
        </is>
      </c>
      <c r="E11096" t="n">
        <v>58.65</v>
      </c>
      <c r="F11096" t="n">
        <v>1</v>
      </c>
      <c r="G11096" t="n">
        <v>14</v>
      </c>
      <c r="H11096" s="5">
        <f>HYPERLINK("https://api.qogita.com/variants/link/3700753001381/", "View Product")</f>
        <v/>
      </c>
    </row>
    <row r="11097">
      <c r="A11097" t="inlineStr">
        <is>
          <t>3701066204650</t>
        </is>
      </c>
      <c r="B11097" t="inlineStr">
        <is>
          <t>Docteur Renaud Intense Botanical Prescriptions Soothing &amp; Rebalancing Youth Solution Serum</t>
        </is>
      </c>
      <c r="C11097" t="inlineStr">
        <is>
          <t>Anti-Aging Serum</t>
        </is>
      </c>
      <c r="D11097" t="inlineStr">
        <is>
          <t>Docteur Renaud</t>
        </is>
      </c>
      <c r="E11097" t="n">
        <v>22.05</v>
      </c>
      <c r="F11097" t="n">
        <v>1</v>
      </c>
      <c r="G11097" t="n">
        <v>17</v>
      </c>
      <c r="H11097" s="5">
        <f>HYPERLINK("https://api.qogita.com/variants/link/3701066204650/", "View Product")</f>
        <v/>
      </c>
    </row>
    <row r="11098">
      <c r="A11098" t="inlineStr">
        <is>
          <t>3701066205275</t>
        </is>
      </c>
      <c r="B11098" t="inlineStr">
        <is>
          <t>Intensive Perfect Complexion Youth Solution</t>
        </is>
      </c>
      <c r="C11098" t="inlineStr">
        <is>
          <t>Anti-Aging Serum</t>
        </is>
      </c>
      <c r="D11098" t="inlineStr">
        <is>
          <t>Dr Renaud</t>
        </is>
      </c>
      <c r="E11098" t="n">
        <v>25.16</v>
      </c>
      <c r="F11098" t="n">
        <v>1</v>
      </c>
      <c r="G11098" t="n">
        <v>15</v>
      </c>
      <c r="H11098" s="5">
        <f>HYPERLINK("https://api.qogita.com/variants/link/3701066205275/", "View Product")</f>
        <v/>
      </c>
    </row>
    <row r="11099">
      <c r="A11099" t="inlineStr">
        <is>
          <t>3701129800102</t>
        </is>
      </c>
      <c r="B11099" t="inlineStr">
        <is>
          <t>Bioderma Pigmentbio H2o Brightening Micellar Water 250 Ml</t>
        </is>
      </c>
      <c r="C11099" t="inlineStr">
        <is>
          <t>Micellar Water</t>
        </is>
      </c>
      <c r="D11099" t="inlineStr">
        <is>
          <t>Bioderma</t>
        </is>
      </c>
      <c r="E11099" t="n">
        <v>8.5</v>
      </c>
      <c r="F11099" t="n">
        <v>1</v>
      </c>
      <c r="G11099" t="n">
        <v>3</v>
      </c>
      <c r="H11099" s="5">
        <f>HYPERLINK("https://api.qogita.com/variants/link/3701129800102/", "View Product")</f>
        <v/>
      </c>
    </row>
    <row r="11100">
      <c r="A11100" t="inlineStr">
        <is>
          <t>3701129800225</t>
        </is>
      </c>
      <c r="B11100" t="inlineStr">
        <is>
          <t>Bioderma Cicabio Lotion Spray 40ml Regenerating And Soothing Spray For Irritated Skin</t>
        </is>
      </c>
      <c r="C11100" t="inlineStr">
        <is>
          <t>Body Care</t>
        </is>
      </c>
      <c r="D11100" t="inlineStr">
        <is>
          <t>Bioderma</t>
        </is>
      </c>
      <c r="E11100" t="n">
        <v>9.99</v>
      </c>
      <c r="F11100" t="n">
        <v>1</v>
      </c>
      <c r="G11100" t="n">
        <v>14</v>
      </c>
      <c r="H11100" s="5">
        <f>HYPERLINK("https://api.qogita.com/variants/link/3701129800225/", "View Product")</f>
        <v/>
      </c>
    </row>
    <row r="11101">
      <c r="A11101" t="inlineStr">
        <is>
          <t>3701129800997</t>
        </is>
      </c>
      <c r="B11101" t="inlineStr">
        <is>
          <t>Bioderma Gentle Shampoo Abcderm 200 Ml</t>
        </is>
      </c>
      <c r="C11101" t="inlineStr">
        <is>
          <t>Shampoo</t>
        </is>
      </c>
      <c r="D11101" t="inlineStr">
        <is>
          <t>Bioderma</t>
        </is>
      </c>
      <c r="E11101" t="n">
        <v>12.43</v>
      </c>
      <c r="F11101" t="n">
        <v>1</v>
      </c>
      <c r="G11101" t="n">
        <v>17</v>
      </c>
      <c r="H11101" s="5">
        <f>HYPERLINK("https://api.qogita.com/variants/link/3701129800997/", "View Product")</f>
        <v/>
      </c>
    </row>
    <row r="11102">
      <c r="A11102" t="inlineStr">
        <is>
          <t>3701129801000</t>
        </is>
      </c>
      <c r="B11102" t="inlineStr">
        <is>
          <t>Bioderma Atoderm Lip Balm 15 Ml For Cracked Dry Lips</t>
        </is>
      </c>
      <c r="C11102" t="inlineStr">
        <is>
          <t>Medicated Treatments</t>
        </is>
      </c>
      <c r="D11102" t="inlineStr">
        <is>
          <t>Bioderma</t>
        </is>
      </c>
      <c r="E11102" t="n">
        <v>7.58</v>
      </c>
      <c r="F11102" t="n">
        <v>1</v>
      </c>
      <c r="G11102" t="n">
        <v>11</v>
      </c>
      <c r="H11102" s="5">
        <f>HYPERLINK("https://api.qogita.com/variants/link/3701129801000/", "View Product")</f>
        <v/>
      </c>
    </row>
    <row r="11103">
      <c r="A11103" t="inlineStr">
        <is>
          <t>3701129801369</t>
        </is>
      </c>
      <c r="B11103" t="inlineStr">
        <is>
          <t>Bioderma Sebium Night Peel Smoothing Concentrate 40ml</t>
        </is>
      </c>
      <c r="C11103" t="inlineStr">
        <is>
          <t>Night Cream</t>
        </is>
      </c>
      <c r="D11103" t="inlineStr">
        <is>
          <t>Bioderma</t>
        </is>
      </c>
      <c r="E11103" t="n">
        <v>14.68</v>
      </c>
      <c r="F11103" t="n">
        <v>1</v>
      </c>
      <c r="G11103" t="n">
        <v>3</v>
      </c>
      <c r="H11103" s="5">
        <f>HYPERLINK("https://api.qogita.com/variants/link/3701129801369/", "View Product")</f>
        <v/>
      </c>
    </row>
    <row r="11104">
      <c r="A11104" t="inlineStr">
        <is>
          <t>3701129801628</t>
        </is>
      </c>
      <c r="B11104" t="inlineStr">
        <is>
          <t>Bioderma Abcderm Perioral Cream 40ml For Irritations Around The Mouth</t>
        </is>
      </c>
      <c r="C11104" t="inlineStr">
        <is>
          <t>Face Cream</t>
        </is>
      </c>
      <c r="D11104" t="inlineStr">
        <is>
          <t>Bioderma</t>
        </is>
      </c>
      <c r="E11104" t="n">
        <v>7.49</v>
      </c>
      <c r="F11104" t="n">
        <v>1</v>
      </c>
      <c r="G11104" t="n">
        <v>60</v>
      </c>
      <c r="H11104" s="5">
        <f>HYPERLINK("https://api.qogita.com/variants/link/3701129801628/", "View Product")</f>
        <v/>
      </c>
    </row>
    <row r="11105">
      <c r="A11105" t="inlineStr">
        <is>
          <t>3701129801987</t>
        </is>
      </c>
      <c r="B11105" t="inlineStr">
        <is>
          <t>Bioderma Abcderm H2o Micellar Water 1000ml</t>
        </is>
      </c>
      <c r="C11105" t="inlineStr">
        <is>
          <t>Micellar Water</t>
        </is>
      </c>
      <c r="D11105" t="inlineStr">
        <is>
          <t>Bioderma</t>
        </is>
      </c>
      <c r="E11105" t="n">
        <v>15.22</v>
      </c>
      <c r="F11105" t="n">
        <v>1</v>
      </c>
      <c r="G11105" t="n">
        <v>5</v>
      </c>
      <c r="H11105" s="5">
        <f>HYPERLINK("https://api.qogita.com/variants/link/3701129801987/", "View Product")</f>
        <v/>
      </c>
    </row>
    <row r="11106">
      <c r="A11106" t="inlineStr">
        <is>
          <t>3701129802069</t>
        </is>
      </c>
      <c r="B11106" t="inlineStr">
        <is>
          <t>Bioderma Atoderm Intensive Balm Emollient Body Balm 200ml</t>
        </is>
      </c>
      <c r="C11106" t="inlineStr">
        <is>
          <t>Body Lotion</t>
        </is>
      </c>
      <c r="D11106" t="inlineStr">
        <is>
          <t>Bioderma</t>
        </is>
      </c>
      <c r="E11106" t="n">
        <v>12.19</v>
      </c>
      <c r="F11106" t="n">
        <v>1</v>
      </c>
      <c r="G11106" t="n">
        <v>5</v>
      </c>
      <c r="H11106" s="5">
        <f>HYPERLINK("https://api.qogita.com/variants/link/3701129802069/", "View Product")</f>
        <v/>
      </c>
    </row>
    <row r="11107">
      <c r="A11107" t="inlineStr">
        <is>
          <t>3701129802670</t>
        </is>
      </c>
      <c r="B11107" t="inlineStr">
        <is>
          <t>Bioderma Atoderm Intensive Gel Cream 500ml</t>
        </is>
      </c>
      <c r="C11107" t="inlineStr">
        <is>
          <t>Body Lotion</t>
        </is>
      </c>
      <c r="D11107" t="inlineStr">
        <is>
          <t>Bioderma</t>
        </is>
      </c>
      <c r="E11107" t="n">
        <v>18.39</v>
      </c>
      <c r="F11107" t="n">
        <v>1</v>
      </c>
      <c r="G11107" t="n">
        <v>2</v>
      </c>
      <c r="H11107" s="5">
        <f>HYPERLINK("https://api.qogita.com/variants/link/3701129802670/", "View Product")</f>
        <v/>
      </c>
    </row>
    <row r="11108">
      <c r="A11108" t="inlineStr">
        <is>
          <t>3701129803516</t>
        </is>
      </c>
      <c r="B11108" t="inlineStr">
        <is>
          <t>Bioderma Photoderm Light Colour Cream Spf 50 40ml</t>
        </is>
      </c>
      <c r="C11108" t="inlineStr">
        <is>
          <t>Face Sun Protection</t>
        </is>
      </c>
      <c r="D11108" t="inlineStr">
        <is>
          <t>Bioderma</t>
        </is>
      </c>
      <c r="E11108" t="n">
        <v>13.28</v>
      </c>
      <c r="F11108" t="n">
        <v>1</v>
      </c>
      <c r="G11108" t="n">
        <v>3</v>
      </c>
      <c r="H11108" s="5">
        <f>HYPERLINK("https://api.qogita.com/variants/link/3701129803516/", "View Product")</f>
        <v/>
      </c>
    </row>
    <row r="11109">
      <c r="A11109" t="inlineStr">
        <is>
          <t>3701129803820</t>
        </is>
      </c>
      <c r="B11109" t="inlineStr">
        <is>
          <t>Bioderma Photoderm After Sun Gelcream Sensitive Skin 200ml</t>
        </is>
      </c>
      <c r="C11109" t="inlineStr">
        <is>
          <t>Aftersun</t>
        </is>
      </c>
      <c r="D11109" t="inlineStr">
        <is>
          <t>Bioderma</t>
        </is>
      </c>
      <c r="E11109" t="n">
        <v>8.09</v>
      </c>
      <c r="F11109" t="n">
        <v>1</v>
      </c>
      <c r="G11109" t="n">
        <v>7</v>
      </c>
      <c r="H11109" s="5">
        <f>HYPERLINK("https://api.qogita.com/variants/link/3701129803820/", "View Product")</f>
        <v/>
      </c>
    </row>
    <row r="11110">
      <c r="A11110" t="inlineStr">
        <is>
          <t>3701129804711</t>
        </is>
      </c>
      <c r="B11110" t="inlineStr">
        <is>
          <t>Bioderma Cicabio Repairing Balm For Hands 50ml</t>
        </is>
      </c>
      <c r="C11110" t="inlineStr">
        <is>
          <t>Hand Cream</t>
        </is>
      </c>
      <c r="D11110" t="inlineStr">
        <is>
          <t>Bioderma</t>
        </is>
      </c>
      <c r="E11110" t="n">
        <v>7.94</v>
      </c>
      <c r="F11110" t="n">
        <v>1</v>
      </c>
      <c r="G11110" t="n">
        <v>5</v>
      </c>
      <c r="H11110" s="5">
        <f>HYPERLINK("https://api.qogita.com/variants/link/3701129804711/", "View Product")</f>
        <v/>
      </c>
    </row>
    <row r="11111">
      <c r="A11111" t="inlineStr">
        <is>
          <t>3701129805060</t>
        </is>
      </c>
      <c r="B11111" t="inlineStr">
        <is>
          <t>Bioderma Node Ds Anti Recurrence Antidandruff Shampoo 125 Ml</t>
        </is>
      </c>
      <c r="C11111" t="inlineStr">
        <is>
          <t>Shampoo</t>
        </is>
      </c>
      <c r="D11111" t="inlineStr">
        <is>
          <t>Bioderma</t>
        </is>
      </c>
      <c r="E11111" t="n">
        <v>11.9</v>
      </c>
      <c r="F11111" t="n">
        <v>1</v>
      </c>
      <c r="G11111" t="n">
        <v>38</v>
      </c>
      <c r="H11111" s="5">
        <f>HYPERLINK("https://api.qogita.com/variants/link/3701129805060/", "View Product")</f>
        <v/>
      </c>
    </row>
    <row r="11112">
      <c r="A11112" t="inlineStr">
        <is>
          <t>3701129805367</t>
        </is>
      </c>
      <c r="B11112" t="inlineStr">
        <is>
          <t>Bioderma Sebium Kerato Gelcream 30ml Antiblemish High Tolerance Gelcream</t>
        </is>
      </c>
      <c r="C11112" t="inlineStr">
        <is>
          <t>Pimple &amp; Blackhead Treatments</t>
        </is>
      </c>
      <c r="D11112" t="inlineStr">
        <is>
          <t>Bioderma</t>
        </is>
      </c>
      <c r="E11112" t="n">
        <v>10.76</v>
      </c>
      <c r="F11112" t="n">
        <v>1</v>
      </c>
      <c r="G11112" t="n">
        <v>32</v>
      </c>
      <c r="H11112" s="5">
        <f>HYPERLINK("https://api.qogita.com/variants/link/3701129805367/", "View Product")</f>
        <v/>
      </c>
    </row>
    <row r="11113">
      <c r="A11113" t="inlineStr">
        <is>
          <t>3701129807880</t>
        </is>
      </c>
      <c r="B11113" t="inlineStr">
        <is>
          <t>Bioderma Photoderm Eau Solaire Bronz Spf30 200ml</t>
        </is>
      </c>
      <c r="C11113" t="inlineStr">
        <is>
          <t>Body Sun Protection</t>
        </is>
      </c>
      <c r="D11113" t="inlineStr">
        <is>
          <t>Bioderma</t>
        </is>
      </c>
      <c r="E11113" t="n">
        <v>18.99</v>
      </c>
      <c r="F11113" t="n">
        <v>1</v>
      </c>
      <c r="G11113" t="n">
        <v>3</v>
      </c>
      <c r="H11113" s="5">
        <f>HYPERLINK("https://api.qogita.com/variants/link/3701129807880/", "View Product")</f>
        <v/>
      </c>
    </row>
    <row r="11114">
      <c r="A11114" t="inlineStr">
        <is>
          <t>3701129810095</t>
        </is>
      </c>
      <c r="B11114" t="inlineStr">
        <is>
          <t>Bioderma Cicabio Cream Ultrarepairing Soothing Cream 40ml</t>
        </is>
      </c>
      <c r="C11114" t="inlineStr">
        <is>
          <t>Face Cream</t>
        </is>
      </c>
      <c r="D11114" t="inlineStr">
        <is>
          <t>Bioderma</t>
        </is>
      </c>
      <c r="E11114" t="n">
        <v>7.52</v>
      </c>
      <c r="F11114" t="n">
        <v>1</v>
      </c>
      <c r="G11114" t="n">
        <v>3</v>
      </c>
      <c r="H11114" s="5">
        <f>HYPERLINK("https://api.qogita.com/variants/link/3701129810095/", "View Product")</f>
        <v/>
      </c>
    </row>
    <row r="11115">
      <c r="A11115" t="inlineStr">
        <is>
          <t>3701129810194</t>
        </is>
      </c>
      <c r="B11115" t="inlineStr">
        <is>
          <t>Bioderma Atoderm Shower Oil 500 ml - Soothing Ultra-Nourishing Shower Oil for Dry and Irritated Skin</t>
        </is>
      </c>
      <c r="C11115" t="inlineStr">
        <is>
          <t>Shower Oil</t>
        </is>
      </c>
      <c r="D11115" t="inlineStr">
        <is>
          <t>Bioderma</t>
        </is>
      </c>
      <c r="E11115" t="n">
        <v>12.2</v>
      </c>
      <c r="F11115" t="n">
        <v>1</v>
      </c>
      <c r="G11115" t="n">
        <v>14</v>
      </c>
      <c r="H11115" s="5">
        <f>HYPERLINK("https://api.qogita.com/variants/link/3701129810194/", "View Product")</f>
        <v/>
      </c>
    </row>
    <row r="11116">
      <c r="A11116" t="inlineStr">
        <is>
          <t>3701129811467</t>
        </is>
      </c>
      <c r="B11116" t="inlineStr">
        <is>
          <t>Bioderma Sensibio Eye Eye Contour For Sensitive Skin 15 Ml</t>
        </is>
      </c>
      <c r="C11116" t="inlineStr">
        <is>
          <t>Eye Cream</t>
        </is>
      </c>
      <c r="D11116" t="inlineStr">
        <is>
          <t>Bioderma</t>
        </is>
      </c>
      <c r="E11116" t="n">
        <v>12.53</v>
      </c>
      <c r="F11116" t="n">
        <v>1</v>
      </c>
      <c r="G11116" t="n">
        <v>34</v>
      </c>
      <c r="H11116" s="5">
        <f>HYPERLINK("https://api.qogita.com/variants/link/3701129811467/", "View Product")</f>
        <v/>
      </c>
    </row>
    <row r="11117">
      <c r="A11117" t="inlineStr">
        <is>
          <t>3701129811627</t>
        </is>
      </c>
      <c r="B11117" t="inlineStr">
        <is>
          <t>Bioderma Atoderm Shower Oil Cleansing Oil Body Wash for Very Dry Skin and Eczema</t>
        </is>
      </c>
      <c r="C11117" t="inlineStr">
        <is>
          <t>Shower Oil</t>
        </is>
      </c>
      <c r="D11117" t="inlineStr">
        <is>
          <t>Bioderma</t>
        </is>
      </c>
      <c r="E11117" t="n">
        <v>13.23</v>
      </c>
      <c r="F11117" t="n">
        <v>1</v>
      </c>
      <c r="G11117" t="n">
        <v>459</v>
      </c>
      <c r="H11117" s="5">
        <f>HYPERLINK("https://api.qogita.com/variants/link/3701129811627/", "View Product")</f>
        <v/>
      </c>
    </row>
    <row r="11118">
      <c r="A11118" t="inlineStr">
        <is>
          <t>3701129813430</t>
        </is>
      </c>
      <c r="B11118" t="inlineStr">
        <is>
          <t>Bioderma Sensibio Ar+ Sos Soothing Anti-Redness Spray 70 Ml</t>
        </is>
      </c>
      <c r="C11118" t="inlineStr">
        <is>
          <t>Facial Spray</t>
        </is>
      </c>
      <c r="D11118" t="inlineStr">
        <is>
          <t>Bioderma</t>
        </is>
      </c>
      <c r="E11118" t="n">
        <v>14.04</v>
      </c>
      <c r="F11118" t="n">
        <v>1</v>
      </c>
      <c r="G11118" t="n">
        <v>4</v>
      </c>
      <c r="H11118" s="5">
        <f>HYPERLINK("https://api.qogita.com/variants/link/3701129813430/", "View Product")</f>
        <v/>
      </c>
    </row>
    <row r="11119">
      <c r="A11119" t="inlineStr">
        <is>
          <t>3701278600868</t>
        </is>
      </c>
      <c r="B11119" t="inlineStr">
        <is>
          <t>Alexandre J The Majestic Amber 100ml EDP 1920 Art Deco</t>
        </is>
      </c>
      <c r="C11119" t="inlineStr">
        <is>
          <t>Eau De Parfum</t>
        </is>
      </c>
      <c r="D11119" t="inlineStr">
        <is>
          <t>Alexandre J</t>
        </is>
      </c>
      <c r="E11119" t="n">
        <v>67.44</v>
      </c>
      <c r="F11119" t="n">
        <v>1</v>
      </c>
      <c r="G11119" t="n">
        <v>10</v>
      </c>
      <c r="H11119" s="5">
        <f>HYPERLINK("https://api.qogita.com/variants/link/3701278600868/", "View Product")</f>
        <v/>
      </c>
    </row>
    <row r="11120">
      <c r="A11120" t="inlineStr">
        <is>
          <t>3701278602398</t>
        </is>
      </c>
      <c r="B11120" t="inlineStr">
        <is>
          <t>Alexandre.J Art Nouveau Collection Majestic Nard Eau De Parfum Spray 100ml</t>
        </is>
      </c>
      <c r="C11120" t="inlineStr">
        <is>
          <t>Eau De Parfum</t>
        </is>
      </c>
      <c r="D11120" t="inlineStr">
        <is>
          <t>Alexandre.J</t>
        </is>
      </c>
      <c r="E11120" t="n">
        <v>131.57</v>
      </c>
      <c r="F11120" t="n">
        <v>1</v>
      </c>
      <c r="G11120" t="n">
        <v>2</v>
      </c>
      <c r="H11120" s="5">
        <f>HYPERLINK("https://api.qogita.com/variants/link/3701278602398/", "View Product")</f>
        <v/>
      </c>
    </row>
    <row r="11121">
      <c r="A11121" t="inlineStr">
        <is>
          <t>3701392053205</t>
        </is>
      </c>
      <c r="B11121" t="inlineStr">
        <is>
          <t>Parfums Sophie la girafe Eau de Toilette 100ml with Soft 17cm Sophie la girafe Plush Toy for Children 5+ - Vegan Fragrance with 96% Natural Ingredients</t>
        </is>
      </c>
      <c r="C11121" t="inlineStr">
        <is>
          <t>Eau De Toilette</t>
        </is>
      </c>
      <c r="D11121" t="inlineStr">
        <is>
          <t>Sophie La Girafe</t>
        </is>
      </c>
      <c r="E11121" t="n">
        <v>19.07</v>
      </c>
      <c r="F11121" t="n">
        <v>1</v>
      </c>
      <c r="G11121" t="n">
        <v>5</v>
      </c>
      <c r="H11121" s="5">
        <f>HYPERLINK("https://api.qogita.com/variants/link/3701392053205/", "View Product")</f>
        <v/>
      </c>
    </row>
    <row r="11122">
      <c r="A11122" t="inlineStr">
        <is>
          <t>3701436907907</t>
        </is>
      </c>
      <c r="B11122" t="inlineStr">
        <is>
          <t>Roger &amp; Gallet Bois D'Orange Eau De Toilette 100ml Fragrant Wellbeing Water For Unisex</t>
        </is>
      </c>
      <c r="C11122" t="inlineStr">
        <is>
          <t>Eau De Toilette</t>
        </is>
      </c>
      <c r="D11122" t="inlineStr">
        <is>
          <t>Roger &amp; Gallet</t>
        </is>
      </c>
      <c r="E11122" t="n">
        <v>23.82</v>
      </c>
      <c r="F11122" t="n">
        <v>1</v>
      </c>
      <c r="G11122" t="n">
        <v>3</v>
      </c>
      <c r="H11122" s="5">
        <f>HYPERLINK("https://api.qogita.com/variants/link/3701436907907/", "View Product")</f>
        <v/>
      </c>
    </row>
    <row r="11123">
      <c r="A11123" t="inlineStr">
        <is>
          <t>3701436908676</t>
        </is>
      </c>
      <c r="B11123" t="inlineStr">
        <is>
          <t>Lierac Exfoliating Mask 75ml</t>
        </is>
      </c>
      <c r="C11123" t="inlineStr">
        <is>
          <t>Purifying Mask</t>
        </is>
      </c>
      <c r="D11123" t="inlineStr">
        <is>
          <t>Lierac</t>
        </is>
      </c>
      <c r="E11123" t="n">
        <v>12.87</v>
      </c>
      <c r="F11123" t="n">
        <v>1</v>
      </c>
      <c r="G11123" t="n">
        <v>2</v>
      </c>
      <c r="H11123" s="5">
        <f>HYPERLINK("https://api.qogita.com/variants/link/3701436908676/", "View Product")</f>
        <v/>
      </c>
    </row>
    <row r="11124">
      <c r="A11124" t="inlineStr">
        <is>
          <t>3701436908973</t>
        </is>
      </c>
      <c r="B11124" t="inlineStr">
        <is>
          <t>Lierac Integral Night Cream - 50ml</t>
        </is>
      </c>
      <c r="C11124" t="inlineStr">
        <is>
          <t>Night Cream</t>
        </is>
      </c>
      <c r="D11124" t="inlineStr">
        <is>
          <t>Lierac</t>
        </is>
      </c>
      <c r="E11124" t="n">
        <v>30.51</v>
      </c>
      <c r="F11124" t="n">
        <v>1</v>
      </c>
      <c r="G11124" t="n">
        <v>7</v>
      </c>
      <c r="H11124" s="5">
        <f>HYPERLINK("https://api.qogita.com/variants/link/3701436908973/", "View Product")</f>
        <v/>
      </c>
    </row>
    <row r="11125">
      <c r="A11125" t="inlineStr">
        <is>
          <t>3701436913496</t>
        </is>
      </c>
      <c r="B11125" t="inlineStr">
        <is>
          <t>Lierac Arkskin Day Cream Menopause 50ml Moisturizer For Women</t>
        </is>
      </c>
      <c r="C11125" t="inlineStr">
        <is>
          <t>Day Cream</t>
        </is>
      </c>
      <c r="D11125" t="inlineStr">
        <is>
          <t>Lierac</t>
        </is>
      </c>
      <c r="E11125" t="n">
        <v>23.46</v>
      </c>
      <c r="F11125" t="n">
        <v>1</v>
      </c>
      <c r="G11125" t="n">
        <v>2</v>
      </c>
      <c r="H11125" s="5">
        <f>HYPERLINK("https://api.qogita.com/variants/link/3701436913496/", "View Product")</f>
        <v/>
      </c>
    </row>
    <row r="11126">
      <c r="A11126" t="inlineStr">
        <is>
          <t>3701436916183</t>
        </is>
      </c>
      <c r="B11126" t="inlineStr">
        <is>
          <t>Phyto Paris Phyto Volume Volumising Shampoo 250ml</t>
        </is>
      </c>
      <c r="C11126" t="inlineStr">
        <is>
          <t>Shampoo</t>
        </is>
      </c>
      <c r="D11126" t="inlineStr">
        <is>
          <t>Phyto</t>
        </is>
      </c>
      <c r="E11126" t="n">
        <v>7.52</v>
      </c>
      <c r="F11126" t="n">
        <v>1</v>
      </c>
      <c r="G11126" t="n">
        <v>9</v>
      </c>
      <c r="H11126" s="5">
        <f>HYPERLINK("https://api.qogita.com/variants/link/3701436916183/", "View Product")</f>
        <v/>
      </c>
    </row>
    <row r="11127">
      <c r="A11127" t="inlineStr">
        <is>
          <t>3701436917449</t>
        </is>
      </c>
      <c r="B11127" t="inlineStr">
        <is>
          <t>Lierac Body Sculpt Cryoactive Concentrate 150ml Anticellulite Gel</t>
        </is>
      </c>
      <c r="C11127" t="inlineStr">
        <is>
          <t>Anti-Cellulite</t>
        </is>
      </c>
      <c r="D11127" t="inlineStr">
        <is>
          <t>Lierac</t>
        </is>
      </c>
      <c r="E11127" t="n">
        <v>21.68</v>
      </c>
      <c r="F11127" t="n">
        <v>1</v>
      </c>
      <c r="G11127" t="n">
        <v>2</v>
      </c>
      <c r="H11127" s="5">
        <f>HYPERLINK("https://api.qogita.com/variants/link/3701436917449/", "View Product")</f>
        <v/>
      </c>
    </row>
    <row r="11128">
      <c r="A11128" t="inlineStr">
        <is>
          <t>3701436917494</t>
        </is>
      </c>
      <c r="B11128" t="inlineStr">
        <is>
          <t>Lierac Sunissime Velvety Sun Fluid Spf 30 40ml</t>
        </is>
      </c>
      <c r="C11128" t="inlineStr">
        <is>
          <t>Face Sun Protection</t>
        </is>
      </c>
      <c r="D11128" t="inlineStr">
        <is>
          <t>Lierac</t>
        </is>
      </c>
      <c r="E11128" t="n">
        <v>15.93</v>
      </c>
      <c r="F11128" t="n">
        <v>1</v>
      </c>
      <c r="G11128" t="n">
        <v>15</v>
      </c>
      <c r="H11128" s="5">
        <f>HYPERLINK("https://api.qogita.com/variants/link/3701436917494/", "View Product")</f>
        <v/>
      </c>
    </row>
    <row r="11129">
      <c r="A11129" t="inlineStr">
        <is>
          <t>3701436917500</t>
        </is>
      </c>
      <c r="B11129" t="inlineStr">
        <is>
          <t>Lierac Sunissime Velvety Solar Fluid Spf50 40ml</t>
        </is>
      </c>
      <c r="C11129" t="inlineStr">
        <is>
          <t>Face Sun Protection</t>
        </is>
      </c>
      <c r="D11129" t="inlineStr">
        <is>
          <t>Lierac</t>
        </is>
      </c>
      <c r="E11129" t="n">
        <v>19.33</v>
      </c>
      <c r="F11129" t="n">
        <v>1</v>
      </c>
      <c r="G11129" t="n">
        <v>18</v>
      </c>
      <c r="H11129" s="5">
        <f>HYPERLINK("https://api.qogita.com/variants/link/3701436917500/", "View Product")</f>
        <v/>
      </c>
    </row>
    <row r="11130">
      <c r="A11130" t="inlineStr">
        <is>
          <t>3701436917524</t>
        </is>
      </c>
      <c r="B11130" t="inlineStr">
        <is>
          <t>Lierac Sunissime Sunscreen Milk Spf 50 150ml</t>
        </is>
      </c>
      <c r="C11130" t="inlineStr">
        <is>
          <t>Body Sun Protection</t>
        </is>
      </c>
      <c r="D11130" t="inlineStr">
        <is>
          <t>Lierac</t>
        </is>
      </c>
      <c r="E11130" t="n">
        <v>21.97</v>
      </c>
      <c r="F11130" t="n">
        <v>1</v>
      </c>
      <c r="G11130" t="n">
        <v>14</v>
      </c>
      <c r="H11130" s="5">
        <f>HYPERLINK("https://api.qogita.com/variants/link/3701436917524/", "View Product")</f>
        <v/>
      </c>
    </row>
    <row r="11131">
      <c r="A11131" t="inlineStr">
        <is>
          <t>3701436917555</t>
        </is>
      </c>
      <c r="B11131" t="inlineStr">
        <is>
          <t>Lierac Sunissime The After Sun Sorbet 50 Ml After Sun Cream</t>
        </is>
      </c>
      <c r="C11131" t="inlineStr">
        <is>
          <t>Aftersun</t>
        </is>
      </c>
      <c r="D11131" t="inlineStr">
        <is>
          <t>Lierac</t>
        </is>
      </c>
      <c r="E11131" t="n">
        <v>12.47</v>
      </c>
      <c r="F11131" t="n">
        <v>1</v>
      </c>
      <c r="G11131" t="n">
        <v>5</v>
      </c>
      <c r="H11131" s="5">
        <f>HYPERLINK("https://api.qogita.com/variants/link/3701436917555/", "View Product")</f>
        <v/>
      </c>
    </row>
    <row r="11132">
      <c r="A11132" t="inlineStr">
        <is>
          <t>3701436919610</t>
        </is>
      </c>
      <c r="B11132" t="inlineStr">
        <is>
          <t>Lierac The Cleansing Milk Removes Make-up Cleans and Nourishes 400ml</t>
        </is>
      </c>
      <c r="C11132" t="inlineStr">
        <is>
          <t>Cleansing Milk</t>
        </is>
      </c>
      <c r="D11132" t="inlineStr">
        <is>
          <t>Lierac</t>
        </is>
      </c>
      <c r="E11132" t="n">
        <v>18</v>
      </c>
      <c r="F11132" t="n">
        <v>1</v>
      </c>
      <c r="G11132" t="n">
        <v>4</v>
      </c>
      <c r="H11132" s="5">
        <f>HYPERLINK("https://api.qogita.com/variants/link/3701436919610/", "View Product")</f>
        <v/>
      </c>
    </row>
    <row r="11133">
      <c r="A11133" t="inlineStr">
        <is>
          <t>3701436920357</t>
        </is>
      </c>
      <c r="B11133" t="inlineStr">
        <is>
          <t>Phyto Volume Shampoo Volumizer 500ml By Phyto</t>
        </is>
      </c>
      <c r="C11133" t="inlineStr">
        <is>
          <t>Shampoo</t>
        </is>
      </c>
      <c r="D11133" t="inlineStr">
        <is>
          <t>Phyto</t>
        </is>
      </c>
      <c r="E11133" t="n">
        <v>12.41</v>
      </c>
      <c r="F11133" t="n">
        <v>1</v>
      </c>
      <c r="G11133" t="n">
        <v>2</v>
      </c>
      <c r="H11133" s="5">
        <f>HYPERLINK("https://api.qogita.com/variants/link/3701436920357/", "View Product")</f>
        <v/>
      </c>
    </row>
    <row r="11134">
      <c r="A11134" t="inlineStr">
        <is>
          <t>3701436922115</t>
        </is>
      </c>
      <c r="B11134" t="inlineStr">
        <is>
          <t>Lierac Diopti Eye Bag Corrector Gel 15ml</t>
        </is>
      </c>
      <c r="C11134" t="inlineStr">
        <is>
          <t>Eye Gel</t>
        </is>
      </c>
      <c r="D11134" t="inlineStr">
        <is>
          <t>Lierac</t>
        </is>
      </c>
      <c r="E11134" t="n">
        <v>16.04</v>
      </c>
      <c r="F11134" t="n">
        <v>1</v>
      </c>
      <c r="G11134" t="n">
        <v>19</v>
      </c>
      <c r="H11134" s="5">
        <f>HYPERLINK("https://api.qogita.com/variants/link/3701436922115/", "View Product")</f>
        <v/>
      </c>
    </row>
    <row r="11135">
      <c r="A11135" t="inlineStr">
        <is>
          <t>3701436927561</t>
        </is>
      </c>
      <c r="B11135" t="inlineStr">
        <is>
          <t>Lierac Lierac Homme Global Anti-Aging Fluid Set 3 Pieces</t>
        </is>
      </c>
      <c r="C11135" t="inlineStr">
        <is>
          <t>Facial Care Sets</t>
        </is>
      </c>
      <c r="D11135" t="inlineStr">
        <is>
          <t>Lierac</t>
        </is>
      </c>
      <c r="E11135" t="n">
        <v>26.92</v>
      </c>
      <c r="F11135" t="n">
        <v>1</v>
      </c>
      <c r="G11135" t="n">
        <v>3</v>
      </c>
      <c r="H11135" s="5">
        <f>HYPERLINK("https://api.qogita.com/variants/link/3701436927561/", "View Product")</f>
        <v/>
      </c>
    </row>
    <row r="11136">
      <c r="A11136" t="inlineStr">
        <is>
          <t>3760004321361</t>
        </is>
      </c>
      <c r="B11136" t="inlineStr">
        <is>
          <t>Pascal Morabito Gold Eau de Parfum 100ml for Women</t>
        </is>
      </c>
      <c r="C11136" t="inlineStr">
        <is>
          <t>Eau De Parfum</t>
        </is>
      </c>
      <c r="D11136" t="inlineStr">
        <is>
          <t>Pascal Morabito</t>
        </is>
      </c>
      <c r="E11136" t="n">
        <v>6.54</v>
      </c>
      <c r="F11136" t="n">
        <v>1</v>
      </c>
      <c r="G11136" t="n">
        <v>17</v>
      </c>
      <c r="H11136" s="5">
        <f>HYPERLINK("https://api.qogita.com/variants/link/3760004321361/", "View Product")</f>
        <v/>
      </c>
    </row>
    <row r="11137">
      <c r="A11137" t="inlineStr">
        <is>
          <t>3760004322368</t>
        </is>
      </c>
      <c r="B11137" t="inlineStr">
        <is>
          <t>Pascal Morabito Sunset Boulevard Eau De Toilette Spray 100ml</t>
        </is>
      </c>
      <c r="C11137" t="inlineStr">
        <is>
          <t>Eau De Toilette</t>
        </is>
      </c>
      <c r="D11137" t="inlineStr">
        <is>
          <t>Pascal Morabito</t>
        </is>
      </c>
      <c r="E11137" t="n">
        <v>9.279999999999999</v>
      </c>
      <c r="F11137" t="n">
        <v>1</v>
      </c>
      <c r="G11137" t="n">
        <v>5</v>
      </c>
      <c r="H11137" s="5">
        <f>HYPERLINK("https://api.qogita.com/variants/link/3760004322368/", "View Product")</f>
        <v/>
      </c>
    </row>
    <row r="11138">
      <c r="A11138" t="inlineStr">
        <is>
          <t>3760004322481</t>
        </is>
      </c>
      <c r="B11138" t="inlineStr">
        <is>
          <t>Beautiful Girl by Pascal Morabito Eau de Parfum Spray 100ml</t>
        </is>
      </c>
      <c r="C11138" t="inlineStr">
        <is>
          <t>Eau De Parfum</t>
        </is>
      </c>
      <c r="D11138" t="inlineStr">
        <is>
          <t>Pascal Morabito</t>
        </is>
      </c>
      <c r="E11138" t="n">
        <v>10.7</v>
      </c>
      <c r="F11138" t="n">
        <v>1</v>
      </c>
      <c r="G11138" t="n">
        <v>11</v>
      </c>
      <c r="H11138" s="5">
        <f>HYPERLINK("https://api.qogita.com/variants/link/3760004322481/", "View Product")</f>
        <v/>
      </c>
    </row>
    <row r="11139">
      <c r="A11139" t="inlineStr">
        <is>
          <t>3760016770270</t>
        </is>
      </c>
      <c r="B11139" t="inlineStr">
        <is>
          <t>Alexandre.J Golden Oud Unisex Eau de Parfum Spray 100ml</t>
        </is>
      </c>
      <c r="C11139" t="inlineStr">
        <is>
          <t>Eau De Parfum</t>
        </is>
      </c>
      <c r="D11139" t="inlineStr">
        <is>
          <t>Alexandre J</t>
        </is>
      </c>
      <c r="E11139" t="n">
        <v>58.43</v>
      </c>
      <c r="F11139" t="n">
        <v>1</v>
      </c>
      <c r="G11139" t="n">
        <v>16</v>
      </c>
      <c r="H11139" s="5">
        <f>HYPERLINK("https://api.qogita.com/variants/link/3760016770270/", "View Product")</f>
        <v/>
      </c>
    </row>
    <row r="11140">
      <c r="A11140" t="inlineStr">
        <is>
          <t>3760016770294</t>
        </is>
      </c>
      <c r="B11140" t="inlineStr">
        <is>
          <t>Alexandre J Zafeer Oud Vanilla Unisex Eau De Parfum Spray 100ml</t>
        </is>
      </c>
      <c r="C11140" t="inlineStr">
        <is>
          <t>Eau De Parfum</t>
        </is>
      </c>
      <c r="D11140" t="inlineStr">
        <is>
          <t>Alexandre J</t>
        </is>
      </c>
      <c r="E11140" t="n">
        <v>58.49</v>
      </c>
      <c r="F11140" t="n">
        <v>1</v>
      </c>
      <c r="G11140" t="n">
        <v>7</v>
      </c>
      <c r="H11140" s="5">
        <f>HYPERLINK("https://api.qogita.com/variants/link/3760016770294/", "View Product")</f>
        <v/>
      </c>
    </row>
    <row r="11141">
      <c r="A11141" t="inlineStr">
        <is>
          <t>3760016770324</t>
        </is>
      </c>
      <c r="B11141" t="inlineStr">
        <is>
          <t>Alexandre J Morning Muscs Eau De Parfum 100ml Unisex Spray</t>
        </is>
      </c>
      <c r="C11141" t="inlineStr">
        <is>
          <t>Eau De Parfum</t>
        </is>
      </c>
      <c r="D11141" t="inlineStr">
        <is>
          <t>Alexandre J</t>
        </is>
      </c>
      <c r="E11141" t="n">
        <v>52.57</v>
      </c>
      <c r="F11141" t="n">
        <v>1</v>
      </c>
      <c r="G11141" t="n">
        <v>11</v>
      </c>
      <c r="H11141" s="5">
        <f>HYPERLINK("https://api.qogita.com/variants/link/3760016770324/", "View Product")</f>
        <v/>
      </c>
    </row>
    <row r="11142">
      <c r="A11142" t="inlineStr">
        <is>
          <t>3760019120386</t>
        </is>
      </c>
      <c r="B11142" t="inlineStr">
        <is>
          <t>Soskin A+ Eye Care Serum 30ml</t>
        </is>
      </c>
      <c r="C11142" t="inlineStr">
        <is>
          <t>Eye Serum</t>
        </is>
      </c>
      <c r="D11142" t="inlineStr">
        <is>
          <t>Soskin</t>
        </is>
      </c>
      <c r="E11142" t="n">
        <v>37.1</v>
      </c>
      <c r="F11142" t="n">
        <v>1</v>
      </c>
      <c r="G11142" t="n">
        <v>2</v>
      </c>
      <c r="H11142" s="5">
        <f>HYPERLINK("https://api.qogita.com/variants/link/3760019120386/", "View Product")</f>
        <v/>
      </c>
    </row>
    <row r="11143">
      <c r="A11143" t="inlineStr">
        <is>
          <t>3760019120584</t>
        </is>
      </c>
      <c r="B11143" t="inlineStr">
        <is>
          <t>Soskin Gentle Purifying Lotion 250ml</t>
        </is>
      </c>
      <c r="C11143" t="inlineStr">
        <is>
          <t>Face Lotion</t>
        </is>
      </c>
      <c r="D11143" t="inlineStr">
        <is>
          <t>Soskin</t>
        </is>
      </c>
      <c r="E11143" t="n">
        <v>14.35</v>
      </c>
      <c r="F11143" t="n">
        <v>1</v>
      </c>
      <c r="G11143" t="n">
        <v>4</v>
      </c>
      <c r="H11143" s="5">
        <f>HYPERLINK("https://api.qogita.com/variants/link/3760019120584/", "View Product")</f>
        <v/>
      </c>
    </row>
    <row r="11144">
      <c r="A11144" t="inlineStr">
        <is>
          <t>3760019121611</t>
        </is>
      </c>
      <c r="B11144" t="inlineStr">
        <is>
          <t>Soskin Paris Stop Imperfection Serum</t>
        </is>
      </c>
      <c r="C11144" t="inlineStr">
        <is>
          <t>Face Serum</t>
        </is>
      </c>
      <c r="D11144" t="inlineStr">
        <is>
          <t>Soskin Paris</t>
        </is>
      </c>
      <c r="E11144" t="n">
        <v>14.35</v>
      </c>
      <c r="F11144" t="n">
        <v>1</v>
      </c>
      <c r="G11144" t="n">
        <v>3</v>
      </c>
      <c r="H11144" s="5">
        <f>HYPERLINK("https://api.qogita.com/variants/link/3760019121611/", "View Product")</f>
        <v/>
      </c>
    </row>
    <row r="11145">
      <c r="A11145" t="inlineStr">
        <is>
          <t>3760019129228</t>
        </is>
      </c>
      <c r="B11145" t="inlineStr">
        <is>
          <t>Soskin Paris Glyco-C Pigment Wrinkle Corrective Care Night Cream - 30 Ml</t>
        </is>
      </c>
      <c r="C11145" t="inlineStr">
        <is>
          <t>Night Cream</t>
        </is>
      </c>
      <c r="D11145" t="inlineStr">
        <is>
          <t>Soskin Paris</t>
        </is>
      </c>
      <c r="E11145" t="n">
        <v>27.69</v>
      </c>
      <c r="F11145" t="n">
        <v>1</v>
      </c>
      <c r="G11145" t="n">
        <v>2</v>
      </c>
      <c r="H11145" s="5">
        <f>HYPERLINK("https://api.qogita.com/variants/link/3760019129228/", "View Product")</f>
        <v/>
      </c>
    </row>
    <row r="11146">
      <c r="A11146" t="inlineStr">
        <is>
          <t>3760022731197</t>
        </is>
      </c>
      <c r="B11146" t="inlineStr">
        <is>
          <t>Juliette Has A Gun Vanilla Vibes Eau De Parfum 50ml Unisex Spray</t>
        </is>
      </c>
      <c r="C11146" t="inlineStr">
        <is>
          <t>Eau De Parfum</t>
        </is>
      </c>
      <c r="D11146" t="inlineStr">
        <is>
          <t>Juliette has a gun</t>
        </is>
      </c>
      <c r="E11146" t="n">
        <v>43.02</v>
      </c>
      <c r="F11146" t="n">
        <v>1</v>
      </c>
      <c r="G11146" t="n">
        <v>16</v>
      </c>
      <c r="H11146" s="5">
        <f>HYPERLINK("https://api.qogita.com/variants/link/3760022731197/", "View Product")</f>
        <v/>
      </c>
    </row>
    <row r="11147">
      <c r="A11147" t="inlineStr">
        <is>
          <t>3760022731845</t>
        </is>
      </c>
      <c r="B11147" t="inlineStr">
        <is>
          <t>Musc Invisible Eau de Parfum Spray 50ml</t>
        </is>
      </c>
      <c r="C11147" t="inlineStr">
        <is>
          <t>Eau De Parfum</t>
        </is>
      </c>
      <c r="D11147" t="inlineStr">
        <is>
          <t>Juliette has a gun</t>
        </is>
      </c>
      <c r="E11147" t="n">
        <v>12.56</v>
      </c>
      <c r="F11147" t="n">
        <v>1</v>
      </c>
      <c r="G11147" t="n">
        <v>22</v>
      </c>
      <c r="H11147" s="5">
        <f>HYPERLINK("https://api.qogita.com/variants/link/3760022731845/", "View Product")</f>
        <v/>
      </c>
    </row>
    <row r="11148">
      <c r="A11148" t="inlineStr">
        <is>
          <t>3760027140000</t>
        </is>
      </c>
      <c r="B11148" t="inlineStr">
        <is>
          <t>Atelier Des Ors Rose Omeyyade Eau De Parfum 100ml Unisex Spray</t>
        </is>
      </c>
      <c r="C11148" t="inlineStr">
        <is>
          <t>Eau De Parfum</t>
        </is>
      </c>
      <c r="D11148" t="inlineStr">
        <is>
          <t>Atelier Des Ors</t>
        </is>
      </c>
      <c r="E11148" t="n">
        <v>110.09</v>
      </c>
      <c r="F11148" t="n">
        <v>1</v>
      </c>
      <c r="G11148" t="n">
        <v>6</v>
      </c>
      <c r="H11148" s="5">
        <f>HYPERLINK("https://api.qogita.com/variants/link/3760027140000/", "View Product")</f>
        <v/>
      </c>
    </row>
    <row r="11149">
      <c r="A11149" t="inlineStr">
        <is>
          <t>3760027140048</t>
        </is>
      </c>
      <c r="B11149" t="inlineStr">
        <is>
          <t>Atelier Des Ors Aube Rubis Eau De Parfum Spray 100ml</t>
        </is>
      </c>
      <c r="C11149" t="inlineStr">
        <is>
          <t>Eau De Parfum</t>
        </is>
      </c>
      <c r="D11149" t="inlineStr">
        <is>
          <t>Atelier Des Ors</t>
        </is>
      </c>
      <c r="E11149" t="n">
        <v>104.84</v>
      </c>
      <c r="F11149" t="n">
        <v>1</v>
      </c>
      <c r="G11149" t="n">
        <v>5</v>
      </c>
      <c r="H11149" s="5">
        <f>HYPERLINK("https://api.qogita.com/variants/link/3760027140048/", "View Product")</f>
        <v/>
      </c>
    </row>
    <row r="11150">
      <c r="A11150" t="inlineStr">
        <is>
          <t>3760035450344</t>
        </is>
      </c>
      <c r="B11150" t="inlineStr">
        <is>
          <t>BDK Eau De Parfum 100ml Rouge Smoking</t>
        </is>
      </c>
      <c r="C11150" t="inlineStr">
        <is>
          <t>Eau De Parfum</t>
        </is>
      </c>
      <c r="D11150" t="inlineStr">
        <is>
          <t>Bdk Parfums</t>
        </is>
      </c>
      <c r="E11150" t="n">
        <v>128.23</v>
      </c>
      <c r="F11150" t="n">
        <v>1</v>
      </c>
      <c r="G11150" t="n">
        <v>23</v>
      </c>
      <c r="H11150" s="5">
        <f>HYPERLINK("https://api.qogita.com/variants/link/3760035450344/", "View Product")</f>
        <v/>
      </c>
    </row>
    <row r="11151">
      <c r="A11151" t="inlineStr">
        <is>
          <t>3760040110547</t>
        </is>
      </c>
      <c r="B11151" t="inlineStr">
        <is>
          <t>Premiere Note Figue Barbare Eau de Parfum 50ml</t>
        </is>
      </c>
      <c r="C11151" t="inlineStr">
        <is>
          <t>Eau De Parfum</t>
        </is>
      </c>
      <c r="D11151" t="inlineStr">
        <is>
          <t>Premiere Note</t>
        </is>
      </c>
      <c r="E11151" t="n">
        <v>24.43</v>
      </c>
      <c r="F11151" t="n">
        <v>1</v>
      </c>
      <c r="G11151" t="n">
        <v>4</v>
      </c>
      <c r="H11151" s="5">
        <f>HYPERLINK("https://api.qogita.com/variants/link/3760040110547/", "View Product")</f>
        <v/>
      </c>
    </row>
    <row r="11152">
      <c r="A11152" t="inlineStr">
        <is>
          <t>3760040110585</t>
        </is>
      </c>
      <c r="B11152" t="inlineStr">
        <is>
          <t>Premiere Note Cuir Nappa Eau De Parfum</t>
        </is>
      </c>
      <c r="C11152" t="inlineStr">
        <is>
          <t>Eau De Parfum</t>
        </is>
      </c>
      <c r="D11152" t="inlineStr">
        <is>
          <t>Premiere Note</t>
        </is>
      </c>
      <c r="E11152" t="n">
        <v>37.27</v>
      </c>
      <c r="F11152" t="n">
        <v>1</v>
      </c>
      <c r="G11152" t="n">
        <v>4</v>
      </c>
      <c r="H11152" s="5">
        <f>HYPERLINK("https://api.qogita.com/variants/link/3760040110585/", "View Product")</f>
        <v/>
      </c>
    </row>
    <row r="11153">
      <c r="A11153" t="inlineStr">
        <is>
          <t>3760040113005</t>
        </is>
      </c>
      <c r="B11153" t="inlineStr">
        <is>
          <t>Chantal Thomass Eau De Parfum Spray 100ml</t>
        </is>
      </c>
      <c r="C11153" t="inlineStr">
        <is>
          <t>Eau De Parfum</t>
        </is>
      </c>
      <c r="D11153" t="inlineStr">
        <is>
          <t>Chantal Thomass</t>
        </is>
      </c>
      <c r="E11153" t="n">
        <v>9.800000000000001</v>
      </c>
      <c r="F11153" t="n">
        <v>1</v>
      </c>
      <c r="G11153" t="n">
        <v>18</v>
      </c>
      <c r="H11153" s="5">
        <f>HYPERLINK("https://api.qogita.com/variants/link/3760040113005/", "View Product")</f>
        <v/>
      </c>
    </row>
    <row r="11154">
      <c r="A11154" t="inlineStr">
        <is>
          <t>3760040113029</t>
        </is>
      </c>
      <c r="B11154" t="inlineStr">
        <is>
          <t>Chantal Thomass Gold Eau De Parfum 100ml For Women</t>
        </is>
      </c>
      <c r="C11154" t="inlineStr">
        <is>
          <t>Eau De Parfum</t>
        </is>
      </c>
      <c r="D11154" t="inlineStr">
        <is>
          <t>Chantal Thomass</t>
        </is>
      </c>
      <c r="E11154" t="n">
        <v>9.24</v>
      </c>
      <c r="F11154" t="n">
        <v>1</v>
      </c>
      <c r="G11154" t="n">
        <v>16</v>
      </c>
      <c r="H11154" s="5">
        <f>HYPERLINK("https://api.qogita.com/variants/link/3760040113029/", "View Product")</f>
        <v/>
      </c>
    </row>
    <row r="11155">
      <c r="A11155" t="inlineStr">
        <is>
          <t>3760040114125</t>
        </is>
      </c>
      <c r="B11155" t="inlineStr">
        <is>
          <t>Salvador Dali Natural Spray Vaporizer</t>
        </is>
      </c>
      <c r="C11155" t="inlineStr">
        <is>
          <t>Eau De Toilette</t>
        </is>
      </c>
      <c r="D11155" t="inlineStr">
        <is>
          <t>Salvador Dali</t>
        </is>
      </c>
      <c r="E11155" t="n">
        <v>10.11</v>
      </c>
      <c r="F11155" t="n">
        <v>1</v>
      </c>
      <c r="G11155" t="n">
        <v>24</v>
      </c>
      <c r="H11155" s="5">
        <f>HYPERLINK("https://api.qogita.com/variants/link/3760040114125/", "View Product")</f>
        <v/>
      </c>
    </row>
    <row r="11156">
      <c r="A11156" t="inlineStr">
        <is>
          <t>3760040119007</t>
        </is>
      </c>
      <c r="B11156" t="inlineStr">
        <is>
          <t>Kaloo Pop Gift Set Body Spray And Towel</t>
        </is>
      </c>
      <c r="C11156" t="inlineStr">
        <is>
          <t>Baby &amp; Child Accessories</t>
        </is>
      </c>
      <c r="D11156" t="inlineStr">
        <is>
          <t>Kaloo</t>
        </is>
      </c>
      <c r="E11156" t="n">
        <v>9.56</v>
      </c>
      <c r="F11156" t="n">
        <v>1</v>
      </c>
      <c r="G11156" t="n">
        <v>3</v>
      </c>
      <c r="H11156" s="5">
        <f>HYPERLINK("https://api.qogita.com/variants/link/3760040119007/", "View Product")</f>
        <v/>
      </c>
    </row>
    <row r="11157">
      <c r="A11157" t="inlineStr">
        <is>
          <t>3760048796552</t>
        </is>
      </c>
      <c r="B11157" t="inlineStr">
        <is>
          <t>Mauboussin Private Club For Men Eau De Parfum Spray 100ml</t>
        </is>
      </c>
      <c r="C11157" t="inlineStr">
        <is>
          <t>Eau De Parfum</t>
        </is>
      </c>
      <c r="D11157" t="inlineStr">
        <is>
          <t>Mauboussin</t>
        </is>
      </c>
      <c r="E11157" t="n">
        <v>22.95</v>
      </c>
      <c r="F11157" t="n">
        <v>1</v>
      </c>
      <c r="G11157" t="n">
        <v>15</v>
      </c>
      <c r="H11157" s="5">
        <f>HYPERLINK("https://api.qogita.com/variants/link/3760048796552/", "View Product")</f>
        <v/>
      </c>
    </row>
    <row r="11158">
      <c r="A11158" t="inlineStr">
        <is>
          <t>3760048796637</t>
        </is>
      </c>
      <c r="B11158" t="inlineStr">
        <is>
          <t>Mauboussin Mademoiselle Twist Eau de Parfum for Women Floral Oriental Gourmand Scents 90ml</t>
        </is>
      </c>
      <c r="C11158" t="inlineStr">
        <is>
          <t>Eau De Parfum</t>
        </is>
      </c>
      <c r="D11158" t="inlineStr">
        <is>
          <t>Mauboussin</t>
        </is>
      </c>
      <c r="E11158" t="n">
        <v>21.14</v>
      </c>
      <c r="F11158" t="n">
        <v>1</v>
      </c>
      <c r="G11158" t="n">
        <v>5</v>
      </c>
      <c r="H11158" s="5">
        <f>HYPERLINK("https://api.qogita.com/variants/link/3760048796637/", "View Product")</f>
        <v/>
      </c>
    </row>
    <row r="11159">
      <c r="A11159" t="inlineStr">
        <is>
          <t>3760048798242</t>
        </is>
      </c>
      <c r="B11159" t="inlineStr">
        <is>
          <t>Mauboussin Pour Elle Body Mist Set: Pour Elle Mist, Elixir Pour Elle Mist, Rose Pour Elle Mist</t>
        </is>
      </c>
      <c r="C11159" t="inlineStr">
        <is>
          <t>Fragrance Sets</t>
        </is>
      </c>
      <c r="D11159" t="inlineStr">
        <is>
          <t>Mauboussin</t>
        </is>
      </c>
      <c r="E11159" t="n">
        <v>15.73</v>
      </c>
      <c r="F11159" t="n">
        <v>1</v>
      </c>
      <c r="G11159" t="n">
        <v>4</v>
      </c>
      <c r="H11159" s="5">
        <f>HYPERLINK("https://api.qogita.com/variants/link/3760048798242/", "View Product")</f>
        <v/>
      </c>
    </row>
    <row r="11160">
      <c r="A11160" t="inlineStr">
        <is>
          <t>3760060772510</t>
        </is>
      </c>
      <c r="B11160" t="inlineStr">
        <is>
          <t>M Micallef Royal Muska Eau de Parfum Spray for Her 100ml</t>
        </is>
      </c>
      <c r="C11160" t="inlineStr">
        <is>
          <t>Eau De Parfum</t>
        </is>
      </c>
      <c r="D11160" t="inlineStr">
        <is>
          <t>M. Micallef</t>
        </is>
      </c>
      <c r="E11160" t="n">
        <v>122.68</v>
      </c>
      <c r="F11160" t="n">
        <v>1</v>
      </c>
      <c r="G11160" t="n">
        <v>3</v>
      </c>
      <c r="H11160" s="5">
        <f>HYPERLINK("https://api.qogita.com/variants/link/3760060772510/", "View Product")</f>
        <v/>
      </c>
    </row>
    <row r="11161">
      <c r="A11161" t="inlineStr">
        <is>
          <t>3760084670212</t>
        </is>
      </c>
      <c r="B11161" t="inlineStr">
        <is>
          <t>Pascal Morabito Purple EDP Spray Ruby for Women 3.2 Oz</t>
        </is>
      </c>
      <c r="C11161" t="inlineStr">
        <is>
          <t>Eau De Parfum</t>
        </is>
      </c>
      <c r="D11161" t="inlineStr">
        <is>
          <t>Pascal Morabito</t>
        </is>
      </c>
      <c r="E11161" t="n">
        <v>11.56</v>
      </c>
      <c r="F11161" t="n">
        <v>1</v>
      </c>
      <c r="G11161" t="n">
        <v>14</v>
      </c>
      <c r="H11161" s="5">
        <f>HYPERLINK("https://api.qogita.com/variants/link/3760084670212/", "View Product")</f>
        <v/>
      </c>
    </row>
    <row r="11162">
      <c r="A11162" t="inlineStr">
        <is>
          <t>3760095250083</t>
        </is>
      </c>
      <c r="B11162" t="inlineStr">
        <is>
          <t>Acm Viticolor Skin Camouflage Gel 50 Ml</t>
        </is>
      </c>
      <c r="C11162" t="inlineStr">
        <is>
          <t>Body Care</t>
        </is>
      </c>
      <c r="D11162" t="inlineStr">
        <is>
          <t>MAC Cosmetics</t>
        </is>
      </c>
      <c r="E11162" t="n">
        <v>22.46</v>
      </c>
      <c r="F11162" t="n">
        <v>1</v>
      </c>
      <c r="G11162" t="n">
        <v>12</v>
      </c>
      <c r="H11162" s="5">
        <f>HYPERLINK("https://api.qogita.com/variants/link/3760095250083/", "View Product")</f>
        <v/>
      </c>
    </row>
    <row r="11163">
      <c r="A11163" t="inlineStr">
        <is>
          <t>3760095250212</t>
        </is>
      </c>
      <c r="B11163" t="inlineStr">
        <is>
          <t>Acm Vitix Dietary Supplement For Protection Against Oxidative Stress 30 Tablets</t>
        </is>
      </c>
      <c r="C11163" t="inlineStr">
        <is>
          <t>Vitamin</t>
        </is>
      </c>
      <c r="D11163" t="inlineStr">
        <is>
          <t>MAC Cosmetics</t>
        </is>
      </c>
      <c r="E11163" t="n">
        <v>22.46</v>
      </c>
      <c r="F11163" t="n">
        <v>1</v>
      </c>
      <c r="G11163" t="n">
        <v>15</v>
      </c>
      <c r="H11163" s="5">
        <f>HYPERLINK("https://api.qogita.com/variants/link/3760095250212/", "View Product")</f>
        <v/>
      </c>
    </row>
    <row r="11164">
      <c r="A11164" t="inlineStr">
        <is>
          <t>3760095250892</t>
        </is>
      </c>
      <c r="B11164" t="inlineStr">
        <is>
          <t>ACM Novophane Sebo-Regulating Shampoo 200ml</t>
        </is>
      </c>
      <c r="C11164" t="inlineStr">
        <is>
          <t>Shampoo</t>
        </is>
      </c>
      <c r="D11164" t="inlineStr">
        <is>
          <t>Medica</t>
        </is>
      </c>
      <c r="E11164" t="n">
        <v>9.199999999999999</v>
      </c>
      <c r="F11164" t="n">
        <v>1</v>
      </c>
      <c r="G11164" t="n">
        <v>14</v>
      </c>
      <c r="H11164" s="5">
        <f>HYPERLINK("https://api.qogita.com/variants/link/3760095250892/", "View Product")</f>
        <v/>
      </c>
    </row>
    <row r="11165">
      <c r="A11165" t="inlineStr">
        <is>
          <t>3760095251899</t>
        </is>
      </c>
      <c r="B11165" t="inlineStr">
        <is>
          <t>Acm Dpigmenting Protective Cream Spf 50 40 Ml</t>
        </is>
      </c>
      <c r="C11165" t="inlineStr">
        <is>
          <t>Face Sun Protection</t>
        </is>
      </c>
      <c r="D11165" t="inlineStr">
        <is>
          <t>Acm</t>
        </is>
      </c>
      <c r="E11165" t="n">
        <v>18.67</v>
      </c>
      <c r="F11165" t="n">
        <v>1</v>
      </c>
      <c r="G11165" t="n">
        <v>6</v>
      </c>
      <c r="H11165" s="5">
        <f>HYPERLINK("https://api.qogita.com/variants/link/3760095251899/", "View Product")</f>
        <v/>
      </c>
    </row>
    <row r="11166">
      <c r="A11166" t="inlineStr">
        <is>
          <t>3760095252032</t>
        </is>
      </c>
      <c r="B11166" t="inlineStr">
        <is>
          <t>Duolys Moisturizing Eye Contour Cream 15ml</t>
        </is>
      </c>
      <c r="C11166" t="inlineStr">
        <is>
          <t>Eye Cream</t>
        </is>
      </c>
      <c r="D11166" t="inlineStr">
        <is>
          <t>Mac Tools</t>
        </is>
      </c>
      <c r="E11166" t="n">
        <v>14.9</v>
      </c>
      <c r="F11166" t="n">
        <v>1</v>
      </c>
      <c r="G11166" t="n">
        <v>13</v>
      </c>
      <c r="H11166" s="5">
        <f>HYPERLINK("https://api.qogita.com/variants/link/3760095252032/", "View Product")</f>
        <v/>
      </c>
    </row>
    <row r="11167">
      <c r="A11167" t="inlineStr">
        <is>
          <t>3760168590047</t>
        </is>
      </c>
      <c r="B11167" t="inlineStr">
        <is>
          <t>Etat Libre D'Orange Jasmin Et Cigarette Eau De Parfum Spray 1.7 Fl Oz</t>
        </is>
      </c>
      <c r="C11167" t="inlineStr">
        <is>
          <t>Eau De Parfum</t>
        </is>
      </c>
      <c r="D11167" t="inlineStr">
        <is>
          <t>Etat Libre D'Orange</t>
        </is>
      </c>
      <c r="E11167" t="n">
        <v>44.01</v>
      </c>
      <c r="F11167" t="n">
        <v>1</v>
      </c>
      <c r="G11167" t="n">
        <v>6</v>
      </c>
      <c r="H11167" s="5">
        <f>HYPERLINK("https://api.qogita.com/variants/link/3760168590047/", "View Product")</f>
        <v/>
      </c>
    </row>
    <row r="11168">
      <c r="A11168" t="inlineStr">
        <is>
          <t>3760168590092</t>
        </is>
      </c>
      <c r="B11168" t="inlineStr">
        <is>
          <t>Etat Libre D'Orange Secretions Magnifiques Eau De Parfum Spray 1.6 Oz</t>
        </is>
      </c>
      <c r="C11168" t="inlineStr">
        <is>
          <t>Eau De Parfum</t>
        </is>
      </c>
      <c r="D11168" t="inlineStr">
        <is>
          <t>Etat Libre D'Orange</t>
        </is>
      </c>
      <c r="E11168" t="n">
        <v>49.13</v>
      </c>
      <c r="F11168" t="n">
        <v>1</v>
      </c>
      <c r="G11168" t="n">
        <v>4</v>
      </c>
      <c r="H11168" s="5">
        <f>HYPERLINK("https://api.qogita.com/variants/link/3760168590092/", "View Product")</f>
        <v/>
      </c>
    </row>
    <row r="11169">
      <c r="A11169" t="inlineStr">
        <is>
          <t>3760168590498</t>
        </is>
      </c>
      <c r="B11169" t="inlineStr">
        <is>
          <t>Etat Libre D'Orange Eau De Protection Woman Eau De Parfum Spray 50ml</t>
        </is>
      </c>
      <c r="C11169" t="inlineStr">
        <is>
          <t>Eau De Parfum</t>
        </is>
      </c>
      <c r="D11169" t="inlineStr">
        <is>
          <t>Etat Libre D'Orange</t>
        </is>
      </c>
      <c r="E11169" t="n">
        <v>48.47</v>
      </c>
      <c r="F11169" t="n">
        <v>1</v>
      </c>
      <c r="G11169" t="n">
        <v>5</v>
      </c>
      <c r="H11169" s="5">
        <f>HYPERLINK("https://api.qogita.com/variants/link/3760168590498/", "View Product")</f>
        <v/>
      </c>
    </row>
    <row r="11170">
      <c r="A11170" t="inlineStr">
        <is>
          <t>3760168591068</t>
        </is>
      </c>
      <c r="B11170" t="inlineStr">
        <is>
          <t>Etat Libre D'Orange Archives 69 Unisex Eau De Parfum Spray 100ml</t>
        </is>
      </c>
      <c r="C11170" t="inlineStr">
        <is>
          <t>Eau De Parfum</t>
        </is>
      </c>
      <c r="D11170" t="inlineStr">
        <is>
          <t>Etat Libre D'Orange</t>
        </is>
      </c>
      <c r="E11170" t="n">
        <v>66.88</v>
      </c>
      <c r="F11170" t="n">
        <v>1</v>
      </c>
      <c r="G11170" t="n">
        <v>2</v>
      </c>
      <c r="H11170" s="5">
        <f>HYPERLINK("https://api.qogita.com/variants/link/3760168591068/", "View Product")</f>
        <v/>
      </c>
    </row>
    <row r="11171">
      <c r="A11171" t="inlineStr">
        <is>
          <t>3760168591112</t>
        </is>
      </c>
      <c r="B11171" t="inlineStr">
        <is>
          <t>Etat Libre D'Orange Fils De Dieu Du Riz Et Des Agrumes Unisex Eau De Parfum Spray 100ml</t>
        </is>
      </c>
      <c r="C11171" t="inlineStr">
        <is>
          <t>Eau De Parfum</t>
        </is>
      </c>
      <c r="D11171" t="inlineStr">
        <is>
          <t>Etat Libre D'Orange</t>
        </is>
      </c>
      <c r="E11171" t="n">
        <v>67.73</v>
      </c>
      <c r="F11171" t="n">
        <v>1</v>
      </c>
      <c r="G11171" t="n">
        <v>5</v>
      </c>
      <c r="H11171" s="5">
        <f>HYPERLINK("https://api.qogita.com/variants/link/3760168591112/", "View Product")</f>
        <v/>
      </c>
    </row>
    <row r="11172">
      <c r="A11172" t="inlineStr">
        <is>
          <t>3760168591129</t>
        </is>
      </c>
      <c r="B11172" t="inlineStr">
        <is>
          <t>Etat Libre D'Orange Tilda Swinton Like This Eau De Parfum 100ml</t>
        </is>
      </c>
      <c r="C11172" t="inlineStr">
        <is>
          <t>Eau De Parfum</t>
        </is>
      </c>
      <c r="D11172" t="inlineStr">
        <is>
          <t>Etat Libre D'Orange</t>
        </is>
      </c>
      <c r="E11172" t="n">
        <v>66.3</v>
      </c>
      <c r="F11172" t="n">
        <v>1</v>
      </c>
      <c r="G11172" t="n">
        <v>5</v>
      </c>
      <c r="H11172" s="5">
        <f>HYPERLINK("https://api.qogita.com/variants/link/3760168591129/", "View Product")</f>
        <v/>
      </c>
    </row>
    <row r="11173">
      <c r="A11173" t="inlineStr">
        <is>
          <t>3760168592133</t>
        </is>
      </c>
      <c r="B11173" t="inlineStr">
        <is>
          <t>Etat Libre D'Orange Spice Must Flow Unisex Eau De Parfum Spray 100ml</t>
        </is>
      </c>
      <c r="C11173" t="inlineStr">
        <is>
          <t>Eau De Parfum</t>
        </is>
      </c>
      <c r="D11173" t="inlineStr">
        <is>
          <t>Etat Libre D'Orange</t>
        </is>
      </c>
      <c r="E11173" t="n">
        <v>102.3</v>
      </c>
      <c r="F11173" t="n">
        <v>1</v>
      </c>
      <c r="G11173" t="n">
        <v>6</v>
      </c>
      <c r="H11173" s="5">
        <f>HYPERLINK("https://api.qogita.com/variants/link/3760168592133/", "View Product")</f>
        <v/>
      </c>
    </row>
    <row r="11174">
      <c r="A11174" t="inlineStr">
        <is>
          <t>3760168592720</t>
        </is>
      </c>
      <c r="B11174" t="inlineStr">
        <is>
          <t>Etat Libre D'Orange Sous Le Pont Mirabeau Eau De Parfum 100ml</t>
        </is>
      </c>
      <c r="C11174" t="inlineStr">
        <is>
          <t>Eau De Parfum</t>
        </is>
      </c>
      <c r="D11174" t="inlineStr">
        <is>
          <t>Etat Libre D'Orange</t>
        </is>
      </c>
      <c r="E11174" t="n">
        <v>61.56</v>
      </c>
      <c r="F11174" t="n">
        <v>1</v>
      </c>
      <c r="G11174" t="n">
        <v>5</v>
      </c>
      <c r="H11174" s="5">
        <f>HYPERLINK("https://api.qogita.com/variants/link/3760168592720/", "View Product")</f>
        <v/>
      </c>
    </row>
    <row r="11175">
      <c r="A11175" t="inlineStr">
        <is>
          <t>3760231051086</t>
        </is>
      </c>
      <c r="B11175" t="inlineStr">
        <is>
          <t>Micallef Osaito Eau De Parfum Spray 100ml</t>
        </is>
      </c>
      <c r="C11175" t="inlineStr">
        <is>
          <t>Eau De Parfum</t>
        </is>
      </c>
      <c r="D11175" t="inlineStr">
        <is>
          <t>Micallef</t>
        </is>
      </c>
      <c r="E11175" t="n">
        <v>106.33</v>
      </c>
      <c r="F11175" t="n">
        <v>1</v>
      </c>
      <c r="G11175" t="n">
        <v>9</v>
      </c>
      <c r="H11175" s="5">
        <f>HYPERLINK("https://api.qogita.com/variants/link/3760231051086/", "View Product")</f>
        <v/>
      </c>
    </row>
    <row r="11176">
      <c r="A11176" t="inlineStr">
        <is>
          <t>3760231058177</t>
        </is>
      </c>
      <c r="B11176" t="inlineStr">
        <is>
          <t>M.Micallef Edenfalls Eau De Parfum Spray 100ml</t>
        </is>
      </c>
      <c r="C11176" t="inlineStr">
        <is>
          <t>Eau De Parfum</t>
        </is>
      </c>
      <c r="D11176" t="inlineStr">
        <is>
          <t>M. Micallef</t>
        </is>
      </c>
      <c r="E11176" t="n">
        <v>92.31</v>
      </c>
      <c r="F11176" t="n">
        <v>1</v>
      </c>
      <c r="G11176" t="n">
        <v>5</v>
      </c>
      <c r="H11176" s="5">
        <f>HYPERLINK("https://api.qogita.com/variants/link/3760231058177/", "View Product")</f>
        <v/>
      </c>
    </row>
    <row r="11177">
      <c r="A11177" t="inlineStr">
        <is>
          <t>3760232240137</t>
        </is>
      </c>
      <c r="B11177" t="inlineStr">
        <is>
          <t>Stephane Humbert Lucas Collection 777 Taklamakan Eau de Parfum Spray 50ml</t>
        </is>
      </c>
      <c r="C11177" t="inlineStr">
        <is>
          <t>Eau De Parfum</t>
        </is>
      </c>
      <c r="D11177" t="inlineStr">
        <is>
          <t>Stephane Humbert Lucas</t>
        </is>
      </c>
      <c r="E11177" t="n">
        <v>140.81</v>
      </c>
      <c r="F11177" t="n">
        <v>1</v>
      </c>
      <c r="G11177" t="n">
        <v>5</v>
      </c>
      <c r="H11177" s="5">
        <f>HYPERLINK("https://api.qogita.com/variants/link/3760232240137/", "View Product")</f>
        <v/>
      </c>
    </row>
    <row r="11178">
      <c r="A11178" t="inlineStr">
        <is>
          <t>3760232240205</t>
        </is>
      </c>
      <c r="B11178" t="inlineStr">
        <is>
          <t>ISRA &amp; MIRAJ by Stephane Humbert Lucas 777 Unisex 50ml 1.7 fl.oz. New in Box</t>
        </is>
      </c>
      <c r="C11178" t="inlineStr">
        <is>
          <t>Eau De Parfum</t>
        </is>
      </c>
      <c r="D11178" t="inlineStr">
        <is>
          <t>Stephane Humbert Lucas</t>
        </is>
      </c>
      <c r="E11178" t="n">
        <v>149.81</v>
      </c>
      <c r="F11178" t="n">
        <v>1</v>
      </c>
      <c r="G11178" t="n">
        <v>2</v>
      </c>
      <c r="H11178" s="5">
        <f>HYPERLINK("https://api.qogita.com/variants/link/3760232240205/", "View Product")</f>
        <v/>
      </c>
    </row>
    <row r="11179">
      <c r="A11179" t="inlineStr">
        <is>
          <t>3760239241199</t>
        </is>
      </c>
      <c r="B11179" t="inlineStr">
        <is>
          <t>Erborian Detox Charcoal Konjac Sponge</t>
        </is>
      </c>
      <c r="C11179" t="inlineStr">
        <is>
          <t>Facial Cleansing Tools</t>
        </is>
      </c>
      <c r="D11179" t="inlineStr">
        <is>
          <t>Erborian</t>
        </is>
      </c>
      <c r="E11179" t="n">
        <v>7.7</v>
      </c>
      <c r="F11179" t="n">
        <v>1</v>
      </c>
      <c r="G11179" t="n">
        <v>4</v>
      </c>
      <c r="H11179" s="5">
        <f>HYPERLINK("https://api.qogita.com/variants/link/3760239241199/", "View Product")</f>
        <v/>
      </c>
    </row>
    <row r="11180">
      <c r="A11180" t="inlineStr">
        <is>
          <t>3760251870070</t>
        </is>
      </c>
      <c r="B11180" t="inlineStr">
        <is>
          <t>Korloff Perfume 88ml</t>
        </is>
      </c>
      <c r="C11180" t="inlineStr">
        <is>
          <t>Eau De Parfum</t>
        </is>
      </c>
      <c r="D11180" t="inlineStr">
        <is>
          <t>Korloff</t>
        </is>
      </c>
      <c r="E11180" t="n">
        <v>22.13</v>
      </c>
      <c r="F11180" t="n">
        <v>1</v>
      </c>
      <c r="G11180" t="n">
        <v>5</v>
      </c>
      <c r="H11180" s="5">
        <f>HYPERLINK("https://api.qogita.com/variants/link/3760251870070/", "View Product")</f>
        <v/>
      </c>
    </row>
    <row r="11181">
      <c r="A11181" t="inlineStr">
        <is>
          <t>3760251870322</t>
        </is>
      </c>
      <c r="B11181" t="inlineStr">
        <is>
          <t>Korloff Cuir Mythique Eau De Parfum Spray 100ml</t>
        </is>
      </c>
      <c r="C11181" t="inlineStr">
        <is>
          <t>Eau De Parfum</t>
        </is>
      </c>
      <c r="D11181" t="inlineStr">
        <is>
          <t>Korloff</t>
        </is>
      </c>
      <c r="E11181" t="n">
        <v>70.19</v>
      </c>
      <c r="F11181" t="n">
        <v>1</v>
      </c>
      <c r="G11181" t="n">
        <v>6</v>
      </c>
      <c r="H11181" s="5">
        <f>HYPERLINK("https://api.qogita.com/variants/link/3760251870322/", "View Product")</f>
        <v/>
      </c>
    </row>
    <row r="11182">
      <c r="A11182" t="inlineStr">
        <is>
          <t>3760251870384</t>
        </is>
      </c>
      <c r="B11182" t="inlineStr">
        <is>
          <t>Korloff Ecorce D'Argent Unisex Eau De Parfum Spray 100ml</t>
        </is>
      </c>
      <c r="C11182" t="inlineStr">
        <is>
          <t>Eau De Parfum</t>
        </is>
      </c>
      <c r="D11182" t="inlineStr">
        <is>
          <t>Korloff</t>
        </is>
      </c>
      <c r="E11182" t="n">
        <v>88.39</v>
      </c>
      <c r="F11182" t="n">
        <v>1</v>
      </c>
      <c r="G11182" t="n">
        <v>3</v>
      </c>
      <c r="H11182" s="5">
        <f>HYPERLINK("https://api.qogita.com/variants/link/3760251870384/", "View Product")</f>
        <v/>
      </c>
    </row>
    <row r="11183">
      <c r="A11183" t="inlineStr">
        <is>
          <t>3760251870629</t>
        </is>
      </c>
      <c r="B11183" t="inlineStr">
        <is>
          <t>Addiction Petale Perfumed Water Spray 100ml</t>
        </is>
      </c>
      <c r="C11183" t="inlineStr">
        <is>
          <t>Eau De Parfum</t>
        </is>
      </c>
      <c r="D11183" t="inlineStr">
        <is>
          <t>Addiction</t>
        </is>
      </c>
      <c r="E11183" t="n">
        <v>84.78</v>
      </c>
      <c r="F11183" t="n">
        <v>1</v>
      </c>
      <c r="G11183" t="n">
        <v>4</v>
      </c>
      <c r="H11183" s="5">
        <f>HYPERLINK("https://api.qogita.com/variants/link/3760251870629/", "View Product")</f>
        <v/>
      </c>
    </row>
    <row r="11184">
      <c r="A11184" t="inlineStr">
        <is>
          <t>3760251870780</t>
        </is>
      </c>
      <c r="B11184" t="inlineStr">
        <is>
          <t>Korloff Eclats De Patchouli Eau De Parfum Spray 100ml</t>
        </is>
      </c>
      <c r="C11184" t="inlineStr">
        <is>
          <t>Eau De Parfum</t>
        </is>
      </c>
      <c r="D11184" t="inlineStr">
        <is>
          <t>Korloff</t>
        </is>
      </c>
      <c r="E11184" t="n">
        <v>78.5</v>
      </c>
      <c r="F11184" t="n">
        <v>1</v>
      </c>
      <c r="G11184" t="n">
        <v>6</v>
      </c>
      <c r="H11184" s="5">
        <f>HYPERLINK("https://api.qogita.com/variants/link/3760251870780/", "View Product")</f>
        <v/>
      </c>
    </row>
    <row r="11185">
      <c r="A11185" t="inlineStr">
        <is>
          <t>3760269848412</t>
        </is>
      </c>
      <c r="B11185" t="inlineStr">
        <is>
          <t>Green Lover by Lolita Lempicka for Men 1.7 Oz EDT Spray 50ml</t>
        </is>
      </c>
      <c r="C11185" t="inlineStr">
        <is>
          <t>Eau De Toilette</t>
        </is>
      </c>
      <c r="D11185" t="inlineStr">
        <is>
          <t>Lolita Lempicka</t>
        </is>
      </c>
      <c r="E11185" t="n">
        <v>17.55</v>
      </c>
      <c r="F11185" t="n">
        <v>1</v>
      </c>
      <c r="G11185" t="n">
        <v>4</v>
      </c>
      <c r="H11185" s="5">
        <f>HYPERLINK("https://api.qogita.com/variants/link/3760269848412/", "View Product")</f>
        <v/>
      </c>
    </row>
    <row r="11186">
      <c r="A11186" t="inlineStr">
        <is>
          <t>3760269849495</t>
        </is>
      </c>
      <c r="B11186" t="inlineStr">
        <is>
          <t>Lolita Lempicka So Sweet Eau De Parfum Spray 50ml</t>
        </is>
      </c>
      <c r="C11186" t="inlineStr">
        <is>
          <t>Eau De Parfum</t>
        </is>
      </c>
      <c r="D11186" t="inlineStr">
        <is>
          <t>Lolita Lempicka</t>
        </is>
      </c>
      <c r="E11186" t="n">
        <v>29.25</v>
      </c>
      <c r="F11186" t="n">
        <v>1</v>
      </c>
      <c r="G11186" t="n">
        <v>2</v>
      </c>
      <c r="H11186" s="5">
        <f>HYPERLINK("https://api.qogita.com/variants/link/3760269849495/", "View Product")</f>
        <v/>
      </c>
    </row>
    <row r="11187">
      <c r="A11187" t="inlineStr">
        <is>
          <t>3760285901412</t>
        </is>
      </c>
      <c r="B11187" t="inlineStr">
        <is>
          <t>State Of Mind Etat D'Esprit Fanfarone Italiano Eau De Parfum 100 Milliliters</t>
        </is>
      </c>
      <c r="C11187" t="inlineStr">
        <is>
          <t>Eau De Parfum</t>
        </is>
      </c>
      <c r="D11187" t="inlineStr">
        <is>
          <t>État D'Esprit</t>
        </is>
      </c>
      <c r="E11187" t="n">
        <v>131.31</v>
      </c>
      <c r="F11187" t="n">
        <v>1</v>
      </c>
      <c r="G11187" t="n">
        <v>3</v>
      </c>
      <c r="H11187" s="5">
        <f>HYPERLINK("https://api.qogita.com/variants/link/3760285901412/", "View Product")</f>
        <v/>
      </c>
    </row>
    <row r="11188">
      <c r="A11188" t="inlineStr">
        <is>
          <t>3760294350881</t>
        </is>
      </c>
      <c r="B11188" t="inlineStr">
        <is>
          <t>Natural The Essence By The Woods Collection Unisex EDP 3.3 Oz</t>
        </is>
      </c>
      <c r="C11188" t="inlineStr">
        <is>
          <t>Eau De Parfum</t>
        </is>
      </c>
      <c r="D11188" t="inlineStr">
        <is>
          <t>The Woods Collection</t>
        </is>
      </c>
      <c r="E11188" t="n">
        <v>39.69</v>
      </c>
      <c r="F11188" t="n">
        <v>1</v>
      </c>
      <c r="G11188" t="n">
        <v>2</v>
      </c>
      <c r="H11188" s="5">
        <f>HYPERLINK("https://api.qogita.com/variants/link/3760294350881/", "View Product")</f>
        <v/>
      </c>
    </row>
    <row r="11189">
      <c r="A11189" t="inlineStr">
        <is>
          <t>3760298541148</t>
        </is>
      </c>
      <c r="B11189" t="inlineStr">
        <is>
          <t>Vilhelm Parfumerie Morning Chess EDP Fragrance</t>
        </is>
      </c>
      <c r="C11189" t="inlineStr">
        <is>
          <t>Eau De Parfum</t>
        </is>
      </c>
      <c r="D11189" t="inlineStr">
        <is>
          <t>Vilhelm Parfumerie</t>
        </is>
      </c>
      <c r="E11189" t="n">
        <v>129.53</v>
      </c>
      <c r="F11189" t="n">
        <v>1</v>
      </c>
      <c r="G11189" t="n">
        <v>11</v>
      </c>
      <c r="H11189" s="5">
        <f>HYPERLINK("https://api.qogita.com/variants/link/3760298541148/", "View Product")</f>
        <v/>
      </c>
    </row>
    <row r="11190">
      <c r="A11190" t="inlineStr">
        <is>
          <t>3760302990313</t>
        </is>
      </c>
      <c r="B11190" t="inlineStr">
        <is>
          <t>Parfum D'empire Yuzu Fou Eau De Parfum Spray 50ml</t>
        </is>
      </c>
      <c r="C11190" t="inlineStr">
        <is>
          <t>Eau De Parfum</t>
        </is>
      </c>
      <c r="D11190" t="inlineStr">
        <is>
          <t>Parfum D'Empire</t>
        </is>
      </c>
      <c r="E11190" t="n">
        <v>71.09999999999999</v>
      </c>
      <c r="F11190" t="n">
        <v>1</v>
      </c>
      <c r="G11190" t="n">
        <v>3</v>
      </c>
      <c r="H11190" s="5">
        <f>HYPERLINK("https://api.qogita.com/variants/link/3760302990313/", "View Product")</f>
        <v/>
      </c>
    </row>
    <row r="11191">
      <c r="A11191" t="inlineStr">
        <is>
          <t>3760303361952</t>
        </is>
      </c>
      <c r="B11191" t="inlineStr">
        <is>
          <t>Liquides Imaginaires Sirenis Eau De Parfum Spray 100ml</t>
        </is>
      </c>
      <c r="C11191" t="inlineStr">
        <is>
          <t>Eau De Parfum</t>
        </is>
      </c>
      <c r="D11191" t="inlineStr">
        <is>
          <t>Liquides Imaginaires</t>
        </is>
      </c>
      <c r="E11191" t="n">
        <v>85.51000000000001</v>
      </c>
      <c r="F11191" t="n">
        <v>1</v>
      </c>
      <c r="G11191" t="n">
        <v>14</v>
      </c>
      <c r="H11191" s="5">
        <f>HYPERLINK("https://api.qogita.com/variants/link/3760303361952/", "View Product")</f>
        <v/>
      </c>
    </row>
    <row r="11192">
      <c r="A11192" t="inlineStr">
        <is>
          <t>3760303362522</t>
        </is>
      </c>
      <c r="B11192" t="inlineStr">
        <is>
          <t>Liquides Imaginaires Fortis Eau De Parfum Spray 100ml</t>
        </is>
      </c>
      <c r="C11192" t="inlineStr">
        <is>
          <t>Eau De Parfum</t>
        </is>
      </c>
      <c r="D11192" t="inlineStr">
        <is>
          <t>Liquides Imaginaires</t>
        </is>
      </c>
      <c r="E11192" t="n">
        <v>82.25</v>
      </c>
      <c r="F11192" t="n">
        <v>1</v>
      </c>
      <c r="G11192" t="n">
        <v>27</v>
      </c>
      <c r="H11192" s="5">
        <f>HYPERLINK("https://api.qogita.com/variants/link/3760303362522/", "View Product")</f>
        <v/>
      </c>
    </row>
    <row r="11193">
      <c r="A11193" t="inlineStr">
        <is>
          <t>3760310290054</t>
        </is>
      </c>
      <c r="B11193" t="inlineStr">
        <is>
          <t>Kajal Sawlaj Unisex Eau de Parfum Spray 3.4 Ounce</t>
        </is>
      </c>
      <c r="C11193" t="inlineStr">
        <is>
          <t>Eau De Parfum</t>
        </is>
      </c>
      <c r="D11193" t="inlineStr">
        <is>
          <t>Kajal</t>
        </is>
      </c>
      <c r="E11193" t="n">
        <v>128.1</v>
      </c>
      <c r="F11193" t="n">
        <v>1</v>
      </c>
      <c r="G11193" t="n">
        <v>5</v>
      </c>
      <c r="H11193" s="5">
        <f>HYPERLINK("https://api.qogita.com/variants/link/3760310290054/", "View Product")</f>
        <v/>
      </c>
    </row>
    <row r="11194">
      <c r="A11194" t="inlineStr">
        <is>
          <t>3760310290627</t>
        </is>
      </c>
      <c r="B11194" t="inlineStr">
        <is>
          <t>Kajal Joorie Eau De Parfum</t>
        </is>
      </c>
      <c r="C11194" t="inlineStr">
        <is>
          <t>Eau De Parfum</t>
        </is>
      </c>
      <c r="D11194" t="inlineStr">
        <is>
          <t>Kajal</t>
        </is>
      </c>
      <c r="E11194" t="n">
        <v>140.17</v>
      </c>
      <c r="F11194" t="n">
        <v>1</v>
      </c>
      <c r="G11194" t="n">
        <v>7</v>
      </c>
      <c r="H11194" s="5">
        <f>HYPERLINK("https://api.qogita.com/variants/link/3760310290627/", "View Product")</f>
        <v/>
      </c>
    </row>
    <row r="11195">
      <c r="A11195" t="inlineStr">
        <is>
          <t>3760310291242</t>
        </is>
      </c>
      <c r="B11195" t="inlineStr">
        <is>
          <t>Unisex IV EDP Spray 3.38 oz Fragrances</t>
        </is>
      </c>
      <c r="C11195" t="inlineStr">
        <is>
          <t>Eau De Parfum</t>
        </is>
      </c>
      <c r="D11195" t="inlineStr">
        <is>
          <t>Kajal</t>
        </is>
      </c>
      <c r="E11195" t="n">
        <v>140.17</v>
      </c>
      <c r="F11195" t="n">
        <v>1</v>
      </c>
      <c r="G11195" t="n">
        <v>5</v>
      </c>
      <c r="H11195" s="5">
        <f>HYPERLINK("https://api.qogita.com/variants/link/3760310291242/", "View Product")</f>
        <v/>
      </c>
    </row>
    <row r="11196">
      <c r="A11196" t="inlineStr">
        <is>
          <t>3760372460013</t>
        </is>
      </c>
      <c r="B11196" t="inlineStr">
        <is>
          <t>Matiere Premiere Cedrat Eau De Parfum 50ml</t>
        </is>
      </c>
      <c r="C11196" t="inlineStr">
        <is>
          <t>Eau De Parfum</t>
        </is>
      </c>
      <c r="D11196" t="inlineStr">
        <is>
          <t>Matière Premiere</t>
        </is>
      </c>
      <c r="E11196" t="n">
        <v>99.08</v>
      </c>
      <c r="F11196" t="n">
        <v>1</v>
      </c>
      <c r="G11196" t="n">
        <v>5</v>
      </c>
      <c r="H11196" s="5">
        <f>HYPERLINK("https://api.qogita.com/variants/link/3760372460013/", "View Product")</f>
        <v/>
      </c>
    </row>
    <row r="11197">
      <c r="A11197" t="inlineStr">
        <is>
          <t>3760372460037</t>
        </is>
      </c>
      <c r="B11197" t="inlineStr">
        <is>
          <t>Matiere Premiere Parisian Musc Eau De Parfum Spray 50ml</t>
        </is>
      </c>
      <c r="C11197" t="inlineStr">
        <is>
          <t>Eau De Parfum</t>
        </is>
      </c>
      <c r="D11197" t="inlineStr">
        <is>
          <t>Matière Premiere</t>
        </is>
      </c>
      <c r="E11197" t="n">
        <v>92.43000000000001</v>
      </c>
      <c r="F11197" t="n">
        <v>1</v>
      </c>
      <c r="G11197" t="n">
        <v>31</v>
      </c>
      <c r="H11197" s="5">
        <f>HYPERLINK("https://api.qogita.com/variants/link/3760372460037/", "View Product")</f>
        <v/>
      </c>
    </row>
    <row r="11198">
      <c r="A11198" t="inlineStr">
        <is>
          <t>3770000002553</t>
        </is>
      </c>
      <c r="B11198" t="inlineStr">
        <is>
          <t>Juliette Has A Gun Gentlewoman Eau De Parfum Spray 50ml</t>
        </is>
      </c>
      <c r="C11198" t="inlineStr">
        <is>
          <t>Eau De Parfum</t>
        </is>
      </c>
      <c r="D11198" t="inlineStr">
        <is>
          <t>Juliette has a gun</t>
        </is>
      </c>
      <c r="E11198" t="n">
        <v>36.65</v>
      </c>
      <c r="F11198" t="n">
        <v>1</v>
      </c>
      <c r="G11198" t="n">
        <v>21</v>
      </c>
      <c r="H11198" s="5">
        <f>HYPERLINK("https://api.qogita.com/variants/link/3770000002553/", "View Product")</f>
        <v/>
      </c>
    </row>
    <row r="11199">
      <c r="A11199" t="inlineStr">
        <is>
          <t>3770000002669</t>
        </is>
      </c>
      <c r="B11199" t="inlineStr">
        <is>
          <t>Juliette Has A Gun Another Oud Eau De Parfum Spray 100ml</t>
        </is>
      </c>
      <c r="C11199" t="inlineStr">
        <is>
          <t>Eau De Parfum</t>
        </is>
      </c>
      <c r="D11199" t="inlineStr">
        <is>
          <t>Juliette has a gun</t>
        </is>
      </c>
      <c r="E11199" t="n">
        <v>50.19</v>
      </c>
      <c r="F11199" t="n">
        <v>1</v>
      </c>
      <c r="G11199" t="n">
        <v>24</v>
      </c>
      <c r="H11199" s="5">
        <f>HYPERLINK("https://api.qogita.com/variants/link/3770000002669/", "View Product")</f>
        <v/>
      </c>
    </row>
    <row r="11200">
      <c r="A11200" t="inlineStr">
        <is>
          <t>3770000002911</t>
        </is>
      </c>
      <c r="B11200" t="inlineStr">
        <is>
          <t>Juliette Has A Gun Anyway Eau De Parfum 50ml</t>
        </is>
      </c>
      <c r="C11200" t="inlineStr">
        <is>
          <t>Eau De Parfum</t>
        </is>
      </c>
      <c r="D11200" t="inlineStr">
        <is>
          <t>Juliette has a gun</t>
        </is>
      </c>
      <c r="E11200" t="n">
        <v>37.09</v>
      </c>
      <c r="F11200" t="n">
        <v>1</v>
      </c>
      <c r="G11200" t="n">
        <v>24</v>
      </c>
      <c r="H11200" s="5">
        <f>HYPERLINK("https://api.qogita.com/variants/link/3770000002911/", "View Product")</f>
        <v/>
      </c>
    </row>
    <row r="11201">
      <c r="A11201" t="inlineStr">
        <is>
          <t>3770003318712</t>
        </is>
      </c>
      <c r="B11201" t="inlineStr">
        <is>
          <t>CHABAUD Myst Oud EDP Vapo 100ml</t>
        </is>
      </c>
      <c r="C11201" t="inlineStr">
        <is>
          <t>Eau De Parfum</t>
        </is>
      </c>
      <c r="D11201" t="inlineStr">
        <is>
          <t>Chabaud</t>
        </is>
      </c>
      <c r="E11201" t="n">
        <v>67.90000000000001</v>
      </c>
      <c r="F11201" t="n">
        <v>1</v>
      </c>
      <c r="G11201" t="n">
        <v>5</v>
      </c>
      <c r="H11201" s="5">
        <f>HYPERLINK("https://api.qogita.com/variants/link/3770003318712/", "View Product")</f>
        <v/>
      </c>
    </row>
    <row r="11202">
      <c r="A11202" t="inlineStr">
        <is>
          <t>3770003318743</t>
        </is>
      </c>
      <c r="B11202" t="inlineStr">
        <is>
          <t>CHABAUD Bisc Milk Eau de Toilette Spray 100ml</t>
        </is>
      </c>
      <c r="C11202" t="inlineStr">
        <is>
          <t>Eau De Toilette</t>
        </is>
      </c>
      <c r="D11202" t="inlineStr">
        <is>
          <t>Chabaud</t>
        </is>
      </c>
      <c r="E11202" t="n">
        <v>56.32</v>
      </c>
      <c r="F11202" t="n">
        <v>1</v>
      </c>
      <c r="G11202" t="n">
        <v>23</v>
      </c>
      <c r="H11202" s="5">
        <f>HYPERLINK("https://api.qogita.com/variants/link/3770003318743/", "View Product")</f>
        <v/>
      </c>
    </row>
    <row r="11203">
      <c r="A11203" t="inlineStr">
        <is>
          <t>3770004085002</t>
        </is>
      </c>
      <c r="B11203" t="inlineStr">
        <is>
          <t>Ex Nihilo Oud Vendome Eau De Parfum Spray 100ml</t>
        </is>
      </c>
      <c r="C11203" t="inlineStr">
        <is>
          <t>Eau De Parfum</t>
        </is>
      </c>
      <c r="D11203" t="inlineStr">
        <is>
          <t>Ex Nihilo</t>
        </is>
      </c>
      <c r="E11203" t="n">
        <v>159.25</v>
      </c>
      <c r="F11203" t="n">
        <v>1</v>
      </c>
      <c r="G11203" t="n">
        <v>3</v>
      </c>
      <c r="H11203" s="5">
        <f>HYPERLINK("https://api.qogita.com/variants/link/3770004085002/", "View Product")</f>
        <v/>
      </c>
    </row>
    <row r="11204">
      <c r="A11204" t="inlineStr">
        <is>
          <t>3770004085743</t>
        </is>
      </c>
      <c r="B11204" t="inlineStr">
        <is>
          <t>Ex Nihilo Venenum Kiss Eau de Parfum Spray 3.4 oz</t>
        </is>
      </c>
      <c r="C11204" t="inlineStr">
        <is>
          <t>Eau De Parfum</t>
        </is>
      </c>
      <c r="D11204" t="inlineStr">
        <is>
          <t>Ex Nihilo</t>
        </is>
      </c>
      <c r="E11204" t="n">
        <v>190.7</v>
      </c>
      <c r="F11204" t="n">
        <v>1</v>
      </c>
      <c r="G11204" t="n">
        <v>10</v>
      </c>
      <c r="H11204" s="5">
        <f>HYPERLINK("https://api.qogita.com/variants/link/3770004085743/", "View Product")</f>
        <v/>
      </c>
    </row>
    <row r="11205">
      <c r="A11205" t="inlineStr">
        <is>
          <t>3770004394685</t>
        </is>
      </c>
      <c r="B11205" t="inlineStr">
        <is>
          <t>Buveur De Vent Eau De Parfum</t>
        </is>
      </c>
      <c r="C11205" t="inlineStr">
        <is>
          <t>Eau De Parfum</t>
        </is>
      </c>
      <c r="D11205" t="inlineStr">
        <is>
          <t>Liquides Imaginaires</t>
        </is>
      </c>
      <c r="E11205" t="n">
        <v>97.59999999999999</v>
      </c>
      <c r="F11205" t="n">
        <v>1</v>
      </c>
      <c r="G11205" t="n">
        <v>3</v>
      </c>
      <c r="H11205" s="5">
        <f>HYPERLINK("https://api.qogita.com/variants/link/3770004394685/", "View Product")</f>
        <v/>
      </c>
    </row>
    <row r="11206">
      <c r="A11206" t="inlineStr">
        <is>
          <t>3770006696640</t>
        </is>
      </c>
      <c r="B11206" t="inlineStr">
        <is>
          <t>Alex Simone Spray En Terrasse Eau de Parfum</t>
        </is>
      </c>
      <c r="C11206" t="inlineStr">
        <is>
          <t>Eau De Parfum</t>
        </is>
      </c>
      <c r="D11206" t="inlineStr">
        <is>
          <t>Alex Simone</t>
        </is>
      </c>
      <c r="E11206" t="n">
        <v>28.64</v>
      </c>
      <c r="F11206" t="n">
        <v>1</v>
      </c>
      <c r="G11206" t="n">
        <v>15</v>
      </c>
      <c r="H11206" s="5">
        <f>HYPERLINK("https://api.qogita.com/variants/link/3770006696640/", "View Product")</f>
        <v/>
      </c>
    </row>
    <row r="11207">
      <c r="A11207" t="inlineStr">
        <is>
          <t>3770006696664</t>
        </is>
      </c>
      <c r="B11207" t="inlineStr">
        <is>
          <t>Alex Simone Après Vous Eau de Parfum Spray</t>
        </is>
      </c>
      <c r="C11207" t="inlineStr">
        <is>
          <t>Eau De Parfum</t>
        </is>
      </c>
      <c r="D11207" t="inlineStr">
        <is>
          <t>Alex Simone</t>
        </is>
      </c>
      <c r="E11207" t="n">
        <v>28.64</v>
      </c>
      <c r="F11207" t="n">
        <v>1</v>
      </c>
      <c r="G11207" t="n">
        <v>6</v>
      </c>
      <c r="H11207" s="5">
        <f>HYPERLINK("https://api.qogita.com/variants/link/3770006696664/", "View Product")</f>
        <v/>
      </c>
    </row>
    <row r="11208">
      <c r="A11208" t="inlineStr">
        <is>
          <t>3770009208017</t>
        </is>
      </c>
      <c r="B11208" t="inlineStr">
        <is>
          <t>State Of Mind Etat D'Esprit Modern Nomad Eau De Parfum 100 Milliliters</t>
        </is>
      </c>
      <c r="C11208" t="inlineStr">
        <is>
          <t>Eau De Parfum</t>
        </is>
      </c>
      <c r="D11208" t="inlineStr">
        <is>
          <t>État D'Esprit</t>
        </is>
      </c>
      <c r="E11208" t="n">
        <v>132.62</v>
      </c>
      <c r="F11208" t="n">
        <v>1</v>
      </c>
      <c r="G11208" t="n">
        <v>3</v>
      </c>
      <c r="H11208" s="5">
        <f>HYPERLINK("https://api.qogita.com/variants/link/3770009208017/", "View Product")</f>
        <v/>
      </c>
    </row>
    <row r="11209">
      <c r="A11209" t="inlineStr">
        <is>
          <t>3770009208062</t>
        </is>
      </c>
      <c r="B11209" t="inlineStr">
        <is>
          <t>State Of Mind Etat D'Esprit Voluptuous Seduction Eau De Parfum 100 Milliliters</t>
        </is>
      </c>
      <c r="C11209" t="inlineStr">
        <is>
          <t>Eau De Parfum</t>
        </is>
      </c>
      <c r="D11209" t="inlineStr">
        <is>
          <t>État D'Esprit</t>
        </is>
      </c>
      <c r="E11209" t="n">
        <v>132.62</v>
      </c>
      <c r="F11209" t="n">
        <v>1</v>
      </c>
      <c r="G11209" t="n">
        <v>8</v>
      </c>
      <c r="H11209" s="5">
        <f>HYPERLINK("https://api.qogita.com/variants/link/3770009208062/", "View Product")</f>
        <v/>
      </c>
    </row>
    <row r="11210">
      <c r="A11210" t="inlineStr">
        <is>
          <t>3770009763752</t>
        </is>
      </c>
      <c r="B11210" t="inlineStr">
        <is>
          <t>Sospiro Perfumes Bel Canto Eau De Parfum Spray 100ml</t>
        </is>
      </c>
      <c r="C11210" t="inlineStr">
        <is>
          <t>Eau De Parfum</t>
        </is>
      </c>
      <c r="D11210" t="inlineStr">
        <is>
          <t>Sospiro</t>
        </is>
      </c>
      <c r="E11210" t="n">
        <v>124.76</v>
      </c>
      <c r="F11210" t="n">
        <v>1</v>
      </c>
      <c r="G11210" t="n">
        <v>10</v>
      </c>
      <c r="H11210" s="5">
        <f>HYPERLINK("https://api.qogita.com/variants/link/3770009763752/", "View Product")</f>
        <v/>
      </c>
    </row>
    <row r="11211">
      <c r="A11211" t="inlineStr">
        <is>
          <t>3770009763776</t>
        </is>
      </c>
      <c r="B11211" t="inlineStr">
        <is>
          <t>Sospiro Perfumes Opera Grande Eau De Parfum Spray 100ml</t>
        </is>
      </c>
      <c r="C11211" t="inlineStr">
        <is>
          <t>Eau De Parfum</t>
        </is>
      </c>
      <c r="D11211" t="inlineStr">
        <is>
          <t>Sospiro</t>
        </is>
      </c>
      <c r="E11211" t="n">
        <v>140.47</v>
      </c>
      <c r="F11211" t="n">
        <v>1</v>
      </c>
      <c r="G11211" t="n">
        <v>5</v>
      </c>
      <c r="H11211" s="5">
        <f>HYPERLINK("https://api.qogita.com/variants/link/3770009763776/", "View Product")</f>
        <v/>
      </c>
    </row>
    <row r="11212">
      <c r="A11212" t="inlineStr">
        <is>
          <t>3770009763813</t>
        </is>
      </c>
      <c r="B11212" t="inlineStr">
        <is>
          <t>Sospiro Pasticcio Eau De Parfum Unisex - 100 Ml</t>
        </is>
      </c>
      <c r="C11212" t="inlineStr">
        <is>
          <t>Eau De Parfum</t>
        </is>
      </c>
      <c r="D11212" t="inlineStr">
        <is>
          <t>Sospiro</t>
        </is>
      </c>
      <c r="E11212" t="n">
        <v>140.37</v>
      </c>
      <c r="F11212" t="n">
        <v>1</v>
      </c>
      <c r="G11212" t="n">
        <v>4</v>
      </c>
      <c r="H11212" s="5">
        <f>HYPERLINK("https://api.qogita.com/variants/link/3770009763813/", "View Product")</f>
        <v/>
      </c>
    </row>
    <row r="11213">
      <c r="A11213" t="inlineStr">
        <is>
          <t>3770009763837</t>
        </is>
      </c>
      <c r="B11213" t="inlineStr">
        <is>
          <t>Sospiro Perfumes Liberto Eau De Parfum Spray 100ml</t>
        </is>
      </c>
      <c r="C11213" t="inlineStr">
        <is>
          <t>Eau De Parfum</t>
        </is>
      </c>
      <c r="D11213" t="inlineStr">
        <is>
          <t>Sospiro</t>
        </is>
      </c>
      <c r="E11213" t="n">
        <v>121.76</v>
      </c>
      <c r="F11213" t="n">
        <v>1</v>
      </c>
      <c r="G11213" t="n">
        <v>6</v>
      </c>
      <c r="H11213" s="5">
        <f>HYPERLINK("https://api.qogita.com/variants/link/3770009763837/", "View Product")</f>
        <v/>
      </c>
    </row>
    <row r="11214">
      <c r="A11214" t="inlineStr">
        <is>
          <t>3770022101487</t>
        </is>
      </c>
      <c r="B11214" t="inlineStr">
        <is>
          <t>Brecourt Ibiza Addiction Eau De Parfum 50ml</t>
        </is>
      </c>
      <c r="C11214" t="inlineStr">
        <is>
          <t>Eau De Parfum</t>
        </is>
      </c>
      <c r="D11214" t="inlineStr">
        <is>
          <t>Brecourt</t>
        </is>
      </c>
      <c r="E11214" t="n">
        <v>50.25</v>
      </c>
      <c r="F11214" t="n">
        <v>1</v>
      </c>
      <c r="G11214" t="n">
        <v>5</v>
      </c>
      <c r="H11214" s="5">
        <f>HYPERLINK("https://api.qogita.com/variants/link/3770022101487/", "View Product")</f>
        <v/>
      </c>
    </row>
    <row r="11215">
      <c r="A11215" t="inlineStr">
        <is>
          <t>3770022101494</t>
        </is>
      </c>
      <c r="B11215" t="inlineStr">
        <is>
          <t>Brecourt Eau Blanche Eau De Parfum 50ml</t>
        </is>
      </c>
      <c r="C11215" t="inlineStr">
        <is>
          <t>Eau De Parfum</t>
        </is>
      </c>
      <c r="D11215" t="inlineStr">
        <is>
          <t>Brecourt</t>
        </is>
      </c>
      <c r="E11215" t="n">
        <v>50.25</v>
      </c>
      <c r="F11215" t="n">
        <v>1</v>
      </c>
      <c r="G11215" t="n">
        <v>5</v>
      </c>
      <c r="H11215" s="5">
        <f>HYPERLINK("https://api.qogita.com/variants/link/3770022101494/", "View Product")</f>
        <v/>
      </c>
    </row>
    <row r="11216">
      <c r="A11216" t="inlineStr">
        <is>
          <t>3770022101548</t>
        </is>
      </c>
      <c r="B11216" t="inlineStr">
        <is>
          <t>Brecourt Subversive Eau De Parfum 50ml</t>
        </is>
      </c>
      <c r="C11216" t="inlineStr">
        <is>
          <t>Eau De Parfum</t>
        </is>
      </c>
      <c r="D11216" t="inlineStr">
        <is>
          <t>Brecourt</t>
        </is>
      </c>
      <c r="E11216" t="n">
        <v>50.34</v>
      </c>
      <c r="F11216" t="n">
        <v>1</v>
      </c>
      <c r="G11216" t="n">
        <v>5</v>
      </c>
      <c r="H11216" s="5">
        <f>HYPERLINK("https://api.qogita.com/variants/link/3770022101548/", "View Product")</f>
        <v/>
      </c>
    </row>
    <row r="11217">
      <c r="A11217" t="inlineStr">
        <is>
          <t>3800221841416</t>
        </is>
      </c>
      <c r="B11217" t="inlineStr">
        <is>
          <t>Biotrade Acnaut Active Cream For Problematic Skin - 30 Ml</t>
        </is>
      </c>
      <c r="C11217" t="inlineStr">
        <is>
          <t>Pimple &amp; Blackhead Treatments</t>
        </is>
      </c>
      <c r="D11217" t="inlineStr">
        <is>
          <t>Biotrade</t>
        </is>
      </c>
      <c r="E11217" t="n">
        <v>26.24</v>
      </c>
      <c r="F11217" t="n">
        <v>1</v>
      </c>
      <c r="G11217" t="n">
        <v>5</v>
      </c>
      <c r="H11217" s="5">
        <f>HYPERLINK("https://api.qogita.com/variants/link/3800221841416/", "View Product")</f>
        <v/>
      </c>
    </row>
    <row r="11218">
      <c r="A11218" t="inlineStr">
        <is>
          <t>3800500519012</t>
        </is>
      </c>
      <c r="B11218" t="inlineStr">
        <is>
          <t>Cocosolis Choco Suntan &amp; Body Oil 110ml</t>
        </is>
      </c>
      <c r="C11218" t="inlineStr">
        <is>
          <t>Body Oil</t>
        </is>
      </c>
      <c r="D11218" t="inlineStr">
        <is>
          <t>Cocosolis</t>
        </is>
      </c>
      <c r="E11218" t="n">
        <v>21.4</v>
      </c>
      <c r="F11218" t="n">
        <v>1</v>
      </c>
      <c r="G11218" t="n">
        <v>16</v>
      </c>
      <c r="H11218" s="5">
        <f>HYPERLINK("https://api.qogita.com/variants/link/3800500519012/", "View Product")</f>
        <v/>
      </c>
    </row>
    <row r="11219">
      <c r="A11219" t="inlineStr">
        <is>
          <t>3800500519067</t>
        </is>
      </c>
      <c r="B11219" t="inlineStr">
        <is>
          <t>Cocosolis Skin Stretch Mark Dry Oil 110ml</t>
        </is>
      </c>
      <c r="C11219" t="inlineStr">
        <is>
          <t>Body Oil</t>
        </is>
      </c>
      <c r="D11219" t="inlineStr">
        <is>
          <t>Cocosolis</t>
        </is>
      </c>
      <c r="E11219" t="n">
        <v>20.22</v>
      </c>
      <c r="F11219" t="n">
        <v>1</v>
      </c>
      <c r="G11219" t="n">
        <v>2</v>
      </c>
      <c r="H11219" s="5">
        <f>HYPERLINK("https://api.qogita.com/variants/link/3800500519067/", "View Product")</f>
        <v/>
      </c>
    </row>
    <row r="11220">
      <c r="A11220" t="inlineStr">
        <is>
          <t>3800500519074</t>
        </is>
      </c>
      <c r="B11220" t="inlineStr">
        <is>
          <t>Cocosolis Organic Cocosolis Anticellulite Dry Oil 110ml</t>
        </is>
      </c>
      <c r="C11220" t="inlineStr">
        <is>
          <t>Anti-Cellulite</t>
        </is>
      </c>
      <c r="D11220" t="inlineStr">
        <is>
          <t>Cocosolis</t>
        </is>
      </c>
      <c r="E11220" t="n">
        <v>21.71</v>
      </c>
      <c r="F11220" t="n">
        <v>1</v>
      </c>
      <c r="G11220" t="n">
        <v>15</v>
      </c>
      <c r="H11220" s="5">
        <f>HYPERLINK("https://api.qogita.com/variants/link/3800500519074/", "View Product")</f>
        <v/>
      </c>
    </row>
    <row r="11221">
      <c r="A11221" t="inlineStr">
        <is>
          <t>3800500519708</t>
        </is>
      </c>
      <c r="B11221" t="inlineStr">
        <is>
          <t>Cocosolis Nougat Sparkling Body Butter 250ml</t>
        </is>
      </c>
      <c r="C11221" t="inlineStr">
        <is>
          <t>Body Butter</t>
        </is>
      </c>
      <c r="D11221" t="inlineStr">
        <is>
          <t>Cocosolis</t>
        </is>
      </c>
      <c r="E11221" t="n">
        <v>45.62</v>
      </c>
      <c r="F11221" t="n">
        <v>1</v>
      </c>
      <c r="G11221" t="n">
        <v>5</v>
      </c>
      <c r="H11221" s="5">
        <f>HYPERLINK("https://api.qogita.com/variants/link/3800500519708/", "View Product")</f>
        <v/>
      </c>
    </row>
    <row r="11222">
      <c r="A11222" t="inlineStr">
        <is>
          <t>3800501636381</t>
        </is>
      </c>
      <c r="B11222" t="inlineStr">
        <is>
          <t>Cocosolis Suntan &amp; Body Oil Watermelon 100ml</t>
        </is>
      </c>
      <c r="C11222" t="inlineStr">
        <is>
          <t>Body Oil</t>
        </is>
      </c>
      <c r="D11222" t="inlineStr">
        <is>
          <t>Cocosolis</t>
        </is>
      </c>
      <c r="E11222" t="n">
        <v>20.37</v>
      </c>
      <c r="F11222" t="n">
        <v>1</v>
      </c>
      <c r="G11222" t="n">
        <v>5</v>
      </c>
      <c r="H11222" s="5">
        <f>HYPERLINK("https://api.qogita.com/variants/link/3800501636381/", "View Product")</f>
        <v/>
      </c>
    </row>
    <row r="11223">
      <c r="A11223" t="inlineStr">
        <is>
          <t>4000388177000</t>
        </is>
      </c>
      <c r="B11223" t="inlineStr">
        <is>
          <t>Dove Beauty Cream Wash Creamy Liquid Soap 250ml</t>
        </is>
      </c>
      <c r="C11223" t="inlineStr">
        <is>
          <t>Soap</t>
        </is>
      </c>
      <c r="D11223" t="inlineStr">
        <is>
          <t>Dove</t>
        </is>
      </c>
      <c r="E11223" t="n">
        <v>3.91</v>
      </c>
      <c r="F11223" t="n">
        <v>1</v>
      </c>
      <c r="G11223" t="n">
        <v>11</v>
      </c>
      <c r="H11223" s="5">
        <f>HYPERLINK("https://api.qogita.com/variants/link/4000388177000/", "View Product")</f>
        <v/>
      </c>
    </row>
    <row r="11224">
      <c r="A11224" t="inlineStr">
        <is>
          <t>4000388669000</t>
        </is>
      </c>
      <c r="B11224" t="inlineStr">
        <is>
          <t>Rexona Men Motionsense Cobalt Dry Antiperspirant Spray</t>
        </is>
      </c>
      <c r="C11224" t="inlineStr">
        <is>
          <t>Deodorant &amp; Anti-Perspirant</t>
        </is>
      </c>
      <c r="D11224" t="inlineStr">
        <is>
          <t>Rexona</t>
        </is>
      </c>
      <c r="E11224" t="n">
        <v>3.95</v>
      </c>
      <c r="F11224" t="n">
        <v>1</v>
      </c>
      <c r="G11224" t="n">
        <v>5</v>
      </c>
      <c r="H11224" s="5">
        <f>HYPERLINK("https://api.qogita.com/variants/link/4000388669000/", "View Product")</f>
        <v/>
      </c>
    </row>
    <row r="11225">
      <c r="A11225" t="inlineStr">
        <is>
          <t>4001638081863</t>
        </is>
      </c>
      <c r="B11225" t="inlineStr">
        <is>
          <t>Weleda Childrens Tooth Gel 50ml</t>
        </is>
      </c>
      <c r="C11225" t="inlineStr">
        <is>
          <t>Dental Care For Children</t>
        </is>
      </c>
      <c r="D11225" t="inlineStr">
        <is>
          <t>Weleda</t>
        </is>
      </c>
      <c r="E11225" t="n">
        <v>5.91</v>
      </c>
      <c r="F11225" t="n">
        <v>1</v>
      </c>
      <c r="G11225" t="n">
        <v>16</v>
      </c>
      <c r="H11225" s="5">
        <f>HYPERLINK("https://api.qogita.com/variants/link/4001638081863/", "View Product")</f>
        <v/>
      </c>
    </row>
    <row r="11226">
      <c r="A11226" t="inlineStr">
        <is>
          <t>4001638086554</t>
        </is>
      </c>
      <c r="B11226" t="inlineStr">
        <is>
          <t>Weleda Vegetable Dental Gel 75 Ml</t>
        </is>
      </c>
      <c r="C11226" t="inlineStr">
        <is>
          <t>Toothpaste</t>
        </is>
      </c>
      <c r="D11226" t="inlineStr">
        <is>
          <t>Weleda</t>
        </is>
      </c>
      <c r="E11226" t="n">
        <v>6.86</v>
      </c>
      <c r="F11226" t="n">
        <v>1</v>
      </c>
      <c r="G11226" t="n">
        <v>5</v>
      </c>
      <c r="H11226" s="5">
        <f>HYPERLINK("https://api.qogita.com/variants/link/4001638086554/", "View Product")</f>
        <v/>
      </c>
    </row>
    <row r="11227">
      <c r="A11227" t="inlineStr">
        <is>
          <t>4001638095587</t>
        </is>
      </c>
      <c r="B11227" t="inlineStr">
        <is>
          <t>Have Regenerating Conditioner</t>
        </is>
      </c>
      <c r="C11227" t="inlineStr">
        <is>
          <t>Conditioner</t>
        </is>
      </c>
      <c r="D11227" t="inlineStr">
        <is>
          <t>Weleda</t>
        </is>
      </c>
      <c r="E11227" t="n">
        <v>11.35</v>
      </c>
      <c r="F11227" t="n">
        <v>1</v>
      </c>
      <c r="G11227" t="n">
        <v>5</v>
      </c>
      <c r="H11227" s="5">
        <f>HYPERLINK("https://api.qogita.com/variants/link/4001638095587/", "View Product")</f>
        <v/>
      </c>
    </row>
    <row r="11228">
      <c r="A11228" t="inlineStr">
        <is>
          <t>4001638095747</t>
        </is>
      </c>
      <c r="B11228" t="inlineStr">
        <is>
          <t>Weleda For Men After Shave Balsam 100ml</t>
        </is>
      </c>
      <c r="C11228" t="inlineStr">
        <is>
          <t>Aftershave</t>
        </is>
      </c>
      <c r="D11228" t="inlineStr">
        <is>
          <t>Weleda</t>
        </is>
      </c>
      <c r="E11228" t="n">
        <v>15.17</v>
      </c>
      <c r="F11228" t="n">
        <v>1</v>
      </c>
      <c r="G11228" t="n">
        <v>5</v>
      </c>
      <c r="H11228" s="5">
        <f>HYPERLINK("https://api.qogita.com/variants/link/4001638095747/", "View Product")</f>
        <v/>
      </c>
    </row>
    <row r="11229">
      <c r="A11229" t="inlineStr">
        <is>
          <t>4001638097079</t>
        </is>
      </c>
      <c r="B11229" t="inlineStr">
        <is>
          <t>Weleda Citrus Deodorant Spray 100ml 24 Hour Protection</t>
        </is>
      </c>
      <c r="C11229" t="inlineStr">
        <is>
          <t>Deodorant &amp; Anti-Perspirant</t>
        </is>
      </c>
      <c r="D11229" t="inlineStr">
        <is>
          <t>Weleda</t>
        </is>
      </c>
      <c r="E11229" t="n">
        <v>11.35</v>
      </c>
      <c r="F11229" t="n">
        <v>1</v>
      </c>
      <c r="G11229" t="n">
        <v>6</v>
      </c>
      <c r="H11229" s="5">
        <f>HYPERLINK("https://api.qogita.com/variants/link/4001638097079/", "View Product")</f>
        <v/>
      </c>
    </row>
    <row r="11230">
      <c r="A11230" t="inlineStr">
        <is>
          <t>4001638098069</t>
        </is>
      </c>
      <c r="B11230" t="inlineStr">
        <is>
          <t>Weleda Ratanhia Mouthwash 50ml Natural Oral Care</t>
        </is>
      </c>
      <c r="C11230" t="inlineStr">
        <is>
          <t>Mouthwash</t>
        </is>
      </c>
      <c r="D11230" t="inlineStr">
        <is>
          <t>Weleda</t>
        </is>
      </c>
      <c r="E11230" t="n">
        <v>8.1</v>
      </c>
      <c r="F11230" t="n">
        <v>1</v>
      </c>
      <c r="G11230" t="n">
        <v>5</v>
      </c>
      <c r="H11230" s="5">
        <f>HYPERLINK("https://api.qogita.com/variants/link/4001638098069/", "View Product")</f>
        <v/>
      </c>
    </row>
    <row r="11231">
      <c r="A11231" t="inlineStr">
        <is>
          <t>4001638098083</t>
        </is>
      </c>
      <c r="B11231" t="inlineStr">
        <is>
          <t>Weleda Ratanhia Toothpaste 75 Ml</t>
        </is>
      </c>
      <c r="C11231" t="inlineStr">
        <is>
          <t>Toothpaste</t>
        </is>
      </c>
      <c r="D11231" t="inlineStr">
        <is>
          <t>Weleda</t>
        </is>
      </c>
      <c r="E11231" t="n">
        <v>6.84</v>
      </c>
      <c r="F11231" t="n">
        <v>1</v>
      </c>
      <c r="G11231" t="n">
        <v>3</v>
      </c>
      <c r="H11231" s="5">
        <f>HYPERLINK("https://api.qogita.com/variants/link/4001638098083/", "View Product")</f>
        <v/>
      </c>
    </row>
    <row r="11232">
      <c r="A11232" t="inlineStr">
        <is>
          <t>4001638098250</t>
        </is>
      </c>
      <c r="B11232" t="inlineStr">
        <is>
          <t>Weleda Soothing Lavender Bath 200 Ml</t>
        </is>
      </c>
      <c r="C11232" t="inlineStr">
        <is>
          <t>Bath Oil &amp; Bath Milk</t>
        </is>
      </c>
      <c r="D11232" t="inlineStr">
        <is>
          <t>Weleda</t>
        </is>
      </c>
      <c r="E11232" t="n">
        <v>13.63</v>
      </c>
      <c r="F11232" t="n">
        <v>1</v>
      </c>
      <c r="G11232" t="n">
        <v>6</v>
      </c>
      <c r="H11232" s="5">
        <f>HYPERLINK("https://api.qogita.com/variants/link/4001638098250/", "View Product")</f>
        <v/>
      </c>
    </row>
    <row r="11233">
      <c r="A11233" t="inlineStr">
        <is>
          <t>4001638099202</t>
        </is>
      </c>
      <c r="B11233" t="inlineStr">
        <is>
          <t>Weleda Arnica Massage Oil 50 Ml Soothing And Relaxing</t>
        </is>
      </c>
      <c r="C11233" t="inlineStr">
        <is>
          <t>Body Oil</t>
        </is>
      </c>
      <c r="D11233" t="inlineStr">
        <is>
          <t>Weleda</t>
        </is>
      </c>
      <c r="E11233" t="n">
        <v>9.630000000000001</v>
      </c>
      <c r="F11233" t="n">
        <v>1</v>
      </c>
      <c r="G11233" t="n">
        <v>5</v>
      </c>
      <c r="H11233" s="5">
        <f>HYPERLINK("https://api.qogita.com/variants/link/4001638099202/", "View Product")</f>
        <v/>
      </c>
    </row>
    <row r="11234">
      <c r="A11234" t="inlineStr">
        <is>
          <t>4001638099240</t>
        </is>
      </c>
      <c r="B11234" t="inlineStr">
        <is>
          <t>Weleda Arnica Massage Oil A Soothing Massage Oil With Arnica For Relaxation And Relief</t>
        </is>
      </c>
      <c r="C11234" t="inlineStr">
        <is>
          <t>Body Oil</t>
        </is>
      </c>
      <c r="D11234" t="inlineStr">
        <is>
          <t>Weleda</t>
        </is>
      </c>
      <c r="E11234" t="n">
        <v>18.96</v>
      </c>
      <c r="F11234" t="n">
        <v>1</v>
      </c>
      <c r="G11234" t="n">
        <v>7</v>
      </c>
      <c r="H11234" s="5">
        <f>HYPERLINK("https://api.qogita.com/variants/link/4001638099240/", "View Product")</f>
        <v/>
      </c>
    </row>
    <row r="11235">
      <c r="A11235" t="inlineStr">
        <is>
          <t>4001638523158</t>
        </is>
      </c>
      <c r="B11235" t="inlineStr">
        <is>
          <t>WELEDA Baby Care Natural Cosmetics Set - Body Care Cream for Soothing Dry Skin + Face Cream for Dry and Sensitive Facial Skin</t>
        </is>
      </c>
      <c r="C11235" t="inlineStr">
        <is>
          <t>Baby Cream &amp; Oil</t>
        </is>
      </c>
      <c r="D11235" t="inlineStr">
        <is>
          <t>Weleda</t>
        </is>
      </c>
      <c r="E11235" t="n">
        <v>8.710000000000001</v>
      </c>
      <c r="F11235" t="n">
        <v>1</v>
      </c>
      <c r="G11235" t="n">
        <v>2</v>
      </c>
      <c r="H11235" s="5">
        <f>HYPERLINK("https://api.qogita.com/variants/link/4001638523158/", "View Product")</f>
        <v/>
      </c>
    </row>
    <row r="11236">
      <c r="A11236" t="inlineStr">
        <is>
          <t>4001638529396</t>
        </is>
      </c>
      <c r="B11236" t="inlineStr">
        <is>
          <t>Weleda Active Firming Body Lotion 200 Ml</t>
        </is>
      </c>
      <c r="C11236" t="inlineStr">
        <is>
          <t>Body Lotion</t>
        </is>
      </c>
      <c r="D11236" t="inlineStr">
        <is>
          <t>Weleda</t>
        </is>
      </c>
      <c r="E11236" t="n">
        <v>17.06</v>
      </c>
      <c r="F11236" t="n">
        <v>1</v>
      </c>
      <c r="G11236" t="n">
        <v>2</v>
      </c>
      <c r="H11236" s="5">
        <f>HYPERLINK("https://api.qogita.com/variants/link/4001638529396/", "View Product")</f>
        <v/>
      </c>
    </row>
    <row r="11237">
      <c r="A11237" t="inlineStr">
        <is>
          <t>4001638529976</t>
        </is>
      </c>
      <c r="B11237" t="inlineStr">
        <is>
          <t>Weleda Shower Bar Geranium Litsea Cubera</t>
        </is>
      </c>
      <c r="C11237" t="inlineStr">
        <is>
          <t>Soap</t>
        </is>
      </c>
      <c r="D11237" t="inlineStr">
        <is>
          <t>Weleda</t>
        </is>
      </c>
      <c r="E11237" t="n">
        <v>6.24</v>
      </c>
      <c r="F11237" t="n">
        <v>1</v>
      </c>
      <c r="G11237" t="n">
        <v>5</v>
      </c>
      <c r="H11237" s="5">
        <f>HYPERLINK("https://api.qogita.com/variants/link/4001638529976/", "View Product")</f>
        <v/>
      </c>
    </row>
    <row r="11238">
      <c r="A11238" t="inlineStr">
        <is>
          <t>4001638580267</t>
        </is>
      </c>
      <c r="B11238" t="inlineStr">
        <is>
          <t>Weleda Skin Food Nourishing Cleansing Balm 75ml</t>
        </is>
      </c>
      <c r="C11238" t="inlineStr">
        <is>
          <t>Cleansing Cream</t>
        </is>
      </c>
      <c r="D11238" t="inlineStr">
        <is>
          <t>Weleda</t>
        </is>
      </c>
      <c r="E11238" t="n">
        <v>13.26</v>
      </c>
      <c r="F11238" t="n">
        <v>1</v>
      </c>
      <c r="G11238" t="n">
        <v>5</v>
      </c>
      <c r="H11238" s="5">
        <f>HYPERLINK("https://api.qogita.com/variants/link/4001638580267/", "View Product")</f>
        <v/>
      </c>
    </row>
    <row r="11239">
      <c r="A11239" t="inlineStr">
        <is>
          <t>4001638580519</t>
        </is>
      </c>
      <c r="B11239" t="inlineStr">
        <is>
          <t>Weleda Bio Kids Toothpaste with Fluoride - Natural Toothpaste for Babies and Children</t>
        </is>
      </c>
      <c r="C11239" t="inlineStr">
        <is>
          <t>Dental Care For Children</t>
        </is>
      </c>
      <c r="D11239" t="inlineStr">
        <is>
          <t>Weleda</t>
        </is>
      </c>
      <c r="E11239" t="n">
        <v>6.56</v>
      </c>
      <c r="F11239" t="n">
        <v>1</v>
      </c>
      <c r="G11239" t="n">
        <v>3</v>
      </c>
      <c r="H11239" s="5">
        <f>HYPERLINK("https://api.qogita.com/variants/link/4001638580519/", "View Product")</f>
        <v/>
      </c>
    </row>
    <row r="11240">
      <c r="A11240" t="inlineStr">
        <is>
          <t>4001638589574</t>
        </is>
      </c>
      <c r="B11240" t="inlineStr">
        <is>
          <t>Men 5in1 Multi-Action Serum</t>
        </is>
      </c>
      <c r="C11240" t="inlineStr">
        <is>
          <t>Anti-Aging Serum</t>
        </is>
      </c>
      <c r="D11240" t="inlineStr">
        <is>
          <t>Weleda</t>
        </is>
      </c>
      <c r="E11240" t="n">
        <v>13.26</v>
      </c>
      <c r="F11240" t="n">
        <v>1</v>
      </c>
      <c r="G11240" t="n">
        <v>3</v>
      </c>
      <c r="H11240" s="5">
        <f>HYPERLINK("https://api.qogita.com/variants/link/4001638589574/", "View Product")</f>
        <v/>
      </c>
    </row>
    <row r="11241">
      <c r="A11241" t="inlineStr">
        <is>
          <t>4001638590341</t>
        </is>
      </c>
      <c r="B11241" t="inlineStr">
        <is>
          <t>Weleda Arnica Cooling Gel 100 Ml</t>
        </is>
      </c>
      <c r="C11241" t="inlineStr">
        <is>
          <t>Sporting Tension</t>
        </is>
      </c>
      <c r="D11241" t="inlineStr">
        <is>
          <t>Weleda</t>
        </is>
      </c>
      <c r="E11241" t="n">
        <v>12.5</v>
      </c>
      <c r="F11241" t="n">
        <v>1</v>
      </c>
      <c r="G11241" t="n">
        <v>5</v>
      </c>
      <c r="H11241" s="5">
        <f>HYPERLINK("https://api.qogita.com/variants/link/4001638590341/", "View Product")</f>
        <v/>
      </c>
    </row>
    <row r="11242">
      <c r="A11242" t="inlineStr">
        <is>
          <t>4001638905305</t>
        </is>
      </c>
      <c r="B11242" t="inlineStr">
        <is>
          <t>Weleda Foot Balm 75 Ml Nourishing Foot Care</t>
        </is>
      </c>
      <c r="C11242" t="inlineStr">
        <is>
          <t>Foot Cream</t>
        </is>
      </c>
      <c r="D11242" t="inlineStr">
        <is>
          <t>Weleda</t>
        </is>
      </c>
      <c r="E11242" t="n">
        <v>9.710000000000001</v>
      </c>
      <c r="F11242" t="n">
        <v>1</v>
      </c>
      <c r="G11242" t="n">
        <v>3</v>
      </c>
      <c r="H11242" s="5">
        <f>HYPERLINK("https://api.qogita.com/variants/link/4001638905305/", "View Product")</f>
        <v/>
      </c>
    </row>
    <row r="11243">
      <c r="A11243" t="inlineStr">
        <is>
          <t>4002448116516</t>
        </is>
      </c>
      <c r="B11243" t="inlineStr">
        <is>
          <t>Scholl Gelactiv All Day Comfort Insoles For Ankle Boots 1 Pair</t>
        </is>
      </c>
      <c r="C11243" t="inlineStr">
        <is>
          <t>Foot Care Sets</t>
        </is>
      </c>
      <c r="D11243" t="inlineStr">
        <is>
          <t>Scholl</t>
        </is>
      </c>
      <c r="E11243" t="n">
        <v>8.1</v>
      </c>
      <c r="F11243" t="n">
        <v>1</v>
      </c>
      <c r="G11243" t="n">
        <v>33</v>
      </c>
      <c r="H11243" s="5">
        <f>HYPERLINK("https://api.qogita.com/variants/link/4002448116516/", "View Product")</f>
        <v/>
      </c>
    </row>
    <row r="11244">
      <c r="A11244" t="inlineStr">
        <is>
          <t>4002448129264</t>
        </is>
      </c>
      <c r="B11244" t="inlineStr">
        <is>
          <t>Scholl Expert Care Replacement Rollers for Heels with Diamond Particles</t>
        </is>
      </c>
      <c r="C11244" t="inlineStr">
        <is>
          <t>Callus Remover</t>
        </is>
      </c>
      <c r="D11244" t="inlineStr">
        <is>
          <t>Scholl</t>
        </is>
      </c>
      <c r="E11244" t="n">
        <v>12.43</v>
      </c>
      <c r="F11244" t="n">
        <v>1</v>
      </c>
      <c r="G11244" t="n">
        <v>30</v>
      </c>
      <c r="H11244" s="5">
        <f>HYPERLINK("https://api.qogita.com/variants/link/4002448129264/", "View Product")</f>
        <v/>
      </c>
    </row>
    <row r="11245">
      <c r="A11245" t="inlineStr">
        <is>
          <t>4003349010705</t>
        </is>
      </c>
      <c r="B11245" t="inlineStr">
        <is>
          <t>Pfeilring Solingen Family Manicure Set 7 Pieces Black</t>
        </is>
      </c>
      <c r="C11245" t="inlineStr">
        <is>
          <t>Manicure Sets</t>
        </is>
      </c>
      <c r="D11245" t="inlineStr">
        <is>
          <t>Pfeilring</t>
        </is>
      </c>
      <c r="E11245" t="n">
        <v>110.23</v>
      </c>
      <c r="F11245" t="n">
        <v>1</v>
      </c>
      <c r="G11245" t="n">
        <v>5</v>
      </c>
      <c r="H11245" s="5">
        <f>HYPERLINK("https://api.qogita.com/variants/link/4003349010705/", "View Product")</f>
        <v/>
      </c>
    </row>
    <row r="11246">
      <c r="A11246" t="inlineStr">
        <is>
          <t>4003349129506</t>
        </is>
      </c>
      <c r="B11246" t="inlineStr">
        <is>
          <t>Pfeilring Solingen Pfeilring Original Red Manicure Set 5 Pieces</t>
        </is>
      </c>
      <c r="C11246" t="inlineStr">
        <is>
          <t>Manicure Sets</t>
        </is>
      </c>
      <c r="D11246" t="inlineStr">
        <is>
          <t>Pfeilring</t>
        </is>
      </c>
      <c r="E11246" t="n">
        <v>65.25</v>
      </c>
      <c r="F11246" t="n">
        <v>1</v>
      </c>
      <c r="G11246" t="n">
        <v>9</v>
      </c>
      <c r="H11246" s="5">
        <f>HYPERLINK("https://api.qogita.com/variants/link/4003349129506/", "View Product")</f>
        <v/>
      </c>
    </row>
    <row r="11247">
      <c r="A11247" t="inlineStr">
        <is>
          <t>4003349129902</t>
        </is>
      </c>
      <c r="B11247" t="inlineStr">
        <is>
          <t>Pfeilring Solingen Manicure Travel Set 3 Pieces Bronze Metallic</t>
        </is>
      </c>
      <c r="C11247" t="inlineStr">
        <is>
          <t>Manicure Sets</t>
        </is>
      </c>
      <c r="D11247" t="inlineStr">
        <is>
          <t>Pfeilring</t>
        </is>
      </c>
      <c r="E11247" t="n">
        <v>27.68</v>
      </c>
      <c r="F11247" t="n">
        <v>1</v>
      </c>
      <c r="G11247" t="n">
        <v>4</v>
      </c>
      <c r="H11247" s="5">
        <f>HYPERLINK("https://api.qogita.com/variants/link/4003349129902/", "View Product")</f>
        <v/>
      </c>
    </row>
    <row r="11248">
      <c r="A11248" t="inlineStr">
        <is>
          <t>4004775312005</t>
        </is>
      </c>
      <c r="B11248" t="inlineStr">
        <is>
          <t>Adidas Active Bodies Eau De Toilette Concentrate 100ml</t>
        </is>
      </c>
      <c r="C11248" t="inlineStr">
        <is>
          <t>Eau De Toilette</t>
        </is>
      </c>
      <c r="D11248" t="inlineStr">
        <is>
          <t>adidas</t>
        </is>
      </c>
      <c r="E11248" t="n">
        <v>14.44</v>
      </c>
      <c r="F11248" t="n">
        <v>1</v>
      </c>
      <c r="G11248" t="n">
        <v>17</v>
      </c>
      <c r="H11248" s="5">
        <f>HYPERLINK("https://api.qogita.com/variants/link/4004775312005/", "View Product")</f>
        <v/>
      </c>
    </row>
    <row r="11249">
      <c r="A11249" t="inlineStr">
        <is>
          <t>4005800014680</t>
        </is>
      </c>
      <c r="B11249" t="inlineStr">
        <is>
          <t>Eucerin Hyal Filler Anti-Aging Cream 50ml for Face</t>
        </is>
      </c>
      <c r="C11249" t="inlineStr">
        <is>
          <t>Anti-Aging Facial Care</t>
        </is>
      </c>
      <c r="D11249" t="inlineStr">
        <is>
          <t>Eucerin</t>
        </is>
      </c>
      <c r="E11249" t="n">
        <v>34.48</v>
      </c>
      <c r="F11249" t="n">
        <v>1</v>
      </c>
      <c r="G11249" t="n">
        <v>6</v>
      </c>
      <c r="H11249" s="5">
        <f>HYPERLINK("https://api.qogita.com/variants/link/4005800014680/", "View Product")</f>
        <v/>
      </c>
    </row>
    <row r="11250">
      <c r="A11250" t="inlineStr">
        <is>
          <t>4005800036637</t>
        </is>
      </c>
      <c r="B11250" t="inlineStr">
        <is>
          <t>Eucerin Dermo Capillaire Antidandruff Shampoo Gel 250 Ml</t>
        </is>
      </c>
      <c r="C11250" t="inlineStr">
        <is>
          <t>Shampoo</t>
        </is>
      </c>
      <c r="D11250" t="inlineStr">
        <is>
          <t>Eucerin</t>
        </is>
      </c>
      <c r="E11250" t="n">
        <v>18.33</v>
      </c>
      <c r="F11250" t="n">
        <v>1</v>
      </c>
      <c r="G11250" t="n">
        <v>3</v>
      </c>
      <c r="H11250" s="5">
        <f>HYPERLINK("https://api.qogita.com/variants/link/4005800036637/", "View Product")</f>
        <v/>
      </c>
    </row>
    <row r="11251">
      <c r="A11251" t="inlineStr">
        <is>
          <t>4005800050107</t>
        </is>
      </c>
      <c r="B11251" t="inlineStr">
        <is>
          <t>Eucerin Hyaluron Filler Volume Day Cream For Dry Skin 50 Ml Spf 15</t>
        </is>
      </c>
      <c r="C11251" t="inlineStr">
        <is>
          <t>Day Cream</t>
        </is>
      </c>
      <c r="D11251" t="inlineStr">
        <is>
          <t>Eucerin</t>
        </is>
      </c>
      <c r="E11251" t="n">
        <v>39.09</v>
      </c>
      <c r="F11251" t="n">
        <v>1</v>
      </c>
      <c r="G11251" t="n">
        <v>3</v>
      </c>
      <c r="H11251" s="5">
        <f>HYPERLINK("https://api.qogita.com/variants/link/4005800050107/", "View Product")</f>
        <v/>
      </c>
    </row>
    <row r="11252">
      <c r="A11252" t="inlineStr">
        <is>
          <t>4005800107863</t>
        </is>
      </c>
      <c r="B11252" t="inlineStr">
        <is>
          <t>Eucerin Anti-Rose Soothing Night Treatment 50ml</t>
        </is>
      </c>
      <c r="C11252" t="inlineStr">
        <is>
          <t>Night Cream</t>
        </is>
      </c>
      <c r="D11252" t="inlineStr">
        <is>
          <t>Eucerin</t>
        </is>
      </c>
      <c r="E11252" t="n">
        <v>30.73</v>
      </c>
      <c r="F11252" t="n">
        <v>1</v>
      </c>
      <c r="G11252" t="n">
        <v>3</v>
      </c>
      <c r="H11252" s="5">
        <f>HYPERLINK("https://api.qogita.com/variants/link/4005800107863/", "View Product")</f>
        <v/>
      </c>
    </row>
    <row r="11253">
      <c r="A11253" t="inlineStr">
        <is>
          <t>4005800150135</t>
        </is>
      </c>
      <c r="B11253" t="inlineStr">
        <is>
          <t>Eucerin Micellar 3-in-1 Dermatoclean Solution</t>
        </is>
      </c>
      <c r="C11253" t="inlineStr">
        <is>
          <t>Micellar Water</t>
        </is>
      </c>
      <c r="D11253" t="inlineStr">
        <is>
          <t>Eucerin</t>
        </is>
      </c>
      <c r="E11253" t="n">
        <v>19.9</v>
      </c>
      <c r="F11253" t="n">
        <v>1</v>
      </c>
      <c r="G11253" t="n">
        <v>20</v>
      </c>
      <c r="H11253" s="5">
        <f>HYPERLINK("https://api.qogita.com/variants/link/4005800150135/", "View Product")</f>
        <v/>
      </c>
    </row>
    <row r="11254">
      <c r="A11254" t="inlineStr">
        <is>
          <t>4005800162350</t>
        </is>
      </c>
      <c r="B11254" t="inlineStr">
        <is>
          <t>Eucerin Urearepair Plus 10 Urea Intensive Body Emulsion 400 Ml</t>
        </is>
      </c>
      <c r="C11254" t="inlineStr">
        <is>
          <t>Body Lotion</t>
        </is>
      </c>
      <c r="D11254" t="inlineStr">
        <is>
          <t>Eucerin</t>
        </is>
      </c>
      <c r="E11254" t="n">
        <v>29.83</v>
      </c>
      <c r="F11254" t="n">
        <v>1</v>
      </c>
      <c r="G11254" t="n">
        <v>4</v>
      </c>
      <c r="H11254" s="5">
        <f>HYPERLINK("https://api.qogita.com/variants/link/4005800162350/", "View Product")</f>
        <v/>
      </c>
    </row>
    <row r="11255">
      <c r="A11255" t="inlineStr">
        <is>
          <t>4005800162381</t>
        </is>
      </c>
      <c r="B11255" t="inlineStr">
        <is>
          <t>Urearepair Plus 5% Urea Moisturizing Emulsion 250ml</t>
        </is>
      </c>
      <c r="C11255" t="inlineStr">
        <is>
          <t>Body Lotion</t>
        </is>
      </c>
      <c r="D11255" t="inlineStr">
        <is>
          <t>Eucerin</t>
        </is>
      </c>
      <c r="E11255" t="n">
        <v>25.62</v>
      </c>
      <c r="F11255" t="n">
        <v>1</v>
      </c>
      <c r="G11255" t="n">
        <v>3</v>
      </c>
      <c r="H11255" s="5">
        <f>HYPERLINK("https://api.qogita.com/variants/link/4005800162381/", "View Product")</f>
        <v/>
      </c>
    </row>
    <row r="11256">
      <c r="A11256" t="inlineStr">
        <is>
          <t>4005800162503</t>
        </is>
      </c>
      <c r="B11256" t="inlineStr">
        <is>
          <t>Eucerin Urearepair Plus 5 Urea Body Cream 450 Ml</t>
        </is>
      </c>
      <c r="C11256" t="inlineStr">
        <is>
          <t>Body Lotion</t>
        </is>
      </c>
      <c r="D11256" t="inlineStr">
        <is>
          <t>Eucerin</t>
        </is>
      </c>
      <c r="E11256" t="n">
        <v>31.32</v>
      </c>
      <c r="F11256" t="n">
        <v>1</v>
      </c>
      <c r="G11256" t="n">
        <v>5</v>
      </c>
      <c r="H11256" s="5">
        <f>HYPERLINK("https://api.qogita.com/variants/link/4005800162503/", "View Product")</f>
        <v/>
      </c>
    </row>
    <row r="11257">
      <c r="A11257" t="inlineStr">
        <is>
          <t>4005800169694</t>
        </is>
      </c>
      <c r="B11257" t="inlineStr">
        <is>
          <t>Eucerin AtopiControl Hand Intensive Cream 75ml</t>
        </is>
      </c>
      <c r="C11257" t="inlineStr">
        <is>
          <t>Hand Cream</t>
        </is>
      </c>
      <c r="D11257" t="inlineStr">
        <is>
          <t>Eucerin</t>
        </is>
      </c>
      <c r="E11257" t="n">
        <v>15.13</v>
      </c>
      <c r="F11257" t="n">
        <v>1</v>
      </c>
      <c r="G11257" t="n">
        <v>11</v>
      </c>
      <c r="H11257" s="5">
        <f>HYPERLINK("https://api.qogita.com/variants/link/4005800169694/", "View Product")</f>
        <v/>
      </c>
    </row>
    <row r="11258">
      <c r="A11258" t="inlineStr">
        <is>
          <t>4005800196836</t>
        </is>
      </c>
      <c r="B11258" t="inlineStr">
        <is>
          <t>Eucerin pH5 Hand Wash Oil for Sensitive Dry Skin 250ml</t>
        </is>
      </c>
      <c r="C11258" t="inlineStr">
        <is>
          <t>Hand Soap</t>
        </is>
      </c>
      <c r="D11258" t="inlineStr">
        <is>
          <t>Eucerin</t>
        </is>
      </c>
      <c r="E11258" t="n">
        <v>10.78</v>
      </c>
      <c r="F11258" t="n">
        <v>1</v>
      </c>
      <c r="G11258" t="n">
        <v>5</v>
      </c>
      <c r="H11258" s="5">
        <f>HYPERLINK("https://api.qogita.com/variants/link/4005800196836/", "View Product")</f>
        <v/>
      </c>
    </row>
    <row r="11259">
      <c r="A11259" t="inlineStr">
        <is>
          <t>4005800198687</t>
        </is>
      </c>
      <c r="B11259" t="inlineStr">
        <is>
          <t>Eucerin Anti Age Hyaluron Filler Day Cream SPF30</t>
        </is>
      </c>
      <c r="C11259" t="inlineStr">
        <is>
          <t>Day Cream</t>
        </is>
      </c>
      <c r="D11259" t="inlineStr">
        <is>
          <t>Eucerin</t>
        </is>
      </c>
      <c r="E11259" t="n">
        <v>30.99</v>
      </c>
      <c r="F11259" t="n">
        <v>1</v>
      </c>
      <c r="G11259" t="n">
        <v>2</v>
      </c>
      <c r="H11259" s="5">
        <f>HYPERLINK("https://api.qogita.com/variants/link/4005800198687/", "View Product")</f>
        <v/>
      </c>
    </row>
    <row r="11260">
      <c r="A11260" t="inlineStr">
        <is>
          <t>4005800229510</t>
        </is>
      </c>
      <c r="B11260" t="inlineStr">
        <is>
          <t>Eucerin Hyaluronfiller Vitamin C Booster Brightening Antiwrinkle Serum With Vitamin C</t>
        </is>
      </c>
      <c r="C11260" t="inlineStr">
        <is>
          <t>Vitamin Serum</t>
        </is>
      </c>
      <c r="D11260" t="inlineStr">
        <is>
          <t>Eucerin</t>
        </is>
      </c>
      <c r="E11260" t="n">
        <v>19.21</v>
      </c>
      <c r="F11260" t="n">
        <v>1</v>
      </c>
      <c r="G11260" t="n">
        <v>4</v>
      </c>
      <c r="H11260" s="5">
        <f>HYPERLINK("https://api.qogita.com/variants/link/4005800229510/", "View Product")</f>
        <v/>
      </c>
    </row>
    <row r="11261">
      <c r="A11261" t="inlineStr">
        <is>
          <t>4005800270017</t>
        </is>
      </c>
      <c r="B11261" t="inlineStr">
        <is>
          <t>Eucerin Dermatoclean Cleaning Micellar Water 3 In 1 200 Ml</t>
        </is>
      </c>
      <c r="C11261" t="inlineStr">
        <is>
          <t>Micellar Water</t>
        </is>
      </c>
      <c r="D11261" t="inlineStr">
        <is>
          <t>Eucerin</t>
        </is>
      </c>
      <c r="E11261" t="n">
        <v>14.69</v>
      </c>
      <c r="F11261" t="n">
        <v>1</v>
      </c>
      <c r="G11261" t="n">
        <v>2</v>
      </c>
      <c r="H11261" s="5">
        <f>HYPERLINK("https://api.qogita.com/variants/link/4005800270017/", "View Product")</f>
        <v/>
      </c>
    </row>
    <row r="11262">
      <c r="A11262" t="inlineStr">
        <is>
          <t>4005800324574</t>
        </is>
      </c>
      <c r="B11262" t="inlineStr">
        <is>
          <t>Eucerin Hyaluron-Filler + Elasticity Rose Day Cream SPF30</t>
        </is>
      </c>
      <c r="C11262" t="inlineStr">
        <is>
          <t>Day Cream</t>
        </is>
      </c>
      <c r="D11262" t="inlineStr">
        <is>
          <t>Eucerin</t>
        </is>
      </c>
      <c r="E11262" t="n">
        <v>43.08</v>
      </c>
      <c r="F11262" t="n">
        <v>1</v>
      </c>
      <c r="G11262" t="n">
        <v>4</v>
      </c>
      <c r="H11262" s="5">
        <f>HYPERLINK("https://api.qogita.com/variants/link/4005800324574/", "View Product")</f>
        <v/>
      </c>
    </row>
    <row r="11263">
      <c r="A11263" t="inlineStr">
        <is>
          <t>4005808346424</t>
        </is>
      </c>
      <c r="B11263" t="inlineStr">
        <is>
          <t>Nivea 2 In 1 Care Express Shampoo And Conditioner</t>
        </is>
      </c>
      <c r="C11263" t="inlineStr">
        <is>
          <t>Shampoo</t>
        </is>
      </c>
      <c r="D11263" t="inlineStr">
        <is>
          <t>Nivea</t>
        </is>
      </c>
      <c r="E11263" t="n">
        <v>4.82</v>
      </c>
      <c r="F11263" t="n">
        <v>1</v>
      </c>
      <c r="G11263" t="n">
        <v>27</v>
      </c>
      <c r="H11263" s="5">
        <f>HYPERLINK("https://api.qogita.com/variants/link/4005808346424/", "View Product")</f>
        <v/>
      </c>
    </row>
    <row r="11264">
      <c r="A11264" t="inlineStr">
        <is>
          <t>4005808423040</t>
        </is>
      </c>
      <c r="B11264" t="inlineStr">
        <is>
          <t>Nivea Moisturizing Lotion Spf 30 200 Ml</t>
        </is>
      </c>
      <c r="C11264" t="inlineStr">
        <is>
          <t>Body Lotion</t>
        </is>
      </c>
      <c r="D11264" t="inlineStr">
        <is>
          <t>Nivea</t>
        </is>
      </c>
      <c r="E11264" t="n">
        <v>12.99</v>
      </c>
      <c r="F11264" t="n">
        <v>1</v>
      </c>
      <c r="G11264" t="n">
        <v>6</v>
      </c>
      <c r="H11264" s="5">
        <f>HYPERLINK("https://api.qogita.com/variants/link/4005808423040/", "View Product")</f>
        <v/>
      </c>
    </row>
    <row r="11265">
      <c r="A11265" t="inlineStr">
        <is>
          <t>4005808584864</t>
        </is>
      </c>
      <c r="B11265" t="inlineStr">
        <is>
          <t>Nivea Olive Oil Hand Cream Moisturizing Hand Cream With Olive Oil 100ml</t>
        </is>
      </c>
      <c r="C11265" t="inlineStr">
        <is>
          <t>Hand Cream</t>
        </is>
      </c>
      <c r="D11265" t="inlineStr">
        <is>
          <t>Nivea</t>
        </is>
      </c>
      <c r="E11265" t="n">
        <v>2.02</v>
      </c>
      <c r="F11265" t="n">
        <v>1</v>
      </c>
      <c r="G11265" t="n">
        <v>7</v>
      </c>
      <c r="H11265" s="5">
        <f>HYPERLINK("https://api.qogita.com/variants/link/4005808584864/", "View Product")</f>
        <v/>
      </c>
    </row>
    <row r="11266">
      <c r="A11266" t="inlineStr">
        <is>
          <t>4005808588763</t>
        </is>
      </c>
      <c r="B11266" t="inlineStr">
        <is>
          <t>Nivea Men Sensitive After Shave Lotion 100ml</t>
        </is>
      </c>
      <c r="C11266" t="inlineStr">
        <is>
          <t>Aftershave</t>
        </is>
      </c>
      <c r="D11266" t="inlineStr">
        <is>
          <t>Nivea</t>
        </is>
      </c>
      <c r="E11266" t="n">
        <v>6.3</v>
      </c>
      <c r="F11266" t="n">
        <v>1</v>
      </c>
      <c r="G11266" t="n">
        <v>17</v>
      </c>
      <c r="H11266" s="5">
        <f>HYPERLINK("https://api.qogita.com/variants/link/4005808588763/", "View Product")</f>
        <v/>
      </c>
    </row>
    <row r="11267">
      <c r="A11267" t="inlineStr">
        <is>
          <t>4005808702169</t>
        </is>
      </c>
      <c r="B11267" t="inlineStr">
        <is>
          <t>Moisturizing Body Fluid Cream 500ml</t>
        </is>
      </c>
      <c r="C11267" t="inlineStr">
        <is>
          <t>Body Lotion</t>
        </is>
      </c>
      <c r="D11267" t="inlineStr">
        <is>
          <t>Nivea</t>
        </is>
      </c>
      <c r="E11267" t="n">
        <v>5.5</v>
      </c>
      <c r="F11267" t="n">
        <v>1</v>
      </c>
      <c r="G11267" t="n">
        <v>5</v>
      </c>
      <c r="H11267" s="5">
        <f>HYPERLINK("https://api.qogita.com/variants/link/4005808702169/", "View Product")</f>
        <v/>
      </c>
    </row>
    <row r="11268">
      <c r="A11268" t="inlineStr">
        <is>
          <t>4005808723256</t>
        </is>
      </c>
      <c r="B11268" t="inlineStr">
        <is>
          <t>Nivea Fresh Natural Deodorant Spray 150 Ml Fresh Feeling</t>
        </is>
      </c>
      <c r="C11268" t="inlineStr">
        <is>
          <t>Deodorant &amp; Anti-Perspirant</t>
        </is>
      </c>
      <c r="D11268" t="inlineStr">
        <is>
          <t>Nivea</t>
        </is>
      </c>
      <c r="E11268" t="n">
        <v>5.23</v>
      </c>
      <c r="F11268" t="n">
        <v>1</v>
      </c>
      <c r="G11268" t="n">
        <v>15</v>
      </c>
      <c r="H11268" s="5">
        <f>HYPERLINK("https://api.qogita.com/variants/link/4005808723256/", "View Product")</f>
        <v/>
      </c>
    </row>
    <row r="11269">
      <c r="A11269" t="inlineStr">
        <is>
          <t>4005808753475</t>
        </is>
      </c>
      <c r="B11269" t="inlineStr">
        <is>
          <t>Nivea Men Protect &amp; Care After Shave Lotion 100ml</t>
        </is>
      </c>
      <c r="C11269" t="inlineStr">
        <is>
          <t>Aftershave</t>
        </is>
      </c>
      <c r="D11269" t="inlineStr">
        <is>
          <t>Nivea</t>
        </is>
      </c>
      <c r="E11269" t="n">
        <v>6.3</v>
      </c>
      <c r="F11269" t="n">
        <v>1</v>
      </c>
      <c r="G11269" t="n">
        <v>14</v>
      </c>
      <c r="H11269" s="5">
        <f>HYPERLINK("https://api.qogita.com/variants/link/4005808753475/", "View Product")</f>
        <v/>
      </c>
    </row>
    <row r="11270">
      <c r="A11270" t="inlineStr">
        <is>
          <t>4005808782444</t>
        </is>
      </c>
      <c r="B11270" t="inlineStr">
        <is>
          <t>Nivea Men Sport Shower Gel Refreshing Body Wash For Men</t>
        </is>
      </c>
      <c r="C11270" t="inlineStr">
        <is>
          <t>Shower Gel</t>
        </is>
      </c>
      <c r="D11270" t="inlineStr">
        <is>
          <t>Nivea</t>
        </is>
      </c>
      <c r="E11270" t="n">
        <v>3.74</v>
      </c>
      <c r="F11270" t="n">
        <v>1</v>
      </c>
      <c r="G11270" t="n">
        <v>10</v>
      </c>
      <c r="H11270" s="5">
        <f>HYPERLINK("https://api.qogita.com/variants/link/4005808782444/", "View Product")</f>
        <v/>
      </c>
    </row>
    <row r="11271">
      <c r="A11271" t="inlineStr">
        <is>
          <t>4005808789382</t>
        </is>
      </c>
      <c r="B11271" t="inlineStr">
        <is>
          <t>Nivea Men Protect &amp; Care Intensively Moisturizing Face Cream 50ml</t>
        </is>
      </c>
      <c r="C11271" t="inlineStr">
        <is>
          <t>Face Cream</t>
        </is>
      </c>
      <c r="D11271" t="inlineStr">
        <is>
          <t>Nivea</t>
        </is>
      </c>
      <c r="E11271" t="n">
        <v>8.279999999999999</v>
      </c>
      <c r="F11271" t="n">
        <v>1</v>
      </c>
      <c r="G11271" t="n">
        <v>5</v>
      </c>
      <c r="H11271" s="5">
        <f>HYPERLINK("https://api.qogita.com/variants/link/4005808789382/", "View Product")</f>
        <v/>
      </c>
    </row>
    <row r="11272">
      <c r="A11272" t="inlineStr">
        <is>
          <t>4005900099136</t>
        </is>
      </c>
      <c r="B11272" t="inlineStr">
        <is>
          <t>Nivea Waterproof Eye Makeup Remover Chamomile 125 Ml</t>
        </is>
      </c>
      <c r="C11272" t="inlineStr">
        <is>
          <t>Makeup Remover</t>
        </is>
      </c>
      <c r="D11272" t="inlineStr">
        <is>
          <t>Nivea</t>
        </is>
      </c>
      <c r="E11272" t="n">
        <v>6.87</v>
      </c>
      <c r="F11272" t="n">
        <v>1</v>
      </c>
      <c r="G11272" t="n">
        <v>2</v>
      </c>
      <c r="H11272" s="5">
        <f>HYPERLINK("https://api.qogita.com/variants/link/4005900099136/", "View Product")</f>
        <v/>
      </c>
    </row>
    <row r="11273">
      <c r="A11273" t="inlineStr">
        <is>
          <t>4005900174147</t>
        </is>
      </c>
      <c r="B11273" t="inlineStr">
        <is>
          <t>Nivea Styling Hair Mousse Diamond Gloss 150ml</t>
        </is>
      </c>
      <c r="C11273" t="inlineStr">
        <is>
          <t>Mousse</t>
        </is>
      </c>
      <c r="D11273" t="inlineStr">
        <is>
          <t>Nivea</t>
        </is>
      </c>
      <c r="E11273" t="n">
        <v>5.9</v>
      </c>
      <c r="F11273" t="n">
        <v>1</v>
      </c>
      <c r="G11273" t="n">
        <v>3</v>
      </c>
      <c r="H11273" s="5">
        <f>HYPERLINK("https://api.qogita.com/variants/link/4005900174147/", "View Product")</f>
        <v/>
      </c>
    </row>
    <row r="11274">
      <c r="A11274" t="inlineStr">
        <is>
          <t>4005900868534</t>
        </is>
      </c>
      <c r="B11274" t="inlineStr">
        <is>
          <t>NIVEA Sun Summer Complexion Sun Lotion SPF 20 200ml</t>
        </is>
      </c>
      <c r="C11274" t="inlineStr">
        <is>
          <t>Body Sun Protection</t>
        </is>
      </c>
      <c r="D11274" t="inlineStr">
        <is>
          <t>Nivea</t>
        </is>
      </c>
      <c r="E11274" t="n">
        <v>12.05</v>
      </c>
      <c r="F11274" t="n">
        <v>1</v>
      </c>
      <c r="G11274" t="n">
        <v>5</v>
      </c>
      <c r="H11274" s="5">
        <f>HYPERLINK("https://api.qogita.com/variants/link/4005900868534/", "View Product")</f>
        <v/>
      </c>
    </row>
    <row r="11275">
      <c r="A11275" t="inlineStr">
        <is>
          <t>4005900907127</t>
        </is>
      </c>
      <c r="B11275" t="inlineStr">
        <is>
          <t>Nivea Sun Sensitive Immediate Protect Spray SPF 30 200ml</t>
        </is>
      </c>
      <c r="C11275" t="inlineStr">
        <is>
          <t>Body Sun Protection</t>
        </is>
      </c>
      <c r="D11275" t="inlineStr">
        <is>
          <t>Nivea Sun</t>
        </is>
      </c>
      <c r="E11275" t="n">
        <v>11.26</v>
      </c>
      <c r="F11275" t="n">
        <v>1</v>
      </c>
      <c r="G11275" t="n">
        <v>35</v>
      </c>
      <c r="H11275" s="5">
        <f>HYPERLINK("https://api.qogita.com/variants/link/4005900907127/", "View Product")</f>
        <v/>
      </c>
    </row>
    <row r="11276">
      <c r="A11276" t="inlineStr">
        <is>
          <t>4005900908865</t>
        </is>
      </c>
      <c r="B11276" t="inlineStr">
        <is>
          <t>Nivea Sun Kids Protect And Care Spray Gun Spf50 270 Ml</t>
        </is>
      </c>
      <c r="C11276" t="inlineStr">
        <is>
          <t>Sun Protection For Children</t>
        </is>
      </c>
      <c r="D11276" t="inlineStr">
        <is>
          <t>Nivea</t>
        </is>
      </c>
      <c r="E11276" t="n">
        <v>10.33</v>
      </c>
      <c r="F11276" t="n">
        <v>1</v>
      </c>
      <c r="G11276" t="n">
        <v>11</v>
      </c>
      <c r="H11276" s="5">
        <f>HYPERLINK("https://api.qogita.com/variants/link/4005900908865/", "View Product")</f>
        <v/>
      </c>
    </row>
    <row r="11277">
      <c r="A11277" t="inlineStr">
        <is>
          <t>4005900993878</t>
        </is>
      </c>
      <c r="B11277" t="inlineStr">
        <is>
          <t>Nivea Sun Facial Antispot Fluid Spf 50 40 Ml</t>
        </is>
      </c>
      <c r="C11277" t="inlineStr">
        <is>
          <t>Face Sun Protection</t>
        </is>
      </c>
      <c r="D11277" t="inlineStr">
        <is>
          <t>Nivea</t>
        </is>
      </c>
      <c r="E11277" t="n">
        <v>12.08</v>
      </c>
      <c r="F11277" t="n">
        <v>1</v>
      </c>
      <c r="G11277" t="n">
        <v>3</v>
      </c>
      <c r="H11277" s="5">
        <f>HYPERLINK("https://api.qogita.com/variants/link/4005900993878/", "View Product")</f>
        <v/>
      </c>
    </row>
    <row r="11278">
      <c r="A11278" t="inlineStr">
        <is>
          <t>4006000002330</t>
        </is>
      </c>
      <c r="B11278" t="inlineStr">
        <is>
          <t>Nivea Men Active Energy Energizing Face Cream 50ml</t>
        </is>
      </c>
      <c r="C11278" t="inlineStr">
        <is>
          <t>Face Cream</t>
        </is>
      </c>
      <c r="D11278" t="inlineStr">
        <is>
          <t>Nivea</t>
        </is>
      </c>
      <c r="E11278" t="n">
        <v>12.05</v>
      </c>
      <c r="F11278" t="n">
        <v>1</v>
      </c>
      <c r="G11278" t="n">
        <v>11</v>
      </c>
      <c r="H11278" s="5">
        <f>HYPERLINK("https://api.qogita.com/variants/link/4006000002330/", "View Product")</f>
        <v/>
      </c>
    </row>
    <row r="11279">
      <c r="A11279" t="inlineStr">
        <is>
          <t>4006000095813</t>
        </is>
      </c>
      <c r="B11279" t="inlineStr">
        <is>
          <t>Nivea Gel Cream Soft - 650ml</t>
        </is>
      </c>
      <c r="C11279" t="inlineStr">
        <is>
          <t>Body Lotion</t>
        </is>
      </c>
      <c r="D11279" t="inlineStr">
        <is>
          <t>Nivea</t>
        </is>
      </c>
      <c r="E11279" t="n">
        <v>3.98</v>
      </c>
      <c r="F11279" t="n">
        <v>1</v>
      </c>
      <c r="G11279" t="n">
        <v>4</v>
      </c>
      <c r="H11279" s="5">
        <f>HYPERLINK("https://api.qogita.com/variants/link/4006000095813/", "View Product")</f>
        <v/>
      </c>
    </row>
    <row r="11280">
      <c r="A11280" t="inlineStr">
        <is>
          <t>4006000095837</t>
        </is>
      </c>
      <c r="B11280" t="inlineStr">
        <is>
          <t>Nivea Nivea Gel 650ml</t>
        </is>
      </c>
      <c r="C11280" t="inlineStr">
        <is>
          <t>Body Lotion</t>
        </is>
      </c>
      <c r="D11280" t="inlineStr">
        <is>
          <t>Nivea</t>
        </is>
      </c>
      <c r="E11280" t="n">
        <v>3.98</v>
      </c>
      <c r="F11280" t="n">
        <v>1</v>
      </c>
      <c r="G11280" t="n">
        <v>3</v>
      </c>
      <c r="H11280" s="5">
        <f>HYPERLINK("https://api.qogita.com/variants/link/4006000095837/", "View Product")</f>
        <v/>
      </c>
    </row>
    <row r="11281">
      <c r="A11281" t="inlineStr">
        <is>
          <t>4006000133522</t>
        </is>
      </c>
      <c r="B11281" t="inlineStr">
        <is>
          <t>Sun Babies &amp; Kids 5 In 1 Sun Lotion Spf 50+ 200 Ml</t>
        </is>
      </c>
      <c r="C11281" t="inlineStr">
        <is>
          <t>Sun Protection For Children</t>
        </is>
      </c>
      <c r="D11281" t="inlineStr">
        <is>
          <t>Sun Babies &amp; Kids</t>
        </is>
      </c>
      <c r="E11281" t="n">
        <v>12.11</v>
      </c>
      <c r="F11281" t="n">
        <v>1</v>
      </c>
      <c r="G11281" t="n">
        <v>5</v>
      </c>
      <c r="H11281" s="5">
        <f>HYPERLINK("https://api.qogita.com/variants/link/4006000133522/", "View Product")</f>
        <v/>
      </c>
    </row>
    <row r="11282">
      <c r="A11282" t="inlineStr">
        <is>
          <t>4006160300505</t>
        </is>
      </c>
      <c r="B11282" t="inlineStr">
        <is>
          <t>ProfiCare PC-MD 3005 Electric Oral Irrigator with 3 Cleaning Nozzles and 1 Tongue Cleaner Attachment</t>
        </is>
      </c>
      <c r="C11282" t="inlineStr">
        <is>
          <t>Mouth &amp; Gum Care</t>
        </is>
      </c>
      <c r="D11282" t="inlineStr">
        <is>
          <t>Proficare</t>
        </is>
      </c>
      <c r="E11282" t="n">
        <v>45.99</v>
      </c>
      <c r="F11282" t="n">
        <v>1</v>
      </c>
      <c r="G11282" t="n">
        <v>3</v>
      </c>
      <c r="H11282" s="5">
        <f>HYPERLINK("https://api.qogita.com/variants/link/4006160300505/", "View Product")</f>
        <v/>
      </c>
    </row>
    <row r="11283">
      <c r="A11283" t="inlineStr">
        <is>
          <t>4006160301700</t>
        </is>
      </c>
      <c r="B11283" t="inlineStr">
        <is>
          <t>Profi-Care PC-HT 3017 Electric Hair Dryer with Soft-Touch Casing and Heat Protection 2200W Black</t>
        </is>
      </c>
      <c r="C11283" t="inlineStr">
        <is>
          <t>Hair Dryers</t>
        </is>
      </c>
      <c r="D11283" t="inlineStr">
        <is>
          <t>Proficare</t>
        </is>
      </c>
      <c r="E11283" t="n">
        <v>24.66</v>
      </c>
      <c r="F11283" t="n">
        <v>1</v>
      </c>
      <c r="G11283" t="n">
        <v>2</v>
      </c>
      <c r="H11283" s="5">
        <f>HYPERLINK("https://api.qogita.com/variants/link/4006160301700/", "View Product")</f>
        <v/>
      </c>
    </row>
    <row r="11284">
      <c r="A11284" t="inlineStr">
        <is>
          <t>4006160331127</t>
        </is>
      </c>
      <c r="B11284" t="inlineStr">
        <is>
          <t>ProfiCare PC-PW 3112 Personal Scales without Battery with Large LCD Display and Glass Surface White</t>
        </is>
      </c>
      <c r="C11284" t="inlineStr">
        <is>
          <t>Biometric Monitors &amp; Accessories</t>
        </is>
      </c>
      <c r="D11284" t="inlineStr">
        <is>
          <t>Proficare</t>
        </is>
      </c>
      <c r="E11284" t="n">
        <v>27.57</v>
      </c>
      <c r="F11284" t="n">
        <v>1</v>
      </c>
      <c r="G11284" t="n">
        <v>2</v>
      </c>
      <c r="H11284" s="5">
        <f>HYPERLINK("https://api.qogita.com/variants/link/4006160331127/", "View Product")</f>
        <v/>
      </c>
    </row>
    <row r="11285">
      <c r="A11285" t="inlineStr">
        <is>
          <t>4006671181341</t>
        </is>
      </c>
      <c r="B11285" t="inlineStr">
        <is>
          <t>Scholl Deer Tallow Cream Rich Cream for Preventing Calluses, Blisters &amp; Skin Irritations 100ml</t>
        </is>
      </c>
      <c r="C11285" t="inlineStr">
        <is>
          <t>Foot Cream</t>
        </is>
      </c>
      <c r="D11285" t="inlineStr">
        <is>
          <t>Scholl</t>
        </is>
      </c>
      <c r="E11285" t="n">
        <v>6.87</v>
      </c>
      <c r="F11285" t="n">
        <v>1</v>
      </c>
      <c r="G11285" t="n">
        <v>5</v>
      </c>
      <c r="H11285" s="5">
        <f>HYPERLINK("https://api.qogita.com/variants/link/4006671181341/", "View Product")</f>
        <v/>
      </c>
    </row>
    <row r="11286">
      <c r="A11286" t="inlineStr">
        <is>
          <t>4007965508004</t>
        </is>
      </c>
      <c r="B11286" t="inlineStr">
        <is>
          <t>Elmex Children Toothpaste 50 Ml</t>
        </is>
      </c>
      <c r="C11286" t="inlineStr">
        <is>
          <t>Dental Care For Children</t>
        </is>
      </c>
      <c r="D11286" t="inlineStr">
        <is>
          <t>Elmex</t>
        </is>
      </c>
      <c r="E11286" t="n">
        <v>4.66</v>
      </c>
      <c r="F11286" t="n">
        <v>1</v>
      </c>
      <c r="G11286" t="n">
        <v>6</v>
      </c>
      <c r="H11286" s="5">
        <f>HYPERLINK("https://api.qogita.com/variants/link/4007965508004/", "View Product")</f>
        <v/>
      </c>
    </row>
    <row r="11287">
      <c r="A11287" t="inlineStr">
        <is>
          <t>4008233134222</t>
        </is>
      </c>
      <c r="B11287" t="inlineStr">
        <is>
          <t>Kneipp Shower Gel 2in1 For Men 200 Ml With Blood Orange And Black Pepper</t>
        </is>
      </c>
      <c r="C11287" t="inlineStr">
        <is>
          <t>Shower Gel</t>
        </is>
      </c>
      <c r="D11287" t="inlineStr">
        <is>
          <t>Kneipp</t>
        </is>
      </c>
      <c r="E11287" t="n">
        <v>4.99</v>
      </c>
      <c r="F11287" t="n">
        <v>1</v>
      </c>
      <c r="G11287" t="n">
        <v>9</v>
      </c>
      <c r="H11287" s="5">
        <f>HYPERLINK("https://api.qogita.com/variants/link/4008233134222/", "View Product")</f>
        <v/>
      </c>
    </row>
    <row r="11288">
      <c r="A11288" t="inlineStr">
        <is>
          <t>4008233150239</t>
        </is>
      </c>
      <c r="B11288" t="inlineStr">
        <is>
          <t>Kneipp Gift Pack For You Bath Crystals Set Of 4 Bath Salts For Children 4 X 60g</t>
        </is>
      </c>
      <c r="C11288" t="inlineStr">
        <is>
          <t>Baby Bath</t>
        </is>
      </c>
      <c r="D11288" t="inlineStr">
        <is>
          <t>Kneipp</t>
        </is>
      </c>
      <c r="E11288" t="n">
        <v>6.67</v>
      </c>
      <c r="F11288" t="n">
        <v>1</v>
      </c>
      <c r="G11288" t="n">
        <v>3</v>
      </c>
      <c r="H11288" s="5">
        <f>HYPERLINK("https://api.qogita.com/variants/link/4008233150239/", "View Product")</f>
        <v/>
      </c>
    </row>
    <row r="11289">
      <c r="A11289" t="inlineStr">
        <is>
          <t>4008233156354</t>
        </is>
      </c>
      <c r="B11289" t="inlineStr">
        <is>
          <t>Kneipp Intensive Foot Cream Anti Callus Salve 50 Ml</t>
        </is>
      </c>
      <c r="C11289" t="inlineStr">
        <is>
          <t>Foot Cream</t>
        </is>
      </c>
      <c r="D11289" t="inlineStr">
        <is>
          <t>Kneipp</t>
        </is>
      </c>
      <c r="E11289" t="n">
        <v>6.78</v>
      </c>
      <c r="F11289" t="n">
        <v>1</v>
      </c>
      <c r="G11289" t="n">
        <v>31</v>
      </c>
      <c r="H11289" s="5">
        <f>HYPERLINK("https://api.qogita.com/variants/link/4008233156354/", "View Product")</f>
        <v/>
      </c>
    </row>
    <row r="11290">
      <c r="A11290" t="inlineStr">
        <is>
          <t>4008233156651</t>
        </is>
      </c>
      <c r="B11290" t="inlineStr">
        <is>
          <t>Kneipp Goodbye Stress Body Lotion 200 Ml</t>
        </is>
      </c>
      <c r="C11290" t="inlineStr">
        <is>
          <t>Body Lotion</t>
        </is>
      </c>
      <c r="D11290" t="inlineStr">
        <is>
          <t>Kneipp</t>
        </is>
      </c>
      <c r="E11290" t="n">
        <v>7.34</v>
      </c>
      <c r="F11290" t="n">
        <v>1</v>
      </c>
      <c r="G11290" t="n">
        <v>11</v>
      </c>
      <c r="H11290" s="5">
        <f>HYPERLINK("https://api.qogita.com/variants/link/4008233156651/", "View Product")</f>
        <v/>
      </c>
    </row>
    <row r="11291">
      <c r="A11291" t="inlineStr">
        <is>
          <t>4008233165745</t>
        </is>
      </c>
      <c r="B11291" t="inlineStr">
        <is>
          <t>Kneipp Bath Foam For Muscles And Joints 400 Ml</t>
        </is>
      </c>
      <c r="C11291" t="inlineStr">
        <is>
          <t>Sporting Tension</t>
        </is>
      </c>
      <c r="D11291" t="inlineStr">
        <is>
          <t>Kneipp</t>
        </is>
      </c>
      <c r="E11291" t="n">
        <v>6.78</v>
      </c>
      <c r="F11291" t="n">
        <v>1</v>
      </c>
      <c r="G11291" t="n">
        <v>2</v>
      </c>
      <c r="H11291" s="5">
        <f>HYPERLINK("https://api.qogita.com/variants/link/4008233165745/", "View Product")</f>
        <v/>
      </c>
    </row>
    <row r="11292">
      <c r="A11292" t="inlineStr">
        <is>
          <t>4008233165981</t>
        </is>
      </c>
      <c r="B11292" t="inlineStr">
        <is>
          <t>Healthy Bathing Bath Oil</t>
        </is>
      </c>
      <c r="C11292" t="inlineStr">
        <is>
          <t>Bath Oil &amp; Bath Milk</t>
        </is>
      </c>
      <c r="D11292" t="inlineStr">
        <is>
          <t>Healthy Bathing</t>
        </is>
      </c>
      <c r="E11292" t="n">
        <v>5.17</v>
      </c>
      <c r="F11292" t="n">
        <v>1</v>
      </c>
      <c r="G11292" t="n">
        <v>9</v>
      </c>
      <c r="H11292" s="5">
        <f>HYPERLINK("https://api.qogita.com/variants/link/4008233165981/", "View Product")</f>
        <v/>
      </c>
    </row>
    <row r="11293">
      <c r="A11293" t="inlineStr">
        <is>
          <t>4008233169170</t>
        </is>
      </c>
      <c r="B11293" t="inlineStr">
        <is>
          <t>Kneipp Aroma Care Shower Summer Flirt Limited Edition Shower Gel with Pomelo &amp; Nana Mint Extracts 200ml</t>
        </is>
      </c>
      <c r="C11293" t="inlineStr">
        <is>
          <t>Shower Gel</t>
        </is>
      </c>
      <c r="D11293" t="inlineStr">
        <is>
          <t>Kneipp</t>
        </is>
      </c>
      <c r="E11293" t="n">
        <v>4.99</v>
      </c>
      <c r="F11293" t="n">
        <v>1</v>
      </c>
      <c r="G11293" t="n">
        <v>10</v>
      </c>
      <c r="H11293" s="5">
        <f>HYPERLINK("https://api.qogita.com/variants/link/4008233169170/", "View Product")</f>
        <v/>
      </c>
    </row>
    <row r="11294">
      <c r="A11294" t="inlineStr">
        <is>
          <t>4008233169507</t>
        </is>
      </c>
      <c r="B11294" t="inlineStr">
        <is>
          <t>Unicorn Bath Bomb (Fizzy Bath) 85g</t>
        </is>
      </c>
      <c r="C11294" t="inlineStr">
        <is>
          <t>Toiletries Bags</t>
        </is>
      </c>
      <c r="D11294" t="inlineStr">
        <is>
          <t>Kneipp</t>
        </is>
      </c>
      <c r="E11294" t="n">
        <v>3.5</v>
      </c>
      <c r="F11294" t="n">
        <v>1</v>
      </c>
      <c r="G11294" t="n">
        <v>2</v>
      </c>
      <c r="H11294" s="5">
        <f>HYPERLINK("https://api.qogita.com/variants/link/4008233169507/", "View Product")</f>
        <v/>
      </c>
    </row>
    <row r="11295">
      <c r="A11295" t="inlineStr">
        <is>
          <t>4008233170527</t>
        </is>
      </c>
      <c r="B11295" t="inlineStr">
        <is>
          <t>Kneipp Winter Feeling Capuacu Nut Vanilla Set Winter Care Gift Set With Shower Cream 75ml Bath Cream 100ml And Hand Cream Repair 75ml</t>
        </is>
      </c>
      <c r="C11295" t="inlineStr">
        <is>
          <t>Body Care Sets</t>
        </is>
      </c>
      <c r="D11295" t="inlineStr">
        <is>
          <t>Kneipp</t>
        </is>
      </c>
      <c r="E11295" t="n">
        <v>9.77</v>
      </c>
      <c r="F11295" t="n">
        <v>1</v>
      </c>
      <c r="G11295" t="n">
        <v>14</v>
      </c>
      <c r="H11295" s="5">
        <f>HYPERLINK("https://api.qogita.com/variants/link/4008233170527/", "View Product")</f>
        <v/>
      </c>
    </row>
    <row r="11296">
      <c r="A11296" t="inlineStr">
        <is>
          <t>4008233170718</t>
        </is>
      </c>
      <c r="B11296" t="inlineStr">
        <is>
          <t>Kneipp Gift Set Moments of Relaxation Selected Bath Crystals Bestseller 60g</t>
        </is>
      </c>
      <c r="C11296" t="inlineStr">
        <is>
          <t>Bath Salts &amp; Bath Bombs</t>
        </is>
      </c>
      <c r="D11296" t="inlineStr">
        <is>
          <t>Kneipp</t>
        </is>
      </c>
      <c r="E11296" t="n">
        <v>6.81</v>
      </c>
      <c r="F11296" t="n">
        <v>1</v>
      </c>
      <c r="G11296" t="n">
        <v>26</v>
      </c>
      <c r="H11296" s="5">
        <f>HYPERLINK("https://api.qogita.com/variants/link/4008233170718/", "View Product")</f>
        <v/>
      </c>
    </row>
    <row r="11297">
      <c r="A11297" t="inlineStr">
        <is>
          <t>4008233171265</t>
        </is>
      </c>
      <c r="B11297" t="inlineStr">
        <is>
          <t>Apricot Lip Balm (Lip Care) 4.7g</t>
        </is>
      </c>
      <c r="C11297" t="inlineStr">
        <is>
          <t>Lip Balm</t>
        </is>
      </c>
      <c r="D11297" t="inlineStr">
        <is>
          <t>Kneipp</t>
        </is>
      </c>
      <c r="E11297" t="n">
        <v>6.78</v>
      </c>
      <c r="F11297" t="n">
        <v>1</v>
      </c>
      <c r="G11297" t="n">
        <v>5</v>
      </c>
      <c r="H11297" s="5">
        <f>HYPERLINK("https://api.qogita.com/variants/link/4008233171265/", "View Product")</f>
        <v/>
      </c>
    </row>
    <row r="11298">
      <c r="A11298" t="inlineStr">
        <is>
          <t>4008233172644</t>
        </is>
      </c>
      <c r="B11298" t="inlineStr">
        <is>
          <t>Kneipp Twophase Bath Oil With Argan Oil And Rice Milk 250 Ml</t>
        </is>
      </c>
      <c r="C11298" t="inlineStr">
        <is>
          <t>Body Oil</t>
        </is>
      </c>
      <c r="D11298" t="inlineStr">
        <is>
          <t>Kneipp</t>
        </is>
      </c>
      <c r="E11298" t="n">
        <v>7.02</v>
      </c>
      <c r="F11298" t="n">
        <v>1</v>
      </c>
      <c r="G11298" t="n">
        <v>10</v>
      </c>
      <c r="H11298" s="5">
        <f>HYPERLINK("https://api.qogita.com/variants/link/4008233172644/", "View Product")</f>
        <v/>
      </c>
    </row>
    <row r="11299">
      <c r="A11299" t="inlineStr">
        <is>
          <t>4008233174310</t>
        </is>
      </c>
      <c r="B11299" t="inlineStr">
        <is>
          <t>Kneipp Gift Set Of Shower Gels From The Heart - 2 X 200ml</t>
        </is>
      </c>
      <c r="C11299" t="inlineStr">
        <is>
          <t>Shower &amp; Bath Sets</t>
        </is>
      </c>
      <c r="D11299" t="inlineStr">
        <is>
          <t>Kneipp</t>
        </is>
      </c>
      <c r="E11299" t="n">
        <v>9.960000000000001</v>
      </c>
      <c r="F11299" t="n">
        <v>1</v>
      </c>
      <c r="G11299" t="n">
        <v>50</v>
      </c>
      <c r="H11299" s="5">
        <f>HYPERLINK("https://api.qogita.com/variants/link/4008233174310/", "View Product")</f>
        <v/>
      </c>
    </row>
    <row r="11300">
      <c r="A11300" t="inlineStr">
        <is>
          <t>4008233174617</t>
        </is>
      </c>
      <c r="B11300" t="inlineStr">
        <is>
          <t>Kneipp Naturkind Adventure Treasure Bath Surprise - Fizzy Bath Bomb for Kids with Surprise - Bath Fun Adventure Treasure Chest with Play and Cleanse Clay Soap</t>
        </is>
      </c>
      <c r="C11300" t="inlineStr">
        <is>
          <t>Baby Bath</t>
        </is>
      </c>
      <c r="D11300" t="inlineStr">
        <is>
          <t>Kneipp</t>
        </is>
      </c>
      <c r="E11300" t="n">
        <v>5.59</v>
      </c>
      <c r="F11300" t="n">
        <v>1</v>
      </c>
      <c r="G11300" t="n">
        <v>3</v>
      </c>
      <c r="H11300" s="5">
        <f>HYPERLINK("https://api.qogita.com/variants/link/4008233174617/", "View Product")</f>
        <v/>
      </c>
    </row>
    <row r="11301">
      <c r="A11301" t="inlineStr">
        <is>
          <t>4008233179094</t>
        </is>
      </c>
      <c r="B11301" t="inlineStr">
        <is>
          <t>Kneipp Feel Happy &amp; Free Shower Gel Aroma Body Wash 200 Ml</t>
        </is>
      </c>
      <c r="C11301" t="inlineStr">
        <is>
          <t>Shower Gel</t>
        </is>
      </c>
      <c r="D11301" t="inlineStr">
        <is>
          <t>Kneipp</t>
        </is>
      </c>
      <c r="E11301" t="n">
        <v>4.99</v>
      </c>
      <c r="F11301" t="n">
        <v>1</v>
      </c>
      <c r="G11301" t="n">
        <v>9</v>
      </c>
      <c r="H11301" s="5">
        <f>HYPERLINK("https://api.qogita.com/variants/link/4008233179094/", "View Product")</f>
        <v/>
      </c>
    </row>
    <row r="11302">
      <c r="A11302" t="inlineStr">
        <is>
          <t>4008666178572</t>
        </is>
      </c>
      <c r="B11302" t="inlineStr">
        <is>
          <t>Warm Brown 150ml</t>
        </is>
      </c>
      <c r="C11302" t="inlineStr">
        <is>
          <t>Foundation</t>
        </is>
      </c>
      <c r="D11302" t="inlineStr">
        <is>
          <t>Alcina</t>
        </is>
      </c>
      <c r="E11302" t="n">
        <v>9.44</v>
      </c>
      <c r="F11302" t="n">
        <v>1</v>
      </c>
      <c r="G11302" t="n">
        <v>2</v>
      </c>
      <c r="H11302" s="5">
        <f>HYPERLINK("https://api.qogita.com/variants/link/4008666178572/", "View Product")</f>
        <v/>
      </c>
    </row>
    <row r="11303">
      <c r="A11303" t="inlineStr">
        <is>
          <t>4008666209917</t>
        </is>
      </c>
      <c r="B11303" t="inlineStr">
        <is>
          <t>Alpecin Caffeine Shampoo C1 375ml</t>
        </is>
      </c>
      <c r="C11303" t="inlineStr">
        <is>
          <t>Shampoo</t>
        </is>
      </c>
      <c r="D11303" t="inlineStr">
        <is>
          <t>Alpecin</t>
        </is>
      </c>
      <c r="E11303" t="n">
        <v>9.1</v>
      </c>
      <c r="F11303" t="n">
        <v>1</v>
      </c>
      <c r="G11303" t="n">
        <v>353</v>
      </c>
      <c r="H11303" s="5">
        <f>HYPERLINK("https://api.qogita.com/variants/link/4008666209917/", "View Product")</f>
        <v/>
      </c>
    </row>
    <row r="11304">
      <c r="A11304" t="inlineStr">
        <is>
          <t>4008666215109</t>
        </is>
      </c>
      <c r="B11304" t="inlineStr">
        <is>
          <t>Hair Tonic against Hair Loss (Energizer Liquid) 200 ml</t>
        </is>
      </c>
      <c r="C11304" t="inlineStr">
        <is>
          <t>Hair Tonic</t>
        </is>
      </c>
      <c r="D11304" t="inlineStr">
        <is>
          <t>Alpecin</t>
        </is>
      </c>
      <c r="E11304" t="n">
        <v>9.73</v>
      </c>
      <c r="F11304" t="n">
        <v>1</v>
      </c>
      <c r="G11304" t="n">
        <v>238</v>
      </c>
      <c r="H11304" s="5">
        <f>HYPERLINK("https://api.qogita.com/variants/link/4008666215109/", "View Product")</f>
        <v/>
      </c>
    </row>
    <row r="11305">
      <c r="A11305" t="inlineStr">
        <is>
          <t>4008666218858</t>
        </is>
      </c>
      <c r="B11305" t="inlineStr">
        <is>
          <t>Alpecin Caffeine Shampoo For Men For Hybrid Sensitive Skin 250 Ml</t>
        </is>
      </c>
      <c r="C11305" t="inlineStr">
        <is>
          <t>Shampoo</t>
        </is>
      </c>
      <c r="D11305" t="inlineStr">
        <is>
          <t>Alpecin</t>
        </is>
      </c>
      <c r="E11305" t="n">
        <v>7.28</v>
      </c>
      <c r="F11305" t="n">
        <v>1</v>
      </c>
      <c r="G11305" t="n">
        <v>28</v>
      </c>
      <c r="H11305" s="5">
        <f>HYPERLINK("https://api.qogita.com/variants/link/4008666218858/", "View Product")</f>
        <v/>
      </c>
    </row>
    <row r="11306">
      <c r="A11306" t="inlineStr">
        <is>
          <t>4008666225061</t>
        </is>
      </c>
      <c r="B11306" t="inlineStr">
        <is>
          <t>Gray Attack 200 ml Shampoo for Thicker Hair</t>
        </is>
      </c>
      <c r="C11306" t="inlineStr">
        <is>
          <t>Shampoo</t>
        </is>
      </c>
      <c r="D11306" t="inlineStr">
        <is>
          <t>Alpecin</t>
        </is>
      </c>
      <c r="E11306" t="n">
        <v>13.89</v>
      </c>
      <c r="F11306" t="n">
        <v>1</v>
      </c>
      <c r="G11306" t="n">
        <v>134</v>
      </c>
      <c r="H11306" s="5">
        <f>HYPERLINK("https://api.qogita.com/variants/link/4008666225061/", "View Product")</f>
        <v/>
      </c>
    </row>
    <row r="11307">
      <c r="A11307" t="inlineStr">
        <is>
          <t>4008666353320</t>
        </is>
      </c>
      <c r="B11307" t="inlineStr">
        <is>
          <t>ALCINA Hand Cream No. 1 with SPF 15 50ml</t>
        </is>
      </c>
      <c r="C11307" t="inlineStr">
        <is>
          <t>Hand Cream</t>
        </is>
      </c>
      <c r="D11307" t="inlineStr">
        <is>
          <t>Alcina</t>
        </is>
      </c>
      <c r="E11307" t="n">
        <v>4.43</v>
      </c>
      <c r="F11307" t="n">
        <v>1</v>
      </c>
      <c r="G11307" t="n">
        <v>14</v>
      </c>
      <c r="H11307" s="5">
        <f>HYPERLINK("https://api.qogita.com/variants/link/4008666353320/", "View Product")</f>
        <v/>
      </c>
    </row>
    <row r="11308">
      <c r="A11308" t="inlineStr">
        <is>
          <t>4008666650207</t>
        </is>
      </c>
      <c r="B11308" t="inlineStr">
        <is>
          <t>Alcina Age Control Ultralight Make-up 30ml</t>
        </is>
      </c>
      <c r="C11308" t="inlineStr">
        <is>
          <t>Foundation</t>
        </is>
      </c>
      <c r="D11308" t="inlineStr">
        <is>
          <t>Alcina</t>
        </is>
      </c>
      <c r="E11308" t="n">
        <v>19.77</v>
      </c>
      <c r="F11308" t="n">
        <v>1</v>
      </c>
      <c r="G11308" t="n">
        <v>2</v>
      </c>
      <c r="H11308" s="5">
        <f>HYPERLINK("https://api.qogita.com/variants/link/4008666650207/", "View Product")</f>
        <v/>
      </c>
    </row>
    <row r="11309">
      <c r="A11309" t="inlineStr">
        <is>
          <t>4008666750112</t>
        </is>
      </c>
      <c r="B11309" t="inlineStr">
        <is>
          <t>Plantur 21 Nutri-Caffeine Longhair Shampoo 200ml</t>
        </is>
      </c>
      <c r="C11309" t="inlineStr">
        <is>
          <t>Shampoo</t>
        </is>
      </c>
      <c r="D11309" t="inlineStr">
        <is>
          <t>Plantur</t>
        </is>
      </c>
      <c r="E11309" t="n">
        <v>9.31</v>
      </c>
      <c r="F11309" t="n">
        <v>1</v>
      </c>
      <c r="G11309" t="n">
        <v>3</v>
      </c>
      <c r="H11309" s="5">
        <f>HYPERLINK("https://api.qogita.com/variants/link/4008666750112/", "View Product")</f>
        <v/>
      </c>
    </row>
    <row r="11310">
      <c r="A11310" t="inlineStr">
        <is>
          <t>4011700410002</t>
        </is>
      </c>
      <c r="B11310" t="inlineStr">
        <is>
          <t>Tabac Original Deodorant Roll On 75ml For Men</t>
        </is>
      </c>
      <c r="C11310" t="inlineStr">
        <is>
          <t>Deodorant &amp; Anti-Perspirant</t>
        </is>
      </c>
      <c r="D11310" t="inlineStr">
        <is>
          <t>Tabac</t>
        </is>
      </c>
      <c r="E11310" t="n">
        <v>4.53</v>
      </c>
      <c r="F11310" t="n">
        <v>1</v>
      </c>
      <c r="G11310" t="n">
        <v>7</v>
      </c>
      <c r="H11310" s="5">
        <f>HYPERLINK("https://api.qogita.com/variants/link/4011700410002/", "View Product")</f>
        <v/>
      </c>
    </row>
    <row r="11311">
      <c r="A11311" t="inlineStr">
        <is>
          <t>4011700411900</t>
        </is>
      </c>
      <c r="B11311" t="inlineStr">
        <is>
          <t>Tabac Original Deodorant Spray Glass 100ml</t>
        </is>
      </c>
      <c r="C11311" t="inlineStr">
        <is>
          <t>Deodorant &amp; Anti-Perspirant</t>
        </is>
      </c>
      <c r="D11311" t="inlineStr">
        <is>
          <t>Tabac</t>
        </is>
      </c>
      <c r="E11311" t="n">
        <v>3.98</v>
      </c>
      <c r="F11311" t="n">
        <v>1</v>
      </c>
      <c r="G11311" t="n">
        <v>25</v>
      </c>
      <c r="H11311" s="5">
        <f>HYPERLINK("https://api.qogita.com/variants/link/4011700411900/", "View Product")</f>
        <v/>
      </c>
    </row>
    <row r="11312">
      <c r="A11312" t="inlineStr">
        <is>
          <t>4011700422098</t>
        </is>
      </c>
      <c r="B11312" t="inlineStr">
        <is>
          <t>Maurer &amp; Wirtz Tabac Original Eau De Toilette Spray 100ml For Men</t>
        </is>
      </c>
      <c r="C11312" t="inlineStr">
        <is>
          <t>Eau De Toilette</t>
        </is>
      </c>
      <c r="D11312" t="inlineStr">
        <is>
          <t>Maurer &amp; Wirtz</t>
        </is>
      </c>
      <c r="E11312" t="n">
        <v>15.86</v>
      </c>
      <c r="F11312" t="n">
        <v>1</v>
      </c>
      <c r="G11312" t="n">
        <v>218</v>
      </c>
      <c r="H11312" s="5">
        <f>HYPERLINK("https://api.qogita.com/variants/link/4011700422098/", "View Product")</f>
        <v/>
      </c>
    </row>
    <row r="11313">
      <c r="A11313" t="inlineStr">
        <is>
          <t>4011700425204</t>
        </is>
      </c>
      <c r="B11313" t="inlineStr">
        <is>
          <t>Tabac Original Eau De Cologne 100ml By Tabac Original Maurer &amp; Wirtz Men's Fragrance</t>
        </is>
      </c>
      <c r="C11313" t="inlineStr">
        <is>
          <t>Eau De Cologne</t>
        </is>
      </c>
      <c r="D11313" t="inlineStr">
        <is>
          <t>Tabac Original</t>
        </is>
      </c>
      <c r="E11313" t="n">
        <v>7.12</v>
      </c>
      <c r="F11313" t="n">
        <v>1</v>
      </c>
      <c r="G11313" t="n">
        <v>15</v>
      </c>
      <c r="H11313" s="5">
        <f>HYPERLINK("https://api.qogita.com/variants/link/4011700425204/", "View Product")</f>
        <v/>
      </c>
    </row>
    <row r="11314">
      <c r="A11314" t="inlineStr">
        <is>
          <t>4011700425501</t>
        </is>
      </c>
      <c r="B11314" t="inlineStr">
        <is>
          <t>Maurer &amp; Wirtz Tabac Original Eau De Cologne 300ml</t>
        </is>
      </c>
      <c r="C11314" t="inlineStr">
        <is>
          <t>Eau De Cologne</t>
        </is>
      </c>
      <c r="D11314" t="inlineStr">
        <is>
          <t>Maurer &amp; Wirtz</t>
        </is>
      </c>
      <c r="E11314" t="n">
        <v>14.52</v>
      </c>
      <c r="F11314" t="n">
        <v>1</v>
      </c>
      <c r="G11314" t="n">
        <v>167</v>
      </c>
      <c r="H11314" s="5">
        <f>HYPERLINK("https://api.qogita.com/variants/link/4011700425501/", "View Product")</f>
        <v/>
      </c>
    </row>
    <row r="11315">
      <c r="A11315" t="inlineStr">
        <is>
          <t>4011700426300</t>
        </is>
      </c>
      <c r="B11315" t="inlineStr">
        <is>
          <t>Maurer &amp; Wirtz Tabac Original Eau De Cologne 150ml For Men</t>
        </is>
      </c>
      <c r="C11315" t="inlineStr">
        <is>
          <t>Eau De Cologne</t>
        </is>
      </c>
      <c r="D11315" t="inlineStr">
        <is>
          <t>Maurer &amp; Wirtz</t>
        </is>
      </c>
      <c r="E11315" t="n">
        <v>10.12</v>
      </c>
      <c r="F11315" t="n">
        <v>1</v>
      </c>
      <c r="G11315" t="n">
        <v>50</v>
      </c>
      <c r="H11315" s="5">
        <f>HYPERLINK("https://api.qogita.com/variants/link/4011700426300/", "View Product")</f>
        <v/>
      </c>
    </row>
    <row r="11316">
      <c r="A11316" t="inlineStr">
        <is>
          <t>4011700431113</t>
        </is>
      </c>
      <c r="B11316" t="inlineStr">
        <is>
          <t>After Shave Lotion 100ml</t>
        </is>
      </c>
      <c r="C11316" t="inlineStr">
        <is>
          <t>Aftershave</t>
        </is>
      </c>
      <c r="D11316" t="inlineStr">
        <is>
          <t>Tabac</t>
        </is>
      </c>
      <c r="E11316" t="n">
        <v>5.34</v>
      </c>
      <c r="F11316" t="n">
        <v>1</v>
      </c>
      <c r="G11316" t="n">
        <v>84</v>
      </c>
      <c r="H11316" s="5">
        <f>HYPERLINK("https://api.qogita.com/variants/link/4011700431113/", "View Product")</f>
        <v/>
      </c>
    </row>
    <row r="11317">
      <c r="A11317" t="inlineStr">
        <is>
          <t>4011700449002</t>
        </is>
      </c>
      <c r="B11317" t="inlineStr">
        <is>
          <t>Tabac Man Eau De Toilette Spray 30ml</t>
        </is>
      </c>
      <c r="C11317" t="inlineStr">
        <is>
          <t>Eau De Toilette</t>
        </is>
      </c>
      <c r="D11317" t="inlineStr">
        <is>
          <t>Tabac</t>
        </is>
      </c>
      <c r="E11317" t="n">
        <v>12.41</v>
      </c>
      <c r="F11317" t="n">
        <v>1</v>
      </c>
      <c r="G11317" t="n">
        <v>11</v>
      </c>
      <c r="H11317" s="5">
        <f>HYPERLINK("https://api.qogita.com/variants/link/4011700449002/", "View Product")</f>
        <v/>
      </c>
    </row>
    <row r="11318">
      <c r="A11318" t="inlineStr">
        <is>
          <t>4011700456086</t>
        </is>
      </c>
      <c r="B11318" t="inlineStr">
        <is>
          <t>Tabac Wild Beat Eau de Toilette 75ml Natural Spray Fresh</t>
        </is>
      </c>
      <c r="C11318" t="inlineStr">
        <is>
          <t>Eau De Toilette</t>
        </is>
      </c>
      <c r="D11318" t="inlineStr">
        <is>
          <t>Tabac Original</t>
        </is>
      </c>
      <c r="E11318" t="n">
        <v>9.23</v>
      </c>
      <c r="F11318" t="n">
        <v>1</v>
      </c>
      <c r="G11318" t="n">
        <v>4</v>
      </c>
      <c r="H11318" s="5">
        <f>HYPERLINK("https://api.qogita.com/variants/link/4011700456086/", "View Product")</f>
        <v/>
      </c>
    </row>
    <row r="11319">
      <c r="A11319" t="inlineStr">
        <is>
          <t>4011700740031</t>
        </is>
      </c>
      <c r="B11319" t="inlineStr">
        <is>
          <t>4711 Original Eau De Cologne Bottle 800ml</t>
        </is>
      </c>
      <c r="C11319" t="inlineStr">
        <is>
          <t>Eau De Cologne</t>
        </is>
      </c>
      <c r="D11319" t="inlineStr">
        <is>
          <t>4711</t>
        </is>
      </c>
      <c r="E11319" t="n">
        <v>27.98</v>
      </c>
      <c r="F11319" t="n">
        <v>1</v>
      </c>
      <c r="G11319" t="n">
        <v>840</v>
      </c>
      <c r="H11319" s="5">
        <f>HYPERLINK("https://api.qogita.com/variants/link/4011700740031/", "View Product")</f>
        <v/>
      </c>
    </row>
    <row r="11320">
      <c r="A11320" t="inlineStr">
        <is>
          <t>4011700740635</t>
        </is>
      </c>
      <c r="B11320" t="inlineStr">
        <is>
          <t>4711 Eau De Cologne for Women 150ml - Classic Fragrance with Refreshing Citrus</t>
        </is>
      </c>
      <c r="C11320" t="inlineStr">
        <is>
          <t>Eau De Cologne</t>
        </is>
      </c>
      <c r="D11320" t="inlineStr">
        <is>
          <t>4711</t>
        </is>
      </c>
      <c r="E11320" t="n">
        <v>10.45</v>
      </c>
      <c r="F11320" t="n">
        <v>1</v>
      </c>
      <c r="G11320" t="n">
        <v>5</v>
      </c>
      <c r="H11320" s="5">
        <f>HYPERLINK("https://api.qogita.com/variants/link/4011700740635/", "View Product")</f>
        <v/>
      </c>
    </row>
    <row r="11321">
      <c r="A11321" t="inlineStr">
        <is>
          <t>4011700741724</t>
        </is>
      </c>
      <c r="B11321" t="inlineStr">
        <is>
          <t>Muelhens 4711 Original Shower Gel 200ml</t>
        </is>
      </c>
      <c r="C11321" t="inlineStr">
        <is>
          <t>Shower Gel</t>
        </is>
      </c>
      <c r="D11321" t="inlineStr">
        <is>
          <t>Muelhens</t>
        </is>
      </c>
      <c r="E11321" t="n">
        <v>4.28</v>
      </c>
      <c r="F11321" t="n">
        <v>1</v>
      </c>
      <c r="G11321" t="n">
        <v>11</v>
      </c>
      <c r="H11321" s="5">
        <f>HYPERLINK("https://api.qogita.com/variants/link/4011700741724/", "View Product")</f>
        <v/>
      </c>
    </row>
    <row r="11322">
      <c r="A11322" t="inlineStr">
        <is>
          <t>4011700745364</t>
        </is>
      </c>
      <c r="B11322" t="inlineStr">
        <is>
          <t>4711 Acqua Colonia White Peach &amp; Coriander Eau De Cologne Spray 50ml</t>
        </is>
      </c>
      <c r="C11322" t="inlineStr">
        <is>
          <t>Eau De Cologne</t>
        </is>
      </c>
      <c r="D11322" t="inlineStr">
        <is>
          <t>4711</t>
        </is>
      </c>
      <c r="E11322" t="n">
        <v>12.95</v>
      </c>
      <c r="F11322" t="n">
        <v>1</v>
      </c>
      <c r="G11322" t="n">
        <v>3</v>
      </c>
      <c r="H11322" s="5">
        <f>HYPERLINK("https://api.qogita.com/variants/link/4011700745364/", "View Product")</f>
        <v/>
      </c>
    </row>
    <row r="11323">
      <c r="A11323" t="inlineStr">
        <is>
          <t>4011700750030</t>
        </is>
      </c>
      <c r="B11323" t="inlineStr">
        <is>
          <t>4711 Acqua Colonia Intense Pure Breeze Of Himalaya Eau De Cologne 50ml Unisex Spray</t>
        </is>
      </c>
      <c r="C11323" t="inlineStr">
        <is>
          <t>Eau De Cologne</t>
        </is>
      </c>
      <c r="D11323" t="inlineStr">
        <is>
          <t>4711</t>
        </is>
      </c>
      <c r="E11323" t="n">
        <v>13.75</v>
      </c>
      <c r="F11323" t="n">
        <v>1</v>
      </c>
      <c r="G11323" t="n">
        <v>27</v>
      </c>
      <c r="H11323" s="5">
        <f>HYPERLINK("https://api.qogita.com/variants/link/4011700750030/", "View Product")</f>
        <v/>
      </c>
    </row>
    <row r="11324">
      <c r="A11324" t="inlineStr">
        <is>
          <t>4011700750054</t>
        </is>
      </c>
      <c r="B11324" t="inlineStr">
        <is>
          <t>4711 Acqua Colonia Sunny Side Of Zanzibar Eau De Cologne 170ml Unisex Spray</t>
        </is>
      </c>
      <c r="C11324" t="inlineStr">
        <is>
          <t>Eau De Cologne</t>
        </is>
      </c>
      <c r="D11324" t="inlineStr">
        <is>
          <t>4711</t>
        </is>
      </c>
      <c r="E11324" t="n">
        <v>15.22</v>
      </c>
      <c r="F11324" t="n">
        <v>1</v>
      </c>
      <c r="G11324" t="n">
        <v>57</v>
      </c>
      <c r="H11324" s="5">
        <f>HYPERLINK("https://api.qogita.com/variants/link/4011700750054/", "View Product")</f>
        <v/>
      </c>
    </row>
    <row r="11325">
      <c r="A11325" t="inlineStr">
        <is>
          <t>4011700757053</t>
        </is>
      </c>
      <c r="B11325" t="inlineStr">
        <is>
          <t>4711 Floral Collection Rose Eau De Cologne Spray 100ml</t>
        </is>
      </c>
      <c r="C11325" t="inlineStr">
        <is>
          <t>Eau De Cologne</t>
        </is>
      </c>
      <c r="D11325" t="inlineStr">
        <is>
          <t>4711</t>
        </is>
      </c>
      <c r="E11325" t="n">
        <v>11.51</v>
      </c>
      <c r="F11325" t="n">
        <v>1</v>
      </c>
      <c r="G11325" t="n">
        <v>8</v>
      </c>
      <c r="H11325" s="5">
        <f>HYPERLINK("https://api.qogita.com/variants/link/4011700757053/", "View Product")</f>
        <v/>
      </c>
    </row>
    <row r="11326">
      <c r="A11326" t="inlineStr">
        <is>
          <t>4011700757176</t>
        </is>
      </c>
      <c r="B11326" t="inlineStr">
        <is>
          <t>4711 Floral Collection Magnolia Eau De Cologne Spray 100ml</t>
        </is>
      </c>
      <c r="C11326" t="inlineStr">
        <is>
          <t>Eau De Cologne</t>
        </is>
      </c>
      <c r="D11326" t="inlineStr">
        <is>
          <t>4711</t>
        </is>
      </c>
      <c r="E11326" t="n">
        <v>11.92</v>
      </c>
      <c r="F11326" t="n">
        <v>1</v>
      </c>
      <c r="G11326" t="n">
        <v>18</v>
      </c>
      <c r="H11326" s="5">
        <f>HYPERLINK("https://api.qogita.com/variants/link/4011700757176/", "View Product")</f>
        <v/>
      </c>
    </row>
    <row r="11327">
      <c r="A11327" t="inlineStr">
        <is>
          <t>4011700863020</t>
        </is>
      </c>
      <c r="B11327" t="inlineStr">
        <is>
          <t>S. Oliver Soulmate Woman Eau De Toilette 30ml</t>
        </is>
      </c>
      <c r="C11327" t="inlineStr">
        <is>
          <t>Eau De Toilette</t>
        </is>
      </c>
      <c r="D11327" t="inlineStr">
        <is>
          <t>S. Oliver</t>
        </is>
      </c>
      <c r="E11327" t="n">
        <v>10.16</v>
      </c>
      <c r="F11327" t="n">
        <v>1</v>
      </c>
      <c r="G11327" t="n">
        <v>22</v>
      </c>
      <c r="H11327" s="5">
        <f>HYPERLINK("https://api.qogita.com/variants/link/4011700863020/", "View Product")</f>
        <v/>
      </c>
    </row>
    <row r="11328">
      <c r="A11328" t="inlineStr">
        <is>
          <t>4011700879076</t>
        </is>
      </c>
      <c r="B11328" t="inlineStr">
        <is>
          <t>Soliver For Her Deodorant Spray For Women 75 Ml</t>
        </is>
      </c>
      <c r="C11328" t="inlineStr">
        <is>
          <t>Deodorant &amp; Anti-Perspirant</t>
        </is>
      </c>
      <c r="D11328" t="inlineStr">
        <is>
          <t>S. Oliver</t>
        </is>
      </c>
      <c r="E11328" t="n">
        <v>6.98</v>
      </c>
      <c r="F11328" t="n">
        <v>1</v>
      </c>
      <c r="G11328" t="n">
        <v>3</v>
      </c>
      <c r="H11328" s="5">
        <f>HYPERLINK("https://api.qogita.com/variants/link/4011700879076/", "View Product")</f>
        <v/>
      </c>
    </row>
    <row r="11329">
      <c r="A11329" t="inlineStr">
        <is>
          <t>4011700902019</t>
        </is>
      </c>
      <c r="B11329" t="inlineStr">
        <is>
          <t>Baldessarini Concentree Eau De Cologne Spray 75ml</t>
        </is>
      </c>
      <c r="C11329" t="inlineStr">
        <is>
          <t>Eau De Cologne</t>
        </is>
      </c>
      <c r="D11329" t="inlineStr">
        <is>
          <t>Baldessarini</t>
        </is>
      </c>
      <c r="E11329" t="n">
        <v>29.97</v>
      </c>
      <c r="F11329" t="n">
        <v>1</v>
      </c>
      <c r="G11329" t="n">
        <v>44</v>
      </c>
      <c r="H11329" s="5">
        <f>HYPERLINK("https://api.qogita.com/variants/link/4011700902019/", "View Product")</f>
        <v/>
      </c>
    </row>
    <row r="11330">
      <c r="A11330" t="inlineStr">
        <is>
          <t>4011700906086</t>
        </is>
      </c>
      <c r="B11330" t="inlineStr">
        <is>
          <t>Baldessarini Ambre Shower Gel 200ml</t>
        </is>
      </c>
      <c r="C11330" t="inlineStr">
        <is>
          <t>Shower Gel</t>
        </is>
      </c>
      <c r="D11330" t="inlineStr">
        <is>
          <t>Baldessarini</t>
        </is>
      </c>
      <c r="E11330" t="n">
        <v>9.31</v>
      </c>
      <c r="F11330" t="n">
        <v>1</v>
      </c>
      <c r="G11330" t="n">
        <v>30</v>
      </c>
      <c r="H11330" s="5">
        <f>HYPERLINK("https://api.qogita.com/variants/link/4011700906086/", "View Product")</f>
        <v/>
      </c>
    </row>
    <row r="11331">
      <c r="A11331" t="inlineStr">
        <is>
          <t>4011700907014</t>
        </is>
      </c>
      <c r="B11331" t="inlineStr">
        <is>
          <t>Baldessarini Ambre Eau Fraiche Eau De Toilette 90ml Spray for Men</t>
        </is>
      </c>
      <c r="C11331" t="inlineStr">
        <is>
          <t>Eau De Toilette</t>
        </is>
      </c>
      <c r="D11331" t="inlineStr">
        <is>
          <t>Baldessarini</t>
        </is>
      </c>
      <c r="E11331" t="n">
        <v>19.1</v>
      </c>
      <c r="F11331" t="n">
        <v>1</v>
      </c>
      <c r="G11331" t="n">
        <v>64</v>
      </c>
      <c r="H11331" s="5">
        <f>HYPERLINK("https://api.qogita.com/variants/link/4011700907014/", "View Product")</f>
        <v/>
      </c>
    </row>
    <row r="11332">
      <c r="A11332" t="inlineStr">
        <is>
          <t>4011700908103</t>
        </is>
      </c>
      <c r="B11332" t="inlineStr">
        <is>
          <t>Baldessarini Signature Eau De Toilette Spray 50ml</t>
        </is>
      </c>
      <c r="C11332" t="inlineStr">
        <is>
          <t>Eau De Toilette</t>
        </is>
      </c>
      <c r="D11332" t="inlineStr">
        <is>
          <t>Baldessarini</t>
        </is>
      </c>
      <c r="E11332" t="n">
        <v>26.09</v>
      </c>
      <c r="F11332" t="n">
        <v>1</v>
      </c>
      <c r="G11332" t="n">
        <v>3</v>
      </c>
      <c r="H11332" s="5">
        <f>HYPERLINK("https://api.qogita.com/variants/link/4011700908103/", "View Product")</f>
        <v/>
      </c>
    </row>
    <row r="11333">
      <c r="A11333" t="inlineStr">
        <is>
          <t>4011700908158</t>
        </is>
      </c>
      <c r="B11333" t="inlineStr">
        <is>
          <t>Baldessarini Large Shower Gel</t>
        </is>
      </c>
      <c r="C11333" t="inlineStr">
        <is>
          <t>Shower Gel</t>
        </is>
      </c>
      <c r="D11333" t="inlineStr">
        <is>
          <t>Baldessarini</t>
        </is>
      </c>
      <c r="E11333" t="n">
        <v>9.82</v>
      </c>
      <c r="F11333" t="n">
        <v>1</v>
      </c>
      <c r="G11333" t="n">
        <v>70</v>
      </c>
      <c r="H11333" s="5">
        <f>HYPERLINK("https://api.qogita.com/variants/link/4011700908158/", "View Product")</f>
        <v/>
      </c>
    </row>
    <row r="11334">
      <c r="A11334" t="inlineStr">
        <is>
          <t>4011700908172</t>
        </is>
      </c>
      <c r="B11334" t="inlineStr">
        <is>
          <t>Hugo Boss Baldessarini Signature Gift Set + Eau De Toilette 50ml + Shower Gel 200ml</t>
        </is>
      </c>
      <c r="C11334" t="inlineStr">
        <is>
          <t>Fragrance Sets</t>
        </is>
      </c>
      <c r="D11334" t="inlineStr">
        <is>
          <t>Baldessarini</t>
        </is>
      </c>
      <c r="E11334" t="n">
        <v>23.67</v>
      </c>
      <c r="F11334" t="n">
        <v>1</v>
      </c>
      <c r="G11334" t="n">
        <v>5</v>
      </c>
      <c r="H11334" s="5">
        <f>HYPERLINK("https://api.qogita.com/variants/link/4011700908172/", "View Product")</f>
        <v/>
      </c>
    </row>
    <row r="11335">
      <c r="A11335" t="inlineStr">
        <is>
          <t>4011700919017</t>
        </is>
      </c>
      <c r="B11335" t="inlineStr">
        <is>
          <t>Baldessarini Cool Force Eau De Toilette 50ml For Men</t>
        </is>
      </c>
      <c r="C11335" t="inlineStr">
        <is>
          <t>Eau De Toilette</t>
        </is>
      </c>
      <c r="D11335" t="inlineStr">
        <is>
          <t>Baldessarini</t>
        </is>
      </c>
      <c r="E11335" t="n">
        <v>28.14</v>
      </c>
      <c r="F11335" t="n">
        <v>1</v>
      </c>
      <c r="G11335" t="n">
        <v>3</v>
      </c>
      <c r="H11335" s="5">
        <f>HYPERLINK("https://api.qogita.com/variants/link/4011700919017/", "View Product")</f>
        <v/>
      </c>
    </row>
    <row r="11336">
      <c r="A11336" t="inlineStr">
        <is>
          <t>4013670000351</t>
        </is>
      </c>
      <c r="B11336" t="inlineStr">
        <is>
          <t>Etienne Aigner First Class Executive Eau De Toilette 50ml For Men</t>
        </is>
      </c>
      <c r="C11336" t="inlineStr">
        <is>
          <t>Eau De Toilette</t>
        </is>
      </c>
      <c r="D11336" t="inlineStr">
        <is>
          <t>Etienne Aigner</t>
        </is>
      </c>
      <c r="E11336" t="n">
        <v>29.07</v>
      </c>
      <c r="F11336" t="n">
        <v>1</v>
      </c>
      <c r="G11336" t="n">
        <v>2</v>
      </c>
      <c r="H11336" s="5">
        <f>HYPERLINK("https://api.qogita.com/variants/link/4013670000351/", "View Product")</f>
        <v/>
      </c>
    </row>
    <row r="11337">
      <c r="A11337" t="inlineStr">
        <is>
          <t>4013670508390</t>
        </is>
      </c>
      <c r="B11337" t="inlineStr">
        <is>
          <t>Etienne Aigner N1 Eau De Toilette Spray 50ml</t>
        </is>
      </c>
      <c r="C11337" t="inlineStr">
        <is>
          <t>Eau De Toilette</t>
        </is>
      </c>
      <c r="D11337" t="inlineStr">
        <is>
          <t>Etienne Aigner</t>
        </is>
      </c>
      <c r="E11337" t="n">
        <v>21.88</v>
      </c>
      <c r="F11337" t="n">
        <v>1</v>
      </c>
      <c r="G11337" t="n">
        <v>3</v>
      </c>
      <c r="H11337" s="5">
        <f>HYPERLINK("https://api.qogita.com/variants/link/4013670508390/", "View Product")</f>
        <v/>
      </c>
    </row>
    <row r="11338">
      <c r="A11338" t="inlineStr">
        <is>
          <t>4015001014150</t>
        </is>
      </c>
      <c r="B11338" t="inlineStr">
        <is>
          <t>Diadermine Lift+ Super Filler Night Cream and Day Cream with SPF30 Anti-Aging Care</t>
        </is>
      </c>
      <c r="C11338" t="inlineStr">
        <is>
          <t>Anti-Aging Facial Care</t>
        </is>
      </c>
      <c r="D11338" t="inlineStr">
        <is>
          <t>Diadermine</t>
        </is>
      </c>
      <c r="E11338" t="n">
        <v>7.97</v>
      </c>
      <c r="F11338" t="n">
        <v>1</v>
      </c>
      <c r="G11338" t="n">
        <v>64</v>
      </c>
      <c r="H11338" s="5">
        <f>HYPERLINK("https://api.qogita.com/variants/link/4015001014150/", "View Product")</f>
        <v/>
      </c>
    </row>
    <row r="11339">
      <c r="A11339" t="inlineStr">
        <is>
          <t>4015001014365</t>
        </is>
      </c>
      <c r="B11339" t="inlineStr">
        <is>
          <t>Diadermine Age Supreme Day Care Extra Rich Day Cream 50ml</t>
        </is>
      </c>
      <c r="C11339" t="inlineStr">
        <is>
          <t>Day Cream</t>
        </is>
      </c>
      <c r="D11339" t="inlineStr">
        <is>
          <t>Diadermine</t>
        </is>
      </c>
      <c r="E11339" t="n">
        <v>8.82</v>
      </c>
      <c r="F11339" t="n">
        <v>1</v>
      </c>
      <c r="G11339" t="n">
        <v>64</v>
      </c>
      <c r="H11339" s="5">
        <f>HYPERLINK("https://api.qogita.com/variants/link/4015001014365/", "View Product")</f>
        <v/>
      </c>
    </row>
    <row r="11340">
      <c r="A11340" t="inlineStr">
        <is>
          <t>4015100202786</t>
        </is>
      </c>
      <c r="B11340" t="inlineStr">
        <is>
          <t>Diadermine Lift Tiefen-Lifting Anti-Age Day Cream</t>
        </is>
      </c>
      <c r="C11340" t="inlineStr">
        <is>
          <t>Day Cream</t>
        </is>
      </c>
      <c r="D11340" t="inlineStr">
        <is>
          <t>Diadermine</t>
        </is>
      </c>
      <c r="E11340" t="n">
        <v>7.97</v>
      </c>
      <c r="F11340" t="n">
        <v>1</v>
      </c>
      <c r="G11340" t="n">
        <v>66</v>
      </c>
      <c r="H11340" s="5">
        <f>HYPERLINK("https://api.qogita.com/variants/link/4015100202786/", "View Product")</f>
        <v/>
      </c>
    </row>
    <row r="11341">
      <c r="A11341" t="inlineStr">
        <is>
          <t>4015100726084</t>
        </is>
      </c>
      <c r="B11341" t="inlineStr">
        <is>
          <t>Diadermine LIFT+ Bio Sensitive Anti-Age Day Cream 50ml 1.6 fl oz</t>
        </is>
      </c>
      <c r="C11341" t="inlineStr">
        <is>
          <t>Day Cream</t>
        </is>
      </c>
      <c r="D11341" t="inlineStr">
        <is>
          <t>Diadermine</t>
        </is>
      </c>
      <c r="E11341" t="n">
        <v>8.82</v>
      </c>
      <c r="F11341" t="n">
        <v>1</v>
      </c>
      <c r="G11341" t="n">
        <v>70</v>
      </c>
      <c r="H11341" s="5">
        <f>HYPERLINK("https://api.qogita.com/variants/link/4015100726084/", "View Product")</f>
        <v/>
      </c>
    </row>
    <row r="11342">
      <c r="A11342" t="inlineStr">
        <is>
          <t>4015165335429</t>
        </is>
      </c>
      <c r="B11342" t="inlineStr">
        <is>
          <t>Babor Sea Creation The Eye Cream</t>
        </is>
      </c>
      <c r="C11342" t="inlineStr">
        <is>
          <t>Eye Cream</t>
        </is>
      </c>
      <c r="D11342" t="inlineStr">
        <is>
          <t>Babor</t>
        </is>
      </c>
      <c r="E11342" t="n">
        <v>103.49</v>
      </c>
      <c r="F11342" t="n">
        <v>1</v>
      </c>
      <c r="G11342" t="n">
        <v>5</v>
      </c>
      <c r="H11342" s="5">
        <f>HYPERLINK("https://api.qogita.com/variants/link/4015165335429/", "View Product")</f>
        <v/>
      </c>
    </row>
    <row r="11343">
      <c r="A11343" t="inlineStr">
        <is>
          <t>4015165337683</t>
        </is>
      </c>
      <c r="B11343" t="inlineStr">
        <is>
          <t>Dr. Barbara Sturm Glow Drops 1oz Unisex</t>
        </is>
      </c>
      <c r="C11343" t="inlineStr">
        <is>
          <t>Glow Serum</t>
        </is>
      </c>
      <c r="D11343" t="inlineStr">
        <is>
          <t>Dr. Barbara Sturm</t>
        </is>
      </c>
      <c r="E11343" t="n">
        <v>98.16</v>
      </c>
      <c r="F11343" t="n">
        <v>1</v>
      </c>
      <c r="G11343" t="n">
        <v>5</v>
      </c>
      <c r="H11343" s="5">
        <f>HYPERLINK("https://api.qogita.com/variants/link/4015165337683/", "View Product")</f>
        <v/>
      </c>
    </row>
    <row r="11344">
      <c r="A11344" t="inlineStr">
        <is>
          <t>4015165359531</t>
        </is>
      </c>
      <c r="B11344" t="inlineStr">
        <is>
          <t>Babor Skinovage Moisturizing Serum for Dry Skin Anti-Aging</t>
        </is>
      </c>
      <c r="C11344" t="inlineStr">
        <is>
          <t>Anti-Aging Serum</t>
        </is>
      </c>
      <c r="D11344" t="inlineStr">
        <is>
          <t>Babor</t>
        </is>
      </c>
      <c r="E11344" t="n">
        <v>41.34</v>
      </c>
      <c r="F11344" t="n">
        <v>1</v>
      </c>
      <c r="G11344" t="n">
        <v>9</v>
      </c>
      <c r="H11344" s="5">
        <f>HYPERLINK("https://api.qogita.com/variants/link/4015165359531/", "View Product")</f>
        <v/>
      </c>
    </row>
    <row r="11345">
      <c r="A11345" t="inlineStr">
        <is>
          <t>4015165359586</t>
        </is>
      </c>
      <c r="B11345" t="inlineStr">
        <is>
          <t>Babor Skinovage Vitalizing Mask for Tired and Dull Skin Moisturizing Face Mask</t>
        </is>
      </c>
      <c r="C11345" t="inlineStr">
        <is>
          <t>Hydrating Mask</t>
        </is>
      </c>
      <c r="D11345" t="inlineStr">
        <is>
          <t>Babor</t>
        </is>
      </c>
      <c r="E11345" t="n">
        <v>22.87</v>
      </c>
      <c r="F11345" t="n">
        <v>1</v>
      </c>
      <c r="G11345" t="n">
        <v>3</v>
      </c>
      <c r="H11345" s="5">
        <f>HYPERLINK("https://api.qogita.com/variants/link/4015165359586/", "View Product")</f>
        <v/>
      </c>
    </row>
    <row r="11346">
      <c r="A11346" t="inlineStr">
        <is>
          <t>4015165362623</t>
        </is>
      </c>
      <c r="B11346" t="inlineStr">
        <is>
          <t>DOCTOR BABOR Body Protector SPF 30 Moisturizing Body Lotion with Sunscreen Fast Absorbing with Vitamin E 150ml</t>
        </is>
      </c>
      <c r="C11346" t="inlineStr">
        <is>
          <t>Body Sun Protection</t>
        </is>
      </c>
      <c r="D11346" t="inlineStr">
        <is>
          <t>Babor</t>
        </is>
      </c>
      <c r="E11346" t="n">
        <v>35.73</v>
      </c>
      <c r="F11346" t="n">
        <v>1</v>
      </c>
      <c r="G11346" t="n">
        <v>5</v>
      </c>
      <c r="H11346" s="5">
        <f>HYPERLINK("https://api.qogita.com/variants/link/4015165362623/", "View Product")</f>
        <v/>
      </c>
    </row>
    <row r="11347">
      <c r="A11347" t="inlineStr">
        <is>
          <t>4015165363095</t>
        </is>
      </c>
      <c r="B11347" t="inlineStr">
        <is>
          <t>Babor Cleansing Phyto Hy-Ol Booster Reactivating Cleansing Oil 100ml</t>
        </is>
      </c>
      <c r="C11347" t="inlineStr">
        <is>
          <t>Cleansing Oil</t>
        </is>
      </c>
      <c r="D11347" t="inlineStr">
        <is>
          <t>Babor</t>
        </is>
      </c>
      <c r="E11347" t="n">
        <v>15.27</v>
      </c>
      <c r="F11347" t="n">
        <v>1</v>
      </c>
      <c r="G11347" t="n">
        <v>2</v>
      </c>
      <c r="H11347" s="5">
        <f>HYPERLINK("https://api.qogita.com/variants/link/4015165363095/", "View Product")</f>
        <v/>
      </c>
    </row>
    <row r="11348">
      <c r="A11348" t="inlineStr">
        <is>
          <t>4015165363255</t>
        </is>
      </c>
      <c r="B11348" t="inlineStr">
        <is>
          <t>Babor Cleansing Eye &amp; Heavy Make Up Remover - 100ml</t>
        </is>
      </c>
      <c r="C11348" t="inlineStr">
        <is>
          <t>Makeup Remover</t>
        </is>
      </c>
      <c r="D11348" t="inlineStr">
        <is>
          <t>Babor</t>
        </is>
      </c>
      <c r="E11348" t="n">
        <v>14.06</v>
      </c>
      <c r="F11348" t="n">
        <v>1</v>
      </c>
      <c r="G11348" t="n">
        <v>32</v>
      </c>
      <c r="H11348" s="5">
        <f>HYPERLINK("https://api.qogita.com/variants/link/4015165363255/", "View Product")</f>
        <v/>
      </c>
    </row>
    <row r="11349">
      <c r="A11349" t="inlineStr">
        <is>
          <t>4015165368724</t>
        </is>
      </c>
      <c r="B11349" t="inlineStr">
        <is>
          <t>Babor Exfoliating Antioxidant Gel</t>
        </is>
      </c>
      <c r="C11349" t="inlineStr">
        <is>
          <t>Facial Scrub &amp; Peeling</t>
        </is>
      </c>
      <c r="D11349" t="inlineStr">
        <is>
          <t>Babor</t>
        </is>
      </c>
      <c r="E11349" t="n">
        <v>67.98999999999999</v>
      </c>
      <c r="F11349" t="n">
        <v>1</v>
      </c>
      <c r="G11349" t="n">
        <v>5</v>
      </c>
      <c r="H11349" s="5">
        <f>HYPERLINK("https://api.qogita.com/variants/link/4015165368724/", "View Product")</f>
        <v/>
      </c>
    </row>
    <row r="11350">
      <c r="A11350" t="inlineStr">
        <is>
          <t>4015165368755</t>
        </is>
      </c>
      <c r="B11350" t="inlineStr">
        <is>
          <t>Babor Doctor Exfoliating Peel Pads - 40 Pieces</t>
        </is>
      </c>
      <c r="C11350" t="inlineStr">
        <is>
          <t>Facial Scrub &amp; Peeling</t>
        </is>
      </c>
      <c r="D11350" t="inlineStr">
        <is>
          <t>Babor</t>
        </is>
      </c>
      <c r="E11350" t="n">
        <v>30.39</v>
      </c>
      <c r="F11350" t="n">
        <v>1</v>
      </c>
      <c r="G11350" t="n">
        <v>11</v>
      </c>
      <c r="H11350" s="5">
        <f>HYPERLINK("https://api.qogita.com/variants/link/4015165368755/", "View Product")</f>
        <v/>
      </c>
    </row>
    <row r="11351">
      <c r="A11351" t="inlineStr">
        <is>
          <t>4015165368762</t>
        </is>
      </c>
      <c r="B11351" t="inlineStr">
        <is>
          <t>DOCTOR BABOR Exfoliating Toner for Impure and Oily Skin Anti-Pimple and Pore Refining with AHA, BHA and PAD 200ml</t>
        </is>
      </c>
      <c r="C11351" t="inlineStr">
        <is>
          <t>Pimple &amp; Blackhead Treatments</t>
        </is>
      </c>
      <c r="D11351" t="inlineStr">
        <is>
          <t>Babor</t>
        </is>
      </c>
      <c r="E11351" t="n">
        <v>32.44</v>
      </c>
      <c r="F11351" t="n">
        <v>1</v>
      </c>
      <c r="G11351" t="n">
        <v>3</v>
      </c>
      <c r="H11351" s="5">
        <f>HYPERLINK("https://api.qogita.com/variants/link/4015165368762/", "View Product")</f>
        <v/>
      </c>
    </row>
    <row r="11352">
      <c r="A11352" t="inlineStr">
        <is>
          <t>4015165369028</t>
        </is>
      </c>
      <c r="B11352" t="inlineStr">
        <is>
          <t>Babor Instant Soothing Ampoule Serum Concentrate 14 Ml</t>
        </is>
      </c>
      <c r="C11352" t="inlineStr">
        <is>
          <t>Ampoules</t>
        </is>
      </c>
      <c r="D11352" t="inlineStr">
        <is>
          <t>Babor</t>
        </is>
      </c>
      <c r="E11352" t="n">
        <v>32.21</v>
      </c>
      <c r="F11352" t="n">
        <v>1</v>
      </c>
      <c r="G11352" t="n">
        <v>6</v>
      </c>
      <c r="H11352" s="5">
        <f>HYPERLINK("https://api.qogita.com/variants/link/4015165369028/", "View Product")</f>
        <v/>
      </c>
    </row>
    <row r="11353">
      <c r="A11353" t="inlineStr">
        <is>
          <t>4015165370543</t>
        </is>
      </c>
      <c r="B11353" t="inlineStr">
        <is>
          <t>Babor Soul &amp; Body Shimmer Oil - Shimmering Body Oil for Skin Care</t>
        </is>
      </c>
      <c r="C11353" t="inlineStr">
        <is>
          <t>Body Oil</t>
        </is>
      </c>
      <c r="D11353" t="inlineStr">
        <is>
          <t>Babor</t>
        </is>
      </c>
      <c r="E11353" t="n">
        <v>40.97</v>
      </c>
      <c r="F11353" t="n">
        <v>1</v>
      </c>
      <c r="G11353" t="n">
        <v>5</v>
      </c>
      <c r="H11353" s="5">
        <f>HYPERLINK("https://api.qogita.com/variants/link/4015165370543/", "View Product")</f>
        <v/>
      </c>
    </row>
    <row r="11354">
      <c r="A11354" t="inlineStr">
        <is>
          <t>4015165373650</t>
        </is>
      </c>
      <c r="B11354" t="inlineStr">
        <is>
          <t>Babor Doctor Babor Microbiomic Balancing Toner - 200 Ml</t>
        </is>
      </c>
      <c r="C11354" t="inlineStr">
        <is>
          <t>Facial Spray</t>
        </is>
      </c>
      <c r="D11354" t="inlineStr">
        <is>
          <t>Babor</t>
        </is>
      </c>
      <c r="E11354" t="n">
        <v>23.59</v>
      </c>
      <c r="F11354" t="n">
        <v>1</v>
      </c>
      <c r="G11354" t="n">
        <v>2</v>
      </c>
      <c r="H11354" s="5">
        <f>HYPERLINK("https://api.qogita.com/variants/link/4015165373650/", "View Product")</f>
        <v/>
      </c>
    </row>
    <row r="11355">
      <c r="A11355" t="inlineStr">
        <is>
          <t>4015600236328</t>
        </is>
      </c>
      <c r="B11355" t="inlineStr">
        <is>
          <t>Wella Illumina Coloring No 9/00 60ml</t>
        </is>
      </c>
      <c r="C11355" t="inlineStr">
        <is>
          <t>Hair Dye</t>
        </is>
      </c>
      <c r="D11355" t="inlineStr">
        <is>
          <t>Wella</t>
        </is>
      </c>
      <c r="E11355" t="n">
        <v>7.28</v>
      </c>
      <c r="F11355" t="n">
        <v>1</v>
      </c>
      <c r="G11355" t="n">
        <v>3</v>
      </c>
      <c r="H11355" s="5">
        <f>HYPERLINK("https://api.qogita.com/variants/link/4015600236328/", "View Product")</f>
        <v/>
      </c>
    </row>
    <row r="11356">
      <c r="A11356" t="inlineStr">
        <is>
          <t>4015600530358</t>
        </is>
      </c>
      <c r="B11356" t="inlineStr">
        <is>
          <t>Illumina Color Permanent 8/69 60 60ml</t>
        </is>
      </c>
      <c r="C11356" t="inlineStr">
        <is>
          <t>Hair Dye</t>
        </is>
      </c>
      <c r="D11356" t="inlineStr">
        <is>
          <t>Wella Professionals</t>
        </is>
      </c>
      <c r="E11356" t="n">
        <v>7.34</v>
      </c>
      <c r="F11356" t="n">
        <v>1</v>
      </c>
      <c r="G11356" t="n">
        <v>3</v>
      </c>
      <c r="H11356" s="5">
        <f>HYPERLINK("https://api.qogita.com/variants/link/4015600530358/", "View Product")</f>
        <v/>
      </c>
    </row>
    <row r="11357">
      <c r="A11357" t="inlineStr">
        <is>
          <t>4015600792602</t>
        </is>
      </c>
      <c r="B11357" t="inlineStr">
        <is>
          <t>Wella Professionals Illumina Permanent Haircolor Number 4</t>
        </is>
      </c>
      <c r="C11357" t="inlineStr">
        <is>
          <t>Hair Dye</t>
        </is>
      </c>
      <c r="D11357" t="inlineStr">
        <is>
          <t>Wella Professionals</t>
        </is>
      </c>
      <c r="E11357" t="n">
        <v>7.88</v>
      </c>
      <c r="F11357" t="n">
        <v>1</v>
      </c>
      <c r="G11357" t="n">
        <v>4</v>
      </c>
      <c r="H11357" s="5">
        <f>HYPERLINK("https://api.qogita.com/variants/link/4015600792602/", "View Product")</f>
        <v/>
      </c>
    </row>
    <row r="11358">
      <c r="A11358" t="inlineStr">
        <is>
          <t>4015953660498</t>
        </is>
      </c>
      <c r="B11358" t="inlineStr">
        <is>
          <t>Body Care Gift Set with Winter Magic</t>
        </is>
      </c>
      <c r="C11358" t="inlineStr">
        <is>
          <t>Body Care Sets</t>
        </is>
      </c>
      <c r="D11358" t="inlineStr">
        <is>
          <t>Accentra</t>
        </is>
      </c>
      <c r="E11358" t="n">
        <v>22.65</v>
      </c>
      <c r="F11358" t="n">
        <v>1</v>
      </c>
      <c r="G11358" t="n">
        <v>14</v>
      </c>
      <c r="H11358" s="5">
        <f>HYPERLINK("https://api.qogita.com/variants/link/4015953660498/", "View Product")</f>
        <v/>
      </c>
    </row>
    <row r="11359">
      <c r="A11359" t="inlineStr">
        <is>
          <t>4015953682285</t>
        </is>
      </c>
      <c r="B11359" t="inlineStr">
        <is>
          <t>Advent Calendar Winter Spa In Folding Box, 24 Wellness And Relaxation Surprises</t>
        </is>
      </c>
      <c r="C11359" t="inlineStr">
        <is>
          <t>Body Care Sets</t>
        </is>
      </c>
      <c r="D11359" t="inlineStr">
        <is>
          <t>Accentra</t>
        </is>
      </c>
      <c r="E11359" t="n">
        <v>32.12</v>
      </c>
      <c r="F11359" t="n">
        <v>1</v>
      </c>
      <c r="G11359" t="n">
        <v>7</v>
      </c>
      <c r="H11359" s="5">
        <f>HYPERLINK("https://api.qogita.com/variants/link/4015953682285/", "View Product")</f>
        <v/>
      </c>
    </row>
    <row r="11360">
      <c r="A11360" t="inlineStr">
        <is>
          <t>4015953709562</t>
        </is>
      </c>
      <c r="B11360" t="inlineStr">
        <is>
          <t>Accentra Men's Collection Gift Set in Tin Bucket with Body Wash, Shampoo, Soap, Sponge - Birch &amp; Cedar Scent Brown</t>
        </is>
      </c>
      <c r="C11360" t="inlineStr">
        <is>
          <t>Body Care Sets</t>
        </is>
      </c>
      <c r="D11360" t="inlineStr">
        <is>
          <t>Accentra</t>
        </is>
      </c>
      <c r="E11360" t="n">
        <v>15.91</v>
      </c>
      <c r="F11360" t="n">
        <v>1</v>
      </c>
      <c r="G11360" t="n">
        <v>10</v>
      </c>
      <c r="H11360" s="5">
        <f>HYPERLINK("https://api.qogita.com/variants/link/4015953709562/", "View Product")</f>
        <v/>
      </c>
    </row>
    <row r="11361">
      <c r="A11361" t="inlineStr">
        <is>
          <t>4015953711213</t>
        </is>
      </c>
      <c r="B11361" t="inlineStr">
        <is>
          <t>Accentra Bath &amp; Body Toolkit Gift Set for Men with Thermos Bottle</t>
        </is>
      </c>
      <c r="C11361" t="inlineStr">
        <is>
          <t>Toiletries Bags</t>
        </is>
      </c>
      <c r="D11361" t="inlineStr">
        <is>
          <t>Accentra</t>
        </is>
      </c>
      <c r="E11361" t="n">
        <v>15.21</v>
      </c>
      <c r="F11361" t="n">
        <v>1</v>
      </c>
      <c r="G11361" t="n">
        <v>4</v>
      </c>
      <c r="H11361" s="5">
        <f>HYPERLINK("https://api.qogita.com/variants/link/4015953711213/", "View Product")</f>
        <v/>
      </c>
    </row>
    <row r="11362">
      <c r="A11362" t="inlineStr">
        <is>
          <t>4015953711268</t>
        </is>
      </c>
      <c r="B11362" t="inlineStr">
        <is>
          <t>Accentra Bath + Body Toolkit Men's Gift Set</t>
        </is>
      </c>
      <c r="C11362" t="inlineStr">
        <is>
          <t>Body Care Sets</t>
        </is>
      </c>
      <c r="D11362" t="inlineStr">
        <is>
          <t>Accentra</t>
        </is>
      </c>
      <c r="E11362" t="n">
        <v>10.7</v>
      </c>
      <c r="F11362" t="n">
        <v>1</v>
      </c>
      <c r="G11362" t="n">
        <v>5</v>
      </c>
      <c r="H11362" s="5">
        <f>HYPERLINK("https://api.qogita.com/variants/link/4015953711268/", "View Product")</f>
        <v/>
      </c>
    </row>
    <row r="11363">
      <c r="A11363" t="inlineStr">
        <is>
          <t>4015953718908</t>
        </is>
      </c>
      <c r="B11363" t="inlineStr">
        <is>
          <t>Accentra Men's Collection Winter Edition Hand Care Gift Set With Opener</t>
        </is>
      </c>
      <c r="C11363" t="inlineStr">
        <is>
          <t>Hand Care Sets</t>
        </is>
      </c>
      <c r="D11363" t="inlineStr">
        <is>
          <t>Accentra</t>
        </is>
      </c>
      <c r="E11363" t="n">
        <v>7.06</v>
      </c>
      <c r="F11363" t="n">
        <v>1</v>
      </c>
      <c r="G11363" t="n">
        <v>13</v>
      </c>
      <c r="H11363" s="5">
        <f>HYPERLINK("https://api.qogita.com/variants/link/4015953718908/", "View Product")</f>
        <v/>
      </c>
    </row>
    <row r="11364">
      <c r="A11364" t="inlineStr">
        <is>
          <t>4015953719226</t>
        </is>
      </c>
      <c r="B11364" t="inlineStr">
        <is>
          <t>Accentra Frosted Vanilla Snowflakes &amp; Stars Bath Fizzer</t>
        </is>
      </c>
      <c r="C11364" t="inlineStr">
        <is>
          <t>Toiletries Bags</t>
        </is>
      </c>
      <c r="D11364" t="inlineStr">
        <is>
          <t>Accentra</t>
        </is>
      </c>
      <c r="E11364" t="n">
        <v>4.24</v>
      </c>
      <c r="F11364" t="n">
        <v>1</v>
      </c>
      <c r="G11364" t="n">
        <v>7</v>
      </c>
      <c r="H11364" s="5">
        <f>HYPERLINK("https://api.qogita.com/variants/link/4015953719226/", "View Product")</f>
        <v/>
      </c>
    </row>
    <row r="11365">
      <c r="A11365" t="inlineStr">
        <is>
          <t>4019674027196</t>
        </is>
      </c>
      <c r="B11365" t="inlineStr">
        <is>
          <t>ARTDECO Eye Designer Refill Pearly Beige Rosé Powder Eyeshadow Cartridge for Eye Designer Applicator 0.8g</t>
        </is>
      </c>
      <c r="C11365" t="inlineStr">
        <is>
          <t>Eyeshadow</t>
        </is>
      </c>
      <c r="D11365" t="inlineStr">
        <is>
          <t>Artdeco</t>
        </is>
      </c>
      <c r="E11365" t="n">
        <v>5.73</v>
      </c>
      <c r="F11365" t="n">
        <v>1</v>
      </c>
      <c r="G11365" t="n">
        <v>2</v>
      </c>
      <c r="H11365" s="5">
        <f>HYPERLINK("https://api.qogita.com/variants/link/4019674027196/", "View Product")</f>
        <v/>
      </c>
    </row>
    <row r="11366">
      <c r="A11366" t="inlineStr">
        <is>
          <t>4019674028025</t>
        </is>
      </c>
      <c r="B11366" t="inlineStr">
        <is>
          <t>Artdeco Eye Brow Pencil - Shade 02, 1.1g</t>
        </is>
      </c>
      <c r="C11366" t="inlineStr">
        <is>
          <t>Eyebrow Pencil</t>
        </is>
      </c>
      <c r="D11366" t="inlineStr">
        <is>
          <t>Artdeco</t>
        </is>
      </c>
      <c r="E11366" t="n">
        <v>4.4</v>
      </c>
      <c r="F11366" t="n">
        <v>1</v>
      </c>
      <c r="G11366" t="n">
        <v>3</v>
      </c>
      <c r="H11366" s="5">
        <f>HYPERLINK("https://api.qogita.com/variants/link/4019674028025/", "View Product")</f>
        <v/>
      </c>
    </row>
    <row r="11367">
      <c r="A11367" t="inlineStr">
        <is>
          <t>4019674029107</t>
        </is>
      </c>
      <c r="B11367" t="inlineStr">
        <is>
          <t>Artdeco Eyeshadow Base - 5ml</t>
        </is>
      </c>
      <c r="C11367" t="inlineStr">
        <is>
          <t>Eyeshadow Primer</t>
        </is>
      </c>
      <c r="D11367" t="inlineStr">
        <is>
          <t>Artdeco</t>
        </is>
      </c>
      <c r="E11367" t="n">
        <v>3.52</v>
      </c>
      <c r="F11367" t="n">
        <v>1</v>
      </c>
      <c r="G11367" t="n">
        <v>49</v>
      </c>
      <c r="H11367" s="5">
        <f>HYPERLINK("https://api.qogita.com/variants/link/4019674029107/", "View Product")</f>
        <v/>
      </c>
    </row>
    <row r="11368">
      <c r="A11368" t="inlineStr">
        <is>
          <t>4019674030271</t>
        </is>
      </c>
      <c r="B11368" t="inlineStr">
        <is>
          <t>Artdeco Eyeshadow Pearl Magnetic Eyeshadow Shade No. 27 - 0.8g</t>
        </is>
      </c>
      <c r="C11368" t="inlineStr">
        <is>
          <t>Eyeshadow</t>
        </is>
      </c>
      <c r="D11368" t="inlineStr">
        <is>
          <t>Artdeco</t>
        </is>
      </c>
      <c r="E11368" t="n">
        <v>4.4</v>
      </c>
      <c r="F11368" t="n">
        <v>1</v>
      </c>
      <c r="G11368" t="n">
        <v>26</v>
      </c>
      <c r="H11368" s="5">
        <f>HYPERLINK("https://api.qogita.com/variants/link/4019674030271/", "View Product")</f>
        <v/>
      </c>
    </row>
    <row r="11369">
      <c r="A11369" t="inlineStr">
        <is>
          <t>4019674030295</t>
        </is>
      </c>
      <c r="B11369" t="inlineStr">
        <is>
          <t>Artdeco Eyeshadow Pearl Magnetic Eyeshadow Shade No. 29 0.8g</t>
        </is>
      </c>
      <c r="C11369" t="inlineStr">
        <is>
          <t>Eyeshadow</t>
        </is>
      </c>
      <c r="D11369" t="inlineStr">
        <is>
          <t>Artdeco</t>
        </is>
      </c>
      <c r="E11369" t="n">
        <v>4.4</v>
      </c>
      <c r="F11369" t="n">
        <v>1</v>
      </c>
      <c r="G11369" t="n">
        <v>26</v>
      </c>
      <c r="H11369" s="5">
        <f>HYPERLINK("https://api.qogita.com/variants/link/4019674030295/", "View Product")</f>
        <v/>
      </c>
    </row>
    <row r="11370">
      <c r="A11370" t="inlineStr">
        <is>
          <t>4019674030820</t>
        </is>
      </c>
      <c r="B11370" t="inlineStr">
        <is>
          <t>Artdeco Eyeshadow Pearl Magnetic Shade No. 82 - 0.8g</t>
        </is>
      </c>
      <c r="C11370" t="inlineStr">
        <is>
          <t>Eyeshadow</t>
        </is>
      </c>
      <c r="D11370" t="inlineStr">
        <is>
          <t>Artdeco</t>
        </is>
      </c>
      <c r="E11370" t="n">
        <v>5.09</v>
      </c>
      <c r="F11370" t="n">
        <v>1</v>
      </c>
      <c r="G11370" t="n">
        <v>23</v>
      </c>
      <c r="H11370" s="5">
        <f>HYPERLINK("https://api.qogita.com/variants/link/4019674030820/", "View Product")</f>
        <v/>
      </c>
    </row>
    <row r="11371">
      <c r="A11371" t="inlineStr">
        <is>
          <t>4019674030875</t>
        </is>
      </c>
      <c r="B11371" t="inlineStr">
        <is>
          <t>Artdeco Eyeshadow Pearl 87 Pearly Purple 8 Grams</t>
        </is>
      </c>
      <c r="C11371" t="inlineStr">
        <is>
          <t>Eyeshadow</t>
        </is>
      </c>
      <c r="D11371" t="inlineStr">
        <is>
          <t>Artdeco</t>
        </is>
      </c>
      <c r="E11371" t="n">
        <v>4.4</v>
      </c>
      <c r="F11371" t="n">
        <v>1</v>
      </c>
      <c r="G11371" t="n">
        <v>25</v>
      </c>
      <c r="H11371" s="5">
        <f>HYPERLINK("https://api.qogita.com/variants/link/4019674030875/", "View Product")</f>
        <v/>
      </c>
    </row>
    <row r="11372">
      <c r="A11372" t="inlineStr">
        <is>
          <t>4019674030998</t>
        </is>
      </c>
      <c r="B11372" t="inlineStr">
        <is>
          <t>Artdeco Eyeshadow Pearl 99 Pearly Antique Rose 8 Grams</t>
        </is>
      </c>
      <c r="C11372" t="inlineStr">
        <is>
          <t>Eyeshadow</t>
        </is>
      </c>
      <c r="D11372" t="inlineStr">
        <is>
          <t>Artdeco</t>
        </is>
      </c>
      <c r="E11372" t="n">
        <v>4.43</v>
      </c>
      <c r="F11372" t="n">
        <v>1</v>
      </c>
      <c r="G11372" t="n">
        <v>23</v>
      </c>
      <c r="H11372" s="5">
        <f>HYPERLINK("https://api.qogita.com/variants/link/4019674030998/", "View Product")</f>
        <v/>
      </c>
    </row>
    <row r="11373">
      <c r="A11373" t="inlineStr">
        <is>
          <t>4019674032114</t>
        </is>
      </c>
      <c r="B11373" t="inlineStr">
        <is>
          <t>Artdeco Eyeshadow Duochrom 08 G 211 Elegant Beige Powdery Eyeshadow</t>
        </is>
      </c>
      <c r="C11373" t="inlineStr">
        <is>
          <t>Eyeshadow</t>
        </is>
      </c>
      <c r="D11373" t="inlineStr">
        <is>
          <t>Artdeco</t>
        </is>
      </c>
      <c r="E11373" t="n">
        <v>4.46</v>
      </c>
      <c r="F11373" t="n">
        <v>1</v>
      </c>
      <c r="G11373" t="n">
        <v>5</v>
      </c>
      <c r="H11373" s="5">
        <f>HYPERLINK("https://api.qogita.com/variants/link/4019674032114/", "View Product")</f>
        <v/>
      </c>
    </row>
    <row r="11374">
      <c r="A11374" t="inlineStr">
        <is>
          <t>4019674032183</t>
        </is>
      </c>
      <c r="B11374" t="inlineStr">
        <is>
          <t>Artdeco Powdery Eyeshadow Eyeshadow Duochrom 08 G</t>
        </is>
      </c>
      <c r="C11374" t="inlineStr">
        <is>
          <t>Eyeshadow</t>
        </is>
      </c>
      <c r="D11374" t="inlineStr">
        <is>
          <t>Artdeco</t>
        </is>
      </c>
      <c r="E11374" t="n">
        <v>4.46</v>
      </c>
      <c r="F11374" t="n">
        <v>1</v>
      </c>
      <c r="G11374" t="n">
        <v>5</v>
      </c>
      <c r="H11374" s="5">
        <f>HYPERLINK("https://api.qogita.com/variants/link/4019674032183/", "View Product")</f>
        <v/>
      </c>
    </row>
    <row r="11375">
      <c r="A11375" t="inlineStr">
        <is>
          <t>4019674041031</t>
        </is>
      </c>
      <c r="B11375" t="inlineStr">
        <is>
          <t>Artdeco High Definition Compact Powder 10 G Soft Cream</t>
        </is>
      </c>
      <c r="C11375" t="inlineStr">
        <is>
          <t>Powder</t>
        </is>
      </c>
      <c r="D11375" t="inlineStr">
        <is>
          <t>Artdeco</t>
        </is>
      </c>
      <c r="E11375" t="n">
        <v>18.13</v>
      </c>
      <c r="F11375" t="n">
        <v>1</v>
      </c>
      <c r="G11375" t="n">
        <v>3</v>
      </c>
      <c r="H11375" s="5">
        <f>HYPERLINK("https://api.qogita.com/variants/link/4019674041031/", "View Product")</f>
        <v/>
      </c>
    </row>
    <row r="11376">
      <c r="A11376" t="inlineStr">
        <is>
          <t>4019674049235</t>
        </is>
      </c>
      <c r="B11376" t="inlineStr">
        <is>
          <t>Artdeco Camouflage Cream 03 Iced Coffee 45 G</t>
        </is>
      </c>
      <c r="C11376" t="inlineStr">
        <is>
          <t>Camouflage Makeup</t>
        </is>
      </c>
      <c r="D11376" t="inlineStr">
        <is>
          <t>Artdeco</t>
        </is>
      </c>
      <c r="E11376" t="n">
        <v>3.54</v>
      </c>
      <c r="F11376" t="n">
        <v>1</v>
      </c>
      <c r="G11376" t="n">
        <v>5</v>
      </c>
      <c r="H11376" s="5">
        <f>HYPERLINK("https://api.qogita.com/variants/link/4019674049235/", "View Product")</f>
        <v/>
      </c>
    </row>
    <row r="11377">
      <c r="A11377" t="inlineStr">
        <is>
          <t>4019674049327</t>
        </is>
      </c>
      <c r="B11377" t="inlineStr">
        <is>
          <t>Artdeco Fixing Powder 25ml</t>
        </is>
      </c>
      <c r="C11377" t="inlineStr">
        <is>
          <t>Powder</t>
        </is>
      </c>
      <c r="D11377" t="inlineStr">
        <is>
          <t>Artdeco</t>
        </is>
      </c>
      <c r="E11377" t="n">
        <v>9.51</v>
      </c>
      <c r="F11377" t="n">
        <v>1</v>
      </c>
      <c r="G11377" t="n">
        <v>2</v>
      </c>
      <c r="H11377" s="5">
        <f>HYPERLINK("https://api.qogita.com/variants/link/4019674049327/", "View Product")</f>
        <v/>
      </c>
    </row>
    <row r="11378">
      <c r="A11378" t="inlineStr">
        <is>
          <t>4019674049556</t>
        </is>
      </c>
      <c r="B11378" t="inlineStr">
        <is>
          <t>Artdeco Perfect Stick High Coverage Concealer with Tea Tree Oil for All Skin Types</t>
        </is>
      </c>
      <c r="C11378" t="inlineStr">
        <is>
          <t>Concealer</t>
        </is>
      </c>
      <c r="D11378" t="inlineStr">
        <is>
          <t>Artdeco</t>
        </is>
      </c>
      <c r="E11378" t="n">
        <v>8.130000000000001</v>
      </c>
      <c r="F11378" t="n">
        <v>1</v>
      </c>
      <c r="G11378" t="n">
        <v>16</v>
      </c>
      <c r="H11378" s="5">
        <f>HYPERLINK("https://api.qogita.com/variants/link/4019674049556/", "View Product")</f>
        <v/>
      </c>
    </row>
    <row r="11379">
      <c r="A11379" t="inlineStr">
        <is>
          <t>4019674049563</t>
        </is>
      </c>
      <c r="B11379" t="inlineStr">
        <is>
          <t>Artdeco Perfect Stick Concealer In Stick 06 4g</t>
        </is>
      </c>
      <c r="C11379" t="inlineStr">
        <is>
          <t>Concealer</t>
        </is>
      </c>
      <c r="D11379" t="inlineStr">
        <is>
          <t>Artdeco</t>
        </is>
      </c>
      <c r="E11379" t="n">
        <v>6.67</v>
      </c>
      <c r="F11379" t="n">
        <v>1</v>
      </c>
      <c r="G11379" t="n">
        <v>5</v>
      </c>
      <c r="H11379" s="5">
        <f>HYPERLINK("https://api.qogita.com/variants/link/4019674049563/", "View Product")</f>
        <v/>
      </c>
    </row>
    <row r="11380">
      <c r="A11380" t="inlineStr">
        <is>
          <t>4019674049730</t>
        </is>
      </c>
      <c r="B11380" t="inlineStr">
        <is>
          <t>Artdeco Perfect Teint Concealer 03 Peach 2ml</t>
        </is>
      </c>
      <c r="C11380" t="inlineStr">
        <is>
          <t>Concealer</t>
        </is>
      </c>
      <c r="D11380" t="inlineStr">
        <is>
          <t>Artdeco</t>
        </is>
      </c>
      <c r="E11380" t="n">
        <v>8.130000000000001</v>
      </c>
      <c r="F11380" t="n">
        <v>1</v>
      </c>
      <c r="G11380" t="n">
        <v>15</v>
      </c>
      <c r="H11380" s="5">
        <f>HYPERLINK("https://api.qogita.com/variants/link/4019674049730/", "View Product")</f>
        <v/>
      </c>
    </row>
    <row r="11381">
      <c r="A11381" t="inlineStr">
        <is>
          <t>4019674049754</t>
        </is>
      </c>
      <c r="B11381" t="inlineStr">
        <is>
          <t>Artdeco Perfect Teint Concealer Brush 05 2ml</t>
        </is>
      </c>
      <c r="C11381" t="inlineStr">
        <is>
          <t>Concealer Brushes</t>
        </is>
      </c>
      <c r="D11381" t="inlineStr">
        <is>
          <t>Artdeco</t>
        </is>
      </c>
      <c r="E11381" t="n">
        <v>8.130000000000001</v>
      </c>
      <c r="F11381" t="n">
        <v>1</v>
      </c>
      <c r="G11381" t="n">
        <v>4</v>
      </c>
      <c r="H11381" s="5">
        <f>HYPERLINK("https://api.qogita.com/variants/link/4019674049754/", "View Product")</f>
        <v/>
      </c>
    </row>
    <row r="11382">
      <c r="A11382" t="inlineStr">
        <is>
          <t>4019674049761</t>
        </is>
      </c>
      <c r="B11382" t="inlineStr">
        <is>
          <t>Artdeco Perfect Teint Concealer 2 Ml Brightening Corrector</t>
        </is>
      </c>
      <c r="C11382" t="inlineStr">
        <is>
          <t>Concealer</t>
        </is>
      </c>
      <c r="D11382" t="inlineStr">
        <is>
          <t>Artdeco</t>
        </is>
      </c>
      <c r="E11382" t="n">
        <v>7.41</v>
      </c>
      <c r="F11382" t="n">
        <v>1</v>
      </c>
      <c r="G11382" t="n">
        <v>2</v>
      </c>
      <c r="H11382" s="5">
        <f>HYPERLINK("https://api.qogita.com/variants/link/4019674049761/", "View Product")</f>
        <v/>
      </c>
    </row>
    <row r="11383">
      <c r="A11383" t="inlineStr">
        <is>
          <t>4019674051207</t>
        </is>
      </c>
      <c r="B11383" t="inlineStr">
        <is>
          <t>Artdeco Large Magnetic Box With A Mirror Beauty Box Magnum</t>
        </is>
      </c>
      <c r="C11383" t="inlineStr">
        <is>
          <t>Makeup Bags</t>
        </is>
      </c>
      <c r="D11383" t="inlineStr">
        <is>
          <t>Artdeco</t>
        </is>
      </c>
      <c r="E11383" t="n">
        <v>11.13</v>
      </c>
      <c r="F11383" t="n">
        <v>1</v>
      </c>
      <c r="G11383" t="n">
        <v>3</v>
      </c>
      <c r="H11383" s="5">
        <f>HYPERLINK("https://api.qogita.com/variants/link/4019674051207/", "View Product")</f>
        <v/>
      </c>
    </row>
    <row r="11384">
      <c r="A11384" t="inlineStr">
        <is>
          <t>4019674202012</t>
        </is>
      </c>
      <c r="B11384" t="inlineStr">
        <is>
          <t>Artdeco All In One Mascara - 01 Black, 10ml</t>
        </is>
      </c>
      <c r="C11384" t="inlineStr">
        <is>
          <t>Mascara</t>
        </is>
      </c>
      <c r="D11384" t="inlineStr">
        <is>
          <t>Artdeco</t>
        </is>
      </c>
      <c r="E11384" t="n">
        <v>7.06</v>
      </c>
      <c r="F11384" t="n">
        <v>1</v>
      </c>
      <c r="G11384" t="n">
        <v>14</v>
      </c>
      <c r="H11384" s="5">
        <f>HYPERLINK("https://api.qogita.com/variants/link/4019674202012/", "View Product")</f>
        <v/>
      </c>
    </row>
    <row r="11385">
      <c r="A11385" t="inlineStr">
        <is>
          <t>4019674210710</t>
        </is>
      </c>
      <c r="B11385" t="inlineStr">
        <is>
          <t>Artdeco Perfect Volume Mascara Waterproof 01 Black</t>
        </is>
      </c>
      <c r="C11385" t="inlineStr">
        <is>
          <t>Mascara</t>
        </is>
      </c>
      <c r="D11385" t="inlineStr">
        <is>
          <t>Artdeco</t>
        </is>
      </c>
      <c r="E11385" t="n">
        <v>6.9</v>
      </c>
      <c r="F11385" t="n">
        <v>1</v>
      </c>
      <c r="G11385" t="n">
        <v>21</v>
      </c>
      <c r="H11385" s="5">
        <f>HYPERLINK("https://api.qogita.com/variants/link/4019674210710/", "View Product")</f>
        <v/>
      </c>
    </row>
    <row r="11386">
      <c r="A11386" t="inlineStr">
        <is>
          <t>4019674221150</t>
        </is>
      </c>
      <c r="B11386" t="inlineStr">
        <is>
          <t>ARTDECO Soft Waterproof Eyeliner Creamy Pencil 1.2g 15 Dark Hazelnut</t>
        </is>
      </c>
      <c r="C11386" t="inlineStr">
        <is>
          <t>Eye Pencil</t>
        </is>
      </c>
      <c r="D11386" t="inlineStr">
        <is>
          <t>Artdeco</t>
        </is>
      </c>
      <c r="E11386" t="n">
        <v>3.63</v>
      </c>
      <c r="F11386" t="n">
        <v>1</v>
      </c>
      <c r="G11386" t="n">
        <v>5</v>
      </c>
      <c r="H11386" s="5">
        <f>HYPERLINK("https://api.qogita.com/variants/link/4019674221150/", "View Product")</f>
        <v/>
      </c>
    </row>
    <row r="11387">
      <c r="A11387" t="inlineStr">
        <is>
          <t>4019674330234</t>
        </is>
      </c>
      <c r="B11387" t="inlineStr">
        <is>
          <t>Artdeco Blusher 23 Deep Pink Blush 5 Grams</t>
        </is>
      </c>
      <c r="C11387" t="inlineStr">
        <is>
          <t>Blush</t>
        </is>
      </c>
      <c r="D11387" t="inlineStr">
        <is>
          <t>Artdeco</t>
        </is>
      </c>
      <c r="E11387" t="n">
        <v>5.64</v>
      </c>
      <c r="F11387" t="n">
        <v>1</v>
      </c>
      <c r="G11387" t="n">
        <v>3</v>
      </c>
      <c r="H11387" s="5">
        <f>HYPERLINK("https://api.qogita.com/variants/link/4019674330234/", "View Product")</f>
        <v/>
      </c>
    </row>
    <row r="11388">
      <c r="A11388" t="inlineStr">
        <is>
          <t>4019674485101</t>
        </is>
      </c>
      <c r="B11388" t="inlineStr">
        <is>
          <t>Artdeco Rich Treatment Foundation Illuminating 10 - 20ml</t>
        </is>
      </c>
      <c r="C11388" t="inlineStr">
        <is>
          <t>Foundation</t>
        </is>
      </c>
      <c r="D11388" t="inlineStr">
        <is>
          <t>Artdeco</t>
        </is>
      </c>
      <c r="E11388" t="n">
        <v>8.68</v>
      </c>
      <c r="F11388" t="n">
        <v>1</v>
      </c>
      <c r="G11388" t="n">
        <v>9</v>
      </c>
      <c r="H11388" s="5">
        <f>HYPERLINK("https://api.qogita.com/variants/link/4019674485101/", "View Product")</f>
        <v/>
      </c>
    </row>
    <row r="11389">
      <c r="A11389" t="inlineStr">
        <is>
          <t>4019674485156</t>
        </is>
      </c>
      <c r="B11389" t="inlineStr">
        <is>
          <t>Artdeco Rich Treatment Foundation 15 Cashmere Rose 20ml</t>
        </is>
      </c>
      <c r="C11389" t="inlineStr">
        <is>
          <t>Foundation</t>
        </is>
      </c>
      <c r="D11389" t="inlineStr">
        <is>
          <t>Artdeco</t>
        </is>
      </c>
      <c r="E11389" t="n">
        <v>10.3</v>
      </c>
      <c r="F11389" t="n">
        <v>1</v>
      </c>
      <c r="G11389" t="n">
        <v>13</v>
      </c>
      <c r="H11389" s="5">
        <f>HYPERLINK("https://api.qogita.com/variants/link/4019674485156/", "View Product")</f>
        <v/>
      </c>
    </row>
    <row r="11390">
      <c r="A11390" t="inlineStr">
        <is>
          <t>4019674611920</t>
        </is>
      </c>
      <c r="B11390" t="inlineStr">
        <is>
          <t>ARTDECO Special File for Dry Nails Nail File</t>
        </is>
      </c>
      <c r="C11390" t="inlineStr">
        <is>
          <t>Nail Clippers &amp; Tools</t>
        </is>
      </c>
      <c r="D11390" t="inlineStr">
        <is>
          <t>Artdeco</t>
        </is>
      </c>
      <c r="E11390" t="n">
        <v>4.43</v>
      </c>
      <c r="F11390" t="n">
        <v>1</v>
      </c>
      <c r="G11390" t="n">
        <v>9</v>
      </c>
      <c r="H11390" s="5">
        <f>HYPERLINK("https://api.qogita.com/variants/link/4019674611920/", "View Product")</f>
        <v/>
      </c>
    </row>
    <row r="11391">
      <c r="A11391" t="inlineStr">
        <is>
          <t>4020829006164</t>
        </is>
      </c>
      <c r="B11391" t="inlineStr">
        <is>
          <t>Dr. Hauschka Leg Tonic Unisex Vitalizing Care 227g</t>
        </is>
      </c>
      <c r="C11391" t="inlineStr">
        <is>
          <t>Body Lotion</t>
        </is>
      </c>
      <c r="D11391" t="inlineStr">
        <is>
          <t>Dr. Hauschka</t>
        </is>
      </c>
      <c r="E11391" t="n">
        <v>17.24</v>
      </c>
      <c r="F11391" t="n">
        <v>1</v>
      </c>
      <c r="G11391" t="n">
        <v>10</v>
      </c>
      <c r="H11391" s="5">
        <f>HYPERLINK("https://api.qogita.com/variants/link/4020829006164/", "View Product")</f>
        <v/>
      </c>
    </row>
    <row r="11392">
      <c r="A11392" t="inlineStr">
        <is>
          <t>4020829006423</t>
        </is>
      </c>
      <c r="B11392" t="inlineStr">
        <is>
          <t>Dr. Hauschka Eye Balm 10ml</t>
        </is>
      </c>
      <c r="C11392" t="inlineStr">
        <is>
          <t>Medicated Treatments</t>
        </is>
      </c>
      <c r="D11392" t="inlineStr">
        <is>
          <t>Dr. Hauschka</t>
        </is>
      </c>
      <c r="E11392" t="n">
        <v>21.71</v>
      </c>
      <c r="F11392" t="n">
        <v>1</v>
      </c>
      <c r="G11392" t="n">
        <v>7</v>
      </c>
      <c r="H11392" s="5">
        <f>HYPERLINK("https://api.qogita.com/variants/link/4020829006423/", "View Product")</f>
        <v/>
      </c>
    </row>
    <row r="11393">
      <c r="A11393" t="inlineStr">
        <is>
          <t>4020829007161</t>
        </is>
      </c>
      <c r="B11393" t="inlineStr">
        <is>
          <t>Dr. Hauschka Revitalizing Mask 30ml</t>
        </is>
      </c>
      <c r="C11393" t="inlineStr">
        <is>
          <t>Hydrating Mask</t>
        </is>
      </c>
      <c r="D11393" t="inlineStr">
        <is>
          <t>Dr. Hauschka</t>
        </is>
      </c>
      <c r="E11393" t="n">
        <v>26.51</v>
      </c>
      <c r="F11393" t="n">
        <v>1</v>
      </c>
      <c r="G11393" t="n">
        <v>9</v>
      </c>
      <c r="H11393" s="5">
        <f>HYPERLINK("https://api.qogita.com/variants/link/4020829007161/", "View Product")</f>
        <v/>
      </c>
    </row>
    <row r="11394">
      <c r="A11394" t="inlineStr">
        <is>
          <t>4020829007314</t>
        </is>
      </c>
      <c r="B11394" t="inlineStr">
        <is>
          <t>Dr. Hauschka Soothing Mask 30ml for Sensitive Skin</t>
        </is>
      </c>
      <c r="C11394" t="inlineStr">
        <is>
          <t>Hydrating Mask</t>
        </is>
      </c>
      <c r="D11394" t="inlineStr">
        <is>
          <t>Dr Hauschka</t>
        </is>
      </c>
      <c r="E11394" t="n">
        <v>24.68</v>
      </c>
      <c r="F11394" t="n">
        <v>1</v>
      </c>
      <c r="G11394" t="n">
        <v>2</v>
      </c>
      <c r="H11394" s="5">
        <f>HYPERLINK("https://api.qogita.com/variants/link/4020829007314/", "View Product")</f>
        <v/>
      </c>
    </row>
    <row r="11395">
      <c r="A11395" t="inlineStr">
        <is>
          <t>4020829025363</t>
        </is>
      </c>
      <c r="B11395" t="inlineStr">
        <is>
          <t>Dr. Hauschka Sage Mint Deodorant 50ml</t>
        </is>
      </c>
      <c r="C11395" t="inlineStr">
        <is>
          <t>Deodorant &amp; Anti-Perspirant</t>
        </is>
      </c>
      <c r="D11395" t="inlineStr">
        <is>
          <t>Dr. Hauschka</t>
        </is>
      </c>
      <c r="E11395" t="n">
        <v>11.32</v>
      </c>
      <c r="F11395" t="n">
        <v>1</v>
      </c>
      <c r="G11395" t="n">
        <v>16</v>
      </c>
      <c r="H11395" s="5">
        <f>HYPERLINK("https://api.qogita.com/variants/link/4020829025363/", "View Product")</f>
        <v/>
      </c>
    </row>
    <row r="11396">
      <c r="A11396" t="inlineStr">
        <is>
          <t>4020829041318</t>
        </is>
      </c>
      <c r="B11396" t="inlineStr">
        <is>
          <t>Dr. Hauschka Hydrating Cream Mask</t>
        </is>
      </c>
      <c r="C11396" t="inlineStr">
        <is>
          <t>Hydrating Mask</t>
        </is>
      </c>
      <c r="D11396" t="inlineStr">
        <is>
          <t>Dr Hauschka</t>
        </is>
      </c>
      <c r="E11396" t="n">
        <v>31.51</v>
      </c>
      <c r="F11396" t="n">
        <v>1</v>
      </c>
      <c r="G11396" t="n">
        <v>10</v>
      </c>
      <c r="H11396" s="5">
        <f>HYPERLINK("https://api.qogita.com/variants/link/4020829041318/", "View Product")</f>
        <v/>
      </c>
    </row>
    <row r="11397">
      <c r="A11397" t="inlineStr">
        <is>
          <t>4020829071414</t>
        </is>
      </c>
      <c r="B11397" t="inlineStr">
        <is>
          <t>Dr. Hauschka Regulating Face Oil For Day - 18ml</t>
        </is>
      </c>
      <c r="C11397" t="inlineStr">
        <is>
          <t>Facial Oil</t>
        </is>
      </c>
      <c r="D11397" t="inlineStr">
        <is>
          <t>Dr. Hauschka</t>
        </is>
      </c>
      <c r="E11397" t="n">
        <v>15.71</v>
      </c>
      <c r="F11397" t="n">
        <v>1</v>
      </c>
      <c r="G11397" t="n">
        <v>3</v>
      </c>
      <c r="H11397" s="5">
        <f>HYPERLINK("https://api.qogita.com/variants/link/4020829071414/", "View Product")</f>
        <v/>
      </c>
    </row>
    <row r="11398">
      <c r="A11398" t="inlineStr">
        <is>
          <t>4020829080614</t>
        </is>
      </c>
      <c r="B11398" t="inlineStr">
        <is>
          <t>Dr. Hauschka Balancing Day Lotion - 50ml</t>
        </is>
      </c>
      <c r="C11398" t="inlineStr">
        <is>
          <t>Day Cream</t>
        </is>
      </c>
      <c r="D11398" t="inlineStr">
        <is>
          <t>Dr. Hauschka</t>
        </is>
      </c>
      <c r="E11398" t="n">
        <v>22.02</v>
      </c>
      <c r="F11398" t="n">
        <v>1</v>
      </c>
      <c r="G11398" t="n">
        <v>8</v>
      </c>
      <c r="H11398" s="5">
        <f>HYPERLINK("https://api.qogita.com/variants/link/4020829080614/", "View Product")</f>
        <v/>
      </c>
    </row>
    <row r="11399">
      <c r="A11399" t="inlineStr">
        <is>
          <t>4020829095014</t>
        </is>
      </c>
      <c r="B11399" t="inlineStr">
        <is>
          <t>Dr. Hauschka Coverstick Natural</t>
        </is>
      </c>
      <c r="C11399" t="inlineStr">
        <is>
          <t>Concealer</t>
        </is>
      </c>
      <c r="D11399" t="inlineStr">
        <is>
          <t>Dr. Hauschka</t>
        </is>
      </c>
      <c r="E11399" t="n">
        <v>11.86</v>
      </c>
      <c r="F11399" t="n">
        <v>1</v>
      </c>
      <c r="G11399" t="n">
        <v>3</v>
      </c>
      <c r="H11399" s="5">
        <f>HYPERLINK("https://api.qogita.com/variants/link/4020829095014/", "View Product")</f>
        <v/>
      </c>
    </row>
    <row r="11400">
      <c r="A11400" t="inlineStr">
        <is>
          <t>4020829098565</t>
        </is>
      </c>
      <c r="B11400" t="inlineStr">
        <is>
          <t>Dr Hauschka Blush 01 Raspberry 5 G</t>
        </is>
      </c>
      <c r="C11400" t="inlineStr">
        <is>
          <t>Blush</t>
        </is>
      </c>
      <c r="D11400" t="inlineStr">
        <is>
          <t>Dr Hauschka</t>
        </is>
      </c>
      <c r="E11400" t="n">
        <v>16.75</v>
      </c>
      <c r="F11400" t="n">
        <v>1</v>
      </c>
      <c r="G11400" t="n">
        <v>30</v>
      </c>
      <c r="H11400" s="5">
        <f>HYPERLINK("https://api.qogita.com/variants/link/4020829098565/", "View Product")</f>
        <v/>
      </c>
    </row>
    <row r="11401">
      <c r="A11401" t="inlineStr">
        <is>
          <t>4020829098695</t>
        </is>
      </c>
      <c r="B11401" t="inlineStr">
        <is>
          <t>Dr Hauschka Concealer 01 Macadamia Brightening Concealer 25 Ml</t>
        </is>
      </c>
      <c r="C11401" t="inlineStr">
        <is>
          <t>Concealer</t>
        </is>
      </c>
      <c r="D11401" t="inlineStr">
        <is>
          <t>Dr Hauschka</t>
        </is>
      </c>
      <c r="E11401" t="n">
        <v>14.16</v>
      </c>
      <c r="F11401" t="n">
        <v>1</v>
      </c>
      <c r="G11401" t="n">
        <v>5</v>
      </c>
      <c r="H11401" s="5">
        <f>HYPERLINK("https://api.qogita.com/variants/link/4020829098695/", "View Product")</f>
        <v/>
      </c>
    </row>
    <row r="11402">
      <c r="A11402" t="inlineStr">
        <is>
          <t>4020829098701</t>
        </is>
      </c>
      <c r="B11402" t="inlineStr">
        <is>
          <t>Dr Hauschka Concealer 02 Chestnut Brightening Concealer 25 Ml</t>
        </is>
      </c>
      <c r="C11402" t="inlineStr">
        <is>
          <t>Concealer</t>
        </is>
      </c>
      <c r="D11402" t="inlineStr">
        <is>
          <t>Dr Hauschka</t>
        </is>
      </c>
      <c r="E11402" t="n">
        <v>14.17</v>
      </c>
      <c r="F11402" t="n">
        <v>1</v>
      </c>
      <c r="G11402" t="n">
        <v>5</v>
      </c>
      <c r="H11402" s="5">
        <f>HYPERLINK("https://api.qogita.com/variants/link/4020829098701/", "View Product")</f>
        <v/>
      </c>
    </row>
    <row r="11403">
      <c r="A11403" t="inlineStr">
        <is>
          <t>4020829098893</t>
        </is>
      </c>
      <c r="B11403" t="inlineStr">
        <is>
          <t>Dr. Hauschka Lip Liner 04 Cumaru 1.05g</t>
        </is>
      </c>
      <c r="C11403" t="inlineStr">
        <is>
          <t>Lip Liner</t>
        </is>
      </c>
      <c r="D11403" t="inlineStr">
        <is>
          <t>Dr Hauschka</t>
        </is>
      </c>
      <c r="E11403" t="n">
        <v>11.82</v>
      </c>
      <c r="F11403" t="n">
        <v>1</v>
      </c>
      <c r="G11403" t="n">
        <v>4</v>
      </c>
      <c r="H11403" s="5">
        <f>HYPERLINK("https://api.qogita.com/variants/link/4020829098893/", "View Product")</f>
        <v/>
      </c>
    </row>
    <row r="11404">
      <c r="A11404" t="inlineStr">
        <is>
          <t>4020829098985</t>
        </is>
      </c>
      <c r="B11404" t="inlineStr">
        <is>
          <t>Dr Hauschka Lipstick 10 Dahlia Caring Lipstick 41 G</t>
        </is>
      </c>
      <c r="C11404" t="inlineStr">
        <is>
          <t>Lipstick</t>
        </is>
      </c>
      <c r="D11404" t="inlineStr">
        <is>
          <t>Dr Hauschka</t>
        </is>
      </c>
      <c r="E11404" t="n">
        <v>17.3</v>
      </c>
      <c r="F11404" t="n">
        <v>1</v>
      </c>
      <c r="G11404" t="n">
        <v>4</v>
      </c>
      <c r="H11404" s="5">
        <f>HYPERLINK("https://api.qogita.com/variants/link/4020829098985/", "View Product")</f>
        <v/>
      </c>
    </row>
    <row r="11405">
      <c r="A11405" t="inlineStr">
        <is>
          <t>4020829099005</t>
        </is>
      </c>
      <c r="B11405" t="inlineStr">
        <is>
          <t>Dr Hauschka Lipstick 11 Amaryllis 41 G</t>
        </is>
      </c>
      <c r="C11405" t="inlineStr">
        <is>
          <t>Lipstick</t>
        </is>
      </c>
      <c r="D11405" t="inlineStr">
        <is>
          <t>Dr Hauschka</t>
        </is>
      </c>
      <c r="E11405" t="n">
        <v>17.04</v>
      </c>
      <c r="F11405" t="n">
        <v>1</v>
      </c>
      <c r="G11405" t="n">
        <v>3</v>
      </c>
      <c r="H11405" s="5">
        <f>HYPERLINK("https://api.qogita.com/variants/link/4020829099005/", "View Product")</f>
        <v/>
      </c>
    </row>
    <row r="11406">
      <c r="A11406" t="inlineStr">
        <is>
          <t>4020829099043</t>
        </is>
      </c>
      <c r="B11406" t="inlineStr">
        <is>
          <t>Dr Hauschka Lipstick 14 Caralluma 41 G</t>
        </is>
      </c>
      <c r="C11406" t="inlineStr">
        <is>
          <t>Lipstick</t>
        </is>
      </c>
      <c r="D11406" t="inlineStr">
        <is>
          <t>Dr Hauschka</t>
        </is>
      </c>
      <c r="E11406" t="n">
        <v>17.04</v>
      </c>
      <c r="F11406" t="n">
        <v>1</v>
      </c>
      <c r="G11406" t="n">
        <v>5</v>
      </c>
      <c r="H11406" s="5">
        <f>HYPERLINK("https://api.qogita.com/variants/link/4020829099043/", "View Product")</f>
        <v/>
      </c>
    </row>
    <row r="11407">
      <c r="A11407" t="inlineStr">
        <is>
          <t>4020829099081</t>
        </is>
      </c>
      <c r="B11407" t="inlineStr">
        <is>
          <t>Dr. Hauschka Lipstick 26 Hibiscus 4.1g</t>
        </is>
      </c>
      <c r="C11407" t="inlineStr">
        <is>
          <t>Lipstick</t>
        </is>
      </c>
      <c r="D11407" t="inlineStr">
        <is>
          <t>Dr Hauschka</t>
        </is>
      </c>
      <c r="E11407" t="n">
        <v>17.31</v>
      </c>
      <c r="F11407" t="n">
        <v>1</v>
      </c>
      <c r="G11407" t="n">
        <v>3</v>
      </c>
      <c r="H11407" s="5">
        <f>HYPERLINK("https://api.qogita.com/variants/link/4020829099081/", "View Product")</f>
        <v/>
      </c>
    </row>
    <row r="11408">
      <c r="A11408" t="inlineStr">
        <is>
          <t>4020829099104</t>
        </is>
      </c>
      <c r="B11408" t="inlineStr">
        <is>
          <t>Dr. Hauschka Liquid Eyeliner 01 Black Natural Mineral Winged Cat-Eye Water Resistant Long-lasting 0.14 fl oz</t>
        </is>
      </c>
      <c r="C11408" t="inlineStr">
        <is>
          <t>Eyeliner</t>
        </is>
      </c>
      <c r="D11408" t="inlineStr">
        <is>
          <t>Dr Hauschka</t>
        </is>
      </c>
      <c r="E11408" t="n">
        <v>15.9</v>
      </c>
      <c r="F11408" t="n">
        <v>1</v>
      </c>
      <c r="G11408" t="n">
        <v>5</v>
      </c>
      <c r="H11408" s="5">
        <f>HYPERLINK("https://api.qogita.com/variants/link/4020829099104/", "View Product")</f>
        <v/>
      </c>
    </row>
    <row r="11409">
      <c r="A11409" t="inlineStr">
        <is>
          <t>4020829103108</t>
        </is>
      </c>
      <c r="B11409" t="inlineStr">
        <is>
          <t>Dr. Hauschka Regenerating Serum 30ml</t>
        </is>
      </c>
      <c r="C11409" t="inlineStr">
        <is>
          <t>Anti-Aging Serum</t>
        </is>
      </c>
      <c r="D11409" t="inlineStr">
        <is>
          <t>Dr. Hauschka</t>
        </is>
      </c>
      <c r="E11409" t="n">
        <v>39.77</v>
      </c>
      <c r="F11409" t="n">
        <v>1</v>
      </c>
      <c r="G11409" t="n">
        <v>4</v>
      </c>
      <c r="H11409" s="5">
        <f>HYPERLINK("https://api.qogita.com/variants/link/4020829103108/", "View Product")</f>
        <v/>
      </c>
    </row>
    <row r="11410">
      <c r="A11410" t="inlineStr">
        <is>
          <t>4020829107342</t>
        </is>
      </c>
      <c r="B11410" t="inlineStr">
        <is>
          <t>Dr. Hauschka Winter Essentials Gift Set</t>
        </is>
      </c>
      <c r="C11410" t="inlineStr">
        <is>
          <t>Facial Care Sets</t>
        </is>
      </c>
      <c r="D11410" t="inlineStr">
        <is>
          <t>Dr. Hauschka</t>
        </is>
      </c>
      <c r="E11410" t="n">
        <v>19.85</v>
      </c>
      <c r="F11410" t="n">
        <v>1</v>
      </c>
      <c r="G11410" t="n">
        <v>7</v>
      </c>
      <c r="H11410" s="5">
        <f>HYPERLINK("https://api.qogita.com/variants/link/4020829107342/", "View Product")</f>
        <v/>
      </c>
    </row>
    <row r="11411">
      <c r="A11411" t="inlineStr">
        <is>
          <t>4021457614516</t>
        </is>
      </c>
      <c r="B11411" t="inlineStr">
        <is>
          <t>Lavera Basis Sensitiv Foot Cream with Healing Clay and Organic Macadamia 75ml</t>
        </is>
      </c>
      <c r="C11411" t="inlineStr">
        <is>
          <t>Foot Cream</t>
        </is>
      </c>
      <c r="D11411" t="inlineStr">
        <is>
          <t>Lavera</t>
        </is>
      </c>
      <c r="E11411" t="n">
        <v>7.36</v>
      </c>
      <c r="F11411" t="n">
        <v>1</v>
      </c>
      <c r="G11411" t="n">
        <v>8</v>
      </c>
      <c r="H11411" s="5">
        <f>HYPERLINK("https://api.qogita.com/variants/link/4021457614516/", "View Product")</f>
        <v/>
      </c>
    </row>
    <row r="11412">
      <c r="A11412" t="inlineStr">
        <is>
          <t>4021457618187</t>
        </is>
      </c>
      <c r="B11412" t="inlineStr">
        <is>
          <t>Lavera Bio Volume Mascara Black 9 Ml</t>
        </is>
      </c>
      <c r="C11412" t="inlineStr">
        <is>
          <t>Mascara</t>
        </is>
      </c>
      <c r="D11412" t="inlineStr">
        <is>
          <t>Lavera</t>
        </is>
      </c>
      <c r="E11412" t="n">
        <v>8.859999999999999</v>
      </c>
      <c r="F11412" t="n">
        <v>1</v>
      </c>
      <c r="G11412" t="n">
        <v>3</v>
      </c>
      <c r="H11412" s="5">
        <f>HYPERLINK("https://api.qogita.com/variants/link/4021457618187/", "View Product")</f>
        <v/>
      </c>
    </row>
    <row r="11413">
      <c r="A11413" t="inlineStr">
        <is>
          <t>4021457637669</t>
        </is>
      </c>
      <c r="B11413" t="inlineStr">
        <is>
          <t>Lavera Revitalising Body Lotion With Organic Orange 200 Ml</t>
        </is>
      </c>
      <c r="C11413" t="inlineStr">
        <is>
          <t>Body Lotion</t>
        </is>
      </c>
      <c r="D11413" t="inlineStr">
        <is>
          <t>Lavera</t>
        </is>
      </c>
      <c r="E11413" t="n">
        <v>10.54</v>
      </c>
      <c r="F11413" t="n">
        <v>1</v>
      </c>
      <c r="G11413" t="n">
        <v>4</v>
      </c>
      <c r="H11413" s="5">
        <f>HYPERLINK("https://api.qogita.com/variants/link/4021457637669/", "View Product")</f>
        <v/>
      </c>
    </row>
    <row r="11414">
      <c r="A11414" t="inlineStr">
        <is>
          <t>4021457637690</t>
        </is>
      </c>
      <c r="B11414" t="inlineStr">
        <is>
          <t>Lavera All-Round Cream 150ml Shea Butter and Almond Oil</t>
        </is>
      </c>
      <c r="C11414" t="inlineStr">
        <is>
          <t>Body Butter</t>
        </is>
      </c>
      <c r="D11414" t="inlineStr">
        <is>
          <t>Lavera</t>
        </is>
      </c>
      <c r="E11414" t="n">
        <v>8.16</v>
      </c>
      <c r="F11414" t="n">
        <v>1</v>
      </c>
      <c r="G11414" t="n">
        <v>3</v>
      </c>
      <c r="H11414" s="5">
        <f>HYPERLINK("https://api.qogita.com/variants/link/4021457637690/", "View Product")</f>
        <v/>
      </c>
    </row>
    <row r="11415">
      <c r="A11415" t="inlineStr">
        <is>
          <t>4021457639601</t>
        </is>
      </c>
      <c r="B11415" t="inlineStr">
        <is>
          <t>Lavera Cleansing Emulsion Peeling And Mask 3 In 1 Wash Scrub Mask 125 Ml</t>
        </is>
      </c>
      <c r="C11415" t="inlineStr">
        <is>
          <t>Facial Scrub &amp; Peeling</t>
        </is>
      </c>
      <c r="D11415" t="inlineStr">
        <is>
          <t>Lavera</t>
        </is>
      </c>
      <c r="E11415" t="n">
        <v>7.27</v>
      </c>
      <c r="F11415" t="n">
        <v>1</v>
      </c>
      <c r="G11415" t="n">
        <v>11</v>
      </c>
      <c r="H11415" s="5">
        <f>HYPERLINK("https://api.qogita.com/variants/link/4021457639601/", "View Product")</f>
        <v/>
      </c>
    </row>
    <row r="11416">
      <c r="A11416" t="inlineStr">
        <is>
          <t>4021457645428</t>
        </is>
      </c>
      <c r="B11416" t="inlineStr">
        <is>
          <t>lavera Soft Eyeliner Black 01 Natural Cosmetics Comfortable Application 1.14g</t>
        </is>
      </c>
      <c r="C11416" t="inlineStr">
        <is>
          <t>Eyeliner</t>
        </is>
      </c>
      <c r="D11416" t="inlineStr">
        <is>
          <t>Lavera</t>
        </is>
      </c>
      <c r="E11416" t="n">
        <v>6.16</v>
      </c>
      <c r="F11416" t="n">
        <v>1</v>
      </c>
      <c r="G11416" t="n">
        <v>5</v>
      </c>
      <c r="H11416" s="5">
        <f>HYPERLINK("https://api.qogita.com/variants/link/4021457645428/", "View Product")</f>
        <v/>
      </c>
    </row>
    <row r="11417">
      <c r="A11417" t="inlineStr">
        <is>
          <t>4021457645435</t>
        </is>
      </c>
      <c r="B11417" t="inlineStr">
        <is>
          <t>lavera Soft Eyeliner Brown 02 Natural Cosmetics Comfortable Application 1.14g</t>
        </is>
      </c>
      <c r="C11417" t="inlineStr">
        <is>
          <t>Eyeliner</t>
        </is>
      </c>
      <c r="D11417" t="inlineStr">
        <is>
          <t>Lavera</t>
        </is>
      </c>
      <c r="E11417" t="n">
        <v>6.19</v>
      </c>
      <c r="F11417" t="n">
        <v>1</v>
      </c>
      <c r="G11417" t="n">
        <v>2</v>
      </c>
      <c r="H11417" s="5">
        <f>HYPERLINK("https://api.qogita.com/variants/link/4021457645435/", "View Product")</f>
        <v/>
      </c>
    </row>
    <row r="11418">
      <c r="A11418" t="inlineStr">
        <is>
          <t>4021457648542</t>
        </is>
      </c>
      <c r="B11418" t="inlineStr">
        <is>
          <t>lavera Indulgent Body Wash with Organic Wild Rose and Cotton 250ml</t>
        </is>
      </c>
      <c r="C11418" t="inlineStr">
        <is>
          <t>Shower Gel</t>
        </is>
      </c>
      <c r="D11418" t="inlineStr">
        <is>
          <t>Lavera</t>
        </is>
      </c>
      <c r="E11418" t="n">
        <v>6.81</v>
      </c>
      <c r="F11418" t="n">
        <v>1</v>
      </c>
      <c r="G11418" t="n">
        <v>7</v>
      </c>
      <c r="H11418" s="5">
        <f>HYPERLINK("https://api.qogita.com/variants/link/4021457648542/", "View Product")</f>
        <v/>
      </c>
    </row>
    <row r="11419">
      <c r="A11419" t="inlineStr">
        <is>
          <t>4021457651672</t>
        </is>
      </c>
      <c r="B11419" t="inlineStr">
        <is>
          <t>Lavera Satin Compact Powder 01 Light 95 G</t>
        </is>
      </c>
      <c r="C11419" t="inlineStr">
        <is>
          <t>Powder</t>
        </is>
      </c>
      <c r="D11419" t="inlineStr">
        <is>
          <t>Lavera</t>
        </is>
      </c>
      <c r="E11419" t="n">
        <v>11.91</v>
      </c>
      <c r="F11419" t="n">
        <v>1</v>
      </c>
      <c r="G11419" t="n">
        <v>3</v>
      </c>
      <c r="H11419" s="5">
        <f>HYPERLINK("https://api.qogita.com/variants/link/4021457651672/", "View Product")</f>
        <v/>
      </c>
    </row>
    <row r="11420">
      <c r="A11420" t="inlineStr">
        <is>
          <t>4021457651719</t>
        </is>
      </c>
      <c r="B11420" t="inlineStr">
        <is>
          <t>Lavera Cream To Powder Foundation 01 Light 105 G</t>
        </is>
      </c>
      <c r="C11420" t="inlineStr">
        <is>
          <t>Foundation</t>
        </is>
      </c>
      <c r="D11420" t="inlineStr">
        <is>
          <t>Lavera</t>
        </is>
      </c>
      <c r="E11420" t="n">
        <v>12.98</v>
      </c>
      <c r="F11420" t="n">
        <v>1</v>
      </c>
      <c r="G11420" t="n">
        <v>3</v>
      </c>
      <c r="H11420" s="5">
        <f>HYPERLINK("https://api.qogita.com/variants/link/4021457651719/", "View Product")</f>
        <v/>
      </c>
    </row>
    <row r="11421">
      <c r="A11421" t="inlineStr">
        <is>
          <t>4021457655243</t>
        </is>
      </c>
      <c r="B11421" t="inlineStr">
        <is>
          <t>Lavera Basis Sensitiv Moisture &amp; Care Shampoo 250 Ml</t>
        </is>
      </c>
      <c r="C11421" t="inlineStr">
        <is>
          <t>Shampoo</t>
        </is>
      </c>
      <c r="D11421" t="inlineStr">
        <is>
          <t>Lavera</t>
        </is>
      </c>
      <c r="E11421" t="n">
        <v>8.289999999999999</v>
      </c>
      <c r="F11421" t="n">
        <v>1</v>
      </c>
      <c r="G11421" t="n">
        <v>9</v>
      </c>
      <c r="H11421" s="5">
        <f>HYPERLINK("https://api.qogita.com/variants/link/4021457655243/", "View Product")</f>
        <v/>
      </c>
    </row>
    <row r="11422">
      <c r="A11422" t="inlineStr">
        <is>
          <t>4021609000136</t>
        </is>
      </c>
      <c r="B11422" t="inlineStr">
        <is>
          <t>Goldwell Topchic Hair Color 60 Ml 9n</t>
        </is>
      </c>
      <c r="C11422" t="inlineStr">
        <is>
          <t>Hair Dye</t>
        </is>
      </c>
      <c r="D11422" t="inlineStr">
        <is>
          <t>Goldwell</t>
        </is>
      </c>
      <c r="E11422" t="n">
        <v>6.78</v>
      </c>
      <c r="F11422" t="n">
        <v>1</v>
      </c>
      <c r="G11422" t="n">
        <v>2</v>
      </c>
      <c r="H11422" s="5">
        <f>HYPERLINK("https://api.qogita.com/variants/link/4021609000136/", "View Product")</f>
        <v/>
      </c>
    </row>
    <row r="11423">
      <c r="A11423" t="inlineStr">
        <is>
          <t>4021609000457</t>
        </is>
      </c>
      <c r="B11423" t="inlineStr">
        <is>
          <t>Goldwell Topchic 10GB Hair Colour 60g</t>
        </is>
      </c>
      <c r="C11423" t="inlineStr">
        <is>
          <t>Hair Dye</t>
        </is>
      </c>
      <c r="D11423" t="inlineStr">
        <is>
          <t>Goldwell</t>
        </is>
      </c>
      <c r="E11423" t="n">
        <v>6.83</v>
      </c>
      <c r="F11423" t="n">
        <v>1</v>
      </c>
      <c r="G11423" t="n">
        <v>6</v>
      </c>
      <c r="H11423" s="5">
        <f>HYPERLINK("https://api.qogita.com/variants/link/4021609000457/", "View Product")</f>
        <v/>
      </c>
    </row>
    <row r="11424">
      <c r="A11424" t="inlineStr">
        <is>
          <t>4021609000495</t>
        </is>
      </c>
      <c r="B11424" t="inlineStr">
        <is>
          <t>Goldwell Topchic 10A Hair Colour 60ml</t>
        </is>
      </c>
      <c r="C11424" t="inlineStr">
        <is>
          <t>Hair Dye</t>
        </is>
      </c>
      <c r="D11424" t="inlineStr">
        <is>
          <t>Goldwell</t>
        </is>
      </c>
      <c r="E11424" t="n">
        <v>6.78</v>
      </c>
      <c r="F11424" t="n">
        <v>1</v>
      </c>
      <c r="G11424" t="n">
        <v>3</v>
      </c>
      <c r="H11424" s="5">
        <f>HYPERLINK("https://api.qogita.com/variants/link/4021609000495/", "View Product")</f>
        <v/>
      </c>
    </row>
    <row r="11425">
      <c r="A11425" t="inlineStr">
        <is>
          <t>4021609000556</t>
        </is>
      </c>
      <c r="B11425" t="inlineStr">
        <is>
          <t>Goldwell Topchic Hair Color 60 Ml</t>
        </is>
      </c>
      <c r="C11425" t="inlineStr">
        <is>
          <t>Hair Dye</t>
        </is>
      </c>
      <c r="D11425" t="inlineStr">
        <is>
          <t>Goldwell</t>
        </is>
      </c>
      <c r="E11425" t="n">
        <v>7.36</v>
      </c>
      <c r="F11425" t="n">
        <v>1</v>
      </c>
      <c r="G11425" t="n">
        <v>6</v>
      </c>
      <c r="H11425" s="5">
        <f>HYPERLINK("https://api.qogita.com/variants/link/4021609000556/", "View Product")</f>
        <v/>
      </c>
    </row>
    <row r="11426">
      <c r="A11426" t="inlineStr">
        <is>
          <t>4021609000624</t>
        </is>
      </c>
      <c r="B11426" t="inlineStr">
        <is>
          <t>Goldwell Topchic Hair Color 6B 60ml</t>
        </is>
      </c>
      <c r="C11426" t="inlineStr">
        <is>
          <t>Hair Dye</t>
        </is>
      </c>
      <c r="D11426" t="inlineStr">
        <is>
          <t>Goldwell</t>
        </is>
      </c>
      <c r="E11426" t="n">
        <v>7.13</v>
      </c>
      <c r="F11426" t="n">
        <v>1</v>
      </c>
      <c r="G11426" t="n">
        <v>3</v>
      </c>
      <c r="H11426" s="5">
        <f>HYPERLINK("https://api.qogita.com/variants/link/4021609000624/", "View Product")</f>
        <v/>
      </c>
    </row>
    <row r="11427">
      <c r="A11427" t="inlineStr">
        <is>
          <t>4021609000730</t>
        </is>
      </c>
      <c r="B11427" t="inlineStr">
        <is>
          <t>Goldwell Topchic TB Permanent Hair Colour 5Mb Dark Jade Brown 60ml</t>
        </is>
      </c>
      <c r="C11427" t="inlineStr">
        <is>
          <t>Hair Dye</t>
        </is>
      </c>
      <c r="D11427" t="inlineStr">
        <is>
          <t>Goldwell</t>
        </is>
      </c>
      <c r="E11427" t="n">
        <v>6.7</v>
      </c>
      <c r="F11427" t="n">
        <v>1</v>
      </c>
      <c r="G11427" t="n">
        <v>3</v>
      </c>
      <c r="H11427" s="5">
        <f>HYPERLINK("https://api.qogita.com/variants/link/4021609000730/", "View Product")</f>
        <v/>
      </c>
    </row>
    <row r="11428">
      <c r="A11428" t="inlineStr">
        <is>
          <t>4021609004448</t>
        </is>
      </c>
      <c r="B11428" t="inlineStr">
        <is>
          <t>Goldwell Topchic 3NN Dark Brown 250ml</t>
        </is>
      </c>
      <c r="C11428" t="inlineStr">
        <is>
          <t>Hair Dye</t>
        </is>
      </c>
      <c r="D11428" t="inlineStr">
        <is>
          <t>Goldwell</t>
        </is>
      </c>
      <c r="E11428" t="n">
        <v>20.63</v>
      </c>
      <c r="F11428" t="n">
        <v>1</v>
      </c>
      <c r="G11428" t="n">
        <v>7</v>
      </c>
      <c r="H11428" s="5">
        <f>HYPERLINK("https://api.qogita.com/variants/link/4021609004448/", "View Product")</f>
        <v/>
      </c>
    </row>
    <row r="11429">
      <c r="A11429" t="inlineStr">
        <is>
          <t>4021609015369</t>
        </is>
      </c>
      <c r="B11429" t="inlineStr">
        <is>
          <t>Goldwell Silklift Conditioning Cream Developer 9 750 Ml For Gentle Hair Lightening</t>
        </is>
      </c>
      <c r="C11429" t="inlineStr">
        <is>
          <t>Bleaching</t>
        </is>
      </c>
      <c r="D11429" t="inlineStr">
        <is>
          <t>Goldwell</t>
        </is>
      </c>
      <c r="E11429" t="n">
        <v>9.32</v>
      </c>
      <c r="F11429" t="n">
        <v>1</v>
      </c>
      <c r="G11429" t="n">
        <v>2</v>
      </c>
      <c r="H11429" s="5">
        <f>HYPERLINK("https://api.qogita.com/variants/link/4021609015369/", "View Product")</f>
        <v/>
      </c>
    </row>
    <row r="11430">
      <c r="A11430" t="inlineStr">
        <is>
          <t>4021609019107</t>
        </is>
      </c>
      <c r="B11430" t="inlineStr">
        <is>
          <t>Goldwell Topchic Elumenated Hair Colour 6N KK 60ml</t>
        </is>
      </c>
      <c r="C11430" t="inlineStr">
        <is>
          <t>Hair Dye</t>
        </is>
      </c>
      <c r="D11430" t="inlineStr">
        <is>
          <t>Goldwell</t>
        </is>
      </c>
      <c r="E11430" t="n">
        <v>7.25</v>
      </c>
      <c r="F11430" t="n">
        <v>1</v>
      </c>
      <c r="G11430" t="n">
        <v>3</v>
      </c>
      <c r="H11430" s="5">
        <f>HYPERLINK("https://api.qogita.com/variants/link/4021609019107/", "View Product")</f>
        <v/>
      </c>
    </row>
    <row r="11431">
      <c r="A11431" t="inlineStr">
        <is>
          <t>4021609019299</t>
        </is>
      </c>
      <c r="B11431" t="inlineStr">
        <is>
          <t>Goldwell Topchic Professional Hair Color 60ml Violet Elumenated Pink</t>
        </is>
      </c>
      <c r="C11431" t="inlineStr">
        <is>
          <t>Hair Dye</t>
        </is>
      </c>
      <c r="D11431" t="inlineStr">
        <is>
          <t>Goldwell</t>
        </is>
      </c>
      <c r="E11431" t="n">
        <v>7.58</v>
      </c>
      <c r="F11431" t="n">
        <v>1</v>
      </c>
      <c r="G11431" t="n">
        <v>3</v>
      </c>
      <c r="H11431" s="5">
        <f>HYPERLINK("https://api.qogita.com/variants/link/4021609019299/", "View Product")</f>
        <v/>
      </c>
    </row>
    <row r="11432">
      <c r="A11432" t="inlineStr">
        <is>
          <t>4021609028734</t>
        </is>
      </c>
      <c r="B11432" t="inlineStr">
        <is>
          <t>Goldwell Dualsenses Men Hair &amp; Body Shampoo 1000ml</t>
        </is>
      </c>
      <c r="C11432" t="inlineStr">
        <is>
          <t>Shower Gel</t>
        </is>
      </c>
      <c r="D11432" t="inlineStr">
        <is>
          <t>Goldwell</t>
        </is>
      </c>
      <c r="E11432" t="n">
        <v>14.86</v>
      </c>
      <c r="F11432" t="n">
        <v>1</v>
      </c>
      <c r="G11432" t="n">
        <v>16</v>
      </c>
      <c r="H11432" s="5">
        <f>HYPERLINK("https://api.qogita.com/variants/link/4021609028734/", "View Product")</f>
        <v/>
      </c>
    </row>
    <row r="11433">
      <c r="A11433" t="inlineStr">
        <is>
          <t>4021609028833</t>
        </is>
      </c>
      <c r="B11433" t="inlineStr">
        <is>
          <t>Goldwell Dualsenses Bond Pro Fortifying Shampoo for Fragile, Damaged Hair</t>
        </is>
      </c>
      <c r="C11433" t="inlineStr">
        <is>
          <t>Shampoo</t>
        </is>
      </c>
      <c r="D11433" t="inlineStr">
        <is>
          <t>Goldwell</t>
        </is>
      </c>
      <c r="E11433" t="n">
        <v>17.34</v>
      </c>
      <c r="F11433" t="n">
        <v>1</v>
      </c>
      <c r="G11433" t="n">
        <v>41</v>
      </c>
      <c r="H11433" s="5">
        <f>HYPERLINK("https://api.qogita.com/variants/link/4021609028833/", "View Product")</f>
        <v/>
      </c>
    </row>
    <row r="11434">
      <c r="A11434" t="inlineStr">
        <is>
          <t>4021609061120</t>
        </is>
      </c>
      <c r="B11434" t="inlineStr">
        <is>
          <t>Goldwell Dualsenses Color Extra Rich 60s Treatment Shiny Mask For Colored Hair - 200ml</t>
        </is>
      </c>
      <c r="C11434" t="inlineStr">
        <is>
          <t>Hair Masks</t>
        </is>
      </c>
      <c r="D11434" t="inlineStr">
        <is>
          <t>Goldwell</t>
        </is>
      </c>
      <c r="E11434" t="n">
        <v>10.11</v>
      </c>
      <c r="F11434" t="n">
        <v>1</v>
      </c>
      <c r="G11434" t="n">
        <v>34</v>
      </c>
      <c r="H11434" s="5">
        <f>HYPERLINK("https://api.qogita.com/variants/link/4021609061120/", "View Product")</f>
        <v/>
      </c>
    </row>
    <row r="11435">
      <c r="A11435" t="inlineStr">
        <is>
          <t>4021609061151</t>
        </is>
      </c>
      <c r="B11435" t="inlineStr">
        <is>
          <t>Goldwell Dualsenses Color Extra Rich Mask 60 Second Treatment 500ml</t>
        </is>
      </c>
      <c r="C11435" t="inlineStr">
        <is>
          <t>Hair Masks</t>
        </is>
      </c>
      <c r="D11435" t="inlineStr">
        <is>
          <t>Goldwell</t>
        </is>
      </c>
      <c r="E11435" t="n">
        <v>18.34</v>
      </c>
      <c r="F11435" t="n">
        <v>1</v>
      </c>
      <c r="G11435" t="n">
        <v>14</v>
      </c>
      <c r="H11435" s="5">
        <f>HYPERLINK("https://api.qogita.com/variants/link/4021609061151/", "View Product")</f>
        <v/>
      </c>
    </row>
    <row r="11436">
      <c r="A11436" t="inlineStr">
        <is>
          <t>4021609061212</t>
        </is>
      </c>
      <c r="B11436" t="inlineStr">
        <is>
          <t>Goldwell Dualsenses Blondes &amp; Highlights 60s Treatment - 200ml</t>
        </is>
      </c>
      <c r="C11436" t="inlineStr">
        <is>
          <t>Hair Masks</t>
        </is>
      </c>
      <c r="D11436" t="inlineStr">
        <is>
          <t>Goldwell</t>
        </is>
      </c>
      <c r="E11436" t="n">
        <v>10.4</v>
      </c>
      <c r="F11436" t="n">
        <v>1</v>
      </c>
      <c r="G11436" t="n">
        <v>54</v>
      </c>
      <c r="H11436" s="5">
        <f>HYPERLINK("https://api.qogita.com/variants/link/4021609061212/", "View Product")</f>
        <v/>
      </c>
    </row>
    <row r="11437">
      <c r="A11437" t="inlineStr">
        <is>
          <t>4021609061274</t>
        </is>
      </c>
      <c r="B11437" t="inlineStr">
        <is>
          <t>Goldwell Dualsenses Just Smooth Taming Conditioner - 200ml</t>
        </is>
      </c>
      <c r="C11437" t="inlineStr">
        <is>
          <t>Conditioner</t>
        </is>
      </c>
      <c r="D11437" t="inlineStr">
        <is>
          <t>Goldwell</t>
        </is>
      </c>
      <c r="E11437" t="n">
        <v>7.72</v>
      </c>
      <c r="F11437" t="n">
        <v>1</v>
      </c>
      <c r="G11437" t="n">
        <v>10</v>
      </c>
      <c r="H11437" s="5">
        <f>HYPERLINK("https://api.qogita.com/variants/link/4021609061274/", "View Product")</f>
        <v/>
      </c>
    </row>
    <row r="11438">
      <c r="A11438" t="inlineStr">
        <is>
          <t>4021609061304</t>
        </is>
      </c>
      <c r="B11438" t="inlineStr">
        <is>
          <t>Goldwell Dualsenses Just Smooth 60s Treatment Smoothing Hair Mask - 200ml</t>
        </is>
      </c>
      <c r="C11438" t="inlineStr">
        <is>
          <t>Hair Masks</t>
        </is>
      </c>
      <c r="D11438" t="inlineStr">
        <is>
          <t>Goldwell</t>
        </is>
      </c>
      <c r="E11438" t="n">
        <v>10.33</v>
      </c>
      <c r="F11438" t="n">
        <v>1</v>
      </c>
      <c r="G11438" t="n">
        <v>29</v>
      </c>
      <c r="H11438" s="5">
        <f>HYPERLINK("https://api.qogita.com/variants/link/4021609061304/", "View Product")</f>
        <v/>
      </c>
    </row>
    <row r="11439">
      <c r="A11439" t="inlineStr">
        <is>
          <t>4021609061397</t>
        </is>
      </c>
      <c r="B11439" t="inlineStr">
        <is>
          <t>Goldwell Dualsenses Rich Repair Treatment 200ml Professional Hair Care</t>
        </is>
      </c>
      <c r="C11439" t="inlineStr">
        <is>
          <t>Hair Masks</t>
        </is>
      </c>
      <c r="D11439" t="inlineStr">
        <is>
          <t>Goldwell</t>
        </is>
      </c>
      <c r="E11439" t="n">
        <v>9.4</v>
      </c>
      <c r="F11439" t="n">
        <v>1</v>
      </c>
      <c r="G11439" t="n">
        <v>18</v>
      </c>
      <c r="H11439" s="5">
        <f>HYPERLINK("https://api.qogita.com/variants/link/4021609061397/", "View Product")</f>
        <v/>
      </c>
    </row>
    <row r="11440">
      <c r="A11440" t="inlineStr">
        <is>
          <t>4021609061403</t>
        </is>
      </c>
      <c r="B11440" t="inlineStr">
        <is>
          <t>Goldwell Dualsenses Rich Repair Restoring Serum Spray - 150ml</t>
        </is>
      </c>
      <c r="C11440" t="inlineStr">
        <is>
          <t>Hair Oil &amp; Hair Serum</t>
        </is>
      </c>
      <c r="D11440" t="inlineStr">
        <is>
          <t>Goldwell</t>
        </is>
      </c>
      <c r="E11440" t="n">
        <v>8.48</v>
      </c>
      <c r="F11440" t="n">
        <v>1</v>
      </c>
      <c r="G11440" t="n">
        <v>39</v>
      </c>
      <c r="H11440" s="5">
        <f>HYPERLINK("https://api.qogita.com/variants/link/4021609061403/", "View Product")</f>
        <v/>
      </c>
    </row>
    <row r="11441">
      <c r="A11441" t="inlineStr">
        <is>
          <t>4021609061441</t>
        </is>
      </c>
      <c r="B11441" t="inlineStr">
        <is>
          <t>Goldwell Dualsenses Rich Repair Mask For Dry And Damaged Hair 60 Second Treatment 500ml</t>
        </is>
      </c>
      <c r="C11441" t="inlineStr">
        <is>
          <t>Hair Masks</t>
        </is>
      </c>
      <c r="D11441" t="inlineStr">
        <is>
          <t>Goldwell</t>
        </is>
      </c>
      <c r="E11441" t="n">
        <v>19.46</v>
      </c>
      <c r="F11441" t="n">
        <v>1</v>
      </c>
      <c r="G11441" t="n">
        <v>4</v>
      </c>
      <c r="H11441" s="5">
        <f>HYPERLINK("https://api.qogita.com/variants/link/4021609061441/", "View Product")</f>
        <v/>
      </c>
    </row>
    <row r="11442">
      <c r="A11442" t="inlineStr">
        <is>
          <t>4021609061519</t>
        </is>
      </c>
      <c r="B11442" t="inlineStr">
        <is>
          <t>Goldwell Dualsenses Ultra Volume Bodifying Spray - 150ml</t>
        </is>
      </c>
      <c r="C11442" t="inlineStr">
        <is>
          <t>Hairspray</t>
        </is>
      </c>
      <c r="D11442" t="inlineStr">
        <is>
          <t>Goldwell</t>
        </is>
      </c>
      <c r="E11442" t="n">
        <v>8.34</v>
      </c>
      <c r="F11442" t="n">
        <v>1</v>
      </c>
      <c r="G11442" t="n">
        <v>4</v>
      </c>
      <c r="H11442" s="5">
        <f>HYPERLINK("https://api.qogita.com/variants/link/4021609061519/", "View Product")</f>
        <v/>
      </c>
    </row>
    <row r="11443">
      <c r="A11443" t="inlineStr">
        <is>
          <t>4021609061946</t>
        </is>
      </c>
      <c r="B11443" t="inlineStr">
        <is>
          <t>Goldwell Dualsenses Color Color Lock Serum 12 X 18 Ml For Fine Colored Hair</t>
        </is>
      </c>
      <c r="C11443" t="inlineStr">
        <is>
          <t>Hair Oil &amp; Hair Serum</t>
        </is>
      </c>
      <c r="D11443" t="inlineStr">
        <is>
          <t>Goldwell</t>
        </is>
      </c>
      <c r="E11443" t="n">
        <v>28.15</v>
      </c>
      <c r="F11443" t="n">
        <v>1</v>
      </c>
      <c r="G11443" t="n">
        <v>3</v>
      </c>
      <c r="H11443" s="5">
        <f>HYPERLINK("https://api.qogita.com/variants/link/4021609061946/", "View Product")</f>
        <v/>
      </c>
    </row>
    <row r="11444">
      <c r="A11444" t="inlineStr">
        <is>
          <t>4021609061960</t>
        </is>
      </c>
      <c r="B11444" t="inlineStr">
        <is>
          <t>Goldwell Dualsenses Blondes &amp; Highlights Intensive Conditioning Serum 12 X 18 Ml</t>
        </is>
      </c>
      <c r="C11444" t="inlineStr">
        <is>
          <t>Hair Oil &amp; Hair Serum</t>
        </is>
      </c>
      <c r="D11444" t="inlineStr">
        <is>
          <t>Goldwell</t>
        </is>
      </c>
      <c r="E11444" t="n">
        <v>34.84</v>
      </c>
      <c r="F11444" t="n">
        <v>1</v>
      </c>
      <c r="G11444" t="n">
        <v>16</v>
      </c>
      <c r="H11444" s="5">
        <f>HYPERLINK("https://api.qogita.com/variants/link/4021609061960/", "View Product")</f>
        <v/>
      </c>
    </row>
    <row r="11445">
      <c r="A11445" t="inlineStr">
        <is>
          <t>4021609062516</t>
        </is>
      </c>
      <c r="B11445" t="inlineStr">
        <is>
          <t>Goldwell Dualsenses Scalp Specialist Deep Cleansing Shampoo 250ml For All Hair Types</t>
        </is>
      </c>
      <c r="C11445" t="inlineStr">
        <is>
          <t>Shampoo</t>
        </is>
      </c>
      <c r="D11445" t="inlineStr">
        <is>
          <t>Goldwell</t>
        </is>
      </c>
      <c r="E11445" t="n">
        <v>7.52</v>
      </c>
      <c r="F11445" t="n">
        <v>1</v>
      </c>
      <c r="G11445" t="n">
        <v>5</v>
      </c>
      <c r="H11445" s="5">
        <f>HYPERLINK("https://api.qogita.com/variants/link/4021609062516/", "View Product")</f>
        <v/>
      </c>
    </row>
    <row r="11446">
      <c r="A11446" t="inlineStr">
        <is>
          <t>4021609062578</t>
        </is>
      </c>
      <c r="B11446" t="inlineStr">
        <is>
          <t>Goldwell Dualsenses Scalp Specialist Hydrating Hair Spray 150 Ml</t>
        </is>
      </c>
      <c r="C11446" t="inlineStr">
        <is>
          <t>Scalp Care</t>
        </is>
      </c>
      <c r="D11446" t="inlineStr">
        <is>
          <t>Goldwell</t>
        </is>
      </c>
      <c r="E11446" t="n">
        <v>14.3</v>
      </c>
      <c r="F11446" t="n">
        <v>1</v>
      </c>
      <c r="G11446" t="n">
        <v>4</v>
      </c>
      <c r="H11446" s="5">
        <f>HYPERLINK("https://api.qogita.com/variants/link/4021609062578/", "View Product")</f>
        <v/>
      </c>
    </row>
    <row r="11447">
      <c r="A11447" t="inlineStr">
        <is>
          <t>4021609108139</t>
        </is>
      </c>
      <c r="B11447" t="inlineStr">
        <is>
          <t>AN@5 ELU HC Deep Ash Natural 200ml</t>
        </is>
      </c>
      <c r="C11447" t="inlineStr">
        <is>
          <t>Hair Oil &amp; Hair Serum</t>
        </is>
      </c>
      <c r="D11447" t="inlineStr">
        <is>
          <t>Goldwell</t>
        </is>
      </c>
      <c r="E11447" t="n">
        <v>14.52</v>
      </c>
      <c r="F11447" t="n">
        <v>1</v>
      </c>
      <c r="G11447" t="n">
        <v>3</v>
      </c>
      <c r="H11447" s="5">
        <f>HYPERLINK("https://api.qogita.com/variants/link/4021609108139/", "View Product")</f>
        <v/>
      </c>
    </row>
    <row r="11448">
      <c r="A11448" t="inlineStr">
        <is>
          <t>4021609108177</t>
        </is>
      </c>
      <c r="B11448" t="inlineStr">
        <is>
          <t>Goldwell Gradient Nonoxidizing Hair Color Elumen Long Lasting Hair Color 200 Ml</t>
        </is>
      </c>
      <c r="C11448" t="inlineStr">
        <is>
          <t>Hair Dye</t>
        </is>
      </c>
      <c r="D11448" t="inlineStr">
        <is>
          <t>Goldwell</t>
        </is>
      </c>
      <c r="E11448" t="n">
        <v>13.51</v>
      </c>
      <c r="F11448" t="n">
        <v>1</v>
      </c>
      <c r="G11448" t="n">
        <v>7</v>
      </c>
      <c r="H11448" s="5">
        <f>HYPERLINK("https://api.qogita.com/variants/link/4021609108177/", "View Product")</f>
        <v/>
      </c>
    </row>
    <row r="11449">
      <c r="A11449" t="inlineStr">
        <is>
          <t>4021609109501</t>
        </is>
      </c>
      <c r="B11449" t="inlineStr">
        <is>
          <t>Goldwell Elumen high performance hair color BB@10 200ml</t>
        </is>
      </c>
      <c r="C11449" t="inlineStr">
        <is>
          <t>Hair Dye</t>
        </is>
      </c>
      <c r="D11449" t="inlineStr">
        <is>
          <t>Goldwell</t>
        </is>
      </c>
      <c r="E11449" t="n">
        <v>13.26</v>
      </c>
      <c r="F11449" t="n">
        <v>1</v>
      </c>
      <c r="G11449" t="n">
        <v>9</v>
      </c>
      <c r="H11449" s="5">
        <f>HYPERLINK("https://api.qogita.com/variants/link/4021609109501/", "View Product")</f>
        <v/>
      </c>
    </row>
    <row r="11450">
      <c r="A11450" t="inlineStr">
        <is>
          <t>4021609109747</t>
        </is>
      </c>
      <c r="B11450" t="inlineStr">
        <is>
          <t>Goldwell Elumen Leavein Conditioner For Colored Hair 150 Ml</t>
        </is>
      </c>
      <c r="C11450" t="inlineStr">
        <is>
          <t>Leave-In Conditioner</t>
        </is>
      </c>
      <c r="D11450" t="inlineStr">
        <is>
          <t>Goldwell</t>
        </is>
      </c>
      <c r="E11450" t="n">
        <v>9.83</v>
      </c>
      <c r="F11450" t="n">
        <v>1</v>
      </c>
      <c r="G11450" t="n">
        <v>19</v>
      </c>
      <c r="H11450" s="5">
        <f>HYPERLINK("https://api.qogita.com/variants/link/4021609109747/", "View Product")</f>
        <v/>
      </c>
    </row>
    <row r="11451">
      <c r="A11451" t="inlineStr">
        <is>
          <t>4021609109754</t>
        </is>
      </c>
      <c r="B11451" t="inlineStr">
        <is>
          <t>Goldwell Elumen Color Mask 200ml</t>
        </is>
      </c>
      <c r="C11451" t="inlineStr">
        <is>
          <t>Hair Masks</t>
        </is>
      </c>
      <c r="D11451" t="inlineStr">
        <is>
          <t>Goldwell</t>
        </is>
      </c>
      <c r="E11451" t="n">
        <v>11.84</v>
      </c>
      <c r="F11451" t="n">
        <v>1</v>
      </c>
      <c r="G11451" t="n">
        <v>4</v>
      </c>
      <c r="H11451" s="5">
        <f>HYPERLINK("https://api.qogita.com/variants/link/4021609109754/", "View Product")</f>
        <v/>
      </c>
    </row>
    <row r="11452">
      <c r="A11452" t="inlineStr">
        <is>
          <t>4021609140078</t>
        </is>
      </c>
      <c r="B11452" t="inlineStr">
        <is>
          <t>Goldwell Men Reshade 6CA 80ml</t>
        </is>
      </c>
      <c r="C11452" t="inlineStr">
        <is>
          <t>Hair Dye</t>
        </is>
      </c>
      <c r="D11452" t="inlineStr">
        <is>
          <t>Goldwell</t>
        </is>
      </c>
      <c r="E11452" t="n">
        <v>17.14</v>
      </c>
      <c r="F11452" t="n">
        <v>1</v>
      </c>
      <c r="G11452" t="n">
        <v>22</v>
      </c>
      <c r="H11452" s="5">
        <f>HYPERLINK("https://api.qogita.com/variants/link/4021609140078/", "View Product")</f>
        <v/>
      </c>
    </row>
    <row r="11453">
      <c r="A11453" t="inlineStr">
        <is>
          <t>4021609520061</t>
        </is>
      </c>
      <c r="B11453" t="inlineStr">
        <is>
          <t>Goldwell St Lightweight Fluid 150ml For Curly Hair</t>
        </is>
      </c>
      <c r="C11453" t="inlineStr">
        <is>
          <t>Hair Oil &amp; Hair Serum</t>
        </is>
      </c>
      <c r="D11453" t="inlineStr">
        <is>
          <t>Goldwell</t>
        </is>
      </c>
      <c r="E11453" t="n">
        <v>9.210000000000001</v>
      </c>
      <c r="F11453" t="n">
        <v>1</v>
      </c>
      <c r="G11453" t="n">
        <v>8</v>
      </c>
      <c r="H11453" s="5">
        <f>HYPERLINK("https://api.qogita.com/variants/link/4021609520061/", "View Product")</f>
        <v/>
      </c>
    </row>
    <row r="11454">
      <c r="A11454" t="inlineStr">
        <is>
          <t>4021609520092</t>
        </is>
      </c>
      <c r="B11454" t="inlineStr">
        <is>
          <t>Goldwell Stylesign Hairspray Working Hairspray 300ml Hair Spray With Medium Hold</t>
        </is>
      </c>
      <c r="C11454" t="inlineStr">
        <is>
          <t>Hairspray</t>
        </is>
      </c>
      <c r="D11454" t="inlineStr">
        <is>
          <t>Goldwell</t>
        </is>
      </c>
      <c r="E11454" t="n">
        <v>10.3</v>
      </c>
      <c r="F11454" t="n">
        <v>1</v>
      </c>
      <c r="G11454" t="n">
        <v>46</v>
      </c>
      <c r="H11454" s="5">
        <f>HYPERLINK("https://api.qogita.com/variants/link/4021609520092/", "View Product")</f>
        <v/>
      </c>
    </row>
    <row r="11455">
      <c r="A11455" t="inlineStr">
        <is>
          <t>4021609520139</t>
        </is>
      </c>
      <c r="B11455" t="inlineStr">
        <is>
          <t>Goldwell St Extra Strong Hair Spray 300ml Extra Strong Fixation Hair Spray</t>
        </is>
      </c>
      <c r="C11455" t="inlineStr">
        <is>
          <t>Hairspray</t>
        </is>
      </c>
      <c r="D11455" t="inlineStr">
        <is>
          <t>Goldwell</t>
        </is>
      </c>
      <c r="E11455" t="n">
        <v>10.85</v>
      </c>
      <c r="F11455" t="n">
        <v>1</v>
      </c>
      <c r="G11455" t="n">
        <v>10</v>
      </c>
      <c r="H11455" s="5">
        <f>HYPERLINK("https://api.qogita.com/variants/link/4021609520139/", "View Product")</f>
        <v/>
      </c>
    </row>
    <row r="11456">
      <c r="A11456" t="inlineStr">
        <is>
          <t>4021609520177</t>
        </is>
      </c>
      <c r="B11456" t="inlineStr">
        <is>
          <t>Goldwell Stylesign Heat Styling Straightening Balm 100ml</t>
        </is>
      </c>
      <c r="C11456" t="inlineStr">
        <is>
          <t>Heat Protection</t>
        </is>
      </c>
      <c r="D11456" t="inlineStr">
        <is>
          <t>Goldwell</t>
        </is>
      </c>
      <c r="E11456" t="n">
        <v>10.4</v>
      </c>
      <c r="F11456" t="n">
        <v>1</v>
      </c>
      <c r="G11456" t="n">
        <v>25</v>
      </c>
      <c r="H11456" s="5">
        <f>HYPERLINK("https://api.qogita.com/variants/link/4021609520177/", "View Product")</f>
        <v/>
      </c>
    </row>
    <row r="11457">
      <c r="A11457" t="inlineStr">
        <is>
          <t>4021609520245</t>
        </is>
      </c>
      <c r="B11457" t="inlineStr">
        <is>
          <t>Goldwell Stylesign Smooth Shine Spray 150 Ml</t>
        </is>
      </c>
      <c r="C11457" t="inlineStr">
        <is>
          <t>Styling Sprays</t>
        </is>
      </c>
      <c r="D11457" t="inlineStr">
        <is>
          <t>Goldwell</t>
        </is>
      </c>
      <c r="E11457" t="n">
        <v>7.61</v>
      </c>
      <c r="F11457" t="n">
        <v>1</v>
      </c>
      <c r="G11457" t="n">
        <v>10</v>
      </c>
      <c r="H11457" s="5">
        <f>HYPERLINK("https://api.qogita.com/variants/link/4021609520245/", "View Product")</f>
        <v/>
      </c>
    </row>
    <row r="11458">
      <c r="A11458" t="inlineStr">
        <is>
          <t>4021609520276</t>
        </is>
      </c>
      <c r="B11458" t="inlineStr">
        <is>
          <t>Goldwell Weightless Shine Oil 100ml Lightweight Shine Oil For Hair</t>
        </is>
      </c>
      <c r="C11458" t="inlineStr">
        <is>
          <t>Hair Oil &amp; Hair Serum</t>
        </is>
      </c>
      <c r="D11458" t="inlineStr">
        <is>
          <t>Goldwell</t>
        </is>
      </c>
      <c r="E11458" t="n">
        <v>8.300000000000001</v>
      </c>
      <c r="F11458" t="n">
        <v>1</v>
      </c>
      <c r="G11458" t="n">
        <v>12</v>
      </c>
      <c r="H11458" s="5">
        <f>HYPERLINK("https://api.qogita.com/variants/link/4021609520276/", "View Product")</f>
        <v/>
      </c>
    </row>
    <row r="11459">
      <c r="A11459" t="inlineStr">
        <is>
          <t>4021609520627</t>
        </is>
      </c>
      <c r="B11459" t="inlineStr">
        <is>
          <t>Goldwell Stylesign Dry Texture Spray - 75ml</t>
        </is>
      </c>
      <c r="C11459" t="inlineStr">
        <is>
          <t>Styling Sprays</t>
        </is>
      </c>
      <c r="D11459" t="inlineStr">
        <is>
          <t>Goldwell</t>
        </is>
      </c>
      <c r="E11459" t="n">
        <v>5</v>
      </c>
      <c r="F11459" t="n">
        <v>1</v>
      </c>
      <c r="G11459" t="n">
        <v>23</v>
      </c>
      <c r="H11459" s="5">
        <f>HYPERLINK("https://api.qogita.com/variants/link/4021609520627/", "View Product")</f>
        <v/>
      </c>
    </row>
    <row r="11460">
      <c r="A11460" t="inlineStr">
        <is>
          <t>4021609661566</t>
        </is>
      </c>
      <c r="B11460" t="inlineStr">
        <is>
          <t>Color Remover Skin 150ml</t>
        </is>
      </c>
      <c r="C11460" t="inlineStr">
        <is>
          <t>Makeup Remover</t>
        </is>
      </c>
      <c r="D11460" t="inlineStr">
        <is>
          <t>Goldwell</t>
        </is>
      </c>
      <c r="E11460" t="n">
        <v>7.6</v>
      </c>
      <c r="F11460" t="n">
        <v>1</v>
      </c>
      <c r="G11460" t="n">
        <v>3</v>
      </c>
      <c r="H11460" s="5">
        <f>HYPERLINK("https://api.qogita.com/variants/link/4021609661566/", "View Product")</f>
        <v/>
      </c>
    </row>
    <row r="11461">
      <c r="A11461" t="inlineStr">
        <is>
          <t>4021609661634</t>
        </is>
      </c>
      <c r="B11461" t="inlineStr">
        <is>
          <t>Goldwell Liquid Developer Lotion 9% 1000ml</t>
        </is>
      </c>
      <c r="C11461" t="inlineStr">
        <is>
          <t>Hair Dye</t>
        </is>
      </c>
      <c r="D11461" t="inlineStr">
        <is>
          <t>Goldwell</t>
        </is>
      </c>
      <c r="E11461" t="n">
        <v>8.34</v>
      </c>
      <c r="F11461" t="n">
        <v>1</v>
      </c>
      <c r="G11461" t="n">
        <v>14</v>
      </c>
      <c r="H11461" s="5">
        <f>HYPERLINK("https://api.qogita.com/variants/link/4021609661634/", "View Product")</f>
        <v/>
      </c>
    </row>
    <row r="11462">
      <c r="A11462" t="inlineStr">
        <is>
          <t>4021609850014</t>
        </is>
      </c>
      <c r="B11462" t="inlineStr">
        <is>
          <t>Kerasilk Essentials Volumizing Shampoo 250ml</t>
        </is>
      </c>
      <c r="C11462" t="inlineStr">
        <is>
          <t>Shampoo</t>
        </is>
      </c>
      <c r="D11462" t="inlineStr">
        <is>
          <t>Kerasilk</t>
        </is>
      </c>
      <c r="E11462" t="n">
        <v>16.69</v>
      </c>
      <c r="F11462" t="n">
        <v>1</v>
      </c>
      <c r="G11462" t="n">
        <v>5</v>
      </c>
      <c r="H11462" s="5">
        <f>HYPERLINK("https://api.qogita.com/variants/link/4021609850014/", "View Product")</f>
        <v/>
      </c>
    </row>
    <row r="11463">
      <c r="A11463" t="inlineStr">
        <is>
          <t>4021609850137</t>
        </is>
      </c>
      <c r="B11463" t="inlineStr">
        <is>
          <t>Kerasilk Essentials Color Protection Shampoo 750ml By Kerasilk</t>
        </is>
      </c>
      <c r="C11463" t="inlineStr">
        <is>
          <t>Shampoo</t>
        </is>
      </c>
      <c r="D11463" t="inlineStr">
        <is>
          <t>Kerasilk</t>
        </is>
      </c>
      <c r="E11463" t="n">
        <v>21.85</v>
      </c>
      <c r="F11463" t="n">
        <v>1</v>
      </c>
      <c r="G11463" t="n">
        <v>7</v>
      </c>
      <c r="H11463" s="5">
        <f>HYPERLINK("https://api.qogita.com/variants/link/4021609850137/", "View Product")</f>
        <v/>
      </c>
    </row>
    <row r="11464">
      <c r="A11464" t="inlineStr">
        <is>
          <t>4021609850496</t>
        </is>
      </c>
      <c r="B11464" t="inlineStr">
        <is>
          <t>Goldwell Kerasilk Color Protecting Conditioner 200ml</t>
        </is>
      </c>
      <c r="C11464" t="inlineStr">
        <is>
          <t>Conditioner</t>
        </is>
      </c>
      <c r="D11464" t="inlineStr">
        <is>
          <t>Goldwell</t>
        </is>
      </c>
      <c r="E11464" t="n">
        <v>17.24</v>
      </c>
      <c r="F11464" t="n">
        <v>1</v>
      </c>
      <c r="G11464" t="n">
        <v>3</v>
      </c>
      <c r="H11464" s="5">
        <f>HYPERLINK("https://api.qogita.com/variants/link/4021609850496/", "View Product")</f>
        <v/>
      </c>
    </row>
    <row r="11465">
      <c r="A11465" t="inlineStr">
        <is>
          <t>4021609850915</t>
        </is>
      </c>
      <c r="B11465" t="inlineStr">
        <is>
          <t>Kerasilk Volumizing Spray 125 Ml By Kerasilk Goldwell</t>
        </is>
      </c>
      <c r="C11465" t="inlineStr">
        <is>
          <t>Hairspray</t>
        </is>
      </c>
      <c r="D11465" t="inlineStr">
        <is>
          <t>Kerasilk</t>
        </is>
      </c>
      <c r="E11465" t="n">
        <v>17.24</v>
      </c>
      <c r="F11465" t="n">
        <v>1</v>
      </c>
      <c r="G11465" t="n">
        <v>13</v>
      </c>
      <c r="H11465" s="5">
        <f>HYPERLINK("https://api.qogita.com/variants/link/4021609850915/", "View Product")</f>
        <v/>
      </c>
    </row>
    <row r="11466">
      <c r="A11466" t="inlineStr">
        <is>
          <t>4021609851363</t>
        </is>
      </c>
      <c r="B11466" t="inlineStr">
        <is>
          <t>Kerasilk Specialists Antidandruff Scalp Serum 100 Ml</t>
        </is>
      </c>
      <c r="C11466" t="inlineStr">
        <is>
          <t>Scalp Care</t>
        </is>
      </c>
      <c r="D11466" t="inlineStr">
        <is>
          <t>Kerasilk</t>
        </is>
      </c>
      <c r="E11466" t="n">
        <v>24.25</v>
      </c>
      <c r="F11466" t="n">
        <v>1</v>
      </c>
      <c r="G11466" t="n">
        <v>8</v>
      </c>
      <c r="H11466" s="5">
        <f>HYPERLINK("https://api.qogita.com/variants/link/4021609851363/", "View Product")</f>
        <v/>
      </c>
    </row>
    <row r="11467">
      <c r="A11467" t="inlineStr">
        <is>
          <t>4027800006502</t>
        </is>
      </c>
      <c r="B11467" t="inlineStr">
        <is>
          <t>Wilkinson Sword Intuition Complete Replacement Heads 6 Pieces</t>
        </is>
      </c>
      <c r="C11467" t="inlineStr">
        <is>
          <t>Shaving Accessories</t>
        </is>
      </c>
      <c r="D11467" t="inlineStr">
        <is>
          <t>Wilkinson Sword</t>
        </is>
      </c>
      <c r="E11467" t="n">
        <v>20.17</v>
      </c>
      <c r="F11467" t="n">
        <v>1</v>
      </c>
      <c r="G11467" t="n">
        <v>2</v>
      </c>
      <c r="H11467" s="5">
        <f>HYPERLINK("https://api.qogita.com/variants/link/4027800006502/", "View Product")</f>
        <v/>
      </c>
    </row>
    <row r="11468">
      <c r="A11468" t="inlineStr">
        <is>
          <t>4027800042005</t>
        </is>
      </c>
      <c r="B11468" t="inlineStr">
        <is>
          <t>Wilkinson Sword Mini Nail Clippers Perfect For Manicure</t>
        </is>
      </c>
      <c r="C11468" t="inlineStr">
        <is>
          <t>Nail Clippers &amp; Tools</t>
        </is>
      </c>
      <c r="D11468" t="inlineStr">
        <is>
          <t>Wilkinson Sword</t>
        </is>
      </c>
      <c r="E11468" t="n">
        <v>3.94</v>
      </c>
      <c r="F11468" t="n">
        <v>1</v>
      </c>
      <c r="G11468" t="n">
        <v>11</v>
      </c>
      <c r="H11468" s="5">
        <f>HYPERLINK("https://api.qogita.com/variants/link/4027800042005/", "View Product")</f>
        <v/>
      </c>
    </row>
    <row r="11469">
      <c r="A11469" t="inlineStr">
        <is>
          <t>4027800088300</t>
        </is>
      </c>
      <c r="B11469" t="inlineStr">
        <is>
          <t>Wilkinson Sword Manicure Pocket Sapphire Nail File Chromeplated Stainless Steel</t>
        </is>
      </c>
      <c r="C11469" t="inlineStr">
        <is>
          <t>Nail Clippers &amp; Tools</t>
        </is>
      </c>
      <c r="D11469" t="inlineStr">
        <is>
          <t>Wilkinson Sword</t>
        </is>
      </c>
      <c r="E11469" t="n">
        <v>6.05</v>
      </c>
      <c r="F11469" t="n">
        <v>1</v>
      </c>
      <c r="G11469" t="n">
        <v>3</v>
      </c>
      <c r="H11469" s="5">
        <f>HYPERLINK("https://api.qogita.com/variants/link/4027800088300/", "View Product")</f>
        <v/>
      </c>
    </row>
    <row r="11470">
      <c r="A11470" t="inlineStr">
        <is>
          <t>4027800108404</t>
        </is>
      </c>
      <c r="B11470" t="inlineStr">
        <is>
          <t>Wilkinson Sword My Intuition Comfort Sensitive Disposable Razor For Women 8 + 4 Pcs</t>
        </is>
      </c>
      <c r="C11470" t="inlineStr">
        <is>
          <t>Razors &amp; Hair Removal Tools</t>
        </is>
      </c>
      <c r="D11470" t="inlineStr">
        <is>
          <t>Wilkinson Sword</t>
        </is>
      </c>
      <c r="E11470" t="n">
        <v>8.52</v>
      </c>
      <c r="F11470" t="n">
        <v>1</v>
      </c>
      <c r="G11470" t="n">
        <v>7</v>
      </c>
      <c r="H11470" s="5">
        <f>HYPERLINK("https://api.qogita.com/variants/link/4027800108404/", "View Product")</f>
        <v/>
      </c>
    </row>
    <row r="11471">
      <c r="A11471" t="inlineStr">
        <is>
          <t>4027800180103</t>
        </is>
      </c>
      <c r="B11471" t="inlineStr">
        <is>
          <t>CREMO Premium Beard Brush for Men 100% Natural Sisal Wood Handle to Shape and Style Facial Hair</t>
        </is>
      </c>
      <c r="C11471" t="inlineStr">
        <is>
          <t>Beard Care Accessories</t>
        </is>
      </c>
      <c r="D11471" t="inlineStr">
        <is>
          <t>Cremo</t>
        </is>
      </c>
      <c r="E11471" t="n">
        <v>12.62</v>
      </c>
      <c r="F11471" t="n">
        <v>1</v>
      </c>
      <c r="G11471" t="n">
        <v>2</v>
      </c>
      <c r="H11471" s="5">
        <f>HYPERLINK("https://api.qogita.com/variants/link/4027800180103/", "View Product")</f>
        <v/>
      </c>
    </row>
    <row r="11472">
      <c r="A11472" t="inlineStr">
        <is>
          <t>4027800181902</t>
        </is>
      </c>
      <c r="B11472" t="inlineStr">
        <is>
          <t>Cremo Original Classic Shaving Cream 177 Ml</t>
        </is>
      </c>
      <c r="C11472" t="inlineStr">
        <is>
          <t>Shaving</t>
        </is>
      </c>
      <c r="D11472" t="inlineStr">
        <is>
          <t>Cremo</t>
        </is>
      </c>
      <c r="E11472" t="n">
        <v>12.62</v>
      </c>
      <c r="F11472" t="n">
        <v>1</v>
      </c>
      <c r="G11472" t="n">
        <v>3</v>
      </c>
      <c r="H11472" s="5">
        <f>HYPERLINK("https://api.qogita.com/variants/link/4027800181902/", "View Product")</f>
        <v/>
      </c>
    </row>
    <row r="11473">
      <c r="A11473" t="inlineStr">
        <is>
          <t>4027800205301</t>
        </is>
      </c>
      <c r="B11473" t="inlineStr">
        <is>
          <t>Wilkinson Sword Quattro Vintage Edition Razor</t>
        </is>
      </c>
      <c r="C11473" t="inlineStr">
        <is>
          <t>Razors &amp; Hair Removal Tools</t>
        </is>
      </c>
      <c r="D11473" t="inlineStr">
        <is>
          <t>Wilkinson Sword</t>
        </is>
      </c>
      <c r="E11473" t="n">
        <v>10.56</v>
      </c>
      <c r="F11473" t="n">
        <v>1</v>
      </c>
      <c r="G11473" t="n">
        <v>21</v>
      </c>
      <c r="H11473" s="5">
        <f>HYPERLINK("https://api.qogita.com/variants/link/4027800205301/", "View Product")</f>
        <v/>
      </c>
    </row>
    <row r="11474">
      <c r="A11474" t="inlineStr">
        <is>
          <t>4027800232802</t>
        </is>
      </c>
      <c r="B11474" t="inlineStr">
        <is>
          <t>Wilkinson My Intuition Xtreme3 Comfort Sensitive Disposable Razors For Women - 4 Pack</t>
        </is>
      </c>
      <c r="C11474" t="inlineStr">
        <is>
          <t>Razors &amp; Hair Removal Tools</t>
        </is>
      </c>
      <c r="D11474" t="inlineStr">
        <is>
          <t>Wilkinson</t>
        </is>
      </c>
      <c r="E11474" t="n">
        <v>4.97</v>
      </c>
      <c r="F11474" t="n">
        <v>1</v>
      </c>
      <c r="G11474" t="n">
        <v>5</v>
      </c>
      <c r="H11474" s="5">
        <f>HYPERLINK("https://api.qogita.com/variants/link/4027800232802/", "View Product")</f>
        <v/>
      </c>
    </row>
    <row r="11475">
      <c r="A11475" t="inlineStr">
        <is>
          <t>4027800348503</t>
        </is>
      </c>
      <c r="B11475" t="inlineStr">
        <is>
          <t>Wilkinson Sword Disposable Razor Extra Essential 10 5 Pieces</t>
        </is>
      </c>
      <c r="C11475" t="inlineStr">
        <is>
          <t>Razors &amp; Hair Removal Tools</t>
        </is>
      </c>
      <c r="D11475" t="inlineStr">
        <is>
          <t>Wilkinson Sword</t>
        </is>
      </c>
      <c r="E11475" t="n">
        <v>7.01</v>
      </c>
      <c r="F11475" t="n">
        <v>1</v>
      </c>
      <c r="G11475" t="n">
        <v>4</v>
      </c>
      <c r="H11475" s="5">
        <f>HYPERLINK("https://api.qogita.com/variants/link/4027800348503/", "View Product")</f>
        <v/>
      </c>
    </row>
    <row r="11476">
      <c r="A11476" t="inlineStr">
        <is>
          <t>4027800402373</t>
        </is>
      </c>
      <c r="B11476" t="inlineStr">
        <is>
          <t>Wilkinson Hydro 5 Skin Protection Blades</t>
        </is>
      </c>
      <c r="C11476" t="inlineStr">
        <is>
          <t>Razors &amp; Hair Removal Tools</t>
        </is>
      </c>
      <c r="D11476" t="inlineStr">
        <is>
          <t>Wilkinson</t>
        </is>
      </c>
      <c r="E11476" t="n">
        <v>23.88</v>
      </c>
      <c r="F11476" t="n">
        <v>1</v>
      </c>
      <c r="G11476" t="n">
        <v>6</v>
      </c>
      <c r="H11476" s="5">
        <f>HYPERLINK("https://api.qogita.com/variants/link/4027800402373/", "View Product")</f>
        <v/>
      </c>
    </row>
    <row r="11477">
      <c r="A11477" t="inlineStr">
        <is>
          <t>4027800439935</t>
        </is>
      </c>
      <c r="B11477" t="inlineStr">
        <is>
          <t>Wilkinson Sword Hydro 5 Skin Protection Shaver With 1 Spare Head</t>
        </is>
      </c>
      <c r="C11477" t="inlineStr">
        <is>
          <t>Razors &amp; Hair Removal Tools</t>
        </is>
      </c>
      <c r="D11477" t="inlineStr">
        <is>
          <t>Wilkinson Sword</t>
        </is>
      </c>
      <c r="E11477" t="n">
        <v>7.01</v>
      </c>
      <c r="F11477" t="n">
        <v>1</v>
      </c>
      <c r="G11477" t="n">
        <v>5</v>
      </c>
      <c r="H11477" s="5">
        <f>HYPERLINK("https://api.qogita.com/variants/link/4027800439935/", "View Product")</f>
        <v/>
      </c>
    </row>
    <row r="11478">
      <c r="A11478" t="inlineStr">
        <is>
          <t>4027800439966</t>
        </is>
      </c>
      <c r="B11478" t="inlineStr">
        <is>
          <t>Wilkinson Sword Hydro 5 Shaver With Two Replacement Heads</t>
        </is>
      </c>
      <c r="C11478" t="inlineStr">
        <is>
          <t>Razors &amp; Hair Removal Tools</t>
        </is>
      </c>
      <c r="D11478" t="inlineStr">
        <is>
          <t>Wilkinson Sword</t>
        </is>
      </c>
      <c r="E11478" t="n">
        <v>9.390000000000001</v>
      </c>
      <c r="F11478" t="n">
        <v>1</v>
      </c>
      <c r="G11478" t="n">
        <v>3</v>
      </c>
      <c r="H11478" s="5">
        <f>HYPERLINK("https://api.qogita.com/variants/link/4027800439966/", "View Product")</f>
        <v/>
      </c>
    </row>
    <row r="11479">
      <c r="A11479" t="inlineStr">
        <is>
          <t>4027800509904</t>
        </is>
      </c>
      <c r="B11479" t="inlineStr">
        <is>
          <t>Wilkinson Sword Quattro Titanium Sensitive Refill Razor Blade Cartridges - Pack of 8</t>
        </is>
      </c>
      <c r="C11479" t="inlineStr">
        <is>
          <t>Razors &amp; Hair Removal Tools</t>
        </is>
      </c>
      <c r="D11479" t="inlineStr">
        <is>
          <t>Wilkinson Sword</t>
        </is>
      </c>
      <c r="E11479" t="n">
        <v>9.26</v>
      </c>
      <c r="F11479" t="n">
        <v>1</v>
      </c>
      <c r="G11479" t="n">
        <v>110</v>
      </c>
      <c r="H11479" s="5">
        <f>HYPERLINK("https://api.qogita.com/variants/link/4027800509904/", "View Product")</f>
        <v/>
      </c>
    </row>
    <row r="11480">
      <c r="A11480" t="inlineStr">
        <is>
          <t>4027800513604</t>
        </is>
      </c>
      <c r="B11480" t="inlineStr">
        <is>
          <t>Wilkinson Sword 3-Blade Protector</t>
        </is>
      </c>
      <c r="C11480" t="inlineStr">
        <is>
          <t>Razors &amp; Hair Removal Tools</t>
        </is>
      </c>
      <c r="D11480" t="inlineStr">
        <is>
          <t>Wilkinson Sword</t>
        </is>
      </c>
      <c r="E11480" t="n">
        <v>7.5</v>
      </c>
      <c r="F11480" t="n">
        <v>1</v>
      </c>
      <c r="G11480" t="n">
        <v>29</v>
      </c>
      <c r="H11480" s="5">
        <f>HYPERLINK("https://api.qogita.com/variants/link/4027800513604/", "View Product")</f>
        <v/>
      </c>
    </row>
    <row r="11481">
      <c r="A11481" t="inlineStr">
        <is>
          <t>4027800806164</t>
        </is>
      </c>
      <c r="B11481" t="inlineStr">
        <is>
          <t>Wilkinson Sword Intuition Complete Razor With 5 Replacement Blades</t>
        </is>
      </c>
      <c r="C11481" t="inlineStr">
        <is>
          <t>Razors &amp; Hair Removal Tools</t>
        </is>
      </c>
      <c r="D11481" t="inlineStr">
        <is>
          <t>Wilkinson Sword</t>
        </is>
      </c>
      <c r="E11481" t="n">
        <v>26.34</v>
      </c>
      <c r="F11481" t="n">
        <v>1</v>
      </c>
      <c r="G11481" t="n">
        <v>2</v>
      </c>
      <c r="H11481" s="5">
        <f>HYPERLINK("https://api.qogita.com/variants/link/4027800806164/", "View Product")</f>
        <v/>
      </c>
    </row>
    <row r="11482">
      <c r="A11482" t="inlineStr">
        <is>
          <t>4027800884162</t>
        </is>
      </c>
      <c r="B11482" t="inlineStr">
        <is>
          <t>Wilkinson Sword Hydro 5 Skin Protection Sensitive/Advanced Razor Blades</t>
        </is>
      </c>
      <c r="C11482" t="inlineStr">
        <is>
          <t>Razors &amp; Hair Removal Tools</t>
        </is>
      </c>
      <c r="D11482" t="inlineStr">
        <is>
          <t>Wilkinson Sword</t>
        </is>
      </c>
      <c r="E11482" t="n">
        <v>12.03</v>
      </c>
      <c r="F11482" t="n">
        <v>1</v>
      </c>
      <c r="G11482" t="n">
        <v>14</v>
      </c>
      <c r="H11482" s="5">
        <f>HYPERLINK("https://api.qogita.com/variants/link/4027800884162/", "View Product")</f>
        <v/>
      </c>
    </row>
    <row r="11483">
      <c r="A11483" t="inlineStr">
        <is>
          <t>4038432014414</t>
        </is>
      </c>
      <c r="B11483" t="inlineStr">
        <is>
          <t>ZMILE Cosmetics 'Everybody's Darling' Cosmetic Case - Vegan Cosmetics</t>
        </is>
      </c>
      <c r="C11483" t="inlineStr">
        <is>
          <t>Makeup Bags</t>
        </is>
      </c>
      <c r="D11483" t="inlineStr">
        <is>
          <t>Smile Cosmetics</t>
        </is>
      </c>
      <c r="E11483" t="n">
        <v>12.34</v>
      </c>
      <c r="F11483" t="n">
        <v>1</v>
      </c>
      <c r="G11483" t="n">
        <v>713</v>
      </c>
      <c r="H11483" s="5">
        <f>HYPERLINK("https://api.qogita.com/variants/link/4038432014414/", "View Product")</f>
        <v/>
      </c>
    </row>
    <row r="11484">
      <c r="A11484" t="inlineStr">
        <is>
          <t>4038432014469</t>
        </is>
      </c>
      <c r="B11484" t="inlineStr">
        <is>
          <t>ZMILE Cosmetics Acrylic Cosmetic Case - Vegan Makeup</t>
        </is>
      </c>
      <c r="C11484" t="inlineStr">
        <is>
          <t>Makeup Bags</t>
        </is>
      </c>
      <c r="D11484" t="inlineStr">
        <is>
          <t>Smile Cosmetics</t>
        </is>
      </c>
      <c r="E11484" t="n">
        <v>15.24</v>
      </c>
      <c r="F11484" t="n">
        <v>1</v>
      </c>
      <c r="G11484" t="n">
        <v>327</v>
      </c>
      <c r="H11484" s="5">
        <f>HYPERLINK("https://api.qogita.com/variants/link/4038432014469/", "View Product")</f>
        <v/>
      </c>
    </row>
    <row r="11485">
      <c r="A11485" t="inlineStr">
        <is>
          <t>4045787132465</t>
        </is>
      </c>
      <c r="B11485" t="inlineStr">
        <is>
          <t>Schwarzkopf Natural Styling Neutraliser 1000ml</t>
        </is>
      </c>
      <c r="C11485" t="inlineStr">
        <is>
          <t>Hair Care Sets</t>
        </is>
      </c>
      <c r="D11485" t="inlineStr">
        <is>
          <t>Schwarzkopf</t>
        </is>
      </c>
      <c r="E11485" t="n">
        <v>8.699999999999999</v>
      </c>
      <c r="F11485" t="n">
        <v>1</v>
      </c>
      <c r="G11485" t="n">
        <v>2</v>
      </c>
      <c r="H11485" s="5">
        <f>HYPERLINK("https://api.qogita.com/variants/link/4045787132465/", "View Product")</f>
        <v/>
      </c>
    </row>
    <row r="11486">
      <c r="A11486" t="inlineStr">
        <is>
          <t>4045787464030</t>
        </is>
      </c>
      <c r="B11486" t="inlineStr">
        <is>
          <t>Schwarzkopf Professional Silhouette Super Hold Hairspray 500ml Super Strong Hairspray</t>
        </is>
      </c>
      <c r="C11486" t="inlineStr">
        <is>
          <t>Hairspray</t>
        </is>
      </c>
      <c r="D11486" t="inlineStr">
        <is>
          <t>Schwarzkopf</t>
        </is>
      </c>
      <c r="E11486" t="n">
        <v>7.5</v>
      </c>
      <c r="F11486" t="n">
        <v>1</v>
      </c>
      <c r="G11486" t="n">
        <v>9</v>
      </c>
      <c r="H11486" s="5">
        <f>HYPERLINK("https://api.qogita.com/variants/link/4045787464030/", "View Product")</f>
        <v/>
      </c>
    </row>
    <row r="11487">
      <c r="A11487" t="inlineStr">
        <is>
          <t>4045787635973</t>
        </is>
      </c>
      <c r="B11487" t="inlineStr">
        <is>
          <t>Schwarzkopf Professional Blondme All Blondes Rich Conditioner 1000ml</t>
        </is>
      </c>
      <c r="C11487" t="inlineStr">
        <is>
          <t>Conditioner</t>
        </is>
      </c>
      <c r="D11487" t="inlineStr">
        <is>
          <t>Schwarzkopf</t>
        </is>
      </c>
      <c r="E11487" t="n">
        <v>21.3</v>
      </c>
      <c r="F11487" t="n">
        <v>1</v>
      </c>
      <c r="G11487" t="n">
        <v>5</v>
      </c>
      <c r="H11487" s="5">
        <f>HYPERLINK("https://api.qogita.com/variants/link/4045787635973/", "View Product")</f>
        <v/>
      </c>
    </row>
    <row r="11488">
      <c r="A11488" t="inlineStr">
        <is>
          <t>4045787689365</t>
        </is>
      </c>
      <c r="B11488" t="inlineStr">
        <is>
          <t>Hair Primer 250ml</t>
        </is>
      </c>
      <c r="C11488" t="inlineStr">
        <is>
          <t>Hair Care Sets</t>
        </is>
      </c>
      <c r="D11488" t="inlineStr">
        <is>
          <t>Schwarzkopf</t>
        </is>
      </c>
      <c r="E11488" t="n">
        <v>8.199999999999999</v>
      </c>
      <c r="F11488" t="n">
        <v>1</v>
      </c>
      <c r="G11488" t="n">
        <v>2</v>
      </c>
      <c r="H11488" s="5">
        <f>HYPERLINK("https://api.qogita.com/variants/link/4045787689365/", "View Product")</f>
        <v/>
      </c>
    </row>
    <row r="11489">
      <c r="A11489" t="inlineStr">
        <is>
          <t>4045787689426</t>
        </is>
      </c>
      <c r="B11489" t="inlineStr">
        <is>
          <t>Crema Skin Protect Barrier 100ml</t>
        </is>
      </c>
      <c r="C11489" t="inlineStr">
        <is>
          <t>Neurodermatitis</t>
        </is>
      </c>
      <c r="D11489" t="inlineStr">
        <is>
          <t>Schwarzkopf</t>
        </is>
      </c>
      <c r="E11489" t="n">
        <v>8.75</v>
      </c>
      <c r="F11489" t="n">
        <v>1</v>
      </c>
      <c r="G11489" t="n">
        <v>5</v>
      </c>
      <c r="H11489" s="5">
        <f>HYPERLINK("https://api.qogita.com/variants/link/4045787689426/", "View Product")</f>
        <v/>
      </c>
    </row>
    <row r="11490">
      <c r="A11490" t="inlineStr">
        <is>
          <t>4045787723175</t>
        </is>
      </c>
      <c r="B11490" t="inlineStr">
        <is>
          <t>Schwarzkopf Professional Bc Repair Rescue Sealed Ends 100ml</t>
        </is>
      </c>
      <c r="C11490" t="inlineStr">
        <is>
          <t>Hair Oil &amp; Hair Serum</t>
        </is>
      </c>
      <c r="D11490" t="inlineStr">
        <is>
          <t>Schwarzkopf</t>
        </is>
      </c>
      <c r="E11490" t="n">
        <v>9.56</v>
      </c>
      <c r="F11490" t="n">
        <v>1</v>
      </c>
      <c r="G11490" t="n">
        <v>47</v>
      </c>
      <c r="H11490" s="5">
        <f>HYPERLINK("https://api.qogita.com/variants/link/4045787723175/", "View Product")</f>
        <v/>
      </c>
    </row>
    <row r="11491">
      <c r="A11491" t="inlineStr">
        <is>
          <t>4045787723878</t>
        </is>
      </c>
      <c r="B11491" t="inlineStr">
        <is>
          <t>Bc Bonacure Repair Rescue Treatment Restorative Mask For Damaged Hair 200ml</t>
        </is>
      </c>
      <c r="C11491" t="inlineStr">
        <is>
          <t>Hair Masks</t>
        </is>
      </c>
      <c r="D11491" t="inlineStr">
        <is>
          <t>Bc Bonacure</t>
        </is>
      </c>
      <c r="E11491" t="n">
        <v>10.56</v>
      </c>
      <c r="F11491" t="n">
        <v>1</v>
      </c>
      <c r="G11491" t="n">
        <v>2</v>
      </c>
      <c r="H11491" s="5">
        <f>HYPERLINK("https://api.qogita.com/variants/link/4045787723878/", "View Product")</f>
        <v/>
      </c>
    </row>
    <row r="11492">
      <c r="A11492" t="inlineStr">
        <is>
          <t>4045787723991</t>
        </is>
      </c>
      <c r="B11492" t="inlineStr">
        <is>
          <t>Bc Bonacure Repair Rescue Conditioner Intensive Cream Conditioner For Damaged Hair 200ml</t>
        </is>
      </c>
      <c r="C11492" t="inlineStr">
        <is>
          <t>Conditioner</t>
        </is>
      </c>
      <c r="D11492" t="inlineStr">
        <is>
          <t>Bc Bonacure</t>
        </is>
      </c>
      <c r="E11492" t="n">
        <v>8.42</v>
      </c>
      <c r="F11492" t="n">
        <v>1</v>
      </c>
      <c r="G11492" t="n">
        <v>3</v>
      </c>
      <c r="H11492" s="5">
        <f>HYPERLINK("https://api.qogita.com/variants/link/4045787723991/", "View Product")</f>
        <v/>
      </c>
    </row>
    <row r="11493">
      <c r="A11493" t="inlineStr">
        <is>
          <t>4045787724851</t>
        </is>
      </c>
      <c r="B11493" t="inlineStr">
        <is>
          <t>Bc Bonacure Volume Boost Shampoo Cleansing Shampoo For Fine And Weakened Hair 1000ml</t>
        </is>
      </c>
      <c r="C11493" t="inlineStr">
        <is>
          <t>Shampoo</t>
        </is>
      </c>
      <c r="D11493" t="inlineStr">
        <is>
          <t>Bc Bonacure</t>
        </is>
      </c>
      <c r="E11493" t="n">
        <v>19.07</v>
      </c>
      <c r="F11493" t="n">
        <v>1</v>
      </c>
      <c r="G11493" t="n">
        <v>5</v>
      </c>
      <c r="H11493" s="5">
        <f>HYPERLINK("https://api.qogita.com/variants/link/4045787724851/", "View Product")</f>
        <v/>
      </c>
    </row>
    <row r="11494">
      <c r="A11494" t="inlineStr">
        <is>
          <t>4045787725438</t>
        </is>
      </c>
      <c r="B11494" t="inlineStr">
        <is>
          <t>Schwarzkopf Professional Bc Bonacure Frizz Away Smoothing Shampoo For Frizzy Hair 1000ml</t>
        </is>
      </c>
      <c r="C11494" t="inlineStr">
        <is>
          <t>Shampoo</t>
        </is>
      </c>
      <c r="D11494" t="inlineStr">
        <is>
          <t>Schwarzkopf</t>
        </is>
      </c>
      <c r="E11494" t="n">
        <v>17.03</v>
      </c>
      <c r="F11494" t="n">
        <v>1</v>
      </c>
      <c r="G11494" t="n">
        <v>5</v>
      </c>
      <c r="H11494" s="5">
        <f>HYPERLINK("https://api.qogita.com/variants/link/4045787725438/", "View Product")</f>
        <v/>
      </c>
    </row>
    <row r="11495">
      <c r="A11495" t="inlineStr">
        <is>
          <t>4045787725797</t>
        </is>
      </c>
      <c r="B11495" t="inlineStr">
        <is>
          <t>Schwarzkopf Professional Bc Bonacure Hyaluronic Moisture Mask For Dry Hair - 200ml</t>
        </is>
      </c>
      <c r="C11495" t="inlineStr">
        <is>
          <t>Hair Masks</t>
        </is>
      </c>
      <c r="D11495" t="inlineStr">
        <is>
          <t>Schwarzkopf</t>
        </is>
      </c>
      <c r="E11495" t="n">
        <v>11.83</v>
      </c>
      <c r="F11495" t="n">
        <v>1</v>
      </c>
      <c r="G11495" t="n">
        <v>2</v>
      </c>
      <c r="H11495" s="5">
        <f>HYPERLINK("https://api.qogita.com/variants/link/4045787725797/", "View Product")</f>
        <v/>
      </c>
    </row>
    <row r="11496">
      <c r="A11496" t="inlineStr">
        <is>
          <t>4045787725872</t>
        </is>
      </c>
      <c r="B11496" t="inlineStr">
        <is>
          <t>Schwarzkopf Bc Color Freeze Silver Treatment 500ml Professional Hair Care For Color Treated Hair</t>
        </is>
      </c>
      <c r="C11496" t="inlineStr">
        <is>
          <t>Conditioner</t>
        </is>
      </c>
      <c r="D11496" t="inlineStr">
        <is>
          <t>Schwarzkopf</t>
        </is>
      </c>
      <c r="E11496" t="n">
        <v>13.26</v>
      </c>
      <c r="F11496" t="n">
        <v>1</v>
      </c>
      <c r="G11496" t="n">
        <v>3</v>
      </c>
      <c r="H11496" s="5">
        <f>HYPERLINK("https://api.qogita.com/variants/link/4045787725872/", "View Product")</f>
        <v/>
      </c>
    </row>
    <row r="11497">
      <c r="A11497" t="inlineStr">
        <is>
          <t>4045787726152</t>
        </is>
      </c>
      <c r="B11497" t="inlineStr">
        <is>
          <t>Schwarzkopf BC Bonacure Clean Balance Deep Cleansing Shampoo 250ml</t>
        </is>
      </c>
      <c r="C11497" t="inlineStr">
        <is>
          <t>Shampoo</t>
        </is>
      </c>
      <c r="D11497" t="inlineStr">
        <is>
          <t>Schwarzkopf</t>
        </is>
      </c>
      <c r="E11497" t="n">
        <v>6.86</v>
      </c>
      <c r="F11497" t="n">
        <v>1</v>
      </c>
      <c r="G11497" t="n">
        <v>19</v>
      </c>
      <c r="H11497" s="5">
        <f>HYPERLINK("https://api.qogita.com/variants/link/4045787726152/", "View Product")</f>
        <v/>
      </c>
    </row>
    <row r="11498">
      <c r="A11498" t="inlineStr">
        <is>
          <t>4045787726312</t>
        </is>
      </c>
      <c r="B11498" t="inlineStr">
        <is>
          <t>Bc Bonacure Time Restore Conditioner Rich Treatment For Dry And Brittle Mature Hair 1000ml</t>
        </is>
      </c>
      <c r="C11498" t="inlineStr">
        <is>
          <t>Conditioner</t>
        </is>
      </c>
      <c r="D11498" t="inlineStr">
        <is>
          <t>Bc Bonacure</t>
        </is>
      </c>
      <c r="E11498" t="n">
        <v>20.54</v>
      </c>
      <c r="F11498" t="n">
        <v>1</v>
      </c>
      <c r="G11498" t="n">
        <v>6</v>
      </c>
      <c r="H11498" s="5">
        <f>HYPERLINK("https://api.qogita.com/variants/link/4045787726312/", "View Product")</f>
        <v/>
      </c>
    </row>
    <row r="11499">
      <c r="A11499" t="inlineStr">
        <is>
          <t>4045787726558</t>
        </is>
      </c>
      <c r="B11499" t="inlineStr">
        <is>
          <t>Bc Bonacure Time Restore Conditioner Rich Treatment For Dry And Brittle Mature Hair 200ml</t>
        </is>
      </c>
      <c r="C11499" t="inlineStr">
        <is>
          <t>Conditioner</t>
        </is>
      </c>
      <c r="D11499" t="inlineStr">
        <is>
          <t>Bc Bonacure</t>
        </is>
      </c>
      <c r="E11499" t="n">
        <v>8.9</v>
      </c>
      <c r="F11499" t="n">
        <v>1</v>
      </c>
      <c r="G11499" t="n">
        <v>24</v>
      </c>
      <c r="H11499" s="5">
        <f>HYPERLINK("https://api.qogita.com/variants/link/4045787726558/", "View Product")</f>
        <v/>
      </c>
    </row>
    <row r="11500">
      <c r="A11500" t="inlineStr">
        <is>
          <t>4045787726794</t>
        </is>
      </c>
      <c r="B11500" t="inlineStr">
        <is>
          <t>Schwarzkopf Professional Bc Frizzaway Treatment Mask 200ml</t>
        </is>
      </c>
      <c r="C11500" t="inlineStr">
        <is>
          <t>Hair Masks</t>
        </is>
      </c>
      <c r="D11500" t="inlineStr">
        <is>
          <t>Schwarzkopf</t>
        </is>
      </c>
      <c r="E11500" t="n">
        <v>9.82</v>
      </c>
      <c r="F11500" t="n">
        <v>1</v>
      </c>
      <c r="G11500" t="n">
        <v>8</v>
      </c>
      <c r="H11500" s="5">
        <f>HYPERLINK("https://api.qogita.com/variants/link/4045787726794/", "View Product")</f>
        <v/>
      </c>
    </row>
    <row r="11501">
      <c r="A11501" t="inlineStr">
        <is>
          <t>4045787727999</t>
        </is>
      </c>
      <c r="B11501" t="inlineStr">
        <is>
          <t>Bc Bonacure Volume Boost Shampoo Cleansing Shampoo For Fine And Weakened Hair 250ml</t>
        </is>
      </c>
      <c r="C11501" t="inlineStr">
        <is>
          <t>Shampoo</t>
        </is>
      </c>
      <c r="D11501" t="inlineStr">
        <is>
          <t>Bc Bonacure</t>
        </is>
      </c>
      <c r="E11501" t="n">
        <v>6.95</v>
      </c>
      <c r="F11501" t="n">
        <v>1</v>
      </c>
      <c r="G11501" t="n">
        <v>8</v>
      </c>
      <c r="H11501" s="5">
        <f>HYPERLINK("https://api.qogita.com/variants/link/4045787727999/", "View Product")</f>
        <v/>
      </c>
    </row>
    <row r="11502">
      <c r="A11502" t="inlineStr">
        <is>
          <t>4045787728811</t>
        </is>
      </c>
      <c r="B11502" t="inlineStr">
        <is>
          <t>Bc Bonacure Volume Boost Jelly Conditioner Light Gel-Like Conditioner For Thin And Weak Hair 1000ml</t>
        </is>
      </c>
      <c r="C11502" t="inlineStr">
        <is>
          <t>Conditioner</t>
        </is>
      </c>
      <c r="D11502" t="inlineStr">
        <is>
          <t>Bc Bonacure</t>
        </is>
      </c>
      <c r="E11502" t="n">
        <v>20.93</v>
      </c>
      <c r="F11502" t="n">
        <v>1</v>
      </c>
      <c r="G11502" t="n">
        <v>3</v>
      </c>
      <c r="H11502" s="5">
        <f>HYPERLINK("https://api.qogita.com/variants/link/4045787728811/", "View Product")</f>
        <v/>
      </c>
    </row>
    <row r="11503">
      <c r="A11503" t="inlineStr">
        <is>
          <t>4045787728934</t>
        </is>
      </c>
      <c r="B11503" t="inlineStr">
        <is>
          <t>Schwarzkopf Bc Clean Balance Antipollution Water Spray 150ml</t>
        </is>
      </c>
      <c r="C11503" t="inlineStr">
        <is>
          <t>Scalp Care</t>
        </is>
      </c>
      <c r="D11503" t="inlineStr">
        <is>
          <t>Schwarzkopf</t>
        </is>
      </c>
      <c r="E11503" t="n">
        <v>6.7</v>
      </c>
      <c r="F11503" t="n">
        <v>1</v>
      </c>
      <c r="G11503" t="n">
        <v>4</v>
      </c>
      <c r="H11503" s="5">
        <f>HYPERLINK("https://api.qogita.com/variants/link/4045787728934/", "View Product")</f>
        <v/>
      </c>
    </row>
    <row r="11504">
      <c r="A11504" t="inlineStr">
        <is>
          <t>4045787762747</t>
        </is>
      </c>
      <c r="B11504" t="inlineStr">
        <is>
          <t>Schwarzkopf Professional BlondMe Bond Enforcing Lift &amp; Blend Ash 60ml</t>
        </is>
      </c>
      <c r="C11504" t="inlineStr">
        <is>
          <t>Bleaching</t>
        </is>
      </c>
      <c r="D11504" t="inlineStr">
        <is>
          <t>Schwarzkopf</t>
        </is>
      </c>
      <c r="E11504" t="n">
        <v>7.5</v>
      </c>
      <c r="F11504" t="n">
        <v>1</v>
      </c>
      <c r="G11504" t="n">
        <v>3</v>
      </c>
      <c r="H11504" s="5">
        <f>HYPERLINK("https://api.qogita.com/variants/link/4045787762747/", "View Product")</f>
        <v/>
      </c>
    </row>
    <row r="11505">
      <c r="A11505" t="inlineStr">
        <is>
          <t>4045787925401</t>
        </is>
      </c>
      <c r="B11505" t="inlineStr">
        <is>
          <t>Schwarzkopf BlondMe Premium Developer 9% 1000ml</t>
        </is>
      </c>
      <c r="C11505" t="inlineStr">
        <is>
          <t>Bleaching</t>
        </is>
      </c>
      <c r="D11505" t="inlineStr">
        <is>
          <t>Schwarzkopf</t>
        </is>
      </c>
      <c r="E11505" t="n">
        <v>7.95</v>
      </c>
      <c r="F11505" t="n">
        <v>1</v>
      </c>
      <c r="G11505" t="n">
        <v>11</v>
      </c>
      <c r="H11505" s="5">
        <f>HYPERLINK("https://api.qogita.com/variants/link/4045787925401/", "View Product")</f>
        <v/>
      </c>
    </row>
    <row r="11506">
      <c r="A11506" t="inlineStr">
        <is>
          <t>4045787926484</t>
        </is>
      </c>
      <c r="B11506" t="inlineStr">
        <is>
          <t>Schwarzkopf BlondMe Color DeepTon Peach Sorbet Toning 60ml</t>
        </is>
      </c>
      <c r="C11506" t="inlineStr">
        <is>
          <t>Hair Dye</t>
        </is>
      </c>
      <c r="D11506" t="inlineStr">
        <is>
          <t>Schwarzkopf</t>
        </is>
      </c>
      <c r="E11506" t="n">
        <v>7.5</v>
      </c>
      <c r="F11506" t="n">
        <v>1</v>
      </c>
      <c r="G11506" t="n">
        <v>11</v>
      </c>
      <c r="H11506" s="5">
        <f>HYPERLINK("https://api.qogita.com/variants/link/4045787926484/", "View Product")</f>
        <v/>
      </c>
    </row>
    <row r="11507">
      <c r="A11507" t="inlineStr">
        <is>
          <t>4045787931525</t>
        </is>
      </c>
      <c r="B11507" t="inlineStr">
        <is>
          <t>Schwarzkopf BlondeMe Premium9 Brightener 450g</t>
        </is>
      </c>
      <c r="C11507" t="inlineStr">
        <is>
          <t>Bleaching</t>
        </is>
      </c>
      <c r="D11507" t="inlineStr">
        <is>
          <t>Schwarzkopf</t>
        </is>
      </c>
      <c r="E11507" t="n">
        <v>20.85</v>
      </c>
      <c r="F11507" t="n">
        <v>1</v>
      </c>
      <c r="G11507" t="n">
        <v>45</v>
      </c>
      <c r="H11507" s="5">
        <f>HYPERLINK("https://api.qogita.com/variants/link/4045787931525/", "View Product")</f>
        <v/>
      </c>
    </row>
    <row r="11508">
      <c r="A11508" t="inlineStr">
        <is>
          <t>4045787936452</t>
        </is>
      </c>
      <c r="B11508" t="inlineStr">
        <is>
          <t>Schwarzkopf Professional Osis+ Bounty Balm Curl Cream 150ml</t>
        </is>
      </c>
      <c r="C11508" t="inlineStr">
        <is>
          <t>Styling Creams</t>
        </is>
      </c>
      <c r="D11508" t="inlineStr">
        <is>
          <t>Schwarzkopf</t>
        </is>
      </c>
      <c r="E11508" t="n">
        <v>8.859999999999999</v>
      </c>
      <c r="F11508" t="n">
        <v>1</v>
      </c>
      <c r="G11508" t="n">
        <v>39</v>
      </c>
      <c r="H11508" s="5">
        <f>HYPERLINK("https://api.qogita.com/variants/link/4045787936452/", "View Product")</f>
        <v/>
      </c>
    </row>
    <row r="11509">
      <c r="A11509" t="inlineStr">
        <is>
          <t>4045787936575</t>
        </is>
      </c>
      <c r="B11509" t="inlineStr">
        <is>
          <t>Schwarzkopf Professional Osis Pump Up Multifunctional Hair Volume Paste 85 Ml</t>
        </is>
      </c>
      <c r="C11509" t="inlineStr">
        <is>
          <t>Wax</t>
        </is>
      </c>
      <c r="D11509" t="inlineStr">
        <is>
          <t>Schwarzkopf</t>
        </is>
      </c>
      <c r="E11509" t="n">
        <v>8.16</v>
      </c>
      <c r="F11509" t="n">
        <v>1</v>
      </c>
      <c r="G11509" t="n">
        <v>8</v>
      </c>
      <c r="H11509" s="5">
        <f>HYPERLINK("https://api.qogita.com/variants/link/4045787936575/", "View Product")</f>
        <v/>
      </c>
    </row>
    <row r="11510">
      <c r="A11510" t="inlineStr">
        <is>
          <t>4045787936650</t>
        </is>
      </c>
      <c r="B11510" t="inlineStr">
        <is>
          <t>Schwarzkopf Professional Osis+ Tipsy Twirl Hair Gel For Defining Waves And Curls 300ml</t>
        </is>
      </c>
      <c r="C11510" t="inlineStr">
        <is>
          <t>Gel</t>
        </is>
      </c>
      <c r="D11510" t="inlineStr">
        <is>
          <t>Schwarzkopf</t>
        </is>
      </c>
      <c r="E11510" t="n">
        <v>7.75</v>
      </c>
      <c r="F11510" t="n">
        <v>1</v>
      </c>
      <c r="G11510" t="n">
        <v>76</v>
      </c>
      <c r="H11510" s="5">
        <f>HYPERLINK("https://api.qogita.com/variants/link/4045787936650/", "View Product")</f>
        <v/>
      </c>
    </row>
    <row r="11511">
      <c r="A11511" t="inlineStr">
        <is>
          <t>4045787955811</t>
        </is>
      </c>
      <c r="B11511" t="inlineStr">
        <is>
          <t>Schwarzkopf Igora Royal Silver Whites Colors 60ml</t>
        </is>
      </c>
      <c r="C11511" t="inlineStr">
        <is>
          <t>Hair Dye</t>
        </is>
      </c>
      <c r="D11511" t="inlineStr">
        <is>
          <t>Schwarzkopf</t>
        </is>
      </c>
      <c r="E11511" t="n">
        <v>6.27</v>
      </c>
      <c r="F11511" t="n">
        <v>1</v>
      </c>
      <c r="G11511" t="n">
        <v>5</v>
      </c>
      <c r="H11511" s="5">
        <f>HYPERLINK("https://api.qogita.com/variants/link/4045787955811/", "View Product")</f>
        <v/>
      </c>
    </row>
    <row r="11512">
      <c r="A11512" t="inlineStr">
        <is>
          <t>4045787979770</t>
        </is>
      </c>
      <c r="B11512" t="inlineStr">
        <is>
          <t>Schwarzkopf Igora Royal Oil Developer 12% 1000ml</t>
        </is>
      </c>
      <c r="C11512" t="inlineStr">
        <is>
          <t>Hair Dye</t>
        </is>
      </c>
      <c r="D11512" t="inlineStr">
        <is>
          <t>Schwarzkopf</t>
        </is>
      </c>
      <c r="E11512" t="n">
        <v>6.58</v>
      </c>
      <c r="F11512" t="n">
        <v>1</v>
      </c>
      <c r="G11512" t="n">
        <v>8</v>
      </c>
      <c r="H11512" s="5">
        <f>HYPERLINK("https://api.qogita.com/variants/link/4045787979770/", "View Product")</f>
        <v/>
      </c>
    </row>
    <row r="11513">
      <c r="A11513" t="inlineStr">
        <is>
          <t>4045787998337</t>
        </is>
      </c>
      <c r="B11513" t="inlineStr">
        <is>
          <t>Schwarzkopf Professional Bc Bonacure Root Activating Shampoo For Weak And Thinning Hair 250ml</t>
        </is>
      </c>
      <c r="C11513" t="inlineStr">
        <is>
          <t>Shampoo</t>
        </is>
      </c>
      <c r="D11513" t="inlineStr">
        <is>
          <t>Schwarzkopf</t>
        </is>
      </c>
      <c r="E11513" t="n">
        <v>7.03</v>
      </c>
      <c r="F11513" t="n">
        <v>1</v>
      </c>
      <c r="G11513" t="n">
        <v>2</v>
      </c>
      <c r="H11513" s="5">
        <f>HYPERLINK("https://api.qogita.com/variants/link/4045787998337/", "View Product")</f>
        <v/>
      </c>
    </row>
    <row r="11514">
      <c r="A11514" t="inlineStr">
        <is>
          <t>4045787998450</t>
        </is>
      </c>
      <c r="B11514" t="inlineStr">
        <is>
          <t>Schwarzkopf Professional Bc Bonacure Scalp Soothing Shampoo 250ml For Dry And Sensitive Scalp</t>
        </is>
      </c>
      <c r="C11514" t="inlineStr">
        <is>
          <t>Shampoo</t>
        </is>
      </c>
      <c r="D11514" t="inlineStr">
        <is>
          <t>Schwarzkopf</t>
        </is>
      </c>
      <c r="E11514" t="n">
        <v>6.15</v>
      </c>
      <c r="F11514" t="n">
        <v>1</v>
      </c>
      <c r="G11514" t="n">
        <v>4</v>
      </c>
      <c r="H11514" s="5">
        <f>HYPERLINK("https://api.qogita.com/variants/link/4045787998450/", "View Product")</f>
        <v/>
      </c>
    </row>
    <row r="11515">
      <c r="A11515" t="inlineStr">
        <is>
          <t>4045787999129</t>
        </is>
      </c>
      <c r="B11515" t="inlineStr">
        <is>
          <t>Schwarzkopf Professional Osis+ Elastic Flexible Hair Spray 300ml</t>
        </is>
      </c>
      <c r="C11515" t="inlineStr">
        <is>
          <t>Hairspray</t>
        </is>
      </c>
      <c r="D11515" t="inlineStr">
        <is>
          <t>Schwarzkopf</t>
        </is>
      </c>
      <c r="E11515" t="n">
        <v>6.34</v>
      </c>
      <c r="F11515" t="n">
        <v>1</v>
      </c>
      <c r="G11515" t="n">
        <v>117</v>
      </c>
      <c r="H11515" s="5">
        <f>HYPERLINK("https://api.qogita.com/variants/link/4045787999129/", "View Product")</f>
        <v/>
      </c>
    </row>
    <row r="11516">
      <c r="A11516" t="inlineStr">
        <is>
          <t>4045787999143</t>
        </is>
      </c>
      <c r="B11516" t="inlineStr">
        <is>
          <t>Osis+ Freeze Strong Hold Hair Spray 300ml</t>
        </is>
      </c>
      <c r="C11516" t="inlineStr">
        <is>
          <t>Hairspray</t>
        </is>
      </c>
      <c r="D11516" t="inlineStr">
        <is>
          <t>Osis</t>
        </is>
      </c>
      <c r="E11516" t="n">
        <v>6.49</v>
      </c>
      <c r="F11516" t="n">
        <v>1</v>
      </c>
      <c r="G11516" t="n">
        <v>44</v>
      </c>
      <c r="H11516" s="5">
        <f>HYPERLINK("https://api.qogita.com/variants/link/4045787999143/", "View Product")</f>
        <v/>
      </c>
    </row>
    <row r="11517">
      <c r="A11517" t="inlineStr">
        <is>
          <t>4045787999167</t>
        </is>
      </c>
      <c r="B11517" t="inlineStr">
        <is>
          <t>Schwarzkopf Professional Osis+ G.Force Hair Styling Gel 150ml</t>
        </is>
      </c>
      <c r="C11517" t="inlineStr">
        <is>
          <t>Gel</t>
        </is>
      </c>
      <c r="D11517" t="inlineStr">
        <is>
          <t>Schwarzkopf</t>
        </is>
      </c>
      <c r="E11517" t="n">
        <v>7.51</v>
      </c>
      <c r="F11517" t="n">
        <v>1</v>
      </c>
      <c r="G11517" t="n">
        <v>16</v>
      </c>
      <c r="H11517" s="5">
        <f>HYPERLINK("https://api.qogita.com/variants/link/4045787999167/", "View Product")</f>
        <v/>
      </c>
    </row>
    <row r="11518">
      <c r="A11518" t="inlineStr">
        <is>
          <t>4045787999303</t>
        </is>
      </c>
      <c r="B11518" t="inlineStr">
        <is>
          <t>Osis+ Session Strong Hold Hair Spray 100ml - Strong Hold Hair Spray</t>
        </is>
      </c>
      <c r="C11518" t="inlineStr">
        <is>
          <t>Hairspray</t>
        </is>
      </c>
      <c r="D11518" t="inlineStr">
        <is>
          <t>Osis</t>
        </is>
      </c>
      <c r="E11518" t="n">
        <v>5.17</v>
      </c>
      <c r="F11518" t="n">
        <v>1</v>
      </c>
      <c r="G11518" t="n">
        <v>49</v>
      </c>
      <c r="H11518" s="5">
        <f>HYPERLINK("https://api.qogita.com/variants/link/4045787999303/", "View Product")</f>
        <v/>
      </c>
    </row>
    <row r="11519">
      <c r="A11519" t="inlineStr">
        <is>
          <t>4045787999327</t>
        </is>
      </c>
      <c r="B11519" t="inlineStr">
        <is>
          <t>Schwarzkopf Professional Osis+ Flexwax Cream Wax For Hair 85ml</t>
        </is>
      </c>
      <c r="C11519" t="inlineStr">
        <is>
          <t>Wax</t>
        </is>
      </c>
      <c r="D11519" t="inlineStr">
        <is>
          <t>Schwarzkopf</t>
        </is>
      </c>
      <c r="E11519" t="n">
        <v>7</v>
      </c>
      <c r="F11519" t="n">
        <v>1</v>
      </c>
      <c r="G11519" t="n">
        <v>80</v>
      </c>
      <c r="H11519" s="5">
        <f>HYPERLINK("https://api.qogita.com/variants/link/4045787999327/", "View Product")</f>
        <v/>
      </c>
    </row>
    <row r="11520">
      <c r="A11520" t="inlineStr">
        <is>
          <t>4045787999365</t>
        </is>
      </c>
      <c r="B11520" t="inlineStr">
        <is>
          <t>Schwarzkopf Professional Osis + Session Extra Strong Hair Spray - 300ml</t>
        </is>
      </c>
      <c r="C11520" t="inlineStr">
        <is>
          <t>Hairspray</t>
        </is>
      </c>
      <c r="D11520" t="inlineStr">
        <is>
          <t>Schwarzkopf</t>
        </is>
      </c>
      <c r="E11520" t="n">
        <v>6.39</v>
      </c>
      <c r="F11520" t="n">
        <v>1</v>
      </c>
      <c r="G11520" t="n">
        <v>99</v>
      </c>
      <c r="H11520" s="5">
        <f>HYPERLINK("https://api.qogita.com/variants/link/4045787999365/", "View Product")</f>
        <v/>
      </c>
    </row>
    <row r="11521">
      <c r="A11521" t="inlineStr">
        <is>
          <t>4045787999488</t>
        </is>
      </c>
      <c r="B11521" t="inlineStr">
        <is>
          <t>Schwarzkopf Professional Osis+ Mighty Matte Hair Styling Cream 100ml</t>
        </is>
      </c>
      <c r="C11521" t="inlineStr">
        <is>
          <t>Styling Creams</t>
        </is>
      </c>
      <c r="D11521" t="inlineStr">
        <is>
          <t>Schwarzkopf</t>
        </is>
      </c>
      <c r="E11521" t="n">
        <v>7.25</v>
      </c>
      <c r="F11521" t="n">
        <v>1</v>
      </c>
      <c r="G11521" t="n">
        <v>69</v>
      </c>
      <c r="H11521" s="5">
        <f>HYPERLINK("https://api.qogita.com/variants/link/4045787999488/", "View Product")</f>
        <v/>
      </c>
    </row>
    <row r="11522">
      <c r="A11522" t="inlineStr">
        <is>
          <t>7350016331586</t>
        </is>
      </c>
      <c r="B11522" t="inlineStr">
        <is>
          <t>SACHAJUAN Intensive Repair Conditioner 250ml</t>
        </is>
      </c>
      <c r="C11522" t="inlineStr">
        <is>
          <t>Conditioner</t>
        </is>
      </c>
      <c r="D11522" t="inlineStr">
        <is>
          <t>Sachajuan</t>
        </is>
      </c>
      <c r="E11522" t="n">
        <v>19.79</v>
      </c>
      <c r="F11522" t="n">
        <v>1</v>
      </c>
      <c r="G11522" t="n">
        <v>5</v>
      </c>
      <c r="H11522" s="5">
        <f>HYPERLINK("https://api.qogita.com/variants/link/7350016331586/", "View Product")</f>
        <v/>
      </c>
    </row>
    <row r="11523">
      <c r="A11523" t="inlineStr">
        <is>
          <t>7350016331692</t>
        </is>
      </c>
      <c r="B11523" t="inlineStr">
        <is>
          <t>SACHAJUAN Volume Cream 4.2 Fl Oz</t>
        </is>
      </c>
      <c r="C11523" t="inlineStr">
        <is>
          <t>Styling Creams</t>
        </is>
      </c>
      <c r="D11523" t="inlineStr">
        <is>
          <t>Sachajuan</t>
        </is>
      </c>
      <c r="E11523" t="n">
        <v>19.78</v>
      </c>
      <c r="F11523" t="n">
        <v>1</v>
      </c>
      <c r="G11523" t="n">
        <v>2</v>
      </c>
      <c r="H11523" s="5">
        <f>HYPERLINK("https://api.qogita.com/variants/link/7350016331692/", "View Product")</f>
        <v/>
      </c>
    </row>
    <row r="11524">
      <c r="A11524" t="inlineStr">
        <is>
          <t>7350016331708</t>
        </is>
      </c>
      <c r="B11524" t="inlineStr">
        <is>
          <t>Sachajuan Finish Cream Hair Styling Cream</t>
        </is>
      </c>
      <c r="C11524" t="inlineStr">
        <is>
          <t>Styling Creams</t>
        </is>
      </c>
      <c r="D11524" t="inlineStr">
        <is>
          <t>Sachajuan</t>
        </is>
      </c>
      <c r="E11524" t="n">
        <v>17.9</v>
      </c>
      <c r="F11524" t="n">
        <v>1</v>
      </c>
      <c r="G11524" t="n">
        <v>9</v>
      </c>
      <c r="H11524" s="5">
        <f>HYPERLINK("https://api.qogita.com/variants/link/7350016331708/", "View Product")</f>
        <v/>
      </c>
    </row>
    <row r="11525">
      <c r="A11525" t="inlineStr">
        <is>
          <t>7350016331777</t>
        </is>
      </c>
      <c r="B11525" t="inlineStr">
        <is>
          <t>SACHAJUAN Hair Cleansing Cream 500ml</t>
        </is>
      </c>
      <c r="C11525" t="inlineStr">
        <is>
          <t>Shampoo</t>
        </is>
      </c>
      <c r="D11525" t="inlineStr">
        <is>
          <t>Sachajuan</t>
        </is>
      </c>
      <c r="E11525" t="n">
        <v>34.29</v>
      </c>
      <c r="F11525" t="n">
        <v>1</v>
      </c>
      <c r="G11525" t="n">
        <v>3</v>
      </c>
      <c r="H11525" s="5">
        <f>HYPERLINK("https://api.qogita.com/variants/link/7350016331777/", "View Product")</f>
        <v/>
      </c>
    </row>
    <row r="11526">
      <c r="A11526" t="inlineStr">
        <is>
          <t>7350016331814</t>
        </is>
      </c>
      <c r="B11526" t="inlineStr">
        <is>
          <t>Sachajuan Ocean Mist Conditioner Volumizing and Curl Enhancing 1 Liter</t>
        </is>
      </c>
      <c r="C11526" t="inlineStr">
        <is>
          <t>Conditioner</t>
        </is>
      </c>
      <c r="D11526" t="inlineStr">
        <is>
          <t>Sachajuan</t>
        </is>
      </c>
      <c r="E11526" t="n">
        <v>9.32</v>
      </c>
      <c r="F11526" t="n">
        <v>1</v>
      </c>
      <c r="G11526" t="n">
        <v>4</v>
      </c>
      <c r="H11526" s="5">
        <f>HYPERLINK("https://api.qogita.com/variants/link/7350016331814/", "View Product")</f>
        <v/>
      </c>
    </row>
    <row r="11527">
      <c r="A11527" t="inlineStr">
        <is>
          <t>7350016331890</t>
        </is>
      </c>
      <c r="B11527" t="inlineStr">
        <is>
          <t>Sachajuan Silver Conditioner Conditioner Neutralizing Yellow Tones</t>
        </is>
      </c>
      <c r="C11527" t="inlineStr">
        <is>
          <t>Conditioner</t>
        </is>
      </c>
      <c r="D11527" t="inlineStr">
        <is>
          <t>Sachajuan</t>
        </is>
      </c>
      <c r="E11527" t="n">
        <v>41.34</v>
      </c>
      <c r="F11527" t="n">
        <v>1</v>
      </c>
      <c r="G11527" t="n">
        <v>3</v>
      </c>
      <c r="H11527" s="5">
        <f>HYPERLINK("https://api.qogita.com/variants/link/7350016331890/", "View Product")</f>
        <v/>
      </c>
    </row>
    <row r="11528">
      <c r="A11528" t="inlineStr">
        <is>
          <t>7350016332057</t>
        </is>
      </c>
      <c r="B11528" t="inlineStr">
        <is>
          <t>Sachajuan Thickening Conditioner</t>
        </is>
      </c>
      <c r="C11528" t="inlineStr">
        <is>
          <t>Conditioner</t>
        </is>
      </c>
      <c r="D11528" t="inlineStr">
        <is>
          <t>Sachajuan</t>
        </is>
      </c>
      <c r="E11528" t="n">
        <v>18.39</v>
      </c>
      <c r="F11528" t="n">
        <v>1</v>
      </c>
      <c r="G11528" t="n">
        <v>5</v>
      </c>
      <c r="H11528" s="5">
        <f>HYPERLINK("https://api.qogita.com/variants/link/7350016332057/", "View Product")</f>
        <v/>
      </c>
    </row>
    <row r="11529">
      <c r="A11529" t="inlineStr">
        <is>
          <t>7350016332095</t>
        </is>
      </c>
      <c r="B11529" t="inlineStr">
        <is>
          <t>Sachajuan Color Protect Conditioner For Colored Hair Protective Conditioner</t>
        </is>
      </c>
      <c r="C11529" t="inlineStr">
        <is>
          <t>Conditioner</t>
        </is>
      </c>
      <c r="D11529" t="inlineStr">
        <is>
          <t>Sachajuan</t>
        </is>
      </c>
      <c r="E11529" t="n">
        <v>18.52</v>
      </c>
      <c r="F11529" t="n">
        <v>1</v>
      </c>
      <c r="G11529" t="n">
        <v>9</v>
      </c>
      <c r="H11529" s="5">
        <f>HYPERLINK("https://api.qogita.com/variants/link/7350016332095/", "View Product")</f>
        <v/>
      </c>
    </row>
    <row r="11530">
      <c r="A11530" t="inlineStr">
        <is>
          <t>7350016332132</t>
        </is>
      </c>
      <c r="B11530" t="inlineStr">
        <is>
          <t>Sachajuan Hair Wax - 80 Ml</t>
        </is>
      </c>
      <c r="C11530" t="inlineStr">
        <is>
          <t>Wax</t>
        </is>
      </c>
      <c r="D11530" t="inlineStr">
        <is>
          <t>Sachajuan</t>
        </is>
      </c>
      <c r="E11530" t="n">
        <v>24.02</v>
      </c>
      <c r="F11530" t="n">
        <v>1</v>
      </c>
      <c r="G11530" t="n">
        <v>3</v>
      </c>
      <c r="H11530" s="5">
        <f>HYPERLINK("https://api.qogita.com/variants/link/7350016332132/", "View Product")</f>
        <v/>
      </c>
    </row>
    <row r="11531">
      <c r="A11531" t="inlineStr">
        <is>
          <t>7350016332385</t>
        </is>
      </c>
      <c r="B11531" t="inlineStr">
        <is>
          <t>Sachajuan Moisturizing Conditioner For Damaged Hair</t>
        </is>
      </c>
      <c r="C11531" t="inlineStr">
        <is>
          <t>Conditioner</t>
        </is>
      </c>
      <c r="D11531" t="inlineStr">
        <is>
          <t>Sachajuan</t>
        </is>
      </c>
      <c r="E11531" t="n">
        <v>10.7</v>
      </c>
      <c r="F11531" t="n">
        <v>1</v>
      </c>
      <c r="G11531" t="n">
        <v>3</v>
      </c>
      <c r="H11531" s="5">
        <f>HYPERLINK("https://api.qogita.com/variants/link/7350016332385/", "View Product")</f>
        <v/>
      </c>
    </row>
    <row r="11532">
      <c r="A11532" t="inlineStr">
        <is>
          <t>7350016332415</t>
        </is>
      </c>
      <c r="B11532" t="inlineStr">
        <is>
          <t>Sachajuan Cleanse Care Moisturizing Shampoo For Dry Hair</t>
        </is>
      </c>
      <c r="C11532" t="inlineStr">
        <is>
          <t>Shampoo</t>
        </is>
      </c>
      <c r="D11532" t="inlineStr">
        <is>
          <t>Sachajuan</t>
        </is>
      </c>
      <c r="E11532" t="n">
        <v>51.43</v>
      </c>
      <c r="F11532" t="n">
        <v>1</v>
      </c>
      <c r="G11532" t="n">
        <v>6</v>
      </c>
      <c r="H11532" s="5">
        <f>HYPERLINK("https://api.qogita.com/variants/link/7350016332415/", "View Product")</f>
        <v/>
      </c>
    </row>
    <row r="11533">
      <c r="A11533" t="inlineStr">
        <is>
          <t>7350016332538</t>
        </is>
      </c>
      <c r="B11533" t="inlineStr">
        <is>
          <t>Sachajuan Ginger Flower Body Wash 500ml</t>
        </is>
      </c>
      <c r="C11533" t="inlineStr">
        <is>
          <t>Shower Gel</t>
        </is>
      </c>
      <c r="D11533" t="inlineStr">
        <is>
          <t>Sachajuan</t>
        </is>
      </c>
      <c r="E11533" t="n">
        <v>31.17</v>
      </c>
      <c r="F11533" t="n">
        <v>1</v>
      </c>
      <c r="G11533" t="n">
        <v>2</v>
      </c>
      <c r="H11533" s="5">
        <f>HYPERLINK("https://api.qogita.com/variants/link/7350016332538/", "View Product")</f>
        <v/>
      </c>
    </row>
    <row r="11534">
      <c r="A11534" t="inlineStr">
        <is>
          <t>7350016332576</t>
        </is>
      </c>
      <c r="B11534" t="inlineStr">
        <is>
          <t>SACHAJUAN Dry Shampoo Mousse 200ml</t>
        </is>
      </c>
      <c r="C11534" t="inlineStr">
        <is>
          <t>Dry Shampoo</t>
        </is>
      </c>
      <c r="D11534" t="inlineStr">
        <is>
          <t>Sachajuan</t>
        </is>
      </c>
      <c r="E11534" t="n">
        <v>22.08</v>
      </c>
      <c r="F11534" t="n">
        <v>1</v>
      </c>
      <c r="G11534" t="n">
        <v>5</v>
      </c>
      <c r="H11534" s="5">
        <f>HYPERLINK("https://api.qogita.com/variants/link/7350016332576/", "View Product")</f>
        <v/>
      </c>
    </row>
    <row r="11535">
      <c r="A11535" t="inlineStr">
        <is>
          <t>7350016332620</t>
        </is>
      </c>
      <c r="B11535" t="inlineStr">
        <is>
          <t>Sachajuan Scalp Conditioner 250ml 8.4oz</t>
        </is>
      </c>
      <c r="C11535" t="inlineStr">
        <is>
          <t>Conditioner</t>
        </is>
      </c>
      <c r="D11535" t="inlineStr">
        <is>
          <t>Sachajuan</t>
        </is>
      </c>
      <c r="E11535" t="n">
        <v>20.96</v>
      </c>
      <c r="F11535" t="n">
        <v>1</v>
      </c>
      <c r="G11535" t="n">
        <v>3</v>
      </c>
      <c r="H11535" s="5">
        <f>HYPERLINK("https://api.qogita.com/variants/link/7350016332620/", "View Product")</f>
        <v/>
      </c>
    </row>
    <row r="11536">
      <c r="A11536" t="inlineStr">
        <is>
          <t>7350016332804</t>
        </is>
      </c>
      <c r="B11536" t="inlineStr">
        <is>
          <t>Sachajuan Cleanse Care Silver Shampoo For Blond Hair</t>
        </is>
      </c>
      <c r="C11536" t="inlineStr">
        <is>
          <t>Shampoo</t>
        </is>
      </c>
      <c r="D11536" t="inlineStr">
        <is>
          <t>Sachajuan</t>
        </is>
      </c>
      <c r="E11536" t="n">
        <v>18.87</v>
      </c>
      <c r="F11536" t="n">
        <v>1</v>
      </c>
      <c r="G11536" t="n">
        <v>4</v>
      </c>
      <c r="H11536" s="5">
        <f>HYPERLINK("https://api.qogita.com/variants/link/7350016332804/", "View Product")</f>
        <v/>
      </c>
    </row>
    <row r="11537">
      <c r="A11537" t="inlineStr">
        <is>
          <t>7350016332835</t>
        </is>
      </c>
      <c r="B11537" t="inlineStr">
        <is>
          <t>Sachajuan Heat Protection Hair Cream 150ml</t>
        </is>
      </c>
      <c r="C11537" t="inlineStr">
        <is>
          <t>Heat Protection</t>
        </is>
      </c>
      <c r="D11537" t="inlineStr">
        <is>
          <t>Sachajuan</t>
        </is>
      </c>
      <c r="E11537" t="n">
        <v>21.63</v>
      </c>
      <c r="F11537" t="n">
        <v>1</v>
      </c>
      <c r="G11537" t="n">
        <v>3</v>
      </c>
      <c r="H11537" s="5">
        <f>HYPERLINK("https://api.qogita.com/variants/link/7350016332835/", "View Product")</f>
        <v/>
      </c>
    </row>
    <row r="11538">
      <c r="A11538" t="inlineStr">
        <is>
          <t>7350016332842</t>
        </is>
      </c>
      <c r="B11538" t="inlineStr">
        <is>
          <t>Sachajuan Protective Hair Perfume Bois Noir Spray 50ml</t>
        </is>
      </c>
      <c r="C11538" t="inlineStr">
        <is>
          <t>Eau De Parfum</t>
        </is>
      </c>
      <c r="D11538" t="inlineStr">
        <is>
          <t>Sachajuan</t>
        </is>
      </c>
      <c r="E11538" t="n">
        <v>42.05</v>
      </c>
      <c r="F11538" t="n">
        <v>1</v>
      </c>
      <c r="G11538" t="n">
        <v>2</v>
      </c>
      <c r="H11538" s="5">
        <f>HYPERLINK("https://api.qogita.com/variants/link/7350016332842/", "View Product")</f>
        <v/>
      </c>
    </row>
    <row r="11539">
      <c r="A11539" t="inlineStr">
        <is>
          <t>7350016332880</t>
        </is>
      </c>
      <c r="B11539" t="inlineStr">
        <is>
          <t>Sachajuan Ocean Mist Volume Conditioner For Fine Hair</t>
        </is>
      </c>
      <c r="C11539" t="inlineStr">
        <is>
          <t>Conditioner</t>
        </is>
      </c>
      <c r="D11539" t="inlineStr">
        <is>
          <t>Sachajuan</t>
        </is>
      </c>
      <c r="E11539" t="n">
        <v>53.64</v>
      </c>
      <c r="F11539" t="n">
        <v>1</v>
      </c>
      <c r="G11539" t="n">
        <v>9</v>
      </c>
      <c r="H11539" s="5">
        <f>HYPERLINK("https://api.qogita.com/variants/link/7350016332880/", "View Product")</f>
        <v/>
      </c>
    </row>
    <row r="11540">
      <c r="A11540" t="inlineStr">
        <is>
          <t>7350016333054</t>
        </is>
      </c>
      <c r="B11540" t="inlineStr">
        <is>
          <t>SACHAJUAN Hair After The Sun 100ml</t>
        </is>
      </c>
      <c r="C11540" t="inlineStr">
        <is>
          <t>Uv Protection</t>
        </is>
      </c>
      <c r="D11540" t="inlineStr">
        <is>
          <t>Sachajuan</t>
        </is>
      </c>
      <c r="E11540" t="n">
        <v>17.14</v>
      </c>
      <c r="F11540" t="n">
        <v>1</v>
      </c>
      <c r="G11540" t="n">
        <v>5</v>
      </c>
      <c r="H11540" s="5">
        <f>HYPERLINK("https://api.qogita.com/variants/link/7350016333054/", "View Product")</f>
        <v/>
      </c>
    </row>
    <row r="11541">
      <c r="A11541" t="inlineStr">
        <is>
          <t>7350049568584</t>
        </is>
      </c>
      <c r="B11541" t="inlineStr">
        <is>
          <t>Jabushe Multi Action Eye Treatment - 15 Ml Multifunctional Cream For The Treatment Of The Eye Area</t>
        </is>
      </c>
      <c r="C11541" t="inlineStr">
        <is>
          <t>Eye Cream</t>
        </is>
      </c>
      <c r="D11541" t="inlineStr">
        <is>
          <t>Jabushe</t>
        </is>
      </c>
      <c r="E11541" t="n">
        <v>27.86</v>
      </c>
      <c r="F11541" t="n">
        <v>1</v>
      </c>
      <c r="G11541" t="n">
        <v>11</v>
      </c>
      <c r="H11541" s="5">
        <f>HYPERLINK("https://api.qogita.com/variants/link/7350049568584/", "View Product")</f>
        <v/>
      </c>
    </row>
    <row r="11542">
      <c r="A11542" t="inlineStr">
        <is>
          <t>7391681036062</t>
        </is>
      </c>
      <c r="B11542" t="inlineStr">
        <is>
          <t>Maria Nila Structure Repair Conditioner 100ml</t>
        </is>
      </c>
      <c r="C11542" t="inlineStr">
        <is>
          <t>Conditioner</t>
        </is>
      </c>
      <c r="D11542" t="inlineStr">
        <is>
          <t>Maria Nila</t>
        </is>
      </c>
      <c r="E11542" t="n">
        <v>10.91</v>
      </c>
      <c r="F11542" t="n">
        <v>1</v>
      </c>
      <c r="G11542" t="n">
        <v>4</v>
      </c>
      <c r="H11542" s="5">
        <f>HYPERLINK("https://api.qogita.com/variants/link/7391681036062/", "View Product")</f>
        <v/>
      </c>
    </row>
    <row r="11543">
      <c r="A11543" t="inlineStr">
        <is>
          <t>7391681036376</t>
        </is>
      </c>
      <c r="B11543" t="inlineStr">
        <is>
          <t>Maria Nila True Soft Argan Oil Hair Oil 100ml</t>
        </is>
      </c>
      <c r="C11543" t="inlineStr">
        <is>
          <t>Hair Oil &amp; Hair Serum</t>
        </is>
      </c>
      <c r="D11543" t="inlineStr">
        <is>
          <t>Maria Nila</t>
        </is>
      </c>
      <c r="E11543" t="n">
        <v>23.4</v>
      </c>
      <c r="F11543" t="n">
        <v>1</v>
      </c>
      <c r="G11543" t="n">
        <v>4</v>
      </c>
      <c r="H11543" s="5">
        <f>HYPERLINK("https://api.qogita.com/variants/link/7391681036376/", "View Product")</f>
        <v/>
      </c>
    </row>
    <row r="11544">
      <c r="A11544" t="inlineStr">
        <is>
          <t>7391681036420</t>
        </is>
      </c>
      <c r="B11544" t="inlineStr">
        <is>
          <t>Maria Nila Sheer Silver Masque Moisturizing And Nourishing Mask For Blonde Hair 250ml</t>
        </is>
      </c>
      <c r="C11544" t="inlineStr">
        <is>
          <t>Hair Masks</t>
        </is>
      </c>
      <c r="D11544" t="inlineStr">
        <is>
          <t>Maria Nila</t>
        </is>
      </c>
      <c r="E11544" t="n">
        <v>18.91</v>
      </c>
      <c r="F11544" t="n">
        <v>1</v>
      </c>
      <c r="G11544" t="n">
        <v>9</v>
      </c>
      <c r="H11544" s="5">
        <f>HYPERLINK("https://api.qogita.com/variants/link/7391681036420/", "View Product")</f>
        <v/>
      </c>
    </row>
    <row r="11545">
      <c r="A11545" t="inlineStr">
        <is>
          <t>7391681036550</t>
        </is>
      </c>
      <c r="B11545" t="inlineStr">
        <is>
          <t>Maria Nila Head &amp; Hair Heal Shampoo Antidandruff And Hair Loss Treatment</t>
        </is>
      </c>
      <c r="C11545" t="inlineStr">
        <is>
          <t>Shampoo</t>
        </is>
      </c>
      <c r="D11545" t="inlineStr">
        <is>
          <t>Maria Nila</t>
        </is>
      </c>
      <c r="E11545" t="n">
        <v>12.45</v>
      </c>
      <c r="F11545" t="n">
        <v>1</v>
      </c>
      <c r="G11545" t="n">
        <v>5</v>
      </c>
      <c r="H11545" s="5">
        <f>HYPERLINK("https://api.qogita.com/variants/link/7391681036550/", "View Product")</f>
        <v/>
      </c>
    </row>
    <row r="11546">
      <c r="A11546" t="inlineStr">
        <is>
          <t>7391681037007</t>
        </is>
      </c>
      <c r="B11546" t="inlineStr">
        <is>
          <t>Maria Nila Colour Refresh Semi-Permanent Pigments 100% Vegan &amp; Sulfate/Paraben Free</t>
        </is>
      </c>
      <c r="C11546" t="inlineStr">
        <is>
          <t>Color Rinse</t>
        </is>
      </c>
      <c r="D11546" t="inlineStr">
        <is>
          <t>Maria Nila</t>
        </is>
      </c>
      <c r="E11546" t="n">
        <v>24.95</v>
      </c>
      <c r="F11546" t="n">
        <v>1</v>
      </c>
      <c r="G11546" t="n">
        <v>2</v>
      </c>
      <c r="H11546" s="5">
        <f>HYPERLINK("https://api.qogita.com/variants/link/7391681037007/", "View Product")</f>
        <v/>
      </c>
    </row>
    <row r="11547">
      <c r="A11547" t="inlineStr">
        <is>
          <t>7391681037021</t>
        </is>
      </c>
      <c r="B11547" t="inlineStr">
        <is>
          <t>Maria Nila Colour Refresh Autumn Red 300ml Soft Nourishing Mask Without Permanent Color Pigments</t>
        </is>
      </c>
      <c r="C11547" t="inlineStr">
        <is>
          <t>Hair Masks</t>
        </is>
      </c>
      <c r="D11547" t="inlineStr">
        <is>
          <t>Maria Nila</t>
        </is>
      </c>
      <c r="E11547" t="n">
        <v>23</v>
      </c>
      <c r="F11547" t="n">
        <v>1</v>
      </c>
      <c r="G11547" t="n">
        <v>2</v>
      </c>
      <c r="H11547" s="5">
        <f>HYPERLINK("https://api.qogita.com/variants/link/7391681037021/", "View Product")</f>
        <v/>
      </c>
    </row>
    <row r="11548">
      <c r="A11548" t="inlineStr">
        <is>
          <t>7391681037137</t>
        </is>
      </c>
      <c r="B11548" t="inlineStr">
        <is>
          <t>Maria Nila Colour Refresh Cacao 6.0 Coloring Mask For Hair - 300ml</t>
        </is>
      </c>
      <c r="C11548" t="inlineStr">
        <is>
          <t>Hair Dye</t>
        </is>
      </c>
      <c r="D11548" t="inlineStr">
        <is>
          <t>Maria Nila</t>
        </is>
      </c>
      <c r="E11548" t="n">
        <v>24.02</v>
      </c>
      <c r="F11548" t="n">
        <v>1</v>
      </c>
      <c r="G11548" t="n">
        <v>5</v>
      </c>
      <c r="H11548" s="5">
        <f>HYPERLINK("https://api.qogita.com/variants/link/7391681037137/", "View Product")</f>
        <v/>
      </c>
    </row>
    <row r="11549">
      <c r="A11549" t="inlineStr">
        <is>
          <t>7391681038103</t>
        </is>
      </c>
      <c r="B11549" t="inlineStr">
        <is>
          <t>Maria Nila Style &amp; Finish Styling Spray Sulfatefree Lightweight Hairspray</t>
        </is>
      </c>
      <c r="C11549" t="inlineStr">
        <is>
          <t>Hairspray</t>
        </is>
      </c>
      <c r="D11549" t="inlineStr">
        <is>
          <t>Maria Nila</t>
        </is>
      </c>
      <c r="E11549" t="n">
        <v>18.9</v>
      </c>
      <c r="F11549" t="n">
        <v>1</v>
      </c>
      <c r="G11549" t="n">
        <v>12</v>
      </c>
      <c r="H11549" s="5">
        <f>HYPERLINK("https://api.qogita.com/variants/link/7391681038103/", "View Product")</f>
        <v/>
      </c>
    </row>
    <row r="11550">
      <c r="A11550" t="inlineStr">
        <is>
          <t>7391681038219</t>
        </is>
      </c>
      <c r="B11550" t="inlineStr">
        <is>
          <t>Maria Nila Style &amp; Finish Hair Styling Foam Styling Mousse For Hair Volume</t>
        </is>
      </c>
      <c r="C11550" t="inlineStr">
        <is>
          <t>Mousse</t>
        </is>
      </c>
      <c r="D11550" t="inlineStr">
        <is>
          <t>Maria Nila</t>
        </is>
      </c>
      <c r="E11550" t="n">
        <v>12.94</v>
      </c>
      <c r="F11550" t="n">
        <v>1</v>
      </c>
      <c r="G11550" t="n">
        <v>5</v>
      </c>
      <c r="H11550" s="5">
        <f>HYPERLINK("https://api.qogita.com/variants/link/7391681038219/", "View Product")</f>
        <v/>
      </c>
    </row>
    <row r="11551">
      <c r="A11551" t="inlineStr">
        <is>
          <t>7391681038257</t>
        </is>
      </c>
      <c r="B11551" t="inlineStr">
        <is>
          <t>Maria Nila Dry Shampoo For Hair Volume Style &amp; Finish</t>
        </is>
      </c>
      <c r="C11551" t="inlineStr">
        <is>
          <t>Dry Shampoo</t>
        </is>
      </c>
      <c r="D11551" t="inlineStr">
        <is>
          <t>Maria Nila</t>
        </is>
      </c>
      <c r="E11551" t="n">
        <v>22.83</v>
      </c>
      <c r="F11551" t="n">
        <v>1</v>
      </c>
      <c r="G11551" t="n">
        <v>27</v>
      </c>
      <c r="H11551" s="5">
        <f>HYPERLINK("https://api.qogita.com/variants/link/7391681038257/", "View Product")</f>
        <v/>
      </c>
    </row>
    <row r="11552">
      <c r="A11552" t="inlineStr">
        <is>
          <t>7391681038356</t>
        </is>
      </c>
      <c r="B11552" t="inlineStr">
        <is>
          <t>Maria Nila Nourishing Salt Spray With Fine Fixing Style &amp; Finish Salty Mist 150 Ml</t>
        </is>
      </c>
      <c r="C11552" t="inlineStr">
        <is>
          <t>Styling Sprays</t>
        </is>
      </c>
      <c r="D11552" t="inlineStr">
        <is>
          <t>Maria Nila</t>
        </is>
      </c>
      <c r="E11552" t="n">
        <v>17.5</v>
      </c>
      <c r="F11552" t="n">
        <v>1</v>
      </c>
      <c r="G11552" t="n">
        <v>5</v>
      </c>
      <c r="H11552" s="5">
        <f>HYPERLINK("https://api.qogita.com/variants/link/7391681038356/", "View Product")</f>
        <v/>
      </c>
    </row>
    <row r="11553">
      <c r="A11553" t="inlineStr">
        <is>
          <t>7391681038608</t>
        </is>
      </c>
      <c r="B11553" t="inlineStr">
        <is>
          <t>Maria Nila Quick Dry Heat Spray 150 Ml Thermal Protection Spray For Hair</t>
        </is>
      </c>
      <c r="C11553" t="inlineStr">
        <is>
          <t>Uv Protection</t>
        </is>
      </c>
      <c r="D11553" t="inlineStr">
        <is>
          <t>Maria Nila</t>
        </is>
      </c>
      <c r="E11553" t="n">
        <v>17.9</v>
      </c>
      <c r="F11553" t="n">
        <v>1</v>
      </c>
      <c r="G11553" t="n">
        <v>2</v>
      </c>
      <c r="H11553" s="5">
        <f>HYPERLINK("https://api.qogita.com/variants/link/7391681038608/", "View Product")</f>
        <v/>
      </c>
    </row>
    <row r="11554">
      <c r="A11554" t="inlineStr">
        <is>
          <t>7391681040014</t>
        </is>
      </c>
      <c r="B11554" t="inlineStr">
        <is>
          <t>Maria Nila Meadow Hand Soap 300ml</t>
        </is>
      </c>
      <c r="C11554" t="inlineStr">
        <is>
          <t>Hand Soap</t>
        </is>
      </c>
      <c r="D11554" t="inlineStr">
        <is>
          <t>Maria Nila</t>
        </is>
      </c>
      <c r="E11554" t="n">
        <v>15.8</v>
      </c>
      <c r="F11554" t="n">
        <v>1</v>
      </c>
      <c r="G11554" t="n">
        <v>2</v>
      </c>
      <c r="H11554" s="5">
        <f>HYPERLINK("https://api.qogita.com/variants/link/7391681040014/", "View Product")</f>
        <v/>
      </c>
    </row>
    <row r="11555">
      <c r="A11555" t="inlineStr">
        <is>
          <t>7391681040120</t>
        </is>
      </c>
      <c r="B11555" t="inlineStr">
        <is>
          <t>Maria Nila Ginger Hand Lotion 300 Ml Sulfatesfree Hydrating Formula</t>
        </is>
      </c>
      <c r="C11555" t="inlineStr">
        <is>
          <t>Hand Cream</t>
        </is>
      </c>
      <c r="D11555" t="inlineStr">
        <is>
          <t>Maria Nila</t>
        </is>
      </c>
      <c r="E11555" t="n">
        <v>17.65</v>
      </c>
      <c r="F11555" t="n">
        <v>1</v>
      </c>
      <c r="G11555" t="n">
        <v>9</v>
      </c>
      <c r="H11555" s="5">
        <f>HYPERLINK("https://api.qogita.com/variants/link/7391681040120/", "View Product")</f>
        <v/>
      </c>
    </row>
    <row r="11556">
      <c r="A11556" t="inlineStr">
        <is>
          <t>7391681402652</t>
        </is>
      </c>
      <c r="B11556" t="inlineStr">
        <is>
          <t>Maria Nila Luminous Colour Shampoo Conditioner &amp; Argan Oil 100% Vegan Sulfate/Paraben Free Pomegranate Counteracts Dehydration</t>
        </is>
      </c>
      <c r="C11556" t="inlineStr">
        <is>
          <t>Shampoo</t>
        </is>
      </c>
      <c r="D11556" t="inlineStr">
        <is>
          <t>Maria Nila</t>
        </is>
      </c>
      <c r="E11556" t="n">
        <v>46.8</v>
      </c>
      <c r="F11556" t="n">
        <v>1</v>
      </c>
      <c r="G11556" t="n">
        <v>5</v>
      </c>
      <c r="H11556" s="5">
        <f>HYPERLINK("https://api.qogita.com/variants/link/7391681402652/", "View Product")</f>
        <v/>
      </c>
    </row>
    <row r="11557">
      <c r="A11557" t="inlineStr">
        <is>
          <t>7391681403048</t>
        </is>
      </c>
      <c r="B11557" t="inlineStr">
        <is>
          <t>Maria Nila Sheer Silver Nourishing Mask For Blonde Hair 50ml</t>
        </is>
      </c>
      <c r="C11557" t="inlineStr">
        <is>
          <t>Hair Masks</t>
        </is>
      </c>
      <c r="D11557" t="inlineStr">
        <is>
          <t>Maria Nila</t>
        </is>
      </c>
      <c r="E11557" t="n">
        <v>8.449999999999999</v>
      </c>
      <c r="F11557" t="n">
        <v>1</v>
      </c>
      <c r="G11557" t="n">
        <v>2</v>
      </c>
      <c r="H11557" s="5">
        <f>HYPERLINK("https://api.qogita.com/variants/link/7391681403048/", "View Product")</f>
        <v/>
      </c>
    </row>
    <row r="11558">
      <c r="A11558" t="inlineStr">
        <is>
          <t>7391681406148</t>
        </is>
      </c>
      <c r="B11558" t="inlineStr">
        <is>
          <t>Maria Nila Head &amp; Hair Heal Soothing Serum 50ml Soothing Serum For The Scalp</t>
        </is>
      </c>
      <c r="C11558" t="inlineStr">
        <is>
          <t>Scalp Care</t>
        </is>
      </c>
      <c r="D11558" t="inlineStr">
        <is>
          <t>Maria Nila</t>
        </is>
      </c>
      <c r="E11558" t="n">
        <v>31.41</v>
      </c>
      <c r="F11558" t="n">
        <v>1</v>
      </c>
      <c r="G11558" t="n">
        <v>5</v>
      </c>
      <c r="H11558" s="5">
        <f>HYPERLINK("https://api.qogita.com/variants/link/7391681406148/", "View Product")</f>
        <v/>
      </c>
    </row>
    <row r="11559">
      <c r="A11559" t="inlineStr">
        <is>
          <t>7391681406155</t>
        </is>
      </c>
      <c r="B11559" t="inlineStr">
        <is>
          <t>Maria Nila Purifying Exfoliation Serum 150ml</t>
        </is>
      </c>
      <c r="C11559" t="inlineStr">
        <is>
          <t>Hydrating Serum</t>
        </is>
      </c>
      <c r="D11559" t="inlineStr">
        <is>
          <t>Maria Nila</t>
        </is>
      </c>
      <c r="E11559" t="n">
        <v>24.13</v>
      </c>
      <c r="F11559" t="n">
        <v>1</v>
      </c>
      <c r="G11559" t="n">
        <v>8</v>
      </c>
      <c r="H11559" s="5">
        <f>HYPERLINK("https://api.qogita.com/variants/link/7391681406155/", "View Product")</f>
        <v/>
      </c>
    </row>
    <row r="11560">
      <c r="A11560" t="inlineStr">
        <is>
          <t>7500435205979</t>
        </is>
      </c>
      <c r="B11560" t="inlineStr">
        <is>
          <t>Braun Replacement Head For Series X Xt20 Black Trimmers</t>
        </is>
      </c>
      <c r="C11560" t="inlineStr">
        <is>
          <t>Hair Clippers</t>
        </is>
      </c>
      <c r="D11560" t="inlineStr">
        <is>
          <t>Braun</t>
        </is>
      </c>
      <c r="E11560" t="n">
        <v>17.77</v>
      </c>
      <c r="F11560" t="n">
        <v>1</v>
      </c>
      <c r="G11560" t="n">
        <v>5</v>
      </c>
      <c r="H11560" s="5">
        <f>HYPERLINK("https://api.qogita.com/variants/link/7500435205979/", "View Product")</f>
        <v/>
      </c>
    </row>
    <row r="11561">
      <c r="A11561" t="inlineStr">
        <is>
          <t>7610558007142</t>
        </is>
      </c>
      <c r="B11561" t="inlineStr">
        <is>
          <t>Valera ePower 2030 eQ Professional Ionic Hair Dryer 1600 Watt White</t>
        </is>
      </c>
      <c r="C11561" t="inlineStr">
        <is>
          <t>Hair Dryers</t>
        </is>
      </c>
      <c r="D11561" t="inlineStr">
        <is>
          <t>Valera</t>
        </is>
      </c>
      <c r="E11561" t="n">
        <v>155.55</v>
      </c>
      <c r="F11561" t="n">
        <v>1</v>
      </c>
      <c r="G11561" t="n">
        <v>2</v>
      </c>
      <c r="H11561" s="5">
        <f>HYPERLINK("https://api.qogita.com/variants/link/7610558007142/", "View Product")</f>
        <v/>
      </c>
    </row>
    <row r="11562">
      <c r="A11562" t="inlineStr">
        <is>
          <t>7610558010555</t>
        </is>
      </c>
      <c r="B11562" t="inlineStr">
        <is>
          <t>Valera Vanity Performance Rc Royal Blue Va 8612 Rc Rb Hair Dryer</t>
        </is>
      </c>
      <c r="C11562" t="inlineStr">
        <is>
          <t>Hair Dryers</t>
        </is>
      </c>
      <c r="D11562" t="inlineStr">
        <is>
          <t>Valera</t>
        </is>
      </c>
      <c r="E11562" t="n">
        <v>90.67</v>
      </c>
      <c r="F11562" t="n">
        <v>1</v>
      </c>
      <c r="G11562" t="n">
        <v>2</v>
      </c>
      <c r="H11562" s="5">
        <f>HYPERLINK("https://api.qogita.com/variants/link/7610558010555/", "View Product")</f>
        <v/>
      </c>
    </row>
    <row r="11563">
      <c r="A11563" t="inlineStr">
        <is>
          <t>7610558012832</t>
        </is>
      </c>
      <c r="B11563" t="inlineStr">
        <is>
          <t>Valera Swiss'X Frisé 101.04 Professional Crimping Iron for Volume and Texture - Black</t>
        </is>
      </c>
      <c r="C11563" t="inlineStr">
        <is>
          <t>Curling Irons</t>
        </is>
      </c>
      <c r="D11563" t="inlineStr">
        <is>
          <t>Valera</t>
        </is>
      </c>
      <c r="E11563" t="n">
        <v>62.26</v>
      </c>
      <c r="F11563" t="n">
        <v>1</v>
      </c>
      <c r="G11563" t="n">
        <v>5</v>
      </c>
      <c r="H11563" s="5">
        <f>HYPERLINK("https://api.qogita.com/variants/link/7610558012832/", "View Product")</f>
        <v/>
      </c>
    </row>
    <row r="11564">
      <c r="A11564" t="inlineStr">
        <is>
          <t>7610558013525</t>
        </is>
      </c>
      <c r="B11564" t="inlineStr">
        <is>
          <t>Valera Professional Hair Dryer Swiss Nano 6300</t>
        </is>
      </c>
      <c r="C11564" t="inlineStr">
        <is>
          <t>Hair Dryers</t>
        </is>
      </c>
      <c r="D11564" t="inlineStr">
        <is>
          <t>Valera</t>
        </is>
      </c>
      <c r="E11564" t="n">
        <v>82.20999999999999</v>
      </c>
      <c r="F11564" t="n">
        <v>1</v>
      </c>
      <c r="G11564" t="n">
        <v>5</v>
      </c>
      <c r="H11564" s="5">
        <f>HYPERLINK("https://api.qogita.com/variants/link/7610558013525/", "View Product")</f>
        <v/>
      </c>
    </row>
    <row r="11565">
      <c r="A11565" t="inlineStr">
        <is>
          <t>7610558015147</t>
        </is>
      </c>
      <c r="B11565" t="inlineStr">
        <is>
          <t>Valera Swiss Excellence Smart 46mm Blade Razor with 5 Cutting Levels and 6 Spacer Combs - Black</t>
        </is>
      </c>
      <c r="C11565" t="inlineStr">
        <is>
          <t>Razors &amp; Hair Removal Tools</t>
        </is>
      </c>
      <c r="D11565" t="inlineStr">
        <is>
          <t>Valera</t>
        </is>
      </c>
      <c r="E11565" t="n">
        <v>114.67</v>
      </c>
      <c r="F11565" t="n">
        <v>1</v>
      </c>
      <c r="G11565" t="n">
        <v>2</v>
      </c>
      <c r="H11565" s="5">
        <f>HYPERLINK("https://api.qogita.com/variants/link/7610558015147/", "View Product")</f>
        <v/>
      </c>
    </row>
    <row r="11566">
      <c r="A11566" t="inlineStr">
        <is>
          <t>7610558015260</t>
        </is>
      </c>
      <c r="B11566" t="inlineStr">
        <is>
          <t>Valera Swiss Excellence Smart 46mm Blade Razor with 5 Cutting Levels and 6 Spacer Combs - White</t>
        </is>
      </c>
      <c r="C11566" t="inlineStr">
        <is>
          <t>Razors &amp; Hair Removal Tools</t>
        </is>
      </c>
      <c r="D11566" t="inlineStr">
        <is>
          <t>Valera</t>
        </is>
      </c>
      <c r="E11566" t="n">
        <v>115.67</v>
      </c>
      <c r="F11566" t="n">
        <v>1</v>
      </c>
      <c r="G11566" t="n">
        <v>2</v>
      </c>
      <c r="H11566" s="5">
        <f>HYPERLINK("https://api.qogita.com/variants/link/7610558015260/", "View Product")</f>
        <v/>
      </c>
    </row>
    <row r="11567">
      <c r="A11567" t="inlineStr">
        <is>
          <t>7610558015413</t>
        </is>
      </c>
      <c r="B11567" t="inlineStr">
        <is>
          <t>Valera Swiss Excellence Top Hair Clipper with 46mm Durablade Blades 5 Cutting Lengths 6 Attachment Combs Cordless Operation or with Power Adapter Includes Battery 100-240V Black</t>
        </is>
      </c>
      <c r="C11567" t="inlineStr">
        <is>
          <t>Hair Clippers</t>
        </is>
      </c>
      <c r="D11567" t="inlineStr">
        <is>
          <t>Valera</t>
        </is>
      </c>
      <c r="E11567" t="n">
        <v>152.34</v>
      </c>
      <c r="F11567" t="n">
        <v>1</v>
      </c>
      <c r="G11567" t="n">
        <v>2</v>
      </c>
      <c r="H11567" s="5">
        <f>HYPERLINK("https://api.qogita.com/variants/link/7610558015413/", "View Product")</f>
        <v/>
      </c>
    </row>
    <row r="11568">
      <c r="A11568" t="inlineStr">
        <is>
          <t>7610558015420</t>
        </is>
      </c>
      <c r="B11568" t="inlineStr">
        <is>
          <t>Valera Trimming Attachments For Swiss Excellence Trimmers</t>
        </is>
      </c>
      <c r="C11568" t="inlineStr">
        <is>
          <t>Hair Clippers</t>
        </is>
      </c>
      <c r="D11568" t="inlineStr">
        <is>
          <t>Valera</t>
        </is>
      </c>
      <c r="E11568" t="n">
        <v>9.359999999999999</v>
      </c>
      <c r="F11568" t="n">
        <v>1</v>
      </c>
      <c r="G11568" t="n">
        <v>4</v>
      </c>
      <c r="H11568" s="5">
        <f>HYPERLINK("https://api.qogita.com/variants/link/7610558015420/", "View Product")</f>
        <v/>
      </c>
    </row>
    <row r="11569">
      <c r="A11569" t="inlineStr">
        <is>
          <t>7610558015741</t>
        </is>
      </c>
      <c r="B11569" t="inlineStr">
        <is>
          <t>Valera Swiss'X Volumissima Narrow Crimp and Wave Iron Ceramic Professional Device with Heat-Insulating Tips On/Off Button 3m Cable 230°C Swiss Made</t>
        </is>
      </c>
      <c r="C11569" t="inlineStr">
        <is>
          <t>Curling Irons</t>
        </is>
      </c>
      <c r="D11569" t="inlineStr">
        <is>
          <t>Valera</t>
        </is>
      </c>
      <c r="E11569" t="n">
        <v>56</v>
      </c>
      <c r="F11569" t="n">
        <v>1</v>
      </c>
      <c r="G11569" t="n">
        <v>3</v>
      </c>
      <c r="H11569" s="5">
        <f>HYPERLINK("https://api.qogita.com/variants/link/7610558015741/", "View Product")</f>
        <v/>
      </c>
    </row>
    <row r="11570">
      <c r="A11570" t="inlineStr">
        <is>
          <t>7610558017554</t>
        </is>
      </c>
      <c r="B11570" t="inlineStr">
        <is>
          <t>Valera Professional Hair Dryer Swiss Power4ever Exential Rc D</t>
        </is>
      </c>
      <c r="C11570" t="inlineStr">
        <is>
          <t>Hair Dryers</t>
        </is>
      </c>
      <c r="D11570" t="inlineStr">
        <is>
          <t>Valera</t>
        </is>
      </c>
      <c r="E11570" t="n">
        <v>105.03</v>
      </c>
      <c r="F11570" t="n">
        <v>1</v>
      </c>
      <c r="G11570" t="n">
        <v>4</v>
      </c>
      <c r="H11570" s="5">
        <f>HYPERLINK("https://api.qogita.com/variants/link/7610558017554/", "View Product")</f>
        <v/>
      </c>
    </row>
    <row r="11571">
      <c r="A11571" t="inlineStr">
        <is>
          <t>7610558603085</t>
        </is>
      </c>
      <c r="B11571" t="inlineStr">
        <is>
          <t>Valera B Turbo Style 1000 Tourmaline Airstyler</t>
        </is>
      </c>
      <c r="C11571" t="inlineStr">
        <is>
          <t>Hot Air Brushes</t>
        </is>
      </c>
      <c r="D11571" t="inlineStr">
        <is>
          <t>Valera</t>
        </is>
      </c>
      <c r="E11571" t="n">
        <v>51.09</v>
      </c>
      <c r="F11571" t="n">
        <v>1</v>
      </c>
      <c r="G11571" t="n">
        <v>2</v>
      </c>
      <c r="H11571" s="5">
        <f>HYPERLINK("https://api.qogita.com/variants/link/7610558603085/", "View Product")</f>
        <v/>
      </c>
    </row>
    <row r="11572">
      <c r="A11572" t="inlineStr">
        <is>
          <t>7611160127648</t>
        </is>
      </c>
      <c r="B11572" t="inlineStr">
        <is>
          <t>Victorinox Steel Eau de Toilette for Men with Violet Leaves and White Fir Aquatic and Fresh 100ml</t>
        </is>
      </c>
      <c r="C11572" t="inlineStr">
        <is>
          <t>Eau De Toilette</t>
        </is>
      </c>
      <c r="D11572" t="inlineStr">
        <is>
          <t>Victorinox</t>
        </is>
      </c>
      <c r="E11572" t="n">
        <v>19.42</v>
      </c>
      <c r="F11572" t="n">
        <v>1</v>
      </c>
      <c r="G11572" t="n">
        <v>39</v>
      </c>
      <c r="H11572" s="5">
        <f>HYPERLINK("https://api.qogita.com/variants/link/7611160127648/", "View Product")</f>
        <v/>
      </c>
    </row>
    <row r="11573">
      <c r="A11573" t="inlineStr">
        <is>
          <t>7611160127679</t>
        </is>
      </c>
      <c r="B11573" t="inlineStr">
        <is>
          <t>Swiss Army Black Steel Eau De Toilette 100ml Men Spray</t>
        </is>
      </c>
      <c r="C11573" t="inlineStr">
        <is>
          <t>Eau De Toilette</t>
        </is>
      </c>
      <c r="D11573" t="inlineStr">
        <is>
          <t>Swiss Army</t>
        </is>
      </c>
      <c r="E11573" t="n">
        <v>10.92</v>
      </c>
      <c r="F11573" t="n">
        <v>1</v>
      </c>
      <c r="G11573" t="n">
        <v>66</v>
      </c>
      <c r="H11573" s="5">
        <f>HYPERLINK("https://api.qogita.com/variants/link/7611160127679/", "View Product")</f>
        <v/>
      </c>
    </row>
    <row r="11574">
      <c r="A11574" t="inlineStr">
        <is>
          <t>7611773052726</t>
        </is>
      </c>
      <c r="B11574" t="inlineStr">
        <is>
          <t>La Prairie Skin Caviar Concealer Foundation Spf 15 Golden Beige 30 Ml</t>
        </is>
      </c>
      <c r="C11574" t="inlineStr">
        <is>
          <t>Foundation</t>
        </is>
      </c>
      <c r="D11574" t="inlineStr">
        <is>
          <t>La Prairie</t>
        </is>
      </c>
      <c r="E11574" t="n">
        <v>172.41</v>
      </c>
      <c r="F11574" t="n">
        <v>1</v>
      </c>
      <c r="G11574" t="n">
        <v>9</v>
      </c>
      <c r="H11574" s="5">
        <f>HYPERLINK("https://api.qogita.com/variants/link/7611773052726/", "View Product")</f>
        <v/>
      </c>
    </row>
    <row r="11575">
      <c r="A11575" t="inlineStr">
        <is>
          <t>7611773082266</t>
        </is>
      </c>
      <c r="B11575" t="inlineStr">
        <is>
          <t>La Prairie Skin Caviar Concealer Foundation Spf 15 In Sunset Beige 30ml2g</t>
        </is>
      </c>
      <c r="C11575" t="inlineStr">
        <is>
          <t>Foundation</t>
        </is>
      </c>
      <c r="D11575" t="inlineStr">
        <is>
          <t>La Prairie</t>
        </is>
      </c>
      <c r="E11575" t="n">
        <v>163.22</v>
      </c>
      <c r="F11575" t="n">
        <v>1</v>
      </c>
      <c r="G11575" t="n">
        <v>3</v>
      </c>
      <c r="H11575" s="5">
        <f>HYPERLINK("https://api.qogita.com/variants/link/7611773082266/", "View Product")</f>
        <v/>
      </c>
    </row>
    <row r="11576">
      <c r="A11576" t="inlineStr">
        <is>
          <t>7611773264327</t>
        </is>
      </c>
      <c r="B11576" t="inlineStr">
        <is>
          <t>La Prairie Cellular Hand Cream</t>
        </is>
      </c>
      <c r="C11576" t="inlineStr">
        <is>
          <t>Hand Cream</t>
        </is>
      </c>
      <c r="D11576" t="inlineStr">
        <is>
          <t>La Prairie</t>
        </is>
      </c>
      <c r="E11576" t="n">
        <v>86.11</v>
      </c>
      <c r="F11576" t="n">
        <v>1</v>
      </c>
      <c r="G11576" t="n">
        <v>8</v>
      </c>
      <c r="H11576" s="5">
        <f>HYPERLINK("https://api.qogita.com/variants/link/7611773264327/", "View Product")</f>
        <v/>
      </c>
    </row>
    <row r="11577">
      <c r="A11577" t="inlineStr">
        <is>
          <t>7611916160769</t>
        </is>
      </c>
      <c r="B11577" t="inlineStr">
        <is>
          <t>Weleda Aroma Shower Love Pampering Creamy Body Wash 200 Ml</t>
        </is>
      </c>
      <c r="C11577" t="inlineStr">
        <is>
          <t>Shower Gel</t>
        </is>
      </c>
      <c r="D11577" t="inlineStr">
        <is>
          <t>Weleda</t>
        </is>
      </c>
      <c r="E11577" t="n">
        <v>8.710000000000001</v>
      </c>
      <c r="F11577" t="n">
        <v>1</v>
      </c>
      <c r="G11577" t="n">
        <v>5</v>
      </c>
      <c r="H11577" s="5">
        <f>HYPERLINK("https://api.qogita.com/variants/link/7611916160769/", "View Product")</f>
        <v/>
      </c>
    </row>
    <row r="11578">
      <c r="A11578" t="inlineStr">
        <is>
          <t>7611916163234</t>
        </is>
      </c>
      <c r="B11578" t="inlineStr">
        <is>
          <t>Weleda Blue Gentian Edelweiss Contouring Night Cream 40 Ml</t>
        </is>
      </c>
      <c r="C11578" t="inlineStr">
        <is>
          <t>Night Cream</t>
        </is>
      </c>
      <c r="D11578" t="inlineStr">
        <is>
          <t>Weleda</t>
        </is>
      </c>
      <c r="E11578" t="n">
        <v>26.55</v>
      </c>
      <c r="F11578" t="n">
        <v>1</v>
      </c>
      <c r="G11578" t="n">
        <v>4</v>
      </c>
      <c r="H11578" s="5">
        <f>HYPERLINK("https://api.qogita.com/variants/link/7611916163234/", "View Product")</f>
        <v/>
      </c>
    </row>
    <row r="11579">
      <c r="A11579" t="inlineStr">
        <is>
          <t>7611916163876</t>
        </is>
      </c>
      <c r="B11579" t="inlineStr">
        <is>
          <t>Weleda Wild Rose White Tea Smoothing Eye Cream 12 Ml</t>
        </is>
      </c>
      <c r="C11579" t="inlineStr">
        <is>
          <t>Eye Cream</t>
        </is>
      </c>
      <c r="D11579" t="inlineStr">
        <is>
          <t>Weleda</t>
        </is>
      </c>
      <c r="E11579" t="n">
        <v>17.3</v>
      </c>
      <c r="F11579" t="n">
        <v>1</v>
      </c>
      <c r="G11579" t="n">
        <v>5</v>
      </c>
      <c r="H11579" s="5">
        <f>HYPERLINK("https://api.qogita.com/variants/link/7611916163876/", "View Product")</f>
        <v/>
      </c>
    </row>
    <row r="11580">
      <c r="A11580" t="inlineStr">
        <is>
          <t>7611916164026</t>
        </is>
      </c>
      <c r="B11580" t="inlineStr">
        <is>
          <t>Weleda Wild Rose White Tea Smoothing Day Cream 40 Ml</t>
        </is>
      </c>
      <c r="C11580" t="inlineStr">
        <is>
          <t>Day Cream</t>
        </is>
      </c>
      <c r="D11580" t="inlineStr">
        <is>
          <t>Weleda</t>
        </is>
      </c>
      <c r="E11580" t="n">
        <v>17.3</v>
      </c>
      <c r="F11580" t="n">
        <v>1</v>
      </c>
      <c r="G11580" t="n">
        <v>3</v>
      </c>
      <c r="H11580" s="5">
        <f>HYPERLINK("https://api.qogita.com/variants/link/7611916164026/", "View Product")</f>
        <v/>
      </c>
    </row>
    <row r="11581">
      <c r="A11581" t="inlineStr">
        <is>
          <t>7611916164569</t>
        </is>
      </c>
      <c r="B11581" t="inlineStr">
        <is>
          <t>Refresh Shower Cream Citrus 400ml</t>
        </is>
      </c>
      <c r="C11581" t="inlineStr">
        <is>
          <t>Shower Gel</t>
        </is>
      </c>
      <c r="D11581" t="inlineStr">
        <is>
          <t>Weleda</t>
        </is>
      </c>
      <c r="E11581" t="n">
        <v>11.35</v>
      </c>
      <c r="F11581" t="n">
        <v>1</v>
      </c>
      <c r="G11581" t="n">
        <v>6</v>
      </c>
      <c r="H11581" s="5">
        <f>HYPERLINK("https://api.qogita.com/variants/link/7611916164569/", "View Product")</f>
        <v/>
      </c>
    </row>
    <row r="11582">
      <c r="A11582" t="inlineStr">
        <is>
          <t>7612017050126</t>
        </is>
      </c>
      <c r="B11582" t="inlineStr">
        <is>
          <t>Hydra 3 Regenetic Cream</t>
        </is>
      </c>
      <c r="C11582" t="inlineStr">
        <is>
          <t>Face Cream</t>
        </is>
      </c>
      <c r="D11582" t="inlineStr">
        <is>
          <t>Valmont</t>
        </is>
      </c>
      <c r="E11582" t="n">
        <v>172.58</v>
      </c>
      <c r="F11582" t="n">
        <v>1</v>
      </c>
      <c r="G11582" t="n">
        <v>11</v>
      </c>
      <c r="H11582" s="5">
        <f>HYPERLINK("https://api.qogita.com/variants/link/7612017050126/", "View Product")</f>
        <v/>
      </c>
    </row>
    <row r="11583">
      <c r="A11583" t="inlineStr">
        <is>
          <t>7612017050157</t>
        </is>
      </c>
      <c r="B11583" t="inlineStr">
        <is>
          <t>Valmont Moisturizing Cream</t>
        </is>
      </c>
      <c r="C11583" t="inlineStr">
        <is>
          <t>Face Cream</t>
        </is>
      </c>
      <c r="D11583" t="inlineStr">
        <is>
          <t>Valmont</t>
        </is>
      </c>
      <c r="E11583" t="n">
        <v>104.6</v>
      </c>
      <c r="F11583" t="n">
        <v>1</v>
      </c>
      <c r="G11583" t="n">
        <v>4</v>
      </c>
      <c r="H11583" s="5">
        <f>HYPERLINK("https://api.qogita.com/variants/link/7612017050157/", "View Product")</f>
        <v/>
      </c>
    </row>
    <row r="11584">
      <c r="A11584" t="inlineStr">
        <is>
          <t>7612017051031</t>
        </is>
      </c>
      <c r="B11584" t="inlineStr">
        <is>
          <t>Valmont Regenerating Mask Treatment 35g</t>
        </is>
      </c>
      <c r="C11584" t="inlineStr">
        <is>
          <t>Anti-Aging Mask</t>
        </is>
      </c>
      <c r="D11584" t="inlineStr">
        <is>
          <t>Valmont</t>
        </is>
      </c>
      <c r="E11584" t="n">
        <v>89.73</v>
      </c>
      <c r="F11584" t="n">
        <v>1</v>
      </c>
      <c r="G11584" t="n">
        <v>2</v>
      </c>
      <c r="H11584" s="5">
        <f>HYPERLINK("https://api.qogita.com/variants/link/7612017051031/", "View Product")</f>
        <v/>
      </c>
    </row>
    <row r="11585">
      <c r="A11585" t="inlineStr">
        <is>
          <t>7612017057033</t>
        </is>
      </c>
      <c r="B11585" t="inlineStr">
        <is>
          <t>Valmont Luminescence 30ml</t>
        </is>
      </c>
      <c r="C11585" t="inlineStr">
        <is>
          <t>Glow Serum</t>
        </is>
      </c>
      <c r="D11585" t="inlineStr">
        <is>
          <t>Valmont</t>
        </is>
      </c>
      <c r="E11585" t="n">
        <v>132.35</v>
      </c>
      <c r="F11585" t="n">
        <v>1</v>
      </c>
      <c r="G11585" t="n">
        <v>11</v>
      </c>
      <c r="H11585" s="5">
        <f>HYPERLINK("https://api.qogita.com/variants/link/7612017057033/", "View Product")</f>
        <v/>
      </c>
    </row>
    <row r="11586">
      <c r="A11586" t="inlineStr">
        <is>
          <t>7612017059419</t>
        </is>
      </c>
      <c r="B11586" t="inlineStr">
        <is>
          <t>Valmont V-Lift Serum 30ml - A Lifting Serum For Youthful Skin</t>
        </is>
      </c>
      <c r="C11586" t="inlineStr">
        <is>
          <t>Anti-Aging Serum</t>
        </is>
      </c>
      <c r="D11586" t="inlineStr">
        <is>
          <t>Valmont</t>
        </is>
      </c>
      <c r="E11586" t="n">
        <v>188.08</v>
      </c>
      <c r="F11586" t="n">
        <v>1</v>
      </c>
      <c r="G11586" t="n">
        <v>8</v>
      </c>
      <c r="H11586" s="5">
        <f>HYPERLINK("https://api.qogita.com/variants/link/7612017059419/", "View Product")</f>
        <v/>
      </c>
    </row>
    <row r="11587">
      <c r="A11587" t="inlineStr">
        <is>
          <t>7612017059433</t>
        </is>
      </c>
      <c r="B11587" t="inlineStr">
        <is>
          <t>Valmont V-Lift Eye Cream 15ml - A Luxurious Eye Cream For Lifting And Firming</t>
        </is>
      </c>
      <c r="C11587" t="inlineStr">
        <is>
          <t>Eye Cream</t>
        </is>
      </c>
      <c r="D11587" t="inlineStr">
        <is>
          <t>Valmont</t>
        </is>
      </c>
      <c r="E11587" t="n">
        <v>145.67</v>
      </c>
      <c r="F11587" t="n">
        <v>1</v>
      </c>
      <c r="G11587" t="n">
        <v>3</v>
      </c>
      <c r="H11587" s="5">
        <f>HYPERLINK("https://api.qogita.com/variants/link/7612017059433/", "View Product")</f>
        <v/>
      </c>
    </row>
    <row r="11588">
      <c r="A11588" t="inlineStr">
        <is>
          <t>7612017259611</t>
        </is>
      </c>
      <c r="B11588" t="inlineStr">
        <is>
          <t>Valmont V Firm Cream 50ml Women's Skin Care Tester</t>
        </is>
      </c>
      <c r="C11588" t="inlineStr">
        <is>
          <t>Face Cream</t>
        </is>
      </c>
      <c r="D11588" t="inlineStr">
        <is>
          <t>Valmont</t>
        </is>
      </c>
      <c r="E11588" t="n">
        <v>214.66</v>
      </c>
      <c r="F11588" t="n">
        <v>1</v>
      </c>
      <c r="G11588" t="n">
        <v>11</v>
      </c>
      <c r="H11588" s="5">
        <f>HYPERLINK("https://api.qogita.com/variants/link/7612017259611/", "View Product")</f>
        <v/>
      </c>
    </row>
    <row r="11589">
      <c r="A11589" t="inlineStr">
        <is>
          <t>7612017905020</t>
        </is>
      </c>
      <c r="B11589" t="inlineStr">
        <is>
          <t>Valmont Nourishing Day Cream Des Glaciers - 50 Ml</t>
        </is>
      </c>
      <c r="C11589" t="inlineStr">
        <is>
          <t>Day Cream</t>
        </is>
      </c>
      <c r="D11589" t="inlineStr">
        <is>
          <t>Valmont</t>
        </is>
      </c>
      <c r="E11589" t="n">
        <v>321.2</v>
      </c>
      <c r="F11589" t="n">
        <v>1</v>
      </c>
      <c r="G11589" t="n">
        <v>2</v>
      </c>
      <c r="H11589" s="5">
        <f>HYPERLINK("https://api.qogita.com/variants/link/7612017905020/", "View Product")</f>
        <v/>
      </c>
    </row>
    <row r="11590">
      <c r="A11590" t="inlineStr">
        <is>
          <t>7630042401324</t>
        </is>
      </c>
      <c r="B11590" t="inlineStr">
        <is>
          <t>Victorinox Forget Me Not Eau De Toilette Spray 100ml</t>
        </is>
      </c>
      <c r="C11590" t="inlineStr">
        <is>
          <t>Eau De Toilette</t>
        </is>
      </c>
      <c r="D11590" t="inlineStr">
        <is>
          <t>Victorinox</t>
        </is>
      </c>
      <c r="E11590" t="n">
        <v>10.44</v>
      </c>
      <c r="F11590" t="n">
        <v>1</v>
      </c>
      <c r="G11590" t="n">
        <v>109</v>
      </c>
      <c r="H11590" s="5">
        <f>HYPERLINK("https://api.qogita.com/variants/link/7630042401324/", "View Product")</f>
        <v/>
      </c>
    </row>
    <row r="11591">
      <c r="A11591" t="inlineStr">
        <is>
          <t>7640111492559</t>
        </is>
      </c>
      <c r="B11591" t="inlineStr">
        <is>
          <t>Cabotine Rose by Parfums Gres 3.4 Oz EDT Spray for Women</t>
        </is>
      </c>
      <c r="C11591" t="inlineStr">
        <is>
          <t>Eau De Toilette</t>
        </is>
      </c>
      <c r="D11591" t="inlineStr">
        <is>
          <t>Parfums Grès</t>
        </is>
      </c>
      <c r="E11591" t="n">
        <v>8.92</v>
      </c>
      <c r="F11591" t="n">
        <v>1</v>
      </c>
      <c r="G11591" t="n">
        <v>3</v>
      </c>
      <c r="H11591" s="5">
        <f>HYPERLINK("https://api.qogita.com/variants/link/7640111492559/", "View Product")</f>
        <v/>
      </c>
    </row>
    <row r="11592">
      <c r="A11592" t="inlineStr">
        <is>
          <t>7640111492955</t>
        </is>
      </c>
      <c r="B11592" t="inlineStr">
        <is>
          <t>Gres Cabotine Gold Eau De Toilette Spray 100ml</t>
        </is>
      </c>
      <c r="C11592" t="inlineStr">
        <is>
          <t>Eau De Toilette</t>
        </is>
      </c>
      <c r="D11592" t="inlineStr">
        <is>
          <t>Gres</t>
        </is>
      </c>
      <c r="E11592" t="n">
        <v>9.039999999999999</v>
      </c>
      <c r="F11592" t="n">
        <v>1</v>
      </c>
      <c r="G11592" t="n">
        <v>72</v>
      </c>
      <c r="H11592" s="5">
        <f>HYPERLINK("https://api.qogita.com/variants/link/7640111492955/", "View Product")</f>
        <v/>
      </c>
    </row>
    <row r="11593">
      <c r="A11593" t="inlineStr">
        <is>
          <t>7640111493693</t>
        </is>
      </c>
      <c r="B11593" t="inlineStr">
        <is>
          <t>Jaguar Classic Red Eau De Toilette Spray 100ml</t>
        </is>
      </c>
      <c r="C11593" t="inlineStr">
        <is>
          <t>Eau De Toilette</t>
        </is>
      </c>
      <c r="D11593" t="inlineStr">
        <is>
          <t>Jaguar</t>
        </is>
      </c>
      <c r="E11593" t="n">
        <v>11.15</v>
      </c>
      <c r="F11593" t="n">
        <v>1</v>
      </c>
      <c r="G11593" t="n">
        <v>28</v>
      </c>
      <c r="H11593" s="5">
        <f>HYPERLINK("https://api.qogita.com/variants/link/7640111493693/", "View Product")</f>
        <v/>
      </c>
    </row>
    <row r="11594">
      <c r="A11594" t="inlineStr">
        <is>
          <t>7640111502791</t>
        </is>
      </c>
      <c r="B11594" t="inlineStr">
        <is>
          <t>Lalique Encre Noire A L'Extreme Eau De Parfum 100ml For Men</t>
        </is>
      </c>
      <c r="C11594" t="inlineStr">
        <is>
          <t>Eau De Parfum</t>
        </is>
      </c>
      <c r="D11594" t="inlineStr">
        <is>
          <t>Lalique</t>
        </is>
      </c>
      <c r="E11594" t="n">
        <v>23.99</v>
      </c>
      <c r="F11594" t="n">
        <v>1</v>
      </c>
      <c r="G11594" t="n">
        <v>193</v>
      </c>
      <c r="H11594" s="5">
        <f>HYPERLINK("https://api.qogita.com/variants/link/7640111502791/", "View Product")</f>
        <v/>
      </c>
    </row>
    <row r="11595">
      <c r="A11595" t="inlineStr">
        <is>
          <t>7640119232911</t>
        </is>
      </c>
      <c r="B11595" t="inlineStr">
        <is>
          <t>EyeBag - Serum with Stem Cells for Eye Bags 15 ml</t>
        </is>
      </c>
      <c r="C11595" t="inlineStr">
        <is>
          <t>Eye Serum</t>
        </is>
      </c>
      <c r="D11595" t="inlineStr">
        <is>
          <t>Fytofontana Stem Cells</t>
        </is>
      </c>
      <c r="E11595" t="n">
        <v>24.78</v>
      </c>
      <c r="F11595" t="n">
        <v>1</v>
      </c>
      <c r="G11595" t="n">
        <v>3</v>
      </c>
      <c r="H11595" s="5">
        <f>HYPERLINK("https://api.qogita.com/variants/link/7640119232911/", "View Product")</f>
        <v/>
      </c>
    </row>
    <row r="11596">
      <c r="A11596" t="inlineStr">
        <is>
          <t>7640119232942</t>
        </is>
      </c>
      <c r="B11596" t="inlineStr">
        <is>
          <t>Intense Boot - Stem Cell Serum for Deep Wrinkles 4.5 ml</t>
        </is>
      </c>
      <c r="C11596" t="inlineStr">
        <is>
          <t>Anti-Aging Serum</t>
        </is>
      </c>
      <c r="D11596" t="inlineStr">
        <is>
          <t>Fytofontana Stem Cells</t>
        </is>
      </c>
      <c r="E11596" t="n">
        <v>24.99</v>
      </c>
      <c r="F11596" t="n">
        <v>1</v>
      </c>
      <c r="G11596" t="n">
        <v>14</v>
      </c>
      <c r="H11596" s="5">
        <f>HYPERLINK("https://api.qogita.com/variants/link/7640119232942/", "View Product")</f>
        <v/>
      </c>
    </row>
    <row r="11597">
      <c r="A11597" t="inlineStr">
        <is>
          <t>7640126190013</t>
        </is>
      </c>
      <c r="B11597" t="inlineStr">
        <is>
          <t>SWISSDENT My Little Star Children's Toothpaste 50ml</t>
        </is>
      </c>
      <c r="C11597" t="inlineStr">
        <is>
          <t>Dental Care For Children</t>
        </is>
      </c>
      <c r="D11597" t="inlineStr">
        <is>
          <t>Swissdent</t>
        </is>
      </c>
      <c r="E11597" t="n">
        <v>7.66</v>
      </c>
      <c r="F11597" t="n">
        <v>1</v>
      </c>
      <c r="G11597" t="n">
        <v>7</v>
      </c>
      <c r="H11597" s="5">
        <f>HYPERLINK("https://api.qogita.com/variants/link/7640126190013/", "View Product")</f>
        <v/>
      </c>
    </row>
    <row r="11598">
      <c r="A11598" t="inlineStr">
        <is>
          <t>7640126190884</t>
        </is>
      </c>
      <c r="B11598" t="inlineStr">
        <is>
          <t>Swissdent Biocare Toothpaste 50ml Natural Whitening Toothpaste</t>
        </is>
      </c>
      <c r="C11598" t="inlineStr">
        <is>
          <t>Toothpaste</t>
        </is>
      </c>
      <c r="D11598" t="inlineStr">
        <is>
          <t>Swissdent</t>
        </is>
      </c>
      <c r="E11598" t="n">
        <v>8.130000000000001</v>
      </c>
      <c r="F11598" t="n">
        <v>1</v>
      </c>
      <c r="G11598" t="n">
        <v>5</v>
      </c>
      <c r="H11598" s="5">
        <f>HYPERLINK("https://api.qogita.com/variants/link/7640126190884/", "View Product")</f>
        <v/>
      </c>
    </row>
    <row r="11599">
      <c r="A11599" t="inlineStr">
        <is>
          <t>7640126191300</t>
        </is>
      </c>
      <c r="B11599" t="inlineStr">
        <is>
          <t>Swissdent Swissdent Extreme Whitening Mouthwash 300ml</t>
        </is>
      </c>
      <c r="C11599" t="inlineStr">
        <is>
          <t>Mouthwash</t>
        </is>
      </c>
      <c r="D11599" t="inlineStr">
        <is>
          <t>Swissdent</t>
        </is>
      </c>
      <c r="E11599" t="n">
        <v>12.92</v>
      </c>
      <c r="F11599" t="n">
        <v>1</v>
      </c>
      <c r="G11599" t="n">
        <v>5</v>
      </c>
      <c r="H11599" s="5">
        <f>HYPERLINK("https://api.qogita.com/variants/link/7640126191300/", "View Product")</f>
        <v/>
      </c>
    </row>
    <row r="11600">
      <c r="A11600" t="inlineStr">
        <is>
          <t>7640126195087</t>
        </is>
      </c>
      <c r="B11600" t="inlineStr">
        <is>
          <t>Swissdent Whitening Soft Toothbrush 3 Pieces Soft Toothbrush With 2 1 Free Offer</t>
        </is>
      </c>
      <c r="C11600" t="inlineStr">
        <is>
          <t>Toothbrushes &amp; Tongue Cleaners</t>
        </is>
      </c>
      <c r="D11600" t="inlineStr">
        <is>
          <t>Swissdent</t>
        </is>
      </c>
      <c r="E11600" t="n">
        <v>7.18</v>
      </c>
      <c r="F11600" t="n">
        <v>1</v>
      </c>
      <c r="G11600" t="n">
        <v>9</v>
      </c>
      <c r="H11600" s="5">
        <f>HYPERLINK("https://api.qogita.com/variants/link/7640126195087/", "View Product")</f>
        <v/>
      </c>
    </row>
    <row r="11601">
      <c r="A11601" t="inlineStr">
        <is>
          <t>7640126195124</t>
        </is>
      </c>
      <c r="B11601" t="inlineStr">
        <is>
          <t>Swissdent Professional Whitening Toothbrush Trio Soft - Pack of 3</t>
        </is>
      </c>
      <c r="C11601" t="inlineStr">
        <is>
          <t>Toothbrushes &amp; Tongue Cleaners</t>
        </is>
      </c>
      <c r="D11601" t="inlineStr">
        <is>
          <t>Swissdent</t>
        </is>
      </c>
      <c r="E11601" t="n">
        <v>7.18</v>
      </c>
      <c r="F11601" t="n">
        <v>1</v>
      </c>
      <c r="G11601" t="n">
        <v>18</v>
      </c>
      <c r="H11601" s="5">
        <f>HYPERLINK("https://api.qogita.com/variants/link/7640126195124/", "View Product")</f>
        <v/>
      </c>
    </row>
    <row r="11602">
      <c r="A11602" t="inlineStr">
        <is>
          <t>7640126195148</t>
        </is>
      </c>
      <c r="B11602" t="inlineStr">
        <is>
          <t>Swissdent Professional Whitening Toothbrush Trio Soft Turquoise White Blue - Pack of 3</t>
        </is>
      </c>
      <c r="C11602" t="inlineStr">
        <is>
          <t>Toothbrushes &amp; Tongue Cleaners</t>
        </is>
      </c>
      <c r="D11602" t="inlineStr">
        <is>
          <t>Swissdent</t>
        </is>
      </c>
      <c r="E11602" t="n">
        <v>7.18</v>
      </c>
      <c r="F11602" t="n">
        <v>1</v>
      </c>
      <c r="G11602" t="n">
        <v>11</v>
      </c>
      <c r="H11602" s="5">
        <f>HYPERLINK("https://api.qogita.com/variants/link/7640126195148/", "View Product")</f>
        <v/>
      </c>
    </row>
    <row r="11603">
      <c r="A11603" t="inlineStr">
        <is>
          <t>7640126195155</t>
        </is>
      </c>
      <c r="B11603" t="inlineStr">
        <is>
          <t>Swissdent Profi Whitening Soft Toothbrush Soft Toothbrush In Red Color</t>
        </is>
      </c>
      <c r="C11603" t="inlineStr">
        <is>
          <t>Toothbrushes &amp; Tongue Cleaners</t>
        </is>
      </c>
      <c r="D11603" t="inlineStr">
        <is>
          <t>Swissdent</t>
        </is>
      </c>
      <c r="E11603" t="n">
        <v>3.47</v>
      </c>
      <c r="F11603" t="n">
        <v>1</v>
      </c>
      <c r="G11603" t="n">
        <v>7</v>
      </c>
      <c r="H11603" s="5">
        <f>HYPERLINK("https://api.qogita.com/variants/link/7640126195155/", "View Product")</f>
        <v/>
      </c>
    </row>
    <row r="11604">
      <c r="A11604" t="inlineStr">
        <is>
          <t>7640129895014</t>
        </is>
      </c>
      <c r="B11604" t="inlineStr">
        <is>
          <t>Denim Musk Aftershave 3.4oz 100ml</t>
        </is>
      </c>
      <c r="C11604" t="inlineStr">
        <is>
          <t>Aftershave</t>
        </is>
      </c>
      <c r="D11604" t="inlineStr">
        <is>
          <t>Faberge</t>
        </is>
      </c>
      <c r="E11604" t="n">
        <v>2.9</v>
      </c>
      <c r="F11604" t="n">
        <v>1</v>
      </c>
      <c r="G11604" t="n">
        <v>5</v>
      </c>
      <c r="H11604" s="5">
        <f>HYPERLINK("https://api.qogita.com/variants/link/7640129895014/", "View Product")</f>
        <v/>
      </c>
    </row>
    <row r="11605">
      <c r="A11605" t="inlineStr">
        <is>
          <t>7640129895021</t>
        </is>
      </c>
      <c r="B11605" t="inlineStr">
        <is>
          <t>Denim After Shave Black 100ml</t>
        </is>
      </c>
      <c r="C11605" t="inlineStr">
        <is>
          <t>Aftershave</t>
        </is>
      </c>
      <c r="D11605" t="inlineStr">
        <is>
          <t>Denim</t>
        </is>
      </c>
      <c r="E11605" t="n">
        <v>3.4</v>
      </c>
      <c r="F11605" t="n">
        <v>1</v>
      </c>
      <c r="G11605" t="n">
        <v>6</v>
      </c>
      <c r="H11605" s="5">
        <f>HYPERLINK("https://api.qogita.com/variants/link/7640129895021/", "View Product")</f>
        <v/>
      </c>
    </row>
    <row r="11606">
      <c r="A11606" t="inlineStr">
        <is>
          <t>7640171190334</t>
        </is>
      </c>
      <c r="B11606" t="inlineStr">
        <is>
          <t>Bentley Momentum Intense Eau De Parfum 100ml</t>
        </is>
      </c>
      <c r="C11606" t="inlineStr">
        <is>
          <t>Eau De Parfum</t>
        </is>
      </c>
      <c r="D11606" t="inlineStr">
        <is>
          <t>Bentley</t>
        </is>
      </c>
      <c r="E11606" t="n">
        <v>25.61</v>
      </c>
      <c r="F11606" t="n">
        <v>1</v>
      </c>
      <c r="G11606" t="n">
        <v>327</v>
      </c>
      <c r="H11606" s="5">
        <f>HYPERLINK("https://api.qogita.com/variants/link/7640171190334/", "View Product")</f>
        <v/>
      </c>
    </row>
    <row r="11607">
      <c r="A11607" t="inlineStr">
        <is>
          <t>7640171191140</t>
        </is>
      </c>
      <c r="B11607" t="inlineStr">
        <is>
          <t>Bentley Momentum Unlimited Eau De Toilette 100ml</t>
        </is>
      </c>
      <c r="C11607" t="inlineStr">
        <is>
          <t>Eau De Toilette</t>
        </is>
      </c>
      <c r="D11607" t="inlineStr">
        <is>
          <t>Bentley</t>
        </is>
      </c>
      <c r="E11607" t="n">
        <v>21.09</v>
      </c>
      <c r="F11607" t="n">
        <v>1</v>
      </c>
      <c r="G11607" t="n">
        <v>11</v>
      </c>
      <c r="H11607" s="5">
        <f>HYPERLINK("https://api.qogita.com/variants/link/7640171191140/", "View Product")</f>
        <v/>
      </c>
    </row>
    <row r="11608">
      <c r="A11608" t="inlineStr">
        <is>
          <t>7640171192390</t>
        </is>
      </c>
      <c r="B11608" t="inlineStr">
        <is>
          <t>Parfums Grs Cabochard Eau De Toilette Spray 100ml</t>
        </is>
      </c>
      <c r="C11608" t="inlineStr">
        <is>
          <t>Eau De Toilette</t>
        </is>
      </c>
      <c r="D11608" t="inlineStr">
        <is>
          <t>Parfums Grès</t>
        </is>
      </c>
      <c r="E11608" t="n">
        <v>11.14</v>
      </c>
      <c r="F11608" t="n">
        <v>1</v>
      </c>
      <c r="G11608" t="n">
        <v>15</v>
      </c>
      <c r="H11608" s="5">
        <f>HYPERLINK("https://api.qogita.com/variants/link/7640171192390/", "View Product")</f>
        <v/>
      </c>
    </row>
    <row r="11609">
      <c r="A11609" t="inlineStr">
        <is>
          <t>7640171192970</t>
        </is>
      </c>
      <c r="B11609" t="inlineStr">
        <is>
          <t>Jaguar Classic Black Eau De Toilette Set 100ml Spray 200ml Shower Gel</t>
        </is>
      </c>
      <c r="C11609" t="inlineStr">
        <is>
          <t>Fragrance Sets</t>
        </is>
      </c>
      <c r="D11609" t="inlineStr">
        <is>
          <t>Jaguar</t>
        </is>
      </c>
      <c r="E11609" t="n">
        <v>14.09</v>
      </c>
      <c r="F11609" t="n">
        <v>1</v>
      </c>
      <c r="G11609" t="n">
        <v>15</v>
      </c>
      <c r="H11609" s="5">
        <f>HYPERLINK("https://api.qogita.com/variants/link/7640171192970/", "View Product")</f>
        <v/>
      </c>
    </row>
    <row r="11610">
      <c r="A11610" t="inlineStr">
        <is>
          <t>7640171193366</t>
        </is>
      </c>
      <c r="B11610" t="inlineStr">
        <is>
          <t>Jaguar Classic Electric Sky Eau De Toilette 100ml For Men</t>
        </is>
      </c>
      <c r="C11610" t="inlineStr">
        <is>
          <t>Eau De Toilette</t>
        </is>
      </c>
      <c r="D11610" t="inlineStr">
        <is>
          <t>Jaguar</t>
        </is>
      </c>
      <c r="E11610" t="n">
        <v>13</v>
      </c>
      <c r="F11610" t="n">
        <v>1</v>
      </c>
      <c r="G11610" t="n">
        <v>22</v>
      </c>
      <c r="H11610" s="5">
        <f>HYPERLINK("https://api.qogita.com/variants/link/7640171193366/", "View Product")</f>
        <v/>
      </c>
    </row>
    <row r="11611">
      <c r="A11611" t="inlineStr">
        <is>
          <t>7640171194134</t>
        </is>
      </c>
      <c r="B11611" t="inlineStr">
        <is>
          <t>Brioni Eclat Eau De Parfum Spray 100ml</t>
        </is>
      </c>
      <c r="C11611" t="inlineStr">
        <is>
          <t>Eau De Parfum</t>
        </is>
      </c>
      <c r="D11611" t="inlineStr">
        <is>
          <t>Brioni</t>
        </is>
      </c>
      <c r="E11611" t="n">
        <v>35.82</v>
      </c>
      <c r="F11611" t="n">
        <v>1</v>
      </c>
      <c r="G11611" t="n">
        <v>17</v>
      </c>
      <c r="H11611" s="5">
        <f>HYPERLINK("https://api.qogita.com/variants/link/7640171194134/", "View Product")</f>
        <v/>
      </c>
    </row>
    <row r="11612">
      <c r="A11612" t="inlineStr">
        <is>
          <t>7640171196138</t>
        </is>
      </c>
      <c r="B11612" t="inlineStr">
        <is>
          <t>Lalique Noir Premier Plume Blanche Eau De Parfum 100ml Unisex Spray</t>
        </is>
      </c>
      <c r="C11612" t="inlineStr">
        <is>
          <t>Eau De Parfum</t>
        </is>
      </c>
      <c r="D11612" t="inlineStr">
        <is>
          <t>Lalique</t>
        </is>
      </c>
      <c r="E11612" t="n">
        <v>88.04000000000001</v>
      </c>
      <c r="F11612" t="n">
        <v>1</v>
      </c>
      <c r="G11612" t="n">
        <v>5</v>
      </c>
      <c r="H11612" s="5">
        <f>HYPERLINK("https://api.qogita.com/variants/link/7640171196138/", "View Product")</f>
        <v/>
      </c>
    </row>
    <row r="11613">
      <c r="A11613" t="inlineStr">
        <is>
          <t>7640171199481</t>
        </is>
      </c>
      <c r="B11613" t="inlineStr">
        <is>
          <t>Lalique Amethyst Exquise Eau De Parfum 100ml</t>
        </is>
      </c>
      <c r="C11613" t="inlineStr">
        <is>
          <t>Eau De Parfum</t>
        </is>
      </c>
      <c r="D11613" t="inlineStr">
        <is>
          <t>Lalique</t>
        </is>
      </c>
      <c r="E11613" t="n">
        <v>19.63</v>
      </c>
      <c r="F11613" t="n">
        <v>1</v>
      </c>
      <c r="G11613" t="n">
        <v>14</v>
      </c>
      <c r="H11613" s="5">
        <f>HYPERLINK("https://api.qogita.com/variants/link/7640171199481/", "View Product")</f>
        <v/>
      </c>
    </row>
    <row r="11614">
      <c r="A11614" t="inlineStr">
        <is>
          <t>7640177360007</t>
        </is>
      </c>
      <c r="B11614" t="inlineStr">
        <is>
          <t>1000 Miglia Chopard for Men 2.7 Oz EDT Spray</t>
        </is>
      </c>
      <c r="C11614" t="inlineStr">
        <is>
          <t>Eau De Toilette</t>
        </is>
      </c>
      <c r="D11614" t="inlineStr">
        <is>
          <t>Chopard</t>
        </is>
      </c>
      <c r="E11614" t="n">
        <v>27.51</v>
      </c>
      <c r="F11614" t="n">
        <v>1</v>
      </c>
      <c r="G11614" t="n">
        <v>4</v>
      </c>
      <c r="H11614" s="5">
        <f>HYPERLINK("https://api.qogita.com/variants/link/7640177360007/", "View Product")</f>
        <v/>
      </c>
    </row>
    <row r="11615">
      <c r="A11615" t="inlineStr">
        <is>
          <t>7640177360106</t>
        </is>
      </c>
      <c r="B11615" t="inlineStr">
        <is>
          <t>Chopard Amber Malaki Eau De Parfum 80ml Unisex Spray</t>
        </is>
      </c>
      <c r="C11615" t="inlineStr">
        <is>
          <t>Eau De Parfum</t>
        </is>
      </c>
      <c r="D11615" t="inlineStr">
        <is>
          <t>Chopard</t>
        </is>
      </c>
      <c r="E11615" t="n">
        <v>38.79</v>
      </c>
      <c r="F11615" t="n">
        <v>1</v>
      </c>
      <c r="G11615" t="n">
        <v>5</v>
      </c>
      <c r="H11615" s="5">
        <f>HYPERLINK("https://api.qogita.com/variants/link/7640177360106/", "View Product")</f>
        <v/>
      </c>
    </row>
    <row r="11616">
      <c r="A11616" t="inlineStr">
        <is>
          <t>7640177360120</t>
        </is>
      </c>
      <c r="B11616" t="inlineStr">
        <is>
          <t>Ghopard Rose Malaki Eau De Parfum GHO002 80ml</t>
        </is>
      </c>
      <c r="C11616" t="inlineStr">
        <is>
          <t>Eau De Parfum</t>
        </is>
      </c>
      <c r="D11616" t="inlineStr">
        <is>
          <t>Chopard</t>
        </is>
      </c>
      <c r="E11616" t="n">
        <v>38.26</v>
      </c>
      <c r="F11616" t="n">
        <v>1</v>
      </c>
      <c r="G11616" t="n">
        <v>5</v>
      </c>
      <c r="H11616" s="5">
        <f>HYPERLINK("https://api.qogita.com/variants/link/7640177360120/", "View Product")</f>
        <v/>
      </c>
    </row>
    <row r="11617">
      <c r="A11617" t="inlineStr">
        <is>
          <t>7640177360304</t>
        </is>
      </c>
      <c r="B11617" t="inlineStr">
        <is>
          <t>Chopard Brilliant Wish Eau De Parfum 75ml</t>
        </is>
      </c>
      <c r="C11617" t="inlineStr">
        <is>
          <t>Eau De Parfum</t>
        </is>
      </c>
      <c r="D11617" t="inlineStr">
        <is>
          <t>Chopard</t>
        </is>
      </c>
      <c r="E11617" t="n">
        <v>18</v>
      </c>
      <c r="F11617" t="n">
        <v>1</v>
      </c>
      <c r="G11617" t="n">
        <v>5</v>
      </c>
      <c r="H11617" s="5">
        <f>HYPERLINK("https://api.qogita.com/variants/link/7640177360304/", "View Product")</f>
        <v/>
      </c>
    </row>
    <row r="11618">
      <c r="A11618" t="inlineStr">
        <is>
          <t>7640177360311</t>
        </is>
      </c>
      <c r="B11618" t="inlineStr">
        <is>
          <t>Chopard Brilliant Wish Eau De Parfum 30ml - Delicate Feminine</t>
        </is>
      </c>
      <c r="C11618" t="inlineStr">
        <is>
          <t>Eau De Parfum</t>
        </is>
      </c>
      <c r="D11618" t="inlineStr">
        <is>
          <t>Chopard</t>
        </is>
      </c>
      <c r="E11618" t="n">
        <v>13.11</v>
      </c>
      <c r="F11618" t="n">
        <v>1</v>
      </c>
      <c r="G11618" t="n">
        <v>11</v>
      </c>
      <c r="H11618" s="5">
        <f>HYPERLINK("https://api.qogita.com/variants/link/7640177360311/", "View Product")</f>
        <v/>
      </c>
    </row>
    <row r="11619">
      <c r="A11619" t="inlineStr">
        <is>
          <t>7640177360366</t>
        </is>
      </c>
      <c r="B11619" t="inlineStr">
        <is>
          <t>Chopard Black Incense Malaki Eau De Parfum</t>
        </is>
      </c>
      <c r="C11619" t="inlineStr">
        <is>
          <t>Eau De Parfum</t>
        </is>
      </c>
      <c r="D11619" t="inlineStr">
        <is>
          <t>Chopard</t>
        </is>
      </c>
      <c r="E11619" t="n">
        <v>41.46</v>
      </c>
      <c r="F11619" t="n">
        <v>1</v>
      </c>
      <c r="G11619" t="n">
        <v>27</v>
      </c>
      <c r="H11619" s="5">
        <f>HYPERLINK("https://api.qogita.com/variants/link/7640177360366/", "View Product")</f>
        <v/>
      </c>
    </row>
    <row r="11620">
      <c r="A11620" t="inlineStr">
        <is>
          <t>7640177360724</t>
        </is>
      </c>
      <c r="B11620" t="inlineStr">
        <is>
          <t>Chopard Sparkling Love Eau De Parfum 50ml</t>
        </is>
      </c>
      <c r="C11620" t="inlineStr">
        <is>
          <t>Eau De Parfum</t>
        </is>
      </c>
      <c r="D11620" t="inlineStr">
        <is>
          <t>Chopard</t>
        </is>
      </c>
      <c r="E11620" t="n">
        <v>36.06</v>
      </c>
      <c r="F11620" t="n">
        <v>1</v>
      </c>
      <c r="G11620" t="n">
        <v>5</v>
      </c>
      <c r="H11620" s="5">
        <f>HYPERLINK("https://api.qogita.com/variants/link/7640177360724/", "View Product")</f>
        <v/>
      </c>
    </row>
    <row r="11621">
      <c r="A11621" t="inlineStr">
        <is>
          <t>7640177360731</t>
        </is>
      </c>
      <c r="B11621" t="inlineStr">
        <is>
          <t>Chopard Imperiale Iris Malika Eau de Parfum 100ml Spray for Women - NEW</t>
        </is>
      </c>
      <c r="C11621" t="inlineStr">
        <is>
          <t>Eau De Parfum</t>
        </is>
      </c>
      <c r="D11621" t="inlineStr">
        <is>
          <t>Chopard</t>
        </is>
      </c>
      <c r="E11621" t="n">
        <v>37.08</v>
      </c>
      <c r="F11621" t="n">
        <v>1</v>
      </c>
      <c r="G11621" t="n">
        <v>88</v>
      </c>
      <c r="H11621" s="5">
        <f>HYPERLINK("https://api.qogita.com/variants/link/7640177360731/", "View Product")</f>
        <v/>
      </c>
    </row>
    <row r="11622">
      <c r="A11622" t="inlineStr">
        <is>
          <t>7640177362049</t>
        </is>
      </c>
      <c r="B11622" t="inlineStr">
        <is>
          <t>Chopard Happy Felicia Roses Eau De Parfum 100ml Spray</t>
        </is>
      </c>
      <c r="C11622" t="inlineStr">
        <is>
          <t>Eau De Parfum</t>
        </is>
      </c>
      <c r="D11622" t="inlineStr">
        <is>
          <t>Chopard</t>
        </is>
      </c>
      <c r="E11622" t="n">
        <v>24.51</v>
      </c>
      <c r="F11622" t="n">
        <v>1</v>
      </c>
      <c r="G11622" t="n">
        <v>4</v>
      </c>
      <c r="H11622" s="5">
        <f>HYPERLINK("https://api.qogita.com/variants/link/7640177362049/", "View Product")</f>
        <v/>
      </c>
    </row>
    <row r="11623">
      <c r="A11623" t="inlineStr">
        <is>
          <t>7640177363169</t>
        </is>
      </c>
      <c r="B11623" t="inlineStr">
        <is>
          <t>Chopard Love Chopard Eau De Parfum</t>
        </is>
      </c>
      <c r="C11623" t="inlineStr">
        <is>
          <t>Eau De Parfum</t>
        </is>
      </c>
      <c r="D11623" t="inlineStr">
        <is>
          <t>Chopard</t>
        </is>
      </c>
      <c r="E11623" t="n">
        <v>13.61</v>
      </c>
      <c r="F11623" t="n">
        <v>1</v>
      </c>
      <c r="G11623" t="n">
        <v>5</v>
      </c>
      <c r="H11623" s="5">
        <f>HYPERLINK("https://api.qogita.com/variants/link/7640177363169/", "View Product")</f>
        <v/>
      </c>
    </row>
    <row r="11624">
      <c r="A11624" t="inlineStr">
        <is>
          <t>7640177363176</t>
        </is>
      </c>
      <c r="B11624" t="inlineStr">
        <is>
          <t>Chopard Love Chopard Eau De Parfum 50ml Spray</t>
        </is>
      </c>
      <c r="C11624" t="inlineStr">
        <is>
          <t>Eau De Parfum</t>
        </is>
      </c>
      <c r="D11624" t="inlineStr">
        <is>
          <t>Chopard</t>
        </is>
      </c>
      <c r="E11624" t="n">
        <v>31.41</v>
      </c>
      <c r="F11624" t="n">
        <v>1</v>
      </c>
      <c r="G11624" t="n">
        <v>20</v>
      </c>
      <c r="H11624" s="5">
        <f>HYPERLINK("https://api.qogita.com/variants/link/7640177363176/", "View Product")</f>
        <v/>
      </c>
    </row>
    <row r="11625">
      <c r="A11625" t="inlineStr">
        <is>
          <t>7640177363268</t>
        </is>
      </c>
      <c r="B11625" t="inlineStr">
        <is>
          <t>Chopard Bois Nomades Eau de Parfum U 100 ml</t>
        </is>
      </c>
      <c r="C11625" t="inlineStr">
        <is>
          <t>Eau De Parfum</t>
        </is>
      </c>
      <c r="D11625" t="inlineStr">
        <is>
          <t>Chopard</t>
        </is>
      </c>
      <c r="E11625" t="n">
        <v>108.97</v>
      </c>
      <c r="F11625" t="n">
        <v>1</v>
      </c>
      <c r="G11625" t="n">
        <v>4</v>
      </c>
      <c r="H11625" s="5">
        <f>HYPERLINK("https://api.qogita.com/variants/link/7640177363268/", "View Product")</f>
        <v/>
      </c>
    </row>
    <row r="11626">
      <c r="A11626" t="inlineStr">
        <is>
          <t>7640177366009</t>
        </is>
      </c>
      <c r="B11626" t="inlineStr">
        <is>
          <t>Chopard Casmir Eau De Parfum 30ml Vaporizer</t>
        </is>
      </c>
      <c r="C11626" t="inlineStr">
        <is>
          <t>Eau De Parfum</t>
        </is>
      </c>
      <c r="D11626" t="inlineStr">
        <is>
          <t>Chopard</t>
        </is>
      </c>
      <c r="E11626" t="n">
        <v>14.67</v>
      </c>
      <c r="F11626" t="n">
        <v>1</v>
      </c>
      <c r="G11626" t="n">
        <v>5</v>
      </c>
      <c r="H11626" s="5">
        <f>HYPERLINK("https://api.qogita.com/variants/link/7640177366009/", "View Product")</f>
        <v/>
      </c>
    </row>
    <row r="11627">
      <c r="A11627" t="inlineStr">
        <is>
          <t>7640177366016</t>
        </is>
      </c>
      <c r="B11627" t="inlineStr">
        <is>
          <t>Chopard Casmir Eau De Parfum Spray 100ml For Women</t>
        </is>
      </c>
      <c r="C11627" t="inlineStr">
        <is>
          <t>Eau De Parfum</t>
        </is>
      </c>
      <c r="D11627" t="inlineStr">
        <is>
          <t>Chopard</t>
        </is>
      </c>
      <c r="E11627" t="n">
        <v>18.6</v>
      </c>
      <c r="F11627" t="n">
        <v>1</v>
      </c>
      <c r="G11627" t="n">
        <v>464</v>
      </c>
      <c r="H11627" s="5">
        <f>HYPERLINK("https://api.qogita.com/variants/link/7640177366016/", "View Product")</f>
        <v/>
      </c>
    </row>
    <row r="11628">
      <c r="A11628" t="inlineStr">
        <is>
          <t>7640177367433</t>
        </is>
      </c>
      <c r="B11628" t="inlineStr">
        <is>
          <t>Chopard Vanilla of Madagascar Eau de Parfum 100ml</t>
        </is>
      </c>
      <c r="C11628" t="inlineStr">
        <is>
          <t>Eau De Parfum</t>
        </is>
      </c>
      <c r="D11628" t="inlineStr">
        <is>
          <t>Chopard</t>
        </is>
      </c>
      <c r="E11628" t="n">
        <v>118.8</v>
      </c>
      <c r="F11628" t="n">
        <v>1</v>
      </c>
      <c r="G11628" t="n">
        <v>3</v>
      </c>
      <c r="H11628" s="5">
        <f>HYPERLINK("https://api.qogita.com/variants/link/7640177367433/", "View Product")</f>
        <v/>
      </c>
    </row>
    <row r="11629">
      <c r="A11629" t="inlineStr">
        <is>
          <t>7640177367440</t>
        </is>
      </c>
      <c r="B11629" t="inlineStr">
        <is>
          <t>Chopard Neroli A La Cardamone Du Guatemala Eau De Parfum 100ml Unisex Spray</t>
        </is>
      </c>
      <c r="C11629" t="inlineStr">
        <is>
          <t>Eau De Parfum</t>
        </is>
      </c>
      <c r="D11629" t="inlineStr">
        <is>
          <t>Chopard</t>
        </is>
      </c>
      <c r="E11629" t="n">
        <v>108.44</v>
      </c>
      <c r="F11629" t="n">
        <v>1</v>
      </c>
      <c r="G11629" t="n">
        <v>5</v>
      </c>
      <c r="H11629" s="5">
        <f>HYPERLINK("https://api.qogita.com/variants/link/7640177367440/", "View Product")</f>
        <v/>
      </c>
    </row>
    <row r="11630">
      <c r="A11630" t="inlineStr">
        <is>
          <t>7640233340004</t>
        </is>
      </c>
      <c r="B11630" t="inlineStr">
        <is>
          <t>Elie Saab Le Parfum Woman Eau De Parfum Spray 30ml</t>
        </is>
      </c>
      <c r="C11630" t="inlineStr">
        <is>
          <t>Eau De Parfum</t>
        </is>
      </c>
      <c r="D11630" t="inlineStr">
        <is>
          <t>Elie Saab</t>
        </is>
      </c>
      <c r="E11630" t="n">
        <v>27.91</v>
      </c>
      <c r="F11630" t="n">
        <v>1</v>
      </c>
      <c r="G11630" t="n">
        <v>32</v>
      </c>
      <c r="H11630" s="5">
        <f>HYPERLINK("https://api.qogita.com/variants/link/7640233340004/", "View Product")</f>
        <v/>
      </c>
    </row>
    <row r="11631">
      <c r="A11631" t="inlineStr">
        <is>
          <t>7640233340103</t>
        </is>
      </c>
      <c r="B11631" t="inlineStr">
        <is>
          <t>Elie Saab Le Parfum In White Eau De Parfum Spray 30ml</t>
        </is>
      </c>
      <c r="C11631" t="inlineStr">
        <is>
          <t>Eau De Parfum</t>
        </is>
      </c>
      <c r="D11631" t="inlineStr">
        <is>
          <t>Elie Saab</t>
        </is>
      </c>
      <c r="E11631" t="n">
        <v>25.15</v>
      </c>
      <c r="F11631" t="n">
        <v>1</v>
      </c>
      <c r="G11631" t="n">
        <v>5</v>
      </c>
      <c r="H11631" s="5">
        <f>HYPERLINK("https://api.qogita.com/variants/link/7640233340103/", "View Product")</f>
        <v/>
      </c>
    </row>
    <row r="11632">
      <c r="A11632" t="inlineStr">
        <is>
          <t>7640233340127</t>
        </is>
      </c>
      <c r="B11632" t="inlineStr">
        <is>
          <t>Elie Saab Le Parfum In White Eau De Parfum 90ml For Women</t>
        </is>
      </c>
      <c r="C11632" t="inlineStr">
        <is>
          <t>Eau De Parfum</t>
        </is>
      </c>
      <c r="D11632" t="inlineStr">
        <is>
          <t>Elie Saab</t>
        </is>
      </c>
      <c r="E11632" t="n">
        <v>46.06</v>
      </c>
      <c r="F11632" t="n">
        <v>1</v>
      </c>
      <c r="G11632" t="n">
        <v>2</v>
      </c>
      <c r="H11632" s="5">
        <f>HYPERLINK("https://api.qogita.com/variants/link/7640233340127/", "View Product")</f>
        <v/>
      </c>
    </row>
    <row r="11633">
      <c r="A11633" t="inlineStr">
        <is>
          <t>7640233340189</t>
        </is>
      </c>
      <c r="B11633" t="inlineStr">
        <is>
          <t>Elie Saab Girl Of Now Eau De Parfum Spray 50ml</t>
        </is>
      </c>
      <c r="C11633" t="inlineStr">
        <is>
          <t>Eau De Parfum</t>
        </is>
      </c>
      <c r="D11633" t="inlineStr">
        <is>
          <t>Elie Saab</t>
        </is>
      </c>
      <c r="E11633" t="n">
        <v>35.15</v>
      </c>
      <c r="F11633" t="n">
        <v>1</v>
      </c>
      <c r="G11633" t="n">
        <v>14</v>
      </c>
      <c r="H11633" s="5">
        <f>HYPERLINK("https://api.qogita.com/variants/link/7640233340189/", "View Product")</f>
        <v/>
      </c>
    </row>
    <row r="11634">
      <c r="A11634" t="inlineStr">
        <is>
          <t>7640233340226</t>
        </is>
      </c>
      <c r="B11634" t="inlineStr">
        <is>
          <t>Elie Saab Girl Of Now Forever Eau De Parfum 90ml For Women</t>
        </is>
      </c>
      <c r="C11634" t="inlineStr">
        <is>
          <t>Eau De Parfum</t>
        </is>
      </c>
      <c r="D11634" t="inlineStr">
        <is>
          <t>Elie Saab</t>
        </is>
      </c>
      <c r="E11634" t="n">
        <v>43.75</v>
      </c>
      <c r="F11634" t="n">
        <v>1</v>
      </c>
      <c r="G11634" t="n">
        <v>122</v>
      </c>
      <c r="H11634" s="5">
        <f>HYPERLINK("https://api.qogita.com/variants/link/7640233340226/", "View Product")</f>
        <v/>
      </c>
    </row>
    <row r="11635">
      <c r="A11635" t="inlineStr">
        <is>
          <t>7640233340806</t>
        </is>
      </c>
      <c r="B11635" t="inlineStr">
        <is>
          <t>Elie Saab La Collection Essence No.1 Rose Eau de Parfum Spray 100ml - Brand New</t>
        </is>
      </c>
      <c r="C11635" t="inlineStr">
        <is>
          <t>Eau De Parfum</t>
        </is>
      </c>
      <c r="D11635" t="inlineStr">
        <is>
          <t>Elie Saab</t>
        </is>
      </c>
      <c r="E11635" t="n">
        <v>46.01</v>
      </c>
      <c r="F11635" t="n">
        <v>1</v>
      </c>
      <c r="G11635" t="n">
        <v>38</v>
      </c>
      <c r="H11635" s="5">
        <f>HYPERLINK("https://api.qogita.com/variants/link/7640233340806/", "View Product")</f>
        <v/>
      </c>
    </row>
    <row r="11636">
      <c r="A11636" t="inlineStr">
        <is>
          <t>7640233341711</t>
        </is>
      </c>
      <c r="B11636" t="inlineStr">
        <is>
          <t>Elie Saab Le Parfum Bridal Eau De Parfum 90ml Spray</t>
        </is>
      </c>
      <c r="C11636" t="inlineStr">
        <is>
          <t>Eau De Parfum</t>
        </is>
      </c>
      <c r="D11636" t="inlineStr">
        <is>
          <t>Elie Saab</t>
        </is>
      </c>
      <c r="E11636" t="n">
        <v>41.21</v>
      </c>
      <c r="F11636" t="n">
        <v>1</v>
      </c>
      <c r="G11636" t="n">
        <v>60</v>
      </c>
      <c r="H11636" s="5">
        <f>HYPERLINK("https://api.qogita.com/variants/link/7640233341711/", "View Product")</f>
        <v/>
      </c>
    </row>
    <row r="11637">
      <c r="A11637" t="inlineStr">
        <is>
          <t>7640233342039</t>
        </is>
      </c>
      <c r="B11637" t="inlineStr">
        <is>
          <t>Elie Saab Love Women's Fragrance</t>
        </is>
      </c>
      <c r="C11637" t="inlineStr">
        <is>
          <t>Eau De Parfum</t>
        </is>
      </c>
      <c r="D11637" t="inlineStr">
        <is>
          <t>Elie Saab</t>
        </is>
      </c>
      <c r="E11637" t="n">
        <v>25.06</v>
      </c>
      <c r="F11637" t="n">
        <v>1</v>
      </c>
      <c r="G11637" t="n">
        <v>4</v>
      </c>
      <c r="H11637" s="5">
        <f>HYPERLINK("https://api.qogita.com/variants/link/7640233342039/", "View Product")</f>
        <v/>
      </c>
    </row>
    <row r="11638">
      <c r="A11638" t="inlineStr">
        <is>
          <t>7640233342619</t>
        </is>
      </c>
      <c r="B11638" t="inlineStr">
        <is>
          <t>Elie Saab Elie Saab Lhomme Deodorant Stick 75g</t>
        </is>
      </c>
      <c r="C11638" t="inlineStr">
        <is>
          <t>Deodorant &amp; Anti-Perspirant</t>
        </is>
      </c>
      <c r="D11638" t="inlineStr">
        <is>
          <t>Elie Saab</t>
        </is>
      </c>
      <c r="E11638" t="n">
        <v>17.58</v>
      </c>
      <c r="F11638" t="n">
        <v>1</v>
      </c>
      <c r="G11638" t="n">
        <v>5</v>
      </c>
      <c r="H11638" s="5">
        <f>HYPERLINK("https://api.qogita.com/variants/link/7640233342619/", "View Product")</f>
        <v/>
      </c>
    </row>
    <row r="11639">
      <c r="A11639" t="inlineStr">
        <is>
          <t>7640365140091</t>
        </is>
      </c>
      <c r="B11639" t="inlineStr">
        <is>
          <t>Philipp Plein No Limits Super Fresh Eau De Toilette Spray 50ml</t>
        </is>
      </c>
      <c r="C11639" t="inlineStr">
        <is>
          <t>Eau De Toilette</t>
        </is>
      </c>
      <c r="D11639" t="inlineStr">
        <is>
          <t>Philipp Plein</t>
        </is>
      </c>
      <c r="E11639" t="n">
        <v>20.61</v>
      </c>
      <c r="F11639" t="n">
        <v>1</v>
      </c>
      <c r="G11639" t="n">
        <v>64</v>
      </c>
      <c r="H11639" s="5">
        <f>HYPERLINK("https://api.qogita.com/variants/link/7640365140091/", "View Product")</f>
        <v/>
      </c>
    </row>
    <row r="11640">
      <c r="A11640" t="inlineStr">
        <is>
          <t>7640365140619</t>
        </is>
      </c>
      <c r="B11640" t="inlineStr">
        <is>
          <t>Philipp Plein Plein Fatale Eau De Parfum Spray 30ml</t>
        </is>
      </c>
      <c r="C11640" t="inlineStr">
        <is>
          <t>Eau De Parfum</t>
        </is>
      </c>
      <c r="D11640" t="inlineStr">
        <is>
          <t>Philipp Plein</t>
        </is>
      </c>
      <c r="E11640" t="n">
        <v>16.2</v>
      </c>
      <c r="F11640" t="n">
        <v>1</v>
      </c>
      <c r="G11640" t="n">
        <v>7</v>
      </c>
      <c r="H11640" s="5">
        <f>HYPERLINK("https://api.qogita.com/variants/link/7640365140619/", "View Product")</f>
        <v/>
      </c>
    </row>
    <row r="11641">
      <c r="A11641" t="inlineStr">
        <is>
          <t>7640496670146</t>
        </is>
      </c>
      <c r="B11641" t="inlineStr">
        <is>
          <t>Tommy Hilfiger Tommy Boy Eau De Cologne Spray 30ml</t>
        </is>
      </c>
      <c r="C11641" t="inlineStr">
        <is>
          <t>Eau De Cologne</t>
        </is>
      </c>
      <c r="D11641" t="inlineStr">
        <is>
          <t>Tommy Hilfiger</t>
        </is>
      </c>
      <c r="E11641" t="n">
        <v>13.53</v>
      </c>
      <c r="F11641" t="n">
        <v>1</v>
      </c>
      <c r="G11641" t="n">
        <v>21</v>
      </c>
      <c r="H11641" s="5">
        <f>HYPERLINK("https://api.qogita.com/variants/link/7640496670146/", "View Product")</f>
        <v/>
      </c>
    </row>
    <row r="11642">
      <c r="A11642" t="inlineStr">
        <is>
          <t>7702018263783</t>
        </is>
      </c>
      <c r="B11642" t="inlineStr">
        <is>
          <t>Gillette Mach3 Blades 8 Pack</t>
        </is>
      </c>
      <c r="C11642" t="inlineStr">
        <is>
          <t>Shaving</t>
        </is>
      </c>
      <c r="D11642" t="inlineStr">
        <is>
          <t>Gillette</t>
        </is>
      </c>
      <c r="E11642" t="n">
        <v>15.29</v>
      </c>
      <c r="F11642" t="n">
        <v>1</v>
      </c>
      <c r="G11642" t="n">
        <v>58</v>
      </c>
      <c r="H11642" s="5">
        <f>HYPERLINK("https://api.qogita.com/variants/link/7702018263783/", "View Product")</f>
        <v/>
      </c>
    </row>
    <row r="11643">
      <c r="A11643" t="inlineStr">
        <is>
          <t>7702018363490</t>
        </is>
      </c>
      <c r="B11643" t="inlineStr">
        <is>
          <t>Gillette Venus Shaver For Women With 5 Replacement Heads</t>
        </is>
      </c>
      <c r="C11643" t="inlineStr">
        <is>
          <t>Razors &amp; Hair Removal Tools</t>
        </is>
      </c>
      <c r="D11643" t="inlineStr">
        <is>
          <t>Gillette</t>
        </is>
      </c>
      <c r="E11643" t="n">
        <v>14.95</v>
      </c>
      <c r="F11643" t="n">
        <v>1</v>
      </c>
      <c r="G11643" t="n">
        <v>71</v>
      </c>
      <c r="H11643" s="5">
        <f>HYPERLINK("https://api.qogita.com/variants/link/7702018363490/", "View Product")</f>
        <v/>
      </c>
    </row>
    <row r="11644">
      <c r="A11644" t="inlineStr">
        <is>
          <t>7702018401383</t>
        </is>
      </c>
      <c r="B11644" t="inlineStr">
        <is>
          <t>Gillette Venus Extra Smooth Swirl Women's Razor Blades with Moisture Strips for Skin Protection</t>
        </is>
      </c>
      <c r="C11644" t="inlineStr">
        <is>
          <t>Razors &amp; Hair Removal Tools</t>
        </is>
      </c>
      <c r="D11644" t="inlineStr">
        <is>
          <t>Gillette Venus</t>
        </is>
      </c>
      <c r="E11644" t="n">
        <v>20.08</v>
      </c>
      <c r="F11644" t="n">
        <v>1</v>
      </c>
      <c r="G11644" t="n">
        <v>59</v>
      </c>
      <c r="H11644" s="5">
        <f>HYPERLINK("https://api.qogita.com/variants/link/7702018401383/", "View Product")</f>
        <v/>
      </c>
    </row>
    <row r="11645">
      <c r="A11645" t="inlineStr">
        <is>
          <t>7702018405015</t>
        </is>
      </c>
      <c r="B11645" t="inlineStr">
        <is>
          <t>Mach3 Extra Comfort Shaving Gel 200+40 ml</t>
        </is>
      </c>
      <c r="C11645" t="inlineStr">
        <is>
          <t>Shaving</t>
        </is>
      </c>
      <c r="D11645" t="inlineStr">
        <is>
          <t>Gillette</t>
        </is>
      </c>
      <c r="E11645" t="n">
        <v>5.14</v>
      </c>
      <c r="F11645" t="n">
        <v>1</v>
      </c>
      <c r="G11645" t="n">
        <v>4</v>
      </c>
      <c r="H11645" s="5">
        <f>HYPERLINK("https://api.qogita.com/variants/link/7702018405015/", "View Product")</f>
        <v/>
      </c>
    </row>
    <row r="11646">
      <c r="A11646" t="inlineStr">
        <is>
          <t>7702018425761</t>
        </is>
      </c>
      <c r="B11646" t="inlineStr">
        <is>
          <t>Gillette Fusion 5 Manual Shaver With Spare Blades And 11 Heads</t>
        </is>
      </c>
      <c r="C11646" t="inlineStr">
        <is>
          <t>Razors &amp; Hair Removal Tools</t>
        </is>
      </c>
      <c r="D11646" t="inlineStr">
        <is>
          <t>Gillette</t>
        </is>
      </c>
      <c r="E11646" t="n">
        <v>55.32</v>
      </c>
      <c r="F11646" t="n">
        <v>1</v>
      </c>
      <c r="G11646" t="n">
        <v>23</v>
      </c>
      <c r="H11646" s="5">
        <f>HYPERLINK("https://api.qogita.com/variants/link/7702018425761/", "View Product")</f>
        <v/>
      </c>
    </row>
    <row r="11647">
      <c r="A11647" t="inlineStr">
        <is>
          <t>7702018426201</t>
        </is>
      </c>
      <c r="B11647" t="inlineStr">
        <is>
          <t>Gillette Simply Venus 3 Plus Yellow 6 Pack</t>
        </is>
      </c>
      <c r="C11647" t="inlineStr">
        <is>
          <t>Razors &amp; Hair Removal Tools</t>
        </is>
      </c>
      <c r="D11647" t="inlineStr">
        <is>
          <t>Gillette</t>
        </is>
      </c>
      <c r="E11647" t="n">
        <v>7.75</v>
      </c>
      <c r="F11647" t="n">
        <v>1</v>
      </c>
      <c r="G11647" t="n">
        <v>8</v>
      </c>
      <c r="H11647" s="5">
        <f>HYPERLINK("https://api.qogita.com/variants/link/7702018426201/", "View Product")</f>
        <v/>
      </c>
    </row>
    <row r="11648">
      <c r="A11648" t="inlineStr">
        <is>
          <t>7702018487158</t>
        </is>
      </c>
      <c r="B11648" t="inlineStr">
        <is>
          <t>Gillette Venus 3 Sensitive Disposable Razors 6 Pieces</t>
        </is>
      </c>
      <c r="C11648" t="inlineStr">
        <is>
          <t>Razors &amp; Hair Removal Tools</t>
        </is>
      </c>
      <c r="D11648" t="inlineStr">
        <is>
          <t>Gillette</t>
        </is>
      </c>
      <c r="E11648" t="n">
        <v>7.06</v>
      </c>
      <c r="F11648" t="n">
        <v>1</v>
      </c>
      <c r="G11648" t="n">
        <v>14</v>
      </c>
      <c r="H11648" s="5">
        <f>HYPERLINK("https://api.qogita.com/variants/link/7702018487158/", "View Product")</f>
        <v/>
      </c>
    </row>
    <row r="11649">
      <c r="A11649" t="inlineStr">
        <is>
          <t>7702018517886</t>
        </is>
      </c>
      <c r="B11649" t="inlineStr">
        <is>
          <t>Gillette Venus Extra Smooth Sensitive Rose Gold Razor With 1 Head</t>
        </is>
      </c>
      <c r="C11649" t="inlineStr">
        <is>
          <t>Razors &amp; Hair Removal Tools</t>
        </is>
      </c>
      <c r="D11649" t="inlineStr">
        <is>
          <t>Gillette</t>
        </is>
      </c>
      <c r="E11649" t="n">
        <v>11.8</v>
      </c>
      <c r="F11649" t="n">
        <v>1</v>
      </c>
      <c r="G11649" t="n">
        <v>5</v>
      </c>
      <c r="H11649" s="5">
        <f>HYPERLINK("https://api.qogita.com/variants/link/7702018517886/", "View Product")</f>
        <v/>
      </c>
    </row>
    <row r="11650">
      <c r="A11650" t="inlineStr">
        <is>
          <t>7702018572649</t>
        </is>
      </c>
      <c r="B11650" t="inlineStr">
        <is>
          <t>Gillette Fusion Proglide Spare Heads</t>
        </is>
      </c>
      <c r="C11650" t="inlineStr">
        <is>
          <t>Shaving</t>
        </is>
      </c>
      <c r="D11650" t="inlineStr">
        <is>
          <t>Gillette</t>
        </is>
      </c>
      <c r="E11650" t="n">
        <v>40.19</v>
      </c>
      <c r="F11650" t="n">
        <v>1</v>
      </c>
      <c r="G11650" t="n">
        <v>26</v>
      </c>
      <c r="H11650" s="5">
        <f>HYPERLINK("https://api.qogita.com/variants/link/7702018572649/", "View Product")</f>
        <v/>
      </c>
    </row>
    <row r="11651">
      <c r="A11651" t="inlineStr">
        <is>
          <t>7702018602148</t>
        </is>
      </c>
      <c r="B11651" t="inlineStr">
        <is>
          <t>King C. Gillette Style Brown Master System Blade Razor Blade for Beard Trimmer</t>
        </is>
      </c>
      <c r="C11651" t="inlineStr">
        <is>
          <t>Beard Care Accessories</t>
        </is>
      </c>
      <c r="D11651" t="inlineStr">
        <is>
          <t>Gillette</t>
        </is>
      </c>
      <c r="E11651" t="n">
        <v>17.81</v>
      </c>
      <c r="F11651" t="n">
        <v>1</v>
      </c>
      <c r="G11651" t="n">
        <v>2</v>
      </c>
      <c r="H11651" s="5">
        <f>HYPERLINK("https://api.qogita.com/variants/link/7702018602148/", "View Product")</f>
        <v/>
      </c>
    </row>
    <row r="11652">
      <c r="A11652" t="inlineStr">
        <is>
          <t>7702018609994</t>
        </is>
      </c>
      <c r="B11652" t="inlineStr">
        <is>
          <t>Gillette Venus Pro Smooth Sensitive Scraper For Sensitive Skin Greenwhitepink Deluxe Smooth Sensitive Rose Gold Razor 3 Heads</t>
        </is>
      </c>
      <c r="C11652" t="inlineStr">
        <is>
          <t>Razors &amp; Hair Removal Tools</t>
        </is>
      </c>
      <c r="D11652" t="inlineStr">
        <is>
          <t>Gillette Venus</t>
        </is>
      </c>
      <c r="E11652" t="n">
        <v>18.87</v>
      </c>
      <c r="F11652" t="n">
        <v>1</v>
      </c>
      <c r="G11652" t="n">
        <v>65</v>
      </c>
      <c r="H11652" s="5">
        <f>HYPERLINK("https://api.qogita.com/variants/link/7702018609994/", "View Product")</f>
        <v/>
      </c>
    </row>
    <row r="11653">
      <c r="A11653" t="inlineStr">
        <is>
          <t>7702018610402</t>
        </is>
      </c>
      <c r="B11653" t="inlineStr">
        <is>
          <t>Gillette Replacement Heads Mach3 8 Pieces Extra Comfort Shaving Gel 200 Ml</t>
        </is>
      </c>
      <c r="C11653" t="inlineStr">
        <is>
          <t>Shaving Care</t>
        </is>
      </c>
      <c r="D11653" t="inlineStr">
        <is>
          <t>Gillette</t>
        </is>
      </c>
      <c r="E11653" t="n">
        <v>28.79</v>
      </c>
      <c r="F11653" t="n">
        <v>1</v>
      </c>
      <c r="G11653" t="n">
        <v>2</v>
      </c>
      <c r="H11653" s="5">
        <f>HYPERLINK("https://api.qogita.com/variants/link/7702018610402/", "View Product")</f>
        <v/>
      </c>
    </row>
    <row r="11654">
      <c r="A11654" t="inlineStr">
        <is>
          <t>7702018619658</t>
        </is>
      </c>
      <c r="B11654" t="inlineStr">
        <is>
          <t>Gillette Revitalizing Shave Gel With Green Tea 200 Ml</t>
        </is>
      </c>
      <c r="C11654" t="inlineStr">
        <is>
          <t>Shaving</t>
        </is>
      </c>
      <c r="D11654" t="inlineStr">
        <is>
          <t>Gillette</t>
        </is>
      </c>
      <c r="E11654" t="n">
        <v>4.97</v>
      </c>
      <c r="F11654" t="n">
        <v>1</v>
      </c>
      <c r="G11654" t="n">
        <v>4</v>
      </c>
      <c r="H11654" s="5">
        <f>HYPERLINK("https://api.qogita.com/variants/link/7702018619658/", "View Product")</f>
        <v/>
      </c>
    </row>
    <row r="11655">
      <c r="A11655" t="inlineStr">
        <is>
          <t>7702018840755</t>
        </is>
      </c>
      <c r="B11655" t="inlineStr">
        <is>
          <t>Gillette Blue Ii Disposable Razors Pack Of 10 Units</t>
        </is>
      </c>
      <c r="C11655" t="inlineStr">
        <is>
          <t>Razors &amp; Hair Removal Tools</t>
        </is>
      </c>
      <c r="D11655" t="inlineStr">
        <is>
          <t>Gillette</t>
        </is>
      </c>
      <c r="E11655" t="n">
        <v>2.93</v>
      </c>
      <c r="F11655" t="n">
        <v>1</v>
      </c>
      <c r="G11655" t="n">
        <v>34</v>
      </c>
      <c r="H11655" s="5">
        <f>HYPERLINK("https://api.qogita.com/variants/link/7702018840755/", "View Product")</f>
        <v/>
      </c>
    </row>
    <row r="11656">
      <c r="A11656" t="inlineStr">
        <is>
          <t>7702018849031</t>
        </is>
      </c>
      <c r="B11656" t="inlineStr">
        <is>
          <t>Gillette Blue Ii Disposable Razors 5 Units</t>
        </is>
      </c>
      <c r="C11656" t="inlineStr">
        <is>
          <t>Razors &amp; Hair Removal Tools</t>
        </is>
      </c>
      <c r="D11656" t="inlineStr">
        <is>
          <t>Gillette</t>
        </is>
      </c>
      <c r="E11656" t="n">
        <v>2.5</v>
      </c>
      <c r="F11656" t="n">
        <v>1</v>
      </c>
      <c r="G11656" t="n">
        <v>4</v>
      </c>
      <c r="H11656" s="5">
        <f>HYPERLINK("https://api.qogita.com/variants/link/7702018849031/", "View Product")</f>
        <v/>
      </c>
    </row>
    <row r="11657">
      <c r="A11657" t="inlineStr">
        <is>
          <t>7702018852529</t>
        </is>
      </c>
      <c r="B11657" t="inlineStr">
        <is>
          <t>Gillette Fusion Power Replacement Blades</t>
        </is>
      </c>
      <c r="C11657" t="inlineStr">
        <is>
          <t>Shaving</t>
        </is>
      </c>
      <c r="D11657" t="inlineStr">
        <is>
          <t>Gillette</t>
        </is>
      </c>
      <c r="E11657" t="n">
        <v>22.99</v>
      </c>
      <c r="F11657" t="n">
        <v>1</v>
      </c>
      <c r="G11657" t="n">
        <v>58</v>
      </c>
      <c r="H11657" s="5">
        <f>HYPERLINK("https://api.qogita.com/variants/link/7702018852529/", "View Product")</f>
        <v/>
      </c>
    </row>
    <row r="11658">
      <c r="A11658" t="inlineStr">
        <is>
          <t>7702018886166</t>
        </is>
      </c>
      <c r="B11658" t="inlineStr">
        <is>
          <t>Gillette Venus Breeze Razor With 2 Heads</t>
        </is>
      </c>
      <c r="C11658" t="inlineStr">
        <is>
          <t>Razors &amp; Hair Removal Tools</t>
        </is>
      </c>
      <c r="D11658" t="inlineStr">
        <is>
          <t>Gillette</t>
        </is>
      </c>
      <c r="E11658" t="n">
        <v>11.06</v>
      </c>
      <c r="F11658" t="n">
        <v>1</v>
      </c>
      <c r="G11658" t="n">
        <v>51</v>
      </c>
      <c r="H11658" s="5">
        <f>HYPERLINK("https://api.qogita.com/variants/link/7702018886166/", "View Product")</f>
        <v/>
      </c>
    </row>
    <row r="11659">
      <c r="A11659" t="inlineStr">
        <is>
          <t>7702018978120</t>
        </is>
      </c>
      <c r="B11659" t="inlineStr">
        <is>
          <t>Gillette Cool Wave Gel Antiperspirant For Men 70 Ml High Performance 48h Protection</t>
        </is>
      </c>
      <c r="C11659" t="inlineStr">
        <is>
          <t>Deodorant &amp; Anti-Perspirant</t>
        </is>
      </c>
      <c r="D11659" t="inlineStr">
        <is>
          <t>Gillette</t>
        </is>
      </c>
      <c r="E11659" t="n">
        <v>7.16</v>
      </c>
      <c r="F11659" t="n">
        <v>1</v>
      </c>
      <c r="G11659" t="n">
        <v>12</v>
      </c>
      <c r="H11659" s="5">
        <f>HYPERLINK("https://api.qogita.com/variants/link/7702018978120/", "View Product")</f>
        <v/>
      </c>
    </row>
    <row r="11660">
      <c r="A11660" t="inlineStr">
        <is>
          <t>7702018980833</t>
        </is>
      </c>
      <c r="B11660" t="inlineStr">
        <is>
          <t>Gillette Moisturizing Shave Gel 200 Ml</t>
        </is>
      </c>
      <c r="C11660" t="inlineStr">
        <is>
          <t>Shaving</t>
        </is>
      </c>
      <c r="D11660" t="inlineStr">
        <is>
          <t>Gillette</t>
        </is>
      </c>
      <c r="E11660" t="n">
        <v>3.24</v>
      </c>
      <c r="F11660" t="n">
        <v>1</v>
      </c>
      <c r="G11660" t="n">
        <v>22</v>
      </c>
      <c r="H11660" s="5">
        <f>HYPERLINK("https://api.qogita.com/variants/link/7702018980833/", "View Product")</f>
        <v/>
      </c>
    </row>
    <row r="11661">
      <c r="A11661" t="inlineStr">
        <is>
          <t>7702018982011</t>
        </is>
      </c>
      <c r="B11661" t="inlineStr">
        <is>
          <t>Gillette Series Sensitive Shave Gel 240 Ml</t>
        </is>
      </c>
      <c r="C11661" t="inlineStr">
        <is>
          <t>Shaving</t>
        </is>
      </c>
      <c r="D11661" t="inlineStr">
        <is>
          <t>Gillette</t>
        </is>
      </c>
      <c r="E11661" t="n">
        <v>5.06</v>
      </c>
      <c r="F11661" t="n">
        <v>1</v>
      </c>
      <c r="G11661" t="n">
        <v>6</v>
      </c>
      <c r="H11661" s="5">
        <f>HYPERLINK("https://api.qogita.com/variants/link/7702018982011/", "View Product")</f>
        <v/>
      </c>
    </row>
    <row r="11662">
      <c r="A11662" t="inlineStr">
        <is>
          <t>7750075049246</t>
        </is>
      </c>
      <c r="B11662" t="inlineStr">
        <is>
          <t>Kativa Brazilian Straightening Blonde For Light Hair</t>
        </is>
      </c>
      <c r="C11662" t="inlineStr">
        <is>
          <t>Hair Care Sets</t>
        </is>
      </c>
      <c r="D11662" t="inlineStr">
        <is>
          <t>Kativa</t>
        </is>
      </c>
      <c r="E11662" t="n">
        <v>8.460000000000001</v>
      </c>
      <c r="F11662" t="n">
        <v>1</v>
      </c>
      <c r="G11662" t="n">
        <v>12</v>
      </c>
      <c r="H11662" s="5">
        <f>HYPERLINK("https://api.qogita.com/variants/link/7750075049246/", "View Product")</f>
        <v/>
      </c>
    </row>
    <row r="11663">
      <c r="A11663" t="inlineStr">
        <is>
          <t>7750075060746</t>
        </is>
      </c>
      <c r="B11663" t="inlineStr">
        <is>
          <t>Kativa Kativa Hyaluronic Keratin Q10 Shampoo 355ml</t>
        </is>
      </c>
      <c r="C11663" t="inlineStr">
        <is>
          <t>Shampoo</t>
        </is>
      </c>
      <c r="D11663" t="inlineStr">
        <is>
          <t>Kativa</t>
        </is>
      </c>
      <c r="E11663" t="n">
        <v>4.51</v>
      </c>
      <c r="F11663" t="n">
        <v>1</v>
      </c>
      <c r="G11663" t="n">
        <v>6</v>
      </c>
      <c r="H11663" s="5">
        <f>HYPERLINK("https://api.qogita.com/variants/link/7750075060746/", "View Product")</f>
        <v/>
      </c>
    </row>
    <row r="11664">
      <c r="A11664" t="inlineStr">
        <is>
          <t>7785562295844</t>
        </is>
      </c>
      <c r="B11664" t="inlineStr">
        <is>
          <t>Qqq Ppe Kn95 Respirator Respiratory Mask 10 Pieces</t>
        </is>
      </c>
      <c r="C11664" t="inlineStr">
        <is>
          <t>Equipment</t>
        </is>
      </c>
      <c r="D11664" t="inlineStr">
        <is>
          <t>Qiq Ppe</t>
        </is>
      </c>
      <c r="E11664" t="n">
        <v>0.68</v>
      </c>
      <c r="F11664" t="n">
        <v>1</v>
      </c>
      <c r="G11664" t="n">
        <v>1960</v>
      </c>
      <c r="H11664" s="5">
        <f>HYPERLINK("https://api.qogita.com/variants/link/7785562295844/", "View Product")</f>
        <v/>
      </c>
    </row>
    <row r="11665">
      <c r="A11665" t="inlineStr">
        <is>
          <t>7804915011655</t>
        </is>
      </c>
      <c r="B11665" t="inlineStr">
        <is>
          <t>Fragrances For Children Paw Patrol Mask And Respirator</t>
        </is>
      </c>
      <c r="C11665" t="inlineStr">
        <is>
          <t>Fragrance Sets</t>
        </is>
      </c>
      <c r="D11665" t="inlineStr">
        <is>
          <t>Fragrances For Children</t>
        </is>
      </c>
      <c r="E11665" t="n">
        <v>0.16</v>
      </c>
      <c r="F11665" t="n">
        <v>1</v>
      </c>
      <c r="G11665" t="n">
        <v>750</v>
      </c>
      <c r="H11665" s="5">
        <f>HYPERLINK("https://api.qogita.com/variants/link/7804915011655/", "View Product")</f>
        <v/>
      </c>
    </row>
    <row r="11666">
      <c r="A11666" t="inlineStr">
        <is>
          <t>7804915011662</t>
        </is>
      </c>
      <c r="B11666" t="inlineStr">
        <is>
          <t>Fragrances For Children Paw Patrol Skye Mask And Respirator</t>
        </is>
      </c>
      <c r="C11666" t="inlineStr">
        <is>
          <t>Fragrance Sets</t>
        </is>
      </c>
      <c r="D11666" t="inlineStr">
        <is>
          <t>Fragrances For Children</t>
        </is>
      </c>
      <c r="E11666" t="n">
        <v>0.16</v>
      </c>
      <c r="F11666" t="n">
        <v>1</v>
      </c>
      <c r="G11666" t="n">
        <v>206</v>
      </c>
      <c r="H11666" s="5">
        <f>HYPERLINK("https://api.qogita.com/variants/link/7804915011662/", "View Product")</f>
        <v/>
      </c>
    </row>
    <row r="11667">
      <c r="A11667" t="inlineStr">
        <is>
          <t>8001090596017</t>
        </is>
      </c>
      <c r="B11667" t="inlineStr">
        <is>
          <t>Gillette Venus Extra Smooth Razor Blades for Women 8 Refills Lubrastrip with Avocado Oils SkinCushion</t>
        </is>
      </c>
      <c r="C11667" t="inlineStr">
        <is>
          <t>Razors &amp; Hair Removal Tools</t>
        </is>
      </c>
      <c r="D11667" t="inlineStr">
        <is>
          <t>Gillette Venus</t>
        </is>
      </c>
      <c r="E11667" t="n">
        <v>20.08</v>
      </c>
      <c r="F11667" t="n">
        <v>1</v>
      </c>
      <c r="G11667" t="n">
        <v>58</v>
      </c>
      <c r="H11667" s="5">
        <f>HYPERLINK("https://api.qogita.com/variants/link/8001090596017/", "View Product")</f>
        <v/>
      </c>
    </row>
    <row r="11668">
      <c r="A11668" t="inlineStr">
        <is>
          <t>8001090794987</t>
        </is>
      </c>
      <c r="B11668" t="inlineStr">
        <is>
          <t>Braun Hybrid Hair, Beard, Body Trimmer XT5100 Series X</t>
        </is>
      </c>
      <c r="C11668" t="inlineStr">
        <is>
          <t>Hair Clippers</t>
        </is>
      </c>
      <c r="D11668" t="inlineStr">
        <is>
          <t>No Name</t>
        </is>
      </c>
      <c r="E11668" t="n">
        <v>51.4</v>
      </c>
      <c r="F11668" t="n">
        <v>1</v>
      </c>
      <c r="G11668" t="n">
        <v>3</v>
      </c>
      <c r="H11668" s="5">
        <f>HYPERLINK("https://api.qogita.com/variants/link/8001090794987/", "View Product")</f>
        <v/>
      </c>
    </row>
    <row r="11669">
      <c r="A11669" t="inlineStr">
        <is>
          <t>8001090819536</t>
        </is>
      </c>
      <c r="B11669" t="inlineStr">
        <is>
          <t>Gillette Fusion Replacement Heads Spare Blades</t>
        </is>
      </c>
      <c r="C11669" t="inlineStr">
        <is>
          <t>Shaving</t>
        </is>
      </c>
      <c r="D11669" t="inlineStr">
        <is>
          <t>Gillette</t>
        </is>
      </c>
      <c r="E11669" t="n">
        <v>64.11</v>
      </c>
      <c r="F11669" t="n">
        <v>1</v>
      </c>
      <c r="G11669" t="n">
        <v>7</v>
      </c>
      <c r="H11669" s="5">
        <f>HYPERLINK("https://api.qogita.com/variants/link/8001090819536/", "View Product")</f>
        <v/>
      </c>
    </row>
    <row r="11670">
      <c r="A11670" t="inlineStr">
        <is>
          <t>8001090821232</t>
        </is>
      </c>
      <c r="B11670" t="inlineStr">
        <is>
          <t>Gillette Mach3 Replacement Heads Spare Heads For A Smooth Shave</t>
        </is>
      </c>
      <c r="C11670" t="inlineStr">
        <is>
          <t>Shaving</t>
        </is>
      </c>
      <c r="D11670" t="inlineStr">
        <is>
          <t>Gillette</t>
        </is>
      </c>
      <c r="E11670" t="n">
        <v>48.78</v>
      </c>
      <c r="F11670" t="n">
        <v>1</v>
      </c>
      <c r="G11670" t="n">
        <v>5</v>
      </c>
      <c r="H11670" s="5">
        <f>HYPERLINK("https://api.qogita.com/variants/link/8001090821232/", "View Product")</f>
        <v/>
      </c>
    </row>
    <row r="11671">
      <c r="A11671" t="inlineStr">
        <is>
          <t>8001090890054</t>
        </is>
      </c>
      <c r="B11671" t="inlineStr">
        <is>
          <t>Head &amp; Shoulders Classic Clean Antidandruff Shampoo</t>
        </is>
      </c>
      <c r="C11671" t="inlineStr">
        <is>
          <t>Shampoo</t>
        </is>
      </c>
      <c r="D11671" t="inlineStr">
        <is>
          <t>Head And Shoulders</t>
        </is>
      </c>
      <c r="E11671" t="n">
        <v>10.03</v>
      </c>
      <c r="F11671" t="n">
        <v>1</v>
      </c>
      <c r="G11671" t="n">
        <v>18</v>
      </c>
      <c r="H11671" s="5">
        <f>HYPERLINK("https://api.qogita.com/variants/link/8001090890054/", "View Product")</f>
        <v/>
      </c>
    </row>
    <row r="11672">
      <c r="A11672" t="inlineStr">
        <is>
          <t>8001090999153</t>
        </is>
      </c>
      <c r="B11672" t="inlineStr">
        <is>
          <t>Old Spice Captain Clear Gel Stick Anti-perspirant &amp; Deodorant 70ml</t>
        </is>
      </c>
      <c r="C11672" t="inlineStr">
        <is>
          <t>Deodorant &amp; Anti-Perspirant</t>
        </is>
      </c>
      <c r="D11672" t="inlineStr">
        <is>
          <t>Old Spice</t>
        </is>
      </c>
      <c r="E11672" t="n">
        <v>7.16</v>
      </c>
      <c r="F11672" t="n">
        <v>1</v>
      </c>
      <c r="G11672" t="n">
        <v>7</v>
      </c>
      <c r="H11672" s="5">
        <f>HYPERLINK("https://api.qogita.com/variants/link/8001090999153/", "View Product")</f>
        <v/>
      </c>
    </row>
    <row r="11673">
      <c r="A11673" t="inlineStr">
        <is>
          <t>8001841858395</t>
        </is>
      </c>
      <c r="B11673" t="inlineStr">
        <is>
          <t>Old Spice Restart Deodorant Stick 50ml</t>
        </is>
      </c>
      <c r="C11673" t="inlineStr">
        <is>
          <t>Deodorant &amp; Anti-Perspirant</t>
        </is>
      </c>
      <c r="D11673" t="inlineStr">
        <is>
          <t>Old Spice</t>
        </is>
      </c>
      <c r="E11673" t="n">
        <v>5.85</v>
      </c>
      <c r="F11673" t="n">
        <v>1</v>
      </c>
      <c r="G11673" t="n">
        <v>3</v>
      </c>
      <c r="H11673" s="5">
        <f>HYPERLINK("https://api.qogita.com/variants/link/8001841858395/", "View Product")</f>
        <v/>
      </c>
    </row>
    <row r="11674">
      <c r="A11674" t="inlineStr">
        <is>
          <t>8002410034981</t>
        </is>
      </c>
      <c r="B11674" t="inlineStr">
        <is>
          <t>Chilly Ciclo Intimate Gel 200 Ml</t>
        </is>
      </c>
      <c r="C11674" t="inlineStr">
        <is>
          <t>Intimate Hygiene</t>
        </is>
      </c>
      <c r="D11674" t="inlineStr">
        <is>
          <t>Chilly</t>
        </is>
      </c>
      <c r="E11674" t="n">
        <v>4.46</v>
      </c>
      <c r="F11674" t="n">
        <v>1</v>
      </c>
      <c r="G11674" t="n">
        <v>33</v>
      </c>
      <c r="H11674" s="5">
        <f>HYPERLINK("https://api.qogita.com/variants/link/8002410034981/", "View Product")</f>
        <v/>
      </c>
    </row>
    <row r="11675">
      <c r="A11675" t="inlineStr">
        <is>
          <t>8002410043570</t>
        </is>
      </c>
      <c r="B11675" t="inlineStr">
        <is>
          <t>Borotalco Pure Original Deodorant Spray 150 Ml</t>
        </is>
      </c>
      <c r="C11675" t="inlineStr">
        <is>
          <t>Deodorant &amp; Anti-Perspirant</t>
        </is>
      </c>
      <c r="D11675" t="inlineStr">
        <is>
          <t>Borotalco</t>
        </is>
      </c>
      <c r="E11675" t="n">
        <v>4.5</v>
      </c>
      <c r="F11675" t="n">
        <v>1</v>
      </c>
      <c r="G11675" t="n">
        <v>28</v>
      </c>
      <c r="H11675" s="5">
        <f>HYPERLINK("https://api.qogita.com/variants/link/8002410043570/", "View Product")</f>
        <v/>
      </c>
    </row>
    <row r="11676">
      <c r="A11676" t="inlineStr">
        <is>
          <t>8002410043594</t>
        </is>
      </c>
      <c r="B11676" t="inlineStr">
        <is>
          <t>Borotalco Fresh Sea Salt Deodorant Sea Salts Fresh 150 Ml</t>
        </is>
      </c>
      <c r="C11676" t="inlineStr">
        <is>
          <t>Deodorant &amp; Anti-Perspirant</t>
        </is>
      </c>
      <c r="D11676" t="inlineStr">
        <is>
          <t>Borotalco</t>
        </is>
      </c>
      <c r="E11676" t="n">
        <v>3.39</v>
      </c>
      <c r="F11676" t="n">
        <v>1</v>
      </c>
      <c r="G11676" t="n">
        <v>20</v>
      </c>
      <c r="H11676" s="5">
        <f>HYPERLINK("https://api.qogita.com/variants/link/8002410043594/", "View Product")</f>
        <v/>
      </c>
    </row>
    <row r="11677">
      <c r="A11677" t="inlineStr">
        <is>
          <t>8002410045079</t>
        </is>
      </c>
      <c r="B11677" t="inlineStr">
        <is>
          <t>Soft Deodorant Spray 150 ml</t>
        </is>
      </c>
      <c r="C11677" t="inlineStr">
        <is>
          <t>Deodorant &amp; Anti-Perspirant</t>
        </is>
      </c>
      <c r="D11677" t="inlineStr">
        <is>
          <t>Borotalco</t>
        </is>
      </c>
      <c r="E11677" t="n">
        <v>4.5</v>
      </c>
      <c r="F11677" t="n">
        <v>1</v>
      </c>
      <c r="G11677" t="n">
        <v>24</v>
      </c>
      <c r="H11677" s="5">
        <f>HYPERLINK("https://api.qogita.com/variants/link/8002410045079/", "View Product")</f>
        <v/>
      </c>
    </row>
    <row r="11678">
      <c r="A11678" t="inlineStr">
        <is>
          <t>8004283158085</t>
        </is>
      </c>
      <c r="B11678" t="inlineStr">
        <is>
          <t>Lactacyd Sensitive Intimate Wash Emulsion</t>
        </is>
      </c>
      <c r="C11678" t="inlineStr">
        <is>
          <t>Intimate Hygiene</t>
        </is>
      </c>
      <c r="D11678" t="inlineStr">
        <is>
          <t>Lactacyd</t>
        </is>
      </c>
      <c r="E11678" t="n">
        <v>3.24</v>
      </c>
      <c r="F11678" t="n">
        <v>1</v>
      </c>
      <c r="G11678" t="n">
        <v>28</v>
      </c>
      <c r="H11678" s="5">
        <f>HYPERLINK("https://api.qogita.com/variants/link/8004283158085/", "View Product")</f>
        <v/>
      </c>
    </row>
    <row r="11679">
      <c r="A11679" t="inlineStr">
        <is>
          <t>8004395001019</t>
        </is>
      </c>
      <c r="B11679" t="inlineStr">
        <is>
          <t>Proraso Refreshing Pre-Shave Cream With Eucalyptus Oil 100ml</t>
        </is>
      </c>
      <c r="C11679" t="inlineStr">
        <is>
          <t>Shaving</t>
        </is>
      </c>
      <c r="D11679" t="inlineStr">
        <is>
          <t>Proraso</t>
        </is>
      </c>
      <c r="E11679" t="n">
        <v>4.31</v>
      </c>
      <c r="F11679" t="n">
        <v>1</v>
      </c>
      <c r="G11679" t="n">
        <v>19</v>
      </c>
      <c r="H11679" s="5">
        <f>HYPERLINK("https://api.qogita.com/variants/link/8004395001019/", "View Product")</f>
        <v/>
      </c>
    </row>
    <row r="11680">
      <c r="A11680" t="inlineStr">
        <is>
          <t>8004395001064</t>
        </is>
      </c>
      <c r="B11680" t="inlineStr">
        <is>
          <t>Proraso Refreshing After Shave Lotion With Eucalyptus Oil And Menthol 100ml</t>
        </is>
      </c>
      <c r="C11680" t="inlineStr">
        <is>
          <t>Aftershave</t>
        </is>
      </c>
      <c r="D11680" t="inlineStr">
        <is>
          <t>Proraso</t>
        </is>
      </c>
      <c r="E11680" t="n">
        <v>5.94</v>
      </c>
      <c r="F11680" t="n">
        <v>1</v>
      </c>
      <c r="G11680" t="n">
        <v>40</v>
      </c>
      <c r="H11680" s="5">
        <f>HYPERLINK("https://api.qogita.com/variants/link/8004395001064/", "View Product")</f>
        <v/>
      </c>
    </row>
    <row r="11681">
      <c r="A11681" t="inlineStr">
        <is>
          <t>8004395001101</t>
        </is>
      </c>
      <c r="B11681" t="inlineStr">
        <is>
          <t>Proraso Refreshing After Shave Balm With Eucalyptus Oil And Menthol 100ml</t>
        </is>
      </c>
      <c r="C11681" t="inlineStr">
        <is>
          <t>Aftershave</t>
        </is>
      </c>
      <c r="D11681" t="inlineStr">
        <is>
          <t>Proraso</t>
        </is>
      </c>
      <c r="E11681" t="n">
        <v>5.88</v>
      </c>
      <c r="F11681" t="n">
        <v>1</v>
      </c>
      <c r="G11681" t="n">
        <v>5</v>
      </c>
      <c r="H11681" s="5">
        <f>HYPERLINK("https://api.qogita.com/variants/link/8004395001101/", "View Product")</f>
        <v/>
      </c>
    </row>
    <row r="11682">
      <c r="A11682" t="inlineStr">
        <is>
          <t>8004395001163</t>
        </is>
      </c>
      <c r="B11682" t="inlineStr">
        <is>
          <t>Proraso Softening Shaving Soap In A Bowl With Sandalwood Oil And Shea Butter 150ml</t>
        </is>
      </c>
      <c r="C11682" t="inlineStr">
        <is>
          <t>Shaving</t>
        </is>
      </c>
      <c r="D11682" t="inlineStr">
        <is>
          <t>Proraso</t>
        </is>
      </c>
      <c r="E11682" t="n">
        <v>2.61</v>
      </c>
      <c r="F11682" t="n">
        <v>1</v>
      </c>
      <c r="G11682" t="n">
        <v>34</v>
      </c>
      <c r="H11682" s="5">
        <f>HYPERLINK("https://api.qogita.com/variants/link/8004395001163/", "View Product")</f>
        <v/>
      </c>
    </row>
    <row r="11683">
      <c r="A11683" t="inlineStr">
        <is>
          <t>8004395001231</t>
        </is>
      </c>
      <c r="B11683" t="inlineStr">
        <is>
          <t>Proraso White Shaving Cream For Sensitive Skin 150 Ml</t>
        </is>
      </c>
      <c r="C11683" t="inlineStr">
        <is>
          <t>Shaving</t>
        </is>
      </c>
      <c r="D11683" t="inlineStr">
        <is>
          <t>Proraso</t>
        </is>
      </c>
      <c r="E11683" t="n">
        <v>2.81</v>
      </c>
      <c r="F11683" t="n">
        <v>1</v>
      </c>
      <c r="G11683" t="n">
        <v>16</v>
      </c>
      <c r="H11683" s="5">
        <f>HYPERLINK("https://api.qogita.com/variants/link/8004395001231/", "View Product")</f>
        <v/>
      </c>
    </row>
    <row r="11684">
      <c r="A11684" t="inlineStr">
        <is>
          <t>8004395001651</t>
        </is>
      </c>
      <c r="B11684" t="inlineStr">
        <is>
          <t>Proraso Wood And Spice Beard Balm 100 Ml</t>
        </is>
      </c>
      <c r="C11684" t="inlineStr">
        <is>
          <t>Beard Care Accessories</t>
        </is>
      </c>
      <c r="D11684" t="inlineStr">
        <is>
          <t>Proraso</t>
        </is>
      </c>
      <c r="E11684" t="n">
        <v>6.83</v>
      </c>
      <c r="F11684" t="n">
        <v>1</v>
      </c>
      <c r="G11684" t="n">
        <v>13</v>
      </c>
      <c r="H11684" s="5">
        <f>HYPERLINK("https://api.qogita.com/variants/link/8004395001651/", "View Product")</f>
        <v/>
      </c>
    </row>
    <row r="11685">
      <c r="A11685" t="inlineStr">
        <is>
          <t>8004395001682</t>
        </is>
      </c>
      <c r="B11685" t="inlineStr">
        <is>
          <t>Proraso Shaving Soap In A Bowl With Green Tea And Oat 150ml</t>
        </is>
      </c>
      <c r="C11685" t="inlineStr">
        <is>
          <t>Shaving</t>
        </is>
      </c>
      <c r="D11685" t="inlineStr">
        <is>
          <t>Proraso</t>
        </is>
      </c>
      <c r="E11685" t="n">
        <v>2.61</v>
      </c>
      <c r="F11685" t="n">
        <v>1</v>
      </c>
      <c r="G11685" t="n">
        <v>14</v>
      </c>
      <c r="H11685" s="5">
        <f>HYPERLINK("https://api.qogita.com/variants/link/8004395001682/", "View Product")</f>
        <v/>
      </c>
    </row>
    <row r="11686">
      <c r="A11686" t="inlineStr">
        <is>
          <t>8004395002085</t>
        </is>
      </c>
      <c r="B11686" t="inlineStr">
        <is>
          <t>Proraso Blue Shaving Foam 300ml With Aloe Vera And Vitamin E</t>
        </is>
      </c>
      <c r="C11686" t="inlineStr">
        <is>
          <t>Shaving</t>
        </is>
      </c>
      <c r="D11686" t="inlineStr">
        <is>
          <t>Proraso</t>
        </is>
      </c>
      <c r="E11686" t="n">
        <v>3.33</v>
      </c>
      <c r="F11686" t="n">
        <v>1</v>
      </c>
      <c r="G11686" t="n">
        <v>9</v>
      </c>
      <c r="H11686" s="5">
        <f>HYPERLINK("https://api.qogita.com/variants/link/8004395002085/", "View Product")</f>
        <v/>
      </c>
    </row>
    <row r="11687">
      <c r="A11687" t="inlineStr">
        <is>
          <t>8004395002580</t>
        </is>
      </c>
      <c r="B11687" t="inlineStr">
        <is>
          <t>PRORASO Mustache Comb and Brush</t>
        </is>
      </c>
      <c r="C11687" t="inlineStr">
        <is>
          <t>Combs</t>
        </is>
      </c>
      <c r="D11687" t="inlineStr">
        <is>
          <t>Proraso</t>
        </is>
      </c>
      <c r="E11687" t="n">
        <v>6.27</v>
      </c>
      <c r="F11687" t="n">
        <v>1</v>
      </c>
      <c r="G11687" t="n">
        <v>3</v>
      </c>
      <c r="H11687" s="5">
        <f>HYPERLINK("https://api.qogita.com/variants/link/8004395002580/", "View Product")</f>
        <v/>
      </c>
    </row>
    <row r="11688">
      <c r="A11688" t="inlineStr">
        <is>
          <t>8004395004720</t>
        </is>
      </c>
      <c r="B11688" t="inlineStr">
        <is>
          <t>Proraso Sandalwood After Shave Lotion 100 Ml</t>
        </is>
      </c>
      <c r="C11688" t="inlineStr">
        <is>
          <t>Aftershave</t>
        </is>
      </c>
      <c r="D11688" t="inlineStr">
        <is>
          <t>Proraso</t>
        </is>
      </c>
      <c r="E11688" t="n">
        <v>5.88</v>
      </c>
      <c r="F11688" t="n">
        <v>1</v>
      </c>
      <c r="G11688" t="n">
        <v>32</v>
      </c>
      <c r="H11688" s="5">
        <f>HYPERLINK("https://api.qogita.com/variants/link/8004395004720/", "View Product")</f>
        <v/>
      </c>
    </row>
    <row r="11689">
      <c r="A11689" t="inlineStr">
        <is>
          <t>8004395007318</t>
        </is>
      </c>
      <c r="B11689" t="inlineStr">
        <is>
          <t>Proraso Beard Balm to Nourish and Soften New Beard Growth Azur Lime</t>
        </is>
      </c>
      <c r="C11689" t="inlineStr">
        <is>
          <t>Beard Care Accessories</t>
        </is>
      </c>
      <c r="D11689" t="inlineStr">
        <is>
          <t>Proraso</t>
        </is>
      </c>
      <c r="E11689" t="n">
        <v>6.75</v>
      </c>
      <c r="F11689" t="n">
        <v>1</v>
      </c>
      <c r="G11689" t="n">
        <v>9</v>
      </c>
      <c r="H11689" s="5">
        <f>HYPERLINK("https://api.qogita.com/variants/link/8004395007318/", "View Product")</f>
        <v/>
      </c>
    </row>
    <row r="11690">
      <c r="A11690" t="inlineStr">
        <is>
          <t>8004395007363</t>
        </is>
      </c>
      <c r="B11690" t="inlineStr">
        <is>
          <t>Proraso Beard Care Duo Kit for New or Short Beards Azur Lime with Beard Balm and Beard Wash</t>
        </is>
      </c>
      <c r="C11690" t="inlineStr">
        <is>
          <t>Beard Care Sets</t>
        </is>
      </c>
      <c r="D11690" t="inlineStr">
        <is>
          <t>Proraso</t>
        </is>
      </c>
      <c r="E11690" t="n">
        <v>16.97</v>
      </c>
      <c r="F11690" t="n">
        <v>1</v>
      </c>
      <c r="G11690" t="n">
        <v>5</v>
      </c>
      <c r="H11690" s="5">
        <f>HYPERLINK("https://api.qogita.com/variants/link/8004395007363/", "View Product")</f>
        <v/>
      </c>
    </row>
    <row r="11691">
      <c r="A11691" t="inlineStr">
        <is>
          <t>8004395007370</t>
        </is>
      </c>
      <c r="B11691" t="inlineStr">
        <is>
          <t>Proraso Cypress &amp; Vetyver Beard Shampoo and Balm Duo Pack</t>
        </is>
      </c>
      <c r="C11691" t="inlineStr">
        <is>
          <t>Beard Care Sets</t>
        </is>
      </c>
      <c r="D11691" t="inlineStr">
        <is>
          <t>Proraso</t>
        </is>
      </c>
      <c r="E11691" t="n">
        <v>16.98</v>
      </c>
      <c r="F11691" t="n">
        <v>1</v>
      </c>
      <c r="G11691" t="n">
        <v>5</v>
      </c>
      <c r="H11691" s="5">
        <f>HYPERLINK("https://api.qogita.com/variants/link/8004395007370/", "View Product")</f>
        <v/>
      </c>
    </row>
    <row r="11692">
      <c r="A11692" t="inlineStr">
        <is>
          <t>8004395008018</t>
        </is>
      </c>
      <c r="B11692" t="inlineStr">
        <is>
          <t>Proraso Post Shave Stone 100g Alum</t>
        </is>
      </c>
      <c r="C11692" t="inlineStr">
        <is>
          <t>Aftershave</t>
        </is>
      </c>
      <c r="D11692" t="inlineStr">
        <is>
          <t>Proraso</t>
        </is>
      </c>
      <c r="E11692" t="n">
        <v>3.48</v>
      </c>
      <c r="F11692" t="n">
        <v>1</v>
      </c>
      <c r="G11692" t="n">
        <v>4</v>
      </c>
      <c r="H11692" s="5">
        <f>HYPERLINK("https://api.qogita.com/variants/link/8004395008018/", "View Product")</f>
        <v/>
      </c>
    </row>
    <row r="11693">
      <c r="A11693" t="inlineStr">
        <is>
          <t>8004395009367</t>
        </is>
      </c>
      <c r="B11693" t="inlineStr">
        <is>
          <t>Proraso Sensitive Antiirritation Shaving Foam</t>
        </is>
      </c>
      <c r="C11693" t="inlineStr">
        <is>
          <t>Shaving</t>
        </is>
      </c>
      <c r="D11693" t="inlineStr">
        <is>
          <t>Proraso</t>
        </is>
      </c>
      <c r="E11693" t="n">
        <v>3.3</v>
      </c>
      <c r="F11693" t="n">
        <v>1</v>
      </c>
      <c r="G11693" t="n">
        <v>15</v>
      </c>
      <c r="H11693" s="5">
        <f>HYPERLINK("https://api.qogita.com/variants/link/8004395009367/", "View Product")</f>
        <v/>
      </c>
    </row>
    <row r="11694">
      <c r="A11694" t="inlineStr">
        <is>
          <t>8004395009824</t>
        </is>
      </c>
      <c r="B11694" t="inlineStr">
        <is>
          <t>Proraso Red After Shave Balm Nourishing Aftershave Balm With Sandalwood 100 Ml</t>
        </is>
      </c>
      <c r="C11694" t="inlineStr">
        <is>
          <t>Aftershave</t>
        </is>
      </c>
      <c r="D11694" t="inlineStr">
        <is>
          <t>Proraso</t>
        </is>
      </c>
      <c r="E11694" t="n">
        <v>5.99</v>
      </c>
      <c r="F11694" t="n">
        <v>1</v>
      </c>
      <c r="G11694" t="n">
        <v>5</v>
      </c>
      <c r="H11694" s="5">
        <f>HYPERLINK("https://api.qogita.com/variants/link/8004395009824/", "View Product")</f>
        <v/>
      </c>
    </row>
    <row r="11695">
      <c r="A11695" t="inlineStr">
        <is>
          <t>8004608236597</t>
        </is>
      </c>
      <c r="B11695" t="inlineStr">
        <is>
          <t>Davines Ntech Mini Purifying Shampoo 100ml</t>
        </is>
      </c>
      <c r="C11695" t="inlineStr">
        <is>
          <t>Shampoo</t>
        </is>
      </c>
      <c r="D11695" t="inlineStr">
        <is>
          <t>Davines</t>
        </is>
      </c>
      <c r="E11695" t="n">
        <v>10.49</v>
      </c>
      <c r="F11695" t="n">
        <v>1</v>
      </c>
      <c r="G11695" t="n">
        <v>14</v>
      </c>
      <c r="H11695" s="5">
        <f>HYPERLINK("https://api.qogita.com/variants/link/8004608236597/", "View Product")</f>
        <v/>
      </c>
    </row>
    <row r="11696">
      <c r="A11696" t="inlineStr">
        <is>
          <t>8004608242086</t>
        </is>
      </c>
      <c r="B11696" t="inlineStr">
        <is>
          <t>Davines Nounou Pak Repair Mask 1000ml Unisex</t>
        </is>
      </c>
      <c r="C11696" t="inlineStr">
        <is>
          <t>Hair Masks</t>
        </is>
      </c>
      <c r="D11696" t="inlineStr">
        <is>
          <t>Davines</t>
        </is>
      </c>
      <c r="E11696" t="n">
        <v>76.05</v>
      </c>
      <c r="F11696" t="n">
        <v>1</v>
      </c>
      <c r="G11696" t="n">
        <v>2</v>
      </c>
      <c r="H11696" s="5">
        <f>HYPERLINK("https://api.qogita.com/variants/link/8004608242086/", "View Product")</f>
        <v/>
      </c>
    </row>
    <row r="11697">
      <c r="A11697" t="inlineStr">
        <is>
          <t>8004608242178</t>
        </is>
      </c>
      <c r="B11697" t="inlineStr">
        <is>
          <t>Davines Essential Haircare Momo Potion 150ml</t>
        </is>
      </c>
      <c r="C11697" t="inlineStr">
        <is>
          <t>Hair Oil &amp; Hair Serum</t>
        </is>
      </c>
      <c r="D11697" t="inlineStr">
        <is>
          <t>Davines</t>
        </is>
      </c>
      <c r="E11697" t="n">
        <v>25.38</v>
      </c>
      <c r="F11697" t="n">
        <v>1</v>
      </c>
      <c r="G11697" t="n">
        <v>13</v>
      </c>
      <c r="H11697" s="5">
        <f>HYPERLINK("https://api.qogita.com/variants/link/8004608242178/", "View Product")</f>
        <v/>
      </c>
    </row>
    <row r="11698">
      <c r="A11698" t="inlineStr">
        <is>
          <t>8004608242512</t>
        </is>
      </c>
      <c r="B11698" t="inlineStr">
        <is>
          <t>Davines Essential Haircare Volu Shampoo For Fine Hair 250ml Unisex</t>
        </is>
      </c>
      <c r="C11698" t="inlineStr">
        <is>
          <t>Shampoo</t>
        </is>
      </c>
      <c r="D11698" t="inlineStr">
        <is>
          <t>Davines</t>
        </is>
      </c>
      <c r="E11698" t="n">
        <v>18.68</v>
      </c>
      <c r="F11698" t="n">
        <v>1</v>
      </c>
      <c r="G11698" t="n">
        <v>9</v>
      </c>
      <c r="H11698" s="5">
        <f>HYPERLINK("https://api.qogita.com/variants/link/8004608242512/", "View Product")</f>
        <v/>
      </c>
    </row>
    <row r="11699">
      <c r="A11699" t="inlineStr">
        <is>
          <t>8004608242666</t>
        </is>
      </c>
      <c r="B11699" t="inlineStr">
        <is>
          <t>Davines Essential Haircare Minu Hair Serum Protective Serum For Colored Hair</t>
        </is>
      </c>
      <c r="C11699" t="inlineStr">
        <is>
          <t>Hair Oil &amp; Hair Serum</t>
        </is>
      </c>
      <c r="D11699" t="inlineStr">
        <is>
          <t>Davines</t>
        </is>
      </c>
      <c r="E11699" t="n">
        <v>23.35</v>
      </c>
      <c r="F11699" t="n">
        <v>1</v>
      </c>
      <c r="G11699" t="n">
        <v>5</v>
      </c>
      <c r="H11699" s="5">
        <f>HYPERLINK("https://api.qogita.com/variants/link/8004608242666/", "View Product")</f>
        <v/>
      </c>
    </row>
    <row r="11700">
      <c r="A11700" t="inlineStr">
        <is>
          <t>8004608243076</t>
        </is>
      </c>
      <c r="B11700" t="inlineStr">
        <is>
          <t>Davines Volu Shampoo Travel Size 75ml</t>
        </is>
      </c>
      <c r="C11700" t="inlineStr">
        <is>
          <t>Shampoo</t>
        </is>
      </c>
      <c r="D11700" t="inlineStr">
        <is>
          <t>Davines</t>
        </is>
      </c>
      <c r="E11700" t="n">
        <v>10.27</v>
      </c>
      <c r="F11700" t="n">
        <v>1</v>
      </c>
      <c r="G11700" t="n">
        <v>4</v>
      </c>
      <c r="H11700" s="5">
        <f>HYPERLINK("https://api.qogita.com/variants/link/8004608243076/", "View Product")</f>
        <v/>
      </c>
    </row>
    <row r="11701">
      <c r="A11701" t="inlineStr">
        <is>
          <t>8004608243083</t>
        </is>
      </c>
      <c r="B11701" t="inlineStr">
        <is>
          <t>Davines Essential Haircare Minu Shampoo 2.5 oz</t>
        </is>
      </c>
      <c r="C11701" t="inlineStr">
        <is>
          <t>Shampoo</t>
        </is>
      </c>
      <c r="D11701" t="inlineStr">
        <is>
          <t>Davines</t>
        </is>
      </c>
      <c r="E11701" t="n">
        <v>11.29</v>
      </c>
      <c r="F11701" t="n">
        <v>1</v>
      </c>
      <c r="G11701" t="n">
        <v>5</v>
      </c>
      <c r="H11701" s="5">
        <f>HYPERLINK("https://api.qogita.com/variants/link/8004608243083/", "View Product")</f>
        <v/>
      </c>
    </row>
    <row r="11702">
      <c r="A11702" t="inlineStr">
        <is>
          <t>8004608246169</t>
        </is>
      </c>
      <c r="B11702" t="inlineStr">
        <is>
          <t>Davines Love Shampoo 33.8oz 1000ml New Authentic</t>
        </is>
      </c>
      <c r="C11702" t="inlineStr">
        <is>
          <t>Shampoo</t>
        </is>
      </c>
      <c r="D11702" t="inlineStr">
        <is>
          <t>Davines</t>
        </is>
      </c>
      <c r="E11702" t="n">
        <v>49.89</v>
      </c>
      <c r="F11702" t="n">
        <v>1</v>
      </c>
      <c r="G11702" t="n">
        <v>3</v>
      </c>
      <c r="H11702" s="5">
        <f>HYPERLINK("https://api.qogita.com/variants/link/8004608246169/", "View Product")</f>
        <v/>
      </c>
    </row>
    <row r="11703">
      <c r="A11703" t="inlineStr">
        <is>
          <t>8004608246213</t>
        </is>
      </c>
      <c r="B11703" t="inlineStr">
        <is>
          <t>Davines Essential Haircare MELU Shampoo 1000ml</t>
        </is>
      </c>
      <c r="C11703" t="inlineStr">
        <is>
          <t>Shampoo</t>
        </is>
      </c>
      <c r="D11703" t="inlineStr">
        <is>
          <t>Davines</t>
        </is>
      </c>
      <c r="E11703" t="n">
        <v>46.64</v>
      </c>
      <c r="F11703" t="n">
        <v>1</v>
      </c>
      <c r="G11703" t="n">
        <v>5</v>
      </c>
      <c r="H11703" s="5">
        <f>HYPERLINK("https://api.qogita.com/variants/link/8004608246213/", "View Product")</f>
        <v/>
      </c>
    </row>
    <row r="11704">
      <c r="A11704" t="inlineStr">
        <is>
          <t>8004608247197</t>
        </is>
      </c>
      <c r="B11704" t="inlineStr">
        <is>
          <t>Davines Volume Boosting Mousse 250ml</t>
        </is>
      </c>
      <c r="C11704" t="inlineStr">
        <is>
          <t>Mousse</t>
        </is>
      </c>
      <c r="D11704" t="inlineStr">
        <is>
          <t>Davines</t>
        </is>
      </c>
      <c r="E11704" t="n">
        <v>25.27</v>
      </c>
      <c r="F11704" t="n">
        <v>1</v>
      </c>
      <c r="G11704" t="n">
        <v>4</v>
      </c>
      <c r="H11704" s="5">
        <f>HYPERLINK("https://api.qogita.com/variants/link/8004608247197/", "View Product")</f>
        <v/>
      </c>
    </row>
    <row r="11705">
      <c r="A11705" t="inlineStr">
        <is>
          <t>8004608247203</t>
        </is>
      </c>
      <c r="B11705" t="inlineStr">
        <is>
          <t>Davines More Inside Moisturizing Curl Mousse 250ml</t>
        </is>
      </c>
      <c r="C11705" t="inlineStr">
        <is>
          <t>Mousse</t>
        </is>
      </c>
      <c r="D11705" t="inlineStr">
        <is>
          <t>Davines</t>
        </is>
      </c>
      <c r="E11705" t="n">
        <v>22.72</v>
      </c>
      <c r="F11705" t="n">
        <v>1</v>
      </c>
      <c r="G11705" t="n">
        <v>3</v>
      </c>
      <c r="H11705" s="5">
        <f>HYPERLINK("https://api.qogita.com/variants/link/8004608247203/", "View Product")</f>
        <v/>
      </c>
    </row>
    <row r="11706">
      <c r="A11706" t="inlineStr">
        <is>
          <t>8004608247555</t>
        </is>
      </c>
      <c r="B11706" t="inlineStr">
        <is>
          <t>Davines Hair Refresher Dry Cleansing Shampoo Absorbs Excess Oil and Adds Volume 3.13 fl oz</t>
        </is>
      </c>
      <c r="C11706" t="inlineStr">
        <is>
          <t>Dry Shampoo</t>
        </is>
      </c>
      <c r="D11706" t="inlineStr">
        <is>
          <t>Davines</t>
        </is>
      </c>
      <c r="E11706" t="n">
        <v>24.94</v>
      </c>
      <c r="F11706" t="n">
        <v>1</v>
      </c>
      <c r="G11706" t="n">
        <v>4</v>
      </c>
      <c r="H11706" s="5">
        <f>HYPERLINK("https://api.qogita.com/variants/link/8004608247555/", "View Product")</f>
        <v/>
      </c>
    </row>
    <row r="11707">
      <c r="A11707" t="inlineStr">
        <is>
          <t>8004608255116</t>
        </is>
      </c>
      <c r="B11707" t="inlineStr">
        <is>
          <t>Davines Naturaltech Renewing Conditioning Treatment 250ml Conditioner</t>
        </is>
      </c>
      <c r="C11707" t="inlineStr">
        <is>
          <t>Conditioner</t>
        </is>
      </c>
      <c r="D11707" t="inlineStr">
        <is>
          <t>Davines</t>
        </is>
      </c>
      <c r="E11707" t="n">
        <v>25.83</v>
      </c>
      <c r="F11707" t="n">
        <v>1</v>
      </c>
      <c r="G11707" t="n">
        <v>13</v>
      </c>
      <c r="H11707" s="5">
        <f>HYPERLINK("https://api.qogita.com/variants/link/8004608255116/", "View Product")</f>
        <v/>
      </c>
    </row>
    <row r="11708">
      <c r="A11708" t="inlineStr">
        <is>
          <t>8004608256519</t>
        </is>
      </c>
      <c r="B11708" t="inlineStr">
        <is>
          <t>Davines Naturaltech Calming Shampoo 250ml</t>
        </is>
      </c>
      <c r="C11708" t="inlineStr">
        <is>
          <t>Shampoo</t>
        </is>
      </c>
      <c r="D11708" t="inlineStr">
        <is>
          <t>Davines</t>
        </is>
      </c>
      <c r="E11708" t="n">
        <v>21.98</v>
      </c>
      <c r="F11708" t="n">
        <v>1</v>
      </c>
      <c r="G11708" t="n">
        <v>14</v>
      </c>
      <c r="H11708" s="5">
        <f>HYPERLINK("https://api.qogita.com/variants/link/8004608256519/", "View Product")</f>
        <v/>
      </c>
    </row>
    <row r="11709">
      <c r="A11709" t="inlineStr">
        <is>
          <t>8004608256557</t>
        </is>
      </c>
      <c r="B11709" t="inlineStr">
        <is>
          <t>Davines NT Replumping Shampoo 250ml</t>
        </is>
      </c>
      <c r="C11709" t="inlineStr">
        <is>
          <t>Shampoo</t>
        </is>
      </c>
      <c r="D11709" t="inlineStr">
        <is>
          <t>Davines</t>
        </is>
      </c>
      <c r="E11709" t="n">
        <v>21.48</v>
      </c>
      <c r="F11709" t="n">
        <v>1</v>
      </c>
      <c r="G11709" t="n">
        <v>4</v>
      </c>
      <c r="H11709" s="5">
        <f>HYPERLINK("https://api.qogita.com/variants/link/8004608256557/", "View Product")</f>
        <v/>
      </c>
    </row>
    <row r="11710">
      <c r="A11710" t="inlineStr">
        <is>
          <t>8004608256755</t>
        </is>
      </c>
      <c r="B11710" t="inlineStr">
        <is>
          <t>Davines NT Renewing Shampoo 100ml</t>
        </is>
      </c>
      <c r="C11710" t="inlineStr">
        <is>
          <t>Shampoo</t>
        </is>
      </c>
      <c r="D11710" t="inlineStr">
        <is>
          <t>Davines</t>
        </is>
      </c>
      <c r="E11710" t="n">
        <v>10.44</v>
      </c>
      <c r="F11710" t="n">
        <v>1</v>
      </c>
      <c r="G11710" t="n">
        <v>5</v>
      </c>
      <c r="H11710" s="5">
        <f>HYPERLINK("https://api.qogita.com/variants/link/8004608256755/", "View Product")</f>
        <v/>
      </c>
    </row>
    <row r="11711">
      <c r="A11711" t="inlineStr">
        <is>
          <t>8004608256809</t>
        </is>
      </c>
      <c r="B11711" t="inlineStr">
        <is>
          <t>Davines NT Detoxifying Scrub Shampoo 100ml</t>
        </is>
      </c>
      <c r="C11711" t="inlineStr">
        <is>
          <t>Shampoo</t>
        </is>
      </c>
      <c r="D11711" t="inlineStr">
        <is>
          <t>Davines</t>
        </is>
      </c>
      <c r="E11711" t="n">
        <v>11.75</v>
      </c>
      <c r="F11711" t="n">
        <v>1</v>
      </c>
      <c r="G11711" t="n">
        <v>2</v>
      </c>
      <c r="H11711" s="5">
        <f>HYPERLINK("https://api.qogita.com/variants/link/8004608256809/", "View Product")</f>
        <v/>
      </c>
    </row>
    <row r="11712">
      <c r="A11712" t="inlineStr">
        <is>
          <t>8004608259008</t>
        </is>
      </c>
      <c r="B11712" t="inlineStr">
        <is>
          <t>Davines Alchemic Conditioner Rosso 250ml</t>
        </is>
      </c>
      <c r="C11712" t="inlineStr">
        <is>
          <t>Conditioner</t>
        </is>
      </c>
      <c r="D11712" t="inlineStr">
        <is>
          <t>Davines</t>
        </is>
      </c>
      <c r="E11712" t="n">
        <v>26.14</v>
      </c>
      <c r="F11712" t="n">
        <v>1</v>
      </c>
      <c r="G11712" t="n">
        <v>2</v>
      </c>
      <c r="H11712" s="5">
        <f>HYPERLINK("https://api.qogita.com/variants/link/8004608259008/", "View Product")</f>
        <v/>
      </c>
    </row>
    <row r="11713">
      <c r="A11713" t="inlineStr">
        <is>
          <t>8004608261827</t>
        </is>
      </c>
      <c r="B11713" t="inlineStr">
        <is>
          <t>Su by Davines Hair Mask 150ml</t>
        </is>
      </c>
      <c r="C11713" t="inlineStr">
        <is>
          <t>Hair Masks</t>
        </is>
      </c>
      <c r="D11713" t="inlineStr">
        <is>
          <t>Davines</t>
        </is>
      </c>
      <c r="E11713" t="n">
        <v>23.54</v>
      </c>
      <c r="F11713" t="n">
        <v>1</v>
      </c>
      <c r="G11713" t="n">
        <v>5</v>
      </c>
      <c r="H11713" s="5">
        <f>HYPERLINK("https://api.qogita.com/variants/link/8004608261827/", "View Product")</f>
        <v/>
      </c>
    </row>
    <row r="11714">
      <c r="A11714" t="inlineStr">
        <is>
          <t>8004608267058</t>
        </is>
      </c>
      <c r="B11714" t="inlineStr">
        <is>
          <t>Davines Pasta &amp; Love Men's Hydrating and Protective Pre-Shaving Plus Beard Oil 1.69 fl. Oz.</t>
        </is>
      </c>
      <c r="C11714" t="inlineStr">
        <is>
          <t>Shaving</t>
        </is>
      </c>
      <c r="D11714" t="inlineStr">
        <is>
          <t>Davines</t>
        </is>
      </c>
      <c r="E11714" t="n">
        <v>22.72</v>
      </c>
      <c r="F11714" t="n">
        <v>1</v>
      </c>
      <c r="G11714" t="n">
        <v>2</v>
      </c>
      <c r="H11714" s="5">
        <f>HYPERLINK("https://api.qogita.com/variants/link/8004608267058/", "View Product")</f>
        <v/>
      </c>
    </row>
    <row r="11715">
      <c r="A11715" t="inlineStr">
        <is>
          <t>8004608270607</t>
        </is>
      </c>
      <c r="B11715" t="inlineStr">
        <is>
          <t>Davines SU Aftersun Hydrating Skincare Gel 5.07 Fl. Oz.</t>
        </is>
      </c>
      <c r="C11715" t="inlineStr">
        <is>
          <t>Aftersun</t>
        </is>
      </c>
      <c r="D11715" t="inlineStr">
        <is>
          <t>Davines</t>
        </is>
      </c>
      <c r="E11715" t="n">
        <v>31.26</v>
      </c>
      <c r="F11715" t="n">
        <v>1</v>
      </c>
      <c r="G11715" t="n">
        <v>2</v>
      </c>
      <c r="H11715" s="5">
        <f>HYPERLINK("https://api.qogita.com/variants/link/8004608270607/", "View Product")</f>
        <v/>
      </c>
    </row>
    <row r="11716">
      <c r="A11716" t="inlineStr">
        <is>
          <t>8004608271734</t>
        </is>
      </c>
      <c r="B11716" t="inlineStr">
        <is>
          <t>Davines Heart of Glass Intense Treatment 750ml</t>
        </is>
      </c>
      <c r="C11716" t="inlineStr">
        <is>
          <t>Hair Masks</t>
        </is>
      </c>
      <c r="D11716" t="inlineStr">
        <is>
          <t>Davines</t>
        </is>
      </c>
      <c r="E11716" t="n">
        <v>72.48999999999999</v>
      </c>
      <c r="F11716" t="n">
        <v>1</v>
      </c>
      <c r="G11716" t="n">
        <v>5</v>
      </c>
      <c r="H11716" s="5">
        <f>HYPERLINK("https://api.qogita.com/variants/link/8004608271734/", "View Product")</f>
        <v/>
      </c>
    </row>
    <row r="11717">
      <c r="A11717" t="inlineStr">
        <is>
          <t>8004608273158</t>
        </is>
      </c>
      <c r="B11717" t="inlineStr">
        <is>
          <t>Davines Love Shampoo Bar 100g</t>
        </is>
      </c>
      <c r="C11717" t="inlineStr">
        <is>
          <t>Shampoo</t>
        </is>
      </c>
      <c r="D11717" t="inlineStr">
        <is>
          <t>Davines</t>
        </is>
      </c>
      <c r="E11717" t="n">
        <v>16.91</v>
      </c>
      <c r="F11717" t="n">
        <v>1</v>
      </c>
      <c r="G11717" t="n">
        <v>2</v>
      </c>
      <c r="H11717" s="5">
        <f>HYPERLINK("https://api.qogita.com/variants/link/8004608273158/", "View Product")</f>
        <v/>
      </c>
    </row>
    <row r="11718">
      <c r="A11718" t="inlineStr">
        <is>
          <t>8004608275404</t>
        </is>
      </c>
      <c r="B11718" t="inlineStr">
        <is>
          <t>Davines Energizing Thickener Tonic 100 ml</t>
        </is>
      </c>
      <c r="C11718" t="inlineStr">
        <is>
          <t>Hair Tonic</t>
        </is>
      </c>
      <c r="D11718" t="inlineStr">
        <is>
          <t>Davines</t>
        </is>
      </c>
      <c r="E11718" t="n">
        <v>43.69</v>
      </c>
      <c r="F11718" t="n">
        <v>1</v>
      </c>
      <c r="G11718" t="n">
        <v>5</v>
      </c>
      <c r="H11718" s="5">
        <f>HYPERLINK("https://api.qogita.com/variants/link/8004608275404/", "View Product")</f>
        <v/>
      </c>
    </row>
    <row r="11719">
      <c r="A11719" t="inlineStr">
        <is>
          <t>8004608276746</t>
        </is>
      </c>
      <c r="B11719" t="inlineStr">
        <is>
          <t>Davines NOUNOU Hair Mask 250ml</t>
        </is>
      </c>
      <c r="C11719" t="inlineStr">
        <is>
          <t>Hair Masks</t>
        </is>
      </c>
      <c r="D11719" t="inlineStr">
        <is>
          <t>Davines</t>
        </is>
      </c>
      <c r="E11719" t="n">
        <v>28.01</v>
      </c>
      <c r="F11719" t="n">
        <v>1</v>
      </c>
      <c r="G11719" t="n">
        <v>3</v>
      </c>
      <c r="H11719" s="5">
        <f>HYPERLINK("https://api.qogita.com/variants/link/8004608276746/", "View Product")</f>
        <v/>
      </c>
    </row>
    <row r="11720">
      <c r="A11720" t="inlineStr">
        <is>
          <t>8004608280477</t>
        </is>
      </c>
      <c r="B11720" t="inlineStr">
        <is>
          <t>Davines SOLU Shampoo 250ml</t>
        </is>
      </c>
      <c r="C11720" t="inlineStr">
        <is>
          <t>Shampoo</t>
        </is>
      </c>
      <c r="D11720" t="inlineStr">
        <is>
          <t>Davines</t>
        </is>
      </c>
      <c r="E11720" t="n">
        <v>18.68</v>
      </c>
      <c r="F11720" t="n">
        <v>1</v>
      </c>
      <c r="G11720" t="n">
        <v>9</v>
      </c>
      <c r="H11720" s="5">
        <f>HYPERLINK("https://api.qogita.com/variants/link/8004608280477/", "View Product")</f>
        <v/>
      </c>
    </row>
    <row r="11721">
      <c r="A11721" t="inlineStr">
        <is>
          <t>8004608280484</t>
        </is>
      </c>
      <c r="B11721" t="inlineStr">
        <is>
          <t>Davines Essential Haircare Dede Shampoo</t>
        </is>
      </c>
      <c r="C11721" t="inlineStr">
        <is>
          <t>Shampoo</t>
        </is>
      </c>
      <c r="D11721" t="inlineStr">
        <is>
          <t>Davines</t>
        </is>
      </c>
      <c r="E11721" t="n">
        <v>20.46</v>
      </c>
      <c r="F11721" t="n">
        <v>1</v>
      </c>
      <c r="G11721" t="n">
        <v>8</v>
      </c>
      <c r="H11721" s="5">
        <f>HYPERLINK("https://api.qogita.com/variants/link/8004608280484/", "View Product")</f>
        <v/>
      </c>
    </row>
    <row r="11722">
      <c r="A11722" t="inlineStr">
        <is>
          <t>8004608284437</t>
        </is>
      </c>
      <c r="B11722" t="inlineStr">
        <is>
          <t>Davines Texturizing Serum 150ml</t>
        </is>
      </c>
      <c r="C11722" t="inlineStr">
        <is>
          <t>Hair Oil &amp; Hair Serum</t>
        </is>
      </c>
      <c r="D11722" t="inlineStr">
        <is>
          <t>Davines</t>
        </is>
      </c>
      <c r="E11722" t="n">
        <v>20.13</v>
      </c>
      <c r="F11722" t="n">
        <v>1</v>
      </c>
      <c r="G11722" t="n">
        <v>3</v>
      </c>
      <c r="H11722" s="5">
        <f>HYPERLINK("https://api.qogita.com/variants/link/8004608284437/", "View Product")</f>
        <v/>
      </c>
    </row>
    <row r="11723">
      <c r="A11723" t="inlineStr">
        <is>
          <t>8004608284482</t>
        </is>
      </c>
      <c r="B11723" t="inlineStr">
        <is>
          <t>Davines Love Curl Controller Agrumi 150ml</t>
        </is>
      </c>
      <c r="C11723" t="inlineStr">
        <is>
          <t>Leave-In Conditioner</t>
        </is>
      </c>
      <c r="D11723" t="inlineStr">
        <is>
          <t>Davines</t>
        </is>
      </c>
      <c r="E11723" t="n">
        <v>27.36</v>
      </c>
      <c r="F11723" t="n">
        <v>1</v>
      </c>
      <c r="G11723" t="n">
        <v>7</v>
      </c>
      <c r="H11723" s="5">
        <f>HYPERLINK("https://api.qogita.com/variants/link/8004608284482/", "View Product")</f>
        <v/>
      </c>
    </row>
    <row r="11724">
      <c r="A11724" t="inlineStr">
        <is>
          <t>8005610255941</t>
        </is>
      </c>
      <c r="B11724" t="inlineStr">
        <is>
          <t>Bruno Banani Woman's Best Eau De Parfum Spray 20ml</t>
        </is>
      </c>
      <c r="C11724" t="inlineStr">
        <is>
          <t>Eau De Parfum</t>
        </is>
      </c>
      <c r="D11724" t="inlineStr">
        <is>
          <t>Bruno Banani</t>
        </is>
      </c>
      <c r="E11724" t="n">
        <v>7.06</v>
      </c>
      <c r="F11724" t="n">
        <v>1</v>
      </c>
      <c r="G11724" t="n">
        <v>10</v>
      </c>
      <c r="H11724" s="5">
        <f>HYPERLINK("https://api.qogita.com/variants/link/8005610255941/", "View Product")</f>
        <v/>
      </c>
    </row>
    <row r="11725">
      <c r="A11725" t="inlineStr">
        <is>
          <t>8005610295077</t>
        </is>
      </c>
      <c r="B11725" t="inlineStr">
        <is>
          <t>Gucci Bamboo Eau De Toilette Spray for Her 75ml</t>
        </is>
      </c>
      <c r="C11725" t="inlineStr">
        <is>
          <t>Eau De Toilette</t>
        </is>
      </c>
      <c r="D11725" t="inlineStr">
        <is>
          <t>Gucci</t>
        </is>
      </c>
      <c r="E11725" t="n">
        <v>64.59</v>
      </c>
      <c r="F11725" t="n">
        <v>1</v>
      </c>
      <c r="G11725" t="n">
        <v>4</v>
      </c>
      <c r="H11725" s="5">
        <f>HYPERLINK("https://api.qogita.com/variants/link/8005610295077/", "View Product")</f>
        <v/>
      </c>
    </row>
    <row r="11726">
      <c r="A11726" t="inlineStr">
        <is>
          <t>8005610340784</t>
        </is>
      </c>
      <c r="B11726" t="inlineStr">
        <is>
          <t>Hugo Man Deodorant Spray 150ml By Hugo</t>
        </is>
      </c>
      <c r="C11726" t="inlineStr">
        <is>
          <t>Deodorant &amp; Anti-Perspirant</t>
        </is>
      </c>
      <c r="D11726" t="inlineStr">
        <is>
          <t>Hugo</t>
        </is>
      </c>
      <c r="E11726" t="n">
        <v>8.19</v>
      </c>
      <c r="F11726" t="n">
        <v>1</v>
      </c>
      <c r="G11726" t="n">
        <v>137</v>
      </c>
      <c r="H11726" s="5">
        <f>HYPERLINK("https://api.qogita.com/variants/link/8005610340784/", "View Product")</f>
        <v/>
      </c>
    </row>
    <row r="11727">
      <c r="A11727" t="inlineStr">
        <is>
          <t>8005610344218</t>
        </is>
      </c>
      <c r="B11727" t="inlineStr">
        <is>
          <t>Gucci Guilty Absolute Pour Homme Eau De Parfum 150ml</t>
        </is>
      </c>
      <c r="C11727" t="inlineStr">
        <is>
          <t>Eau De Parfum</t>
        </is>
      </c>
      <c r="D11727" t="inlineStr">
        <is>
          <t>Gucci</t>
        </is>
      </c>
      <c r="E11727" t="n">
        <v>104.79</v>
      </c>
      <c r="F11727" t="n">
        <v>1</v>
      </c>
      <c r="G11727" t="n">
        <v>2</v>
      </c>
      <c r="H11727" s="5">
        <f>HYPERLINK("https://api.qogita.com/variants/link/8005610344218/", "View Product")</f>
        <v/>
      </c>
    </row>
    <row r="11728">
      <c r="A11728" t="inlineStr">
        <is>
          <t>8005610426648</t>
        </is>
      </c>
      <c r="B11728" t="inlineStr">
        <is>
          <t>Sebastian Professional Twisted Curl Conditioner 250ml Conditioner For Wavy And Curly Hair</t>
        </is>
      </c>
      <c r="C11728" t="inlineStr">
        <is>
          <t>Conditioner</t>
        </is>
      </c>
      <c r="D11728" t="inlineStr">
        <is>
          <t>Sebastian Professional</t>
        </is>
      </c>
      <c r="E11728" t="n">
        <v>14.61</v>
      </c>
      <c r="F11728" t="n">
        <v>1</v>
      </c>
      <c r="G11728" t="n">
        <v>7</v>
      </c>
      <c r="H11728" s="5">
        <f>HYPERLINK("https://api.qogita.com/variants/link/8005610426648/", "View Product")</f>
        <v/>
      </c>
    </row>
    <row r="11729">
      <c r="A11729" t="inlineStr">
        <is>
          <t>8005610449944</t>
        </is>
      </c>
      <c r="B11729" t="inlineStr">
        <is>
          <t>Wella Professionals EIMI Rugged Texture 150ml</t>
        </is>
      </c>
      <c r="C11729" t="inlineStr">
        <is>
          <t>Styling Creams</t>
        </is>
      </c>
      <c r="D11729" t="inlineStr">
        <is>
          <t>Wella</t>
        </is>
      </c>
      <c r="E11729" t="n">
        <v>8.31</v>
      </c>
      <c r="F11729" t="n">
        <v>1</v>
      </c>
      <c r="G11729" t="n">
        <v>8</v>
      </c>
      <c r="H11729" s="5">
        <f>HYPERLINK("https://api.qogita.com/variants/link/8005610449944/", "View Product")</f>
        <v/>
      </c>
    </row>
    <row r="11730">
      <c r="A11730" t="inlineStr">
        <is>
          <t>8005610486949</t>
        </is>
      </c>
      <c r="B11730" t="inlineStr">
        <is>
          <t>Londa Professional Sleek Smoother Insalon Treatment For Unruly And Frizzy Hair</t>
        </is>
      </c>
      <c r="C11730" t="inlineStr">
        <is>
          <t>Hair Masks</t>
        </is>
      </c>
      <c r="D11730" t="inlineStr">
        <is>
          <t>Londa Professional</t>
        </is>
      </c>
      <c r="E11730" t="n">
        <v>9.279999999999999</v>
      </c>
      <c r="F11730" t="n">
        <v>1</v>
      </c>
      <c r="G11730" t="n">
        <v>17</v>
      </c>
      <c r="H11730" s="5">
        <f>HYPERLINK("https://api.qogita.com/variants/link/8005610486949/", "View Product")</f>
        <v/>
      </c>
    </row>
    <row r="11731">
      <c r="A11731" t="inlineStr">
        <is>
          <t>8005610487052</t>
        </is>
      </c>
      <c r="B11731" t="inlineStr">
        <is>
          <t>Londa Professional Curl Definer Starter Hair Conditioner For Permanent Wave 250ml</t>
        </is>
      </c>
      <c r="C11731" t="inlineStr">
        <is>
          <t>Conditioner</t>
        </is>
      </c>
      <c r="D11731" t="inlineStr">
        <is>
          <t>Londa Professional</t>
        </is>
      </c>
      <c r="E11731" t="n">
        <v>9.94</v>
      </c>
      <c r="F11731" t="n">
        <v>1</v>
      </c>
      <c r="G11731" t="n">
        <v>6</v>
      </c>
      <c r="H11731" s="5">
        <f>HYPERLINK("https://api.qogita.com/variants/link/8005610487052/", "View Product")</f>
        <v/>
      </c>
    </row>
    <row r="11732">
      <c r="A11732" t="inlineStr">
        <is>
          <t>8005610504438</t>
        </is>
      </c>
      <c r="B11732" t="inlineStr">
        <is>
          <t>Max Factor False Lash Effect Mascara Waterproof Lengthening And Thickening Black 13.1ml</t>
        </is>
      </c>
      <c r="C11732" t="inlineStr">
        <is>
          <t>Mascara</t>
        </is>
      </c>
      <c r="D11732" t="inlineStr">
        <is>
          <t>Max Factor</t>
        </is>
      </c>
      <c r="E11732" t="n">
        <v>6.18</v>
      </c>
      <c r="F11732" t="n">
        <v>1</v>
      </c>
      <c r="G11732" t="n">
        <v>5</v>
      </c>
      <c r="H11732" s="5">
        <f>HYPERLINK("https://api.qogita.com/variants/link/8005610504438/", "View Product")</f>
        <v/>
      </c>
    </row>
    <row r="11733">
      <c r="A11733" t="inlineStr">
        <is>
          <t>8005610516073</t>
        </is>
      </c>
      <c r="B11733" t="inlineStr">
        <is>
          <t>Escada Celebrate Now Eau De Parfum 30ml For Women</t>
        </is>
      </c>
      <c r="C11733" t="inlineStr">
        <is>
          <t>Eau De Parfum</t>
        </is>
      </c>
      <c r="D11733" t="inlineStr">
        <is>
          <t>Escada</t>
        </is>
      </c>
      <c r="E11733" t="n">
        <v>15.86</v>
      </c>
      <c r="F11733" t="n">
        <v>1</v>
      </c>
      <c r="G11733" t="n">
        <v>22</v>
      </c>
      <c r="H11733" s="5">
        <f>HYPERLINK("https://api.qogita.com/variants/link/8005610516073/", "View Product")</f>
        <v/>
      </c>
    </row>
    <row r="11734">
      <c r="A11734" t="inlineStr">
        <is>
          <t>8005610529165</t>
        </is>
      </c>
      <c r="B11734" t="inlineStr">
        <is>
          <t>Wella Wella Color Touch Rich Natural 637 Hair Color 60ml</t>
        </is>
      </c>
      <c r="C11734" t="inlineStr">
        <is>
          <t>Hair Dye</t>
        </is>
      </c>
      <c r="D11734" t="inlineStr">
        <is>
          <t>Wella</t>
        </is>
      </c>
      <c r="E11734" t="n">
        <v>7.11</v>
      </c>
      <c r="F11734" t="n">
        <v>1</v>
      </c>
      <c r="G11734" t="n">
        <v>3</v>
      </c>
      <c r="H11734" s="5">
        <f>HYPERLINK("https://api.qogita.com/variants/link/8005610529165/", "View Product")</f>
        <v/>
      </c>
    </row>
    <row r="11735">
      <c r="A11735" t="inlineStr">
        <is>
          <t>8005610529202</t>
        </is>
      </c>
      <c r="B11735" t="inlineStr">
        <is>
          <t>Wella Colour Touch Demi-Permanent Hair Colour 6/47 Dark Auburn Sand 0.13601kg</t>
        </is>
      </c>
      <c r="C11735" t="inlineStr">
        <is>
          <t>Hair Dye</t>
        </is>
      </c>
      <c r="D11735" t="inlineStr">
        <is>
          <t>Wella</t>
        </is>
      </c>
      <c r="E11735" t="n">
        <v>7.51</v>
      </c>
      <c r="F11735" t="n">
        <v>1</v>
      </c>
      <c r="G11735" t="n">
        <v>3</v>
      </c>
      <c r="H11735" s="5">
        <f>HYPERLINK("https://api.qogita.com/variants/link/8005610529202/", "View Product")</f>
        <v/>
      </c>
    </row>
    <row r="11736">
      <c r="A11736" t="inlineStr">
        <is>
          <t>8005610529981</t>
        </is>
      </c>
      <c r="B11736" t="inlineStr">
        <is>
          <t>Wella Professional Color Touch Vibrant Reds 5565 60ml</t>
        </is>
      </c>
      <c r="C11736" t="inlineStr">
        <is>
          <t>Hair Dye</t>
        </is>
      </c>
      <c r="D11736" t="inlineStr">
        <is>
          <t>Wella Professionals</t>
        </is>
      </c>
      <c r="E11736" t="n">
        <v>7.54</v>
      </c>
      <c r="F11736" t="n">
        <v>1</v>
      </c>
      <c r="G11736" t="n">
        <v>2</v>
      </c>
      <c r="H11736" s="5">
        <f>HYPERLINK("https://api.qogita.com/variants/link/8005610529981/", "View Product")</f>
        <v/>
      </c>
    </row>
    <row r="11737">
      <c r="A11737" t="inlineStr">
        <is>
          <t>8005610530246</t>
        </is>
      </c>
      <c r="B11737" t="inlineStr">
        <is>
          <t>Wella Color Touch Rich Natural 73 60ml Hair Color</t>
        </is>
      </c>
      <c r="C11737" t="inlineStr">
        <is>
          <t>Hair Dye</t>
        </is>
      </c>
      <c r="D11737" t="inlineStr">
        <is>
          <t>Wella</t>
        </is>
      </c>
      <c r="E11737" t="n">
        <v>7.11</v>
      </c>
      <c r="F11737" t="n">
        <v>1</v>
      </c>
      <c r="G11737" t="n">
        <v>3</v>
      </c>
      <c r="H11737" s="5">
        <f>HYPERLINK("https://api.qogita.com/variants/link/8005610530246/", "View Product")</f>
        <v/>
      </c>
    </row>
    <row r="11738">
      <c r="A11738" t="inlineStr">
        <is>
          <t>8005610530970</t>
        </is>
      </c>
      <c r="B11738" t="inlineStr">
        <is>
          <t>Wella Color Emulsion Color Touch Intensive 4% 13vol. 60 ml.</t>
        </is>
      </c>
      <c r="C11738" t="inlineStr">
        <is>
          <t>Hair Dye</t>
        </is>
      </c>
      <c r="D11738" t="inlineStr">
        <is>
          <t>Wella</t>
        </is>
      </c>
      <c r="E11738" t="n">
        <v>1.09</v>
      </c>
      <c r="F11738" t="n">
        <v>1</v>
      </c>
      <c r="G11738" t="n">
        <v>11</v>
      </c>
      <c r="H11738" s="5">
        <f>HYPERLINK("https://api.qogita.com/variants/link/8005610530970/", "View Product")</f>
        <v/>
      </c>
    </row>
    <row r="11739">
      <c r="A11739" t="inlineStr">
        <is>
          <t>8005610531571</t>
        </is>
      </c>
      <c r="B11739" t="inlineStr">
        <is>
          <t>Wella Professional Oil Reflections Luminous Reboost Mask 500ml</t>
        </is>
      </c>
      <c r="C11739" t="inlineStr">
        <is>
          <t>Hair Masks</t>
        </is>
      </c>
      <c r="D11739" t="inlineStr">
        <is>
          <t>Wella Professionals</t>
        </is>
      </c>
      <c r="E11739" t="n">
        <v>19.94</v>
      </c>
      <c r="F11739" t="n">
        <v>1</v>
      </c>
      <c r="G11739" t="n">
        <v>5</v>
      </c>
      <c r="H11739" s="5">
        <f>HYPERLINK("https://api.qogita.com/variants/link/8005610531571/", "View Product")</f>
        <v/>
      </c>
    </row>
    <row r="11740">
      <c r="A11740" t="inlineStr">
        <is>
          <t>8005610532264</t>
        </is>
      </c>
      <c r="B11740" t="inlineStr">
        <is>
          <t>Wella Professional Eimi Natural Volume 500ml Hair Mousse</t>
        </is>
      </c>
      <c r="C11740" t="inlineStr">
        <is>
          <t>Mousse</t>
        </is>
      </c>
      <c r="D11740" t="inlineStr">
        <is>
          <t>Wella Professionals</t>
        </is>
      </c>
      <c r="E11740" t="n">
        <v>8.359999999999999</v>
      </c>
      <c r="F11740" t="n">
        <v>1</v>
      </c>
      <c r="G11740" t="n">
        <v>27</v>
      </c>
      <c r="H11740" s="5">
        <f>HYPERLINK("https://api.qogita.com/variants/link/8005610532264/", "View Product")</f>
        <v/>
      </c>
    </row>
    <row r="11741">
      <c r="A11741" t="inlineStr">
        <is>
          <t>8005610532448</t>
        </is>
      </c>
      <c r="B11741" t="inlineStr">
        <is>
          <t>Wella Professionals Eimi Extra Volume Hold Level 3 500ml</t>
        </is>
      </c>
      <c r="C11741" t="inlineStr">
        <is>
          <t>Hairspray</t>
        </is>
      </c>
      <c r="D11741" t="inlineStr">
        <is>
          <t>Wella Professionals</t>
        </is>
      </c>
      <c r="E11741" t="n">
        <v>7.51</v>
      </c>
      <c r="F11741" t="n">
        <v>1</v>
      </c>
      <c r="G11741" t="n">
        <v>117</v>
      </c>
      <c r="H11741" s="5">
        <f>HYPERLINK("https://api.qogita.com/variants/link/8005610532448/", "View Product")</f>
        <v/>
      </c>
    </row>
    <row r="11742">
      <c r="A11742" t="inlineStr">
        <is>
          <t>8005610533223</t>
        </is>
      </c>
      <c r="B11742" t="inlineStr">
        <is>
          <t>Wella Eimi Extra Volume Mousse for Great Volume</t>
        </is>
      </c>
      <c r="C11742" t="inlineStr">
        <is>
          <t>Mousse</t>
        </is>
      </c>
      <c r="D11742" t="inlineStr">
        <is>
          <t>Wella</t>
        </is>
      </c>
      <c r="E11742" t="n">
        <v>7</v>
      </c>
      <c r="F11742" t="n">
        <v>1</v>
      </c>
      <c r="G11742" t="n">
        <v>10</v>
      </c>
      <c r="H11742" s="5">
        <f>HYPERLINK("https://api.qogita.com/variants/link/8005610533223/", "View Product")</f>
        <v/>
      </c>
    </row>
    <row r="11743">
      <c r="A11743" t="inlineStr">
        <is>
          <t>8005610533612</t>
        </is>
      </c>
      <c r="B11743" t="inlineStr">
        <is>
          <t>Wella Eimi Dry Me Dry Shampoo 180ml</t>
        </is>
      </c>
      <c r="C11743" t="inlineStr">
        <is>
          <t>Dry Shampoo</t>
        </is>
      </c>
      <c r="D11743" t="inlineStr">
        <is>
          <t>Wella Professionals</t>
        </is>
      </c>
      <c r="E11743" t="n">
        <v>6.65</v>
      </c>
      <c r="F11743" t="n">
        <v>1</v>
      </c>
      <c r="G11743" t="n">
        <v>23</v>
      </c>
      <c r="H11743" s="5">
        <f>HYPERLINK("https://api.qogita.com/variants/link/8005610533612/", "View Product")</f>
        <v/>
      </c>
    </row>
    <row r="11744">
      <c r="A11744" t="inlineStr">
        <is>
          <t>8005610538747</t>
        </is>
      </c>
      <c r="B11744" t="inlineStr">
        <is>
          <t>Illumina Color Professional 6 Dark Blonde Permanent Dye 68g</t>
        </is>
      </c>
      <c r="C11744" t="inlineStr">
        <is>
          <t>Hair Dye</t>
        </is>
      </c>
      <c r="D11744" t="inlineStr">
        <is>
          <t>Wella</t>
        </is>
      </c>
      <c r="E11744" t="n">
        <v>7.34</v>
      </c>
      <c r="F11744" t="n">
        <v>1</v>
      </c>
      <c r="G11744" t="n">
        <v>2</v>
      </c>
      <c r="H11744" s="5">
        <f>HYPERLINK("https://api.qogita.com/variants/link/8005610538747/", "View Product")</f>
        <v/>
      </c>
    </row>
    <row r="11745">
      <c r="A11745" t="inlineStr">
        <is>
          <t>8005610538778</t>
        </is>
      </c>
      <c r="B11745" t="inlineStr">
        <is>
          <t>Wella Illumina Color 7 Hair Dye 60ml</t>
        </is>
      </c>
      <c r="C11745" t="inlineStr">
        <is>
          <t>Hair Dye</t>
        </is>
      </c>
      <c r="D11745" t="inlineStr">
        <is>
          <t>Wella Professionals</t>
        </is>
      </c>
      <c r="E11745" t="n">
        <v>7.3</v>
      </c>
      <c r="F11745" t="n">
        <v>1</v>
      </c>
      <c r="G11745" t="n">
        <v>4</v>
      </c>
      <c r="H11745" s="5">
        <f>HYPERLINK("https://api.qogita.com/variants/link/8005610538778/", "View Product")</f>
        <v/>
      </c>
    </row>
    <row r="11746">
      <c r="A11746" t="inlineStr">
        <is>
          <t>8005610538891</t>
        </is>
      </c>
      <c r="B11746" t="inlineStr">
        <is>
          <t>Wella Illumina Color 77 Hair Color 60ml</t>
        </is>
      </c>
      <c r="C11746" t="inlineStr">
        <is>
          <t>Hair Dye</t>
        </is>
      </c>
      <c r="D11746" t="inlineStr">
        <is>
          <t>Wella</t>
        </is>
      </c>
      <c r="E11746" t="n">
        <v>7.34</v>
      </c>
      <c r="F11746" t="n">
        <v>1</v>
      </c>
      <c r="G11746" t="n">
        <v>4</v>
      </c>
      <c r="H11746" s="5">
        <f>HYPERLINK("https://api.qogita.com/variants/link/8005610538891/", "View Product")</f>
        <v/>
      </c>
    </row>
    <row r="11747">
      <c r="A11747" t="inlineStr">
        <is>
          <t>8005610561936</t>
        </is>
      </c>
      <c r="B11747" t="inlineStr">
        <is>
          <t>Londa Professional Curl Definer Shampoo - 250ml</t>
        </is>
      </c>
      <c r="C11747" t="inlineStr">
        <is>
          <t>Shampoo</t>
        </is>
      </c>
      <c r="D11747" t="inlineStr">
        <is>
          <t>Londa Professional</t>
        </is>
      </c>
      <c r="E11747" t="n">
        <v>3.9</v>
      </c>
      <c r="F11747" t="n">
        <v>1</v>
      </c>
      <c r="G11747" t="n">
        <v>12</v>
      </c>
      <c r="H11747" s="5">
        <f>HYPERLINK("https://api.qogita.com/variants/link/8005610561936/", "View Product")</f>
        <v/>
      </c>
    </row>
    <row r="11748">
      <c r="A11748" t="inlineStr">
        <is>
          <t>8005610561967</t>
        </is>
      </c>
      <c r="B11748" t="inlineStr">
        <is>
          <t>Londa Professional Deep Moisture Intensive Mask - 200ml</t>
        </is>
      </c>
      <c r="C11748" t="inlineStr">
        <is>
          <t>Hair Masks</t>
        </is>
      </c>
      <c r="D11748" t="inlineStr">
        <is>
          <t>Londa Professional</t>
        </is>
      </c>
      <c r="E11748" t="n">
        <v>6.75</v>
      </c>
      <c r="F11748" t="n">
        <v>1</v>
      </c>
      <c r="G11748" t="n">
        <v>5</v>
      </c>
      <c r="H11748" s="5">
        <f>HYPERLINK("https://api.qogita.com/variants/link/8005610561967/", "View Product")</f>
        <v/>
      </c>
    </row>
    <row r="11749">
      <c r="A11749" t="inlineStr">
        <is>
          <t>8005610562087</t>
        </is>
      </c>
      <c r="B11749" t="inlineStr">
        <is>
          <t>Londa Professional Dramatize It Extra Strong Hold Mousse 500ml</t>
        </is>
      </c>
      <c r="C11749" t="inlineStr">
        <is>
          <t>Mousse</t>
        </is>
      </c>
      <c r="D11749" t="inlineStr">
        <is>
          <t>Londa Professional</t>
        </is>
      </c>
      <c r="E11749" t="n">
        <v>11.46</v>
      </c>
      <c r="F11749" t="n">
        <v>1</v>
      </c>
      <c r="G11749" t="n">
        <v>7</v>
      </c>
      <c r="H11749" s="5">
        <f>HYPERLINK("https://api.qogita.com/variants/link/8005610562087/", "View Product")</f>
        <v/>
      </c>
    </row>
    <row r="11750">
      <c r="A11750" t="inlineStr">
        <is>
          <t>8005610562193</t>
        </is>
      </c>
      <c r="B11750" t="inlineStr">
        <is>
          <t>Londa Professional Velvet Oil Deep Renewing Hair Mask</t>
        </is>
      </c>
      <c r="C11750" t="inlineStr">
        <is>
          <t>Hair Masks</t>
        </is>
      </c>
      <c r="D11750" t="inlineStr">
        <is>
          <t>Londa Professional</t>
        </is>
      </c>
      <c r="E11750" t="n">
        <v>7.94</v>
      </c>
      <c r="F11750" t="n">
        <v>1</v>
      </c>
      <c r="G11750" t="n">
        <v>6</v>
      </c>
      <c r="H11750" s="5">
        <f>HYPERLINK("https://api.qogita.com/variants/link/8005610562193/", "View Product")</f>
        <v/>
      </c>
    </row>
    <row r="11751">
      <c r="A11751" t="inlineStr">
        <is>
          <t>8005610563244</t>
        </is>
      </c>
      <c r="B11751" t="inlineStr">
        <is>
          <t>Wella Eimi Absolute Set Hair Spray 300ml</t>
        </is>
      </c>
      <c r="C11751" t="inlineStr">
        <is>
          <t>Hairspray</t>
        </is>
      </c>
      <c r="D11751" t="inlineStr">
        <is>
          <t>Wella</t>
        </is>
      </c>
      <c r="E11751" t="n">
        <v>8.4</v>
      </c>
      <c r="F11751" t="n">
        <v>1</v>
      </c>
      <c r="G11751" t="n">
        <v>9</v>
      </c>
      <c r="H11751" s="5">
        <f>HYPERLINK("https://api.qogita.com/variants/link/8005610563244/", "View Product")</f>
        <v/>
      </c>
    </row>
    <row r="11752">
      <c r="A11752" t="inlineStr">
        <is>
          <t>8005610566818</t>
        </is>
      </c>
      <c r="B11752" t="inlineStr">
        <is>
          <t>Wella System Professional Hydrate Shampoo Moisturizing Shampoo Available In 1000ml And 250ml Sizes</t>
        </is>
      </c>
      <c r="C11752" t="inlineStr">
        <is>
          <t>Shampoo</t>
        </is>
      </c>
      <c r="D11752" t="inlineStr">
        <is>
          <t>Wella</t>
        </is>
      </c>
      <c r="E11752" t="n">
        <v>15.34</v>
      </c>
      <c r="F11752" t="n">
        <v>1</v>
      </c>
      <c r="G11752" t="n">
        <v>57</v>
      </c>
      <c r="H11752" s="5">
        <f>HYPERLINK("https://api.qogita.com/variants/link/8005610566818/", "View Product")</f>
        <v/>
      </c>
    </row>
    <row r="11753">
      <c r="A11753" t="inlineStr">
        <is>
          <t>8005610568096</t>
        </is>
      </c>
      <c r="B11753" t="inlineStr">
        <is>
          <t>Wella Professionals Sp Hydrate Shampoo Moisturizing Shampoo For Dry And Normal Hair 250ml</t>
        </is>
      </c>
      <c r="C11753" t="inlineStr">
        <is>
          <t>Shampoo</t>
        </is>
      </c>
      <c r="D11753" t="inlineStr">
        <is>
          <t>Wella Professionals</t>
        </is>
      </c>
      <c r="E11753" t="n">
        <v>5.27</v>
      </c>
      <c r="F11753" t="n">
        <v>1</v>
      </c>
      <c r="G11753" t="n">
        <v>31</v>
      </c>
      <c r="H11753" s="5">
        <f>HYPERLINK("https://api.qogita.com/variants/link/8005610568096/", "View Product")</f>
        <v/>
      </c>
    </row>
    <row r="11754">
      <c r="A11754" t="inlineStr">
        <is>
          <t>8005610569611</t>
        </is>
      </c>
      <c r="B11754" t="inlineStr">
        <is>
          <t>Sebastian Flaunt Trilliant Heat-Protector Spray 150ml</t>
        </is>
      </c>
      <c r="C11754" t="inlineStr">
        <is>
          <t>Heat Protection</t>
        </is>
      </c>
      <c r="D11754" t="inlineStr">
        <is>
          <t>Sebastian</t>
        </is>
      </c>
      <c r="E11754" t="n">
        <v>14.78</v>
      </c>
      <c r="F11754" t="n">
        <v>1</v>
      </c>
      <c r="G11754" t="n">
        <v>9</v>
      </c>
      <c r="H11754" s="5">
        <f>HYPERLINK("https://api.qogita.com/variants/link/8005610569611/", "View Product")</f>
        <v/>
      </c>
    </row>
    <row r="11755">
      <c r="A11755" t="inlineStr">
        <is>
          <t>8005610571980</t>
        </is>
      </c>
      <c r="B11755" t="inlineStr">
        <is>
          <t>Londalock N/R Perm Lotion Liquid For Permanent Hair Curling For Normal Hair 75ml</t>
        </is>
      </c>
      <c r="C11755" t="inlineStr">
        <is>
          <t>Hair Care Sets</t>
        </is>
      </c>
      <c r="D11755" t="inlineStr">
        <is>
          <t>Londa</t>
        </is>
      </c>
      <c r="E11755" t="n">
        <v>5.52</v>
      </c>
      <c r="F11755" t="n">
        <v>1</v>
      </c>
      <c r="G11755" t="n">
        <v>7</v>
      </c>
      <c r="H11755" s="5">
        <f>HYPERLINK("https://api.qogita.com/variants/link/8005610571980/", "View Product")</f>
        <v/>
      </c>
    </row>
    <row r="11756">
      <c r="A11756" t="inlineStr">
        <is>
          <t>8005610572048</t>
        </is>
      </c>
      <c r="B11756" t="inlineStr">
        <is>
          <t>Londa Professional Velvet Oil Lightweight Oil Nourishing Hair Oil 30 Ml</t>
        </is>
      </c>
      <c r="C11756" t="inlineStr">
        <is>
          <t>Hair Oil &amp; Hair Serum</t>
        </is>
      </c>
      <c r="D11756" t="inlineStr">
        <is>
          <t>Londa Professional</t>
        </is>
      </c>
      <c r="E11756" t="n">
        <v>2.93</v>
      </c>
      <c r="F11756" t="n">
        <v>1</v>
      </c>
      <c r="G11756" t="n">
        <v>69</v>
      </c>
      <c r="H11756" s="5">
        <f>HYPERLINK("https://api.qogita.com/variants/link/8005610572048/", "View Product")</f>
        <v/>
      </c>
    </row>
    <row r="11757">
      <c r="A11757" t="inlineStr">
        <is>
          <t>8005610573632</t>
        </is>
      </c>
      <c r="B11757" t="inlineStr">
        <is>
          <t>Londa Professional Color Radiance Leavein Conditioning Spray 250 Ml Rinsefree Conditioner For Colored Hair</t>
        </is>
      </c>
      <c r="C11757" t="inlineStr">
        <is>
          <t>Leave-In Conditioner</t>
        </is>
      </c>
      <c r="D11757" t="inlineStr">
        <is>
          <t>Londa Professional</t>
        </is>
      </c>
      <c r="E11757" t="n">
        <v>8.44</v>
      </c>
      <c r="F11757" t="n">
        <v>1</v>
      </c>
      <c r="G11757" t="n">
        <v>13</v>
      </c>
      <c r="H11757" s="5">
        <f>HYPERLINK("https://api.qogita.com/variants/link/8005610573632/", "View Product")</f>
        <v/>
      </c>
    </row>
    <row r="11758">
      <c r="A11758" t="inlineStr">
        <is>
          <t>8005610575926</t>
        </is>
      </c>
      <c r="B11758" t="inlineStr">
        <is>
          <t>SP Hydrate Finish Finishing Care Milk 125ml</t>
        </is>
      </c>
      <c r="C11758" t="inlineStr">
        <is>
          <t>Hair Care Sets</t>
        </is>
      </c>
      <c r="D11758" t="inlineStr">
        <is>
          <t>Wella Professionals</t>
        </is>
      </c>
      <c r="E11758" t="n">
        <v>5.74</v>
      </c>
      <c r="F11758" t="n">
        <v>1</v>
      </c>
      <c r="G11758" t="n">
        <v>20</v>
      </c>
      <c r="H11758" s="5">
        <f>HYPERLINK("https://api.qogita.com/variants/link/8005610575926/", "View Product")</f>
        <v/>
      </c>
    </row>
    <row r="11759">
      <c r="A11759" t="inlineStr">
        <is>
          <t>8005610579344</t>
        </is>
      </c>
      <c r="B11759" t="inlineStr">
        <is>
          <t>Sebastian Shaper Fierce Hair Spray 50ml Ultra Strong Finishing Hair Spray</t>
        </is>
      </c>
      <c r="C11759" t="inlineStr">
        <is>
          <t>Hairspray</t>
        </is>
      </c>
      <c r="D11759" t="inlineStr">
        <is>
          <t>Sebastian</t>
        </is>
      </c>
      <c r="E11759" t="n">
        <v>5.13</v>
      </c>
      <c r="F11759" t="n">
        <v>1</v>
      </c>
      <c r="G11759" t="n">
        <v>17</v>
      </c>
      <c r="H11759" s="5">
        <f>HYPERLINK("https://api.qogita.com/variants/link/8005610579344/", "View Product")</f>
        <v/>
      </c>
    </row>
    <row r="11760">
      <c r="A11760" t="inlineStr">
        <is>
          <t>8005610581040</t>
        </is>
      </c>
      <c r="B11760" t="inlineStr">
        <is>
          <t>Sebastian Professional Texture Maker Mineral Spray For Matte Hair Look</t>
        </is>
      </c>
      <c r="C11760" t="inlineStr">
        <is>
          <t>Styling Sprays</t>
        </is>
      </c>
      <c r="D11760" t="inlineStr">
        <is>
          <t>Sebastian Professional</t>
        </is>
      </c>
      <c r="E11760" t="n">
        <v>15.93</v>
      </c>
      <c r="F11760" t="n">
        <v>1</v>
      </c>
      <c r="G11760" t="n">
        <v>2</v>
      </c>
      <c r="H11760" s="5">
        <f>HYPERLINK("https://api.qogita.com/variants/link/8005610581040/", "View Product")</f>
        <v/>
      </c>
    </row>
    <row r="11761">
      <c r="A11761" t="inlineStr">
        <is>
          <t>8005610586892</t>
        </is>
      </c>
      <c r="B11761" t="inlineStr">
        <is>
          <t>Wella Professionals Blondor Freelights 6% Cream Developer - 1000ml</t>
        </is>
      </c>
      <c r="C11761" t="inlineStr">
        <is>
          <t>Bleaching</t>
        </is>
      </c>
      <c r="D11761" t="inlineStr">
        <is>
          <t>Wella Professionals</t>
        </is>
      </c>
      <c r="E11761" t="n">
        <v>7.28</v>
      </c>
      <c r="F11761" t="n">
        <v>1</v>
      </c>
      <c r="G11761" t="n">
        <v>14</v>
      </c>
      <c r="H11761" s="5">
        <f>HYPERLINK("https://api.qogita.com/variants/link/8005610586892/", "View Product")</f>
        <v/>
      </c>
    </row>
    <row r="11762">
      <c r="A11762" t="inlineStr">
        <is>
          <t>8005610587868</t>
        </is>
      </c>
      <c r="B11762" t="inlineStr">
        <is>
          <t>Wella Professionals Eimi Pearl Styler 100ml</t>
        </is>
      </c>
      <c r="C11762" t="inlineStr">
        <is>
          <t>Styling Creams</t>
        </is>
      </c>
      <c r="D11762" t="inlineStr">
        <is>
          <t>Wella Professionals</t>
        </is>
      </c>
      <c r="E11762" t="n">
        <v>7.28</v>
      </c>
      <c r="F11762" t="n">
        <v>1</v>
      </c>
      <c r="G11762" t="n">
        <v>10</v>
      </c>
      <c r="H11762" s="5">
        <f>HYPERLINK("https://api.qogita.com/variants/link/8005610587868/", "View Product")</f>
        <v/>
      </c>
    </row>
    <row r="11763">
      <c r="A11763" t="inlineStr">
        <is>
          <t>8005610588469</t>
        </is>
      </c>
      <c r="B11763" t="inlineStr">
        <is>
          <t>Wella Professionals Eimi Sugar Lift Hair Spray Strong Hold Hair Spray 150ml</t>
        </is>
      </c>
      <c r="C11763" t="inlineStr">
        <is>
          <t>Hairspray</t>
        </is>
      </c>
      <c r="D11763" t="inlineStr">
        <is>
          <t>Wella Professionals</t>
        </is>
      </c>
      <c r="E11763" t="n">
        <v>6.52</v>
      </c>
      <c r="F11763" t="n">
        <v>1</v>
      </c>
      <c r="G11763" t="n">
        <v>32</v>
      </c>
      <c r="H11763" s="5">
        <f>HYPERLINK("https://api.qogita.com/variants/link/8005610588469/", "View Product")</f>
        <v/>
      </c>
    </row>
    <row r="11764">
      <c r="A11764" t="inlineStr">
        <is>
          <t>8005610606057</t>
        </is>
      </c>
      <c r="B11764" t="inlineStr">
        <is>
          <t>Londa Professional Shift It Matt Clay Mattifying Clay For Hair 75 Ml</t>
        </is>
      </c>
      <c r="C11764" t="inlineStr">
        <is>
          <t>Wax</t>
        </is>
      </c>
      <c r="D11764" t="inlineStr">
        <is>
          <t>Londa Professional</t>
        </is>
      </c>
      <c r="E11764" t="n">
        <v>5.07</v>
      </c>
      <c r="F11764" t="n">
        <v>1</v>
      </c>
      <c r="G11764" t="n">
        <v>7</v>
      </c>
      <c r="H11764" s="5">
        <f>HYPERLINK("https://api.qogita.com/variants/link/8005610606057/", "View Product")</f>
        <v/>
      </c>
    </row>
    <row r="11765">
      <c r="A11765" t="inlineStr">
        <is>
          <t>8005610606132</t>
        </is>
      </c>
      <c r="B11765" t="inlineStr">
        <is>
          <t>Londa Professional Lift It Root Mousse Strong Hair Volume Mousse 250ml</t>
        </is>
      </c>
      <c r="C11765" t="inlineStr">
        <is>
          <t>Mousse</t>
        </is>
      </c>
      <c r="D11765" t="inlineStr">
        <is>
          <t>Londa Professional</t>
        </is>
      </c>
      <c r="E11765" t="n">
        <v>7.21</v>
      </c>
      <c r="F11765" t="n">
        <v>1</v>
      </c>
      <c r="G11765" t="n">
        <v>10</v>
      </c>
      <c r="H11765" s="5">
        <f>HYPERLINK("https://api.qogita.com/variants/link/8005610606132/", "View Product")</f>
        <v/>
      </c>
    </row>
    <row r="11766">
      <c r="A11766" t="inlineStr">
        <is>
          <t>8005610606767</t>
        </is>
      </c>
      <c r="B11766" t="inlineStr">
        <is>
          <t>Londa Professional Oxidations Emulsion For Permanent Hair Cream 1000 Ml</t>
        </is>
      </c>
      <c r="C11766" t="inlineStr">
        <is>
          <t>Hair Dye</t>
        </is>
      </c>
      <c r="D11766" t="inlineStr">
        <is>
          <t>Londa Professional</t>
        </is>
      </c>
      <c r="E11766" t="n">
        <v>6.58</v>
      </c>
      <c r="F11766" t="n">
        <v>1</v>
      </c>
      <c r="G11766" t="n">
        <v>7</v>
      </c>
      <c r="H11766" s="5">
        <f>HYPERLINK("https://api.qogita.com/variants/link/8005610606767/", "View Product")</f>
        <v/>
      </c>
    </row>
    <row r="11767">
      <c r="A11767" t="inlineStr">
        <is>
          <t>8005610606804</t>
        </is>
      </c>
      <c r="B11767" t="inlineStr">
        <is>
          <t>Londa Professional Oxidations Emulsion For Permanent Hair Cream 1000 Ml</t>
        </is>
      </c>
      <c r="C11767" t="inlineStr">
        <is>
          <t>Hair Dye</t>
        </is>
      </c>
      <c r="D11767" t="inlineStr">
        <is>
          <t>Londa Professional</t>
        </is>
      </c>
      <c r="E11767" t="n">
        <v>4.63</v>
      </c>
      <c r="F11767" t="n">
        <v>1</v>
      </c>
      <c r="G11767" t="n">
        <v>3</v>
      </c>
      <c r="H11767" s="5">
        <f>HYPERLINK("https://api.qogita.com/variants/link/8005610606804/", "View Product")</f>
        <v/>
      </c>
    </row>
    <row r="11768">
      <c r="A11768" t="inlineStr">
        <is>
          <t>8005610606927</t>
        </is>
      </c>
      <c r="B11768" t="inlineStr">
        <is>
          <t>Londa Professional Coil Up Curl Defining Cream 200ml</t>
        </is>
      </c>
      <c r="C11768" t="inlineStr">
        <is>
          <t>Styling Creams</t>
        </is>
      </c>
      <c r="D11768" t="inlineStr">
        <is>
          <t>Londa</t>
        </is>
      </c>
      <c r="E11768" t="n">
        <v>6.09</v>
      </c>
      <c r="F11768" t="n">
        <v>1</v>
      </c>
      <c r="G11768" t="n">
        <v>17</v>
      </c>
      <c r="H11768" s="5">
        <f>HYPERLINK("https://api.qogita.com/variants/link/8005610606927/", "View Product")</f>
        <v/>
      </c>
    </row>
    <row r="11769">
      <c r="A11769" t="inlineStr">
        <is>
          <t>8005610628073</t>
        </is>
      </c>
      <c r="B11769" t="inlineStr">
        <is>
          <t>Wella Koleston Perfect Me+ Rich Naturals Permanent Hair Colour Cream 10/95 Light Blonde Cendré-Mahogany 60ml</t>
        </is>
      </c>
      <c r="C11769" t="inlineStr">
        <is>
          <t>Hair Dye</t>
        </is>
      </c>
      <c r="D11769" t="inlineStr">
        <is>
          <t>Wella</t>
        </is>
      </c>
      <c r="E11769" t="n">
        <v>6.22</v>
      </c>
      <c r="F11769" t="n">
        <v>1</v>
      </c>
      <c r="G11769" t="n">
        <v>2</v>
      </c>
      <c r="H11769" s="5">
        <f>HYPERLINK("https://api.qogita.com/variants/link/8005610628073/", "View Product")</f>
        <v/>
      </c>
    </row>
    <row r="11770">
      <c r="A11770" t="inlineStr">
        <is>
          <t>8005610628479</t>
        </is>
      </c>
      <c r="B11770" t="inlineStr">
        <is>
          <t>Wella Koleston Perfect Vibrant Reds 5565 Hair Color 60ml</t>
        </is>
      </c>
      <c r="C11770" t="inlineStr">
        <is>
          <t>Hair Dye</t>
        </is>
      </c>
      <c r="D11770" t="inlineStr">
        <is>
          <t>Wella</t>
        </is>
      </c>
      <c r="E11770" t="n">
        <v>6.78</v>
      </c>
      <c r="F11770" t="n">
        <v>1</v>
      </c>
      <c r="G11770" t="n">
        <v>2</v>
      </c>
      <c r="H11770" s="5">
        <f>HYPERLINK("https://api.qogita.com/variants/link/8005610628479/", "View Product")</f>
        <v/>
      </c>
    </row>
    <row r="11771">
      <c r="A11771" t="inlineStr">
        <is>
          <t>8005610628523</t>
        </is>
      </c>
      <c r="B11771" t="inlineStr">
        <is>
          <t>Wella Koleston Perfect Pure Naturals 66/0 Dark Blonde Intense 60ml</t>
        </is>
      </c>
      <c r="C11771" t="inlineStr">
        <is>
          <t>Hair Dye</t>
        </is>
      </c>
      <c r="D11771" t="inlineStr">
        <is>
          <t>Wella</t>
        </is>
      </c>
      <c r="E11771" t="n">
        <v>6.95</v>
      </c>
      <c r="F11771" t="n">
        <v>1</v>
      </c>
      <c r="G11771" t="n">
        <v>2</v>
      </c>
      <c r="H11771" s="5">
        <f>HYPERLINK("https://api.qogita.com/variants/link/8005610628523/", "View Product")</f>
        <v/>
      </c>
    </row>
    <row r="11772">
      <c r="A11772" t="inlineStr">
        <is>
          <t>8005610645650</t>
        </is>
      </c>
      <c r="B11772" t="inlineStr">
        <is>
          <t>Wella Professionals Invigo Volume Boost Crystal Mask 145ml</t>
        </is>
      </c>
      <c r="C11772" t="inlineStr">
        <is>
          <t>Hair Masks</t>
        </is>
      </c>
      <c r="D11772" t="inlineStr">
        <is>
          <t>Wella</t>
        </is>
      </c>
      <c r="E11772" t="n">
        <v>13.02</v>
      </c>
      <c r="F11772" t="n">
        <v>1</v>
      </c>
      <c r="G11772" t="n">
        <v>11</v>
      </c>
      <c r="H11772" s="5">
        <f>HYPERLINK("https://api.qogita.com/variants/link/8005610645650/", "View Product")</f>
        <v/>
      </c>
    </row>
    <row r="11773">
      <c r="A11773" t="inlineStr">
        <is>
          <t>8005610654300</t>
        </is>
      </c>
      <c r="B11773" t="inlineStr">
        <is>
          <t>Wella Professional Koleston Perfect Me Pure Naturals Permanent Hair Color 1000</t>
        </is>
      </c>
      <c r="C11773" t="inlineStr">
        <is>
          <t>Hair Dye</t>
        </is>
      </c>
      <c r="D11773" t="inlineStr">
        <is>
          <t>Wella Professionals</t>
        </is>
      </c>
      <c r="E11773" t="n">
        <v>7.54</v>
      </c>
      <c r="F11773" t="n">
        <v>1</v>
      </c>
      <c r="G11773" t="n">
        <v>3</v>
      </c>
      <c r="H11773" s="5">
        <f>HYPERLINK("https://api.qogita.com/variants/link/8005610654300/", "View Product")</f>
        <v/>
      </c>
    </row>
    <row r="11774">
      <c r="A11774" t="inlineStr">
        <is>
          <t>8005610657202</t>
        </is>
      </c>
      <c r="B11774" t="inlineStr">
        <is>
          <t>Wella Wella Koleston Perfect Rich Naturals 28 60ml</t>
        </is>
      </c>
      <c r="C11774" t="inlineStr">
        <is>
          <t>Hair Dye</t>
        </is>
      </c>
      <c r="D11774" t="inlineStr">
        <is>
          <t>Wella</t>
        </is>
      </c>
      <c r="E11774" t="n">
        <v>6.86</v>
      </c>
      <c r="F11774" t="n">
        <v>1</v>
      </c>
      <c r="G11774" t="n">
        <v>3</v>
      </c>
      <c r="H11774" s="5">
        <f>HYPERLINK("https://api.qogita.com/variants/link/8005610657202/", "View Product")</f>
        <v/>
      </c>
    </row>
    <row r="11775">
      <c r="A11775" t="inlineStr">
        <is>
          <t>8005610658285</t>
        </is>
      </c>
      <c r="B11775" t="inlineStr">
        <is>
          <t>Wella Koleston Perfect Rich Naturals 537 Hair Color 60ml</t>
        </is>
      </c>
      <c r="C11775" t="inlineStr">
        <is>
          <t>Hair Dye</t>
        </is>
      </c>
      <c r="D11775" t="inlineStr">
        <is>
          <t>Wella</t>
        </is>
      </c>
      <c r="E11775" t="n">
        <v>6.16</v>
      </c>
      <c r="F11775" t="n">
        <v>1</v>
      </c>
      <c r="G11775" t="n">
        <v>2</v>
      </c>
      <c r="H11775" s="5">
        <f>HYPERLINK("https://api.qogita.com/variants/link/8005610658285/", "View Product")</f>
        <v/>
      </c>
    </row>
    <row r="11776">
      <c r="A11776" t="inlineStr">
        <is>
          <t>8005610659237</t>
        </is>
      </c>
      <c r="B11776" t="inlineStr">
        <is>
          <t>Wella Koleston Perfect ME+ 60ml 0/11</t>
        </is>
      </c>
      <c r="C11776" t="inlineStr">
        <is>
          <t>Hair Dye</t>
        </is>
      </c>
      <c r="D11776" t="inlineStr">
        <is>
          <t>Wella</t>
        </is>
      </c>
      <c r="E11776" t="n">
        <v>7.54</v>
      </c>
      <c r="F11776" t="n">
        <v>1</v>
      </c>
      <c r="G11776" t="n">
        <v>3</v>
      </c>
      <c r="H11776" s="5">
        <f>HYPERLINK("https://api.qogita.com/variants/link/8005610659237/", "View Product")</f>
        <v/>
      </c>
    </row>
    <row r="11777">
      <c r="A11777" t="inlineStr">
        <is>
          <t>8005610659589</t>
        </is>
      </c>
      <c r="B11777" t="inlineStr">
        <is>
          <t>Wella Professional Koleston Perfect Me Pure Naturals Permanent Hair Color 20</t>
        </is>
      </c>
      <c r="C11777" t="inlineStr">
        <is>
          <t>Hair Dye</t>
        </is>
      </c>
      <c r="D11777" t="inlineStr">
        <is>
          <t>Wella Professionals</t>
        </is>
      </c>
      <c r="E11777" t="n">
        <v>6.52</v>
      </c>
      <c r="F11777" t="n">
        <v>1</v>
      </c>
      <c r="G11777" t="n">
        <v>11</v>
      </c>
      <c r="H11777" s="5">
        <f>HYPERLINK("https://api.qogita.com/variants/link/8005610659589/", "View Product")</f>
        <v/>
      </c>
    </row>
    <row r="11778">
      <c r="A11778" t="inlineStr">
        <is>
          <t>8005610660035</t>
        </is>
      </c>
      <c r="B11778" t="inlineStr">
        <is>
          <t>Wella Professional Koleston Perfect Me Deep Browns Permanent Hair Color 477</t>
        </is>
      </c>
      <c r="C11778" t="inlineStr">
        <is>
          <t>Hair Dye</t>
        </is>
      </c>
      <c r="D11778" t="inlineStr">
        <is>
          <t>Wella Professionals</t>
        </is>
      </c>
      <c r="E11778" t="n">
        <v>7.13</v>
      </c>
      <c r="F11778" t="n">
        <v>1</v>
      </c>
      <c r="G11778" t="n">
        <v>5</v>
      </c>
      <c r="H11778" s="5">
        <f>HYPERLINK("https://api.qogita.com/variants/link/8005610660035/", "View Product")</f>
        <v/>
      </c>
    </row>
    <row r="11779">
      <c r="A11779" t="inlineStr">
        <is>
          <t>8005610661285</t>
        </is>
      </c>
      <c r="B11779" t="inlineStr">
        <is>
          <t>Wella Professional Koleston Perfect Me Vibrant Reds Permanent Hair Color 634</t>
        </is>
      </c>
      <c r="C11779" t="inlineStr">
        <is>
          <t>Hair Dye</t>
        </is>
      </c>
      <c r="D11779" t="inlineStr">
        <is>
          <t>Wella Professionals</t>
        </is>
      </c>
      <c r="E11779" t="n">
        <v>7.84</v>
      </c>
      <c r="F11779" t="n">
        <v>1</v>
      </c>
      <c r="G11779" t="n">
        <v>3</v>
      </c>
      <c r="H11779" s="5">
        <f>HYPERLINK("https://api.qogita.com/variants/link/8005610661285/", "View Product")</f>
        <v/>
      </c>
    </row>
    <row r="11780">
      <c r="A11780" t="inlineStr">
        <is>
          <t>8005610661834</t>
        </is>
      </c>
      <c r="B11780" t="inlineStr">
        <is>
          <t>Wella Professional Koleston Perfect Me Pure Naturals Permanent Hair Color 70</t>
        </is>
      </c>
      <c r="C11780" t="inlineStr">
        <is>
          <t>Hair Dye</t>
        </is>
      </c>
      <c r="D11780" t="inlineStr">
        <is>
          <t>Wella Professionals</t>
        </is>
      </c>
      <c r="E11780" t="n">
        <v>7.03</v>
      </c>
      <c r="F11780" t="n">
        <v>1</v>
      </c>
      <c r="G11780" t="n">
        <v>9</v>
      </c>
      <c r="H11780" s="5">
        <f>HYPERLINK("https://api.qogita.com/variants/link/8005610661834/", "View Product")</f>
        <v/>
      </c>
    </row>
    <row r="11781">
      <c r="A11781" t="inlineStr">
        <is>
          <t>8005610662138</t>
        </is>
      </c>
      <c r="B11781" t="inlineStr">
        <is>
          <t>Wella Koleston Perfect Me+ 7/07 Hair Color 60ml</t>
        </is>
      </c>
      <c r="C11781" t="inlineStr">
        <is>
          <t>Hair Dye</t>
        </is>
      </c>
      <c r="D11781" t="inlineStr">
        <is>
          <t>Wella Professionals</t>
        </is>
      </c>
      <c r="E11781" t="n">
        <v>7.54</v>
      </c>
      <c r="F11781" t="n">
        <v>1</v>
      </c>
      <c r="G11781" t="n">
        <v>3</v>
      </c>
      <c r="H11781" s="5">
        <f>HYPERLINK("https://api.qogita.com/variants/link/8005610662138/", "View Product")</f>
        <v/>
      </c>
    </row>
    <row r="11782">
      <c r="A11782" t="inlineStr">
        <is>
          <t>8005610662534</t>
        </is>
      </c>
      <c r="B11782" t="inlineStr">
        <is>
          <t>Wella Professional Koleston Perfect Me Vibrant Reds Permanent Hair Color 743</t>
        </is>
      </c>
      <c r="C11782" t="inlineStr">
        <is>
          <t>Hair Dye</t>
        </is>
      </c>
      <c r="D11782" t="inlineStr">
        <is>
          <t>Wella Professionals</t>
        </is>
      </c>
      <c r="E11782" t="n">
        <v>6.91</v>
      </c>
      <c r="F11782" t="n">
        <v>1</v>
      </c>
      <c r="G11782" t="n">
        <v>4</v>
      </c>
      <c r="H11782" s="5">
        <f>HYPERLINK("https://api.qogita.com/variants/link/8005610662534/", "View Product")</f>
        <v/>
      </c>
    </row>
    <row r="11783">
      <c r="A11783" t="inlineStr">
        <is>
          <t>8005610663906</t>
        </is>
      </c>
      <c r="B11783" t="inlineStr">
        <is>
          <t>Wella Koleston Perfect Me+ 8/71 60ml</t>
        </is>
      </c>
      <c r="C11783" t="inlineStr">
        <is>
          <t>Hair Dye</t>
        </is>
      </c>
      <c r="D11783" t="inlineStr">
        <is>
          <t>Wella</t>
        </is>
      </c>
      <c r="E11783" t="n">
        <v>6.91</v>
      </c>
      <c r="F11783" t="n">
        <v>1</v>
      </c>
      <c r="G11783" t="n">
        <v>2</v>
      </c>
      <c r="H11783" s="5">
        <f>HYPERLINK("https://api.qogita.com/variants/link/8005610663906/", "View Product")</f>
        <v/>
      </c>
    </row>
    <row r="11784">
      <c r="A11784" t="inlineStr">
        <is>
          <t>8005610664019</t>
        </is>
      </c>
      <c r="B11784" t="inlineStr">
        <is>
          <t>Wella Professional Koleston Perfect Me Deep Browns Permanent Hair Color 874</t>
        </is>
      </c>
      <c r="C11784" t="inlineStr">
        <is>
          <t>Hair Dye</t>
        </is>
      </c>
      <c r="D11784" t="inlineStr">
        <is>
          <t>Wella Professionals</t>
        </is>
      </c>
      <c r="E11784" t="n">
        <v>7.62</v>
      </c>
      <c r="F11784" t="n">
        <v>1</v>
      </c>
      <c r="G11784" t="n">
        <v>4</v>
      </c>
      <c r="H11784" s="5">
        <f>HYPERLINK("https://api.qogita.com/variants/link/8005610664019/", "View Product")</f>
        <v/>
      </c>
    </row>
    <row r="11785">
      <c r="A11785" t="inlineStr">
        <is>
          <t>8005610665092</t>
        </is>
      </c>
      <c r="B11785" t="inlineStr">
        <is>
          <t>Wella Professional Koleston Perfect Me Rich Naturals Permanent Hair Color 996</t>
        </is>
      </c>
      <c r="C11785" t="inlineStr">
        <is>
          <t>Hair Dye</t>
        </is>
      </c>
      <c r="D11785" t="inlineStr">
        <is>
          <t>Wella Professionals</t>
        </is>
      </c>
      <c r="E11785" t="n">
        <v>6.86</v>
      </c>
      <c r="F11785" t="n">
        <v>1</v>
      </c>
      <c r="G11785" t="n">
        <v>3</v>
      </c>
      <c r="H11785" s="5">
        <f>HYPERLINK("https://api.qogita.com/variants/link/8005610665092/", "View Product")</f>
        <v/>
      </c>
    </row>
    <row r="11786">
      <c r="A11786" t="inlineStr">
        <is>
          <t>8005610667362</t>
        </is>
      </c>
      <c r="B11786" t="inlineStr">
        <is>
          <t>Wella Professional Koleston Perfect Me Vibrant Reds Permanent Hair Color 5546</t>
        </is>
      </c>
      <c r="C11786" t="inlineStr">
        <is>
          <t>Hair Dye</t>
        </is>
      </c>
      <c r="D11786" t="inlineStr">
        <is>
          <t>Wella Professionals</t>
        </is>
      </c>
      <c r="E11786" t="n">
        <v>6.91</v>
      </c>
      <c r="F11786" t="n">
        <v>1</v>
      </c>
      <c r="G11786" t="n">
        <v>4</v>
      </c>
      <c r="H11786" s="5">
        <f>HYPERLINK("https://api.qogita.com/variants/link/8005610667362/", "View Product")</f>
        <v/>
      </c>
    </row>
    <row r="11787">
      <c r="A11787" t="inlineStr">
        <is>
          <t>8005610667416</t>
        </is>
      </c>
      <c r="B11787" t="inlineStr">
        <is>
          <t>Wella 55/55 Koleston Perfect ME+ Hair Colouring 60ml</t>
        </is>
      </c>
      <c r="C11787" t="inlineStr">
        <is>
          <t>Hair Dye</t>
        </is>
      </c>
      <c r="D11787" t="inlineStr">
        <is>
          <t>Wella</t>
        </is>
      </c>
      <c r="E11787" t="n">
        <v>6.91</v>
      </c>
      <c r="F11787" t="n">
        <v>1</v>
      </c>
      <c r="G11787" t="n">
        <v>3</v>
      </c>
      <c r="H11787" s="5">
        <f>HYPERLINK("https://api.qogita.com/variants/link/8005610667416/", "View Product")</f>
        <v/>
      </c>
    </row>
    <row r="11788">
      <c r="A11788" t="inlineStr">
        <is>
          <t>8005610685342</t>
        </is>
      </c>
      <c r="B11788" t="inlineStr">
        <is>
          <t>Londa Dye Accessory 500g</t>
        </is>
      </c>
      <c r="C11788" t="inlineStr">
        <is>
          <t>Hair Dye</t>
        </is>
      </c>
      <c r="D11788" t="inlineStr">
        <is>
          <t>Londa</t>
        </is>
      </c>
      <c r="E11788" t="n">
        <v>16.28</v>
      </c>
      <c r="F11788" t="n">
        <v>1</v>
      </c>
      <c r="G11788" t="n">
        <v>5</v>
      </c>
      <c r="H11788" s="5">
        <f>HYPERLINK("https://api.qogita.com/variants/link/8005610685342/", "View Product")</f>
        <v/>
      </c>
    </row>
    <row r="11789">
      <c r="A11789" t="inlineStr">
        <is>
          <t>8006540150450</t>
        </is>
      </c>
      <c r="B11789" t="inlineStr">
        <is>
          <t>King Softening Balm (Soft Beard Balm) 100 ml</t>
        </is>
      </c>
      <c r="C11789" t="inlineStr">
        <is>
          <t>Beard Care Accessories</t>
        </is>
      </c>
      <c r="D11789" t="inlineStr">
        <is>
          <t>Gillette</t>
        </is>
      </c>
      <c r="E11789" t="n">
        <v>8.94</v>
      </c>
      <c r="F11789" t="n">
        <v>1</v>
      </c>
      <c r="G11789" t="n">
        <v>42</v>
      </c>
      <c r="H11789" s="5">
        <f>HYPERLINK("https://api.qogita.com/variants/link/8006540150450/", "View Product")</f>
        <v/>
      </c>
    </row>
    <row r="11790">
      <c r="A11790" t="inlineStr">
        <is>
          <t>8006540731321</t>
        </is>
      </c>
      <c r="B11790" t="inlineStr">
        <is>
          <t>Oral B Io Series 3 Ice Blue Electric Toothbrush</t>
        </is>
      </c>
      <c r="C11790" t="inlineStr">
        <is>
          <t>Electric Toothbrushes</t>
        </is>
      </c>
      <c r="D11790" t="inlineStr">
        <is>
          <t>Oral-B</t>
        </is>
      </c>
      <c r="E11790" t="n">
        <v>69.22</v>
      </c>
      <c r="F11790" t="n">
        <v>1</v>
      </c>
      <c r="G11790" t="n">
        <v>3</v>
      </c>
      <c r="H11790" s="5">
        <f>HYPERLINK("https://api.qogita.com/variants/link/8006540731321/", "View Product")</f>
        <v/>
      </c>
    </row>
    <row r="11791">
      <c r="A11791" t="inlineStr">
        <is>
          <t>8006540773567</t>
        </is>
      </c>
      <c r="B11791" t="inlineStr">
        <is>
          <t>Vitality Pro Kids Spiderman Electric Toothbrush with Travel Case</t>
        </is>
      </c>
      <c r="C11791" t="inlineStr">
        <is>
          <t>Electric Toothbrushes</t>
        </is>
      </c>
      <c r="D11791" t="inlineStr">
        <is>
          <t>Oral-B</t>
        </is>
      </c>
      <c r="E11791" t="n">
        <v>43.69</v>
      </c>
      <c r="F11791" t="n">
        <v>1</v>
      </c>
      <c r="G11791" t="n">
        <v>12</v>
      </c>
      <c r="H11791" s="5">
        <f>HYPERLINK("https://api.qogita.com/variants/link/8006540773567/", "View Product")</f>
        <v/>
      </c>
    </row>
    <row r="11792">
      <c r="A11792" t="inlineStr">
        <is>
          <t>8006540804087</t>
        </is>
      </c>
      <c r="B11792" t="inlineStr">
        <is>
          <t>Oral-B Pro Kids Electric Toothbrush Head with Disney Frozen Characters Extra Soft Bristles - Pack of 4</t>
        </is>
      </c>
      <c r="C11792" t="inlineStr">
        <is>
          <t>Electric Toothbrushes</t>
        </is>
      </c>
      <c r="D11792" t="inlineStr">
        <is>
          <t>Oral-B</t>
        </is>
      </c>
      <c r="E11792" t="n">
        <v>19.01</v>
      </c>
      <c r="F11792" t="n">
        <v>1</v>
      </c>
      <c r="G11792" t="n">
        <v>3</v>
      </c>
      <c r="H11792" s="5">
        <f>HYPERLINK("https://api.qogita.com/variants/link/8006540804087/", "View Product")</f>
        <v/>
      </c>
    </row>
    <row r="11793">
      <c r="A11793" t="inlineStr">
        <is>
          <t>8006540805237</t>
        </is>
      </c>
      <c r="B11793" t="inlineStr">
        <is>
          <t>Oral-B Kids Brush Heads Spider-Man 4ml</t>
        </is>
      </c>
      <c r="C11793" t="inlineStr">
        <is>
          <t>Dental Care For Children</t>
        </is>
      </c>
      <c r="D11793" t="inlineStr">
        <is>
          <t>Oral-B</t>
        </is>
      </c>
      <c r="E11793" t="n">
        <v>17.17</v>
      </c>
      <c r="F11793" t="n">
        <v>1</v>
      </c>
      <c r="G11793" t="n">
        <v>19</v>
      </c>
      <c r="H11793" s="5">
        <f>HYPERLINK("https://api.qogita.com/variants/link/8006540805237/", "View Product")</f>
        <v/>
      </c>
    </row>
    <row r="11794">
      <c r="A11794" t="inlineStr">
        <is>
          <t>8006540810675</t>
        </is>
      </c>
      <c r="B11794" t="inlineStr">
        <is>
          <t>Head &amp; Shoulders Citrus Fresh Anti Dandruff Shampoo and Conditioner for Greasy Hair 400ml</t>
        </is>
      </c>
      <c r="C11794" t="inlineStr">
        <is>
          <t>Shampoo</t>
        </is>
      </c>
      <c r="D11794" t="inlineStr">
        <is>
          <t>Head And Shoulders</t>
        </is>
      </c>
      <c r="E11794" t="n">
        <v>6.4</v>
      </c>
      <c r="F11794" t="n">
        <v>1</v>
      </c>
      <c r="G11794" t="n">
        <v>5</v>
      </c>
      <c r="H11794" s="5">
        <f>HYPERLINK("https://api.qogita.com/variants/link/8006540810675/", "View Product")</f>
        <v/>
      </c>
    </row>
    <row r="11795">
      <c r="A11795" t="inlineStr">
        <is>
          <t>8006540848036</t>
        </is>
      </c>
      <c r="B11795" t="inlineStr">
        <is>
          <t>Oral-B Replaceable toothbrush heads EB60X-8 Sensitive Clean Pro Heads</t>
        </is>
      </c>
      <c r="C11795" t="inlineStr">
        <is>
          <t>Toothbrushes &amp; Tongue Cleaners</t>
        </is>
      </c>
      <c r="D11795" t="inlineStr">
        <is>
          <t>Oral-B</t>
        </is>
      </c>
      <c r="E11795" t="n">
        <v>39.79</v>
      </c>
      <c r="F11795" t="n">
        <v>1</v>
      </c>
      <c r="G11795" t="n">
        <v>3</v>
      </c>
      <c r="H11795" s="5">
        <f>HYPERLINK("https://api.qogita.com/variants/link/8006540848036/", "View Product")</f>
        <v/>
      </c>
    </row>
    <row r="11796">
      <c r="A11796" t="inlineStr">
        <is>
          <t>8006540893296</t>
        </is>
      </c>
      <c r="B11796" t="inlineStr">
        <is>
          <t>Oral B Oralb Pro Cross Action Toothbrush Heads White 10 Counts</t>
        </is>
      </c>
      <c r="C11796" t="inlineStr">
        <is>
          <t>Toothbrushes &amp; Tongue Cleaners</t>
        </is>
      </c>
      <c r="D11796" t="inlineStr">
        <is>
          <t>Oral-B</t>
        </is>
      </c>
      <c r="E11796" t="n">
        <v>27.25</v>
      </c>
      <c r="F11796" t="n">
        <v>1</v>
      </c>
      <c r="G11796" t="n">
        <v>3</v>
      </c>
      <c r="H11796" s="5">
        <f>HYPERLINK("https://api.qogita.com/variants/link/8006540893296/", "View Product")</f>
        <v/>
      </c>
    </row>
    <row r="11797">
      <c r="A11797" t="inlineStr">
        <is>
          <t>8006540955871</t>
        </is>
      </c>
      <c r="B11797" t="inlineStr">
        <is>
          <t>Old Spice Deep Sea Deodorant Stick For Men 85ml</t>
        </is>
      </c>
      <c r="C11797" t="inlineStr">
        <is>
          <t>Deodorant &amp; Anti-Perspirant</t>
        </is>
      </c>
      <c r="D11797" t="inlineStr">
        <is>
          <t>Old Spice</t>
        </is>
      </c>
      <c r="E11797" t="n">
        <v>8.31</v>
      </c>
      <c r="F11797" t="n">
        <v>1</v>
      </c>
      <c r="G11797" t="n">
        <v>26</v>
      </c>
      <c r="H11797" s="5">
        <f>HYPERLINK("https://api.qogita.com/variants/link/8006540955871/", "View Product")</f>
        <v/>
      </c>
    </row>
    <row r="11798">
      <c r="A11798" t="inlineStr">
        <is>
          <t>8006540989197</t>
        </is>
      </c>
      <c r="B11798" t="inlineStr">
        <is>
          <t>Gillette Fusion 5 Manual Replacement Heads 8 Pieces</t>
        </is>
      </c>
      <c r="C11798" t="inlineStr">
        <is>
          <t>Razors &amp; Hair Removal Tools</t>
        </is>
      </c>
      <c r="D11798" t="inlineStr">
        <is>
          <t>Gillette</t>
        </is>
      </c>
      <c r="E11798" t="n">
        <v>42.3</v>
      </c>
      <c r="F11798" t="n">
        <v>1</v>
      </c>
      <c r="G11798" t="n">
        <v>5</v>
      </c>
      <c r="H11798" s="5">
        <f>HYPERLINK("https://api.qogita.com/variants/link/8006540989197/", "View Product")</f>
        <v/>
      </c>
    </row>
    <row r="11799">
      <c r="A11799" t="inlineStr">
        <is>
          <t>8007033784749</t>
        </is>
      </c>
      <c r="B11799" t="inlineStr">
        <is>
          <t>Cielo Eau De Toilette Spray 120ml</t>
        </is>
      </c>
      <c r="C11799" t="inlineStr">
        <is>
          <t>Eau De Toilette</t>
        </is>
      </c>
      <c r="D11799" t="inlineStr">
        <is>
          <t>Byblos</t>
        </is>
      </c>
      <c r="E11799" t="n">
        <v>8.720000000000001</v>
      </c>
      <c r="F11799" t="n">
        <v>1</v>
      </c>
      <c r="G11799" t="n">
        <v>10</v>
      </c>
      <c r="H11799" s="5">
        <f>HYPERLINK("https://api.qogita.com/variants/link/8007033784749/", "View Product")</f>
        <v/>
      </c>
    </row>
    <row r="11800">
      <c r="A11800" t="inlineStr">
        <is>
          <t>8007033788198</t>
        </is>
      </c>
      <c r="B11800" t="inlineStr">
        <is>
          <t>Byblos Eau de Toilette 120ml</t>
        </is>
      </c>
      <c r="C11800" t="inlineStr">
        <is>
          <t>Eau De Toilette</t>
        </is>
      </c>
      <c r="D11800" t="inlineStr">
        <is>
          <t>Byblos</t>
        </is>
      </c>
      <c r="E11800" t="n">
        <v>11.34</v>
      </c>
      <c r="F11800" t="n">
        <v>1</v>
      </c>
      <c r="G11800" t="n">
        <v>2</v>
      </c>
      <c r="H11800" s="5">
        <f>HYPERLINK("https://api.qogita.com/variants/link/8007033788198/", "View Product")</f>
        <v/>
      </c>
    </row>
    <row r="11801">
      <c r="A11801" t="inlineStr">
        <is>
          <t>8007403115081</t>
        </is>
      </c>
      <c r="B11801" t="inlineStr">
        <is>
          <t>Bellissima Magic Straight Pb5 Hair Straightener</t>
        </is>
      </c>
      <c r="C11801" t="inlineStr">
        <is>
          <t>Hair Straighteners</t>
        </is>
      </c>
      <c r="D11801" t="inlineStr">
        <is>
          <t>Bellissima</t>
        </is>
      </c>
      <c r="E11801" t="n">
        <v>42.01</v>
      </c>
      <c r="F11801" t="n">
        <v>1</v>
      </c>
      <c r="G11801" t="n">
        <v>2</v>
      </c>
      <c r="H11801" s="5">
        <f>HYPERLINK("https://api.qogita.com/variants/link/8007403115081/", "View Product")</f>
        <v/>
      </c>
    </row>
    <row r="11802">
      <c r="A11802" t="inlineStr">
        <is>
          <t>8007403115203</t>
        </is>
      </c>
      <c r="B11802" t="inlineStr">
        <is>
          <t>Bellissima S9 2200 Hair Dryer and Styler with Precision 2200W 8 Airflow Temperature Combinations Precision Fall Cold Air</t>
        </is>
      </c>
      <c r="C11802" t="inlineStr">
        <is>
          <t>Hair Dryers</t>
        </is>
      </c>
      <c r="D11802" t="inlineStr">
        <is>
          <t>Bellissima</t>
        </is>
      </c>
      <c r="E11802" t="n">
        <v>33.57</v>
      </c>
      <c r="F11802" t="n">
        <v>1</v>
      </c>
      <c r="G11802" t="n">
        <v>2</v>
      </c>
      <c r="H11802" s="5">
        <f>HYPERLINK("https://api.qogita.com/variants/link/8007403115203/", "View Product")</f>
        <v/>
      </c>
    </row>
    <row r="11803">
      <c r="A11803" t="inlineStr">
        <is>
          <t>8007403117474</t>
        </is>
      </c>
      <c r="B11803" t="inlineStr">
        <is>
          <t>Bellissima My Pro Miracle Wave GH19 1100 Forming Airbrush, Creates Soft and Natural Waves with Hair Protection, Automatic Rotation</t>
        </is>
      </c>
      <c r="C11803" t="inlineStr">
        <is>
          <t>Curling Irons</t>
        </is>
      </c>
      <c r="D11803" t="inlineStr">
        <is>
          <t>Bellissima</t>
        </is>
      </c>
      <c r="E11803" t="n">
        <v>59.56</v>
      </c>
      <c r="F11803" t="n">
        <v>1</v>
      </c>
      <c r="G11803" t="n">
        <v>5</v>
      </c>
      <c r="H11803" s="5">
        <f>HYPERLINK("https://api.qogita.com/variants/link/8007403117474/", "View Product")</f>
        <v/>
      </c>
    </row>
    <row r="11804">
      <c r="A11804" t="inlineStr">
        <is>
          <t>8007403118112</t>
        </is>
      </c>
      <c r="B11804" t="inlineStr">
        <is>
          <t>Bellissima Creativity B15 50 Hair Straightener with Nanoceramic Coating and Temperature Control 140-230°C</t>
        </is>
      </c>
      <c r="C11804" t="inlineStr">
        <is>
          <t>Hair Straighteners</t>
        </is>
      </c>
      <c r="D11804" t="inlineStr">
        <is>
          <t>Bellissima</t>
        </is>
      </c>
      <c r="E11804" t="n">
        <v>33.57</v>
      </c>
      <c r="F11804" t="n">
        <v>1</v>
      </c>
      <c r="G11804" t="n">
        <v>5</v>
      </c>
      <c r="H11804" s="5">
        <f>HYPERLINK("https://api.qogita.com/variants/link/8007403118112/", "View Product")</f>
        <v/>
      </c>
    </row>
    <row r="11805">
      <c r="A11805" t="inlineStr">
        <is>
          <t>8007403118266</t>
        </is>
      </c>
      <c r="B11805" t="inlineStr">
        <is>
          <t>Bellissima Creativity 4 You Professional Hair Dryer with 4 Accessories Diffuser Intelligent Temperature Control Ion Technology Beauty Bag 2 Speeds 3 Temperatures 1800W</t>
        </is>
      </c>
      <c r="C11805" t="inlineStr">
        <is>
          <t>Hair Dryers</t>
        </is>
      </c>
      <c r="D11805" t="inlineStr">
        <is>
          <t>Bellissima</t>
        </is>
      </c>
      <c r="E11805" t="n">
        <v>132.33</v>
      </c>
      <c r="F11805" t="n">
        <v>1</v>
      </c>
      <c r="G11805" t="n">
        <v>3</v>
      </c>
      <c r="H11805" s="5">
        <f>HYPERLINK("https://api.qogita.com/variants/link/8007403118266/", "View Product")</f>
        <v/>
      </c>
    </row>
    <row r="11806">
      <c r="A11806" t="inlineStr">
        <is>
          <t>8007403118556</t>
        </is>
      </c>
      <c r="B11806" t="inlineStr">
        <is>
          <t>Bellissima Sublime Curls 11855 Curling Iron For Soft And Defined Curls</t>
        </is>
      </c>
      <c r="C11806" t="inlineStr">
        <is>
          <t>Curling Irons</t>
        </is>
      </c>
      <c r="D11806" t="inlineStr">
        <is>
          <t>Bellissima</t>
        </is>
      </c>
      <c r="E11806" t="n">
        <v>46.22</v>
      </c>
      <c r="F11806" t="n">
        <v>1</v>
      </c>
      <c r="G11806" t="n">
        <v>2</v>
      </c>
      <c r="H11806" s="5">
        <f>HYPERLINK("https://api.qogita.com/variants/link/8007403118556/", "View Product")</f>
        <v/>
      </c>
    </row>
    <row r="11807">
      <c r="A11807" t="inlineStr">
        <is>
          <t>8007403118594</t>
        </is>
      </c>
      <c r="B11807" t="inlineStr">
        <is>
          <t>Imetec Bellis.IONI Ultra SPE 2200W</t>
        </is>
      </c>
      <c r="C11807" t="inlineStr">
        <is>
          <t>Massage</t>
        </is>
      </c>
      <c r="D11807" t="inlineStr">
        <is>
          <t>Imetec</t>
        </is>
      </c>
      <c r="E11807" t="n">
        <v>63.26</v>
      </c>
      <c r="F11807" t="n">
        <v>1</v>
      </c>
      <c r="G11807" t="n">
        <v>4</v>
      </c>
      <c r="H11807" s="5">
        <f>HYPERLINK("https://api.qogita.com/variants/link/8007403118594/", "View Product")</f>
        <v/>
      </c>
    </row>
    <row r="11808">
      <c r="A11808" t="inlineStr">
        <is>
          <t>8007403118754</t>
        </is>
      </c>
      <c r="B11808" t="inlineStr">
        <is>
          <t>Bellissima Creativity Ion 11875 Hair Straightener</t>
        </is>
      </c>
      <c r="C11808" t="inlineStr">
        <is>
          <t>Hair Straighteners</t>
        </is>
      </c>
      <c r="D11808" t="inlineStr">
        <is>
          <t>Bellissima</t>
        </is>
      </c>
      <c r="E11808" t="n">
        <v>67.52</v>
      </c>
      <c r="F11808" t="n">
        <v>1</v>
      </c>
      <c r="G11808" t="n">
        <v>3</v>
      </c>
      <c r="H11808" s="5">
        <f>HYPERLINK("https://api.qogita.com/variants/link/8007403118754/", "View Product")</f>
        <v/>
      </c>
    </row>
    <row r="11809">
      <c r="A11809" t="inlineStr">
        <is>
          <t>8007403118785</t>
        </is>
      </c>
      <c r="B11809" t="inlineStr">
        <is>
          <t>Bellissima XL ION Straightener for Long and Kinky Hair Wide Plates Ceramic &amp; Keratin Coating Ion Care Technology 5 Adjustable Temperatures Thermo Control Protection</t>
        </is>
      </c>
      <c r="C11809" t="inlineStr">
        <is>
          <t>Hair Straighteners</t>
        </is>
      </c>
      <c r="D11809" t="inlineStr">
        <is>
          <t>Bellissima</t>
        </is>
      </c>
      <c r="E11809" t="n">
        <v>63.26</v>
      </c>
      <c r="F11809" t="n">
        <v>1</v>
      </c>
      <c r="G11809" t="n">
        <v>4</v>
      </c>
      <c r="H11809" s="5">
        <f>HYPERLINK("https://api.qogita.com/variants/link/8007403118785/", "View Product")</f>
        <v/>
      </c>
    </row>
    <row r="11810">
      <c r="A11810" t="inlineStr">
        <is>
          <t>8008277261478</t>
        </is>
      </c>
      <c r="B11810" t="inlineStr">
        <is>
          <t>Inebrya Blondesse Blonde Miracle Nectar Antipollution Booster Treatment For Blonde Hair</t>
        </is>
      </c>
      <c r="C11810" t="inlineStr">
        <is>
          <t>Hair Oil &amp; Hair Serum</t>
        </is>
      </c>
      <c r="D11810" t="inlineStr">
        <is>
          <t>Inebrya</t>
        </is>
      </c>
      <c r="E11810" t="n">
        <v>12.67</v>
      </c>
      <c r="F11810" t="n">
        <v>1</v>
      </c>
      <c r="G11810" t="n">
        <v>2</v>
      </c>
      <c r="H11810" s="5">
        <f>HYPERLINK("https://api.qogita.com/variants/link/8008277261478/", "View Product")</f>
        <v/>
      </c>
    </row>
    <row r="11811">
      <c r="A11811" t="inlineStr">
        <is>
          <t>8008277261485</t>
        </is>
      </c>
      <c r="B11811" t="inlineStr">
        <is>
          <t>Inebrya Blondesse Blonde Miracle Nectar Treatment Antipollution Booster Treatment For Blonde Hair</t>
        </is>
      </c>
      <c r="C11811" t="inlineStr">
        <is>
          <t>Hair Oil &amp; Hair Serum</t>
        </is>
      </c>
      <c r="D11811" t="inlineStr">
        <is>
          <t>Inebrya</t>
        </is>
      </c>
      <c r="E11811" t="n">
        <v>24.22</v>
      </c>
      <c r="F11811" t="n">
        <v>1</v>
      </c>
      <c r="G11811" t="n">
        <v>4</v>
      </c>
      <c r="H11811" s="5">
        <f>HYPERLINK("https://api.qogita.com/variants/link/8008277261485/", "View Product")</f>
        <v/>
      </c>
    </row>
    <row r="11812">
      <c r="A11812" t="inlineStr">
        <is>
          <t>8008277261751</t>
        </is>
      </c>
      <c r="B11812" t="inlineStr">
        <is>
          <t>Inebrya Blonde Miracle Post-Bleach Treatment</t>
        </is>
      </c>
      <c r="C11812" t="inlineStr">
        <is>
          <t>Conditioner</t>
        </is>
      </c>
      <c r="D11812" t="inlineStr">
        <is>
          <t>Inebrya</t>
        </is>
      </c>
      <c r="E11812" t="n">
        <v>10.57</v>
      </c>
      <c r="F11812" t="n">
        <v>1</v>
      </c>
      <c r="G11812" t="n">
        <v>2</v>
      </c>
      <c r="H11812" s="5">
        <f>HYPERLINK("https://api.qogita.com/variants/link/8008277261751/", "View Product")</f>
        <v/>
      </c>
    </row>
    <row r="11813">
      <c r="A11813" t="inlineStr">
        <is>
          <t>8008277262376</t>
        </is>
      </c>
      <c r="B11813" t="inlineStr">
        <is>
          <t>Inebrya Blondesse Noyellow Antiyellow Mask For Blonde Bleached Or Gray Hair</t>
        </is>
      </c>
      <c r="C11813" t="inlineStr">
        <is>
          <t>Hair Masks</t>
        </is>
      </c>
      <c r="D11813" t="inlineStr">
        <is>
          <t>Inebrya</t>
        </is>
      </c>
      <c r="E11813" t="n">
        <v>22.88</v>
      </c>
      <c r="F11813" t="n">
        <v>1</v>
      </c>
      <c r="G11813" t="n">
        <v>28</v>
      </c>
      <c r="H11813" s="5">
        <f>HYPERLINK("https://api.qogita.com/variants/link/8008277262376/", "View Product")</f>
        <v/>
      </c>
    </row>
    <row r="11814">
      <c r="A11814" t="inlineStr">
        <is>
          <t>8008277262680</t>
        </is>
      </c>
      <c r="B11814" t="inlineStr">
        <is>
          <t>Inebrya Volumizing Powder 30ml - New</t>
        </is>
      </c>
      <c r="C11814" t="inlineStr">
        <is>
          <t>Volume Powder</t>
        </is>
      </c>
      <c r="D11814" t="inlineStr">
        <is>
          <t>Inebrya</t>
        </is>
      </c>
      <c r="E11814" t="n">
        <v>6.7</v>
      </c>
      <c r="F11814" t="n">
        <v>1</v>
      </c>
      <c r="G11814" t="n">
        <v>5</v>
      </c>
      <c r="H11814" s="5">
        <f>HYPERLINK("https://api.qogita.com/variants/link/8008277262680/", "View Product")</f>
        <v/>
      </c>
    </row>
    <row r="11815">
      <c r="A11815" t="inlineStr">
        <is>
          <t>8008277262697</t>
        </is>
      </c>
      <c r="B11815" t="inlineStr">
        <is>
          <t>Inebrya Salt Spray 200ml</t>
        </is>
      </c>
      <c r="C11815" t="inlineStr">
        <is>
          <t>Styling Sprays</t>
        </is>
      </c>
      <c r="D11815" t="inlineStr">
        <is>
          <t>Inebrya</t>
        </is>
      </c>
      <c r="E11815" t="n">
        <v>12.28</v>
      </c>
      <c r="F11815" t="n">
        <v>1</v>
      </c>
      <c r="G11815" t="n">
        <v>12</v>
      </c>
      <c r="H11815" s="5">
        <f>HYPERLINK("https://api.qogita.com/variants/link/8008277262697/", "View Product")</f>
        <v/>
      </c>
    </row>
    <row r="11816">
      <c r="A11816" t="inlineStr">
        <is>
          <t>8008277262734</t>
        </is>
      </c>
      <c r="B11816" t="inlineStr">
        <is>
          <t>Shecare Inebrya Brightening Repair Shampoo 300ml</t>
        </is>
      </c>
      <c r="C11816" t="inlineStr">
        <is>
          <t>Shampoo</t>
        </is>
      </c>
      <c r="D11816" t="inlineStr">
        <is>
          <t>Inebrya</t>
        </is>
      </c>
      <c r="E11816" t="n">
        <v>10.36</v>
      </c>
      <c r="F11816" t="n">
        <v>1</v>
      </c>
      <c r="G11816" t="n">
        <v>2</v>
      </c>
      <c r="H11816" s="5">
        <f>HYPERLINK("https://api.qogita.com/variants/link/8008277262734/", "View Product")</f>
        <v/>
      </c>
    </row>
    <row r="11817">
      <c r="A11817" t="inlineStr">
        <is>
          <t>8008277262741</t>
        </is>
      </c>
      <c r="B11817" t="inlineStr">
        <is>
          <t>Shecare Repair Shampoo Brightening And Repairing Shampoo For Chemically Damaged Hair 1000ml</t>
        </is>
      </c>
      <c r="C11817" t="inlineStr">
        <is>
          <t>Shampoo</t>
        </is>
      </c>
      <c r="D11817" t="inlineStr">
        <is>
          <t>Shecare</t>
        </is>
      </c>
      <c r="E11817" t="n">
        <v>21.73</v>
      </c>
      <c r="F11817" t="n">
        <v>1</v>
      </c>
      <c r="G11817" t="n">
        <v>5</v>
      </c>
      <c r="H11817" s="5">
        <f>HYPERLINK("https://api.qogita.com/variants/link/8008277262741/", "View Product")</f>
        <v/>
      </c>
    </row>
    <row r="11818">
      <c r="A11818" t="inlineStr">
        <is>
          <t>8008277263090</t>
        </is>
      </c>
      <c r="B11818" t="inlineStr">
        <is>
          <t>Inebrya Ice Cream Keratin Restructuring Shampoo For Hair With Keratin 300ml</t>
        </is>
      </c>
      <c r="C11818" t="inlineStr">
        <is>
          <t>Shampoo</t>
        </is>
      </c>
      <c r="D11818" t="inlineStr">
        <is>
          <t>Inebrya</t>
        </is>
      </c>
      <c r="E11818" t="n">
        <v>4.39</v>
      </c>
      <c r="F11818" t="n">
        <v>1</v>
      </c>
      <c r="G11818" t="n">
        <v>3</v>
      </c>
      <c r="H11818" s="5">
        <f>HYPERLINK("https://api.qogita.com/variants/link/8008277263090/", "View Product")</f>
        <v/>
      </c>
    </row>
    <row r="11819">
      <c r="A11819" t="inlineStr">
        <is>
          <t>8008277263175</t>
        </is>
      </c>
      <c r="B11819" t="inlineStr">
        <is>
          <t>Inebrya Ice Cream Keratin Restructuring Serum 100ml</t>
        </is>
      </c>
      <c r="C11819" t="inlineStr">
        <is>
          <t>Hair Oil &amp; Hair Serum</t>
        </is>
      </c>
      <c r="D11819" t="inlineStr">
        <is>
          <t>Inebrya</t>
        </is>
      </c>
      <c r="E11819" t="n">
        <v>22.11</v>
      </c>
      <c r="F11819" t="n">
        <v>1</v>
      </c>
      <c r="G11819" t="n">
        <v>16</v>
      </c>
      <c r="H11819" s="5">
        <f>HYPERLINK("https://api.qogita.com/variants/link/8008277263175/", "View Product")</f>
        <v/>
      </c>
    </row>
    <row r="11820">
      <c r="A11820" t="inlineStr">
        <is>
          <t>8008277263205</t>
        </is>
      </c>
      <c r="B11820" t="inlineStr">
        <is>
          <t>Inebrya Dry T Moisturizing Dry Shampoo For Hair 300ml</t>
        </is>
      </c>
      <c r="C11820" t="inlineStr">
        <is>
          <t>Dry Shampoo</t>
        </is>
      </c>
      <c r="D11820" t="inlineStr">
        <is>
          <t>Inebrya</t>
        </is>
      </c>
      <c r="E11820" t="n">
        <v>3.92</v>
      </c>
      <c r="F11820" t="n">
        <v>1</v>
      </c>
      <c r="G11820" t="n">
        <v>7</v>
      </c>
      <c r="H11820" s="5">
        <f>HYPERLINK("https://api.qogita.com/variants/link/8008277263205/", "View Product")</f>
        <v/>
      </c>
    </row>
    <row r="11821">
      <c r="A11821" t="inlineStr">
        <is>
          <t>8008277263298</t>
        </is>
      </c>
      <c r="B11821" t="inlineStr">
        <is>
          <t>Inebrya Ice Cream Pro-Age Shining Shampoo With Argan Oil 300ml</t>
        </is>
      </c>
      <c r="C11821" t="inlineStr">
        <is>
          <t>Shampoo</t>
        </is>
      </c>
      <c r="D11821" t="inlineStr">
        <is>
          <t>Inebrya</t>
        </is>
      </c>
      <c r="E11821" t="n">
        <v>9.199999999999999</v>
      </c>
      <c r="F11821" t="n">
        <v>1</v>
      </c>
      <c r="G11821" t="n">
        <v>5</v>
      </c>
      <c r="H11821" s="5">
        <f>HYPERLINK("https://api.qogita.com/variants/link/8008277263298/", "View Product")</f>
        <v/>
      </c>
    </row>
    <row r="11822">
      <c r="A11822" t="inlineStr">
        <is>
          <t>8008277263328</t>
        </is>
      </c>
      <c r="B11822" t="inlineStr">
        <is>
          <t>Inebrya Ice Cream Pro-Age Glossing Mask With Argan Oil 300ml</t>
        </is>
      </c>
      <c r="C11822" t="inlineStr">
        <is>
          <t>Hair Masks</t>
        </is>
      </c>
      <c r="D11822" t="inlineStr">
        <is>
          <t>Inebrya</t>
        </is>
      </c>
      <c r="E11822" t="n">
        <v>11.51</v>
      </c>
      <c r="F11822" t="n">
        <v>1</v>
      </c>
      <c r="G11822" t="n">
        <v>5</v>
      </c>
      <c r="H11822" s="5">
        <f>HYPERLINK("https://api.qogita.com/variants/link/8008277263328/", "View Product")</f>
        <v/>
      </c>
    </row>
    <row r="11823">
      <c r="A11823" t="inlineStr">
        <is>
          <t>8008277263359</t>
        </is>
      </c>
      <c r="B11823" t="inlineStr">
        <is>
          <t>Inebrya Ice Cream Argan Age Frizzfree Spray 100 Ml</t>
        </is>
      </c>
      <c r="C11823" t="inlineStr">
        <is>
          <t>Hair Oil &amp; Hair Serum</t>
        </is>
      </c>
      <c r="D11823" t="inlineStr">
        <is>
          <t>Inebrya</t>
        </is>
      </c>
      <c r="E11823" t="n">
        <v>12.23</v>
      </c>
      <c r="F11823" t="n">
        <v>1</v>
      </c>
      <c r="G11823" t="n">
        <v>2</v>
      </c>
      <c r="H11823" s="5">
        <f>HYPERLINK("https://api.qogita.com/variants/link/8008277263359/", "View Product")</f>
        <v/>
      </c>
    </row>
    <row r="11824">
      <c r="A11824" t="inlineStr">
        <is>
          <t>8008277263564</t>
        </is>
      </c>
      <c r="B11824" t="inlineStr">
        <is>
          <t>Inebrya Ice Cream Liss Perfect Smoothing Shampoo 1000ml</t>
        </is>
      </c>
      <c r="C11824" t="inlineStr">
        <is>
          <t>Shampoo</t>
        </is>
      </c>
      <c r="D11824" t="inlineStr">
        <is>
          <t>Inebrya</t>
        </is>
      </c>
      <c r="E11824" t="n">
        <v>16.71</v>
      </c>
      <c r="F11824" t="n">
        <v>1</v>
      </c>
      <c r="G11824" t="n">
        <v>4</v>
      </c>
      <c r="H11824" s="5">
        <f>HYPERLINK("https://api.qogita.com/variants/link/8008277263564/", "View Product")</f>
        <v/>
      </c>
    </row>
    <row r="11825">
      <c r="A11825" t="inlineStr">
        <is>
          <t>8008277263632</t>
        </is>
      </c>
      <c r="B11825" t="inlineStr">
        <is>
          <t>Inebrya Ice Cream Pro Volume Shampoo Increasing Volume 1000ml</t>
        </is>
      </c>
      <c r="C11825" t="inlineStr">
        <is>
          <t>Shampoo</t>
        </is>
      </c>
      <c r="D11825" t="inlineStr">
        <is>
          <t>Inebrya</t>
        </is>
      </c>
      <c r="E11825" t="n">
        <v>16.71</v>
      </c>
      <c r="F11825" t="n">
        <v>1</v>
      </c>
      <c r="G11825" t="n">
        <v>12</v>
      </c>
      <c r="H11825" s="5">
        <f>HYPERLINK("https://api.qogita.com/variants/link/8008277263632/", "View Product")</f>
        <v/>
      </c>
    </row>
    <row r="11826">
      <c r="A11826" t="inlineStr">
        <is>
          <t>8008277263670</t>
        </is>
      </c>
      <c r="B11826" t="inlineStr">
        <is>
          <t>Inebrya Ice Cream Curly Plus Shampoo For Curly Hair 300ml</t>
        </is>
      </c>
      <c r="C11826" t="inlineStr">
        <is>
          <t>Shampoo</t>
        </is>
      </c>
      <c r="D11826" t="inlineStr">
        <is>
          <t>Inebrya</t>
        </is>
      </c>
      <c r="E11826" t="n">
        <v>4.37</v>
      </c>
      <c r="F11826" t="n">
        <v>1</v>
      </c>
      <c r="G11826" t="n">
        <v>4</v>
      </c>
      <c r="H11826" s="5">
        <f>HYPERLINK("https://api.qogita.com/variants/link/8008277263670/", "View Product")</f>
        <v/>
      </c>
    </row>
    <row r="11827">
      <c r="A11827" t="inlineStr">
        <is>
          <t>8008277263816</t>
        </is>
      </c>
      <c r="B11827" t="inlineStr">
        <is>
          <t>Inebrya Brightening Twophase Oil Ice Cream Frequent Best Care Oil 100 Ml</t>
        </is>
      </c>
      <c r="C11827" t="inlineStr">
        <is>
          <t>Hair Oil &amp; Hair Serum</t>
        </is>
      </c>
      <c r="D11827" t="inlineStr">
        <is>
          <t>Inebrya</t>
        </is>
      </c>
      <c r="E11827" t="n">
        <v>14.82</v>
      </c>
      <c r="F11827" t="n">
        <v>1</v>
      </c>
      <c r="G11827" t="n">
        <v>3</v>
      </c>
      <c r="H11827" s="5">
        <f>HYPERLINK("https://api.qogita.com/variants/link/8008277263816/", "View Product")</f>
        <v/>
      </c>
    </row>
    <row r="11828">
      <c r="A11828" t="inlineStr">
        <is>
          <t>8008277263892</t>
        </is>
      </c>
      <c r="B11828" t="inlineStr">
        <is>
          <t>Inebrya Ice Cream Relax Pre-Shampoo Peeling 150ml</t>
        </is>
      </c>
      <c r="C11828" t="inlineStr">
        <is>
          <t>Shampoo</t>
        </is>
      </c>
      <c r="D11828" t="inlineStr">
        <is>
          <t>Inebrya</t>
        </is>
      </c>
      <c r="E11828" t="n">
        <v>12.28</v>
      </c>
      <c r="F11828" t="n">
        <v>1</v>
      </c>
      <c r="G11828" t="n">
        <v>8</v>
      </c>
      <c r="H11828" s="5">
        <f>HYPERLINK("https://api.qogita.com/variants/link/8008277263892/", "View Product")</f>
        <v/>
      </c>
    </row>
    <row r="11829">
      <c r="A11829" t="inlineStr">
        <is>
          <t>8008277264394</t>
        </is>
      </c>
      <c r="B11829" t="inlineStr">
        <is>
          <t>Inebrya Shecare Glazed Intensive Care for Split and Dehydrated Hair</t>
        </is>
      </c>
      <c r="C11829" t="inlineStr">
        <is>
          <t>Hair Masks</t>
        </is>
      </c>
      <c r="D11829" t="inlineStr">
        <is>
          <t>Inebrya</t>
        </is>
      </c>
      <c r="E11829" t="n">
        <v>19.41</v>
      </c>
      <c r="F11829" t="n">
        <v>1</v>
      </c>
      <c r="G11829" t="n">
        <v>3</v>
      </c>
      <c r="H11829" s="5">
        <f>HYPERLINK("https://api.qogita.com/variants/link/8008277264394/", "View Product")</f>
        <v/>
      </c>
    </row>
    <row r="11830">
      <c r="A11830" t="inlineStr">
        <is>
          <t>8008277264417</t>
        </is>
      </c>
      <c r="B11830" t="inlineStr">
        <is>
          <t>Inebrya Shecare Glazed Brightening Fluid for Dull and Lifeless Hair 50ml</t>
        </is>
      </c>
      <c r="C11830" t="inlineStr">
        <is>
          <t>Hair Oil &amp; Hair Serum</t>
        </is>
      </c>
      <c r="D11830" t="inlineStr">
        <is>
          <t>Inebrya</t>
        </is>
      </c>
      <c r="E11830" t="n">
        <v>20.56</v>
      </c>
      <c r="F11830" t="n">
        <v>1</v>
      </c>
      <c r="G11830" t="n">
        <v>4</v>
      </c>
      <c r="H11830" s="5">
        <f>HYPERLINK("https://api.qogita.com/variants/link/8008277264417/", "View Product")</f>
        <v/>
      </c>
    </row>
    <row r="11831">
      <c r="A11831" t="inlineStr">
        <is>
          <t>8008277760551</t>
        </is>
      </c>
      <c r="B11831" t="inlineStr">
        <is>
          <t>Fanola Nourishing Restructuring Mask For Dry And Brittle Hair 500ml</t>
        </is>
      </c>
      <c r="C11831" t="inlineStr">
        <is>
          <t>Hair Masks</t>
        </is>
      </c>
      <c r="D11831" t="inlineStr">
        <is>
          <t>Fanola</t>
        </is>
      </c>
      <c r="E11831" t="n">
        <v>4.93</v>
      </c>
      <c r="F11831" t="n">
        <v>1</v>
      </c>
      <c r="G11831" t="n">
        <v>21</v>
      </c>
      <c r="H11831" s="5">
        <f>HYPERLINK("https://api.qogita.com/variants/link/8008277760551/", "View Product")</f>
        <v/>
      </c>
    </row>
    <row r="11832">
      <c r="A11832" t="inlineStr">
        <is>
          <t>8008277760582</t>
        </is>
      </c>
      <c r="B11832" t="inlineStr">
        <is>
          <t>Fanola Nourishing Restructuring Conditioner Two-Phase Spray For Dry And Brittle Hair 200ml</t>
        </is>
      </c>
      <c r="C11832" t="inlineStr">
        <is>
          <t>Leave-In Conditioner</t>
        </is>
      </c>
      <c r="D11832" t="inlineStr">
        <is>
          <t>Fanola</t>
        </is>
      </c>
      <c r="E11832" t="n">
        <v>5.23</v>
      </c>
      <c r="F11832" t="n">
        <v>1</v>
      </c>
      <c r="G11832" t="n">
        <v>7</v>
      </c>
      <c r="H11832" s="5">
        <f>HYPERLINK("https://api.qogita.com/variants/link/8008277760582/", "View Product")</f>
        <v/>
      </c>
    </row>
    <row r="11833">
      <c r="A11833" t="inlineStr">
        <is>
          <t>8008277760599</t>
        </is>
      </c>
      <c r="B11833" t="inlineStr">
        <is>
          <t>Fanola Restructuring Spray Mask 10 Actions Nourishing Boost for Dry and Frizzy Hair 200ml</t>
        </is>
      </c>
      <c r="C11833" t="inlineStr">
        <is>
          <t>Hair Masks</t>
        </is>
      </c>
      <c r="D11833" t="inlineStr">
        <is>
          <t>Fanola</t>
        </is>
      </c>
      <c r="E11833" t="n">
        <v>6.86</v>
      </c>
      <c r="F11833" t="n">
        <v>1</v>
      </c>
      <c r="G11833" t="n">
        <v>16</v>
      </c>
      <c r="H11833" s="5">
        <f>HYPERLINK("https://api.qogita.com/variants/link/8008277760599/", "View Product")</f>
        <v/>
      </c>
    </row>
    <row r="11834">
      <c r="A11834" t="inlineStr">
        <is>
          <t>8008277760605</t>
        </is>
      </c>
      <c r="B11834" t="inlineStr">
        <is>
          <t>Fanola Nourishing Leave-In Restructuring Lotion - 12x12ml</t>
        </is>
      </c>
      <c r="C11834" t="inlineStr">
        <is>
          <t>Leave-In Conditioner</t>
        </is>
      </c>
      <c r="D11834" t="inlineStr">
        <is>
          <t>Fanola</t>
        </is>
      </c>
      <c r="E11834" t="n">
        <v>12.07</v>
      </c>
      <c r="F11834" t="n">
        <v>1</v>
      </c>
      <c r="G11834" t="n">
        <v>2</v>
      </c>
      <c r="H11834" s="5">
        <f>HYPERLINK("https://api.qogita.com/variants/link/8008277760605/", "View Product")</f>
        <v/>
      </c>
    </row>
    <row r="11835">
      <c r="A11835" t="inlineStr">
        <is>
          <t>8008277760612</t>
        </is>
      </c>
      <c r="B11835" t="inlineStr">
        <is>
          <t>Fanola Restructuring Cream for Split Ends Hair Cream Treatment with Keratin and Milk Proteins 100</t>
        </is>
      </c>
      <c r="C11835" t="inlineStr">
        <is>
          <t>Conditioner</t>
        </is>
      </c>
      <c r="D11835" t="inlineStr">
        <is>
          <t>Fanola</t>
        </is>
      </c>
      <c r="E11835" t="n">
        <v>6.47</v>
      </c>
      <c r="F11835" t="n">
        <v>1</v>
      </c>
      <c r="G11835" t="n">
        <v>18</v>
      </c>
      <c r="H11835" s="5">
        <f>HYPERLINK("https://api.qogita.com/variants/link/8008277760612/", "View Product")</f>
        <v/>
      </c>
    </row>
    <row r="11836">
      <c r="A11836" t="inlineStr">
        <is>
          <t>8008277760865</t>
        </is>
      </c>
      <c r="B11836" t="inlineStr">
        <is>
          <t>Fanola Color Mask Total Black 200ml</t>
        </is>
      </c>
      <c r="C11836" t="inlineStr">
        <is>
          <t>Hair Dye</t>
        </is>
      </c>
      <c r="D11836" t="inlineStr">
        <is>
          <t>Fanola</t>
        </is>
      </c>
      <c r="E11836" t="n">
        <v>5.3</v>
      </c>
      <c r="F11836" t="n">
        <v>1</v>
      </c>
      <c r="G11836" t="n">
        <v>7</v>
      </c>
      <c r="H11836" s="5">
        <f>HYPERLINK("https://api.qogita.com/variants/link/8008277760865/", "View Product")</f>
        <v/>
      </c>
    </row>
    <row r="11837">
      <c r="A11837" t="inlineStr">
        <is>
          <t>8008277760940</t>
        </is>
      </c>
      <c r="B11837" t="inlineStr">
        <is>
          <t>Fanola Color Mask Clover Green 200ml</t>
        </is>
      </c>
      <c r="C11837" t="inlineStr">
        <is>
          <t>Hair Dye</t>
        </is>
      </c>
      <c r="D11837" t="inlineStr">
        <is>
          <t>Fanola</t>
        </is>
      </c>
      <c r="E11837" t="n">
        <v>3.29</v>
      </c>
      <c r="F11837" t="n">
        <v>1</v>
      </c>
      <c r="G11837" t="n">
        <v>5</v>
      </c>
      <c r="H11837" s="5">
        <f>HYPERLINK("https://api.qogita.com/variants/link/8008277760940/", "View Product")</f>
        <v/>
      </c>
    </row>
    <row r="11838">
      <c r="A11838" t="inlineStr">
        <is>
          <t>8008277762098</t>
        </is>
      </c>
      <c r="B11838" t="inlineStr">
        <is>
          <t>Fanola Wonder No Yellow Mask 1000ml</t>
        </is>
      </c>
      <c r="C11838" t="inlineStr">
        <is>
          <t>Hair Masks</t>
        </is>
      </c>
      <c r="D11838" t="inlineStr">
        <is>
          <t>Fanola</t>
        </is>
      </c>
      <c r="E11838" t="n">
        <v>14.71</v>
      </c>
      <c r="F11838" t="n">
        <v>1</v>
      </c>
      <c r="G11838" t="n">
        <v>5</v>
      </c>
      <c r="H11838" s="5">
        <f>HYPERLINK("https://api.qogita.com/variants/link/8008277762098/", "View Product")</f>
        <v/>
      </c>
    </row>
    <row r="11839">
      <c r="A11839" t="inlineStr">
        <is>
          <t>8008277762234</t>
        </is>
      </c>
      <c r="B11839" t="inlineStr">
        <is>
          <t>Fanola Fibre Fix Bond Connector No. 2 1000ml Sealing Cream</t>
        </is>
      </c>
      <c r="C11839" t="inlineStr">
        <is>
          <t>Conditioner</t>
        </is>
      </c>
      <c r="D11839" t="inlineStr">
        <is>
          <t>Fanola</t>
        </is>
      </c>
      <c r="E11839" t="n">
        <v>11.97</v>
      </c>
      <c r="F11839" t="n">
        <v>1</v>
      </c>
      <c r="G11839" t="n">
        <v>8</v>
      </c>
      <c r="H11839" s="5">
        <f>HYPERLINK("https://api.qogita.com/variants/link/8008277762234/", "View Product")</f>
        <v/>
      </c>
    </row>
    <row r="11840">
      <c r="A11840" t="inlineStr">
        <is>
          <t>8008277762487</t>
        </is>
      </c>
      <c r="B11840" t="inlineStr">
        <is>
          <t>Fanola Wonder Color Locker Milk Hair Spray 195ml</t>
        </is>
      </c>
      <c r="C11840" t="inlineStr">
        <is>
          <t>Hairspray</t>
        </is>
      </c>
      <c r="D11840" t="inlineStr">
        <is>
          <t>Fanola</t>
        </is>
      </c>
      <c r="E11840" t="n">
        <v>8.82</v>
      </c>
      <c r="F11840" t="n">
        <v>1</v>
      </c>
      <c r="G11840" t="n">
        <v>8</v>
      </c>
      <c r="H11840" s="5">
        <f>HYPERLINK("https://api.qogita.com/variants/link/8008277762487/", "View Product")</f>
        <v/>
      </c>
    </row>
    <row r="11841">
      <c r="A11841" t="inlineStr">
        <is>
          <t>8008277762548</t>
        </is>
      </c>
      <c r="B11841" t="inlineStr">
        <is>
          <t>Fanola Vitamins Detox Scalp Fluid Scrub 275ml</t>
        </is>
      </c>
      <c r="C11841" t="inlineStr">
        <is>
          <t>Scalp Care</t>
        </is>
      </c>
      <c r="D11841" t="inlineStr">
        <is>
          <t>Fanola</t>
        </is>
      </c>
      <c r="E11841" t="n">
        <v>6.92</v>
      </c>
      <c r="F11841" t="n">
        <v>1</v>
      </c>
      <c r="G11841" t="n">
        <v>2</v>
      </c>
      <c r="H11841" s="5">
        <f>HYPERLINK("https://api.qogita.com/variants/link/8008277762548/", "View Product")</f>
        <v/>
      </c>
    </row>
    <row r="11842">
      <c r="A11842" t="inlineStr">
        <is>
          <t>8008277762821</t>
        </is>
      </c>
      <c r="B11842" t="inlineStr">
        <is>
          <t>FANOLA Gold Therapy Gold Bi-Phase Illuminating Conditioner 200ml</t>
        </is>
      </c>
      <c r="C11842" t="inlineStr">
        <is>
          <t>Conditioner</t>
        </is>
      </c>
      <c r="D11842" t="inlineStr">
        <is>
          <t>Fanola</t>
        </is>
      </c>
      <c r="E11842" t="n">
        <v>5.9</v>
      </c>
      <c r="F11842" t="n">
        <v>1</v>
      </c>
      <c r="G11842" t="n">
        <v>10</v>
      </c>
      <c r="H11842" s="5">
        <f>HYPERLINK("https://api.qogita.com/variants/link/8008277762821/", "View Product")</f>
        <v/>
      </c>
    </row>
    <row r="11843">
      <c r="A11843" t="inlineStr">
        <is>
          <t>8008277764078</t>
        </is>
      </c>
      <c r="B11843" t="inlineStr">
        <is>
          <t>Fanola Gold Activator 30VOL 9% 1000ml</t>
        </is>
      </c>
      <c r="C11843" t="inlineStr">
        <is>
          <t>Hair Dye</t>
        </is>
      </c>
      <c r="D11843" t="inlineStr">
        <is>
          <t>Fanola</t>
        </is>
      </c>
      <c r="E11843" t="n">
        <v>3.71</v>
      </c>
      <c r="F11843" t="n">
        <v>1</v>
      </c>
      <c r="G11843" t="n">
        <v>2</v>
      </c>
      <c r="H11843" s="5">
        <f>HYPERLINK("https://api.qogita.com/variants/link/8008277764078/", "View Product")</f>
        <v/>
      </c>
    </row>
    <row r="11844">
      <c r="A11844" t="inlineStr">
        <is>
          <t>8008970038056</t>
        </is>
      </c>
      <c r="B11844" t="inlineStr">
        <is>
          <t>Denim Original Aftershave 100 Ml Deodorant Spray 150 Ml Shower Gel 250 Ml</t>
        </is>
      </c>
      <c r="C11844" t="inlineStr">
        <is>
          <t>Aftershave</t>
        </is>
      </c>
      <c r="D11844" t="inlineStr">
        <is>
          <t>Denim</t>
        </is>
      </c>
      <c r="E11844" t="n">
        <v>10.68</v>
      </c>
      <c r="F11844" t="n">
        <v>1</v>
      </c>
      <c r="G11844" t="n">
        <v>50</v>
      </c>
      <c r="H11844" s="5">
        <f>HYPERLINK("https://api.qogita.com/variants/link/8008970038056/", "View Product")</f>
        <v/>
      </c>
    </row>
    <row r="11845">
      <c r="A11845" t="inlineStr">
        <is>
          <t>8008970050430</t>
        </is>
      </c>
      <c r="B11845" t="inlineStr">
        <is>
          <t>Tesori D'Oriente White Musk Aromatic Diffuser Home Spray And Diffuser</t>
        </is>
      </c>
      <c r="C11845" t="inlineStr">
        <is>
          <t>Diffusers</t>
        </is>
      </c>
      <c r="D11845" t="inlineStr">
        <is>
          <t>Tesori D'Oriente</t>
        </is>
      </c>
      <c r="E11845" t="n">
        <v>8.48</v>
      </c>
      <c r="F11845" t="n">
        <v>1</v>
      </c>
      <c r="G11845" t="n">
        <v>8</v>
      </c>
      <c r="H11845" s="5">
        <f>HYPERLINK("https://api.qogita.com/variants/link/8008970050430/", "View Product")</f>
        <v/>
      </c>
    </row>
    <row r="11846">
      <c r="A11846" t="inlineStr">
        <is>
          <t>8008970054247</t>
        </is>
      </c>
      <c r="B11846" t="inlineStr">
        <is>
          <t>Tesori D'Oriente Forest Therapy Bath Cream Relaxing Bath Foam</t>
        </is>
      </c>
      <c r="C11846" t="inlineStr">
        <is>
          <t>Bath Foam</t>
        </is>
      </c>
      <c r="D11846" t="inlineStr">
        <is>
          <t>Tesori D'Oriente</t>
        </is>
      </c>
      <c r="E11846" t="n">
        <v>5.38</v>
      </c>
      <c r="F11846" t="n">
        <v>1</v>
      </c>
      <c r="G11846" t="n">
        <v>15</v>
      </c>
      <c r="H11846" s="5">
        <f>HYPERLINK("https://api.qogita.com/variants/link/8008970054247/", "View Product")</f>
        <v/>
      </c>
    </row>
    <row r="11847">
      <c r="A11847" t="inlineStr">
        <is>
          <t>8008970054261</t>
        </is>
      </c>
      <c r="B11847" t="inlineStr">
        <is>
          <t>Tesori D'Oriente Forest Ritual Aromatic Fragrance 100ml</t>
        </is>
      </c>
      <c r="C11847" t="inlineStr">
        <is>
          <t>Eau De Parfum</t>
        </is>
      </c>
      <c r="D11847" t="inlineStr">
        <is>
          <t>Tesori D'Oriente</t>
        </is>
      </c>
      <c r="E11847" t="n">
        <v>6.31</v>
      </c>
      <c r="F11847" t="n">
        <v>1</v>
      </c>
      <c r="G11847" t="n">
        <v>16</v>
      </c>
      <c r="H11847" s="5">
        <f>HYPERLINK("https://api.qogita.com/variants/link/8008970054261/", "View Product")</f>
        <v/>
      </c>
    </row>
    <row r="11848">
      <c r="A11848" t="inlineStr">
        <is>
          <t>8008970060705</t>
        </is>
      </c>
      <c r="B11848" t="inlineStr">
        <is>
          <t>Tesori D'Oriente Ikigai Aromatic Perfume with Fresh Floral Fragrance</t>
        </is>
      </c>
      <c r="C11848" t="inlineStr">
        <is>
          <t>Eau De Parfum</t>
        </is>
      </c>
      <c r="D11848" t="inlineStr">
        <is>
          <t>Tesori D'Oriente</t>
        </is>
      </c>
      <c r="E11848" t="n">
        <v>6.31</v>
      </c>
      <c r="F11848" t="n">
        <v>1</v>
      </c>
      <c r="G11848" t="n">
        <v>30</v>
      </c>
      <c r="H11848" s="5">
        <f>HYPERLINK("https://api.qogita.com/variants/link/8008970060705/", "View Product")</f>
        <v/>
      </c>
    </row>
    <row r="11849">
      <c r="A11849" t="inlineStr">
        <is>
          <t>8009150880182</t>
        </is>
      </c>
      <c r="B11849" t="inlineStr">
        <is>
          <t>Acqua Di Selva Eau De Cologne 100ml</t>
        </is>
      </c>
      <c r="C11849" t="inlineStr">
        <is>
          <t>Eau De Cologne</t>
        </is>
      </c>
      <c r="D11849" t="inlineStr">
        <is>
          <t>Visconti Di Modrone</t>
        </is>
      </c>
      <c r="E11849" t="n">
        <v>23.24</v>
      </c>
      <c r="F11849" t="n">
        <v>1</v>
      </c>
      <c r="G11849" t="n">
        <v>3</v>
      </c>
      <c r="H11849" s="5">
        <f>HYPERLINK("https://api.qogita.com/variants/link/8009150880182/", "View Product")</f>
        <v/>
      </c>
    </row>
    <row r="11850">
      <c r="A11850" t="inlineStr">
        <is>
          <t>8011003064601</t>
        </is>
      </c>
      <c r="B11850" t="inlineStr">
        <is>
          <t>Moschino Uomo Eau De Toilette Spray 4.2 Ounce</t>
        </is>
      </c>
      <c r="C11850" t="inlineStr">
        <is>
          <t>Eau De Toilette</t>
        </is>
      </c>
      <c r="D11850" t="inlineStr">
        <is>
          <t>Moschino</t>
        </is>
      </c>
      <c r="E11850" t="n">
        <v>62.27</v>
      </c>
      <c r="F11850" t="n">
        <v>1</v>
      </c>
      <c r="G11850" t="n">
        <v>2</v>
      </c>
      <c r="H11850" s="5">
        <f>HYPERLINK("https://api.qogita.com/variants/link/8011003064601/", "View Product")</f>
        <v/>
      </c>
    </row>
    <row r="11851">
      <c r="A11851" t="inlineStr">
        <is>
          <t>8011003803132</t>
        </is>
      </c>
      <c r="B11851" t="inlineStr">
        <is>
          <t>Versace Man Eau Fraiche Eau De Toilette Spray 200ml</t>
        </is>
      </c>
      <c r="C11851" t="inlineStr">
        <is>
          <t>Eau De Toilette</t>
        </is>
      </c>
      <c r="D11851" t="inlineStr">
        <is>
          <t>Versace</t>
        </is>
      </c>
      <c r="E11851" t="n">
        <v>52.44</v>
      </c>
      <c r="F11851" t="n">
        <v>1</v>
      </c>
      <c r="G11851" t="n">
        <v>78</v>
      </c>
      <c r="H11851" s="5">
        <f>HYPERLINK("https://api.qogita.com/variants/link/8011003803132/", "View Product")</f>
        <v/>
      </c>
    </row>
    <row r="11852">
      <c r="A11852" t="inlineStr">
        <is>
          <t>8011003804566</t>
        </is>
      </c>
      <c r="B11852" t="inlineStr">
        <is>
          <t>Versace Yellow Diamond Eau De Toilette Spray 90ml</t>
        </is>
      </c>
      <c r="C11852" t="inlineStr">
        <is>
          <t>Eau De Toilette</t>
        </is>
      </c>
      <c r="D11852" t="inlineStr">
        <is>
          <t>Versace</t>
        </is>
      </c>
      <c r="E11852" t="n">
        <v>45</v>
      </c>
      <c r="F11852" t="n">
        <v>1</v>
      </c>
      <c r="G11852" t="n">
        <v>11</v>
      </c>
      <c r="H11852" s="5">
        <f>HYPERLINK("https://api.qogita.com/variants/link/8011003804566/", "View Product")</f>
        <v/>
      </c>
    </row>
    <row r="11853">
      <c r="A11853" t="inlineStr">
        <is>
          <t>8011003809196</t>
        </is>
      </c>
      <c r="B11853" t="inlineStr">
        <is>
          <t>Versace Eros Eau De Toilette Spray 30ml</t>
        </is>
      </c>
      <c r="C11853" t="inlineStr">
        <is>
          <t>Eau De Toilette</t>
        </is>
      </c>
      <c r="D11853" t="inlineStr">
        <is>
          <t>Versace</t>
        </is>
      </c>
      <c r="E11853" t="n">
        <v>27.02</v>
      </c>
      <c r="F11853" t="n">
        <v>1</v>
      </c>
      <c r="G11853" t="n">
        <v>22</v>
      </c>
      <c r="H11853" s="5">
        <f>HYPERLINK("https://api.qogita.com/variants/link/8011003809196/", "View Product")</f>
        <v/>
      </c>
    </row>
    <row r="11854">
      <c r="A11854" t="inlineStr">
        <is>
          <t>8011003811274</t>
        </is>
      </c>
      <c r="B11854" t="inlineStr">
        <is>
          <t>Versace Pour Homme Oud Noir Eau De Parfum Spray 100ml</t>
        </is>
      </c>
      <c r="C11854" t="inlineStr">
        <is>
          <t>Eau De Parfum</t>
        </is>
      </c>
      <c r="D11854" t="inlineStr">
        <is>
          <t>Versace</t>
        </is>
      </c>
      <c r="E11854" t="n">
        <v>60.42</v>
      </c>
      <c r="F11854" t="n">
        <v>1</v>
      </c>
      <c r="G11854" t="n">
        <v>32</v>
      </c>
      <c r="H11854" s="5">
        <f>HYPERLINK("https://api.qogita.com/variants/link/8011003811274/", "View Product")</f>
        <v/>
      </c>
    </row>
    <row r="11855">
      <c r="A11855" t="inlineStr">
        <is>
          <t>8011003813858</t>
        </is>
      </c>
      <c r="B11855" t="inlineStr">
        <is>
          <t>Versace Eros Eau De Toilette Spray 200ml For Men</t>
        </is>
      </c>
      <c r="C11855" t="inlineStr">
        <is>
          <t>Eau De Toilette</t>
        </is>
      </c>
      <c r="D11855" t="inlineStr">
        <is>
          <t>Versace</t>
        </is>
      </c>
      <c r="E11855" t="n">
        <v>58.57</v>
      </c>
      <c r="F11855" t="n">
        <v>1</v>
      </c>
      <c r="G11855" t="n">
        <v>210</v>
      </c>
      <c r="H11855" s="5">
        <f>HYPERLINK("https://api.qogita.com/variants/link/8011003813858/", "View Product")</f>
        <v/>
      </c>
    </row>
    <row r="11856">
      <c r="A11856" t="inlineStr">
        <is>
          <t>8011003816743</t>
        </is>
      </c>
      <c r="B11856" t="inlineStr">
        <is>
          <t>Versace Pour Homme Deodorant Stick 75ml</t>
        </is>
      </c>
      <c r="C11856" t="inlineStr">
        <is>
          <t>Deodorant &amp; Anti-Perspirant</t>
        </is>
      </c>
      <c r="D11856" t="inlineStr">
        <is>
          <t>Versace</t>
        </is>
      </c>
      <c r="E11856" t="n">
        <v>20.08</v>
      </c>
      <c r="F11856" t="n">
        <v>1</v>
      </c>
      <c r="G11856" t="n">
        <v>12</v>
      </c>
      <c r="H11856" s="5">
        <f>HYPERLINK("https://api.qogita.com/variants/link/8011003816743/", "View Product")</f>
        <v/>
      </c>
    </row>
    <row r="11857">
      <c r="A11857" t="inlineStr">
        <is>
          <t>8011003817498</t>
        </is>
      </c>
      <c r="B11857" t="inlineStr">
        <is>
          <t>Versace Bright Crystal Eau De Toilette Spray 200ml For Women</t>
        </is>
      </c>
      <c r="C11857" t="inlineStr">
        <is>
          <t>Eau De Toilette</t>
        </is>
      </c>
      <c r="D11857" t="inlineStr">
        <is>
          <t>Versace</t>
        </is>
      </c>
      <c r="E11857" t="n">
        <v>62.97</v>
      </c>
      <c r="F11857" t="n">
        <v>1</v>
      </c>
      <c r="G11857" t="n">
        <v>8</v>
      </c>
      <c r="H11857" s="5">
        <f>HYPERLINK("https://api.qogita.com/variants/link/8011003817498/", "View Product")</f>
        <v/>
      </c>
    </row>
    <row r="11858">
      <c r="A11858" t="inlineStr">
        <is>
          <t>8011003818174</t>
        </is>
      </c>
      <c r="B11858" t="inlineStr">
        <is>
          <t>Versace Bright Crystal Absolu Eau De Parfum 50ml For Women</t>
        </is>
      </c>
      <c r="C11858" t="inlineStr">
        <is>
          <t>Eau De Parfum</t>
        </is>
      </c>
      <c r="D11858" t="inlineStr">
        <is>
          <t>Versace</t>
        </is>
      </c>
      <c r="E11858" t="n">
        <v>36.43</v>
      </c>
      <c r="F11858" t="n">
        <v>1</v>
      </c>
      <c r="G11858" t="n">
        <v>32</v>
      </c>
      <c r="H11858" s="5">
        <f>HYPERLINK("https://api.qogita.com/variants/link/8011003818174/", "View Product")</f>
        <v/>
      </c>
    </row>
    <row r="11859">
      <c r="A11859" t="inlineStr">
        <is>
          <t>8011003823079</t>
        </is>
      </c>
      <c r="B11859" t="inlineStr">
        <is>
          <t>Versace Yellow Diamond Intense Eau De Parfum Spray 30ml</t>
        </is>
      </c>
      <c r="C11859" t="inlineStr">
        <is>
          <t>Eau De Parfum</t>
        </is>
      </c>
      <c r="D11859" t="inlineStr">
        <is>
          <t>Versace</t>
        </is>
      </c>
      <c r="E11859" t="n">
        <v>38.19</v>
      </c>
      <c r="F11859" t="n">
        <v>1</v>
      </c>
      <c r="G11859" t="n">
        <v>3</v>
      </c>
      <c r="H11859" s="5">
        <f>HYPERLINK("https://api.qogita.com/variants/link/8011003823079/", "View Product")</f>
        <v/>
      </c>
    </row>
    <row r="11860">
      <c r="A11860" t="inlineStr">
        <is>
          <t>8011003825721</t>
        </is>
      </c>
      <c r="B11860" t="inlineStr">
        <is>
          <t>Versace Dylan Blue Eau De Toilette 30ml For Men</t>
        </is>
      </c>
      <c r="C11860" t="inlineStr">
        <is>
          <t>Eau De Toilette</t>
        </is>
      </c>
      <c r="D11860" t="inlineStr">
        <is>
          <t>Versace</t>
        </is>
      </c>
      <c r="E11860" t="n">
        <v>34.9</v>
      </c>
      <c r="F11860" t="n">
        <v>1</v>
      </c>
      <c r="G11860" t="n">
        <v>2</v>
      </c>
      <c r="H11860" s="5">
        <f>HYPERLINK("https://api.qogita.com/variants/link/8011003825721/", "View Product")</f>
        <v/>
      </c>
    </row>
    <row r="11861">
      <c r="A11861" t="inlineStr">
        <is>
          <t>8011003825738</t>
        </is>
      </c>
      <c r="B11861" t="inlineStr">
        <is>
          <t>Versace Pour Homme Dylan Blue Eau De Toilette Spray 50ml</t>
        </is>
      </c>
      <c r="C11861" t="inlineStr">
        <is>
          <t>Eau De Toilette</t>
        </is>
      </c>
      <c r="D11861" t="inlineStr">
        <is>
          <t>Versace</t>
        </is>
      </c>
      <c r="E11861" t="n">
        <v>36.12</v>
      </c>
      <c r="F11861" t="n">
        <v>1</v>
      </c>
      <c r="G11861" t="n">
        <v>22</v>
      </c>
      <c r="H11861" s="5">
        <f>HYPERLINK("https://api.qogita.com/variants/link/8011003825738/", "View Product")</f>
        <v/>
      </c>
    </row>
    <row r="11862">
      <c r="A11862" t="inlineStr">
        <is>
          <t>8011003826704</t>
        </is>
      </c>
      <c r="B11862" t="inlineStr">
        <is>
          <t>Moschino Fresh Couture Eau De Toilette Spray 50ml</t>
        </is>
      </c>
      <c r="C11862" t="inlineStr">
        <is>
          <t>Eau De Toilette</t>
        </is>
      </c>
      <c r="D11862" t="inlineStr">
        <is>
          <t>Moschino</t>
        </is>
      </c>
      <c r="E11862" t="n">
        <v>22.74</v>
      </c>
      <c r="F11862" t="n">
        <v>1</v>
      </c>
      <c r="G11862" t="n">
        <v>16</v>
      </c>
      <c r="H11862" s="5">
        <f>HYPERLINK("https://api.qogita.com/variants/link/8011003826704/", "View Product")</f>
        <v/>
      </c>
    </row>
    <row r="11863">
      <c r="A11863" t="inlineStr">
        <is>
          <t>8011003826711</t>
        </is>
      </c>
      <c r="B11863" t="inlineStr">
        <is>
          <t>Moschino Fresh Couture Eau De Toilette Spray 100ml</t>
        </is>
      </c>
      <c r="C11863" t="inlineStr">
        <is>
          <t>Eau De Toilette</t>
        </is>
      </c>
      <c r="D11863" t="inlineStr">
        <is>
          <t>Moschino</t>
        </is>
      </c>
      <c r="E11863" t="n">
        <v>32.32</v>
      </c>
      <c r="F11863" t="n">
        <v>1</v>
      </c>
      <c r="G11863" t="n">
        <v>60</v>
      </c>
      <c r="H11863" s="5">
        <f>HYPERLINK("https://api.qogita.com/variants/link/8011003826711/", "View Product")</f>
        <v/>
      </c>
    </row>
    <row r="11864">
      <c r="A11864" t="inlineStr">
        <is>
          <t>8011003826766</t>
        </is>
      </c>
      <c r="B11864" t="inlineStr">
        <is>
          <t>Moschino Fresh Couture</t>
        </is>
      </c>
      <c r="C11864" t="inlineStr">
        <is>
          <t>Eau De Toilette</t>
        </is>
      </c>
      <c r="D11864" t="inlineStr">
        <is>
          <t>Moschino</t>
        </is>
      </c>
      <c r="E11864" t="n">
        <v>26.49</v>
      </c>
      <c r="F11864" t="n">
        <v>1</v>
      </c>
      <c r="G11864" t="n">
        <v>7</v>
      </c>
      <c r="H11864" s="5">
        <f>HYPERLINK("https://api.qogita.com/variants/link/8011003826766/", "View Product")</f>
        <v/>
      </c>
    </row>
    <row r="11865">
      <c r="A11865" t="inlineStr">
        <is>
          <t>8011003827336</t>
        </is>
      </c>
      <c r="B11865" t="inlineStr">
        <is>
          <t>Versace Eros Pour Femme Eau De Toilette Spray 50ml</t>
        </is>
      </c>
      <c r="C11865" t="inlineStr">
        <is>
          <t>Eau De Toilette</t>
        </is>
      </c>
      <c r="D11865" t="inlineStr">
        <is>
          <t>Versace</t>
        </is>
      </c>
      <c r="E11865" t="n">
        <v>41.98</v>
      </c>
      <c r="F11865" t="n">
        <v>1</v>
      </c>
      <c r="G11865" t="n">
        <v>2</v>
      </c>
      <c r="H11865" s="5">
        <f>HYPERLINK("https://api.qogita.com/variants/link/8011003827336/", "View Product")</f>
        <v/>
      </c>
    </row>
    <row r="11866">
      <c r="A11866" t="inlineStr">
        <is>
          <t>8011003832811</t>
        </is>
      </c>
      <c r="B11866" t="inlineStr">
        <is>
          <t>Missoni Eau De Toilette Spray 50ml</t>
        </is>
      </c>
      <c r="C11866" t="inlineStr">
        <is>
          <t>Eau De Toilette</t>
        </is>
      </c>
      <c r="D11866" t="inlineStr">
        <is>
          <t>Missoni</t>
        </is>
      </c>
      <c r="E11866" t="n">
        <v>14.65</v>
      </c>
      <c r="F11866" t="n">
        <v>1</v>
      </c>
      <c r="G11866" t="n">
        <v>14</v>
      </c>
      <c r="H11866" s="5">
        <f>HYPERLINK("https://api.qogita.com/variants/link/8011003832811/", "View Product")</f>
        <v/>
      </c>
    </row>
    <row r="11867">
      <c r="A11867" t="inlineStr">
        <is>
          <t>8011003838004</t>
        </is>
      </c>
      <c r="B11867" t="inlineStr">
        <is>
          <t>Moschino Eau De Parfum 50ml</t>
        </is>
      </c>
      <c r="C11867" t="inlineStr">
        <is>
          <t>Eau De Parfum</t>
        </is>
      </c>
      <c r="D11867" t="inlineStr">
        <is>
          <t>Moschino</t>
        </is>
      </c>
      <c r="E11867" t="n">
        <v>31.14</v>
      </c>
      <c r="F11867" t="n">
        <v>1</v>
      </c>
      <c r="G11867" t="n">
        <v>159</v>
      </c>
      <c r="H11867" s="5">
        <f>HYPERLINK("https://api.qogita.com/variants/link/8011003838004/", "View Product")</f>
        <v/>
      </c>
    </row>
    <row r="11868">
      <c r="A11868" t="inlineStr">
        <is>
          <t>8011003838387</t>
        </is>
      </c>
      <c r="B11868" t="inlineStr">
        <is>
          <t>Moschino Cheap And Chic So Real Eau De Toilette Natural Spray 30ml</t>
        </is>
      </c>
      <c r="C11868" t="inlineStr">
        <is>
          <t>Eau De Toilette</t>
        </is>
      </c>
      <c r="D11868" t="inlineStr">
        <is>
          <t>Moschino</t>
        </is>
      </c>
      <c r="E11868" t="n">
        <v>16.76</v>
      </c>
      <c r="F11868" t="n">
        <v>1</v>
      </c>
      <c r="G11868" t="n">
        <v>14</v>
      </c>
      <c r="H11868" s="5">
        <f>HYPERLINK("https://api.qogita.com/variants/link/8011003838387/", "View Product")</f>
        <v/>
      </c>
    </row>
    <row r="11869">
      <c r="A11869" t="inlineStr">
        <is>
          <t>8011003838394</t>
        </is>
      </c>
      <c r="B11869" t="inlineStr">
        <is>
          <t>Moschino So Real Cheap And Chic Eau De Toilette Spray 50ml</t>
        </is>
      </c>
      <c r="C11869" t="inlineStr">
        <is>
          <t>Eau De Toilette</t>
        </is>
      </c>
      <c r="D11869" t="inlineStr">
        <is>
          <t>Moschino</t>
        </is>
      </c>
      <c r="E11869" t="n">
        <v>17</v>
      </c>
      <c r="F11869" t="n">
        <v>1</v>
      </c>
      <c r="G11869" t="n">
        <v>195</v>
      </c>
      <c r="H11869" s="5">
        <f>HYPERLINK("https://api.qogita.com/variants/link/8011003838394/", "View Product")</f>
        <v/>
      </c>
    </row>
    <row r="11870">
      <c r="A11870" t="inlineStr">
        <is>
          <t>8011003839155</t>
        </is>
      </c>
      <c r="B11870" t="inlineStr">
        <is>
          <t>Versace Dylan Blue Women EDP Splash Mini 5ml 0.17 Fl Oz</t>
        </is>
      </c>
      <c r="C11870" t="inlineStr">
        <is>
          <t>Eau De Parfum</t>
        </is>
      </c>
      <c r="D11870" t="inlineStr">
        <is>
          <t>Versace</t>
        </is>
      </c>
      <c r="E11870" t="n">
        <v>5.88</v>
      </c>
      <c r="F11870" t="n">
        <v>1</v>
      </c>
      <c r="G11870" t="n">
        <v>20</v>
      </c>
      <c r="H11870" s="5">
        <f>HYPERLINK("https://api.qogita.com/variants/link/8011003839155/", "View Product")</f>
        <v/>
      </c>
    </row>
    <row r="11871">
      <c r="A11871" t="inlineStr">
        <is>
          <t>8011003845118</t>
        </is>
      </c>
      <c r="B11871" t="inlineStr">
        <is>
          <t>Moschino Toy Boy Eau De Parfum 30ml Men's Fragrance</t>
        </is>
      </c>
      <c r="C11871" t="inlineStr">
        <is>
          <t>Eau De Parfum</t>
        </is>
      </c>
      <c r="D11871" t="inlineStr">
        <is>
          <t>Moschino</t>
        </is>
      </c>
      <c r="E11871" t="n">
        <v>22.07</v>
      </c>
      <c r="F11871" t="n">
        <v>1</v>
      </c>
      <c r="G11871" t="n">
        <v>175</v>
      </c>
      <c r="H11871" s="5">
        <f>HYPERLINK("https://api.qogita.com/variants/link/8011003845118/", "View Product")</f>
        <v/>
      </c>
    </row>
    <row r="11872">
      <c r="A11872" t="inlineStr">
        <is>
          <t>8011003845125</t>
        </is>
      </c>
      <c r="B11872" t="inlineStr">
        <is>
          <t>Moschino Toy Boy Eau De Parfum 50ml</t>
        </is>
      </c>
      <c r="C11872" t="inlineStr">
        <is>
          <t>Eau De Parfum</t>
        </is>
      </c>
      <c r="D11872" t="inlineStr">
        <is>
          <t>Moschino</t>
        </is>
      </c>
      <c r="E11872" t="n">
        <v>32.07</v>
      </c>
      <c r="F11872" t="n">
        <v>1</v>
      </c>
      <c r="G11872" t="n">
        <v>30</v>
      </c>
      <c r="H11872" s="5">
        <f>HYPERLINK("https://api.qogita.com/variants/link/8011003845125/", "View Product")</f>
        <v/>
      </c>
    </row>
    <row r="11873">
      <c r="A11873" t="inlineStr">
        <is>
          <t>8011003845132</t>
        </is>
      </c>
      <c r="B11873" t="inlineStr">
        <is>
          <t>Moschino Toy Boy Eau De Parfum 100ml Spray For Men</t>
        </is>
      </c>
      <c r="C11873" t="inlineStr">
        <is>
          <t>Eau De Parfum</t>
        </is>
      </c>
      <c r="D11873" t="inlineStr">
        <is>
          <t>Moschino</t>
        </is>
      </c>
      <c r="E11873" t="n">
        <v>36.46</v>
      </c>
      <c r="F11873" t="n">
        <v>1</v>
      </c>
      <c r="G11873" t="n">
        <v>322</v>
      </c>
      <c r="H11873" s="5">
        <f>HYPERLINK("https://api.qogita.com/variants/link/8011003845132/", "View Product")</f>
        <v/>
      </c>
    </row>
    <row r="11874">
      <c r="A11874" t="inlineStr">
        <is>
          <t>8011003845347</t>
        </is>
      </c>
      <c r="B11874" t="inlineStr">
        <is>
          <t>Versace Eros Flame Eau De Parfum Spray 50ml</t>
        </is>
      </c>
      <c r="C11874" t="inlineStr">
        <is>
          <t>Eau De Parfum</t>
        </is>
      </c>
      <c r="D11874" t="inlineStr">
        <is>
          <t>Versace</t>
        </is>
      </c>
      <c r="E11874" t="n">
        <v>39.86</v>
      </c>
      <c r="F11874" t="n">
        <v>1</v>
      </c>
      <c r="G11874" t="n">
        <v>83</v>
      </c>
      <c r="H11874" s="5">
        <f>HYPERLINK("https://api.qogita.com/variants/link/8011003845347/", "View Product")</f>
        <v/>
      </c>
    </row>
    <row r="11875">
      <c r="A11875" t="inlineStr">
        <is>
          <t>8011003845514</t>
        </is>
      </c>
      <c r="B11875" t="inlineStr">
        <is>
          <t>Versace Eros Flame Eau de Parfum Cologne for Men 3.4 Oz</t>
        </is>
      </c>
      <c r="C11875" t="inlineStr">
        <is>
          <t>Eau De Parfum</t>
        </is>
      </c>
      <c r="D11875" t="inlineStr">
        <is>
          <t>Versace</t>
        </is>
      </c>
      <c r="E11875" t="n">
        <v>37.94</v>
      </c>
      <c r="F11875" t="n">
        <v>1</v>
      </c>
      <c r="G11875" t="n">
        <v>37</v>
      </c>
      <c r="H11875" s="5">
        <f>HYPERLINK("https://api.qogita.com/variants/link/8011003845514/", "View Product")</f>
        <v/>
      </c>
    </row>
    <row r="11876">
      <c r="A11876" t="inlineStr">
        <is>
          <t>8011003845569</t>
        </is>
      </c>
      <c r="B11876" t="inlineStr">
        <is>
          <t>Dsquared Fresh Water 150g</t>
        </is>
      </c>
      <c r="C11876" t="inlineStr">
        <is>
          <t>Eau De Toilette</t>
        </is>
      </c>
      <c r="D11876" t="inlineStr">
        <is>
          <t>Dsquared2</t>
        </is>
      </c>
      <c r="E11876" t="n">
        <v>17.08</v>
      </c>
      <c r="F11876" t="n">
        <v>1</v>
      </c>
      <c r="G11876" t="n">
        <v>244</v>
      </c>
      <c r="H11876" s="5">
        <f>HYPERLINK("https://api.qogita.com/variants/link/8011003845569/", "View Product")</f>
        <v/>
      </c>
    </row>
    <row r="11877">
      <c r="A11877" t="inlineStr">
        <is>
          <t>8011003845576</t>
        </is>
      </c>
      <c r="B11877" t="inlineStr">
        <is>
          <t>Dsquared Wood Pour Femme Eau De Toilette 50ml</t>
        </is>
      </c>
      <c r="C11877" t="inlineStr">
        <is>
          <t>Eau De Toilette</t>
        </is>
      </c>
      <c r="D11877" t="inlineStr">
        <is>
          <t>Dsquared2</t>
        </is>
      </c>
      <c r="E11877" t="n">
        <v>28.96</v>
      </c>
      <c r="F11877" t="n">
        <v>1</v>
      </c>
      <c r="G11877" t="n">
        <v>85</v>
      </c>
      <c r="H11877" s="5">
        <f>HYPERLINK("https://api.qogita.com/variants/link/8011003845576/", "View Product")</f>
        <v/>
      </c>
    </row>
    <row r="11878">
      <c r="A11878" t="inlineStr">
        <is>
          <t>8011003845583</t>
        </is>
      </c>
      <c r="B11878" t="inlineStr">
        <is>
          <t>Dsquared2 Wood Pour Femme Eau De Toilette Spray 100ml</t>
        </is>
      </c>
      <c r="C11878" t="inlineStr">
        <is>
          <t>Eau De Toilette</t>
        </is>
      </c>
      <c r="D11878" t="inlineStr">
        <is>
          <t>Dsquared2</t>
        </is>
      </c>
      <c r="E11878" t="n">
        <v>43.12</v>
      </c>
      <c r="F11878" t="n">
        <v>1</v>
      </c>
      <c r="G11878" t="n">
        <v>4</v>
      </c>
      <c r="H11878" s="5">
        <f>HYPERLINK("https://api.qogita.com/variants/link/8011003845583/", "View Product")</f>
        <v/>
      </c>
    </row>
    <row r="11879">
      <c r="A11879" t="inlineStr">
        <is>
          <t>8011003845613</t>
        </is>
      </c>
      <c r="B11879" t="inlineStr">
        <is>
          <t>Dsquared2 Wood For Her Body Lotion</t>
        </is>
      </c>
      <c r="C11879" t="inlineStr">
        <is>
          <t>Body Lotion</t>
        </is>
      </c>
      <c r="D11879" t="inlineStr">
        <is>
          <t>Dsquared2</t>
        </is>
      </c>
      <c r="E11879" t="n">
        <v>19.65</v>
      </c>
      <c r="F11879" t="n">
        <v>1</v>
      </c>
      <c r="G11879" t="n">
        <v>14</v>
      </c>
      <c r="H11879" s="5">
        <f>HYPERLINK("https://api.qogita.com/variants/link/8011003845613/", "View Product")</f>
        <v/>
      </c>
    </row>
    <row r="11880">
      <c r="A11880" t="inlineStr">
        <is>
          <t>8011003845743</t>
        </is>
      </c>
      <c r="B11880" t="inlineStr">
        <is>
          <t>Dsquared2 Wood Deodorant Stick For Men 75ml</t>
        </is>
      </c>
      <c r="C11880" t="inlineStr">
        <is>
          <t>Deodorant &amp; Anti-Perspirant</t>
        </is>
      </c>
      <c r="D11880" t="inlineStr">
        <is>
          <t>Dsquared2</t>
        </is>
      </c>
      <c r="E11880" t="n">
        <v>11.93</v>
      </c>
      <c r="F11880" t="n">
        <v>1</v>
      </c>
      <c r="G11880" t="n">
        <v>43</v>
      </c>
      <c r="H11880" s="5">
        <f>HYPERLINK("https://api.qogita.com/variants/link/8011003845743/", "View Product")</f>
        <v/>
      </c>
    </row>
    <row r="11881">
      <c r="A11881" t="inlineStr">
        <is>
          <t>8011003845781</t>
        </is>
      </c>
      <c r="B11881" t="inlineStr">
        <is>
          <t>Dsquared Wood Pour Homme Eau De Toilette 5ml</t>
        </is>
      </c>
      <c r="C11881" t="inlineStr">
        <is>
          <t>Eau De Toilette</t>
        </is>
      </c>
      <c r="D11881" t="inlineStr">
        <is>
          <t>Dsquared2</t>
        </is>
      </c>
      <c r="E11881" t="n">
        <v>5.99</v>
      </c>
      <c r="F11881" t="n">
        <v>1</v>
      </c>
      <c r="G11881" t="n">
        <v>27</v>
      </c>
      <c r="H11881" s="5">
        <f>HYPERLINK("https://api.qogita.com/variants/link/8011003845781/", "View Product")</f>
        <v/>
      </c>
    </row>
    <row r="11882">
      <c r="A11882" t="inlineStr">
        <is>
          <t>8011003846627</t>
        </is>
      </c>
      <c r="B11882" t="inlineStr">
        <is>
          <t>Versace Eros Flame Eau De Parfum 200ml</t>
        </is>
      </c>
      <c r="C11882" t="inlineStr">
        <is>
          <t>Eau De Parfum</t>
        </is>
      </c>
      <c r="D11882" t="inlineStr">
        <is>
          <t>Versace</t>
        </is>
      </c>
      <c r="E11882" t="n">
        <v>64.52</v>
      </c>
      <c r="F11882" t="n">
        <v>1</v>
      </c>
      <c r="G11882" t="n">
        <v>198</v>
      </c>
      <c r="H11882" s="5">
        <f>HYPERLINK("https://api.qogita.com/variants/link/8011003846627/", "View Product")</f>
        <v/>
      </c>
    </row>
    <row r="11883">
      <c r="A11883" t="inlineStr">
        <is>
          <t>8011003848225</t>
        </is>
      </c>
      <c r="B11883" t="inlineStr">
        <is>
          <t>Versace Jasmin Au Soleil Eau De Parfum</t>
        </is>
      </c>
      <c r="C11883" t="inlineStr">
        <is>
          <t>Eau De Parfum</t>
        </is>
      </c>
      <c r="D11883" t="inlineStr">
        <is>
          <t>Versace</t>
        </is>
      </c>
      <c r="E11883" t="n">
        <v>134.84</v>
      </c>
      <c r="F11883" t="n">
        <v>1</v>
      </c>
      <c r="G11883" t="n">
        <v>2</v>
      </c>
      <c r="H11883" s="5">
        <f>HYPERLINK("https://api.qogita.com/variants/link/8011003848225/", "View Product")</f>
        <v/>
      </c>
    </row>
    <row r="11884">
      <c r="A11884" t="inlineStr">
        <is>
          <t>8011003852703</t>
        </is>
      </c>
      <c r="B11884" t="inlineStr">
        <is>
          <t>Dsquared2 Red Wood Shower Gel 200ml</t>
        </is>
      </c>
      <c r="C11884" t="inlineStr">
        <is>
          <t>Shower Gel</t>
        </is>
      </c>
      <c r="D11884" t="inlineStr">
        <is>
          <t>Dsquared2</t>
        </is>
      </c>
      <c r="E11884" t="n">
        <v>16.78</v>
      </c>
      <c r="F11884" t="n">
        <v>1</v>
      </c>
      <c r="G11884" t="n">
        <v>4</v>
      </c>
      <c r="H11884" s="5">
        <f>HYPERLINK("https://api.qogita.com/variants/link/8011003852703/", "View Product")</f>
        <v/>
      </c>
    </row>
    <row r="11885">
      <c r="A11885" t="inlineStr">
        <is>
          <t>8011003852727</t>
        </is>
      </c>
      <c r="B11885" t="inlineStr">
        <is>
          <t>Dsquared2 Green Wood Eau De Toilette 30ml</t>
        </is>
      </c>
      <c r="C11885" t="inlineStr">
        <is>
          <t>Eau De Toilette</t>
        </is>
      </c>
      <c r="D11885" t="inlineStr">
        <is>
          <t>Dsquared2</t>
        </is>
      </c>
      <c r="E11885" t="n">
        <v>19.6</v>
      </c>
      <c r="F11885" t="n">
        <v>1</v>
      </c>
      <c r="G11885" t="n">
        <v>32</v>
      </c>
      <c r="H11885" s="5">
        <f>HYPERLINK("https://api.qogita.com/variants/link/8011003852727/", "View Product")</f>
        <v/>
      </c>
    </row>
    <row r="11886">
      <c r="A11886" t="inlineStr">
        <is>
          <t>8011003852741</t>
        </is>
      </c>
      <c r="B11886" t="inlineStr">
        <is>
          <t>Dsquared2 Green Wood Eau De Toilette 100ml For Men</t>
        </is>
      </c>
      <c r="C11886" t="inlineStr">
        <is>
          <t>Eau De Toilette</t>
        </is>
      </c>
      <c r="D11886" t="inlineStr">
        <is>
          <t>Dsquared2</t>
        </is>
      </c>
      <c r="E11886" t="n">
        <v>28.67</v>
      </c>
      <c r="F11886" t="n">
        <v>1</v>
      </c>
      <c r="G11886" t="n">
        <v>35</v>
      </c>
      <c r="H11886" s="5">
        <f>HYPERLINK("https://api.qogita.com/variants/link/8011003852741/", "View Product")</f>
        <v/>
      </c>
    </row>
    <row r="11887">
      <c r="A11887" t="inlineStr">
        <is>
          <t>8011003858545</t>
        </is>
      </c>
      <c r="B11887" t="inlineStr">
        <is>
          <t>Versace Dylan Turquoise Eau De Toilette 50ml For Women</t>
        </is>
      </c>
      <c r="C11887" t="inlineStr">
        <is>
          <t>Eau De Toilette</t>
        </is>
      </c>
      <c r="D11887" t="inlineStr">
        <is>
          <t>Versace</t>
        </is>
      </c>
      <c r="E11887" t="n">
        <v>41.96</v>
      </c>
      <c r="F11887" t="n">
        <v>1</v>
      </c>
      <c r="G11887" t="n">
        <v>64</v>
      </c>
      <c r="H11887" s="5">
        <f>HYPERLINK("https://api.qogita.com/variants/link/8011003858545/", "View Product")</f>
        <v/>
      </c>
    </row>
    <row r="11888">
      <c r="A11888" t="inlineStr">
        <is>
          <t>8011003861224</t>
        </is>
      </c>
      <c r="B11888" t="inlineStr">
        <is>
          <t>Versace Eros Eau De Parfum Spray 100ml For Men</t>
        </is>
      </c>
      <c r="C11888" t="inlineStr">
        <is>
          <t>Eau De Parfum</t>
        </is>
      </c>
      <c r="D11888" t="inlineStr">
        <is>
          <t>Versace</t>
        </is>
      </c>
      <c r="E11888" t="n">
        <v>53.89</v>
      </c>
      <c r="F11888" t="n">
        <v>1</v>
      </c>
      <c r="G11888" t="n">
        <v>23</v>
      </c>
      <c r="H11888" s="5">
        <f>HYPERLINK("https://api.qogita.com/variants/link/8011003861224/", "View Product")</f>
        <v/>
      </c>
    </row>
    <row r="11889">
      <c r="A11889" t="inlineStr">
        <is>
          <t>8011003864072</t>
        </is>
      </c>
      <c r="B11889" t="inlineStr">
        <is>
          <t>Moschino Toy2 Bubble Gum Eau De Toilette 50ml Women's Fragrance</t>
        </is>
      </c>
      <c r="C11889" t="inlineStr">
        <is>
          <t>Eau De Toilette</t>
        </is>
      </c>
      <c r="D11889" t="inlineStr">
        <is>
          <t>Moschino</t>
        </is>
      </c>
      <c r="E11889" t="n">
        <v>32.15</v>
      </c>
      <c r="F11889" t="n">
        <v>1</v>
      </c>
      <c r="G11889" t="n">
        <v>10</v>
      </c>
      <c r="H11889" s="5">
        <f>HYPERLINK("https://api.qogita.com/variants/link/8011003864072/", "View Product")</f>
        <v/>
      </c>
    </row>
    <row r="11890">
      <c r="A11890" t="inlineStr">
        <is>
          <t>8011003864089</t>
        </is>
      </c>
      <c r="B11890" t="inlineStr">
        <is>
          <t>Moschino Toy 2 Bubble Gum Eau De Toilette Spray 100ml</t>
        </is>
      </c>
      <c r="C11890" t="inlineStr">
        <is>
          <t>Eau De Toilette</t>
        </is>
      </c>
      <c r="D11890" t="inlineStr">
        <is>
          <t>Moschino</t>
        </is>
      </c>
      <c r="E11890" t="n">
        <v>35.72</v>
      </c>
      <c r="F11890" t="n">
        <v>1</v>
      </c>
      <c r="G11890" t="n">
        <v>39</v>
      </c>
      <c r="H11890" s="5">
        <f>HYPERLINK("https://api.qogita.com/variants/link/8011003864089/", "View Product")</f>
        <v/>
      </c>
    </row>
    <row r="11891">
      <c r="A11891" t="inlineStr">
        <is>
          <t>8011003864164</t>
        </is>
      </c>
      <c r="B11891" t="inlineStr">
        <is>
          <t>Moschino Toy 2 Bubble Gum Gift Set 50ml EDT 100ml Body Lotion</t>
        </is>
      </c>
      <c r="C11891" t="inlineStr">
        <is>
          <t>Fragrance Sets</t>
        </is>
      </c>
      <c r="D11891" t="inlineStr">
        <is>
          <t>Moschino</t>
        </is>
      </c>
      <c r="E11891" t="n">
        <v>39.82</v>
      </c>
      <c r="F11891" t="n">
        <v>1</v>
      </c>
      <c r="G11891" t="n">
        <v>4</v>
      </c>
      <c r="H11891" s="5">
        <f>HYPERLINK("https://api.qogita.com/variants/link/8011003864164/", "View Product")</f>
        <v/>
      </c>
    </row>
    <row r="11892">
      <c r="A11892" t="inlineStr">
        <is>
          <t>8011003865802</t>
        </is>
      </c>
      <c r="B11892" t="inlineStr">
        <is>
          <t>Atkinsons English Lavender Eau De Toilette Spray 75ml</t>
        </is>
      </c>
      <c r="C11892" t="inlineStr">
        <is>
          <t>Eau De Toilette</t>
        </is>
      </c>
      <c r="D11892" t="inlineStr">
        <is>
          <t>Atkinsons</t>
        </is>
      </c>
      <c r="E11892" t="n">
        <v>15.15</v>
      </c>
      <c r="F11892" t="n">
        <v>1</v>
      </c>
      <c r="G11892" t="n">
        <v>9</v>
      </c>
      <c r="H11892" s="5">
        <f>HYPERLINK("https://api.qogita.com/variants/link/8011003865802/", "View Product")</f>
        <v/>
      </c>
    </row>
    <row r="11893">
      <c r="A11893" t="inlineStr">
        <is>
          <t>8011003865970</t>
        </is>
      </c>
      <c r="B11893" t="inlineStr">
        <is>
          <t>Atkinsons Posh On The Green Eau De Parfum Spray 100ml</t>
        </is>
      </c>
      <c r="C11893" t="inlineStr">
        <is>
          <t>Eau De Parfum</t>
        </is>
      </c>
      <c r="D11893" t="inlineStr">
        <is>
          <t>Atkinson's</t>
        </is>
      </c>
      <c r="E11893" t="n">
        <v>72.83</v>
      </c>
      <c r="F11893" t="n">
        <v>1</v>
      </c>
      <c r="G11893" t="n">
        <v>7</v>
      </c>
      <c r="H11893" s="5">
        <f>HYPERLINK("https://api.qogita.com/variants/link/8011003865970/", "View Product")</f>
        <v/>
      </c>
    </row>
    <row r="11894">
      <c r="A11894" t="inlineStr">
        <is>
          <t>8011003867158</t>
        </is>
      </c>
      <c r="B11894" t="inlineStr">
        <is>
          <t>Atkinsons Oud Save The King Eau De Parfum Spray 100ml Unisex</t>
        </is>
      </c>
      <c r="C11894" t="inlineStr">
        <is>
          <t>Eau De Parfum</t>
        </is>
      </c>
      <c r="D11894" t="inlineStr">
        <is>
          <t>Atkinsons</t>
        </is>
      </c>
      <c r="E11894" t="n">
        <v>113.72</v>
      </c>
      <c r="F11894" t="n">
        <v>1</v>
      </c>
      <c r="G11894" t="n">
        <v>6</v>
      </c>
      <c r="H11894" s="5">
        <f>HYPERLINK("https://api.qogita.com/variants/link/8011003867158/", "View Product")</f>
        <v/>
      </c>
    </row>
    <row r="11895">
      <c r="A11895" t="inlineStr">
        <is>
          <t>8011003873807</t>
        </is>
      </c>
      <c r="B11895" t="inlineStr">
        <is>
          <t>Dsquared2 Men's Wood 2pc Gift Set Fragrances</t>
        </is>
      </c>
      <c r="C11895" t="inlineStr">
        <is>
          <t>Fragrance Sets</t>
        </is>
      </c>
      <c r="D11895" t="inlineStr">
        <is>
          <t>Dsquared2</t>
        </is>
      </c>
      <c r="E11895" t="n">
        <v>40.19</v>
      </c>
      <c r="F11895" t="n">
        <v>1</v>
      </c>
      <c r="G11895" t="n">
        <v>24</v>
      </c>
      <c r="H11895" s="5">
        <f>HYPERLINK("https://api.qogita.com/variants/link/8011003873807/", "View Product")</f>
        <v/>
      </c>
    </row>
    <row r="11896">
      <c r="A11896" t="inlineStr">
        <is>
          <t>8011003876266</t>
        </is>
      </c>
      <c r="B11896" t="inlineStr">
        <is>
          <t>Versace Pour Femme Dylan Purple Eau De Parfum Spray 30ml</t>
        </is>
      </c>
      <c r="C11896" t="inlineStr">
        <is>
          <t>Eau De Parfum</t>
        </is>
      </c>
      <c r="D11896" t="inlineStr">
        <is>
          <t>Versace</t>
        </is>
      </c>
      <c r="E11896" t="n">
        <v>31.94</v>
      </c>
      <c r="F11896" t="n">
        <v>1</v>
      </c>
      <c r="G11896" t="n">
        <v>183</v>
      </c>
      <c r="H11896" s="5">
        <f>HYPERLINK("https://api.qogita.com/variants/link/8011003876266/", "View Product")</f>
        <v/>
      </c>
    </row>
    <row r="11897">
      <c r="A11897" t="inlineStr">
        <is>
          <t>8011003878680</t>
        </is>
      </c>
      <c r="B11897" t="inlineStr">
        <is>
          <t>Moschino Toy2 Pearl Body Lotion 200ml By Moschino</t>
        </is>
      </c>
      <c r="C11897" t="inlineStr">
        <is>
          <t>Body Lotion</t>
        </is>
      </c>
      <c r="D11897" t="inlineStr">
        <is>
          <t>Moschino</t>
        </is>
      </c>
      <c r="E11897" t="n">
        <v>18.39</v>
      </c>
      <c r="F11897" t="n">
        <v>1</v>
      </c>
      <c r="G11897" t="n">
        <v>2</v>
      </c>
      <c r="H11897" s="5">
        <f>HYPERLINK("https://api.qogita.com/variants/link/8011003878680/", "View Product")</f>
        <v/>
      </c>
    </row>
    <row r="11898">
      <c r="A11898" t="inlineStr">
        <is>
          <t>8011003879199</t>
        </is>
      </c>
      <c r="B11898" t="inlineStr">
        <is>
          <t>Versace Eros Pour Femme Set Eau De Toilette 100 Ml Body Lotion 150 Ml</t>
        </is>
      </c>
      <c r="C11898" t="inlineStr">
        <is>
          <t>Fragrance Sets</t>
        </is>
      </c>
      <c r="D11898" t="inlineStr">
        <is>
          <t>Versace</t>
        </is>
      </c>
      <c r="E11898" t="n">
        <v>69.18000000000001</v>
      </c>
      <c r="F11898" t="n">
        <v>1</v>
      </c>
      <c r="G11898" t="n">
        <v>21</v>
      </c>
      <c r="H11898" s="5">
        <f>HYPERLINK("https://api.qogita.com/variants/link/8011003879199/", "View Product")</f>
        <v/>
      </c>
    </row>
    <row r="11899">
      <c r="A11899" t="inlineStr">
        <is>
          <t>8011003891061</t>
        </is>
      </c>
      <c r="B11899" t="inlineStr">
        <is>
          <t>Versace Crystal Noir Parfum Spray 90ml Women's Fragrance</t>
        </is>
      </c>
      <c r="C11899" t="inlineStr">
        <is>
          <t>Eau De Parfum</t>
        </is>
      </c>
      <c r="D11899" t="inlineStr">
        <is>
          <t>Versace</t>
        </is>
      </c>
      <c r="E11899" t="n">
        <v>71.39</v>
      </c>
      <c r="F11899" t="n">
        <v>1</v>
      </c>
      <c r="G11899" t="n">
        <v>99</v>
      </c>
      <c r="H11899" s="5">
        <f>HYPERLINK("https://api.qogita.com/variants/link/8011003891061/", "View Product")</f>
        <v/>
      </c>
    </row>
    <row r="11900">
      <c r="A11900" t="inlineStr">
        <is>
          <t>8011003891092</t>
        </is>
      </c>
      <c r="B11900" t="inlineStr">
        <is>
          <t>Versace Bright Crystal Parfum 90 Ml</t>
        </is>
      </c>
      <c r="C11900" t="inlineStr">
        <is>
          <t>Eau De Parfum</t>
        </is>
      </c>
      <c r="D11900" t="inlineStr">
        <is>
          <t>Versace</t>
        </is>
      </c>
      <c r="E11900" t="n">
        <v>88.40000000000001</v>
      </c>
      <c r="F11900" t="n">
        <v>1</v>
      </c>
      <c r="G11900" t="n">
        <v>149</v>
      </c>
      <c r="H11900" s="5">
        <f>HYPERLINK("https://api.qogita.com/variants/link/8011003891092/", "View Product")</f>
        <v/>
      </c>
    </row>
    <row r="11901">
      <c r="A11901" t="inlineStr">
        <is>
          <t>8011003891160</t>
        </is>
      </c>
      <c r="B11901" t="inlineStr">
        <is>
          <t>Dsquared2 Icon Pour Homme Eau De Parfum 50 Ml</t>
        </is>
      </c>
      <c r="C11901" t="inlineStr">
        <is>
          <t>Eau De Parfum</t>
        </is>
      </c>
      <c r="D11901" t="inlineStr">
        <is>
          <t>Dsquared2</t>
        </is>
      </c>
      <c r="E11901" t="n">
        <v>31.34</v>
      </c>
      <c r="F11901" t="n">
        <v>1</v>
      </c>
      <c r="G11901" t="n">
        <v>35</v>
      </c>
      <c r="H11901" s="5">
        <f>HYPERLINK("https://api.qogita.com/variants/link/8011003891160/", "View Product")</f>
        <v/>
      </c>
    </row>
    <row r="11902">
      <c r="A11902" t="inlineStr">
        <is>
          <t>8011003893324</t>
        </is>
      </c>
      <c r="B11902" t="inlineStr">
        <is>
          <t>Versace Eros Eau De Parfum Spray Set - 100ml Spray, 100ml Body Lotion, 100ml Shower Gel, Cosmetic Bag</t>
        </is>
      </c>
      <c r="C11902" t="inlineStr">
        <is>
          <t>Fragrance Sets</t>
        </is>
      </c>
      <c r="D11902" t="inlineStr">
        <is>
          <t>Versace</t>
        </is>
      </c>
      <c r="E11902" t="n">
        <v>91.77</v>
      </c>
      <c r="F11902" t="n">
        <v>1</v>
      </c>
      <c r="G11902" t="n">
        <v>3</v>
      </c>
      <c r="H11902" s="5">
        <f>HYPERLINK("https://api.qogita.com/variants/link/8011003893324/", "View Product")</f>
        <v/>
      </c>
    </row>
    <row r="11903">
      <c r="A11903" t="inlineStr">
        <is>
          <t>8011003893393</t>
        </is>
      </c>
      <c r="B11903" t="inlineStr">
        <is>
          <t>Versace Dylan Purple 50ml Eau De Parfum Set</t>
        </is>
      </c>
      <c r="C11903" t="inlineStr">
        <is>
          <t>Fragrance Sets</t>
        </is>
      </c>
      <c r="D11903" t="inlineStr">
        <is>
          <t>Versace</t>
        </is>
      </c>
      <c r="E11903" t="n">
        <v>63</v>
      </c>
      <c r="F11903" t="n">
        <v>1</v>
      </c>
      <c r="G11903" t="n">
        <v>2</v>
      </c>
      <c r="H11903" s="5">
        <f>HYPERLINK("https://api.qogita.com/variants/link/8011003893393/", "View Product")</f>
        <v/>
      </c>
    </row>
    <row r="11904">
      <c r="A11904" t="inlineStr">
        <is>
          <t>8011003893577</t>
        </is>
      </c>
      <c r="B11904" t="inlineStr">
        <is>
          <t>Versace Eros Eau De Toilette Spray 100ml Christmas Set 3 Pieces</t>
        </is>
      </c>
      <c r="C11904" t="inlineStr">
        <is>
          <t>Fragrance Sets</t>
        </is>
      </c>
      <c r="D11904" t="inlineStr">
        <is>
          <t>Versace</t>
        </is>
      </c>
      <c r="E11904" t="n">
        <v>66.67</v>
      </c>
      <c r="F11904" t="n">
        <v>1</v>
      </c>
      <c r="G11904" t="n">
        <v>3</v>
      </c>
      <c r="H11904" s="5">
        <f>HYPERLINK("https://api.qogita.com/variants/link/8011003893577/", "View Product")</f>
        <v/>
      </c>
    </row>
    <row r="11905">
      <c r="A11905" t="inlineStr">
        <is>
          <t>8011003893829</t>
        </is>
      </c>
      <c r="B11905" t="inlineStr">
        <is>
          <t>Moschino Toy Boy Fragrance Set</t>
        </is>
      </c>
      <c r="C11905" t="inlineStr">
        <is>
          <t>Fragrance Sets</t>
        </is>
      </c>
      <c r="D11905" t="inlineStr">
        <is>
          <t>Moschino</t>
        </is>
      </c>
      <c r="E11905" t="n">
        <v>37.33</v>
      </c>
      <c r="F11905" t="n">
        <v>1</v>
      </c>
      <c r="G11905" t="n">
        <v>5</v>
      </c>
      <c r="H11905" s="5">
        <f>HYPERLINK("https://api.qogita.com/variants/link/8011003893829/", "View Product")</f>
        <v/>
      </c>
    </row>
    <row r="11906">
      <c r="A11906" t="inlineStr">
        <is>
          <t>8011003893904</t>
        </is>
      </c>
      <c r="B11906" t="inlineStr">
        <is>
          <t>Dsquared2 Wood Pour Homme Gift Set - Eau De Toilette 100 Ml, Shower Gel 100 Ml, And After Shave Balsam 100 Ml</t>
        </is>
      </c>
      <c r="C11906" t="inlineStr">
        <is>
          <t>Fragrance</t>
        </is>
      </c>
      <c r="D11906" t="inlineStr">
        <is>
          <t>Dsquared2</t>
        </is>
      </c>
      <c r="E11906" t="n">
        <v>38.84</v>
      </c>
      <c r="F11906" t="n">
        <v>1</v>
      </c>
      <c r="G11906" t="n">
        <v>2</v>
      </c>
      <c r="H11906" s="5">
        <f>HYPERLINK("https://api.qogita.com/variants/link/8011003893904/", "View Product")</f>
        <v/>
      </c>
    </row>
    <row r="11907">
      <c r="A11907" t="inlineStr">
        <is>
          <t>8011003899876</t>
        </is>
      </c>
      <c r="B11907" t="inlineStr">
        <is>
          <t>Versace Eros Pour Femme Gift Set Includes Edp Spray 100ml Shower Gel 100ml Body Lotion 100ml And Miniature Edp 5ml</t>
        </is>
      </c>
      <c r="C11907" t="inlineStr">
        <is>
          <t>Fragrance Sets</t>
        </is>
      </c>
      <c r="D11907" t="inlineStr">
        <is>
          <t>Versace</t>
        </is>
      </c>
      <c r="E11907" t="n">
        <v>80.43000000000001</v>
      </c>
      <c r="F11907" t="n">
        <v>1</v>
      </c>
      <c r="G11907" t="n">
        <v>11</v>
      </c>
      <c r="H11907" s="5">
        <f>HYPERLINK("https://api.qogita.com/variants/link/8011003899876/", "View Product")</f>
        <v/>
      </c>
    </row>
    <row r="11908">
      <c r="A11908" t="inlineStr">
        <is>
          <t>8011003899883</t>
        </is>
      </c>
      <c r="B11908" t="inlineStr">
        <is>
          <t>Versace Eros Flame Pour Homme Gift Set Eau De Parfum Spray 100ml Shower Gel 150ml Eau De Parfum 5ml</t>
        </is>
      </c>
      <c r="C11908" t="inlineStr">
        <is>
          <t>Fragrance Sets</t>
        </is>
      </c>
      <c r="D11908" t="inlineStr">
        <is>
          <t>Versace</t>
        </is>
      </c>
      <c r="E11908" t="n">
        <v>72.38</v>
      </c>
      <c r="F11908" t="n">
        <v>1</v>
      </c>
      <c r="G11908" t="n">
        <v>20</v>
      </c>
      <c r="H11908" s="5">
        <f>HYPERLINK("https://api.qogita.com/variants/link/8011003899883/", "View Product")</f>
        <v/>
      </c>
    </row>
    <row r="11909">
      <c r="A11909" t="inlineStr">
        <is>
          <t>8011003899920</t>
        </is>
      </c>
      <c r="B11909" t="inlineStr">
        <is>
          <t>Versace Eau Fraiche Pour Homme Eau De Toilette Spray 100ml Shower Gel 150ml</t>
        </is>
      </c>
      <c r="C11909" t="inlineStr">
        <is>
          <t>Eau De Toilette</t>
        </is>
      </c>
      <c r="D11909" t="inlineStr">
        <is>
          <t>Versace</t>
        </is>
      </c>
      <c r="E11909" t="n">
        <v>44.74</v>
      </c>
      <c r="F11909" t="n">
        <v>1</v>
      </c>
      <c r="G11909" t="n">
        <v>295</v>
      </c>
      <c r="H11909" s="5">
        <f>HYPERLINK("https://api.qogita.com/variants/link/8011003899920/", "View Product")</f>
        <v/>
      </c>
    </row>
    <row r="11910">
      <c r="A11910" t="inlineStr">
        <is>
          <t>8011003899968</t>
        </is>
      </c>
      <c r="B11910" t="inlineStr">
        <is>
          <t>Versace Pour Homme Gift Set Includes 100ml Edt Spray 5ml Edt And 150ml Shower Gel</t>
        </is>
      </c>
      <c r="C11910" t="inlineStr">
        <is>
          <t>Fragrance Sets</t>
        </is>
      </c>
      <c r="D11910" t="inlineStr">
        <is>
          <t>Versace</t>
        </is>
      </c>
      <c r="E11910" t="n">
        <v>53.46</v>
      </c>
      <c r="F11910" t="n">
        <v>1</v>
      </c>
      <c r="G11910" t="n">
        <v>23</v>
      </c>
      <c r="H11910" s="5">
        <f>HYPERLINK("https://api.qogita.com/variants/link/8011003899968/", "View Product")</f>
        <v/>
      </c>
    </row>
    <row r="11911">
      <c r="A11911" t="inlineStr">
        <is>
          <t>8011003901425</t>
        </is>
      </c>
      <c r="B11911" t="inlineStr">
        <is>
          <t>Versace Eros Energy Deodorant 75ml</t>
        </is>
      </c>
      <c r="C11911" t="inlineStr">
        <is>
          <t>Deodorant &amp; Anti-Perspirant</t>
        </is>
      </c>
      <c r="D11911" t="inlineStr">
        <is>
          <t>Versace</t>
        </is>
      </c>
      <c r="E11911" t="n">
        <v>19.41</v>
      </c>
      <c r="F11911" t="n">
        <v>1</v>
      </c>
      <c r="G11911" t="n">
        <v>7</v>
      </c>
      <c r="H11911" s="5">
        <f>HYPERLINK("https://api.qogita.com/variants/link/8011003901425/", "View Product")</f>
        <v/>
      </c>
    </row>
    <row r="11912">
      <c r="A11912" t="inlineStr">
        <is>
          <t>8011003991143</t>
        </is>
      </c>
      <c r="B11912" t="inlineStr">
        <is>
          <t>Moschino I Love Love Eau De Toilette Spray 50ml</t>
        </is>
      </c>
      <c r="C11912" t="inlineStr">
        <is>
          <t>Eau De Toilette</t>
        </is>
      </c>
      <c r="D11912" t="inlineStr">
        <is>
          <t>Moschino</t>
        </is>
      </c>
      <c r="E11912" t="n">
        <v>14.87</v>
      </c>
      <c r="F11912" t="n">
        <v>1</v>
      </c>
      <c r="G11912" t="n">
        <v>993</v>
      </c>
      <c r="H11912" s="5">
        <f>HYPERLINK("https://api.qogita.com/variants/link/8011003991143/", "View Product")</f>
        <v/>
      </c>
    </row>
    <row r="11913">
      <c r="A11913" t="inlineStr">
        <is>
          <t>8011003991594</t>
        </is>
      </c>
      <c r="B11913" t="inlineStr">
        <is>
          <t>Moschino Funny Eau de Toilette 25ml</t>
        </is>
      </c>
      <c r="C11913" t="inlineStr">
        <is>
          <t>Eau De Toilette</t>
        </is>
      </c>
      <c r="D11913" t="inlineStr">
        <is>
          <t>Moschino</t>
        </is>
      </c>
      <c r="E11913" t="n">
        <v>19.17</v>
      </c>
      <c r="F11913" t="n">
        <v>1</v>
      </c>
      <c r="G11913" t="n">
        <v>49</v>
      </c>
      <c r="H11913" s="5">
        <f>HYPERLINK("https://api.qogita.com/variants/link/8011003991594/", "View Product")</f>
        <v/>
      </c>
    </row>
    <row r="11914">
      <c r="A11914" t="inlineStr">
        <is>
          <t>8011003991655</t>
        </is>
      </c>
      <c r="B11914" t="inlineStr">
        <is>
          <t>Moschino Funny by Moschino Eau De Toilette Spray for Women 3.4 oz</t>
        </is>
      </c>
      <c r="C11914" t="inlineStr">
        <is>
          <t>Eau De Toilette</t>
        </is>
      </c>
      <c r="D11914" t="inlineStr">
        <is>
          <t>Moschino</t>
        </is>
      </c>
      <c r="E11914" t="n">
        <v>25.99</v>
      </c>
      <c r="F11914" t="n">
        <v>1</v>
      </c>
      <c r="G11914" t="n">
        <v>9</v>
      </c>
      <c r="H11914" s="5">
        <f>HYPERLINK("https://api.qogita.com/variants/link/8011003991655/", "View Product")</f>
        <v/>
      </c>
    </row>
    <row r="11915">
      <c r="A11915" t="inlineStr">
        <is>
          <t>8011003993826</t>
        </is>
      </c>
      <c r="B11915" t="inlineStr">
        <is>
          <t>Versace Bright Crystal Eau De Toilette 90ml Women's Fragrance</t>
        </is>
      </c>
      <c r="C11915" t="inlineStr">
        <is>
          <t>Eau De Toilette</t>
        </is>
      </c>
      <c r="D11915" t="inlineStr">
        <is>
          <t>Versace</t>
        </is>
      </c>
      <c r="E11915" t="n">
        <v>47.48</v>
      </c>
      <c r="F11915" t="n">
        <v>1</v>
      </c>
      <c r="G11915" t="n">
        <v>60</v>
      </c>
      <c r="H11915" s="5">
        <f>HYPERLINK("https://api.qogita.com/variants/link/8011003993826/", "View Product")</f>
        <v/>
      </c>
    </row>
    <row r="11916">
      <c r="A11916" t="inlineStr">
        <is>
          <t>8011003993857</t>
        </is>
      </c>
      <c r="B11916" t="inlineStr">
        <is>
          <t>Versace Bright Crystal Perfumed Body Lotion 200ml</t>
        </is>
      </c>
      <c r="C11916" t="inlineStr">
        <is>
          <t>Body Lotion</t>
        </is>
      </c>
      <c r="D11916" t="inlineStr">
        <is>
          <t>Versace</t>
        </is>
      </c>
      <c r="E11916" t="n">
        <v>21.6</v>
      </c>
      <c r="F11916" t="n">
        <v>1</v>
      </c>
      <c r="G11916" t="n">
        <v>25</v>
      </c>
      <c r="H11916" s="5">
        <f>HYPERLINK("https://api.qogita.com/variants/link/8011003993857/", "View Product")</f>
        <v/>
      </c>
    </row>
    <row r="11917">
      <c r="A11917" t="inlineStr">
        <is>
          <t>8011003993871</t>
        </is>
      </c>
      <c r="B11917" t="inlineStr">
        <is>
          <t>Versace Bright Crystal Eau De Toilette Spray for Her 5ml Travel Size</t>
        </is>
      </c>
      <c r="C11917" t="inlineStr">
        <is>
          <t>Eau De Toilette</t>
        </is>
      </c>
      <c r="D11917" t="inlineStr">
        <is>
          <t>Versace</t>
        </is>
      </c>
      <c r="E11917" t="n">
        <v>6.83</v>
      </c>
      <c r="F11917" t="n">
        <v>1</v>
      </c>
      <c r="G11917" t="n">
        <v>9</v>
      </c>
      <c r="H11917" s="5">
        <f>HYPERLINK("https://api.qogita.com/variants/link/8011003993871/", "View Product")</f>
        <v/>
      </c>
    </row>
    <row r="11918">
      <c r="A11918" t="inlineStr">
        <is>
          <t>8011003995431</t>
        </is>
      </c>
      <c r="B11918" t="inlineStr">
        <is>
          <t>Versace Bright Crystal Eau De Toilette Spray Set 2x30ml</t>
        </is>
      </c>
      <c r="C11918" t="inlineStr">
        <is>
          <t>Fragrance Sets</t>
        </is>
      </c>
      <c r="D11918" t="inlineStr">
        <is>
          <t>Versace</t>
        </is>
      </c>
      <c r="E11918" t="n">
        <v>57.14</v>
      </c>
      <c r="F11918" t="n">
        <v>1</v>
      </c>
      <c r="G11918" t="n">
        <v>6</v>
      </c>
      <c r="H11918" s="5">
        <f>HYPERLINK("https://api.qogita.com/variants/link/8011003995431/", "View Product")</f>
        <v/>
      </c>
    </row>
    <row r="11919">
      <c r="A11919" t="inlineStr">
        <is>
          <t>8011003996018</t>
        </is>
      </c>
      <c r="B11919" t="inlineStr">
        <is>
          <t>Versace Pour Homme Shower Gel 250ml</t>
        </is>
      </c>
      <c r="C11919" t="inlineStr">
        <is>
          <t>Shower Gel</t>
        </is>
      </c>
      <c r="D11919" t="inlineStr">
        <is>
          <t>Versace</t>
        </is>
      </c>
      <c r="E11919" t="n">
        <v>19.59</v>
      </c>
      <c r="F11919" t="n">
        <v>1</v>
      </c>
      <c r="G11919" t="n">
        <v>5</v>
      </c>
      <c r="H11919" s="5">
        <f>HYPERLINK("https://api.qogita.com/variants/link/8011003996018/", "View Product")</f>
        <v/>
      </c>
    </row>
    <row r="11920">
      <c r="A11920" t="inlineStr">
        <is>
          <t>8011003997046</t>
        </is>
      </c>
      <c r="B11920" t="inlineStr">
        <is>
          <t>Versace Versense Shower Gel 200ml</t>
        </is>
      </c>
      <c r="C11920" t="inlineStr">
        <is>
          <t>Shower Gel</t>
        </is>
      </c>
      <c r="D11920" t="inlineStr">
        <is>
          <t>Versace</t>
        </is>
      </c>
      <c r="E11920" t="n">
        <v>14.84</v>
      </c>
      <c r="F11920" t="n">
        <v>1</v>
      </c>
      <c r="G11920" t="n">
        <v>23</v>
      </c>
      <c r="H11920" s="5">
        <f>HYPERLINK("https://api.qogita.com/variants/link/8011003997046/", "View Product")</f>
        <v/>
      </c>
    </row>
    <row r="11921">
      <c r="A11921" t="inlineStr">
        <is>
          <t>8011530000288</t>
        </is>
      </c>
      <c r="B11921" t="inlineStr">
        <is>
          <t>Laura Biagiotti Roma Shower Gel</t>
        </is>
      </c>
      <c r="C11921" t="inlineStr">
        <is>
          <t>Shower Gel</t>
        </is>
      </c>
      <c r="D11921" t="inlineStr">
        <is>
          <t>Laura Biagiotti</t>
        </is>
      </c>
      <c r="E11921" t="n">
        <v>6.08</v>
      </c>
      <c r="F11921" t="n">
        <v>1</v>
      </c>
      <c r="G11921" t="n">
        <v>17</v>
      </c>
      <c r="H11921" s="5">
        <f>HYPERLINK("https://api.qogita.com/variants/link/8011530000288/", "View Product")</f>
        <v/>
      </c>
    </row>
    <row r="11922">
      <c r="A11922" t="inlineStr">
        <is>
          <t>8011530005139</t>
        </is>
      </c>
      <c r="B11922" t="inlineStr">
        <is>
          <t>Laura Biagiotti Romamor Eau De Toilette Spray 100ml</t>
        </is>
      </c>
      <c r="C11922" t="inlineStr">
        <is>
          <t>Eau De Toilette</t>
        </is>
      </c>
      <c r="D11922" t="inlineStr">
        <is>
          <t>Laura Biagiotti</t>
        </is>
      </c>
      <c r="E11922" t="n">
        <v>24.68</v>
      </c>
      <c r="F11922" t="n">
        <v>1</v>
      </c>
      <c r="G11922" t="n">
        <v>40</v>
      </c>
      <c r="H11922" s="5">
        <f>HYPERLINK("https://api.qogita.com/variants/link/8011530005139/", "View Product")</f>
        <v/>
      </c>
    </row>
    <row r="11923">
      <c r="A11923" t="inlineStr">
        <is>
          <t>8011530005146</t>
        </is>
      </c>
      <c r="B11923" t="inlineStr">
        <is>
          <t>Laura Biagiotti Romamor Uomo Eau De Toilette Spray 125ml</t>
        </is>
      </c>
      <c r="C11923" t="inlineStr">
        <is>
          <t>Eau De Toilette</t>
        </is>
      </c>
      <c r="D11923" t="inlineStr">
        <is>
          <t>Laura Biagiotti</t>
        </is>
      </c>
      <c r="E11923" t="n">
        <v>21.46</v>
      </c>
      <c r="F11923" t="n">
        <v>1</v>
      </c>
      <c r="G11923" t="n">
        <v>27</v>
      </c>
      <c r="H11923" s="5">
        <f>HYPERLINK("https://api.qogita.com/variants/link/8011530005146/", "View Product")</f>
        <v/>
      </c>
    </row>
    <row r="11924">
      <c r="A11924" t="inlineStr">
        <is>
          <t>8011530805401</t>
        </is>
      </c>
      <c r="B11924" t="inlineStr">
        <is>
          <t>Donna Goccia A Goccia by Trussardi for Women 1.7 Oz EDP Splash</t>
        </is>
      </c>
      <c r="C11924" t="inlineStr">
        <is>
          <t>Eau De Parfum</t>
        </is>
      </c>
      <c r="D11924" t="inlineStr">
        <is>
          <t>Trussardi</t>
        </is>
      </c>
      <c r="E11924" t="n">
        <v>20.47</v>
      </c>
      <c r="F11924" t="n">
        <v>1</v>
      </c>
      <c r="G11924" t="n">
        <v>6</v>
      </c>
      <c r="H11924" s="5">
        <f>HYPERLINK("https://api.qogita.com/variants/link/8011530805401/", "View Product")</f>
        <v/>
      </c>
    </row>
    <row r="11925">
      <c r="A11925" t="inlineStr">
        <is>
          <t>8011530810023</t>
        </is>
      </c>
      <c r="B11925" t="inlineStr">
        <is>
          <t>Trussardi Uomo 2011 Eau De Toilette Spray 100ml For Men</t>
        </is>
      </c>
      <c r="C11925" t="inlineStr">
        <is>
          <t>Eau De Toilette</t>
        </is>
      </c>
      <c r="D11925" t="inlineStr">
        <is>
          <t>Trussardi</t>
        </is>
      </c>
      <c r="E11925" t="n">
        <v>38.1</v>
      </c>
      <c r="F11925" t="n">
        <v>1</v>
      </c>
      <c r="G11925" t="n">
        <v>14</v>
      </c>
      <c r="H11925" s="5">
        <f>HYPERLINK("https://api.qogita.com/variants/link/8011530810023/", "View Product")</f>
        <v/>
      </c>
    </row>
    <row r="11926">
      <c r="A11926" t="inlineStr">
        <is>
          <t>8011530830007</t>
        </is>
      </c>
      <c r="B11926" t="inlineStr">
        <is>
          <t>Trussardi My Land Eau De Toilette For Men 30 Ml</t>
        </is>
      </c>
      <c r="C11926" t="inlineStr">
        <is>
          <t>Eau De Toilette</t>
        </is>
      </c>
      <c r="D11926" t="inlineStr">
        <is>
          <t>Trussardi</t>
        </is>
      </c>
      <c r="E11926" t="n">
        <v>18.34</v>
      </c>
      <c r="F11926" t="n">
        <v>1</v>
      </c>
      <c r="G11926" t="n">
        <v>43</v>
      </c>
      <c r="H11926" s="5">
        <f>HYPERLINK("https://api.qogita.com/variants/link/8011530830007/", "View Product")</f>
        <v/>
      </c>
    </row>
    <row r="11927">
      <c r="A11927" t="inlineStr">
        <is>
          <t>8011530850012</t>
        </is>
      </c>
      <c r="B11927" t="inlineStr">
        <is>
          <t>My Name Eau de Parfum Vaporizer 50ml</t>
        </is>
      </c>
      <c r="C11927" t="inlineStr">
        <is>
          <t>Eau De Parfum</t>
        </is>
      </c>
      <c r="D11927" t="inlineStr">
        <is>
          <t>Trussardi</t>
        </is>
      </c>
      <c r="E11927" t="n">
        <v>29.63</v>
      </c>
      <c r="F11927" t="n">
        <v>1</v>
      </c>
      <c r="G11927" t="n">
        <v>24</v>
      </c>
      <c r="H11927" s="5">
        <f>HYPERLINK("https://api.qogita.com/variants/link/8011530850012/", "View Product")</f>
        <v/>
      </c>
    </row>
    <row r="11928">
      <c r="A11928" t="inlineStr">
        <is>
          <t>8011530994792</t>
        </is>
      </c>
      <c r="B11928" t="inlineStr">
        <is>
          <t>Trussardi Perfume Black Extreme - Tester 100ml</t>
        </is>
      </c>
      <c r="C11928" t="inlineStr">
        <is>
          <t>Eau De Parfum</t>
        </is>
      </c>
      <c r="D11928" t="inlineStr">
        <is>
          <t>Trussardi</t>
        </is>
      </c>
      <c r="E11928" t="n">
        <v>23.35</v>
      </c>
      <c r="F11928" t="n">
        <v>1</v>
      </c>
      <c r="G11928" t="n">
        <v>14</v>
      </c>
      <c r="H11928" s="5">
        <f>HYPERLINK("https://api.qogita.com/variants/link/8011530994792/", "View Product")</f>
        <v/>
      </c>
    </row>
    <row r="11929">
      <c r="A11929" t="inlineStr">
        <is>
          <t>8011530994808</t>
        </is>
      </c>
      <c r="B11929" t="inlineStr">
        <is>
          <t>Trussardi Black Extreme Eau De Toilette 100ml For Men Spray</t>
        </is>
      </c>
      <c r="C11929" t="inlineStr">
        <is>
          <t>Eau De Toilette</t>
        </is>
      </c>
      <c r="D11929" t="inlineStr">
        <is>
          <t>Trussardi</t>
        </is>
      </c>
      <c r="E11929" t="n">
        <v>35.5</v>
      </c>
      <c r="F11929" t="n">
        <v>1</v>
      </c>
      <c r="G11929" t="n">
        <v>17</v>
      </c>
      <c r="H11929" s="5">
        <f>HYPERLINK("https://api.qogita.com/variants/link/8011530994808/", "View Product")</f>
        <v/>
      </c>
    </row>
    <row r="11930">
      <c r="A11930" t="inlineStr">
        <is>
          <t>8011530994846</t>
        </is>
      </c>
      <c r="B11930" t="inlineStr">
        <is>
          <t>Trussardi Black Extreme EDT 30ml</t>
        </is>
      </c>
      <c r="C11930" t="inlineStr">
        <is>
          <t>Eau De Toilette</t>
        </is>
      </c>
      <c r="D11930" t="inlineStr">
        <is>
          <t>Trussardi</t>
        </is>
      </c>
      <c r="E11930" t="n">
        <v>19.91</v>
      </c>
      <c r="F11930" t="n">
        <v>1</v>
      </c>
      <c r="G11930" t="n">
        <v>6</v>
      </c>
      <c r="H11930" s="5">
        <f>HYPERLINK("https://api.qogita.com/variants/link/8011530994846/", "View Product")</f>
        <v/>
      </c>
    </row>
    <row r="11931">
      <c r="A11931" t="inlineStr">
        <is>
          <t>8011607178476</t>
        </is>
      </c>
      <c r="B11931" t="inlineStr">
        <is>
          <t>Pupa Miss Pupa Ultra Brilliant Lipstick In Shade 504, 2.4ml</t>
        </is>
      </c>
      <c r="C11931" t="inlineStr">
        <is>
          <t>Lipstick</t>
        </is>
      </c>
      <c r="D11931" t="inlineStr">
        <is>
          <t>Pupa</t>
        </is>
      </c>
      <c r="E11931" t="n">
        <v>11.13</v>
      </c>
      <c r="F11931" t="n">
        <v>1</v>
      </c>
      <c r="G11931" t="n">
        <v>2</v>
      </c>
      <c r="H11931" s="5">
        <f>HYPERLINK("https://api.qogita.com/variants/link/8011607178476/", "View Product")</f>
        <v/>
      </c>
    </row>
    <row r="11932">
      <c r="A11932" t="inlineStr">
        <is>
          <t>8011607179169</t>
        </is>
      </c>
      <c r="B11932" t="inlineStr">
        <is>
          <t>Pupa Vamp Mascara 301 Electric Blue 9ml - Bold Color And Volume</t>
        </is>
      </c>
      <c r="C11932" t="inlineStr">
        <is>
          <t>Mascara</t>
        </is>
      </c>
      <c r="D11932" t="inlineStr">
        <is>
          <t>Pupa</t>
        </is>
      </c>
      <c r="E11932" t="n">
        <v>11.2</v>
      </c>
      <c r="F11932" t="n">
        <v>1</v>
      </c>
      <c r="G11932" t="n">
        <v>15</v>
      </c>
      <c r="H11932" s="5">
        <f>HYPERLINK("https://api.qogita.com/variants/link/8011607179169/", "View Product")</f>
        <v/>
      </c>
    </row>
    <row r="11933">
      <c r="A11933" t="inlineStr">
        <is>
          <t>8011607189038</t>
        </is>
      </c>
      <c r="B11933" t="inlineStr">
        <is>
          <t>Pupa Eyeliner And Eyebrow Brush</t>
        </is>
      </c>
      <c r="C11933" t="inlineStr">
        <is>
          <t>Eyeliner Brushes</t>
        </is>
      </c>
      <c r="D11933" t="inlineStr">
        <is>
          <t>Pupa</t>
        </is>
      </c>
      <c r="E11933" t="n">
        <v>10.74</v>
      </c>
      <c r="F11933" t="n">
        <v>1</v>
      </c>
      <c r="G11933" t="n">
        <v>5</v>
      </c>
      <c r="H11933" s="5">
        <f>HYPERLINK("https://api.qogita.com/variants/link/8011607189038/", "View Product")</f>
        <v/>
      </c>
    </row>
    <row r="11934">
      <c r="A11934" t="inlineStr">
        <is>
          <t>8011607189052</t>
        </is>
      </c>
      <c r="B11934" t="inlineStr">
        <is>
          <t>Pupa Lip Brush</t>
        </is>
      </c>
      <c r="C11934" t="inlineStr">
        <is>
          <t>Lip Brushes</t>
        </is>
      </c>
      <c r="D11934" t="inlineStr">
        <is>
          <t>Pupa</t>
        </is>
      </c>
      <c r="E11934" t="n">
        <v>11.67</v>
      </c>
      <c r="F11934" t="n">
        <v>1</v>
      </c>
      <c r="G11934" t="n">
        <v>14</v>
      </c>
      <c r="H11934" s="5">
        <f>HYPERLINK("https://api.qogita.com/variants/link/8011607189052/", "View Product")</f>
        <v/>
      </c>
    </row>
    <row r="11935">
      <c r="A11935" t="inlineStr">
        <is>
          <t>8011607189113</t>
        </is>
      </c>
      <c r="B11935" t="inlineStr">
        <is>
          <t>Pupa Active Light Foundation Activator Face Foundation 040 Sand 30ml</t>
        </is>
      </c>
      <c r="C11935" t="inlineStr">
        <is>
          <t>Foundation</t>
        </is>
      </c>
      <c r="D11935" t="inlineStr">
        <is>
          <t>Pupa</t>
        </is>
      </c>
      <c r="E11935" t="n">
        <v>14.82</v>
      </c>
      <c r="F11935" t="n">
        <v>1</v>
      </c>
      <c r="G11935" t="n">
        <v>8</v>
      </c>
      <c r="H11935" s="5">
        <f>HYPERLINK("https://api.qogita.com/variants/link/8011607189113/", "View Product")</f>
        <v/>
      </c>
    </row>
    <row r="11936">
      <c r="A11936" t="inlineStr">
        <is>
          <t>8011607248971</t>
        </is>
      </c>
      <c r="B11936" t="inlineStr">
        <is>
          <t>Pupa Eyebrow Pencil Extra Dark 004 210g</t>
        </is>
      </c>
      <c r="C11936" t="inlineStr">
        <is>
          <t>Eyebrow Pencil</t>
        </is>
      </c>
      <c r="D11936" t="inlineStr">
        <is>
          <t>Pupa</t>
        </is>
      </c>
      <c r="E11936" t="n">
        <v>9.789999999999999</v>
      </c>
      <c r="F11936" t="n">
        <v>1</v>
      </c>
      <c r="G11936" t="n">
        <v>2</v>
      </c>
      <c r="H11936" s="5">
        <f>HYPERLINK("https://api.qogita.com/variants/link/8011607248971/", "View Product")</f>
        <v/>
      </c>
    </row>
    <row r="11937">
      <c r="A11937" t="inlineStr">
        <is>
          <t>8011607255658</t>
        </is>
      </c>
      <c r="B11937" t="inlineStr">
        <is>
          <t>Pupa Milano Long Liquid Lip Colour 005 Deep Ruby Longlasting Liquid Lipstick 2 X 4 Ml</t>
        </is>
      </c>
      <c r="C11937" t="inlineStr">
        <is>
          <t>Lipstick</t>
        </is>
      </c>
      <c r="D11937" t="inlineStr">
        <is>
          <t>Pupa</t>
        </is>
      </c>
      <c r="E11937" t="n">
        <v>11.26</v>
      </c>
      <c r="F11937" t="n">
        <v>1</v>
      </c>
      <c r="G11937" t="n">
        <v>9</v>
      </c>
      <c r="H11937" s="5">
        <f>HYPERLINK("https://api.qogita.com/variants/link/8011607255658/", "View Product")</f>
        <v/>
      </c>
    </row>
    <row r="11938">
      <c r="A11938" t="inlineStr">
        <is>
          <t>8011607270675</t>
        </is>
      </c>
      <c r="B11938" t="inlineStr">
        <is>
          <t>Pupa Vamp Definition Mascara 9 Ml</t>
        </is>
      </c>
      <c r="C11938" t="inlineStr">
        <is>
          <t>Mascara</t>
        </is>
      </c>
      <c r="D11938" t="inlineStr">
        <is>
          <t>Pupa</t>
        </is>
      </c>
      <c r="E11938" t="n">
        <v>10.24</v>
      </c>
      <c r="F11938" t="n">
        <v>1</v>
      </c>
      <c r="G11938" t="n">
        <v>20</v>
      </c>
      <c r="H11938" s="5">
        <f>HYPERLINK("https://api.qogita.com/variants/link/8011607270675/", "View Product")</f>
        <v/>
      </c>
    </row>
    <row r="11939">
      <c r="A11939" t="inlineStr">
        <is>
          <t>8011607271207</t>
        </is>
      </c>
      <c r="B11939" t="inlineStr">
        <is>
          <t>Pupa High Definition Eyebrow Pencil 004 Extra Dark 0.09g</t>
        </is>
      </c>
      <c r="C11939" t="inlineStr">
        <is>
          <t>Eyebrow Pencil</t>
        </is>
      </c>
      <c r="D11939" t="inlineStr">
        <is>
          <t>Pupa</t>
        </is>
      </c>
      <c r="E11939" t="n">
        <v>10.98</v>
      </c>
      <c r="F11939" t="n">
        <v>1</v>
      </c>
      <c r="G11939" t="n">
        <v>2</v>
      </c>
      <c r="H11939" s="5">
        <f>HYPERLINK("https://api.qogita.com/variants/link/8011607271207/", "View Product")</f>
        <v/>
      </c>
    </row>
    <row r="11940">
      <c r="A11940" t="inlineStr">
        <is>
          <t>8011607289912</t>
        </is>
      </c>
      <c r="B11940" t="inlineStr">
        <is>
          <t>Pupa Milano Extreme Cover High Coverage Foundation Zero Imperfections Spf 15 30 Ml Shade 010 Alabaster</t>
        </is>
      </c>
      <c r="C11940" t="inlineStr">
        <is>
          <t>Foundation</t>
        </is>
      </c>
      <c r="D11940" t="inlineStr">
        <is>
          <t>Pupa</t>
        </is>
      </c>
      <c r="E11940" t="n">
        <v>17.42</v>
      </c>
      <c r="F11940" t="n">
        <v>1</v>
      </c>
      <c r="G11940" t="n">
        <v>3</v>
      </c>
      <c r="H11940" s="5">
        <f>HYPERLINK("https://api.qogita.com/variants/link/8011607289912/", "View Product")</f>
        <v/>
      </c>
    </row>
    <row r="11941">
      <c r="A11941" t="inlineStr">
        <is>
          <t>8011607289929</t>
        </is>
      </c>
      <c r="B11941" t="inlineStr">
        <is>
          <t>Pupa Extreme Cover Foundation - 020 Fair Beige, 30ml</t>
        </is>
      </c>
      <c r="C11941" t="inlineStr">
        <is>
          <t>Foundation</t>
        </is>
      </c>
      <c r="D11941" t="inlineStr">
        <is>
          <t>Pupa</t>
        </is>
      </c>
      <c r="E11941" t="n">
        <v>17.65</v>
      </c>
      <c r="F11941" t="n">
        <v>1</v>
      </c>
      <c r="G11941" t="n">
        <v>3</v>
      </c>
      <c r="H11941" s="5">
        <f>HYPERLINK("https://api.qogita.com/variants/link/8011607289929/", "View Product")</f>
        <v/>
      </c>
    </row>
    <row r="11942">
      <c r="A11942" t="inlineStr">
        <is>
          <t>8011607298099</t>
        </is>
      </c>
      <c r="B11942" t="inlineStr">
        <is>
          <t>Pupa Milano Waterproof Bronzing Powder Sport Addicted Bronze 7 G</t>
        </is>
      </c>
      <c r="C11942" t="inlineStr">
        <is>
          <t>Bronzer</t>
        </is>
      </c>
      <c r="D11942" t="inlineStr">
        <is>
          <t>Pupa</t>
        </is>
      </c>
      <c r="E11942" t="n">
        <v>12.51</v>
      </c>
      <c r="F11942" t="n">
        <v>1</v>
      </c>
      <c r="G11942" t="n">
        <v>4</v>
      </c>
      <c r="H11942" s="5">
        <f>HYPERLINK("https://api.qogita.com/variants/link/8011607298099/", "View Product")</f>
        <v/>
      </c>
    </row>
    <row r="11943">
      <c r="A11943" t="inlineStr">
        <is>
          <t>8011607317042</t>
        </is>
      </c>
      <c r="B11943" t="inlineStr">
        <is>
          <t>Pupa Milano I'M Loverproof Liquid Matte Lipstick 27 Ml Vintage Rose</t>
        </is>
      </c>
      <c r="C11943" t="inlineStr">
        <is>
          <t>Lipstick</t>
        </is>
      </c>
      <c r="D11943" t="inlineStr">
        <is>
          <t>Pupa</t>
        </is>
      </c>
      <c r="E11943" t="n">
        <v>10.53</v>
      </c>
      <c r="F11943" t="n">
        <v>1</v>
      </c>
      <c r="G11943" t="n">
        <v>3</v>
      </c>
      <c r="H11943" s="5">
        <f>HYPERLINK("https://api.qogita.com/variants/link/8011607317042/", "View Product")</f>
        <v/>
      </c>
    </row>
    <row r="11944">
      <c r="A11944" t="inlineStr">
        <is>
          <t>8011607317073</t>
        </is>
      </c>
      <c r="B11944" t="inlineStr">
        <is>
          <t>Pupa Milano I'M Loverproof Matt Liquid Lip Colour 009 Red Pop 27 Ml Liquid Matte Lipstick</t>
        </is>
      </c>
      <c r="C11944" t="inlineStr">
        <is>
          <t>Lipstick</t>
        </is>
      </c>
      <c r="D11944" t="inlineStr">
        <is>
          <t>Pupa</t>
        </is>
      </c>
      <c r="E11944" t="n">
        <v>10.53</v>
      </c>
      <c r="F11944" t="n">
        <v>1</v>
      </c>
      <c r="G11944" t="n">
        <v>3</v>
      </c>
      <c r="H11944" s="5">
        <f>HYPERLINK("https://api.qogita.com/variants/link/8011607317073/", "View Product")</f>
        <v/>
      </c>
    </row>
    <row r="11945">
      <c r="A11945" t="inlineStr">
        <is>
          <t>8011607323012</t>
        </is>
      </c>
      <c r="B11945" t="inlineStr">
        <is>
          <t>Pupa Milano Natural Side Lip Gloss Nourishing Lip Gloss 5 Ml 004 Pearly Nude</t>
        </is>
      </c>
      <c r="C11945" t="inlineStr">
        <is>
          <t>Lip Gloss</t>
        </is>
      </c>
      <c r="D11945" t="inlineStr">
        <is>
          <t>Pupa</t>
        </is>
      </c>
      <c r="E11945" t="n">
        <v>10.53</v>
      </c>
      <c r="F11945" t="n">
        <v>1</v>
      </c>
      <c r="G11945" t="n">
        <v>5</v>
      </c>
      <c r="H11945" s="5">
        <f>HYPERLINK("https://api.qogita.com/variants/link/8011607323012/", "View Product")</f>
        <v/>
      </c>
    </row>
    <row r="11946">
      <c r="A11946" t="inlineStr">
        <is>
          <t>8011607334384</t>
        </is>
      </c>
      <c r="B11946" t="inlineStr">
        <is>
          <t>Extreme Kajal Eye Pencil in Extreme Blue 1.6g</t>
        </is>
      </c>
      <c r="C11946" t="inlineStr">
        <is>
          <t>Eye Pencil</t>
        </is>
      </c>
      <c r="D11946" t="inlineStr">
        <is>
          <t>Pupa</t>
        </is>
      </c>
      <c r="E11946" t="n">
        <v>8.949999999999999</v>
      </c>
      <c r="F11946" t="n">
        <v>1</v>
      </c>
      <c r="G11946" t="n">
        <v>5</v>
      </c>
      <c r="H11946" s="5">
        <f>HYPERLINK("https://api.qogita.com/variants/link/8011607334384/", "View Product")</f>
        <v/>
      </c>
    </row>
    <row r="11947">
      <c r="A11947" t="inlineStr">
        <is>
          <t>8011607334414</t>
        </is>
      </c>
      <c r="B11947" t="inlineStr">
        <is>
          <t>Pupa Milano Extreme Kajal Eyeliner 16 G Extreme Malachite</t>
        </is>
      </c>
      <c r="C11947" t="inlineStr">
        <is>
          <t>Eyeliner</t>
        </is>
      </c>
      <c r="D11947" t="inlineStr">
        <is>
          <t>Pupa</t>
        </is>
      </c>
      <c r="E11947" t="n">
        <v>10.53</v>
      </c>
      <c r="F11947" t="n">
        <v>1</v>
      </c>
      <c r="G11947" t="n">
        <v>9</v>
      </c>
      <c r="H11947" s="5">
        <f>HYPERLINK("https://api.qogita.com/variants/link/8011607334414/", "View Product")</f>
        <v/>
      </c>
    </row>
    <row r="11948">
      <c r="A11948" t="inlineStr">
        <is>
          <t>8011607336722</t>
        </is>
      </c>
      <c r="B11948" t="inlineStr">
        <is>
          <t>Pupa Wonder Cover Total Coverage Concealer - 002 Light Beige, 4.2ml</t>
        </is>
      </c>
      <c r="C11948" t="inlineStr">
        <is>
          <t>Concealer</t>
        </is>
      </c>
      <c r="D11948" t="inlineStr">
        <is>
          <t>Pupa</t>
        </is>
      </c>
      <c r="E11948" t="n">
        <v>13.1</v>
      </c>
      <c r="F11948" t="n">
        <v>1</v>
      </c>
      <c r="G11948" t="n">
        <v>5</v>
      </c>
      <c r="H11948" s="5">
        <f>HYPERLINK("https://api.qogita.com/variants/link/8011607336722/", "View Product")</f>
        <v/>
      </c>
    </row>
    <row r="11949">
      <c r="A11949" t="inlineStr">
        <is>
          <t>8011607342570</t>
        </is>
      </c>
      <c r="B11949" t="inlineStr">
        <is>
          <t>Pupa Milano Vamp Red Eau De Parfum</t>
        </is>
      </c>
      <c r="C11949" t="inlineStr">
        <is>
          <t>Eau De Parfum</t>
        </is>
      </c>
      <c r="D11949" t="inlineStr">
        <is>
          <t>Pupa</t>
        </is>
      </c>
      <c r="E11949" t="n">
        <v>27.96</v>
      </c>
      <c r="F11949" t="n">
        <v>1</v>
      </c>
      <c r="G11949" t="n">
        <v>3</v>
      </c>
      <c r="H11949" s="5">
        <f>HYPERLINK("https://api.qogita.com/variants/link/8011607342570/", "View Product")</f>
        <v/>
      </c>
    </row>
    <row r="11950">
      <c r="A11950" t="inlineStr">
        <is>
          <t>8011607342600</t>
        </is>
      </c>
      <c r="B11950" t="inlineStr">
        <is>
          <t>Pupa Vamp Eau de Parfum 50ml Red</t>
        </is>
      </c>
      <c r="C11950" t="inlineStr">
        <is>
          <t>Eau De Parfum</t>
        </is>
      </c>
      <c r="D11950" t="inlineStr">
        <is>
          <t>Pupa</t>
        </is>
      </c>
      <c r="E11950" t="n">
        <v>24.15</v>
      </c>
      <c r="F11950" t="n">
        <v>1</v>
      </c>
      <c r="G11950" t="n">
        <v>2</v>
      </c>
      <c r="H11950" s="5">
        <f>HYPERLINK("https://api.qogita.com/variants/link/8011607342600/", "View Product")</f>
        <v/>
      </c>
    </row>
    <row r="11951">
      <c r="A11951" t="inlineStr">
        <is>
          <t>8011607354801</t>
        </is>
      </c>
      <c r="B11951" t="inlineStr">
        <is>
          <t>Pupa Vamp! Eye Pencil 100 Iconic Black</t>
        </is>
      </c>
      <c r="C11951" t="inlineStr">
        <is>
          <t>Eye Pencil</t>
        </is>
      </c>
      <c r="D11951" t="inlineStr">
        <is>
          <t>Pupa</t>
        </is>
      </c>
      <c r="E11951" t="n">
        <v>13.1</v>
      </c>
      <c r="F11951" t="n">
        <v>1</v>
      </c>
      <c r="G11951" t="n">
        <v>3</v>
      </c>
      <c r="H11951" s="5">
        <f>HYPERLINK("https://api.qogita.com/variants/link/8011607354801/", "View Product")</f>
        <v/>
      </c>
    </row>
    <row r="11952">
      <c r="A11952" t="inlineStr">
        <is>
          <t>8011607358830</t>
        </is>
      </c>
      <c r="B11952" t="inlineStr">
        <is>
          <t>Pupa Milano Full Eyebrow Pencil 02 G Color Brown</t>
        </is>
      </c>
      <c r="C11952" t="inlineStr">
        <is>
          <t>Eyebrow Pencil</t>
        </is>
      </c>
      <c r="D11952" t="inlineStr">
        <is>
          <t>Pupa</t>
        </is>
      </c>
      <c r="E11952" t="n">
        <v>11.38</v>
      </c>
      <c r="F11952" t="n">
        <v>1</v>
      </c>
      <c r="G11952" t="n">
        <v>3</v>
      </c>
      <c r="H11952" s="5">
        <f>HYPERLINK("https://api.qogita.com/variants/link/8011607358830/", "View Product")</f>
        <v/>
      </c>
    </row>
    <row r="11953">
      <c r="A11953" t="inlineStr">
        <is>
          <t>8011607362721</t>
        </is>
      </c>
      <c r="B11953" t="inlineStr">
        <is>
          <t>Pupa Re-Shape My Body Firming And Slimming Body Cream 250ml</t>
        </is>
      </c>
      <c r="C11953" t="inlineStr">
        <is>
          <t>Anti-Cellulite</t>
        </is>
      </c>
      <c r="D11953" t="inlineStr">
        <is>
          <t>Pupa</t>
        </is>
      </c>
      <c r="E11953" t="n">
        <v>22.28</v>
      </c>
      <c r="F11953" t="n">
        <v>1</v>
      </c>
      <c r="G11953" t="n">
        <v>4</v>
      </c>
      <c r="H11953" s="5">
        <f>HYPERLINK("https://api.qogita.com/variants/link/8011607362721/", "View Product")</f>
        <v/>
      </c>
    </row>
    <row r="11954">
      <c r="A11954" t="inlineStr">
        <is>
          <t>8011607362745</t>
        </is>
      </c>
      <c r="B11954" t="inlineStr">
        <is>
          <t>Pupa Never Again Active Anti-Cellulite Gel 250ml</t>
        </is>
      </c>
      <c r="C11954" t="inlineStr">
        <is>
          <t>Anti-Cellulite</t>
        </is>
      </c>
      <c r="D11954" t="inlineStr">
        <is>
          <t>Pupa</t>
        </is>
      </c>
      <c r="E11954" t="n">
        <v>23.28</v>
      </c>
      <c r="F11954" t="n">
        <v>1</v>
      </c>
      <c r="G11954" t="n">
        <v>6</v>
      </c>
      <c r="H11954" s="5">
        <f>HYPERLINK("https://api.qogita.com/variants/link/8011607362745/", "View Product")</f>
        <v/>
      </c>
    </row>
    <row r="11955">
      <c r="A11955" t="inlineStr">
        <is>
          <t>8011607366071</t>
        </is>
      </c>
      <c r="B11955" t="inlineStr">
        <is>
          <t>Pupa Fruit Lovers II with Body Lotion and Solid Shampoo - Papaya</t>
        </is>
      </c>
      <c r="C11955" t="inlineStr">
        <is>
          <t>Body Care Sets</t>
        </is>
      </c>
      <c r="D11955" t="inlineStr">
        <is>
          <t>Pupa</t>
        </is>
      </c>
      <c r="E11955" t="n">
        <v>15.47</v>
      </c>
      <c r="F11955" t="n">
        <v>1</v>
      </c>
      <c r="G11955" t="n">
        <v>4</v>
      </c>
      <c r="H11955" s="5">
        <f>HYPERLINK("https://api.qogita.com/variants/link/8011607366071/", "View Product")</f>
        <v/>
      </c>
    </row>
    <row r="11956">
      <c r="A11956" t="inlineStr">
        <is>
          <t>8011607368242</t>
        </is>
      </c>
      <c r="B11956" t="inlineStr">
        <is>
          <t>Pupa Milano Vamp Compact Eyeshadow 100 Irreverent Fuchsia Metallic 15 G</t>
        </is>
      </c>
      <c r="C11956" t="inlineStr">
        <is>
          <t>Eyeshadow</t>
        </is>
      </c>
      <c r="D11956" t="inlineStr">
        <is>
          <t>Pupa</t>
        </is>
      </c>
      <c r="E11956" t="n">
        <v>9.800000000000001</v>
      </c>
      <c r="F11956" t="n">
        <v>1</v>
      </c>
      <c r="G11956" t="n">
        <v>14</v>
      </c>
      <c r="H11956" s="5">
        <f>HYPERLINK("https://api.qogita.com/variants/link/8011607368242/", "View Product")</f>
        <v/>
      </c>
    </row>
    <row r="11957">
      <c r="A11957" t="inlineStr">
        <is>
          <t>8011607368280</t>
        </is>
      </c>
      <c r="B11957" t="inlineStr">
        <is>
          <t>Pupa Milano Vamp Compact Eyeshadow 301 Frozen Black 15 G Highly Pigmented Metallic Eyeshadow</t>
        </is>
      </c>
      <c r="C11957" t="inlineStr">
        <is>
          <t>Eyeshadow</t>
        </is>
      </c>
      <c r="D11957" t="inlineStr">
        <is>
          <t>Pupa</t>
        </is>
      </c>
      <c r="E11957" t="n">
        <v>10.53</v>
      </c>
      <c r="F11957" t="n">
        <v>1</v>
      </c>
      <c r="G11957" t="n">
        <v>6</v>
      </c>
      <c r="H11957" s="5">
        <f>HYPERLINK("https://api.qogita.com/variants/link/8011607368280/", "View Product")</f>
        <v/>
      </c>
    </row>
    <row r="11958">
      <c r="A11958" t="inlineStr">
        <is>
          <t>8011607368600</t>
        </is>
      </c>
      <c r="B11958" t="inlineStr">
        <is>
          <t>Pupa Vamp Compact Eyeshadow 106 Audacious Pink Fusion 15 Grams</t>
        </is>
      </c>
      <c r="C11958" t="inlineStr">
        <is>
          <t>Eyeshadow</t>
        </is>
      </c>
      <c r="D11958" t="inlineStr">
        <is>
          <t>Pupa</t>
        </is>
      </c>
      <c r="E11958" t="n">
        <v>9.16</v>
      </c>
      <c r="F11958" t="n">
        <v>1</v>
      </c>
      <c r="G11958" t="n">
        <v>11</v>
      </c>
      <c r="H11958" s="5">
        <f>HYPERLINK("https://api.qogita.com/variants/link/8011607368600/", "View Product")</f>
        <v/>
      </c>
    </row>
    <row r="11959">
      <c r="A11959" t="inlineStr">
        <is>
          <t>8011607373178</t>
        </is>
      </c>
      <c r="B11959" t="inlineStr">
        <is>
          <t>Pupa Milano Shine Bright Eye Palette 4 G</t>
        </is>
      </c>
      <c r="C11959" t="inlineStr">
        <is>
          <t>Eye Sets &amp; Pallets</t>
        </is>
      </c>
      <c r="D11959" t="inlineStr">
        <is>
          <t>Pupa</t>
        </is>
      </c>
      <c r="E11959" t="n">
        <v>12.48</v>
      </c>
      <c r="F11959" t="n">
        <v>1</v>
      </c>
      <c r="G11959" t="n">
        <v>5</v>
      </c>
      <c r="H11959" s="5">
        <f>HYPERLINK("https://api.qogita.com/variants/link/8011607373178/", "View Product")</f>
        <v/>
      </c>
    </row>
    <row r="11960">
      <c r="A11960" t="inlineStr">
        <is>
          <t>8011607374298</t>
        </is>
      </c>
      <c r="B11960" t="inlineStr">
        <is>
          <t>Pupa Pupa Milano Vamp Creamy Duo Lip Liner &amp; Lipstick In Orange Red 02 G 08 G</t>
        </is>
      </c>
      <c r="C11960" t="inlineStr">
        <is>
          <t>Lip Sets</t>
        </is>
      </c>
      <c r="D11960" t="inlineStr">
        <is>
          <t>Pupa</t>
        </is>
      </c>
      <c r="E11960" t="n">
        <v>12.19</v>
      </c>
      <c r="F11960" t="n">
        <v>1</v>
      </c>
      <c r="G11960" t="n">
        <v>6</v>
      </c>
      <c r="H11960" s="5">
        <f>HYPERLINK("https://api.qogita.com/variants/link/8011607374298/", "View Product")</f>
        <v/>
      </c>
    </row>
    <row r="11961">
      <c r="A11961" t="inlineStr">
        <is>
          <t>8011607376230</t>
        </is>
      </c>
      <c r="B11961" t="inlineStr">
        <is>
          <t>Pupa Vamp! Eyeshadow Palette 006 Deep Nude 5.2g</t>
        </is>
      </c>
      <c r="C11961" t="inlineStr">
        <is>
          <t>Eye Sets &amp; Pallets</t>
        </is>
      </c>
      <c r="D11961" t="inlineStr">
        <is>
          <t>Pupa</t>
        </is>
      </c>
      <c r="E11961" t="n">
        <v>11.63</v>
      </c>
      <c r="F11961" t="n">
        <v>1</v>
      </c>
      <c r="G11961" t="n">
        <v>5</v>
      </c>
      <c r="H11961" s="5">
        <f>HYPERLINK("https://api.qogita.com/variants/link/8011607376230/", "View Product")</f>
        <v/>
      </c>
    </row>
    <row r="11962">
      <c r="A11962" t="inlineStr">
        <is>
          <t>8011607376568</t>
        </is>
      </c>
      <c r="B11962" t="inlineStr">
        <is>
          <t>Pupa Smog No More Detox Shampoo for Oily Scalp and Hair 250ml</t>
        </is>
      </c>
      <c r="C11962" t="inlineStr">
        <is>
          <t>Shampoo</t>
        </is>
      </c>
      <c r="D11962" t="inlineStr">
        <is>
          <t>Pupa</t>
        </is>
      </c>
      <c r="E11962" t="n">
        <v>8.52</v>
      </c>
      <c r="F11962" t="n">
        <v>1</v>
      </c>
      <c r="G11962" t="n">
        <v>2</v>
      </c>
      <c r="H11962" s="5">
        <f>HYPERLINK("https://api.qogita.com/variants/link/8011607376568/", "View Product")</f>
        <v/>
      </c>
    </row>
    <row r="11963">
      <c r="A11963" t="inlineStr">
        <is>
          <t>8011607391523</t>
        </is>
      </c>
      <c r="B11963" t="inlineStr">
        <is>
          <t>Pupa Milano Vamp Eye Pencil Gift Set! Mascara - Includes 9 Ml Mascara And 0.35 G Eye Pencil</t>
        </is>
      </c>
      <c r="C11963" t="inlineStr">
        <is>
          <t>Eye Sets &amp; Pallets</t>
        </is>
      </c>
      <c r="D11963" t="inlineStr">
        <is>
          <t>Pupa</t>
        </is>
      </c>
      <c r="E11963" t="n">
        <v>21.12</v>
      </c>
      <c r="F11963" t="n">
        <v>1</v>
      </c>
      <c r="G11963" t="n">
        <v>5</v>
      </c>
      <c r="H11963" s="5">
        <f>HYPERLINK("https://api.qogita.com/variants/link/8011607391523/", "View Product")</f>
        <v/>
      </c>
    </row>
    <row r="11964">
      <c r="A11964" t="inlineStr">
        <is>
          <t>8011607391608</t>
        </is>
      </c>
      <c r="B11964" t="inlineStr">
        <is>
          <t>Pupa Milano Vamp! Compact Highlighter Gift Set! All In One Mascara</t>
        </is>
      </c>
      <c r="C11964" t="inlineStr">
        <is>
          <t>Complexion Sets &amp; Pallets</t>
        </is>
      </c>
      <c r="D11964" t="inlineStr">
        <is>
          <t>Pupa</t>
        </is>
      </c>
      <c r="E11964" t="n">
        <v>22.49</v>
      </c>
      <c r="F11964" t="n">
        <v>1</v>
      </c>
      <c r="G11964" t="n">
        <v>7</v>
      </c>
      <c r="H11964" s="5">
        <f>HYPERLINK("https://api.qogita.com/variants/link/8011607391608/", "View Product")</f>
        <v/>
      </c>
    </row>
    <row r="11965">
      <c r="A11965" t="inlineStr">
        <is>
          <t>8011607391615</t>
        </is>
      </c>
      <c r="B11965" t="inlineStr">
        <is>
          <t>Pupa Milano Vamp! Compact Highlighter Gift Set! Forever Mascara</t>
        </is>
      </c>
      <c r="C11965" t="inlineStr">
        <is>
          <t>Complexion Sets &amp; Pallets</t>
        </is>
      </c>
      <c r="D11965" t="inlineStr">
        <is>
          <t>Pupa</t>
        </is>
      </c>
      <c r="E11965" t="n">
        <v>22.49</v>
      </c>
      <c r="F11965" t="n">
        <v>1</v>
      </c>
      <c r="G11965" t="n">
        <v>3</v>
      </c>
      <c r="H11965" s="5">
        <f>HYPERLINK("https://api.qogita.com/variants/link/8011607391615/", "View Product")</f>
        <v/>
      </c>
    </row>
    <row r="11966">
      <c r="A11966" t="inlineStr">
        <is>
          <t>8011607391707</t>
        </is>
      </c>
      <c r="B11966" t="inlineStr">
        <is>
          <t>Pupa Milano Gift Set With Vamp! Sexy Lashes Mascara</t>
        </is>
      </c>
      <c r="C11966" t="inlineStr">
        <is>
          <t>Mascara</t>
        </is>
      </c>
      <c r="D11966" t="inlineStr">
        <is>
          <t>Pupa</t>
        </is>
      </c>
      <c r="E11966" t="n">
        <v>17.39</v>
      </c>
      <c r="F11966" t="n">
        <v>1</v>
      </c>
      <c r="G11966" t="n">
        <v>2</v>
      </c>
      <c r="H11966" s="5">
        <f>HYPERLINK("https://api.qogita.com/variants/link/8011607391707/", "View Product")</f>
        <v/>
      </c>
    </row>
    <row r="11967">
      <c r="A11967" t="inlineStr">
        <is>
          <t>8011607391776</t>
        </is>
      </c>
      <c r="B11967" t="inlineStr">
        <is>
          <t>Pupa Milano Vamp! Cosmetic Bag Gift Set! Forever Mascara</t>
        </is>
      </c>
      <c r="C11967" t="inlineStr">
        <is>
          <t>Makeup Bags</t>
        </is>
      </c>
      <c r="D11967" t="inlineStr">
        <is>
          <t>Pupa</t>
        </is>
      </c>
      <c r="E11967" t="n">
        <v>16.04</v>
      </c>
      <c r="F11967" t="n">
        <v>1</v>
      </c>
      <c r="G11967" t="n">
        <v>3</v>
      </c>
      <c r="H11967" s="5">
        <f>HYPERLINK("https://api.qogita.com/variants/link/8011607391776/", "View Product")</f>
        <v/>
      </c>
    </row>
    <row r="11968">
      <c r="A11968" t="inlineStr">
        <is>
          <t>8011607393336</t>
        </is>
      </c>
      <c r="B11968" t="inlineStr">
        <is>
          <t>Pupa Milano Berry Boost Happy Box Perfumed Water - 100 Ml</t>
        </is>
      </c>
      <c r="C11968" t="inlineStr">
        <is>
          <t>Eau De Toilette</t>
        </is>
      </c>
      <c r="D11968" t="inlineStr">
        <is>
          <t>Pupa</t>
        </is>
      </c>
      <c r="E11968" t="n">
        <v>8.92</v>
      </c>
      <c r="F11968" t="n">
        <v>1</v>
      </c>
      <c r="G11968" t="n">
        <v>4</v>
      </c>
      <c r="H11968" s="5">
        <f>HYPERLINK("https://api.qogita.com/variants/link/8011607393336/", "View Product")</f>
        <v/>
      </c>
    </row>
    <row r="11969">
      <c r="A11969" t="inlineStr">
        <is>
          <t>8011607393350</t>
        </is>
      </c>
      <c r="B11969" t="inlineStr">
        <is>
          <t>Pupa Milano Flower Dream Happy Box Perfumed Water 100 Ml</t>
        </is>
      </c>
      <c r="C11969" t="inlineStr">
        <is>
          <t>Eau De Toilette</t>
        </is>
      </c>
      <c r="D11969" t="inlineStr">
        <is>
          <t>Pupa</t>
        </is>
      </c>
      <c r="E11969" t="n">
        <v>9.609999999999999</v>
      </c>
      <c r="F11969" t="n">
        <v>1</v>
      </c>
      <c r="G11969" t="n">
        <v>14</v>
      </c>
      <c r="H11969" s="5">
        <f>HYPERLINK("https://api.qogita.com/variants/link/8011607393350/", "View Product")</f>
        <v/>
      </c>
    </row>
    <row r="11970">
      <c r="A11970" t="inlineStr">
        <is>
          <t>8011607393404</t>
        </is>
      </c>
      <c r="B11970" t="inlineStr">
        <is>
          <t>Pupa Milano Peach Paradise Happy Box Shower Gel 200 Ml</t>
        </is>
      </c>
      <c r="C11970" t="inlineStr">
        <is>
          <t>Shower Gel</t>
        </is>
      </c>
      <c r="D11970" t="inlineStr">
        <is>
          <t>Pupa</t>
        </is>
      </c>
      <c r="E11970" t="n">
        <v>9.220000000000001</v>
      </c>
      <c r="F11970" t="n">
        <v>1</v>
      </c>
      <c r="G11970" t="n">
        <v>14</v>
      </c>
      <c r="H11970" s="5">
        <f>HYPERLINK("https://api.qogita.com/variants/link/8011607393404/", "View Product")</f>
        <v/>
      </c>
    </row>
    <row r="11971">
      <c r="A11971" t="inlineStr">
        <is>
          <t>8011607393589</t>
        </is>
      </c>
      <c r="B11971" t="inlineStr">
        <is>
          <t>Pupa 2024 Happybox Kit 2 Shower Cream 200ml + Lotion 200ml - Berry Boost</t>
        </is>
      </c>
      <c r="C11971" t="inlineStr">
        <is>
          <t>Body Care Sets</t>
        </is>
      </c>
      <c r="D11971" t="inlineStr">
        <is>
          <t>Pupa</t>
        </is>
      </c>
      <c r="E11971" t="n">
        <v>17.73</v>
      </c>
      <c r="F11971" t="n">
        <v>1</v>
      </c>
      <c r="G11971" t="n">
        <v>3</v>
      </c>
      <c r="H11971" s="5">
        <f>HYPERLINK("https://api.qogita.com/variants/link/8011607393589/", "View Product")</f>
        <v/>
      </c>
    </row>
    <row r="11972">
      <c r="A11972" t="inlineStr">
        <is>
          <t>8011607393664</t>
        </is>
      </c>
      <c r="B11972" t="inlineStr">
        <is>
          <t>Pupa Milano Vanilla Groove Flower Power Happy Box Kit Gift Set 3</t>
        </is>
      </c>
      <c r="C11972" t="inlineStr">
        <is>
          <t>Complexion Sets &amp; Pallets</t>
        </is>
      </c>
      <c r="D11972" t="inlineStr">
        <is>
          <t>Pupa</t>
        </is>
      </c>
      <c r="E11972" t="n">
        <v>16.31</v>
      </c>
      <c r="F11972" t="n">
        <v>1</v>
      </c>
      <c r="G11972" t="n">
        <v>8</v>
      </c>
      <c r="H11972" s="5">
        <f>HYPERLINK("https://api.qogita.com/variants/link/8011607393664/", "View Product")</f>
        <v/>
      </c>
    </row>
    <row r="11973">
      <c r="A11973" t="inlineStr">
        <is>
          <t>8011607393794</t>
        </is>
      </c>
      <c r="B11973" t="inlineStr">
        <is>
          <t>Pupa Milano Shower Gel Royal Garden Let's Bloom - 200 Ml</t>
        </is>
      </c>
      <c r="C11973" t="inlineStr">
        <is>
          <t>Shower Gel</t>
        </is>
      </c>
      <c r="D11973" t="inlineStr">
        <is>
          <t>Pupa</t>
        </is>
      </c>
      <c r="E11973" t="n">
        <v>10.16</v>
      </c>
      <c r="F11973" t="n">
        <v>1</v>
      </c>
      <c r="G11973" t="n">
        <v>3</v>
      </c>
      <c r="H11973" s="5">
        <f>HYPERLINK("https://api.qogita.com/variants/link/8011607393794/", "View Product")</f>
        <v/>
      </c>
    </row>
    <row r="11974">
      <c r="A11974" t="inlineStr">
        <is>
          <t>8011607394036</t>
        </is>
      </c>
      <c r="B11974" t="inlineStr">
        <is>
          <t>Pupa Milano Hydrating Body Cream Asian Spa Moisturizing Concentrated Body Cream 150 Ml</t>
        </is>
      </c>
      <c r="C11974" t="inlineStr">
        <is>
          <t>Body Lotion</t>
        </is>
      </c>
      <c r="D11974" t="inlineStr">
        <is>
          <t>Pupa</t>
        </is>
      </c>
      <c r="E11974" t="n">
        <v>11.47</v>
      </c>
      <c r="F11974" t="n">
        <v>1</v>
      </c>
      <c r="G11974" t="n">
        <v>14</v>
      </c>
      <c r="H11974" s="5">
        <f>HYPERLINK("https://api.qogita.com/variants/link/8011607394036/", "View Product")</f>
        <v/>
      </c>
    </row>
    <row r="11975">
      <c r="A11975" t="inlineStr">
        <is>
          <t>8011607394050</t>
        </is>
      </c>
      <c r="B11975" t="inlineStr">
        <is>
          <t>Pupa Milano Persian Spa Shower Gel In A Box Anti-Stress Shower Gel 300 Ml</t>
        </is>
      </c>
      <c r="C11975" t="inlineStr">
        <is>
          <t>Shower Gel</t>
        </is>
      </c>
      <c r="D11975" t="inlineStr">
        <is>
          <t>Pupa</t>
        </is>
      </c>
      <c r="E11975" t="n">
        <v>9.470000000000001</v>
      </c>
      <c r="F11975" t="n">
        <v>1</v>
      </c>
      <c r="G11975" t="n">
        <v>4</v>
      </c>
      <c r="H11975" s="5">
        <f>HYPERLINK("https://api.qogita.com/variants/link/8011607394050/", "View Product")</f>
        <v/>
      </c>
    </row>
    <row r="11976">
      <c r="A11976" t="inlineStr">
        <is>
          <t>8011607394203</t>
        </is>
      </c>
      <c r="B11976" t="inlineStr">
        <is>
          <t>Pupa Nordic Spa Kit 2 With Toning Shower Gel 300ml And Toning Fragrant Water 150ml</t>
        </is>
      </c>
      <c r="C11976" t="inlineStr">
        <is>
          <t>Body Care Sets</t>
        </is>
      </c>
      <c r="D11976" t="inlineStr">
        <is>
          <t>Pupa</t>
        </is>
      </c>
      <c r="E11976" t="n">
        <v>19.35</v>
      </c>
      <c r="F11976" t="n">
        <v>1</v>
      </c>
      <c r="G11976" t="n">
        <v>7</v>
      </c>
      <c r="H11976" s="5">
        <f>HYPERLINK("https://api.qogita.com/variants/link/8011607394203/", "View Product")</f>
        <v/>
      </c>
    </row>
    <row r="11977">
      <c r="A11977" t="inlineStr">
        <is>
          <t>8011607394272</t>
        </is>
      </c>
      <c r="B11977" t="inlineStr">
        <is>
          <t>Pupa Milano Persian Spa Anti-Stress Concentrate Body Cream 150 Ml</t>
        </is>
      </c>
      <c r="C11977" t="inlineStr">
        <is>
          <t>Body Lotion</t>
        </is>
      </c>
      <c r="D11977" t="inlineStr">
        <is>
          <t>Pupa</t>
        </is>
      </c>
      <c r="E11977" t="n">
        <v>12.4</v>
      </c>
      <c r="F11977" t="n">
        <v>1</v>
      </c>
      <c r="G11977" t="n">
        <v>9</v>
      </c>
      <c r="H11977" s="5">
        <f>HYPERLINK("https://api.qogita.com/variants/link/8011607394272/", "View Product")</f>
        <v/>
      </c>
    </row>
    <row r="11978">
      <c r="A11978" t="inlineStr">
        <is>
          <t>8011607396177</t>
        </is>
      </c>
      <c r="B11978" t="inlineStr">
        <is>
          <t>Pupa Pupart M Red - A Vibrant Makeup Palette</t>
        </is>
      </c>
      <c r="C11978" t="inlineStr">
        <is>
          <t>Eye Sets &amp; Pallets</t>
        </is>
      </c>
      <c r="D11978" t="inlineStr">
        <is>
          <t>Pupa</t>
        </is>
      </c>
      <c r="E11978" t="n">
        <v>16.32</v>
      </c>
      <c r="F11978" t="n">
        <v>1</v>
      </c>
      <c r="G11978" t="n">
        <v>16</v>
      </c>
      <c r="H11978" s="5">
        <f>HYPERLINK("https://api.qogita.com/variants/link/8011607396177/", "View Product")</f>
        <v/>
      </c>
    </row>
    <row r="11979">
      <c r="A11979" t="inlineStr">
        <is>
          <t>8011889623022</t>
        </is>
      </c>
      <c r="B11979" t="inlineStr">
        <is>
          <t>JOHN RICHMOND Black Metal Eau de Parfum for Women 100ml Spray</t>
        </is>
      </c>
      <c r="C11979" t="inlineStr">
        <is>
          <t>Eau De Parfum</t>
        </is>
      </c>
      <c r="D11979" t="inlineStr">
        <is>
          <t>John Richmond</t>
        </is>
      </c>
      <c r="E11979" t="n">
        <v>29.47</v>
      </c>
      <c r="F11979" t="n">
        <v>1</v>
      </c>
      <c r="G11979" t="n">
        <v>5</v>
      </c>
      <c r="H11979" s="5">
        <f>HYPERLINK("https://api.qogita.com/variants/link/8011889623022/", "View Product")</f>
        <v/>
      </c>
    </row>
    <row r="11980">
      <c r="A11980" t="inlineStr">
        <is>
          <t>8011889624036</t>
        </is>
      </c>
      <c r="B11980" t="inlineStr">
        <is>
          <t>John Richmond Unknown Pleasures Hidden Amber Eau de Parfum 100ml Bottle</t>
        </is>
      </c>
      <c r="C11980" t="inlineStr">
        <is>
          <t>Eau De Parfum</t>
        </is>
      </c>
      <c r="D11980" t="inlineStr">
        <is>
          <t>John Richmond</t>
        </is>
      </c>
      <c r="E11980" t="n">
        <v>26.39</v>
      </c>
      <c r="F11980" t="n">
        <v>1</v>
      </c>
      <c r="G11980" t="n">
        <v>5</v>
      </c>
      <c r="H11980" s="5">
        <f>HYPERLINK("https://api.qogita.com/variants/link/8011889624036/", "View Product")</f>
        <v/>
      </c>
    </row>
    <row r="11981">
      <c r="A11981" t="inlineStr">
        <is>
          <t>8015150000529</t>
        </is>
      </c>
      <c r="B11981" t="inlineStr">
        <is>
          <t>Collistar Super Concentrate Anticellulite Slimming Body Serum 200ml</t>
        </is>
      </c>
      <c r="C11981" t="inlineStr">
        <is>
          <t>Anti-Cellulite</t>
        </is>
      </c>
      <c r="D11981" t="inlineStr">
        <is>
          <t>Collistar</t>
        </is>
      </c>
      <c r="E11981" t="n">
        <v>31.79</v>
      </c>
      <c r="F11981" t="n">
        <v>1</v>
      </c>
      <c r="G11981" t="n">
        <v>8</v>
      </c>
      <c r="H11981" s="5">
        <f>HYPERLINK("https://api.qogita.com/variants/link/8015150000529/", "View Product")</f>
        <v/>
      </c>
    </row>
    <row r="11982">
      <c r="A11982" t="inlineStr">
        <is>
          <t>8015150001991</t>
        </is>
      </c>
      <c r="B11982" t="inlineStr">
        <is>
          <t>Collistar Moisturizing Facebody Tanning Spray Milk Spf 20 Gift Set</t>
        </is>
      </c>
      <c r="C11982" t="inlineStr">
        <is>
          <t>Sun Protection Sets</t>
        </is>
      </c>
      <c r="D11982" t="inlineStr">
        <is>
          <t>Collistar</t>
        </is>
      </c>
      <c r="E11982" t="n">
        <v>19.72</v>
      </c>
      <c r="F11982" t="n">
        <v>1</v>
      </c>
      <c r="G11982" t="n">
        <v>14</v>
      </c>
      <c r="H11982" s="5">
        <f>HYPERLINK("https://api.qogita.com/variants/link/8015150001991/", "View Product")</f>
        <v/>
      </c>
    </row>
    <row r="11983">
      <c r="A11983" t="inlineStr">
        <is>
          <t>8015150002394</t>
        </is>
      </c>
      <c r="B11983" t="inlineStr">
        <is>
          <t>Collistar Benessere Body Scrub 250 Ml</t>
        </is>
      </c>
      <c r="C11983" t="inlineStr">
        <is>
          <t>Body Scrub &amp; Peeling</t>
        </is>
      </c>
      <c r="D11983" t="inlineStr">
        <is>
          <t>Collistar</t>
        </is>
      </c>
      <c r="E11983" t="n">
        <v>14.45</v>
      </c>
      <c r="F11983" t="n">
        <v>1</v>
      </c>
      <c r="G11983" t="n">
        <v>5</v>
      </c>
      <c r="H11983" s="5">
        <f>HYPERLINK("https://api.qogita.com/variants/link/8015150002394/", "View Product")</f>
        <v/>
      </c>
    </row>
    <row r="11984">
      <c r="A11984" t="inlineStr">
        <is>
          <t>8015150002431</t>
        </is>
      </c>
      <c r="B11984" t="inlineStr">
        <is>
          <t>Collistar Fico E Glicine - General Purpose Body Care</t>
        </is>
      </c>
      <c r="C11984" t="inlineStr">
        <is>
          <t>Body Care Sets</t>
        </is>
      </c>
      <c r="D11984" t="inlineStr">
        <is>
          <t>Collistar</t>
        </is>
      </c>
      <c r="E11984" t="n">
        <v>17.62</v>
      </c>
      <c r="F11984" t="n">
        <v>1</v>
      </c>
      <c r="G11984" t="n">
        <v>5</v>
      </c>
      <c r="H11984" s="5">
        <f>HYPERLINK("https://api.qogita.com/variants/link/8015150002431/", "View Product")</f>
        <v/>
      </c>
    </row>
    <row r="11985">
      <c r="A11985" t="inlineStr">
        <is>
          <t>8015150002776</t>
        </is>
      </c>
      <c r="B11985" t="inlineStr">
        <is>
          <t>Collistar Collistar Twist Balmy Gloss Lip Balm 208-Cherry 28g</t>
        </is>
      </c>
      <c r="C11985" t="inlineStr">
        <is>
          <t>Lip Balm</t>
        </is>
      </c>
      <c r="D11985" t="inlineStr">
        <is>
          <t>Collistar</t>
        </is>
      </c>
      <c r="E11985" t="n">
        <v>21.63</v>
      </c>
      <c r="F11985" t="n">
        <v>1</v>
      </c>
      <c r="G11985" t="n">
        <v>2</v>
      </c>
      <c r="H11985" s="5">
        <f>HYPERLINK("https://api.qogita.com/variants/link/8015150002776/", "View Product")</f>
        <v/>
      </c>
    </row>
    <row r="11986">
      <c r="A11986" t="inlineStr">
        <is>
          <t>8015150003490</t>
        </is>
      </c>
      <c r="B11986" t="inlineStr">
        <is>
          <t>Collistar Attivi Puri Vitamin C + Polyhydroxy Acid Gel Mask</t>
        </is>
      </c>
      <c r="C11986" t="inlineStr">
        <is>
          <t>Glow Mask</t>
        </is>
      </c>
      <c r="D11986" t="inlineStr">
        <is>
          <t>Collistar</t>
        </is>
      </c>
      <c r="E11986" t="n">
        <v>16.57</v>
      </c>
      <c r="F11986" t="n">
        <v>1</v>
      </c>
      <c r="G11986" t="n">
        <v>3</v>
      </c>
      <c r="H11986" s="5">
        <f>HYPERLINK("https://api.qogita.com/variants/link/8015150003490/", "View Product")</f>
        <v/>
      </c>
    </row>
    <row r="11987">
      <c r="A11987" t="inlineStr">
        <is>
          <t>8015150003773</t>
        </is>
      </c>
      <c r="B11987" t="inlineStr">
        <is>
          <t>Collistar Collistar Not Glow Vibes Fluid Highlighter 02-Golden Hour 15ml</t>
        </is>
      </c>
      <c r="C11987" t="inlineStr">
        <is>
          <t>Highlighter</t>
        </is>
      </c>
      <c r="D11987" t="inlineStr">
        <is>
          <t>Collistar</t>
        </is>
      </c>
      <c r="E11987" t="n">
        <v>29.49</v>
      </c>
      <c r="F11987" t="n">
        <v>1</v>
      </c>
      <c r="G11987" t="n">
        <v>4</v>
      </c>
      <c r="H11987" s="5">
        <f>HYPERLINK("https://api.qogita.com/variants/link/8015150003773/", "View Product")</f>
        <v/>
      </c>
    </row>
    <row r="11988">
      <c r="A11988" t="inlineStr">
        <is>
          <t>8015150003810</t>
        </is>
      </c>
      <c r="B11988" t="inlineStr">
        <is>
          <t>Collistar Not Ordinary Treatment Lip Crush - A Unique Lip Treatment For Enhanced Beauty</t>
        </is>
      </c>
      <c r="C11988" t="inlineStr">
        <is>
          <t>Medicated Treatments</t>
        </is>
      </c>
      <c r="D11988" t="inlineStr">
        <is>
          <t>Collistar</t>
        </is>
      </c>
      <c r="E11988" t="n">
        <v>21.63</v>
      </c>
      <c r="F11988" t="n">
        <v>1</v>
      </c>
      <c r="G11988" t="n">
        <v>5</v>
      </c>
      <c r="H11988" s="5">
        <f>HYPERLINK("https://api.qogita.com/variants/link/8015150003810/", "View Product")</f>
        <v/>
      </c>
    </row>
    <row r="11989">
      <c r="A11989" t="inlineStr">
        <is>
          <t>8015150004664</t>
        </is>
      </c>
      <c r="B11989" t="inlineStr">
        <is>
          <t>Collistar Cica Mask Hyaluronic Acid Madecassoside 75 Ml</t>
        </is>
      </c>
      <c r="C11989" t="inlineStr">
        <is>
          <t>Hydrating Mask</t>
        </is>
      </c>
      <c r="D11989" t="inlineStr">
        <is>
          <t>Collistar</t>
        </is>
      </c>
      <c r="E11989" t="n">
        <v>25.65</v>
      </c>
      <c r="F11989" t="n">
        <v>1</v>
      </c>
      <c r="G11989" t="n">
        <v>5</v>
      </c>
      <c r="H11989" s="5">
        <f>HYPERLINK("https://api.qogita.com/variants/link/8015150004664/", "View Product")</f>
        <v/>
      </c>
    </row>
    <row r="11990">
      <c r="A11990" t="inlineStr">
        <is>
          <t>8015150004770</t>
        </is>
      </c>
      <c r="B11990" t="inlineStr">
        <is>
          <t>Collistar Hyaluronic Acid + Ceramides Aquagel Skincare Gift Set</t>
        </is>
      </c>
      <c r="C11990" t="inlineStr">
        <is>
          <t>Face</t>
        </is>
      </c>
      <c r="D11990" t="inlineStr">
        <is>
          <t>Collistar</t>
        </is>
      </c>
      <c r="E11990" t="n">
        <v>28.67</v>
      </c>
      <c r="F11990" t="n">
        <v>1</v>
      </c>
      <c r="G11990" t="n">
        <v>6</v>
      </c>
      <c r="H11990" s="5">
        <f>HYPERLINK("https://api.qogita.com/variants/link/8015150004770/", "View Product")</f>
        <v/>
      </c>
    </row>
    <row r="11991">
      <c r="A11991" t="inlineStr">
        <is>
          <t>8015150004985</t>
        </is>
      </c>
      <c r="B11991" t="inlineStr">
        <is>
          <t>Collistar Shower Gel Toning Set 250ml</t>
        </is>
      </c>
      <c r="C11991" t="inlineStr">
        <is>
          <t>Shower &amp; Bath Sets</t>
        </is>
      </c>
      <c r="D11991" t="inlineStr">
        <is>
          <t>Collistar</t>
        </is>
      </c>
      <c r="E11991" t="n">
        <v>23.91</v>
      </c>
      <c r="F11991" t="n">
        <v>1</v>
      </c>
      <c r="G11991" t="n">
        <v>2</v>
      </c>
      <c r="H11991" s="5">
        <f>HYPERLINK("https://api.qogita.com/variants/link/8015150004985/", "View Product")</f>
        <v/>
      </c>
    </row>
    <row r="11992">
      <c r="A11992" t="inlineStr">
        <is>
          <t>8015150005043</t>
        </is>
      </c>
      <c r="B11992" t="inlineStr">
        <is>
          <t>Collistar Smoothing Anti-Wrinkle Set Skincare Gift Set</t>
        </is>
      </c>
      <c r="C11992" t="inlineStr">
        <is>
          <t>Facial Care Sets</t>
        </is>
      </c>
      <c r="D11992" t="inlineStr">
        <is>
          <t>Collistar</t>
        </is>
      </c>
      <c r="E11992" t="n">
        <v>38.38</v>
      </c>
      <c r="F11992" t="n">
        <v>1</v>
      </c>
      <c r="G11992" t="n">
        <v>8</v>
      </c>
      <c r="H11992" s="5">
        <f>HYPERLINK("https://api.qogita.com/variants/link/8015150005043/", "View Product")</f>
        <v/>
      </c>
    </row>
    <row r="11993">
      <c r="A11993" t="inlineStr">
        <is>
          <t>8015150005050</t>
        </is>
      </c>
      <c r="B11993" t="inlineStr">
        <is>
          <t>Collistar Lift Hd Set 3 Pieces - Collistar</t>
        </is>
      </c>
      <c r="C11993" t="inlineStr">
        <is>
          <t>Facial Care Sets</t>
        </is>
      </c>
      <c r="D11993" t="inlineStr">
        <is>
          <t>Collistar</t>
        </is>
      </c>
      <c r="E11993" t="n">
        <v>38.38</v>
      </c>
      <c r="F11993" t="n">
        <v>1</v>
      </c>
      <c r="G11993" t="n">
        <v>2</v>
      </c>
      <c r="H11993" s="5">
        <f>HYPERLINK("https://api.qogita.com/variants/link/8015150005050/", "View Product")</f>
        <v/>
      </c>
    </row>
    <row r="11994">
      <c r="A11994" t="inlineStr">
        <is>
          <t>8015150005609</t>
        </is>
      </c>
      <c r="B11994" t="inlineStr">
        <is>
          <t>Futura Revitalizing Cream For Eye And Lip Contour 15 Ml</t>
        </is>
      </c>
      <c r="C11994" t="inlineStr">
        <is>
          <t>Eye Cream</t>
        </is>
      </c>
      <c r="D11994" t="inlineStr">
        <is>
          <t>Futura</t>
        </is>
      </c>
      <c r="E11994" t="n">
        <v>29.97</v>
      </c>
      <c r="F11994" t="n">
        <v>1</v>
      </c>
      <c r="G11994" t="n">
        <v>2</v>
      </c>
      <c r="H11994" s="5">
        <f>HYPERLINK("https://api.qogita.com/variants/link/8015150005609/", "View Product")</f>
        <v/>
      </c>
    </row>
    <row r="11995">
      <c r="A11995" t="inlineStr">
        <is>
          <t>8015150110020</t>
        </is>
      </c>
      <c r="B11995" t="inlineStr">
        <is>
          <t>Collistar Lip Gloss Volume 130divine Oranges 7 Ml</t>
        </is>
      </c>
      <c r="C11995" t="inlineStr">
        <is>
          <t>Lip Gloss</t>
        </is>
      </c>
      <c r="D11995" t="inlineStr">
        <is>
          <t>Collistar</t>
        </is>
      </c>
      <c r="E11995" t="n">
        <v>12.43</v>
      </c>
      <c r="F11995" t="n">
        <v>1</v>
      </c>
      <c r="G11995" t="n">
        <v>5</v>
      </c>
      <c r="H11995" s="5">
        <f>HYPERLINK("https://api.qogita.com/variants/link/8015150110020/", "View Product")</f>
        <v/>
      </c>
    </row>
    <row r="11996">
      <c r="A11996" t="inlineStr">
        <is>
          <t>8015150118019</t>
        </is>
      </c>
      <c r="B11996" t="inlineStr">
        <is>
          <t>Collistar Professional Lip Pencil No 28 Pink Peach 12 G</t>
        </is>
      </c>
      <c r="C11996" t="inlineStr">
        <is>
          <t>Lip Liner</t>
        </is>
      </c>
      <c r="D11996" t="inlineStr">
        <is>
          <t>Collistar</t>
        </is>
      </c>
      <c r="E11996" t="n">
        <v>11.1</v>
      </c>
      <c r="F11996" t="n">
        <v>1</v>
      </c>
      <c r="G11996" t="n">
        <v>4</v>
      </c>
      <c r="H11996" s="5">
        <f>HYPERLINK("https://api.qogita.com/variants/link/8015150118019/", "View Product")</f>
        <v/>
      </c>
    </row>
    <row r="11997">
      <c r="A11997" t="inlineStr">
        <is>
          <t>8015150118156</t>
        </is>
      </c>
      <c r="B11997" t="inlineStr">
        <is>
          <t>Collistar Professionale Lip Pencil 16rubino 12 G</t>
        </is>
      </c>
      <c r="C11997" t="inlineStr">
        <is>
          <t>Lip Liner</t>
        </is>
      </c>
      <c r="D11997" t="inlineStr">
        <is>
          <t>Collistar</t>
        </is>
      </c>
      <c r="E11997" t="n">
        <v>11.33</v>
      </c>
      <c r="F11997" t="n">
        <v>1</v>
      </c>
      <c r="G11997" t="n">
        <v>3</v>
      </c>
      <c r="H11997" s="5">
        <f>HYPERLINK("https://api.qogita.com/variants/link/8015150118156/", "View Product")</f>
        <v/>
      </c>
    </row>
    <row r="11998">
      <c r="A11998" t="inlineStr">
        <is>
          <t>8015150135801</t>
        </is>
      </c>
      <c r="B11998" t="inlineStr">
        <is>
          <t>Collistar Unique Foundation 1rrose Ivory Universal Youth Essence Foundation Spf 15 30 Ml</t>
        </is>
      </c>
      <c r="C11998" t="inlineStr">
        <is>
          <t>Foundation</t>
        </is>
      </c>
      <c r="D11998" t="inlineStr">
        <is>
          <t>Collistar</t>
        </is>
      </c>
      <c r="E11998" t="n">
        <v>24.91</v>
      </c>
      <c r="F11998" t="n">
        <v>1</v>
      </c>
      <c r="G11998" t="n">
        <v>8</v>
      </c>
      <c r="H11998" s="5">
        <f>HYPERLINK("https://api.qogita.com/variants/link/8015150135801/", "View Product")</f>
        <v/>
      </c>
    </row>
    <row r="11999">
      <c r="A11999" t="inlineStr">
        <is>
          <t>8015150160001</t>
        </is>
      </c>
      <c r="B11999" t="inlineStr">
        <is>
          <t>Collistar Impeccabile Mascara Black 14ml Impeccable Longlasting Mascara</t>
        </is>
      </c>
      <c r="C11999" t="inlineStr">
        <is>
          <t>Mascara</t>
        </is>
      </c>
      <c r="D11999" t="inlineStr">
        <is>
          <t>Collistar</t>
        </is>
      </c>
      <c r="E11999" t="n">
        <v>8.93</v>
      </c>
      <c r="F11999" t="n">
        <v>1</v>
      </c>
      <c r="G11999" t="n">
        <v>12</v>
      </c>
      <c r="H11999" s="5">
        <f>HYPERLINK("https://api.qogita.com/variants/link/8015150160001/", "View Product")</f>
        <v/>
      </c>
    </row>
    <row r="12000">
      <c r="A12000" t="inlineStr">
        <is>
          <t>8015150189002</t>
        </is>
      </c>
      <c r="B12000" t="inlineStr">
        <is>
          <t>Collistar Not Ordinary Smooth Base Makeup Primer 30ml</t>
        </is>
      </c>
      <c r="C12000" t="inlineStr">
        <is>
          <t>Primer</t>
        </is>
      </c>
      <c r="D12000" t="inlineStr">
        <is>
          <t>Collistar</t>
        </is>
      </c>
      <c r="E12000" t="n">
        <v>13.2</v>
      </c>
      <c r="F12000" t="n">
        <v>1</v>
      </c>
      <c r="G12000" t="n">
        <v>5</v>
      </c>
      <c r="H12000" s="5">
        <f>HYPERLINK("https://api.qogita.com/variants/link/8015150189002/", "View Product")</f>
        <v/>
      </c>
    </row>
    <row r="12001">
      <c r="A12001" t="inlineStr">
        <is>
          <t>8015150218702</t>
        </is>
      </c>
      <c r="B12001" t="inlineStr">
        <is>
          <t>Attivi Puri Vitamin C + Ferulic Acid Antioxidant Face Cream 50ml</t>
        </is>
      </c>
      <c r="C12001" t="inlineStr">
        <is>
          <t>Face Cream</t>
        </is>
      </c>
      <c r="D12001" t="inlineStr">
        <is>
          <t>Attivi Puri</t>
        </is>
      </c>
      <c r="E12001" t="n">
        <v>21</v>
      </c>
      <c r="F12001" t="n">
        <v>1</v>
      </c>
      <c r="G12001" t="n">
        <v>5</v>
      </c>
      <c r="H12001" s="5">
        <f>HYPERLINK("https://api.qogita.com/variants/link/8015150218702/", "View Product")</f>
        <v/>
      </c>
    </row>
    <row r="12002">
      <c r="A12002" t="inlineStr">
        <is>
          <t>8015150218757</t>
        </is>
      </c>
      <c r="B12002" t="inlineStr">
        <is>
          <t>Attivi Puri Hyaluronic + Polyglutamic Acid Moisturizing Lifting Serum - 30ml</t>
        </is>
      </c>
      <c r="C12002" t="inlineStr">
        <is>
          <t>Hyaluronic Acid Serum</t>
        </is>
      </c>
      <c r="D12002" t="inlineStr">
        <is>
          <t>Attivi Puri</t>
        </is>
      </c>
      <c r="E12002" t="n">
        <v>21</v>
      </c>
      <c r="F12002" t="n">
        <v>1</v>
      </c>
      <c r="G12002" t="n">
        <v>5</v>
      </c>
      <c r="H12002" s="5">
        <f>HYPERLINK("https://api.qogita.com/variants/link/8015150218757/", "View Product")</f>
        <v/>
      </c>
    </row>
    <row r="12003">
      <c r="A12003" t="inlineStr">
        <is>
          <t>8015150218764</t>
        </is>
      </c>
      <c r="B12003" t="inlineStr">
        <is>
          <t>Attivi Puri Hyaluronic Acid + Ceramides Aquagel Moisturizing Cream-Gel 50ml</t>
        </is>
      </c>
      <c r="C12003" t="inlineStr">
        <is>
          <t>Face Cream</t>
        </is>
      </c>
      <c r="D12003" t="inlineStr">
        <is>
          <t>Attivi Puri</t>
        </is>
      </c>
      <c r="E12003" t="n">
        <v>21</v>
      </c>
      <c r="F12003" t="n">
        <v>1</v>
      </c>
      <c r="G12003" t="n">
        <v>5</v>
      </c>
      <c r="H12003" s="5">
        <f>HYPERLINK("https://api.qogita.com/variants/link/8015150218764/", "View Product")</f>
        <v/>
      </c>
    </row>
    <row r="12004">
      <c r="A12004" t="inlineStr">
        <is>
          <t>8015150219235</t>
        </is>
      </c>
      <c r="B12004" t="inlineStr">
        <is>
          <t>Collistar Two-Phase Make-Up Removing Solution 200ml</t>
        </is>
      </c>
      <c r="C12004" t="inlineStr">
        <is>
          <t>Makeup Remover</t>
        </is>
      </c>
      <c r="D12004" t="inlineStr">
        <is>
          <t>Collistar</t>
        </is>
      </c>
      <c r="E12004" t="n">
        <v>14.43</v>
      </c>
      <c r="F12004" t="n">
        <v>1</v>
      </c>
      <c r="G12004" t="n">
        <v>5</v>
      </c>
      <c r="H12004" s="5">
        <f>HYPERLINK("https://api.qogita.com/variants/link/8015150219235/", "View Product")</f>
        <v/>
      </c>
    </row>
    <row r="12005">
      <c r="A12005" t="inlineStr">
        <is>
          <t>8015150219303</t>
        </is>
      </c>
      <c r="B12005" t="inlineStr">
        <is>
          <t>Collistar Soothing Cleansing Foam 180 Ml</t>
        </is>
      </c>
      <c r="C12005" t="inlineStr">
        <is>
          <t>Cleansing Foam</t>
        </is>
      </c>
      <c r="D12005" t="inlineStr">
        <is>
          <t>Collistar</t>
        </is>
      </c>
      <c r="E12005" t="n">
        <v>12.2</v>
      </c>
      <c r="F12005" t="n">
        <v>1</v>
      </c>
      <c r="G12005" t="n">
        <v>11</v>
      </c>
      <c r="H12005" s="5">
        <f>HYPERLINK("https://api.qogita.com/variants/link/8015150219303/", "View Product")</f>
        <v/>
      </c>
    </row>
    <row r="12006">
      <c r="A12006" t="inlineStr">
        <is>
          <t>8015150219310</t>
        </is>
      </c>
      <c r="B12006" t="inlineStr">
        <is>
          <t>Collistar Gel Scrub Delicato Viso 100ml</t>
        </is>
      </c>
      <c r="C12006" t="inlineStr">
        <is>
          <t>Facial Scrub &amp; Peeling</t>
        </is>
      </c>
      <c r="D12006" t="inlineStr">
        <is>
          <t>Collistar</t>
        </is>
      </c>
      <c r="E12006" t="n">
        <v>12.2</v>
      </c>
      <c r="F12006" t="n">
        <v>1</v>
      </c>
      <c r="G12006" t="n">
        <v>5</v>
      </c>
      <c r="H12006" s="5">
        <f>HYPERLINK("https://api.qogita.com/variants/link/8015150219310/", "View Product")</f>
        <v/>
      </c>
    </row>
    <row r="12007">
      <c r="A12007" t="inlineStr">
        <is>
          <t>8015150219365</t>
        </is>
      </c>
      <c r="B12007" t="inlineStr">
        <is>
          <t>Collistar Attivi Puri Retinol Phloretin Cream 50ml</t>
        </is>
      </c>
      <c r="C12007" t="inlineStr">
        <is>
          <t>Anti-Aging Facial Care</t>
        </is>
      </c>
      <c r="D12007" t="inlineStr">
        <is>
          <t>Collistar</t>
        </is>
      </c>
      <c r="E12007" t="n">
        <v>28.72</v>
      </c>
      <c r="F12007" t="n">
        <v>1</v>
      </c>
      <c r="G12007" t="n">
        <v>6</v>
      </c>
      <c r="H12007" s="5">
        <f>HYPERLINK("https://api.qogita.com/variants/link/8015150219365/", "View Product")</f>
        <v/>
      </c>
    </row>
    <row r="12008">
      <c r="A12008" t="inlineStr">
        <is>
          <t>8015150240239</t>
        </is>
      </c>
      <c r="B12008" t="inlineStr">
        <is>
          <t>Collistar Regenerative Antiwrinkle Day Cream 50 Ml</t>
        </is>
      </c>
      <c r="C12008" t="inlineStr">
        <is>
          <t>Day Cream</t>
        </is>
      </c>
      <c r="D12008" t="inlineStr">
        <is>
          <t>Collistar</t>
        </is>
      </c>
      <c r="E12008" t="n">
        <v>35.96</v>
      </c>
      <c r="F12008" t="n">
        <v>1</v>
      </c>
      <c r="G12008" t="n">
        <v>5</v>
      </c>
      <c r="H12008" s="5">
        <f>HYPERLINK("https://api.qogita.com/variants/link/8015150240239/", "View Product")</f>
        <v/>
      </c>
    </row>
    <row r="12009">
      <c r="A12009" t="inlineStr">
        <is>
          <t>8015150244435</t>
        </is>
      </c>
      <c r="B12009" t="inlineStr">
        <is>
          <t>Collistar Magnifica Replenishing Thickening Lightweight Face and Neck Cream</t>
        </is>
      </c>
      <c r="C12009" t="inlineStr">
        <is>
          <t>Face Cream</t>
        </is>
      </c>
      <c r="D12009" t="inlineStr">
        <is>
          <t>Collistar</t>
        </is>
      </c>
      <c r="E12009" t="n">
        <v>37.59</v>
      </c>
      <c r="F12009" t="n">
        <v>1</v>
      </c>
      <c r="G12009" t="n">
        <v>4</v>
      </c>
      <c r="H12009" s="5">
        <f>HYPERLINK("https://api.qogita.com/variants/link/8015150244435/", "View Product")</f>
        <v/>
      </c>
    </row>
    <row r="12010">
      <c r="A12010" t="inlineStr">
        <is>
          <t>8015150247214</t>
        </is>
      </c>
      <c r="B12010" t="inlineStr">
        <is>
          <t>Collistar Lift Hd+ Face Serum 30ml</t>
        </is>
      </c>
      <c r="C12010" t="inlineStr">
        <is>
          <t>Anti-Aging Serum</t>
        </is>
      </c>
      <c r="D12010" t="inlineStr">
        <is>
          <t>Collistar</t>
        </is>
      </c>
      <c r="E12010" t="n">
        <v>27.47</v>
      </c>
      <c r="F12010" t="n">
        <v>1</v>
      </c>
      <c r="G12010" t="n">
        <v>5</v>
      </c>
      <c r="H12010" s="5">
        <f>HYPERLINK("https://api.qogita.com/variants/link/8015150247214/", "View Product")</f>
        <v/>
      </c>
    </row>
    <row r="12011">
      <c r="A12011" t="inlineStr">
        <is>
          <t>8015150247221</t>
        </is>
      </c>
      <c r="B12011" t="inlineStr">
        <is>
          <t>Collistar Lift Hd+ Lifting Firming Face And Neck Cream - 50ml</t>
        </is>
      </c>
      <c r="C12011" t="inlineStr">
        <is>
          <t>Anti-Aging Facial Care</t>
        </is>
      </c>
      <c r="D12011" t="inlineStr">
        <is>
          <t>Collistar</t>
        </is>
      </c>
      <c r="E12011" t="n">
        <v>36.58</v>
      </c>
      <c r="F12011" t="n">
        <v>1</v>
      </c>
      <c r="G12011" t="n">
        <v>3</v>
      </c>
      <c r="H12011" s="5">
        <f>HYPERLINK("https://api.qogita.com/variants/link/8015150247221/", "View Product")</f>
        <v/>
      </c>
    </row>
    <row r="12012">
      <c r="A12012" t="inlineStr">
        <is>
          <t>8015150247276</t>
        </is>
      </c>
      <c r="B12012" t="inlineStr">
        <is>
          <t>Collistar Idroattiva+ Deep Moisturizing Cream - 50ml</t>
        </is>
      </c>
      <c r="C12012" t="inlineStr">
        <is>
          <t>Face Cream</t>
        </is>
      </c>
      <c r="D12012" t="inlineStr">
        <is>
          <t>Collistar</t>
        </is>
      </c>
      <c r="E12012" t="n">
        <v>16.99</v>
      </c>
      <c r="F12012" t="n">
        <v>1</v>
      </c>
      <c r="G12012" t="n">
        <v>6</v>
      </c>
      <c r="H12012" s="5">
        <f>HYPERLINK("https://api.qogita.com/variants/link/8015150247276/", "View Product")</f>
        <v/>
      </c>
    </row>
    <row r="12013">
      <c r="A12013" t="inlineStr">
        <is>
          <t>8015150247283</t>
        </is>
      </c>
      <c r="B12013" t="inlineStr">
        <is>
          <t>Collistar Idroattiva+ Fresh Moisturizing Water Cream Gel Face Cream 50ml</t>
        </is>
      </c>
      <c r="C12013" t="inlineStr">
        <is>
          <t>Face Cream</t>
        </is>
      </c>
      <c r="D12013" t="inlineStr">
        <is>
          <t>Collistar</t>
        </is>
      </c>
      <c r="E12013" t="n">
        <v>16.99</v>
      </c>
      <c r="F12013" t="n">
        <v>1</v>
      </c>
      <c r="G12013" t="n">
        <v>7</v>
      </c>
      <c r="H12013" s="5">
        <f>HYPERLINK("https://api.qogita.com/variants/link/8015150247283/", "View Product")</f>
        <v/>
      </c>
    </row>
    <row r="12014">
      <c r="A12014" t="inlineStr">
        <is>
          <t>8015150247306</t>
        </is>
      </c>
      <c r="B12014" t="inlineStr">
        <is>
          <t>Collistar Idroattiva+ Matte Moisturizing Sorbet Face Cream 50ml</t>
        </is>
      </c>
      <c r="C12014" t="inlineStr">
        <is>
          <t>Face Cream</t>
        </is>
      </c>
      <c r="D12014" t="inlineStr">
        <is>
          <t>Collistar</t>
        </is>
      </c>
      <c r="E12014" t="n">
        <v>21.05</v>
      </c>
      <c r="F12014" t="n">
        <v>1</v>
      </c>
      <c r="G12014" t="n">
        <v>25</v>
      </c>
      <c r="H12014" s="5">
        <f>HYPERLINK("https://api.qogita.com/variants/link/8015150247306/", "View Product")</f>
        <v/>
      </c>
    </row>
    <row r="12015">
      <c r="A12015" t="inlineStr">
        <is>
          <t>8015150248020</t>
        </is>
      </c>
      <c r="B12015" t="inlineStr">
        <is>
          <t>Collistar Rigenera Smoothing Antiwrinkle Concentrate 2 Ampoules Of 10 Ml Each</t>
        </is>
      </c>
      <c r="C12015" t="inlineStr">
        <is>
          <t>Ampoules</t>
        </is>
      </c>
      <c r="D12015" t="inlineStr">
        <is>
          <t>Collistar</t>
        </is>
      </c>
      <c r="E12015" t="n">
        <v>27.11</v>
      </c>
      <c r="F12015" t="n">
        <v>1</v>
      </c>
      <c r="G12015" t="n">
        <v>5</v>
      </c>
      <c r="H12015" s="5">
        <f>HYPERLINK("https://api.qogita.com/variants/link/8015150248020/", "View Product")</f>
        <v/>
      </c>
    </row>
    <row r="12016">
      <c r="A12016" t="inlineStr">
        <is>
          <t>8015150250337</t>
        </is>
      </c>
      <c r="B12016" t="inlineStr">
        <is>
          <t>Collistar Energizing Talasso-Scrub Body Peeling 700g</t>
        </is>
      </c>
      <c r="C12016" t="inlineStr">
        <is>
          <t>Body Scrub &amp; Peeling</t>
        </is>
      </c>
      <c r="D12016" t="inlineStr">
        <is>
          <t>Collistar</t>
        </is>
      </c>
      <c r="E12016" t="n">
        <v>22.46</v>
      </c>
      <c r="F12016" t="n">
        <v>1</v>
      </c>
      <c r="G12016" t="n">
        <v>3</v>
      </c>
      <c r="H12016" s="5">
        <f>HYPERLINK("https://api.qogita.com/variants/link/8015150250337/", "View Product")</f>
        <v/>
      </c>
    </row>
    <row r="12017">
      <c r="A12017" t="inlineStr">
        <is>
          <t>8015150251129</t>
        </is>
      </c>
      <c r="B12017" t="inlineStr">
        <is>
          <t>Collistar Perfect Body Deodorant Hyper Sensitive Spray 100ml 24hour Deodorant Spray For Sensitive Skin</t>
        </is>
      </c>
      <c r="C12017" t="inlineStr">
        <is>
          <t>Deodorant &amp; Anti-Perspirant</t>
        </is>
      </c>
      <c r="D12017" t="inlineStr">
        <is>
          <t>Collistar</t>
        </is>
      </c>
      <c r="E12017" t="n">
        <v>10.62</v>
      </c>
      <c r="F12017" t="n">
        <v>1</v>
      </c>
      <c r="G12017" t="n">
        <v>3</v>
      </c>
      <c r="H12017" s="5">
        <f>HYPERLINK("https://api.qogita.com/variants/link/8015150251129/", "View Product")</f>
        <v/>
      </c>
    </row>
    <row r="12018">
      <c r="A12018" t="inlineStr">
        <is>
          <t>8015150251143</t>
        </is>
      </c>
      <c r="B12018" t="inlineStr">
        <is>
          <t>Collistar Multi-Active Deodorant 24 Hours Roll-On - 75ml</t>
        </is>
      </c>
      <c r="C12018" t="inlineStr">
        <is>
          <t>Deodorant &amp; Anti-Perspirant</t>
        </is>
      </c>
      <c r="D12018" t="inlineStr">
        <is>
          <t>Collistar</t>
        </is>
      </c>
      <c r="E12018" t="n">
        <v>9.27</v>
      </c>
      <c r="F12018" t="n">
        <v>1</v>
      </c>
      <c r="G12018" t="n">
        <v>5</v>
      </c>
      <c r="H12018" s="5">
        <f>HYPERLINK("https://api.qogita.com/variants/link/8015150251143/", "View Product")</f>
        <v/>
      </c>
    </row>
    <row r="12019">
      <c r="A12019" t="inlineStr">
        <is>
          <t>8015150251327</t>
        </is>
      </c>
      <c r="B12019" t="inlineStr">
        <is>
          <t>Collistar Antiage Talassoscrub 700g Rejuvenating Body Scrub</t>
        </is>
      </c>
      <c r="C12019" t="inlineStr">
        <is>
          <t>Body Scrub &amp; Peeling</t>
        </is>
      </c>
      <c r="D12019" t="inlineStr">
        <is>
          <t>Collistar</t>
        </is>
      </c>
      <c r="E12019" t="n">
        <v>25.75</v>
      </c>
      <c r="F12019" t="n">
        <v>1</v>
      </c>
      <c r="G12019" t="n">
        <v>13</v>
      </c>
      <c r="H12019" s="5">
        <f>HYPERLINK("https://api.qogita.com/variants/link/8015150251327/", "View Product")</f>
        <v/>
      </c>
    </row>
    <row r="12020">
      <c r="A12020" t="inlineStr">
        <is>
          <t>8015150251839</t>
        </is>
      </c>
      <c r="B12020" t="inlineStr">
        <is>
          <t>Collistar Special Perfect Body Deep Moisturizing Fluid 400ml</t>
        </is>
      </c>
      <c r="C12020" t="inlineStr">
        <is>
          <t>Body Lotion</t>
        </is>
      </c>
      <c r="D12020" t="inlineStr">
        <is>
          <t>Collistar</t>
        </is>
      </c>
      <c r="E12020" t="n">
        <v>13.2</v>
      </c>
      <c r="F12020" t="n">
        <v>1</v>
      </c>
      <c r="G12020" t="n">
        <v>5</v>
      </c>
      <c r="H12020" s="5">
        <f>HYPERLINK("https://api.qogita.com/variants/link/8015150251839/", "View Product")</f>
        <v/>
      </c>
    </row>
    <row r="12021">
      <c r="A12021" t="inlineStr">
        <is>
          <t>8015150251891</t>
        </is>
      </c>
      <c r="B12021" t="inlineStr">
        <is>
          <t>Collistar Collagen + Hyaluronic Acid Bust Firming Lifting Serum - 50ml</t>
        </is>
      </c>
      <c r="C12021" t="inlineStr">
        <is>
          <t>Collagen Serum</t>
        </is>
      </c>
      <c r="D12021" t="inlineStr">
        <is>
          <t>Collistar</t>
        </is>
      </c>
      <c r="E12021" t="n">
        <v>20.35</v>
      </c>
      <c r="F12021" t="n">
        <v>1</v>
      </c>
      <c r="G12021" t="n">
        <v>9</v>
      </c>
      <c r="H12021" s="5">
        <f>HYPERLINK("https://api.qogita.com/variants/link/8015150251891/", "View Product")</f>
        <v/>
      </c>
    </row>
    <row r="12022">
      <c r="A12022" t="inlineStr">
        <is>
          <t>8015150252881</t>
        </is>
      </c>
      <c r="B12022" t="inlineStr">
        <is>
          <t>Collistar Anti Stretch Marks Concentrate With Hyaluronic Acid 150ml</t>
        </is>
      </c>
      <c r="C12022" t="inlineStr">
        <is>
          <t>Anti-Stretch Mark Cream</t>
        </is>
      </c>
      <c r="D12022" t="inlineStr">
        <is>
          <t>Collistar</t>
        </is>
      </c>
      <c r="E12022" t="n">
        <v>16.57</v>
      </c>
      <c r="F12022" t="n">
        <v>1</v>
      </c>
      <c r="G12022" t="n">
        <v>5</v>
      </c>
      <c r="H12022" s="5">
        <f>HYPERLINK("https://api.qogita.com/variants/link/8015150252881/", "View Product")</f>
        <v/>
      </c>
    </row>
    <row r="12023">
      <c r="A12023" t="inlineStr">
        <is>
          <t>8015150253611</t>
        </is>
      </c>
      <c r="B12023" t="inlineStr">
        <is>
          <t>Collistar Slimming Draining Bandages 2x100ml</t>
        </is>
      </c>
      <c r="C12023" t="inlineStr">
        <is>
          <t>Anti-Cellulite</t>
        </is>
      </c>
      <c r="D12023" t="inlineStr">
        <is>
          <t>Collistar</t>
        </is>
      </c>
      <c r="E12023" t="n">
        <v>23.2</v>
      </c>
      <c r="F12023" t="n">
        <v>1</v>
      </c>
      <c r="G12023" t="n">
        <v>10</v>
      </c>
      <c r="H12023" s="5">
        <f>HYPERLINK("https://api.qogita.com/variants/link/8015150253611/", "View Product")</f>
        <v/>
      </c>
    </row>
    <row r="12024">
      <c r="A12024" t="inlineStr">
        <is>
          <t>8015150253734</t>
        </is>
      </c>
      <c r="B12024" t="inlineStr">
        <is>
          <t>Collistar Abdomen And Hip Remodeling Treatment Invisible Sheath Effect Firming Treatment For Abdomen And Thighs 250ml</t>
        </is>
      </c>
      <c r="C12024" t="inlineStr">
        <is>
          <t>Anti-Cellulite</t>
        </is>
      </c>
      <c r="D12024" t="inlineStr">
        <is>
          <t>Collistar</t>
        </is>
      </c>
      <c r="E12024" t="n">
        <v>22.88</v>
      </c>
      <c r="F12024" t="n">
        <v>1</v>
      </c>
      <c r="G12024" t="n">
        <v>5</v>
      </c>
      <c r="H12024" s="5">
        <f>HYPERLINK("https://api.qogita.com/variants/link/8015150253734/", "View Product")</f>
        <v/>
      </c>
    </row>
    <row r="12025">
      <c r="A12025" t="inlineStr">
        <is>
          <t>8015150260299</t>
        </is>
      </c>
      <c r="B12025" t="inlineStr">
        <is>
          <t>Collistar After Sun Fluid Soothing Refreshing 400ml Body Care After Sunbathing</t>
        </is>
      </c>
      <c r="C12025" t="inlineStr">
        <is>
          <t>Aftersun</t>
        </is>
      </c>
      <c r="D12025" t="inlineStr">
        <is>
          <t>Collistar</t>
        </is>
      </c>
      <c r="E12025" t="n">
        <v>17.21</v>
      </c>
      <c r="F12025" t="n">
        <v>1</v>
      </c>
      <c r="G12025" t="n">
        <v>5</v>
      </c>
      <c r="H12025" s="5">
        <f>HYPERLINK("https://api.qogita.com/variants/link/8015150260299/", "View Product")</f>
        <v/>
      </c>
    </row>
    <row r="12026">
      <c r="A12026" t="inlineStr">
        <is>
          <t>8015150260404</t>
        </is>
      </c>
      <c r="B12026" t="inlineStr">
        <is>
          <t>Collistar Special Perfect Tan Moisturizing Restructuring After Sun Balm 400ml</t>
        </is>
      </c>
      <c r="C12026" t="inlineStr">
        <is>
          <t>Aftersun</t>
        </is>
      </c>
      <c r="D12026" t="inlineStr">
        <is>
          <t>Collistar</t>
        </is>
      </c>
      <c r="E12026" t="n">
        <v>17.05</v>
      </c>
      <c r="F12026" t="n">
        <v>1</v>
      </c>
      <c r="G12026" t="n">
        <v>8</v>
      </c>
      <c r="H12026" s="5">
        <f>HYPERLINK("https://api.qogita.com/variants/link/8015150260404/", "View Product")</f>
        <v/>
      </c>
    </row>
    <row r="12027">
      <c r="A12027" t="inlineStr">
        <is>
          <t>8015150262521</t>
        </is>
      </c>
      <c r="B12027" t="inlineStr">
        <is>
          <t>Collistar Sun Care Active Protection Milk Spray Ultrarapid Application Spf50 200 Ml</t>
        </is>
      </c>
      <c r="C12027" t="inlineStr">
        <is>
          <t>Body Sun Protection</t>
        </is>
      </c>
      <c r="D12027" t="inlineStr">
        <is>
          <t>Collistar</t>
        </is>
      </c>
      <c r="E12027" t="n">
        <v>18.79</v>
      </c>
      <c r="F12027" t="n">
        <v>1</v>
      </c>
      <c r="G12027" t="n">
        <v>6</v>
      </c>
      <c r="H12027" s="5">
        <f>HYPERLINK("https://api.qogita.com/variants/link/8015150262521/", "View Product")</f>
        <v/>
      </c>
    </row>
    <row r="12028">
      <c r="A12028" t="inlineStr">
        <is>
          <t>8015150262538</t>
        </is>
      </c>
      <c r="B12028" t="inlineStr">
        <is>
          <t>Collistar Active Protection Sun Stick for Hypersensitive Skin SPF 50 9ml</t>
        </is>
      </c>
      <c r="C12028" t="inlineStr">
        <is>
          <t>Body Sun Protection</t>
        </is>
      </c>
      <c r="D12028" t="inlineStr">
        <is>
          <t>Collistar</t>
        </is>
      </c>
      <c r="E12028" t="n">
        <v>13.75</v>
      </c>
      <c r="F12028" t="n">
        <v>1</v>
      </c>
      <c r="G12028" t="n">
        <v>5</v>
      </c>
      <c r="H12028" s="5">
        <f>HYPERLINK("https://api.qogita.com/variants/link/8015150262538/", "View Product")</f>
        <v/>
      </c>
    </row>
    <row r="12029">
      <c r="A12029" t="inlineStr">
        <is>
          <t>8015150262583</t>
        </is>
      </c>
      <c r="B12029" t="inlineStr">
        <is>
          <t>Collistar Soothing Moisturizing Aftersun Shower Shampoo 250ml For Body And Hair</t>
        </is>
      </c>
      <c r="C12029" t="inlineStr">
        <is>
          <t>Aftersun</t>
        </is>
      </c>
      <c r="D12029" t="inlineStr">
        <is>
          <t>Collistar</t>
        </is>
      </c>
      <c r="E12029" t="n">
        <v>10.82</v>
      </c>
      <c r="F12029" t="n">
        <v>1</v>
      </c>
      <c r="G12029" t="n">
        <v>2</v>
      </c>
      <c r="H12029" s="5">
        <f>HYPERLINK("https://api.qogita.com/variants/link/8015150262583/", "View Product")</f>
        <v/>
      </c>
    </row>
    <row r="12030">
      <c r="A12030" t="inlineStr">
        <is>
          <t>8015150280822</t>
        </is>
      </c>
      <c r="B12030" t="inlineStr">
        <is>
          <t>Line Man Drops Magic Face Ultra-Rapid Self-Tanning Concentrate</t>
        </is>
      </c>
      <c r="C12030" t="inlineStr">
        <is>
          <t>Face Self-Tanner</t>
        </is>
      </c>
      <c r="D12030" t="inlineStr">
        <is>
          <t>Collistar</t>
        </is>
      </c>
      <c r="E12030" t="n">
        <v>19.91</v>
      </c>
      <c r="F12030" t="n">
        <v>1</v>
      </c>
      <c r="G12030" t="n">
        <v>7</v>
      </c>
      <c r="H12030" s="5">
        <f>HYPERLINK("https://api.qogita.com/variants/link/8015150280822/", "View Product")</f>
        <v/>
      </c>
    </row>
    <row r="12031">
      <c r="A12031" t="inlineStr">
        <is>
          <t>8015150285506</t>
        </is>
      </c>
      <c r="B12031" t="inlineStr">
        <is>
          <t>Collistar Acqua Wood Shower Gel Shower Shampoo 250 Ml</t>
        </is>
      </c>
      <c r="C12031" t="inlineStr">
        <is>
          <t>Shower Gel</t>
        </is>
      </c>
      <c r="D12031" t="inlineStr">
        <is>
          <t>Collistar</t>
        </is>
      </c>
      <c r="E12031" t="n">
        <v>14.02</v>
      </c>
      <c r="F12031" t="n">
        <v>1</v>
      </c>
      <c r="G12031" t="n">
        <v>45</v>
      </c>
      <c r="H12031" s="5">
        <f>HYPERLINK("https://api.qogita.com/variants/link/8015150285506/", "View Product")</f>
        <v/>
      </c>
    </row>
    <row r="12032">
      <c r="A12032" t="inlineStr">
        <is>
          <t>8015150285551</t>
        </is>
      </c>
      <c r="B12032" t="inlineStr">
        <is>
          <t>Collistar Hydrogel Aftershave Fresh Effect 100 Ml</t>
        </is>
      </c>
      <c r="C12032" t="inlineStr">
        <is>
          <t>Aftershave</t>
        </is>
      </c>
      <c r="D12032" t="inlineStr">
        <is>
          <t>Collistar</t>
        </is>
      </c>
      <c r="E12032" t="n">
        <v>21.63</v>
      </c>
      <c r="F12032" t="n">
        <v>1</v>
      </c>
      <c r="G12032" t="n">
        <v>10</v>
      </c>
      <c r="H12032" s="5">
        <f>HYPERLINK("https://api.qogita.com/variants/link/8015150285551/", "View Product")</f>
        <v/>
      </c>
    </row>
    <row r="12033">
      <c r="A12033" t="inlineStr">
        <is>
          <t>8015150285575</t>
        </is>
      </c>
      <c r="B12033" t="inlineStr">
        <is>
          <t>Collistar Uomo Hydrating Soothing Shaving Foam 200ml</t>
        </is>
      </c>
      <c r="C12033" t="inlineStr">
        <is>
          <t>Shaving</t>
        </is>
      </c>
      <c r="D12033" t="inlineStr">
        <is>
          <t>Collistar</t>
        </is>
      </c>
      <c r="E12033" t="n">
        <v>9.32</v>
      </c>
      <c r="F12033" t="n">
        <v>1</v>
      </c>
      <c r="G12033" t="n">
        <v>6</v>
      </c>
      <c r="H12033" s="5">
        <f>HYPERLINK("https://api.qogita.com/variants/link/8015150285575/", "View Product")</f>
        <v/>
      </c>
    </row>
    <row r="12034">
      <c r="A12034" t="inlineStr">
        <is>
          <t>8015150297257</t>
        </is>
      </c>
      <c r="B12034" t="inlineStr">
        <is>
          <t>Collistar Attivi Puri Hair Mask Vitamin C 200ml</t>
        </is>
      </c>
      <c r="C12034" t="inlineStr">
        <is>
          <t>Hair Masks</t>
        </is>
      </c>
      <c r="D12034" t="inlineStr">
        <is>
          <t>Collistar</t>
        </is>
      </c>
      <c r="E12034" t="n">
        <v>12.15</v>
      </c>
      <c r="F12034" t="n">
        <v>1</v>
      </c>
      <c r="G12034" t="n">
        <v>5</v>
      </c>
      <c r="H12034" s="5">
        <f>HYPERLINK("https://api.qogita.com/variants/link/8015150297257/", "View Product")</f>
        <v/>
      </c>
    </row>
    <row r="12035">
      <c r="A12035" t="inlineStr">
        <is>
          <t>8015150297264</t>
        </is>
      </c>
      <c r="B12035" t="inlineStr">
        <is>
          <t>Collistar Attivi Puri Gloss Spray With Vitamin C Hair Spray 100ml</t>
        </is>
      </c>
      <c r="C12035" t="inlineStr">
        <is>
          <t>Uv Protection</t>
        </is>
      </c>
      <c r="D12035" t="inlineStr">
        <is>
          <t>Collistar</t>
        </is>
      </c>
      <c r="E12035" t="n">
        <v>15.75</v>
      </c>
      <c r="F12035" t="n">
        <v>1</v>
      </c>
      <c r="G12035" t="n">
        <v>7</v>
      </c>
      <c r="H12035" s="5">
        <f>HYPERLINK("https://api.qogita.com/variants/link/8015150297264/", "View Product")</f>
        <v/>
      </c>
    </row>
    <row r="12036">
      <c r="A12036" t="inlineStr">
        <is>
          <t>8016741062667</t>
        </is>
      </c>
      <c r="B12036" t="inlineStr">
        <is>
          <t>Chi Extrait de Parfum</t>
        </is>
      </c>
      <c r="C12036" t="inlineStr">
        <is>
          <t>Extrait De Parfum</t>
        </is>
      </c>
      <c r="D12036" t="inlineStr">
        <is>
          <t>Tiziana Terenzi</t>
        </is>
      </c>
      <c r="E12036" t="n">
        <v>121.22</v>
      </c>
      <c r="F12036" t="n">
        <v>1</v>
      </c>
      <c r="G12036" t="n">
        <v>15</v>
      </c>
      <c r="H12036" s="5">
        <f>HYPERLINK("https://api.qogita.com/variants/link/8016741062667/", "View Product")</f>
        <v/>
      </c>
    </row>
    <row r="12037">
      <c r="A12037" t="inlineStr">
        <is>
          <t>8016741072482</t>
        </is>
      </c>
      <c r="B12037" t="inlineStr">
        <is>
          <t>Tiziana Terenzi Kirke Extract De Parfum 100ml Unisex Spray</t>
        </is>
      </c>
      <c r="C12037" t="inlineStr">
        <is>
          <t>Extrait De Parfum</t>
        </is>
      </c>
      <c r="D12037" t="inlineStr">
        <is>
          <t>Tiziana Terenzi</t>
        </is>
      </c>
      <c r="E12037" t="n">
        <v>84.88</v>
      </c>
      <c r="F12037" t="n">
        <v>1</v>
      </c>
      <c r="G12037" t="n">
        <v>286</v>
      </c>
      <c r="H12037" s="5">
        <f>HYPERLINK("https://api.qogita.com/variants/link/8016741072482/", "View Product")</f>
        <v/>
      </c>
    </row>
    <row r="12038">
      <c r="A12038" t="inlineStr">
        <is>
          <t>8016741112669</t>
        </is>
      </c>
      <c r="B12038" t="inlineStr">
        <is>
          <t>Tiziana Terenzi Talitha Extrait De Parfum Spray 100ml</t>
        </is>
      </c>
      <c r="C12038" t="inlineStr">
        <is>
          <t>Extrait De Parfum</t>
        </is>
      </c>
      <c r="D12038" t="inlineStr">
        <is>
          <t>Tiziana Terenzi</t>
        </is>
      </c>
      <c r="E12038" t="n">
        <v>110.98</v>
      </c>
      <c r="F12038" t="n">
        <v>1</v>
      </c>
      <c r="G12038" t="n">
        <v>5</v>
      </c>
      <c r="H12038" s="5">
        <f>HYPERLINK("https://api.qogita.com/variants/link/8016741112669/", "View Product")</f>
        <v/>
      </c>
    </row>
    <row r="12039">
      <c r="A12039" t="inlineStr">
        <is>
          <t>8016741352638</t>
        </is>
      </c>
      <c r="B12039" t="inlineStr">
        <is>
          <t>Tiziana Terenzi Gold Rose Oud Hair Perfume 50ml</t>
        </is>
      </c>
      <c r="C12039" t="inlineStr">
        <is>
          <t>Eau De Parfum</t>
        </is>
      </c>
      <c r="D12039" t="inlineStr">
        <is>
          <t>Tiziana Terenzi</t>
        </is>
      </c>
      <c r="E12039" t="n">
        <v>39.79</v>
      </c>
      <c r="F12039" t="n">
        <v>1</v>
      </c>
      <c r="G12039" t="n">
        <v>5</v>
      </c>
      <c r="H12039" s="5">
        <f>HYPERLINK("https://api.qogita.com/variants/link/8016741352638/", "View Product")</f>
        <v/>
      </c>
    </row>
    <row r="12040">
      <c r="A12040" t="inlineStr">
        <is>
          <t>8016741362668</t>
        </is>
      </c>
      <c r="B12040" t="inlineStr">
        <is>
          <t>Perfume Extract 100ml</t>
        </is>
      </c>
      <c r="C12040" t="inlineStr">
        <is>
          <t>Extrait De Parfum</t>
        </is>
      </c>
      <c r="D12040" t="inlineStr">
        <is>
          <t>Giardino Benessere</t>
        </is>
      </c>
      <c r="E12040" t="n">
        <v>84.84</v>
      </c>
      <c r="F12040" t="n">
        <v>1</v>
      </c>
      <c r="G12040" t="n">
        <v>8</v>
      </c>
      <c r="H12040" s="5">
        <f>HYPERLINK("https://api.qogita.com/variants/link/8016741362668/", "View Product")</f>
        <v/>
      </c>
    </row>
    <row r="12041">
      <c r="A12041" t="inlineStr">
        <is>
          <t>8016741392603</t>
        </is>
      </c>
      <c r="B12041" t="inlineStr">
        <is>
          <t>Atlantide by Tiziana Terenzi Extrait de Parfum 100ml</t>
        </is>
      </c>
      <c r="C12041" t="inlineStr">
        <is>
          <t>Extrait De Parfum</t>
        </is>
      </c>
      <c r="D12041" t="inlineStr">
        <is>
          <t>Tiziana Terenzi</t>
        </is>
      </c>
      <c r="E12041" t="n">
        <v>344.85</v>
      </c>
      <c r="F12041" t="n">
        <v>1</v>
      </c>
      <c r="G12041" t="n">
        <v>6</v>
      </c>
      <c r="H12041" s="5">
        <f>HYPERLINK("https://api.qogita.com/variants/link/8016741392603/", "View Product")</f>
        <v/>
      </c>
    </row>
    <row r="12042">
      <c r="A12042" t="inlineStr">
        <is>
          <t>8016741432606</t>
        </is>
      </c>
      <c r="B12042" t="inlineStr">
        <is>
          <t>Tiziana Terenzi Orza Extrait De Parfum Spray 100ml</t>
        </is>
      </c>
      <c r="C12042" t="inlineStr">
        <is>
          <t>Extrait De Parfum</t>
        </is>
      </c>
      <c r="D12042" t="inlineStr">
        <is>
          <t>Tiziana Terenzi</t>
        </is>
      </c>
      <c r="E12042" t="n">
        <v>198.04</v>
      </c>
      <c r="F12042" t="n">
        <v>1</v>
      </c>
      <c r="G12042" t="n">
        <v>5</v>
      </c>
      <c r="H12042" s="5">
        <f>HYPERLINK("https://api.qogita.com/variants/link/8016741432606/", "View Product")</f>
        <v/>
      </c>
    </row>
    <row r="12043">
      <c r="A12043" t="inlineStr">
        <is>
          <t>8016741522284</t>
        </is>
      </c>
      <c r="B12043" t="inlineStr">
        <is>
          <t>Giardino Benessere Cotton Flower Eau De Parfum 100ml</t>
        </is>
      </c>
      <c r="C12043" t="inlineStr">
        <is>
          <t>Eau De Parfum</t>
        </is>
      </c>
      <c r="D12043" t="inlineStr">
        <is>
          <t>Giardino Benessere</t>
        </is>
      </c>
      <c r="E12043" t="n">
        <v>41.88</v>
      </c>
      <c r="F12043" t="n">
        <v>1</v>
      </c>
      <c r="G12043" t="n">
        <v>5</v>
      </c>
      <c r="H12043" s="5">
        <f>HYPERLINK("https://api.qogita.com/variants/link/8016741522284/", "View Product")</f>
        <v/>
      </c>
    </row>
    <row r="12044">
      <c r="A12044" t="inlineStr">
        <is>
          <t>8016741532283</t>
        </is>
      </c>
      <c r="B12044" t="inlineStr">
        <is>
          <t>Giardino Benessere Tuberose Eau De Parfum 100ml</t>
        </is>
      </c>
      <c r="C12044" t="inlineStr">
        <is>
          <t>Eau De Parfum</t>
        </is>
      </c>
      <c r="D12044" t="inlineStr">
        <is>
          <t>Giardino Benessere</t>
        </is>
      </c>
      <c r="E12044" t="n">
        <v>41.88</v>
      </c>
      <c r="F12044" t="n">
        <v>1</v>
      </c>
      <c r="G12044" t="n">
        <v>5</v>
      </c>
      <c r="H12044" s="5">
        <f>HYPERLINK("https://api.qogita.com/variants/link/8016741532283/", "View Product")</f>
        <v/>
      </c>
    </row>
    <row r="12045">
      <c r="A12045" t="inlineStr">
        <is>
          <t>8016741542626</t>
        </is>
      </c>
      <c r="B12045" t="inlineStr">
        <is>
          <t>Chiron By Tiziana Terenzi Extrait De Parfum 100ml</t>
        </is>
      </c>
      <c r="C12045" t="inlineStr">
        <is>
          <t>Extrait De Parfum</t>
        </is>
      </c>
      <c r="D12045" t="inlineStr">
        <is>
          <t>Tiziana Terenzi</t>
        </is>
      </c>
      <c r="E12045" t="n">
        <v>130.94</v>
      </c>
      <c r="F12045" t="n">
        <v>1</v>
      </c>
      <c r="G12045" t="n">
        <v>5</v>
      </c>
      <c r="H12045" s="5">
        <f>HYPERLINK("https://api.qogita.com/variants/link/8016741542626/", "View Product")</f>
        <v/>
      </c>
    </row>
    <row r="12046">
      <c r="A12046" t="inlineStr">
        <is>
          <t>8016741602511</t>
        </is>
      </c>
      <c r="B12046" t="inlineStr">
        <is>
          <t>Tiziana Terenzi Dubhe Assoluto Extrait De Parfum Spray 100ml</t>
        </is>
      </c>
      <c r="C12046" t="inlineStr">
        <is>
          <t>Extrait De Parfum</t>
        </is>
      </c>
      <c r="D12046" t="inlineStr">
        <is>
          <t>Tiziana Terenzi</t>
        </is>
      </c>
      <c r="E12046" t="n">
        <v>267.18</v>
      </c>
      <c r="F12046" t="n">
        <v>1</v>
      </c>
      <c r="G12046" t="n">
        <v>2</v>
      </c>
      <c r="H12046" s="5">
        <f>HYPERLINK("https://api.qogita.com/variants/link/8016741602511/", "View Product")</f>
        <v/>
      </c>
    </row>
    <row r="12047">
      <c r="A12047" t="inlineStr">
        <is>
          <t>8016741632686</t>
        </is>
      </c>
      <c r="B12047" t="inlineStr">
        <is>
          <t>Giardino Benessere Mnemosine Extrait De Parfum Spray 100ml</t>
        </is>
      </c>
      <c r="C12047" t="inlineStr">
        <is>
          <t>Extrait De Parfum</t>
        </is>
      </c>
      <c r="D12047" t="inlineStr">
        <is>
          <t>Giardino Benessere</t>
        </is>
      </c>
      <c r="E12047" t="n">
        <v>91.20999999999999</v>
      </c>
      <c r="F12047" t="n">
        <v>1</v>
      </c>
      <c r="G12047" t="n">
        <v>3</v>
      </c>
      <c r="H12047" s="5">
        <f>HYPERLINK("https://api.qogita.com/variants/link/8016741632686/", "View Product")</f>
        <v/>
      </c>
    </row>
    <row r="12048">
      <c r="A12048" t="inlineStr">
        <is>
          <t>8016741642432</t>
        </is>
      </c>
      <c r="B12048" t="inlineStr">
        <is>
          <t>Tiziana Terenzi Cassiopea Parfum Extract 100ml</t>
        </is>
      </c>
      <c r="C12048" t="inlineStr">
        <is>
          <t>Extrait De Parfum</t>
        </is>
      </c>
      <c r="D12048" t="inlineStr">
        <is>
          <t>Tiziana Terenzi</t>
        </is>
      </c>
      <c r="E12048" t="n">
        <v>126.8</v>
      </c>
      <c r="F12048" t="n">
        <v>1</v>
      </c>
      <c r="G12048" t="n">
        <v>3</v>
      </c>
      <c r="H12048" s="5">
        <f>HYPERLINK("https://api.qogita.com/variants/link/8016741642432/", "View Product")</f>
        <v/>
      </c>
    </row>
    <row r="12049">
      <c r="A12049" t="inlineStr">
        <is>
          <t>8016741662430</t>
        </is>
      </c>
      <c r="B12049" t="inlineStr">
        <is>
          <t>Tiziana Terenzi Draco Extrait De Parfum Spray 100ml</t>
        </is>
      </c>
      <c r="C12049" t="inlineStr">
        <is>
          <t>Extrait De Parfum</t>
        </is>
      </c>
      <c r="D12049" t="inlineStr">
        <is>
          <t>Tiziana Terenzi</t>
        </is>
      </c>
      <c r="E12049" t="n">
        <v>100.6</v>
      </c>
      <c r="F12049" t="n">
        <v>1</v>
      </c>
      <c r="G12049" t="n">
        <v>19</v>
      </c>
      <c r="H12049" s="5">
        <f>HYPERLINK("https://api.qogita.com/variants/link/8016741662430/", "View Product")</f>
        <v/>
      </c>
    </row>
    <row r="12050">
      <c r="A12050" t="inlineStr">
        <is>
          <t>8016741682605</t>
        </is>
      </c>
      <c r="B12050" t="inlineStr">
        <is>
          <t>Canto Sigismondo V Extrait De Parfum Spray 100ml</t>
        </is>
      </c>
      <c r="C12050" t="inlineStr">
        <is>
          <t>Extrait De Parfum</t>
        </is>
      </c>
      <c r="D12050" t="inlineStr">
        <is>
          <t>Canto</t>
        </is>
      </c>
      <c r="E12050" t="n">
        <v>101.34</v>
      </c>
      <c r="F12050" t="n">
        <v>1</v>
      </c>
      <c r="G12050" t="n">
        <v>4</v>
      </c>
      <c r="H12050" s="5">
        <f>HYPERLINK("https://api.qogita.com/variants/link/8016741682605/", "View Product")</f>
        <v/>
      </c>
    </row>
    <row r="12051">
      <c r="A12051" t="inlineStr">
        <is>
          <t>8016741692673</t>
        </is>
      </c>
      <c r="B12051" t="inlineStr">
        <is>
          <t>Tiziana Terenzi Hyakutake Eau de Parfum Unisex 100ml</t>
        </is>
      </c>
      <c r="C12051" t="inlineStr">
        <is>
          <t>Eau De Parfum</t>
        </is>
      </c>
      <c r="D12051" t="inlineStr">
        <is>
          <t>Tiziana Terenzi</t>
        </is>
      </c>
      <c r="E12051" t="n">
        <v>154.53</v>
      </c>
      <c r="F12051" t="n">
        <v>1</v>
      </c>
      <c r="G12051" t="n">
        <v>8</v>
      </c>
      <c r="H12051" s="5">
        <f>HYPERLINK("https://api.qogita.com/variants/link/8016741692673/", "View Product")</f>
        <v/>
      </c>
    </row>
    <row r="12052">
      <c r="A12052" t="inlineStr">
        <is>
          <t>8016741762581</t>
        </is>
      </c>
      <c r="B12052" t="inlineStr">
        <is>
          <t>Borea By Tiziana Terenzi Extrait De Parfum 100ml</t>
        </is>
      </c>
      <c r="C12052" t="inlineStr">
        <is>
          <t>Extrait De Parfum</t>
        </is>
      </c>
      <c r="D12052" t="inlineStr">
        <is>
          <t>Tiziana Terenzi</t>
        </is>
      </c>
      <c r="E12052" t="n">
        <v>65.15000000000001</v>
      </c>
      <c r="F12052" t="n">
        <v>1</v>
      </c>
      <c r="G12052" t="n">
        <v>7</v>
      </c>
      <c r="H12052" s="5">
        <f>HYPERLINK("https://api.qogita.com/variants/link/8016741762581/", "View Product")</f>
        <v/>
      </c>
    </row>
    <row r="12053">
      <c r="A12053" t="inlineStr">
        <is>
          <t>8016741782428</t>
        </is>
      </c>
      <c r="B12053" t="inlineStr">
        <is>
          <t>V Canto Mea Culpa Extrait De Parfum Spray 100ml</t>
        </is>
      </c>
      <c r="C12053" t="inlineStr">
        <is>
          <t>Extrait De Parfum</t>
        </is>
      </c>
      <c r="D12053" t="inlineStr">
        <is>
          <t>V Canto</t>
        </is>
      </c>
      <c r="E12053" t="n">
        <v>83.15000000000001</v>
      </c>
      <c r="F12053" t="n">
        <v>1</v>
      </c>
      <c r="G12053" t="n">
        <v>4</v>
      </c>
      <c r="H12053" s="5">
        <f>HYPERLINK("https://api.qogita.com/variants/link/8016741782428/", "View Product")</f>
        <v/>
      </c>
    </row>
    <row r="12054">
      <c r="A12054" t="inlineStr">
        <is>
          <t>8016741802423</t>
        </is>
      </c>
      <c r="B12054" t="inlineStr">
        <is>
          <t>V Canto Kashimire Extrait De Parfum Spray 100ml</t>
        </is>
      </c>
      <c r="C12054" t="inlineStr">
        <is>
          <t>Extrait De Parfum</t>
        </is>
      </c>
      <c r="D12054" t="inlineStr">
        <is>
          <t>V Canto</t>
        </is>
      </c>
      <c r="E12054" t="n">
        <v>72.62</v>
      </c>
      <c r="F12054" t="n">
        <v>1</v>
      </c>
      <c r="G12054" t="n">
        <v>14</v>
      </c>
      <c r="H12054" s="5">
        <f>HYPERLINK("https://api.qogita.com/variants/link/8016741802423/", "View Product")</f>
        <v/>
      </c>
    </row>
    <row r="12055">
      <c r="A12055" t="inlineStr">
        <is>
          <t>8016741842511</t>
        </is>
      </c>
      <c r="B12055" t="inlineStr">
        <is>
          <t>Tiziana Terenzi Cas Eau De Parfum 100ml</t>
        </is>
      </c>
      <c r="C12055" t="inlineStr">
        <is>
          <t>Eau De Parfum</t>
        </is>
      </c>
      <c r="D12055" t="inlineStr">
        <is>
          <t>Tiziana Terenzi</t>
        </is>
      </c>
      <c r="E12055" t="n">
        <v>121.36</v>
      </c>
      <c r="F12055" t="n">
        <v>1</v>
      </c>
      <c r="G12055" t="n">
        <v>7</v>
      </c>
      <c r="H12055" s="5">
        <f>HYPERLINK("https://api.qogita.com/variants/link/8016741842511/", "View Product")</f>
        <v/>
      </c>
    </row>
    <row r="12056">
      <c r="A12056" t="inlineStr">
        <is>
          <t>8016741842580</t>
        </is>
      </c>
      <c r="B12056" t="inlineStr">
        <is>
          <t>Tiziana Terenzi Orionis Extrait De Parfum Spray 100ml Unisex</t>
        </is>
      </c>
      <c r="C12056" t="inlineStr">
        <is>
          <t>Extrait De Parfum</t>
        </is>
      </c>
      <c r="D12056" t="inlineStr">
        <is>
          <t>Tiziana Terenzi</t>
        </is>
      </c>
      <c r="E12056" t="n">
        <v>298.91</v>
      </c>
      <c r="F12056" t="n">
        <v>1</v>
      </c>
      <c r="G12056" t="n">
        <v>5</v>
      </c>
      <c r="H12056" s="5">
        <f>HYPERLINK("https://api.qogita.com/variants/link/8016741842580/", "View Product")</f>
        <v/>
      </c>
    </row>
    <row r="12057">
      <c r="A12057" t="inlineStr">
        <is>
          <t>8016741882517</t>
        </is>
      </c>
      <c r="B12057" t="inlineStr">
        <is>
          <t>Tiziana Terenzi Delox Extract De Parfum 100ml</t>
        </is>
      </c>
      <c r="C12057" t="inlineStr">
        <is>
          <t>Extrait De Parfum</t>
        </is>
      </c>
      <c r="D12057" t="inlineStr">
        <is>
          <t>Tiziana Terenzi</t>
        </is>
      </c>
      <c r="E12057" t="n">
        <v>80.08</v>
      </c>
      <c r="F12057" t="n">
        <v>1</v>
      </c>
      <c r="G12057" t="n">
        <v>29</v>
      </c>
      <c r="H12057" s="5">
        <f>HYPERLINK("https://api.qogita.com/variants/link/8016741882517/", "View Product")</f>
        <v/>
      </c>
    </row>
    <row r="12058">
      <c r="A12058" t="inlineStr">
        <is>
          <t>8016741882609</t>
        </is>
      </c>
      <c r="B12058" t="inlineStr">
        <is>
          <t>Giardino Benessere Iperione Eau De Parfum Spray 100ml</t>
        </is>
      </c>
      <c r="C12058" t="inlineStr">
        <is>
          <t>Eau De Parfum</t>
        </is>
      </c>
      <c r="D12058" t="inlineStr">
        <is>
          <t>Giardino Benessere</t>
        </is>
      </c>
      <c r="E12058" t="n">
        <v>83.02</v>
      </c>
      <c r="F12058" t="n">
        <v>1</v>
      </c>
      <c r="G12058" t="n">
        <v>7</v>
      </c>
      <c r="H12058" s="5">
        <f>HYPERLINK("https://api.qogita.com/variants/link/8016741882609/", "View Product")</f>
        <v/>
      </c>
    </row>
    <row r="12059">
      <c r="A12059" t="inlineStr">
        <is>
          <t>8016741932656</t>
        </is>
      </c>
      <c r="B12059" t="inlineStr">
        <is>
          <t>Tiziana Terenzi Leo Extrait de Parfum Unisex Fragrance 100ml</t>
        </is>
      </c>
      <c r="C12059" t="inlineStr">
        <is>
          <t>Extrait De Parfum</t>
        </is>
      </c>
      <c r="D12059" t="inlineStr">
        <is>
          <t>Tiziana Terenzi</t>
        </is>
      </c>
      <c r="E12059" t="n">
        <v>98.94</v>
      </c>
      <c r="F12059" t="n">
        <v>1</v>
      </c>
      <c r="G12059" t="n">
        <v>8</v>
      </c>
      <c r="H12059" s="5">
        <f>HYPERLINK("https://api.qogita.com/variants/link/8016741932656/", "View Product")</f>
        <v/>
      </c>
    </row>
    <row r="12060">
      <c r="A12060" t="inlineStr">
        <is>
          <t>8016741942501</t>
        </is>
      </c>
      <c r="B12060" t="inlineStr">
        <is>
          <t>Garten Wohlbefinden Pompei Garden Eau Du Parfum 100ml</t>
        </is>
      </c>
      <c r="C12060" t="inlineStr">
        <is>
          <t>Eau De Parfum</t>
        </is>
      </c>
      <c r="D12060" t="inlineStr">
        <is>
          <t>Giardino Benessere</t>
        </is>
      </c>
      <c r="E12060" t="n">
        <v>41.34</v>
      </c>
      <c r="F12060" t="n">
        <v>1</v>
      </c>
      <c r="G12060" t="n">
        <v>2</v>
      </c>
      <c r="H12060" s="5">
        <f>HYPERLINK("https://api.qogita.com/variants/link/8016741942501/", "View Product")</f>
        <v/>
      </c>
    </row>
    <row r="12061">
      <c r="A12061" t="inlineStr">
        <is>
          <t>8016741942587</t>
        </is>
      </c>
      <c r="B12061" t="inlineStr">
        <is>
          <t>Tiziana Terenzi Tempel Extrait De Parfum Spray 100ml</t>
        </is>
      </c>
      <c r="C12061" t="inlineStr">
        <is>
          <t>Extrait De Parfum</t>
        </is>
      </c>
      <c r="D12061" t="inlineStr">
        <is>
          <t>Tiziana Terenzi</t>
        </is>
      </c>
      <c r="E12061" t="n">
        <v>140.32</v>
      </c>
      <c r="F12061" t="n">
        <v>1</v>
      </c>
      <c r="G12061" t="n">
        <v>4</v>
      </c>
      <c r="H12061" s="5">
        <f>HYPERLINK("https://api.qogita.com/variants/link/8016741942587/", "View Product")</f>
        <v/>
      </c>
    </row>
    <row r="12062">
      <c r="A12062" t="inlineStr">
        <is>
          <t>8016741942631</t>
        </is>
      </c>
      <c r="B12062" t="inlineStr">
        <is>
          <t>Extrait De Parfum 100ml</t>
        </is>
      </c>
      <c r="C12062" t="inlineStr">
        <is>
          <t>Extrait De Parfum</t>
        </is>
      </c>
      <c r="D12062" t="inlineStr">
        <is>
          <t>Giardino Benessere</t>
        </is>
      </c>
      <c r="E12062" t="n">
        <v>85.3</v>
      </c>
      <c r="F12062" t="n">
        <v>1</v>
      </c>
      <c r="G12062" t="n">
        <v>11</v>
      </c>
      <c r="H12062" s="5">
        <f>HYPERLINK("https://api.qogita.com/variants/link/8016741942631/", "View Product")</f>
        <v/>
      </c>
    </row>
    <row r="12063">
      <c r="A12063" t="inlineStr">
        <is>
          <t>8016741972249</t>
        </is>
      </c>
      <c r="B12063" t="inlineStr">
        <is>
          <t>Tiziana Terenzi Gold Rose Oudh Extract De Parfum 100ml Unisex Spray</t>
        </is>
      </c>
      <c r="C12063" t="inlineStr">
        <is>
          <t>Eau De Parfum</t>
        </is>
      </c>
      <c r="D12063" t="inlineStr">
        <is>
          <t>Tiziana Terenzi</t>
        </is>
      </c>
      <c r="E12063" t="n">
        <v>67.19</v>
      </c>
      <c r="F12063" t="n">
        <v>1</v>
      </c>
      <c r="G12063" t="n">
        <v>7</v>
      </c>
      <c r="H12063" s="5">
        <f>HYPERLINK("https://api.qogita.com/variants/link/8016741972249/", "View Product")</f>
        <v/>
      </c>
    </row>
    <row r="12064">
      <c r="A12064" t="inlineStr">
        <is>
          <t>8016741992582</t>
        </is>
      </c>
      <c r="B12064" t="inlineStr">
        <is>
          <t>Tiziana Terenzi Halley Extrait Parfum Spray 100ml</t>
        </is>
      </c>
      <c r="C12064" t="inlineStr">
        <is>
          <t>Extrait De Parfum</t>
        </is>
      </c>
      <c r="D12064" t="inlineStr">
        <is>
          <t>Tiziana Terenzi</t>
        </is>
      </c>
      <c r="E12064" t="n">
        <v>226.21</v>
      </c>
      <c r="F12064" t="n">
        <v>1</v>
      </c>
      <c r="G12064" t="n">
        <v>2</v>
      </c>
      <c r="H12064" s="5">
        <f>HYPERLINK("https://api.qogita.com/variants/link/8016741992582/", "View Product")</f>
        <v/>
      </c>
    </row>
    <row r="12065">
      <c r="A12065" t="inlineStr">
        <is>
          <t>8018365070462</t>
        </is>
      </c>
      <c r="B12065" t="inlineStr">
        <is>
          <t>Versace Crystal Noir Eau De Parfum Spray 90 Ml</t>
        </is>
      </c>
      <c r="C12065" t="inlineStr">
        <is>
          <t>Eau De Parfum</t>
        </is>
      </c>
      <c r="D12065" t="inlineStr">
        <is>
          <t>Versace</t>
        </is>
      </c>
      <c r="E12065" t="n">
        <v>50.97</v>
      </c>
      <c r="F12065" t="n">
        <v>1</v>
      </c>
      <c r="G12065" t="n">
        <v>114</v>
      </c>
      <c r="H12065" s="5">
        <f>HYPERLINK("https://api.qogita.com/variants/link/8018365070462/", "View Product")</f>
        <v/>
      </c>
    </row>
    <row r="12066">
      <c r="A12066" t="inlineStr">
        <is>
          <t>8018365071261</t>
        </is>
      </c>
      <c r="B12066" t="inlineStr">
        <is>
          <t>Versace Crystal Noir Eau De Toilette 50ml Women's Perfume</t>
        </is>
      </c>
      <c r="C12066" t="inlineStr">
        <is>
          <t>Eau De Toilette</t>
        </is>
      </c>
      <c r="D12066" t="inlineStr">
        <is>
          <t>Versace</t>
        </is>
      </c>
      <c r="E12066" t="n">
        <v>38.29</v>
      </c>
      <c r="F12066" t="n">
        <v>1</v>
      </c>
      <c r="G12066" t="n">
        <v>44</v>
      </c>
      <c r="H12066" s="5">
        <f>HYPERLINK("https://api.qogita.com/variants/link/8018365071261/", "View Product")</f>
        <v/>
      </c>
    </row>
    <row r="12067">
      <c r="A12067" t="inlineStr">
        <is>
          <t>8018365071469</t>
        </is>
      </c>
      <c r="B12067" t="inlineStr">
        <is>
          <t>Versace Crystal Noir Eau De Toilette Spray 90ml</t>
        </is>
      </c>
      <c r="C12067" t="inlineStr">
        <is>
          <t>Eau De Toilette</t>
        </is>
      </c>
      <c r="D12067" t="inlineStr">
        <is>
          <t>Versace</t>
        </is>
      </c>
      <c r="E12067" t="n">
        <v>52.98</v>
      </c>
      <c r="F12067" t="n">
        <v>1</v>
      </c>
      <c r="G12067" t="n">
        <v>46</v>
      </c>
      <c r="H12067" s="5">
        <f>HYPERLINK("https://api.qogita.com/variants/link/8018365071469/", "View Product")</f>
        <v/>
      </c>
    </row>
    <row r="12068">
      <c r="A12068" t="inlineStr">
        <is>
          <t>8018365250161</t>
        </is>
      </c>
      <c r="B12068" t="inlineStr">
        <is>
          <t>Versace Femme Eau De Parfum Spray 30ml</t>
        </is>
      </c>
      <c r="C12068" t="inlineStr">
        <is>
          <t>Eau De Parfum</t>
        </is>
      </c>
      <c r="D12068" t="inlineStr">
        <is>
          <t>Versace</t>
        </is>
      </c>
      <c r="E12068" t="n">
        <v>16.95</v>
      </c>
      <c r="F12068" t="n">
        <v>1</v>
      </c>
      <c r="G12068" t="n">
        <v>15</v>
      </c>
      <c r="H12068" s="5">
        <f>HYPERLINK("https://api.qogita.com/variants/link/8018365250161/", "View Product")</f>
        <v/>
      </c>
    </row>
    <row r="12069">
      <c r="A12069" t="inlineStr">
        <is>
          <t>8018365270756</t>
        </is>
      </c>
      <c r="B12069" t="inlineStr">
        <is>
          <t>Versace Red Jeans Eau De Toilette Spray 75ml</t>
        </is>
      </c>
      <c r="C12069" t="inlineStr">
        <is>
          <t>Eau De Toilette</t>
        </is>
      </c>
      <c r="D12069" t="inlineStr">
        <is>
          <t>Versace</t>
        </is>
      </c>
      <c r="E12069" t="n">
        <v>14.16</v>
      </c>
      <c r="F12069" t="n">
        <v>1</v>
      </c>
      <c r="G12069" t="n">
        <v>143</v>
      </c>
      <c r="H12069" s="5">
        <f>HYPERLINK("https://api.qogita.com/variants/link/8018365270756/", "View Product")</f>
        <v/>
      </c>
    </row>
    <row r="12070">
      <c r="A12070" t="inlineStr">
        <is>
          <t>8018365500037</t>
        </is>
      </c>
      <c r="B12070" t="inlineStr">
        <is>
          <t>Versace Man Eau Fraiche Eau De Toilette Spray 100ml</t>
        </is>
      </c>
      <c r="C12070" t="inlineStr">
        <is>
          <t>Eau De Toilette</t>
        </is>
      </c>
      <c r="D12070" t="inlineStr">
        <is>
          <t>Versace</t>
        </is>
      </c>
      <c r="E12070" t="n">
        <v>41.2</v>
      </c>
      <c r="F12070" t="n">
        <v>1</v>
      </c>
      <c r="G12070" t="n">
        <v>46</v>
      </c>
      <c r="H12070" s="5">
        <f>HYPERLINK("https://api.qogita.com/variants/link/8018365500037/", "View Product")</f>
        <v/>
      </c>
    </row>
    <row r="12071">
      <c r="A12071" t="inlineStr">
        <is>
          <t>8018365500082</t>
        </is>
      </c>
      <c r="B12071" t="inlineStr">
        <is>
          <t>Versace Man Eau Fraiche Shower Gel 200ml</t>
        </is>
      </c>
      <c r="C12071" t="inlineStr">
        <is>
          <t>Shower Gel</t>
        </is>
      </c>
      <c r="D12071" t="inlineStr">
        <is>
          <t>Versace</t>
        </is>
      </c>
      <c r="E12071" t="n">
        <v>15.55</v>
      </c>
      <c r="F12071" t="n">
        <v>1</v>
      </c>
      <c r="G12071" t="n">
        <v>3</v>
      </c>
      <c r="H12071" s="5">
        <f>HYPERLINK("https://api.qogita.com/variants/link/8018365500082/", "View Product")</f>
        <v/>
      </c>
    </row>
    <row r="12072">
      <c r="A12072" t="inlineStr">
        <is>
          <t>8018365500228</t>
        </is>
      </c>
      <c r="B12072" t="inlineStr">
        <is>
          <t>Versace Man Fraiche Eau De Toilette 2x 30ml Exclusive Travel Retail</t>
        </is>
      </c>
      <c r="C12072" t="inlineStr">
        <is>
          <t>Eau De Toilette</t>
        </is>
      </c>
      <c r="D12072" t="inlineStr">
        <is>
          <t>Versace</t>
        </is>
      </c>
      <c r="E12072" t="n">
        <v>44.63</v>
      </c>
      <c r="F12072" t="n">
        <v>1</v>
      </c>
      <c r="G12072" t="n">
        <v>2</v>
      </c>
      <c r="H12072" s="5">
        <f>HYPERLINK("https://api.qogita.com/variants/link/8018365500228/", "View Product")</f>
        <v/>
      </c>
    </row>
    <row r="12073">
      <c r="A12073" t="inlineStr">
        <is>
          <t>8020936071402</t>
        </is>
      </c>
      <c r="B12073" t="inlineStr">
        <is>
          <t>Kemon Actyva Purezza Concentrate Anti-Dandruff - 50 Ml</t>
        </is>
      </c>
      <c r="C12073" t="inlineStr">
        <is>
          <t>Scalp Care</t>
        </is>
      </c>
      <c r="D12073" t="inlineStr">
        <is>
          <t>Kemon</t>
        </is>
      </c>
      <c r="E12073" t="n">
        <v>14.78</v>
      </c>
      <c r="F12073" t="n">
        <v>1</v>
      </c>
      <c r="G12073" t="n">
        <v>5</v>
      </c>
      <c r="H12073" s="5">
        <f>HYPERLINK("https://api.qogita.com/variants/link/8020936071402/", "View Product")</f>
        <v/>
      </c>
    </row>
    <row r="12074">
      <c r="A12074" t="inlineStr">
        <is>
          <t>8020936073253</t>
        </is>
      </c>
      <c r="B12074" t="inlineStr">
        <is>
          <t>Kemon Liding Energy Lotion Velian 100ml</t>
        </is>
      </c>
      <c r="C12074" t="inlineStr">
        <is>
          <t>Hair Tonic</t>
        </is>
      </c>
      <c r="D12074" t="inlineStr">
        <is>
          <t>Kemon</t>
        </is>
      </c>
      <c r="E12074" t="n">
        <v>9.710000000000001</v>
      </c>
      <c r="F12074" t="n">
        <v>1</v>
      </c>
      <c r="G12074" t="n">
        <v>4</v>
      </c>
      <c r="H12074" s="5">
        <f>HYPERLINK("https://api.qogita.com/variants/link/8020936073253/", "View Product")</f>
        <v/>
      </c>
    </row>
    <row r="12075">
      <c r="A12075" t="inlineStr">
        <is>
          <t>8020936079316</t>
        </is>
      </c>
      <c r="B12075" t="inlineStr">
        <is>
          <t>KEMON Actyva Crystal Fluid 125ml Hair Liquid</t>
        </is>
      </c>
      <c r="C12075" t="inlineStr">
        <is>
          <t>Hair Oil &amp; Hair Serum</t>
        </is>
      </c>
      <c r="D12075" t="inlineStr">
        <is>
          <t>Kemon</t>
        </is>
      </c>
      <c r="E12075" t="n">
        <v>8.93</v>
      </c>
      <c r="F12075" t="n">
        <v>1</v>
      </c>
      <c r="G12075" t="n">
        <v>24</v>
      </c>
      <c r="H12075" s="5">
        <f>HYPERLINK("https://api.qogita.com/variants/link/8020936079316/", "View Product")</f>
        <v/>
      </c>
    </row>
    <row r="12076">
      <c r="A12076" t="inlineStr">
        <is>
          <t>8020936083979</t>
        </is>
      </c>
      <c r="B12076" t="inlineStr">
        <is>
          <t>Kemon Yo Cond Hair Dye Conditioner 250ml</t>
        </is>
      </c>
      <c r="C12076" t="inlineStr">
        <is>
          <t>Conditioner</t>
        </is>
      </c>
      <c r="D12076" t="inlineStr">
        <is>
          <t>Kemon</t>
        </is>
      </c>
      <c r="E12076" t="n">
        <v>9.949999999999999</v>
      </c>
      <c r="F12076" t="n">
        <v>1</v>
      </c>
      <c r="G12076" t="n">
        <v>20</v>
      </c>
      <c r="H12076" s="5">
        <f>HYPERLINK("https://api.qogita.com/variants/link/8020936083979/", "View Product")</f>
        <v/>
      </c>
    </row>
    <row r="12077">
      <c r="A12077" t="inlineStr">
        <is>
          <t>8020936089384</t>
        </is>
      </c>
      <c r="B12077" t="inlineStr">
        <is>
          <t>Kemon Actyva Nutrizione Cond Nourishing Treatment for Lengths and Dry Hair with Oat and Olive Oil Detangling Effect 150ml</t>
        </is>
      </c>
      <c r="C12077" t="inlineStr">
        <is>
          <t>Conditioner</t>
        </is>
      </c>
      <c r="D12077" t="inlineStr">
        <is>
          <t>Kemon</t>
        </is>
      </c>
      <c r="E12077" t="n">
        <v>8.31</v>
      </c>
      <c r="F12077" t="n">
        <v>1</v>
      </c>
      <c r="G12077" t="n">
        <v>43</v>
      </c>
      <c r="H12077" s="5">
        <f>HYPERLINK("https://api.qogita.com/variants/link/8020936089384/", "View Product")</f>
        <v/>
      </c>
    </row>
    <row r="12078">
      <c r="A12078" t="inlineStr">
        <is>
          <t>8020936091264</t>
        </is>
      </c>
      <c r="B12078" t="inlineStr">
        <is>
          <t>Kemon Actyva Nutrition Rich Shampoo with Nourishing and Protective Effect for Dry and Sensitized Hair with Oat and Olive Oil 250ml</t>
        </is>
      </c>
      <c r="C12078" t="inlineStr">
        <is>
          <t>Shampoo</t>
        </is>
      </c>
      <c r="D12078" t="inlineStr">
        <is>
          <t>Kemon</t>
        </is>
      </c>
      <c r="E12078" t="n">
        <v>6.88</v>
      </c>
      <c r="F12078" t="n">
        <v>1</v>
      </c>
      <c r="G12078" t="n">
        <v>84</v>
      </c>
      <c r="H12078" s="5">
        <f>HYPERLINK("https://api.qogita.com/variants/link/8020936091264/", "View Product")</f>
        <v/>
      </c>
    </row>
    <row r="12079">
      <c r="A12079" t="inlineStr">
        <is>
          <t>8020936091516</t>
        </is>
      </c>
      <c r="B12079" t="inlineStr">
        <is>
          <t>Kemon Actyva Disciplina Mask For Coarse And Unruly Hair</t>
        </is>
      </c>
      <c r="C12079" t="inlineStr">
        <is>
          <t>Hair Masks</t>
        </is>
      </c>
      <c r="D12079" t="inlineStr">
        <is>
          <t>Kemon</t>
        </is>
      </c>
      <c r="E12079" t="n">
        <v>11.14</v>
      </c>
      <c r="F12079" t="n">
        <v>1</v>
      </c>
      <c r="G12079" t="n">
        <v>125</v>
      </c>
      <c r="H12079" s="5">
        <f>HYPERLINK("https://api.qogita.com/variants/link/8020936091516/", "View Product")</f>
        <v/>
      </c>
    </row>
    <row r="12080">
      <c r="A12080" t="inlineStr">
        <is>
          <t>8020936095767</t>
        </is>
      </c>
      <c r="B12080" t="inlineStr">
        <is>
          <t>Kemon Hair Style Adrenaline Extra-Hold Spray 200 Ml</t>
        </is>
      </c>
      <c r="C12080" t="inlineStr">
        <is>
          <t>Hairspray</t>
        </is>
      </c>
      <c r="D12080" t="inlineStr">
        <is>
          <t>Kemon</t>
        </is>
      </c>
      <c r="E12080" t="n">
        <v>7.08</v>
      </c>
      <c r="F12080" t="n">
        <v>1</v>
      </c>
      <c r="G12080" t="n">
        <v>7</v>
      </c>
      <c r="H12080" s="5">
        <f>HYPERLINK("https://api.qogita.com/variants/link/8020936095767/", "View Product")</f>
        <v/>
      </c>
    </row>
    <row r="12081">
      <c r="A12081" t="inlineStr">
        <is>
          <t>8020936096030</t>
        </is>
      </c>
      <c r="B12081" t="inlineStr">
        <is>
          <t>Kemon Volume Shampoo Ideal for Thin Hair with Soy</t>
        </is>
      </c>
      <c r="C12081" t="inlineStr">
        <is>
          <t>Shampoo</t>
        </is>
      </c>
      <c r="D12081" t="inlineStr">
        <is>
          <t>Kemon</t>
        </is>
      </c>
      <c r="E12081" t="n">
        <v>5.09</v>
      </c>
      <c r="F12081" t="n">
        <v>1</v>
      </c>
      <c r="G12081" t="n">
        <v>20</v>
      </c>
      <c r="H12081" s="5">
        <f>HYPERLINK("https://api.qogita.com/variants/link/8020936096030/", "View Product")</f>
        <v/>
      </c>
    </row>
    <row r="12082">
      <c r="A12082" t="inlineStr">
        <is>
          <t>8020936096078</t>
        </is>
      </c>
      <c r="B12082" t="inlineStr">
        <is>
          <t>Kemon Kids Hair &amp; Body Shampoo - 250 Ml</t>
        </is>
      </c>
      <c r="C12082" t="inlineStr">
        <is>
          <t>Baby Shampoo</t>
        </is>
      </c>
      <c r="D12082" t="inlineStr">
        <is>
          <t>Kemon</t>
        </is>
      </c>
      <c r="E12082" t="n">
        <v>5.08</v>
      </c>
      <c r="F12082" t="n">
        <v>1</v>
      </c>
      <c r="G12082" t="n">
        <v>13</v>
      </c>
      <c r="H12082" s="5">
        <f>HYPERLINK("https://api.qogita.com/variants/link/8020936096078/", "View Product")</f>
        <v/>
      </c>
    </row>
    <row r="12083">
      <c r="A12083" t="inlineStr">
        <is>
          <t>8020936096115</t>
        </is>
      </c>
      <c r="B12083" t="inlineStr">
        <is>
          <t>Kemon Care Curly Hair Shampoo 250ml - Perfect For Curly Hair</t>
        </is>
      </c>
      <c r="C12083" t="inlineStr">
        <is>
          <t>Shampoo</t>
        </is>
      </c>
      <c r="D12083" t="inlineStr">
        <is>
          <t>Kemon</t>
        </is>
      </c>
      <c r="E12083" t="n">
        <v>4.84</v>
      </c>
      <c r="F12083" t="n">
        <v>1</v>
      </c>
      <c r="G12083" t="n">
        <v>6</v>
      </c>
      <c r="H12083" s="5">
        <f>HYPERLINK("https://api.qogita.com/variants/link/8020936096115/", "View Product")</f>
        <v/>
      </c>
    </row>
    <row r="12084">
      <c r="A12084" t="inlineStr">
        <is>
          <t>8020936096153</t>
        </is>
      </c>
      <c r="B12084" t="inlineStr">
        <is>
          <t>Kemon Hair Care Energy Lotion Energising - 100 Ml</t>
        </is>
      </c>
      <c r="C12084" t="inlineStr">
        <is>
          <t>Hair Tonic</t>
        </is>
      </c>
      <c r="D12084" t="inlineStr">
        <is>
          <t>Kemon</t>
        </is>
      </c>
      <c r="E12084" t="n">
        <v>8.300000000000001</v>
      </c>
      <c r="F12084" t="n">
        <v>1</v>
      </c>
      <c r="G12084" t="n">
        <v>2</v>
      </c>
      <c r="H12084" s="5">
        <f>HYPERLINK("https://api.qogita.com/variants/link/8020936096153/", "View Product")</f>
        <v/>
      </c>
    </row>
    <row r="12085">
      <c r="A12085" t="inlineStr">
        <is>
          <t>8020936096238</t>
        </is>
      </c>
      <c r="B12085" t="inlineStr">
        <is>
          <t>Kemon Healthy Scalp Anti-Dandruff Scrub Hair Peeling - 200ml</t>
        </is>
      </c>
      <c r="C12085" t="inlineStr">
        <is>
          <t>Scalp Care</t>
        </is>
      </c>
      <c r="D12085" t="inlineStr">
        <is>
          <t>Kemon</t>
        </is>
      </c>
      <c r="E12085" t="n">
        <v>5.71</v>
      </c>
      <c r="F12085" t="n">
        <v>1</v>
      </c>
      <c r="G12085" t="n">
        <v>2</v>
      </c>
      <c r="H12085" s="5">
        <f>HYPERLINK("https://api.qogita.com/variants/link/8020936096238/", "View Product")</f>
        <v/>
      </c>
    </row>
    <row r="12086">
      <c r="A12086" t="inlineStr">
        <is>
          <t>8020936096399</t>
        </is>
      </c>
      <c r="B12086" t="inlineStr">
        <is>
          <t>Kemon Color Shampoo - Shampoo For Colored Hair, Color Protection, Shine And Volume, 1000ml</t>
        </is>
      </c>
      <c r="C12086" t="inlineStr">
        <is>
          <t>Shampoo</t>
        </is>
      </c>
      <c r="D12086" t="inlineStr">
        <is>
          <t>Kemon</t>
        </is>
      </c>
      <c r="E12086" t="n">
        <v>15.87</v>
      </c>
      <c r="F12086" t="n">
        <v>1</v>
      </c>
      <c r="G12086" t="n">
        <v>6</v>
      </c>
      <c r="H12086" s="5">
        <f>HYPERLINK("https://api.qogita.com/variants/link/8020936096399/", "View Product")</f>
        <v/>
      </c>
    </row>
    <row r="12087">
      <c r="A12087" t="inlineStr">
        <is>
          <t>8021659008775</t>
        </is>
      </c>
      <c r="B12087" t="inlineStr">
        <is>
          <t>Gocce Di Napoleon Eau De Toilette 100 Ml</t>
        </is>
      </c>
      <c r="C12087" t="inlineStr">
        <is>
          <t>Eau De Toilette</t>
        </is>
      </c>
      <c r="D12087" t="inlineStr">
        <is>
          <t>Gocce di Napoleone</t>
        </is>
      </c>
      <c r="E12087" t="n">
        <v>9.109999999999999</v>
      </c>
      <c r="F12087" t="n">
        <v>1</v>
      </c>
      <c r="G12087" t="n">
        <v>15</v>
      </c>
      <c r="H12087" s="5">
        <f>HYPERLINK("https://api.qogita.com/variants/link/8021659008775/", "View Product")</f>
        <v/>
      </c>
    </row>
    <row r="12088">
      <c r="A12088" t="inlineStr">
        <is>
          <t>8022297035123</t>
        </is>
      </c>
      <c r="B12088" t="inlineStr">
        <is>
          <t>Alfaparf Milano Semi Di Lino Moisture Nutritive Essential Oil 78ml</t>
        </is>
      </c>
      <c r="C12088" t="inlineStr">
        <is>
          <t>Hair Oil &amp; Hair Serum</t>
        </is>
      </c>
      <c r="D12088" t="inlineStr">
        <is>
          <t>Alfaparf Milano</t>
        </is>
      </c>
      <c r="E12088" t="n">
        <v>15.03</v>
      </c>
      <c r="F12088" t="n">
        <v>1</v>
      </c>
      <c r="G12088" t="n">
        <v>6</v>
      </c>
      <c r="H12088" s="5">
        <f>HYPERLINK("https://api.qogita.com/variants/link/8022297035123/", "View Product")</f>
        <v/>
      </c>
    </row>
    <row r="12089">
      <c r="A12089" t="inlineStr">
        <is>
          <t>8022297071428</t>
        </is>
      </c>
      <c r="B12089" t="inlineStr">
        <is>
          <t>Alfaparf Milano Style Stories Funk Clay 100ml</t>
        </is>
      </c>
      <c r="C12089" t="inlineStr">
        <is>
          <t>Wax</t>
        </is>
      </c>
      <c r="D12089" t="inlineStr">
        <is>
          <t>Alfaparf Milano</t>
        </is>
      </c>
      <c r="E12089" t="n">
        <v>9.82</v>
      </c>
      <c r="F12089" t="n">
        <v>1</v>
      </c>
      <c r="G12089" t="n">
        <v>11</v>
      </c>
      <c r="H12089" s="5">
        <f>HYPERLINK("https://api.qogita.com/variants/link/8022297071428/", "View Product")</f>
        <v/>
      </c>
    </row>
    <row r="12090">
      <c r="A12090" t="inlineStr">
        <is>
          <t>8022297079479</t>
        </is>
      </c>
      <c r="B12090" t="inlineStr">
        <is>
          <t>Blends Of Many Balancing Shampoo For Men's Scalp 250ml</t>
        </is>
      </c>
      <c r="C12090" t="inlineStr">
        <is>
          <t>Shampoo</t>
        </is>
      </c>
      <c r="D12090" t="inlineStr">
        <is>
          <t>BlenD of Many</t>
        </is>
      </c>
      <c r="E12090" t="n">
        <v>8.390000000000001</v>
      </c>
      <c r="F12090" t="n">
        <v>1</v>
      </c>
      <c r="G12090" t="n">
        <v>18</v>
      </c>
      <c r="H12090" s="5">
        <f>HYPERLINK("https://api.qogita.com/variants/link/8022297079479/", "View Product")</f>
        <v/>
      </c>
    </row>
    <row r="12091">
      <c r="A12091" t="inlineStr">
        <is>
          <t>8022297095929</t>
        </is>
      </c>
      <c r="B12091" t="inlineStr">
        <is>
          <t>Alfaparf Milano Semi Di Lino Scalp Rebalance Shampoo 1000ml For Oily Scalp</t>
        </is>
      </c>
      <c r="C12091" t="inlineStr">
        <is>
          <t>Shampoo</t>
        </is>
      </c>
      <c r="D12091" t="inlineStr">
        <is>
          <t>Alfaparf Milano</t>
        </is>
      </c>
      <c r="E12091" t="n">
        <v>21.4</v>
      </c>
      <c r="F12091" t="n">
        <v>1</v>
      </c>
      <c r="G12091" t="n">
        <v>9</v>
      </c>
      <c r="H12091" s="5">
        <f>HYPERLINK("https://api.qogita.com/variants/link/8022297095929/", "View Product")</f>
        <v/>
      </c>
    </row>
    <row r="12092">
      <c r="A12092" t="inlineStr">
        <is>
          <t>8022297095950</t>
        </is>
      </c>
      <c r="B12092" t="inlineStr">
        <is>
          <t>Alfaparf Scalp Relief Calming Tonic For Sensitive Scalp - 125ml</t>
        </is>
      </c>
      <c r="C12092" t="inlineStr">
        <is>
          <t>Scalp Care</t>
        </is>
      </c>
      <c r="D12092" t="inlineStr">
        <is>
          <t>Alfaparf Milano</t>
        </is>
      </c>
      <c r="E12092" t="n">
        <v>13.87</v>
      </c>
      <c r="F12092" t="n">
        <v>1</v>
      </c>
      <c r="G12092" t="n">
        <v>4</v>
      </c>
      <c r="H12092" s="5">
        <f>HYPERLINK("https://api.qogita.com/variants/link/8022297095950/", "View Product")</f>
        <v/>
      </c>
    </row>
    <row r="12093">
      <c r="A12093" t="inlineStr">
        <is>
          <t>8022297104379</t>
        </is>
      </c>
      <c r="B12093" t="inlineStr">
        <is>
          <t>Alfaparf Milano Semi Di Lino Volume Volumizing Low Shampoo 1000ml</t>
        </is>
      </c>
      <c r="C12093" t="inlineStr">
        <is>
          <t>Shampoo</t>
        </is>
      </c>
      <c r="D12093" t="inlineStr">
        <is>
          <t>Alfaparf Milano</t>
        </is>
      </c>
      <c r="E12093" t="n">
        <v>22.06</v>
      </c>
      <c r="F12093" t="n">
        <v>1</v>
      </c>
      <c r="G12093" t="n">
        <v>27</v>
      </c>
      <c r="H12093" s="5">
        <f>HYPERLINK("https://api.qogita.com/variants/link/8022297104379/", "View Product")</f>
        <v/>
      </c>
    </row>
    <row r="12094">
      <c r="A12094" t="inlineStr">
        <is>
          <t>8022297111247</t>
        </is>
      </c>
      <c r="B12094" t="inlineStr">
        <is>
          <t>Alfaparf Milano Semi Di Lino Smooth Smoothing Mask 500ml</t>
        </is>
      </c>
      <c r="C12094" t="inlineStr">
        <is>
          <t>Hair Masks</t>
        </is>
      </c>
      <c r="D12094" t="inlineStr">
        <is>
          <t>Alfaparf Milano</t>
        </is>
      </c>
      <c r="E12094" t="n">
        <v>18.92</v>
      </c>
      <c r="F12094" t="n">
        <v>1</v>
      </c>
      <c r="G12094" t="n">
        <v>9</v>
      </c>
      <c r="H12094" s="5">
        <f>HYPERLINK("https://api.qogita.com/variants/link/8022297111247/", "View Product")</f>
        <v/>
      </c>
    </row>
    <row r="12095">
      <c r="A12095" t="inlineStr">
        <is>
          <t>8022297111278</t>
        </is>
      </c>
      <c r="B12095" t="inlineStr">
        <is>
          <t>Alfaparf Milano Semi Di Lino Curls Shampoo 250ml Professional Hair Care</t>
        </is>
      </c>
      <c r="C12095" t="inlineStr">
        <is>
          <t>Shampoo</t>
        </is>
      </c>
      <c r="D12095" t="inlineStr">
        <is>
          <t>Alfaparf Milano</t>
        </is>
      </c>
      <c r="E12095" t="n">
        <v>8.300000000000001</v>
      </c>
      <c r="F12095" t="n">
        <v>1</v>
      </c>
      <c r="G12095" t="n">
        <v>13</v>
      </c>
      <c r="H12095" s="5">
        <f>HYPERLINK("https://api.qogita.com/variants/link/8022297111278/", "View Product")</f>
        <v/>
      </c>
    </row>
    <row r="12096">
      <c r="A12096" t="inlineStr">
        <is>
          <t>8022297131382</t>
        </is>
      </c>
      <c r="B12096" t="inlineStr">
        <is>
          <t>H&amp;B Absolute Cleansing Shampoo</t>
        </is>
      </c>
      <c r="C12096" t="inlineStr">
        <is>
          <t>Shampoo</t>
        </is>
      </c>
      <c r="D12096" t="inlineStr">
        <is>
          <t>Alfaparf Milano</t>
        </is>
      </c>
      <c r="E12096" t="n">
        <v>20.42</v>
      </c>
      <c r="F12096" t="n">
        <v>1</v>
      </c>
      <c r="G12096" t="n">
        <v>4</v>
      </c>
      <c r="H12096" s="5">
        <f>HYPERLINK("https://api.qogita.com/variants/link/8022297131382/", "View Product")</f>
        <v/>
      </c>
    </row>
    <row r="12097">
      <c r="A12097" t="inlineStr">
        <is>
          <t>8022297133454</t>
        </is>
      </c>
      <c r="B12097" t="inlineStr">
        <is>
          <t>Alfaparf Milano Semi Di Lino Sublime Cellula Madre Thickening Treatment 150ml</t>
        </is>
      </c>
      <c r="C12097" t="inlineStr">
        <is>
          <t>Hair Masks</t>
        </is>
      </c>
      <c r="D12097" t="inlineStr">
        <is>
          <t>Alfaparf Milano</t>
        </is>
      </c>
      <c r="E12097" t="n">
        <v>17.34</v>
      </c>
      <c r="F12097" t="n">
        <v>1</v>
      </c>
      <c r="G12097" t="n">
        <v>9</v>
      </c>
      <c r="H12097" s="5">
        <f>HYPERLINK("https://api.qogita.com/variants/link/8022297133454/", "View Product")</f>
        <v/>
      </c>
    </row>
    <row r="12098">
      <c r="A12098" t="inlineStr">
        <is>
          <t>8022297141602</t>
        </is>
      </c>
      <c r="B12098" t="inlineStr">
        <is>
          <t>Alfaparf Milano Alfaparf Sdl Style And Care Glossy Pomade 90</t>
        </is>
      </c>
      <c r="C12098" t="inlineStr">
        <is>
          <t>Wax</t>
        </is>
      </c>
      <c r="D12098" t="inlineStr">
        <is>
          <t>Alfaparf Milano</t>
        </is>
      </c>
      <c r="E12098" t="n">
        <v>10.82</v>
      </c>
      <c r="F12098" t="n">
        <v>1</v>
      </c>
      <c r="G12098" t="n">
        <v>5</v>
      </c>
      <c r="H12098" s="5">
        <f>HYPERLINK("https://api.qogita.com/variants/link/8022297141602/", "View Product")</f>
        <v/>
      </c>
    </row>
    <row r="12099">
      <c r="A12099" t="inlineStr">
        <is>
          <t>8022297141626</t>
        </is>
      </c>
      <c r="B12099" t="inlineStr">
        <is>
          <t>Alfaparf Milano Alfaparf Sdl Style And Care Texturizing Balm</t>
        </is>
      </c>
      <c r="C12099" t="inlineStr">
        <is>
          <t>Styling Creams</t>
        </is>
      </c>
      <c r="D12099" t="inlineStr">
        <is>
          <t>Alfaparf Milano</t>
        </is>
      </c>
      <c r="E12099" t="n">
        <v>11.03</v>
      </c>
      <c r="F12099" t="n">
        <v>1</v>
      </c>
      <c r="G12099" t="n">
        <v>6</v>
      </c>
      <c r="H12099" s="5">
        <f>HYPERLINK("https://api.qogita.com/variants/link/8022297141626/", "View Product")</f>
        <v/>
      </c>
    </row>
    <row r="12100">
      <c r="A12100" t="inlineStr">
        <is>
          <t>8022297157566</t>
        </is>
      </c>
      <c r="B12100" t="inlineStr">
        <is>
          <t>Alfaparf Milano Semi Di Lino Sublime Cellula Madre Shine Treatment 150ml</t>
        </is>
      </c>
      <c r="C12100" t="inlineStr">
        <is>
          <t>Hair Oil &amp; Hair Serum</t>
        </is>
      </c>
      <c r="D12100" t="inlineStr">
        <is>
          <t>Alfaparf Milano</t>
        </is>
      </c>
      <c r="E12100" t="n">
        <v>17.91</v>
      </c>
      <c r="F12100" t="n">
        <v>1</v>
      </c>
      <c r="G12100" t="n">
        <v>9</v>
      </c>
      <c r="H12100" s="5">
        <f>HYPERLINK("https://api.qogita.com/variants/link/8022297157566/", "View Product")</f>
        <v/>
      </c>
    </row>
    <row r="12101">
      <c r="A12101" t="inlineStr">
        <is>
          <t>8022297157832</t>
        </is>
      </c>
      <c r="B12101" t="inlineStr">
        <is>
          <t>Alfaparf Milano Glorious Shampoo For Dry And Dull Hair</t>
        </is>
      </c>
      <c r="C12101" t="inlineStr">
        <is>
          <t>Shampoo</t>
        </is>
      </c>
      <c r="D12101" t="inlineStr">
        <is>
          <t>Alfaparf Milano</t>
        </is>
      </c>
      <c r="E12101" t="n">
        <v>8.029999999999999</v>
      </c>
      <c r="F12101" t="n">
        <v>1</v>
      </c>
      <c r="G12101" t="n">
        <v>2</v>
      </c>
      <c r="H12101" s="5">
        <f>HYPERLINK("https://api.qogita.com/variants/link/8022297157832/", "View Product")</f>
        <v/>
      </c>
    </row>
    <row r="12102">
      <c r="A12102" t="inlineStr">
        <is>
          <t>8022297160573</t>
        </is>
      </c>
      <c r="B12102" t="inlineStr">
        <is>
          <t>Alfaparf Milano Semi Di Lino Density Thickening Shampoo For Fine Hair 250ml</t>
        </is>
      </c>
      <c r="C12102" t="inlineStr">
        <is>
          <t>Shampoo</t>
        </is>
      </c>
      <c r="D12102" t="inlineStr">
        <is>
          <t>Alfaparf Milano</t>
        </is>
      </c>
      <c r="E12102" t="n">
        <v>9.550000000000001</v>
      </c>
      <c r="F12102" t="n">
        <v>1</v>
      </c>
      <c r="G12102" t="n">
        <v>5</v>
      </c>
      <c r="H12102" s="5">
        <f>HYPERLINK("https://api.qogita.com/variants/link/8022297160573/", "View Product")</f>
        <v/>
      </c>
    </row>
    <row r="12103">
      <c r="A12103" t="inlineStr">
        <is>
          <t>8022297160603</t>
        </is>
      </c>
      <c r="B12103" t="inlineStr">
        <is>
          <t>Alfaparf Milano Semi Di Lino Density Thickening Conditioner For Fine Hair 1000ml</t>
        </is>
      </c>
      <c r="C12103" t="inlineStr">
        <is>
          <t>Conditioner</t>
        </is>
      </c>
      <c r="D12103" t="inlineStr">
        <is>
          <t>Alfaparf Milano</t>
        </is>
      </c>
      <c r="E12103" t="n">
        <v>21.86</v>
      </c>
      <c r="F12103" t="n">
        <v>1</v>
      </c>
      <c r="G12103" t="n">
        <v>4</v>
      </c>
      <c r="H12103" s="5">
        <f>HYPERLINK("https://api.qogita.com/variants/link/8022297160603/", "View Product")</f>
        <v/>
      </c>
    </row>
    <row r="12104">
      <c r="A12104" t="inlineStr">
        <is>
          <t>8022297160849</t>
        </is>
      </c>
      <c r="B12104" t="inlineStr">
        <is>
          <t>Alfaparf Milano Oxid'o 10 Vol - 3% 1000ml</t>
        </is>
      </c>
      <c r="C12104" t="inlineStr">
        <is>
          <t>Hair Dye</t>
        </is>
      </c>
      <c r="D12104" t="inlineStr">
        <is>
          <t>Alfaparf Milano</t>
        </is>
      </c>
      <c r="E12104" t="n">
        <v>7.1</v>
      </c>
      <c r="F12104" t="n">
        <v>1</v>
      </c>
      <c r="G12104" t="n">
        <v>13</v>
      </c>
      <c r="H12104" s="5">
        <f>HYPERLINK("https://api.qogita.com/variants/link/8022297160849/", "View Product")</f>
        <v/>
      </c>
    </row>
    <row r="12105">
      <c r="A12105" t="inlineStr">
        <is>
          <t>8022297175331</t>
        </is>
      </c>
      <c r="B12105" t="inlineStr">
        <is>
          <t>Alfaparf Milano Semi Di Lino Reconstruction Reparative Light Mask 200 Ml</t>
        </is>
      </c>
      <c r="C12105" t="inlineStr">
        <is>
          <t>Hair Masks</t>
        </is>
      </c>
      <c r="D12105" t="inlineStr">
        <is>
          <t>Alfaparf Milano</t>
        </is>
      </c>
      <c r="E12105" t="n">
        <v>11.4</v>
      </c>
      <c r="F12105" t="n">
        <v>1</v>
      </c>
      <c r="G12105" t="n">
        <v>6</v>
      </c>
      <c r="H12105" s="5">
        <f>HYPERLINK("https://api.qogita.com/variants/link/8022297175331/", "View Product")</f>
        <v/>
      </c>
    </row>
    <row r="12106">
      <c r="A12106" t="inlineStr">
        <is>
          <t>8022297175348</t>
        </is>
      </c>
      <c r="B12106" t="inlineStr">
        <is>
          <t>Alfaparf Milano Semi Di Lino Reconstruction Reparative Light Mask 500 Ml</t>
        </is>
      </c>
      <c r="C12106" t="inlineStr">
        <is>
          <t>Hair Masks</t>
        </is>
      </c>
      <c r="D12106" t="inlineStr">
        <is>
          <t>Alfaparf Milano</t>
        </is>
      </c>
      <c r="E12106" t="n">
        <v>17.85</v>
      </c>
      <c r="F12106" t="n">
        <v>1</v>
      </c>
      <c r="G12106" t="n">
        <v>4</v>
      </c>
      <c r="H12106" s="5">
        <f>HYPERLINK("https://api.qogita.com/variants/link/8022297175348/", "View Product")</f>
        <v/>
      </c>
    </row>
    <row r="12107">
      <c r="A12107" t="inlineStr">
        <is>
          <t>8022297175386</t>
        </is>
      </c>
      <c r="B12107" t="inlineStr">
        <is>
          <t>Alfaparf Milano Semi Di Lino Reconstruction Antidamage Shield Cream 125 Ml</t>
        </is>
      </c>
      <c r="C12107" t="inlineStr">
        <is>
          <t>Uv Protection</t>
        </is>
      </c>
      <c r="D12107" t="inlineStr">
        <is>
          <t>Alfaparf Milano</t>
        </is>
      </c>
      <c r="E12107" t="n">
        <v>12.39</v>
      </c>
      <c r="F12107" t="n">
        <v>1</v>
      </c>
      <c r="G12107" t="n">
        <v>11</v>
      </c>
      <c r="H12107" s="5">
        <f>HYPERLINK("https://api.qogita.com/variants/link/8022297175386/", "View Product")</f>
        <v/>
      </c>
    </row>
    <row r="12108">
      <c r="A12108" t="inlineStr">
        <is>
          <t>8025337133889</t>
        </is>
      </c>
      <c r="B12108" t="inlineStr">
        <is>
          <t>Kallos KJMN 831 100ml Hair Styling Product</t>
        </is>
      </c>
      <c r="C12108" t="inlineStr">
        <is>
          <t>Styling Creams</t>
        </is>
      </c>
      <c r="D12108" t="inlineStr">
        <is>
          <t>Kallos</t>
        </is>
      </c>
      <c r="E12108" t="n">
        <v>2.93</v>
      </c>
      <c r="F12108" t="n">
        <v>1</v>
      </c>
      <c r="G12108" t="n">
        <v>2</v>
      </c>
      <c r="H12108" s="5">
        <f>HYPERLINK("https://api.qogita.com/variants/link/8025337133889/", "View Product")</f>
        <v/>
      </c>
    </row>
    <row r="12109">
      <c r="A12109" t="inlineStr">
        <is>
          <t>8028544102631</t>
        </is>
      </c>
      <c r="B12109" t="inlineStr">
        <is>
          <t>LORENZO VILLORESI Aura Maris Eau De Toilette Spray 100ml</t>
        </is>
      </c>
      <c r="C12109" t="inlineStr">
        <is>
          <t>Eau De Toilette</t>
        </is>
      </c>
      <c r="D12109" t="inlineStr">
        <is>
          <t>Lorenzo Villoresi</t>
        </is>
      </c>
      <c r="E12109" t="n">
        <v>64.2</v>
      </c>
      <c r="F12109" t="n">
        <v>1</v>
      </c>
      <c r="G12109" t="n">
        <v>2</v>
      </c>
      <c r="H12109" s="5">
        <f>HYPERLINK("https://api.qogita.com/variants/link/8028544102631/", "View Product")</f>
        <v/>
      </c>
    </row>
    <row r="12110">
      <c r="A12110" t="inlineStr">
        <is>
          <t>8029352353925</t>
        </is>
      </c>
      <c r="B12110" t="inlineStr">
        <is>
          <t>Styling Elastic Molding Wax 90ml</t>
        </is>
      </c>
      <c r="C12110" t="inlineStr">
        <is>
          <t>Wax</t>
        </is>
      </c>
      <c r="D12110" t="inlineStr">
        <is>
          <t>Insight</t>
        </is>
      </c>
      <c r="E12110" t="n">
        <v>6.58</v>
      </c>
      <c r="F12110" t="n">
        <v>1</v>
      </c>
      <c r="G12110" t="n">
        <v>2</v>
      </c>
      <c r="H12110" s="5">
        <f>HYPERLINK("https://api.qogita.com/variants/link/8029352353925/", "View Product")</f>
        <v/>
      </c>
    </row>
    <row r="12111">
      <c r="A12111" t="inlineStr">
        <is>
          <t>8029352354205</t>
        </is>
      </c>
      <c r="B12111" t="inlineStr">
        <is>
          <t>INSIGHT Nourishing Body Cream 250ml</t>
        </is>
      </c>
      <c r="C12111" t="inlineStr">
        <is>
          <t>Body Butter</t>
        </is>
      </c>
      <c r="D12111" t="inlineStr">
        <is>
          <t>Insight</t>
        </is>
      </c>
      <c r="E12111" t="n">
        <v>7.83</v>
      </c>
      <c r="F12111" t="n">
        <v>1</v>
      </c>
      <c r="G12111" t="n">
        <v>2</v>
      </c>
      <c r="H12111" s="5">
        <f>HYPERLINK("https://api.qogita.com/variants/link/8029352354205/", "View Product")</f>
        <v/>
      </c>
    </row>
    <row r="12112">
      <c r="A12112" t="inlineStr">
        <is>
          <t>8029352365423</t>
        </is>
      </c>
      <c r="B12112" t="inlineStr">
        <is>
          <t>Oway Men's Repairing Aftershave Balm 50ml</t>
        </is>
      </c>
      <c r="C12112" t="inlineStr">
        <is>
          <t>Aftershave</t>
        </is>
      </c>
      <c r="D12112" t="inlineStr">
        <is>
          <t>Oway</t>
        </is>
      </c>
      <c r="E12112" t="n">
        <v>27.7</v>
      </c>
      <c r="F12112" t="n">
        <v>1</v>
      </c>
      <c r="G12112" t="n">
        <v>4</v>
      </c>
      <c r="H12112" s="5">
        <f>HYPERLINK("https://api.qogita.com/variants/link/8029352365423/", "View Product")</f>
        <v/>
      </c>
    </row>
    <row r="12113">
      <c r="A12113" t="inlineStr">
        <is>
          <t>8029352369162</t>
        </is>
      </c>
      <c r="B12113" t="inlineStr">
        <is>
          <t>Oway Sunlight Serum By Oway</t>
        </is>
      </c>
      <c r="C12113" t="inlineStr">
        <is>
          <t>Glow Serum</t>
        </is>
      </c>
      <c r="D12113" t="inlineStr">
        <is>
          <t>Oway</t>
        </is>
      </c>
      <c r="E12113" t="n">
        <v>25.73</v>
      </c>
      <c r="F12113" t="n">
        <v>1</v>
      </c>
      <c r="G12113" t="n">
        <v>2</v>
      </c>
      <c r="H12113" s="5">
        <f>HYPERLINK("https://api.qogita.com/variants/link/8029352369162/", "View Product")</f>
        <v/>
      </c>
    </row>
    <row r="12114">
      <c r="A12114" t="inlineStr">
        <is>
          <t>8032274011026</t>
        </is>
      </c>
      <c r="B12114" t="inlineStr">
        <is>
          <t>Depot N 305 Volumizer 200ml Hair Styling Product For Men</t>
        </is>
      </c>
      <c r="C12114" t="inlineStr">
        <is>
          <t>Gel</t>
        </is>
      </c>
      <c r="D12114" t="inlineStr">
        <is>
          <t>Depot</t>
        </is>
      </c>
      <c r="E12114" t="n">
        <v>8.23</v>
      </c>
      <c r="F12114" t="n">
        <v>1</v>
      </c>
      <c r="G12114" t="n">
        <v>10</v>
      </c>
      <c r="H12114" s="5">
        <f>HYPERLINK("https://api.qogita.com/variants/link/8032274011026/", "View Product")</f>
        <v/>
      </c>
    </row>
    <row r="12115">
      <c r="A12115" t="inlineStr">
        <is>
          <t>8032274011194</t>
        </is>
      </c>
      <c r="B12115" t="inlineStr">
        <is>
          <t>Milk Shake Silver Shine Light Shampoo 300ml For Blonde Or White Hair</t>
        </is>
      </c>
      <c r="C12115" t="inlineStr">
        <is>
          <t>Shampoo</t>
        </is>
      </c>
      <c r="D12115" t="inlineStr">
        <is>
          <t>Milk_Shake</t>
        </is>
      </c>
      <c r="E12115" t="n">
        <v>11.23</v>
      </c>
      <c r="F12115" t="n">
        <v>1</v>
      </c>
      <c r="G12115" t="n">
        <v>35</v>
      </c>
      <c r="H12115" s="5">
        <f>HYPERLINK("https://api.qogita.com/variants/link/8032274011194/", "View Product")</f>
        <v/>
      </c>
    </row>
    <row r="12116">
      <c r="A12116" t="inlineStr">
        <is>
          <t>8032274052043</t>
        </is>
      </c>
      <c r="B12116" t="inlineStr">
        <is>
          <t>Milk Shake Argan Oil Deep Treatment Mask With Argan Oil 200ml</t>
        </is>
      </c>
      <c r="C12116" t="inlineStr">
        <is>
          <t>Hair Masks</t>
        </is>
      </c>
      <c r="D12116" t="inlineStr">
        <is>
          <t>Milk_Shake</t>
        </is>
      </c>
      <c r="E12116" t="n">
        <v>13.62</v>
      </c>
      <c r="F12116" t="n">
        <v>1</v>
      </c>
      <c r="G12116" t="n">
        <v>11</v>
      </c>
      <c r="H12116" s="5">
        <f>HYPERLINK("https://api.qogita.com/variants/link/8032274052043/", "View Product")</f>
        <v/>
      </c>
    </row>
    <row r="12117">
      <c r="A12117" t="inlineStr">
        <is>
          <t>8032274057062</t>
        </is>
      </c>
      <c r="B12117" t="inlineStr">
        <is>
          <t>Age Renew Revitalizing Shampoo 250ml</t>
        </is>
      </c>
      <c r="C12117" t="inlineStr">
        <is>
          <t>Shampoo</t>
        </is>
      </c>
      <c r="D12117" t="inlineStr">
        <is>
          <t>No Inhibition</t>
        </is>
      </c>
      <c r="E12117" t="n">
        <v>13.75</v>
      </c>
      <c r="F12117" t="n">
        <v>1</v>
      </c>
      <c r="G12117" t="n">
        <v>7</v>
      </c>
      <c r="H12117" s="5">
        <f>HYPERLINK("https://api.qogita.com/variants/link/8032274057062/", "View Product")</f>
        <v/>
      </c>
    </row>
    <row r="12118">
      <c r="A12118" t="inlineStr">
        <is>
          <t>8032274057130</t>
        </is>
      </c>
      <c r="B12118" t="inlineStr">
        <is>
          <t>Milk Shake Sensorial Mint Conditioner Refreshing Hair Conditioner 300ml</t>
        </is>
      </c>
      <c r="C12118" t="inlineStr">
        <is>
          <t>Conditioner</t>
        </is>
      </c>
      <c r="D12118" t="inlineStr">
        <is>
          <t>Milk_Shake</t>
        </is>
      </c>
      <c r="E12118" t="n">
        <v>9.49</v>
      </c>
      <c r="F12118" t="n">
        <v>1</v>
      </c>
      <c r="G12118" t="n">
        <v>2</v>
      </c>
      <c r="H12118" s="5">
        <f>HYPERLINK("https://api.qogita.com/variants/link/8032274057130/", "View Product")</f>
        <v/>
      </c>
    </row>
    <row r="12119">
      <c r="A12119" t="inlineStr">
        <is>
          <t>8032274060376</t>
        </is>
      </c>
      <c r="B12119" t="inlineStr">
        <is>
          <t>Milk Shake Energizing Scalp Treatment 30 Ml Leavein Treatment For Thinning Hair</t>
        </is>
      </c>
      <c r="C12119" t="inlineStr">
        <is>
          <t>Scalp Care</t>
        </is>
      </c>
      <c r="D12119" t="inlineStr">
        <is>
          <t>Milk_Shake</t>
        </is>
      </c>
      <c r="E12119" t="n">
        <v>13.1</v>
      </c>
      <c r="F12119" t="n">
        <v>1</v>
      </c>
      <c r="G12119" t="n">
        <v>11</v>
      </c>
      <c r="H12119" s="5">
        <f>HYPERLINK("https://api.qogita.com/variants/link/8032274060376/", "View Product")</f>
        <v/>
      </c>
    </row>
    <row r="12120">
      <c r="A12120" t="inlineStr">
        <is>
          <t>8032274060741</t>
        </is>
      </c>
      <c r="B12120" t="inlineStr">
        <is>
          <t>DEPOT 101 Normalizing Daily Shampoo 1000ml</t>
        </is>
      </c>
      <c r="C12120" t="inlineStr">
        <is>
          <t>Shampoo</t>
        </is>
      </c>
      <c r="D12120" t="inlineStr">
        <is>
          <t>Depot</t>
        </is>
      </c>
      <c r="E12120" t="n">
        <v>17.58</v>
      </c>
      <c r="F12120" t="n">
        <v>1</v>
      </c>
      <c r="G12120" t="n">
        <v>19</v>
      </c>
      <c r="H12120" s="5">
        <f>HYPERLINK("https://api.qogita.com/variants/link/8032274060741/", "View Product")</f>
        <v/>
      </c>
    </row>
    <row r="12121">
      <c r="A12121" t="inlineStr">
        <is>
          <t>8032274060826</t>
        </is>
      </c>
      <c r="B12121" t="inlineStr">
        <is>
          <t>Depot N 201 Refreshing Conditioner 250ml</t>
        </is>
      </c>
      <c r="C12121" t="inlineStr">
        <is>
          <t>Conditioner</t>
        </is>
      </c>
      <c r="D12121" t="inlineStr">
        <is>
          <t>Depot</t>
        </is>
      </c>
      <c r="E12121" t="n">
        <v>8.390000000000001</v>
      </c>
      <c r="F12121" t="n">
        <v>1</v>
      </c>
      <c r="G12121" t="n">
        <v>7</v>
      </c>
      <c r="H12121" s="5">
        <f>HYPERLINK("https://api.qogita.com/variants/link/8032274060826/", "View Product")</f>
        <v/>
      </c>
    </row>
    <row r="12122">
      <c r="A12122" t="inlineStr">
        <is>
          <t>8032274076551</t>
        </is>
      </c>
      <c r="B12122" t="inlineStr">
        <is>
          <t>Milk Shake Silver Shine Conditioner 1000ml Professional Hair Care</t>
        </is>
      </c>
      <c r="C12122" t="inlineStr">
        <is>
          <t>Conditioner</t>
        </is>
      </c>
      <c r="D12122" t="inlineStr">
        <is>
          <t>Milk_Shake</t>
        </is>
      </c>
      <c r="E12122" t="n">
        <v>23.01</v>
      </c>
      <c r="F12122" t="n">
        <v>1</v>
      </c>
      <c r="G12122" t="n">
        <v>2</v>
      </c>
      <c r="H12122" s="5">
        <f>HYPERLINK("https://api.qogita.com/variants/link/8032274076551/", "View Product")</f>
        <v/>
      </c>
    </row>
    <row r="12123">
      <c r="A12123" t="inlineStr">
        <is>
          <t>8032274076766</t>
        </is>
      </c>
      <c r="B12123" t="inlineStr">
        <is>
          <t>Depot No 505 Conditioning Beard Oil Ginger &amp; Cardamom 30ml</t>
        </is>
      </c>
      <c r="C12123" t="inlineStr">
        <is>
          <t>Beard Care Accessories</t>
        </is>
      </c>
      <c r="D12123" t="inlineStr">
        <is>
          <t>Depot</t>
        </is>
      </c>
      <c r="E12123" t="n">
        <v>10.53</v>
      </c>
      <c r="F12123" t="n">
        <v>1</v>
      </c>
      <c r="G12123" t="n">
        <v>3</v>
      </c>
      <c r="H12123" s="5">
        <f>HYPERLINK("https://api.qogita.com/variants/link/8032274076766/", "View Product")</f>
        <v/>
      </c>
    </row>
    <row r="12124">
      <c r="A12124" t="inlineStr">
        <is>
          <t>8032274078074</t>
        </is>
      </c>
      <c r="B12124" t="inlineStr">
        <is>
          <t>Milk Shake Volume Solution Conditioner 1000ml Volumizing Conditioner For Hair Volume</t>
        </is>
      </c>
      <c r="C12124" t="inlineStr">
        <is>
          <t>Conditioner</t>
        </is>
      </c>
      <c r="D12124" t="inlineStr">
        <is>
          <t>Milk_Shake</t>
        </is>
      </c>
      <c r="E12124" t="n">
        <v>21.59</v>
      </c>
      <c r="F12124" t="n">
        <v>1</v>
      </c>
      <c r="G12124" t="n">
        <v>25</v>
      </c>
      <c r="H12124" s="5">
        <f>HYPERLINK("https://api.qogita.com/variants/link/8032274078074/", "View Product")</f>
        <v/>
      </c>
    </row>
    <row r="12125">
      <c r="A12125" t="inlineStr">
        <is>
          <t>8032274078340</t>
        </is>
      </c>
      <c r="B12125" t="inlineStr">
        <is>
          <t>Milk Shake Volume Solution Volumizing Styling Spray 175ml</t>
        </is>
      </c>
      <c r="C12125" t="inlineStr">
        <is>
          <t>Styling Sprays</t>
        </is>
      </c>
      <c r="D12125" t="inlineStr">
        <is>
          <t>Milk_Shake</t>
        </is>
      </c>
      <c r="E12125" t="n">
        <v>10.56</v>
      </c>
      <c r="F12125" t="n">
        <v>1</v>
      </c>
      <c r="G12125" t="n">
        <v>5</v>
      </c>
      <c r="H12125" s="5">
        <f>HYPERLINK("https://api.qogita.com/variants/link/8032274078340/", "View Product")</f>
        <v/>
      </c>
    </row>
    <row r="12126">
      <c r="A12126" t="inlineStr">
        <is>
          <t>8032274083429</t>
        </is>
      </c>
      <c r="B12126" t="inlineStr">
        <is>
          <t>Milk Shake Lifestyling Medium Hold Gel 200ml Hair Gel For Medium Hold</t>
        </is>
      </c>
      <c r="C12126" t="inlineStr">
        <is>
          <t>Gel</t>
        </is>
      </c>
      <c r="D12126" t="inlineStr">
        <is>
          <t>Milk_Shake</t>
        </is>
      </c>
      <c r="E12126" t="n">
        <v>8.529999999999999</v>
      </c>
      <c r="F12126" t="n">
        <v>1</v>
      </c>
      <c r="G12126" t="n">
        <v>4</v>
      </c>
      <c r="H12126" s="5">
        <f>HYPERLINK("https://api.qogita.com/variants/link/8032274083429/", "View Product")</f>
        <v/>
      </c>
    </row>
    <row r="12127">
      <c r="A12127" t="inlineStr">
        <is>
          <t>8032274086963</t>
        </is>
      </c>
      <c r="B12127" t="inlineStr">
        <is>
          <t>DEPOT 207 White Clay Sebum Control Treatment 125ml</t>
        </is>
      </c>
      <c r="C12127" t="inlineStr">
        <is>
          <t>Scalp Care</t>
        </is>
      </c>
      <c r="D12127" t="inlineStr">
        <is>
          <t>Depot</t>
        </is>
      </c>
      <c r="E12127" t="n">
        <v>8.17</v>
      </c>
      <c r="F12127" t="n">
        <v>1</v>
      </c>
      <c r="G12127" t="n">
        <v>5</v>
      </c>
      <c r="H12127" s="5">
        <f>HYPERLINK("https://api.qogita.com/variants/link/8032274086963/", "View Product")</f>
        <v/>
      </c>
    </row>
    <row r="12128">
      <c r="A12128" t="inlineStr">
        <is>
          <t>8032274104483</t>
        </is>
      </c>
      <c r="B12128" t="inlineStr">
        <is>
          <t>Milk Shake Curl Passion Conditioner For Curly Hair 300ml</t>
        </is>
      </c>
      <c r="C12128" t="inlineStr">
        <is>
          <t>Conditioner</t>
        </is>
      </c>
      <c r="D12128" t="inlineStr">
        <is>
          <t>Milk_Shake</t>
        </is>
      </c>
      <c r="E12128" t="n">
        <v>11.56</v>
      </c>
      <c r="F12128" t="n">
        <v>1</v>
      </c>
      <c r="G12128" t="n">
        <v>29</v>
      </c>
      <c r="H12128" s="5">
        <f>HYPERLINK("https://api.qogita.com/variants/link/8032274104483/", "View Product")</f>
        <v/>
      </c>
    </row>
    <row r="12129">
      <c r="A12129" t="inlineStr">
        <is>
          <t>8032274106234</t>
        </is>
      </c>
      <c r="B12129" t="inlineStr">
        <is>
          <t>Milk_shake Integrity Nourishing Muru Muru Butter 200ml</t>
        </is>
      </c>
      <c r="C12129" t="inlineStr">
        <is>
          <t>Hair Masks</t>
        </is>
      </c>
      <c r="D12129" t="inlineStr">
        <is>
          <t>Milk_Shake</t>
        </is>
      </c>
      <c r="E12129" t="n">
        <v>20.62</v>
      </c>
      <c r="F12129" t="n">
        <v>1</v>
      </c>
      <c r="G12129" t="n">
        <v>3</v>
      </c>
      <c r="H12129" s="5">
        <f>HYPERLINK("https://api.qogita.com/variants/link/8032274106234/", "View Product")</f>
        <v/>
      </c>
    </row>
    <row r="12130">
      <c r="A12130" t="inlineStr">
        <is>
          <t>8032274113324</t>
        </is>
      </c>
      <c r="B12130" t="inlineStr">
        <is>
          <t>DEPOT 313 Medium Hold Gel 200ml</t>
        </is>
      </c>
      <c r="C12130" t="inlineStr">
        <is>
          <t>Gel</t>
        </is>
      </c>
      <c r="D12130" t="inlineStr">
        <is>
          <t>Depot</t>
        </is>
      </c>
      <c r="E12130" t="n">
        <v>10.79</v>
      </c>
      <c r="F12130" t="n">
        <v>1</v>
      </c>
      <c r="G12130" t="n">
        <v>4</v>
      </c>
      <c r="H12130" s="5">
        <f>HYPERLINK("https://api.qogita.com/variants/link/8032274113324/", "View Product")</f>
        <v/>
      </c>
    </row>
    <row r="12131">
      <c r="A12131" t="inlineStr">
        <is>
          <t>8032274119159</t>
        </is>
      </c>
      <c r="B12131" t="inlineStr">
        <is>
          <t>Milk Shake Tinted Leavein Mousse Color Whipped Cream 100 Ml</t>
        </is>
      </c>
      <c r="C12131" t="inlineStr">
        <is>
          <t>Mousse</t>
        </is>
      </c>
      <c r="D12131" t="inlineStr">
        <is>
          <t>Milk_Shake</t>
        </is>
      </c>
      <c r="E12131" t="n">
        <v>7.7</v>
      </c>
      <c r="F12131" t="n">
        <v>1</v>
      </c>
      <c r="G12131" t="n">
        <v>14</v>
      </c>
      <c r="H12131" s="5">
        <f>HYPERLINK("https://api.qogita.com/variants/link/8032274119159/", "View Product")</f>
        <v/>
      </c>
    </row>
    <row r="12132">
      <c r="A12132" t="inlineStr">
        <is>
          <t>8032274121725</t>
        </is>
      </c>
      <c r="B12132" t="inlineStr">
        <is>
          <t>milk_shake SOS Roots Brown 75ml</t>
        </is>
      </c>
      <c r="C12132" t="inlineStr">
        <is>
          <t>Hair Masks</t>
        </is>
      </c>
      <c r="D12132" t="inlineStr">
        <is>
          <t>Milk_Shake</t>
        </is>
      </c>
      <c r="E12132" t="n">
        <v>10.2</v>
      </c>
      <c r="F12132" t="n">
        <v>1</v>
      </c>
      <c r="G12132" t="n">
        <v>10</v>
      </c>
      <c r="H12132" s="5">
        <f>HYPERLINK("https://api.qogita.com/variants/link/8032274121725/", "View Product")</f>
        <v/>
      </c>
    </row>
    <row r="12133">
      <c r="A12133" t="inlineStr">
        <is>
          <t>8032274121732</t>
        </is>
      </c>
      <c r="B12133" t="inlineStr">
        <is>
          <t>Milk Shake Sos Roots Black Spray Instant Hair Touch Up 75ml In Dark Brown</t>
        </is>
      </c>
      <c r="C12133" t="inlineStr">
        <is>
          <t>Hairline Paint</t>
        </is>
      </c>
      <c r="D12133" t="inlineStr">
        <is>
          <t>Milk_Shake</t>
        </is>
      </c>
      <c r="E12133" t="n">
        <v>9.460000000000001</v>
      </c>
      <c r="F12133" t="n">
        <v>1</v>
      </c>
      <c r="G12133" t="n">
        <v>4</v>
      </c>
      <c r="H12133" s="5">
        <f>HYPERLINK("https://api.qogita.com/variants/link/8032274121732/", "View Product")</f>
        <v/>
      </c>
    </row>
    <row r="12134">
      <c r="A12134" t="inlineStr">
        <is>
          <t>8032274143888</t>
        </is>
      </c>
      <c r="B12134" t="inlineStr">
        <is>
          <t>Milk Shake Cold Brunette Conditioner 250ml For Brown Hair</t>
        </is>
      </c>
      <c r="C12134" t="inlineStr">
        <is>
          <t>Conditioner</t>
        </is>
      </c>
      <c r="D12134" t="inlineStr">
        <is>
          <t>Milk_Shake</t>
        </is>
      </c>
      <c r="E12134" t="n">
        <v>10.14</v>
      </c>
      <c r="F12134" t="n">
        <v>1</v>
      </c>
      <c r="G12134" t="n">
        <v>14</v>
      </c>
      <c r="H12134" s="5">
        <f>HYPERLINK("https://api.qogita.com/variants/link/8032274143888/", "View Product")</f>
        <v/>
      </c>
    </row>
    <row r="12135">
      <c r="A12135" t="inlineStr">
        <is>
          <t>8032274192138</t>
        </is>
      </c>
      <c r="B12135" t="inlineStr">
        <is>
          <t>Milk Shake Moisture &amp; More Conditioner 250 Ml Hydrating Conditioner</t>
        </is>
      </c>
      <c r="C12135" t="inlineStr">
        <is>
          <t>Conditioner</t>
        </is>
      </c>
      <c r="D12135" t="inlineStr">
        <is>
          <t>Milk_Shake</t>
        </is>
      </c>
      <c r="E12135" t="n">
        <v>13.41</v>
      </c>
      <c r="F12135" t="n">
        <v>1</v>
      </c>
      <c r="G12135" t="n">
        <v>5</v>
      </c>
      <c r="H12135" s="5">
        <f>HYPERLINK("https://api.qogita.com/variants/link/8032274192138/", "View Product")</f>
        <v/>
      </c>
    </row>
    <row r="12136">
      <c r="A12136" t="inlineStr">
        <is>
          <t>8032274192497</t>
        </is>
      </c>
      <c r="B12136" t="inlineStr">
        <is>
          <t>Milk Shake K-Respect Preparing Shampoo</t>
        </is>
      </c>
      <c r="C12136" t="inlineStr">
        <is>
          <t>Shampoo</t>
        </is>
      </c>
      <c r="D12136" t="inlineStr">
        <is>
          <t>Milk_Shake</t>
        </is>
      </c>
      <c r="E12136" t="n">
        <v>14.73</v>
      </c>
      <c r="F12136" t="n">
        <v>1</v>
      </c>
      <c r="G12136" t="n">
        <v>10</v>
      </c>
      <c r="H12136" s="5">
        <f>HYPERLINK("https://api.qogita.com/variants/link/8032274192497/", "View Product")</f>
        <v/>
      </c>
    </row>
    <row r="12137">
      <c r="A12137" t="inlineStr">
        <is>
          <t>8032529112942</t>
        </is>
      </c>
      <c r="B12137" t="inlineStr">
        <is>
          <t>Salvatore Ferragamo Incanto Charms Eau De Toilette Spray 30ml</t>
        </is>
      </c>
      <c r="C12137" t="inlineStr">
        <is>
          <t>Eau De Toilette</t>
        </is>
      </c>
      <c r="D12137" t="inlineStr">
        <is>
          <t>Salvatore Ferragamo</t>
        </is>
      </c>
      <c r="E12137" t="n">
        <v>12.33</v>
      </c>
      <c r="F12137" t="n">
        <v>1</v>
      </c>
      <c r="G12137" t="n">
        <v>3</v>
      </c>
      <c r="H12137" s="5">
        <f>HYPERLINK("https://api.qogita.com/variants/link/8032529112942/", "View Product")</f>
        <v/>
      </c>
    </row>
    <row r="12138">
      <c r="A12138" t="inlineStr">
        <is>
          <t>8032529116803</t>
        </is>
      </c>
      <c r="B12138" t="inlineStr">
        <is>
          <t>Ungaro Man Eau De Toilette 30ml Spray For Men</t>
        </is>
      </c>
      <c r="C12138" t="inlineStr">
        <is>
          <t>Eau De Toilette</t>
        </is>
      </c>
      <c r="D12138" t="inlineStr">
        <is>
          <t>Emanuel Ungaro</t>
        </is>
      </c>
      <c r="E12138" t="n">
        <v>4.26</v>
      </c>
      <c r="F12138" t="n">
        <v>1</v>
      </c>
      <c r="G12138" t="n">
        <v>3</v>
      </c>
      <c r="H12138" s="5">
        <f>HYPERLINK("https://api.qogita.com/variants/link/8032529116803/", "View Product")</f>
        <v/>
      </c>
    </row>
    <row r="12139">
      <c r="A12139" t="inlineStr">
        <is>
          <t>8032947860043</t>
        </is>
      </c>
      <c r="B12139" t="inlineStr">
        <is>
          <t>5.0 Fanola Colouring Cream 100ml</t>
        </is>
      </c>
      <c r="C12139" t="inlineStr">
        <is>
          <t>Hair Dye</t>
        </is>
      </c>
      <c r="D12139" t="inlineStr">
        <is>
          <t>Fanola</t>
        </is>
      </c>
      <c r="E12139" t="n">
        <v>3.06</v>
      </c>
      <c r="F12139" t="n">
        <v>1</v>
      </c>
      <c r="G12139" t="n">
        <v>5</v>
      </c>
      <c r="H12139" s="5">
        <f>HYPERLINK("https://api.qogita.com/variants/link/8032947860043/", "View Product")</f>
        <v/>
      </c>
    </row>
    <row r="12140">
      <c r="A12140" t="inlineStr">
        <is>
          <t>8032947860265</t>
        </is>
      </c>
      <c r="B12140" t="inlineStr">
        <is>
          <t>Fanola Cream Colore Colouring Cream 9.13 Very Light Blonde Beige 100ml</t>
        </is>
      </c>
      <c r="C12140" t="inlineStr">
        <is>
          <t>Hair Dye</t>
        </is>
      </c>
      <c r="D12140" t="inlineStr">
        <is>
          <t>Fanola</t>
        </is>
      </c>
      <c r="E12140" t="n">
        <v>3.06</v>
      </c>
      <c r="F12140" t="n">
        <v>1</v>
      </c>
      <c r="G12140" t="n">
        <v>10</v>
      </c>
      <c r="H12140" s="5">
        <f>HYPERLINK("https://api.qogita.com/variants/link/8032947860265/", "View Product")</f>
        <v/>
      </c>
    </row>
    <row r="12141">
      <c r="A12141" t="inlineStr">
        <is>
          <t>8032947860364</t>
        </is>
      </c>
      <c r="B12141" t="inlineStr">
        <is>
          <t>Fanola  Hair Colouring Cream 7.3 Blonde Gold 100ml</t>
        </is>
      </c>
      <c r="C12141" t="inlineStr">
        <is>
          <t>Hair Dye</t>
        </is>
      </c>
      <c r="D12141" t="inlineStr">
        <is>
          <t>Fanola</t>
        </is>
      </c>
      <c r="E12141" t="n">
        <v>3.06</v>
      </c>
      <c r="F12141" t="n">
        <v>1</v>
      </c>
      <c r="G12141" t="n">
        <v>3</v>
      </c>
      <c r="H12141" s="5">
        <f>HYPERLINK("https://api.qogita.com/variants/link/8032947860364/", "View Product")</f>
        <v/>
      </c>
    </row>
    <row r="12142">
      <c r="A12142" t="inlineStr">
        <is>
          <t>8032947860388</t>
        </is>
      </c>
      <c r="B12142" t="inlineStr">
        <is>
          <t>Fanola Cream Colore Colouring Cream 9.3 Very Light Blonde Gold 100ml</t>
        </is>
      </c>
      <c r="C12142" t="inlineStr">
        <is>
          <t>Hair Dye</t>
        </is>
      </c>
      <c r="D12142" t="inlineStr">
        <is>
          <t>Fanola</t>
        </is>
      </c>
      <c r="E12142" t="n">
        <v>3.06</v>
      </c>
      <c r="F12142" t="n">
        <v>1</v>
      </c>
      <c r="G12142" t="n">
        <v>5</v>
      </c>
      <c r="H12142" s="5">
        <f>HYPERLINK("https://api.qogita.com/variants/link/8032947860388/", "View Product")</f>
        <v/>
      </c>
    </row>
    <row r="12143">
      <c r="A12143" t="inlineStr">
        <is>
          <t>8032947860470</t>
        </is>
      </c>
      <c r="B12143" t="inlineStr">
        <is>
          <t>Fanola Italy Hair Coloring Cream 6.43 Dark Blonde Golden 3.4oz/100ml</t>
        </is>
      </c>
      <c r="C12143" t="inlineStr">
        <is>
          <t>Hair Dye</t>
        </is>
      </c>
      <c r="D12143" t="inlineStr">
        <is>
          <t>Fanola</t>
        </is>
      </c>
      <c r="E12143" t="n">
        <v>3.06</v>
      </c>
      <c r="F12143" t="n">
        <v>1</v>
      </c>
      <c r="G12143" t="n">
        <v>4</v>
      </c>
      <c r="H12143" s="5">
        <f>HYPERLINK("https://api.qogita.com/variants/link/8032947860470/", "View Product")</f>
        <v/>
      </c>
    </row>
    <row r="12144">
      <c r="A12144" t="inlineStr">
        <is>
          <t>8032947860616</t>
        </is>
      </c>
      <c r="B12144" t="inlineStr">
        <is>
          <t>Fanola Color Cream 7.6 Blonde Red 100ml</t>
        </is>
      </c>
      <c r="C12144" t="inlineStr">
        <is>
          <t>Hair Dye</t>
        </is>
      </c>
      <c r="D12144" t="inlineStr">
        <is>
          <t>Fanola</t>
        </is>
      </c>
      <c r="E12144" t="n">
        <v>3.09</v>
      </c>
      <c r="F12144" t="n">
        <v>1</v>
      </c>
      <c r="G12144" t="n">
        <v>6</v>
      </c>
      <c r="H12144" s="5">
        <f>HYPERLINK("https://api.qogita.com/variants/link/8032947860616/", "View Product")</f>
        <v/>
      </c>
    </row>
    <row r="12145">
      <c r="A12145" t="inlineStr">
        <is>
          <t>8032947860784</t>
        </is>
      </c>
      <c r="B12145" t="inlineStr">
        <is>
          <t>Fanola Cream Colore Colouring Cream 10.14 Almond 100ml</t>
        </is>
      </c>
      <c r="C12145" t="inlineStr">
        <is>
          <t>Hair Dye</t>
        </is>
      </c>
      <c r="D12145" t="inlineStr">
        <is>
          <t>Fanola</t>
        </is>
      </c>
      <c r="E12145" t="n">
        <v>3.14</v>
      </c>
      <c r="F12145" t="n">
        <v>1</v>
      </c>
      <c r="G12145" t="n">
        <v>7</v>
      </c>
      <c r="H12145" s="5">
        <f>HYPERLINK("https://api.qogita.com/variants/link/8032947860784/", "View Product")</f>
        <v/>
      </c>
    </row>
    <row r="12146">
      <c r="A12146" t="inlineStr">
        <is>
          <t>8032947861613</t>
        </is>
      </c>
      <c r="B12146" t="inlineStr">
        <is>
          <t>Fanola Perfumed Hydrogen Peroxide Hair Oxidant 10 vol 3% 1000 ml</t>
        </is>
      </c>
      <c r="C12146" t="inlineStr">
        <is>
          <t>Bleaching</t>
        </is>
      </c>
      <c r="D12146" t="inlineStr">
        <is>
          <t>Fanola</t>
        </is>
      </c>
      <c r="E12146" t="n">
        <v>2.23</v>
      </c>
      <c r="F12146" t="n">
        <v>1</v>
      </c>
      <c r="G12146" t="n">
        <v>111</v>
      </c>
      <c r="H12146" s="5">
        <f>HYPERLINK("https://api.qogita.com/variants/link/8032947861613/", "View Product")</f>
        <v/>
      </c>
    </row>
    <row r="12147">
      <c r="A12147" t="inlineStr">
        <is>
          <t>8032947861620</t>
        </is>
      </c>
      <c r="B12147" t="inlineStr">
        <is>
          <t>Fanola Perfumed 20 Vol 6% Hydrogen Peroxide Hair Oxidants 1000ml</t>
        </is>
      </c>
      <c r="C12147" t="inlineStr">
        <is>
          <t>Bleaching</t>
        </is>
      </c>
      <c r="D12147" t="inlineStr">
        <is>
          <t>Fanola</t>
        </is>
      </c>
      <c r="E12147" t="n">
        <v>2.8</v>
      </c>
      <c r="F12147" t="n">
        <v>1</v>
      </c>
      <c r="G12147" t="n">
        <v>131</v>
      </c>
      <c r="H12147" s="5">
        <f>HYPERLINK("https://api.qogita.com/variants/link/8032947861620/", "View Product")</f>
        <v/>
      </c>
    </row>
    <row r="12148">
      <c r="A12148" t="inlineStr">
        <is>
          <t>8032947863532</t>
        </is>
      </c>
      <c r="B12148" t="inlineStr">
        <is>
          <t>Fanola Fanola Oro Therapy Color Keratin Coloring Cream 631 Dark Blonde Sand 100ml</t>
        </is>
      </c>
      <c r="C12148" t="inlineStr">
        <is>
          <t>Hair Dye</t>
        </is>
      </c>
      <c r="D12148" t="inlineStr">
        <is>
          <t>Fanola</t>
        </is>
      </c>
      <c r="E12148" t="n">
        <v>3.81</v>
      </c>
      <c r="F12148" t="n">
        <v>1</v>
      </c>
      <c r="G12148" t="n">
        <v>5</v>
      </c>
      <c r="H12148" s="5">
        <f>HYPERLINK("https://api.qogita.com/variants/link/8032947863532/", "View Product")</f>
        <v/>
      </c>
    </row>
    <row r="12149">
      <c r="A12149" t="inlineStr">
        <is>
          <t>8032947863587</t>
        </is>
      </c>
      <c r="B12149" t="inlineStr">
        <is>
          <t>Fanola Coloring Cream 8.2F Light Blonde Fantasy Violet 100ml</t>
        </is>
      </c>
      <c r="C12149" t="inlineStr">
        <is>
          <t>Hair Dye</t>
        </is>
      </c>
      <c r="D12149" t="inlineStr">
        <is>
          <t>Fanola</t>
        </is>
      </c>
      <c r="E12149" t="n">
        <v>3.06</v>
      </c>
      <c r="F12149" t="n">
        <v>1</v>
      </c>
      <c r="G12149" t="n">
        <v>3</v>
      </c>
      <c r="H12149" s="5">
        <f>HYPERLINK("https://api.qogita.com/variants/link/8032947863587/", "View Product")</f>
        <v/>
      </c>
    </row>
    <row r="12150">
      <c r="A12150" t="inlineStr">
        <is>
          <t>8032947864454</t>
        </is>
      </c>
      <c r="B12150" t="inlineStr">
        <is>
          <t>Fanola Oro Therapy Color Keratin 5.3 100ml</t>
        </is>
      </c>
      <c r="C12150" t="inlineStr">
        <is>
          <t>Hair Oil &amp; Hair Serum</t>
        </is>
      </c>
      <c r="D12150" t="inlineStr">
        <is>
          <t>Fanola</t>
        </is>
      </c>
      <c r="E12150" t="n">
        <v>3.78</v>
      </c>
      <c r="F12150" t="n">
        <v>1</v>
      </c>
      <c r="G12150" t="n">
        <v>3</v>
      </c>
      <c r="H12150" s="5">
        <f>HYPERLINK("https://api.qogita.com/variants/link/8032947864454/", "View Product")</f>
        <v/>
      </c>
    </row>
    <row r="12151">
      <c r="A12151" t="inlineStr">
        <is>
          <t>8032947864485</t>
        </is>
      </c>
      <c r="B12151" t="inlineStr">
        <is>
          <t>Fanola Oro Therapy Color Keratin 8.3 100ml</t>
        </is>
      </c>
      <c r="C12151" t="inlineStr">
        <is>
          <t>Hair Oil &amp; Hair Serum</t>
        </is>
      </c>
      <c r="D12151" t="inlineStr">
        <is>
          <t>Fanola</t>
        </is>
      </c>
      <c r="E12151" t="n">
        <v>3.81</v>
      </c>
      <c r="F12151" t="n">
        <v>1</v>
      </c>
      <c r="G12151" t="n">
        <v>3</v>
      </c>
      <c r="H12151" s="5">
        <f>HYPERLINK("https://api.qogita.com/variants/link/8032947864485/", "View Product")</f>
        <v/>
      </c>
    </row>
    <row r="12152">
      <c r="A12152" t="inlineStr">
        <is>
          <t>8032947866427</t>
        </is>
      </c>
      <c r="B12152" t="inlineStr">
        <is>
          <t>Fanola Botugen Botolife Reconstructing Shampoo For Damaged And Brittle Hair 300ml</t>
        </is>
      </c>
      <c r="C12152" t="inlineStr">
        <is>
          <t>Shampoo</t>
        </is>
      </c>
      <c r="D12152" t="inlineStr">
        <is>
          <t>Fanola</t>
        </is>
      </c>
      <c r="E12152" t="n">
        <v>5.59</v>
      </c>
      <c r="F12152" t="n">
        <v>1</v>
      </c>
      <c r="G12152" t="n">
        <v>14</v>
      </c>
      <c r="H12152" s="5">
        <f>HYPERLINK("https://api.qogita.com/variants/link/8032947866427/", "View Product")</f>
        <v/>
      </c>
    </row>
    <row r="12153">
      <c r="A12153" t="inlineStr">
        <is>
          <t>8032947868414</t>
        </is>
      </c>
      <c r="B12153" t="inlineStr">
        <is>
          <t>Fanola Fiber Fix Kit Bond</t>
        </is>
      </c>
      <c r="C12153" t="inlineStr">
        <is>
          <t>Hair Care Sets</t>
        </is>
      </c>
      <c r="D12153" t="inlineStr">
        <is>
          <t>Fanola</t>
        </is>
      </c>
      <c r="E12153" t="n">
        <v>15.36</v>
      </c>
      <c r="F12153" t="n">
        <v>1</v>
      </c>
      <c r="G12153" t="n">
        <v>5</v>
      </c>
      <c r="H12153" s="5">
        <f>HYPERLINK("https://api.qogita.com/variants/link/8032947868414/", "View Product")</f>
        <v/>
      </c>
    </row>
    <row r="12154">
      <c r="A12154" t="inlineStr">
        <is>
          <t>8032947868889</t>
        </is>
      </c>
      <c r="B12154" t="inlineStr">
        <is>
          <t>Fanola No Yellow Colour Toner Rose 100ml</t>
        </is>
      </c>
      <c r="C12154" t="inlineStr">
        <is>
          <t>Hair Dye</t>
        </is>
      </c>
      <c r="D12154" t="inlineStr">
        <is>
          <t>Fanola</t>
        </is>
      </c>
      <c r="E12154" t="n">
        <v>5.29</v>
      </c>
      <c r="F12154" t="n">
        <v>1</v>
      </c>
      <c r="G12154" t="n">
        <v>5</v>
      </c>
      <c r="H12154" s="5">
        <f>HYPERLINK("https://api.qogita.com/variants/link/8032947868889/", "View Product")</f>
        <v/>
      </c>
    </row>
    <row r="12155">
      <c r="A12155" t="inlineStr">
        <is>
          <t>8033219160175</t>
        </is>
      </c>
      <c r="B12155" t="inlineStr">
        <is>
          <t>Inebrya Style-In Total Fix Hairspray 500ml</t>
        </is>
      </c>
      <c r="C12155" t="inlineStr">
        <is>
          <t>Hairspray</t>
        </is>
      </c>
      <c r="D12155" t="inlineStr">
        <is>
          <t>Inebrya</t>
        </is>
      </c>
      <c r="E12155" t="n">
        <v>13.06</v>
      </c>
      <c r="F12155" t="n">
        <v>1</v>
      </c>
      <c r="G12155" t="n">
        <v>6</v>
      </c>
      <c r="H12155" s="5">
        <f>HYPERLINK("https://api.qogita.com/variants/link/8033219160175/", "View Product")</f>
        <v/>
      </c>
    </row>
    <row r="12156">
      <c r="A12156" t="inlineStr">
        <is>
          <t>8033219160939</t>
        </is>
      </c>
      <c r="B12156" t="inlineStr">
        <is>
          <t>Inebrya Style-In Crystal Beauty Hair Glossing Fluid 100ml</t>
        </is>
      </c>
      <c r="C12156" t="inlineStr">
        <is>
          <t>Hair Oil &amp; Hair Serum</t>
        </is>
      </c>
      <c r="D12156" t="inlineStr">
        <is>
          <t>Inebrya</t>
        </is>
      </c>
      <c r="E12156" t="n">
        <v>15.94</v>
      </c>
      <c r="F12156" t="n">
        <v>1</v>
      </c>
      <c r="G12156" t="n">
        <v>14</v>
      </c>
      <c r="H12156" s="5">
        <f>HYPERLINK("https://api.qogita.com/variants/link/8033219160939/", "View Product")</f>
        <v/>
      </c>
    </row>
    <row r="12157">
      <c r="A12157" t="inlineStr">
        <is>
          <t>8033219161394</t>
        </is>
      </c>
      <c r="B12157" t="inlineStr">
        <is>
          <t>Inebrya Bionic Mahogany 4/5 Chestnut 100ml</t>
        </is>
      </c>
      <c r="C12157" t="inlineStr">
        <is>
          <t>Hair Dye</t>
        </is>
      </c>
      <c r="D12157" t="inlineStr">
        <is>
          <t>Inebrya</t>
        </is>
      </c>
      <c r="E12157" t="n">
        <v>10.39</v>
      </c>
      <c r="F12157" t="n">
        <v>1</v>
      </c>
      <c r="G12157" t="n">
        <v>5</v>
      </c>
      <c r="H12157" s="5">
        <f>HYPERLINK("https://api.qogita.com/variants/link/8033219161394/", "View Product")</f>
        <v/>
      </c>
    </row>
    <row r="12158">
      <c r="A12158" t="inlineStr">
        <is>
          <t>8033219161486</t>
        </is>
      </c>
      <c r="B12158" t="inlineStr">
        <is>
          <t>Inebrya Bionic Color 11/7 100ml</t>
        </is>
      </c>
      <c r="C12158" t="inlineStr">
        <is>
          <t>Hair Dye</t>
        </is>
      </c>
      <c r="D12158" t="inlineStr">
        <is>
          <t>Inebrya</t>
        </is>
      </c>
      <c r="E12158" t="n">
        <v>10.39</v>
      </c>
      <c r="F12158" t="n">
        <v>1</v>
      </c>
      <c r="G12158" t="n">
        <v>2</v>
      </c>
      <c r="H12158" s="5">
        <f>HYPERLINK("https://api.qogita.com/variants/link/8033219161486/", "View Product")</f>
        <v/>
      </c>
    </row>
    <row r="12159">
      <c r="A12159" t="inlineStr">
        <is>
          <t>8033219161721</t>
        </is>
      </c>
      <c r="B12159" t="inlineStr">
        <is>
          <t>Inebrya Stylein Oil No Oil Antifrizz Fluid Fluid Against Hair Frizz</t>
        </is>
      </c>
      <c r="C12159" t="inlineStr">
        <is>
          <t>Hair Oil &amp; Hair Serum</t>
        </is>
      </c>
      <c r="D12159" t="inlineStr">
        <is>
          <t>Inebrya</t>
        </is>
      </c>
      <c r="E12159" t="n">
        <v>9.58</v>
      </c>
      <c r="F12159" t="n">
        <v>1</v>
      </c>
      <c r="G12159" t="n">
        <v>5</v>
      </c>
      <c r="H12159" s="5">
        <f>HYPERLINK("https://api.qogita.com/variants/link/8033219161721/", "View Product")</f>
        <v/>
      </c>
    </row>
    <row r="12160">
      <c r="A12160" t="inlineStr">
        <is>
          <t>8033219161912</t>
        </is>
      </c>
      <c r="B12160" t="inlineStr">
        <is>
          <t>Inebrya Bionic Color Neutral 100ml</t>
        </is>
      </c>
      <c r="C12160" t="inlineStr">
        <is>
          <t>Hair Dye</t>
        </is>
      </c>
      <c r="D12160" t="inlineStr">
        <is>
          <t>Inebrya</t>
        </is>
      </c>
      <c r="E12160" t="n">
        <v>10.39</v>
      </c>
      <c r="F12160" t="n">
        <v>1</v>
      </c>
      <c r="G12160" t="n">
        <v>2</v>
      </c>
      <c r="H12160" s="5">
        <f>HYPERLINK("https://api.qogita.com/variants/link/8033219161912/", "View Product")</f>
        <v/>
      </c>
    </row>
    <row r="12161">
      <c r="A12161" t="inlineStr">
        <is>
          <t>8033219162391</t>
        </is>
      </c>
      <c r="B12161" t="inlineStr">
        <is>
          <t>Inebrya Color Copper 8/4 Light Blonde Copper 100ml</t>
        </is>
      </c>
      <c r="C12161" t="inlineStr">
        <is>
          <t>Hair Dye</t>
        </is>
      </c>
      <c r="D12161" t="inlineStr">
        <is>
          <t>Inebrya</t>
        </is>
      </c>
      <c r="E12161" t="n">
        <v>7.25</v>
      </c>
      <c r="F12161" t="n">
        <v>1</v>
      </c>
      <c r="G12161" t="n">
        <v>4</v>
      </c>
      <c r="H12161" s="5">
        <f>HYPERLINK("https://api.qogita.com/variants/link/8033219162391/", "View Product")</f>
        <v/>
      </c>
    </row>
    <row r="12162">
      <c r="A12162" t="inlineStr">
        <is>
          <t>8033219162636</t>
        </is>
      </c>
      <c r="B12162" t="inlineStr">
        <is>
          <t>INEBRYA COLOR Permanent Hair Color Cream 100ml</t>
        </is>
      </c>
      <c r="C12162" t="inlineStr">
        <is>
          <t>Hair Dye</t>
        </is>
      </c>
      <c r="D12162" t="inlineStr">
        <is>
          <t>Inebrya</t>
        </is>
      </c>
      <c r="E12162" t="n">
        <v>7.25</v>
      </c>
      <c r="F12162" t="n">
        <v>1</v>
      </c>
      <c r="G12162" t="n">
        <v>5</v>
      </c>
      <c r="H12162" s="5">
        <f>HYPERLINK("https://api.qogita.com/variants/link/8033219162636/", "View Product")</f>
        <v/>
      </c>
    </row>
    <row r="12163">
      <c r="A12163" t="inlineStr">
        <is>
          <t>8033219163480</t>
        </is>
      </c>
      <c r="B12163" t="inlineStr">
        <is>
          <t>1S Perm for Natural Strong &amp; Thick Hair 500ml</t>
        </is>
      </c>
      <c r="C12163" t="inlineStr">
        <is>
          <t>Hair Care Sets</t>
        </is>
      </c>
      <c r="D12163" t="inlineStr">
        <is>
          <t>Inebrya</t>
        </is>
      </c>
      <c r="E12163" t="n">
        <v>12.15</v>
      </c>
      <c r="F12163" t="n">
        <v>1</v>
      </c>
      <c r="G12163" t="n">
        <v>2</v>
      </c>
      <c r="H12163" s="5">
        <f>HYPERLINK("https://api.qogita.com/variants/link/8033219163480/", "View Product")</f>
        <v/>
      </c>
    </row>
    <row r="12164">
      <c r="A12164" t="inlineStr">
        <is>
          <t>8033219163718</t>
        </is>
      </c>
      <c r="B12164" t="inlineStr">
        <is>
          <t>Inebrya Color Tropical 9/7 Very Light Blonde Brown Ash 100ml</t>
        </is>
      </c>
      <c r="C12164" t="inlineStr">
        <is>
          <t>Hair Dye</t>
        </is>
      </c>
      <c r="D12164" t="inlineStr">
        <is>
          <t>Inebrya</t>
        </is>
      </c>
      <c r="E12164" t="n">
        <v>7.25</v>
      </c>
      <c r="F12164" t="n">
        <v>1</v>
      </c>
      <c r="G12164" t="n">
        <v>5</v>
      </c>
      <c r="H12164" s="5">
        <f>HYPERLINK("https://api.qogita.com/variants/link/8033219163718/", "View Product")</f>
        <v/>
      </c>
    </row>
    <row r="12165">
      <c r="A12165" t="inlineStr">
        <is>
          <t>8033219164012</t>
        </is>
      </c>
      <c r="B12165" t="inlineStr">
        <is>
          <t>Inebrya Color Beige 8/13 Light Blonde Ash Golden 100ml</t>
        </is>
      </c>
      <c r="C12165" t="inlineStr">
        <is>
          <t>Hair Dye</t>
        </is>
      </c>
      <c r="D12165" t="inlineStr">
        <is>
          <t>Inebrya</t>
        </is>
      </c>
      <c r="E12165" t="n">
        <v>7.25</v>
      </c>
      <c r="F12165" t="n">
        <v>1</v>
      </c>
      <c r="G12165" t="n">
        <v>2</v>
      </c>
      <c r="H12165" s="5">
        <f>HYPERLINK("https://api.qogita.com/variants/link/8033219164012/", "View Product")</f>
        <v/>
      </c>
    </row>
    <row r="12166">
      <c r="A12166" t="inlineStr">
        <is>
          <t>8033406602099</t>
        </is>
      </c>
      <c r="B12166" t="inlineStr">
        <is>
          <t>Nobile 1942 Acqua Nobile Perfume Eau de Parfum 75ml White EU</t>
        </is>
      </c>
      <c r="C12166" t="inlineStr">
        <is>
          <t>Eau De Parfum</t>
        </is>
      </c>
      <c r="D12166" t="inlineStr">
        <is>
          <t>Nobile 1942</t>
        </is>
      </c>
      <c r="E12166" t="n">
        <v>69.7</v>
      </c>
      <c r="F12166" t="n">
        <v>1</v>
      </c>
      <c r="G12166" t="n">
        <v>2</v>
      </c>
      <c r="H12166" s="5">
        <f>HYPERLINK("https://api.qogita.com/variants/link/8033406602099/", "View Product")</f>
        <v/>
      </c>
    </row>
    <row r="12167">
      <c r="A12167" t="inlineStr">
        <is>
          <t>8033406602112</t>
        </is>
      </c>
      <c r="B12167" t="inlineStr">
        <is>
          <t>Noble 1942 Men's Extroverted FES101 Perfume 75ml</t>
        </is>
      </c>
      <c r="C12167" t="inlineStr">
        <is>
          <t>Eau De Parfum</t>
        </is>
      </c>
      <c r="D12167" t="inlineStr">
        <is>
          <t>Nobile 1942</t>
        </is>
      </c>
      <c r="E12167" t="n">
        <v>69.79000000000001</v>
      </c>
      <c r="F12167" t="n">
        <v>1</v>
      </c>
      <c r="G12167" t="n">
        <v>4</v>
      </c>
      <c r="H12167" s="5">
        <f>HYPERLINK("https://api.qogita.com/variants/link/8033406602112/", "View Product")</f>
        <v/>
      </c>
    </row>
    <row r="12168">
      <c r="A12168" t="inlineStr">
        <is>
          <t>8033406602914</t>
        </is>
      </c>
      <c r="B12168" t="inlineStr">
        <is>
          <t>Nobile 1942 Shamal Eau de Parfum 75ml Unisex Scent Fragrance Perfume</t>
        </is>
      </c>
      <c r="C12168" t="inlineStr">
        <is>
          <t>Eau De Parfum</t>
        </is>
      </c>
      <c r="D12168" t="inlineStr">
        <is>
          <t>Nobile 1942</t>
        </is>
      </c>
      <c r="E12168" t="n">
        <v>123.84</v>
      </c>
      <c r="F12168" t="n">
        <v>1</v>
      </c>
      <c r="G12168" t="n">
        <v>5</v>
      </c>
      <c r="H12168" s="5">
        <f>HYPERLINK("https://api.qogita.com/variants/link/8033406602914/", "View Product")</f>
        <v/>
      </c>
    </row>
    <row r="12169">
      <c r="A12169" t="inlineStr">
        <is>
          <t>8033406603973</t>
        </is>
      </c>
      <c r="B12169" t="inlineStr">
        <is>
          <t>Nobile 1942 Sand Castles Perfume 75ml</t>
        </is>
      </c>
      <c r="C12169" t="inlineStr">
        <is>
          <t>Eau De Parfum</t>
        </is>
      </c>
      <c r="D12169" t="inlineStr">
        <is>
          <t>Nobile 1942</t>
        </is>
      </c>
      <c r="E12169" t="n">
        <v>96.53</v>
      </c>
      <c r="F12169" t="n">
        <v>1</v>
      </c>
      <c r="G12169" t="n">
        <v>5</v>
      </c>
      <c r="H12169" s="5">
        <f>HYPERLINK("https://api.qogita.com/variants/link/8033406603973/", "View Product")</f>
        <v/>
      </c>
    </row>
    <row r="12170">
      <c r="A12170" t="inlineStr">
        <is>
          <t>8033488151539</t>
        </is>
      </c>
      <c r="B12170" t="inlineStr">
        <is>
          <t>Xerjoff Kobe Eau De Parfum Spray 50ml</t>
        </is>
      </c>
      <c r="C12170" t="inlineStr">
        <is>
          <t>Eau De Parfum</t>
        </is>
      </c>
      <c r="D12170" t="inlineStr">
        <is>
          <t>Xerjoff</t>
        </is>
      </c>
      <c r="E12170" t="n">
        <v>134.64</v>
      </c>
      <c r="F12170" t="n">
        <v>1</v>
      </c>
      <c r="G12170" t="n">
        <v>14</v>
      </c>
      <c r="H12170" s="5">
        <f>HYPERLINK("https://api.qogita.com/variants/link/8033488151539/", "View Product")</f>
        <v/>
      </c>
    </row>
    <row r="12171">
      <c r="A12171" t="inlineStr">
        <is>
          <t>8033488151973</t>
        </is>
      </c>
      <c r="B12171" t="inlineStr">
        <is>
          <t>Xerjoff Red Hoba Eau De Parfum Spray 100ml</t>
        </is>
      </c>
      <c r="C12171" t="inlineStr">
        <is>
          <t>Eau De Parfum</t>
        </is>
      </c>
      <c r="D12171" t="inlineStr">
        <is>
          <t>Xerjoff</t>
        </is>
      </c>
      <c r="E12171" t="n">
        <v>204.16</v>
      </c>
      <c r="F12171" t="n">
        <v>1</v>
      </c>
      <c r="G12171" t="n">
        <v>5</v>
      </c>
      <c r="H12171" s="5">
        <f>HYPERLINK("https://api.qogita.com/variants/link/8033488151973/", "View Product")</f>
        <v/>
      </c>
    </row>
    <row r="12172">
      <c r="A12172" t="inlineStr">
        <is>
          <t>8033488152864</t>
        </is>
      </c>
      <c r="B12172" t="inlineStr">
        <is>
          <t>Shooting Stars by Xerjoff Cruz Del Sur I Eau De Parfum Spray 50ml</t>
        </is>
      </c>
      <c r="C12172" t="inlineStr">
        <is>
          <t>Eau De Parfum</t>
        </is>
      </c>
      <c r="D12172" t="inlineStr">
        <is>
          <t>Xerjoff</t>
        </is>
      </c>
      <c r="E12172" t="n">
        <v>120.94</v>
      </c>
      <c r="F12172" t="n">
        <v>1</v>
      </c>
      <c r="G12172" t="n">
        <v>31</v>
      </c>
      <c r="H12172" s="5">
        <f>HYPERLINK("https://api.qogita.com/variants/link/8033488152864/", "View Product")</f>
        <v/>
      </c>
    </row>
    <row r="12173">
      <c r="A12173" t="inlineStr">
        <is>
          <t>8033488153465</t>
        </is>
      </c>
      <c r="B12173" t="inlineStr">
        <is>
          <t>Xerjoff Oud Stars Mamluk Eau De Parfum Spray 50ml</t>
        </is>
      </c>
      <c r="C12173" t="inlineStr">
        <is>
          <t>Eau De Parfum</t>
        </is>
      </c>
      <c r="D12173" t="inlineStr">
        <is>
          <t>Xerjoff</t>
        </is>
      </c>
      <c r="E12173" t="n">
        <v>146.71</v>
      </c>
      <c r="F12173" t="n">
        <v>1</v>
      </c>
      <c r="G12173" t="n">
        <v>3</v>
      </c>
      <c r="H12173" s="5">
        <f>HYPERLINK("https://api.qogita.com/variants/link/8033488153465/", "View Product")</f>
        <v/>
      </c>
    </row>
    <row r="12174">
      <c r="A12174" t="inlineStr">
        <is>
          <t>8033488153595</t>
        </is>
      </c>
      <c r="B12174" t="inlineStr">
        <is>
          <t>Casamorati 1888 Lira Eau De Parfum Spray 100ml By Casamorati</t>
        </is>
      </c>
      <c r="C12174" t="inlineStr">
        <is>
          <t>Eau De Parfum</t>
        </is>
      </c>
      <c r="D12174" t="inlineStr">
        <is>
          <t>Casamorati</t>
        </is>
      </c>
      <c r="E12174" t="n">
        <v>147.13</v>
      </c>
      <c r="F12174" t="n">
        <v>1</v>
      </c>
      <c r="G12174" t="n">
        <v>3</v>
      </c>
      <c r="H12174" s="5">
        <f>HYPERLINK("https://api.qogita.com/variants/link/8033488153595/", "View Product")</f>
        <v/>
      </c>
    </row>
    <row r="12175">
      <c r="A12175" t="inlineStr">
        <is>
          <t>8033488154493</t>
        </is>
      </c>
      <c r="B12175" t="inlineStr">
        <is>
          <t>Casamorati 1888 Gran Ballo Eau De Parfum Spray 30ml</t>
        </is>
      </c>
      <c r="C12175" t="inlineStr">
        <is>
          <t>Eau De Parfum</t>
        </is>
      </c>
      <c r="D12175" t="inlineStr">
        <is>
          <t>Casamorati</t>
        </is>
      </c>
      <c r="E12175" t="n">
        <v>59.63</v>
      </c>
      <c r="F12175" t="n">
        <v>1</v>
      </c>
      <c r="G12175" t="n">
        <v>2</v>
      </c>
      <c r="H12175" s="5">
        <f>HYPERLINK("https://api.qogita.com/variants/link/8033488154493/", "View Product")</f>
        <v/>
      </c>
    </row>
    <row r="12176">
      <c r="A12176" t="inlineStr">
        <is>
          <t>8033488154509</t>
        </is>
      </c>
      <c r="B12176" t="inlineStr">
        <is>
          <t>Xerjoff Casamorati 1888 Eau De Parfum Spray 30ml</t>
        </is>
      </c>
      <c r="C12176" t="inlineStr">
        <is>
          <t>Eau De Parfum</t>
        </is>
      </c>
      <c r="D12176" t="inlineStr">
        <is>
          <t>Xerjoff</t>
        </is>
      </c>
      <c r="E12176" t="n">
        <v>70.98999999999999</v>
      </c>
      <c r="F12176" t="n">
        <v>1</v>
      </c>
      <c r="G12176" t="n">
        <v>9</v>
      </c>
      <c r="H12176" s="5">
        <f>HYPERLINK("https://api.qogita.com/variants/link/8033488154509/", "View Product")</f>
        <v/>
      </c>
    </row>
    <row r="12177">
      <c r="A12177" t="inlineStr">
        <is>
          <t>8033488154530</t>
        </is>
      </c>
      <c r="B12177" t="inlineStr">
        <is>
          <t>Casamorati 1888 Fiore D'Ulivo Perfumed Water Spray 30ml</t>
        </is>
      </c>
      <c r="C12177" t="inlineStr">
        <is>
          <t>Eau De Parfum</t>
        </is>
      </c>
      <c r="D12177" t="inlineStr">
        <is>
          <t>Casamorati</t>
        </is>
      </c>
      <c r="E12177" t="n">
        <v>59.65</v>
      </c>
      <c r="F12177" t="n">
        <v>1</v>
      </c>
      <c r="G12177" t="n">
        <v>11</v>
      </c>
      <c r="H12177" s="5">
        <f>HYPERLINK("https://api.qogita.com/variants/link/8033488154530/", "View Product")</f>
        <v/>
      </c>
    </row>
    <row r="12178">
      <c r="A12178" t="inlineStr">
        <is>
          <t>8033488155087</t>
        </is>
      </c>
      <c r="B12178" t="inlineStr">
        <is>
          <t>Xerjoff 1861 Zefiro Eau De Parfum Spray 100ml</t>
        </is>
      </c>
      <c r="C12178" t="inlineStr">
        <is>
          <t>Eau De Parfum</t>
        </is>
      </c>
      <c r="D12178" t="inlineStr">
        <is>
          <t>Xerjoff</t>
        </is>
      </c>
      <c r="E12178" t="n">
        <v>129.23</v>
      </c>
      <c r="F12178" t="n">
        <v>1</v>
      </c>
      <c r="G12178" t="n">
        <v>67</v>
      </c>
      <c r="H12178" s="5">
        <f>HYPERLINK("https://api.qogita.com/variants/link/8033488155087/", "View Product")</f>
        <v/>
      </c>
    </row>
    <row r="12179">
      <c r="A12179" t="inlineStr">
        <is>
          <t>8033488155155</t>
        </is>
      </c>
      <c r="B12179" t="inlineStr">
        <is>
          <t>Xerjoff Join The Club 40 Knots Eau De Parfum Spray 100ml</t>
        </is>
      </c>
      <c r="C12179" t="inlineStr">
        <is>
          <t>Eau De Parfum</t>
        </is>
      </c>
      <c r="D12179" t="inlineStr">
        <is>
          <t>Xerjoff</t>
        </is>
      </c>
      <c r="E12179" t="n">
        <v>161.95</v>
      </c>
      <c r="F12179" t="n">
        <v>1</v>
      </c>
      <c r="G12179" t="n">
        <v>397</v>
      </c>
      <c r="H12179" s="5">
        <f>HYPERLINK("https://api.qogita.com/variants/link/8033488155155/", "View Product")</f>
        <v/>
      </c>
    </row>
    <row r="12180">
      <c r="A12180" t="inlineStr">
        <is>
          <t>8033488155162</t>
        </is>
      </c>
      <c r="B12180" t="inlineStr">
        <is>
          <t>Join The Club by Xerjoff Don Eau De Parfum Spray 50ml</t>
        </is>
      </c>
      <c r="C12180" t="inlineStr">
        <is>
          <t>Eau De Parfum</t>
        </is>
      </c>
      <c r="D12180" t="inlineStr">
        <is>
          <t>Xerjoff</t>
        </is>
      </c>
      <c r="E12180" t="n">
        <v>107</v>
      </c>
      <c r="F12180" t="n">
        <v>1</v>
      </c>
      <c r="G12180" t="n">
        <v>5</v>
      </c>
      <c r="H12180" s="5">
        <f>HYPERLINK("https://api.qogita.com/variants/link/8033488155162/", "View Product")</f>
        <v/>
      </c>
    </row>
    <row r="12181">
      <c r="A12181" t="inlineStr">
        <is>
          <t>8033488155179</t>
        </is>
      </c>
      <c r="B12181" t="inlineStr">
        <is>
          <t>Xerjoff Don Eau De Parfum Spray 100ml</t>
        </is>
      </c>
      <c r="C12181" t="inlineStr">
        <is>
          <t>Eau De Parfum</t>
        </is>
      </c>
      <c r="D12181" t="inlineStr">
        <is>
          <t>Xerjoff</t>
        </is>
      </c>
      <c r="E12181" t="n">
        <v>155.03</v>
      </c>
      <c r="F12181" t="n">
        <v>1</v>
      </c>
      <c r="G12181" t="n">
        <v>25</v>
      </c>
      <c r="H12181" s="5">
        <f>HYPERLINK("https://api.qogita.com/variants/link/8033488155179/", "View Product")</f>
        <v/>
      </c>
    </row>
    <row r="12182">
      <c r="A12182" t="inlineStr">
        <is>
          <t>8033488155520</t>
        </is>
      </c>
      <c r="B12182" t="inlineStr">
        <is>
          <t>Xerjoff 17/17 Damarose Eau De Parfum Spray 100ml</t>
        </is>
      </c>
      <c r="C12182" t="inlineStr">
        <is>
          <t>Eau De Parfum</t>
        </is>
      </c>
      <c r="D12182" t="inlineStr">
        <is>
          <t>Xerjoff</t>
        </is>
      </c>
      <c r="E12182" t="n">
        <v>302.45</v>
      </c>
      <c r="F12182" t="n">
        <v>1</v>
      </c>
      <c r="G12182" t="n">
        <v>5</v>
      </c>
      <c r="H12182" s="5">
        <f>HYPERLINK("https://api.qogita.com/variants/link/8033488155520/", "View Product")</f>
        <v/>
      </c>
    </row>
    <row r="12183">
      <c r="A12183" t="inlineStr">
        <is>
          <t>8033488157234</t>
        </is>
      </c>
      <c r="B12183" t="inlineStr">
        <is>
          <t>Xerjoff Oud Stars Ceylon Eau De Parfum Spray 50ml</t>
        </is>
      </c>
      <c r="C12183" t="inlineStr">
        <is>
          <t>Eau De Parfum</t>
        </is>
      </c>
      <c r="D12183" t="inlineStr">
        <is>
          <t>Xerjoff</t>
        </is>
      </c>
      <c r="E12183" t="n">
        <v>292.5</v>
      </c>
      <c r="F12183" t="n">
        <v>1</v>
      </c>
      <c r="G12183" t="n">
        <v>4</v>
      </c>
      <c r="H12183" s="5">
        <f>HYPERLINK("https://api.qogita.com/variants/link/8033488157234/", "View Product")</f>
        <v/>
      </c>
    </row>
    <row r="12184">
      <c r="A12184" t="inlineStr">
        <is>
          <t>8033488157784</t>
        </is>
      </c>
      <c r="B12184" t="inlineStr">
        <is>
          <t>Xerjoff Oud Stars Alexandria Orientale Eau De Parfum Spray 50ml</t>
        </is>
      </c>
      <c r="C12184" t="inlineStr">
        <is>
          <t>Eau De Parfum</t>
        </is>
      </c>
      <c r="D12184" t="inlineStr">
        <is>
          <t>Xerjoff</t>
        </is>
      </c>
      <c r="E12184" t="n">
        <v>175.64</v>
      </c>
      <c r="F12184" t="n">
        <v>1</v>
      </c>
      <c r="G12184" t="n">
        <v>12</v>
      </c>
      <c r="H12184" s="5">
        <f>HYPERLINK("https://api.qogita.com/variants/link/8033488157784/", "View Product")</f>
        <v/>
      </c>
    </row>
    <row r="12185">
      <c r="A12185" t="inlineStr">
        <is>
          <t>8033488157890</t>
        </is>
      </c>
      <c r="B12185" t="inlineStr">
        <is>
          <t>Xerjoff Golden Moka Parfum Spray 50ml</t>
        </is>
      </c>
      <c r="C12185" t="inlineStr">
        <is>
          <t>Eau De Parfum</t>
        </is>
      </c>
      <c r="D12185" t="inlineStr">
        <is>
          <t>Xerjoff</t>
        </is>
      </c>
      <c r="E12185" t="n">
        <v>130.71</v>
      </c>
      <c r="F12185" t="n">
        <v>1</v>
      </c>
      <c r="G12185" t="n">
        <v>6</v>
      </c>
      <c r="H12185" s="5">
        <f>HYPERLINK("https://api.qogita.com/variants/link/8033488157890/", "View Product")</f>
        <v/>
      </c>
    </row>
    <row r="12186">
      <c r="A12186" t="inlineStr">
        <is>
          <t>8033488157968</t>
        </is>
      </c>
      <c r="B12186" t="inlineStr">
        <is>
          <t>Xerjoff Allende Eau De Parfum Spray 50ml</t>
        </is>
      </c>
      <c r="C12186" t="inlineStr">
        <is>
          <t>Eau De Parfum</t>
        </is>
      </c>
      <c r="D12186" t="inlineStr">
        <is>
          <t>Xerjoff</t>
        </is>
      </c>
      <c r="E12186" t="n">
        <v>116.58</v>
      </c>
      <c r="F12186" t="n">
        <v>1</v>
      </c>
      <c r="G12186" t="n">
        <v>6</v>
      </c>
      <c r="H12186" s="5">
        <f>HYPERLINK("https://api.qogita.com/variants/link/8033488157968/", "View Product")</f>
        <v/>
      </c>
    </row>
    <row r="12187">
      <c r="A12187" t="inlineStr">
        <is>
          <t>8033488158026</t>
        </is>
      </c>
      <c r="B12187" t="inlineStr">
        <is>
          <t>Xerjoff K'Bridge Club Eau De Parfum Spray 50ml</t>
        </is>
      </c>
      <c r="C12187" t="inlineStr">
        <is>
          <t>Eau De Parfum</t>
        </is>
      </c>
      <c r="D12187" t="inlineStr">
        <is>
          <t>Xerjoff</t>
        </is>
      </c>
      <c r="E12187" t="n">
        <v>120.95</v>
      </c>
      <c r="F12187" t="n">
        <v>1</v>
      </c>
      <c r="G12187" t="n">
        <v>5</v>
      </c>
      <c r="H12187" s="5">
        <f>HYPERLINK("https://api.qogita.com/variants/link/8033488158026/", "View Product")</f>
        <v/>
      </c>
    </row>
    <row r="12188">
      <c r="A12188" t="inlineStr">
        <is>
          <t>8033488158163</t>
        </is>
      </c>
      <c r="B12188" t="inlineStr">
        <is>
          <t>Xerjoff Uden Overdose Eau De Parfum Spray 50ml</t>
        </is>
      </c>
      <c r="C12188" t="inlineStr">
        <is>
          <t>Eau De Parfum</t>
        </is>
      </c>
      <c r="D12188" t="inlineStr">
        <is>
          <t>Xerjoff</t>
        </is>
      </c>
      <c r="E12188" t="n">
        <v>143.7</v>
      </c>
      <c r="F12188" t="n">
        <v>1</v>
      </c>
      <c r="G12188" t="n">
        <v>100</v>
      </c>
      <c r="H12188" s="5">
        <f>HYPERLINK("https://api.qogita.com/variants/link/8033488158163/", "View Product")</f>
        <v/>
      </c>
    </row>
    <row r="12189">
      <c r="A12189" t="inlineStr">
        <is>
          <t>8033488159009</t>
        </is>
      </c>
      <c r="B12189" t="inlineStr">
        <is>
          <t>Xerjoff Velvet Collection Muse Eau De Parfum 50ml Unisex Spray</t>
        </is>
      </c>
      <c r="C12189" t="inlineStr">
        <is>
          <t>Eau De Parfum</t>
        </is>
      </c>
      <c r="D12189" t="inlineStr">
        <is>
          <t>Xerjoff</t>
        </is>
      </c>
      <c r="E12189" t="n">
        <v>112.09</v>
      </c>
      <c r="F12189" t="n">
        <v>1</v>
      </c>
      <c r="G12189" t="n">
        <v>2</v>
      </c>
      <c r="H12189" s="5">
        <f>HYPERLINK("https://api.qogita.com/variants/link/8033488159009/", "View Product")</f>
        <v/>
      </c>
    </row>
    <row r="12190">
      <c r="A12190" t="inlineStr">
        <is>
          <t>8034073607301</t>
        </is>
      </c>
      <c r="B12190" t="inlineStr">
        <is>
          <t>Millefiori Natural Water Soluble Fragrance Oil 15 Ml Legni E Fiori D'Arancio, Glass</t>
        </is>
      </c>
      <c r="C12190" t="inlineStr">
        <is>
          <t>Diffusers</t>
        </is>
      </c>
      <c r="D12190" t="inlineStr">
        <is>
          <t>Millefiori</t>
        </is>
      </c>
      <c r="E12190" t="n">
        <v>7.86</v>
      </c>
      <c r="F12190" t="n">
        <v>1</v>
      </c>
      <c r="G12190" t="n">
        <v>4</v>
      </c>
      <c r="H12190" s="5">
        <f>HYPERLINK("https://api.qogita.com/variants/link/8034073607301/", "View Product")</f>
        <v/>
      </c>
    </row>
    <row r="12191">
      <c r="A12191" t="inlineStr">
        <is>
          <t>8034097956010</t>
        </is>
      </c>
      <c r="B12191" t="inlineStr">
        <is>
          <t>Salvatore Ferragamo Incanto Bloom New Edition Eau De Toilette</t>
        </is>
      </c>
      <c r="C12191" t="inlineStr">
        <is>
          <t>Eau De Toilette</t>
        </is>
      </c>
      <c r="D12191" t="inlineStr">
        <is>
          <t>Salvatore Ferragamo</t>
        </is>
      </c>
      <c r="E12191" t="n">
        <v>12.26</v>
      </c>
      <c r="F12191" t="n">
        <v>1</v>
      </c>
      <c r="G12191" t="n">
        <v>14</v>
      </c>
      <c r="H12191" s="5">
        <f>HYPERLINK("https://api.qogita.com/variants/link/8034097956010/", "View Product")</f>
        <v/>
      </c>
    </row>
    <row r="12192">
      <c r="A12192" t="inlineStr">
        <is>
          <t>8034097956263</t>
        </is>
      </c>
      <c r="B12192" t="inlineStr">
        <is>
          <t>Salvatore Ferragamo Incanto Amity Eau De Toilette</t>
        </is>
      </c>
      <c r="C12192" t="inlineStr">
        <is>
          <t>Eau De Toilette</t>
        </is>
      </c>
      <c r="D12192" t="inlineStr">
        <is>
          <t>Salvatore Ferragamo</t>
        </is>
      </c>
      <c r="E12192" t="n">
        <v>10.75</v>
      </c>
      <c r="F12192" t="n">
        <v>1</v>
      </c>
      <c r="G12192" t="n">
        <v>9</v>
      </c>
      <c r="H12192" s="5">
        <f>HYPERLINK("https://api.qogita.com/variants/link/8034097956263/", "View Product")</f>
        <v/>
      </c>
    </row>
    <row r="12193">
      <c r="A12193" t="inlineStr">
        <is>
          <t>8034097957154</t>
        </is>
      </c>
      <c r="B12193" t="inlineStr">
        <is>
          <t>Ungaro Feminin Eau De Toilette Spray 90ml</t>
        </is>
      </c>
      <c r="C12193" t="inlineStr">
        <is>
          <t>Eau De Toilette</t>
        </is>
      </c>
      <c r="D12193" t="inlineStr">
        <is>
          <t>Emanuel Ungaro</t>
        </is>
      </c>
      <c r="E12193" t="n">
        <v>15.64</v>
      </c>
      <c r="F12193" t="n">
        <v>1</v>
      </c>
      <c r="G12193" t="n">
        <v>2</v>
      </c>
      <c r="H12193" s="5">
        <f>HYPERLINK("https://api.qogita.com/variants/link/8034097957154/", "View Product")</f>
        <v/>
      </c>
    </row>
    <row r="12194">
      <c r="A12194" t="inlineStr">
        <is>
          <t>8034097959547</t>
        </is>
      </c>
      <c r="B12194" t="inlineStr">
        <is>
          <t>Incanto Heaven Golden Petals Edition EDT - Women's Perfume</t>
        </is>
      </c>
      <c r="C12194" t="inlineStr">
        <is>
          <t>Eau De Toilette</t>
        </is>
      </c>
      <c r="D12194" t="inlineStr">
        <is>
          <t>Salvatore Ferragamo</t>
        </is>
      </c>
      <c r="E12194" t="n">
        <v>9.1</v>
      </c>
      <c r="F12194" t="n">
        <v>1</v>
      </c>
      <c r="G12194" t="n">
        <v>18</v>
      </c>
      <c r="H12194" s="5">
        <f>HYPERLINK("https://api.qogita.com/variants/link/8034097959547/", "View Product")</f>
        <v/>
      </c>
    </row>
    <row r="12195">
      <c r="A12195" t="inlineStr">
        <is>
          <t>8034097959752</t>
        </is>
      </c>
      <c r="B12195" t="inlineStr">
        <is>
          <t>Salvatore Ferragamo Signorina Misteriosa Shower Gel 200ml</t>
        </is>
      </c>
      <c r="C12195" t="inlineStr">
        <is>
          <t>Shower Gel</t>
        </is>
      </c>
      <c r="D12195" t="inlineStr">
        <is>
          <t>Salvatore Ferragamo</t>
        </is>
      </c>
      <c r="E12195" t="n">
        <v>12.44</v>
      </c>
      <c r="F12195" t="n">
        <v>1</v>
      </c>
      <c r="G12195" t="n">
        <v>3</v>
      </c>
      <c r="H12195" s="5">
        <f>HYPERLINK("https://api.qogita.com/variants/link/8034097959752/", "View Product")</f>
        <v/>
      </c>
    </row>
    <row r="12196">
      <c r="A12196" t="inlineStr">
        <is>
          <t>8034097959882</t>
        </is>
      </c>
      <c r="B12196" t="inlineStr">
        <is>
          <t>Salvatore Ferragamo Signorina In Fiore Eau De Toilette Spray 50ml</t>
        </is>
      </c>
      <c r="C12196" t="inlineStr">
        <is>
          <t>Eau De Toilette</t>
        </is>
      </c>
      <c r="D12196" t="inlineStr">
        <is>
          <t>Salvatore Ferragamo</t>
        </is>
      </c>
      <c r="E12196" t="n">
        <v>31.34</v>
      </c>
      <c r="F12196" t="n">
        <v>1</v>
      </c>
      <c r="G12196" t="n">
        <v>3</v>
      </c>
      <c r="H12196" s="5">
        <f>HYPERLINK("https://api.qogita.com/variants/link/8034097959882/", "View Product")</f>
        <v/>
      </c>
    </row>
    <row r="12197">
      <c r="A12197" t="inlineStr">
        <is>
          <t>8050444858233</t>
        </is>
      </c>
      <c r="B12197" t="inlineStr">
        <is>
          <t>Rilastil Xerolact Pb Antiirritation Relipidising Balm 400ml For Dry And Very Dry Skin</t>
        </is>
      </c>
      <c r="C12197" t="inlineStr">
        <is>
          <t>Body Lotion</t>
        </is>
      </c>
      <c r="D12197" t="inlineStr">
        <is>
          <t>Rilastil</t>
        </is>
      </c>
      <c r="E12197" t="n">
        <v>27.28</v>
      </c>
      <c r="F12197" t="n">
        <v>1</v>
      </c>
      <c r="G12197" t="n">
        <v>5</v>
      </c>
      <c r="H12197" s="5">
        <f>HYPERLINK("https://api.qogita.com/variants/link/8050444858233/", "View Product")</f>
        <v/>
      </c>
    </row>
    <row r="12198">
      <c r="A12198" t="inlineStr">
        <is>
          <t>8050444858776</t>
        </is>
      </c>
      <c r="B12198" t="inlineStr">
        <is>
          <t>Rilastil Xerolact Cleansing Gel For Very Dry Skin 200ml</t>
        </is>
      </c>
      <c r="C12198" t="inlineStr">
        <is>
          <t>Cleansing Gel</t>
        </is>
      </c>
      <c r="D12198" t="inlineStr">
        <is>
          <t>Rilastil</t>
        </is>
      </c>
      <c r="E12198" t="n">
        <v>12.56</v>
      </c>
      <c r="F12198" t="n">
        <v>1</v>
      </c>
      <c r="G12198" t="n">
        <v>2</v>
      </c>
      <c r="H12198" s="5">
        <f>HYPERLINK("https://api.qogita.com/variants/link/8050444858776/", "View Product")</f>
        <v/>
      </c>
    </row>
    <row r="12199">
      <c r="A12199" t="inlineStr">
        <is>
          <t>8051277311469</t>
        </is>
      </c>
      <c r="B12199" t="inlineStr">
        <is>
          <t>Moresque Diadema Eau De Parfum 50ml</t>
        </is>
      </c>
      <c r="C12199" t="inlineStr">
        <is>
          <t>Eau De Parfum</t>
        </is>
      </c>
      <c r="D12199" t="inlineStr">
        <is>
          <t>Moresque Parfum</t>
        </is>
      </c>
      <c r="E12199" t="n">
        <v>88.16</v>
      </c>
      <c r="F12199" t="n">
        <v>1</v>
      </c>
      <c r="G12199" t="n">
        <v>3</v>
      </c>
      <c r="H12199" s="5">
        <f>HYPERLINK("https://api.qogita.com/variants/link/8051277311469/", "View Product")</f>
        <v/>
      </c>
    </row>
    <row r="12200">
      <c r="A12200" t="inlineStr">
        <is>
          <t>8051277312428</t>
        </is>
      </c>
      <c r="B12200" t="inlineStr">
        <is>
          <t>Blend Oud Oud Al Emarat Eau de Parfum Spray 2.5 oz</t>
        </is>
      </c>
      <c r="C12200" t="inlineStr">
        <is>
          <t>Eau De Parfum</t>
        </is>
      </c>
      <c r="D12200" t="inlineStr">
        <is>
          <t>Blend Oud</t>
        </is>
      </c>
      <c r="E12200" t="n">
        <v>73.06</v>
      </c>
      <c r="F12200" t="n">
        <v>1</v>
      </c>
      <c r="G12200" t="n">
        <v>5</v>
      </c>
      <c r="H12200" s="5">
        <f>HYPERLINK("https://api.qogita.com/variants/link/8051277312428/", "View Product")</f>
        <v/>
      </c>
    </row>
    <row r="12201">
      <c r="A12201" t="inlineStr">
        <is>
          <t>8051277312459</t>
        </is>
      </c>
      <c r="B12201" t="inlineStr">
        <is>
          <t>Blend Oud Original Collection Rams EDP 75ml</t>
        </is>
      </c>
      <c r="C12201" t="inlineStr">
        <is>
          <t>Eau De Parfum</t>
        </is>
      </c>
      <c r="D12201" t="inlineStr">
        <is>
          <t>Blend Oud</t>
        </is>
      </c>
      <c r="E12201" t="n">
        <v>71.36</v>
      </c>
      <c r="F12201" t="n">
        <v>1</v>
      </c>
      <c r="G12201" t="n">
        <v>8</v>
      </c>
      <c r="H12201" s="5">
        <f>HYPERLINK("https://api.qogita.com/variants/link/8051277312459/", "View Product")</f>
        <v/>
      </c>
    </row>
    <row r="12202">
      <c r="A12202" t="inlineStr">
        <is>
          <t>8051277312480</t>
        </is>
      </c>
      <c r="B12202" t="inlineStr">
        <is>
          <t>Blend Oud Eau de Parfum Spray 2.5 oz</t>
        </is>
      </c>
      <c r="C12202" t="inlineStr">
        <is>
          <t>Eau De Parfum</t>
        </is>
      </c>
      <c r="D12202" t="inlineStr">
        <is>
          <t>Blend Oud</t>
        </is>
      </c>
      <c r="E12202" t="n">
        <v>71.45</v>
      </c>
      <c r="F12202" t="n">
        <v>1</v>
      </c>
      <c r="G12202" t="n">
        <v>2</v>
      </c>
      <c r="H12202" s="5">
        <f>HYPERLINK("https://api.qogita.com/variants/link/8051277312480/", "View Product")</f>
        <v/>
      </c>
    </row>
    <row r="12203">
      <c r="A12203" t="inlineStr">
        <is>
          <t>8051277315450</t>
        </is>
      </c>
      <c r="B12203" t="inlineStr">
        <is>
          <t>Moresque Fiore Di Portofino Eau De Parfum Spray 50ml</t>
        </is>
      </c>
      <c r="C12203" t="inlineStr">
        <is>
          <t>Eau De Parfum</t>
        </is>
      </c>
      <c r="D12203" t="inlineStr">
        <is>
          <t>Moresque</t>
        </is>
      </c>
      <c r="E12203" t="n">
        <v>103.71</v>
      </c>
      <c r="F12203" t="n">
        <v>1</v>
      </c>
      <c r="G12203" t="n">
        <v>5</v>
      </c>
      <c r="H12203" s="5">
        <f>HYPERLINK("https://api.qogita.com/variants/link/8051277315450/", "View Product")</f>
        <v/>
      </c>
    </row>
    <row r="12204">
      <c r="A12204" t="inlineStr">
        <is>
          <t>8051417009614</t>
        </is>
      </c>
      <c r="B12204" t="inlineStr">
        <is>
          <t>Oxy-Treat Night Cream For Skin Tightening</t>
        </is>
      </c>
      <c r="C12204" t="inlineStr">
        <is>
          <t>Night Cream</t>
        </is>
      </c>
      <c r="D12204" t="inlineStr">
        <is>
          <t>Oxytreat</t>
        </is>
      </c>
      <c r="E12204" t="n">
        <v>45.56</v>
      </c>
      <c r="F12204" t="n">
        <v>1</v>
      </c>
      <c r="G12204" t="n">
        <v>4</v>
      </c>
      <c r="H12204" s="5">
        <f>HYPERLINK("https://api.qogita.com/variants/link/8051417009614/", "View Product")</f>
        <v/>
      </c>
    </row>
    <row r="12205">
      <c r="A12205" t="inlineStr">
        <is>
          <t>8051772711733</t>
        </is>
      </c>
      <c r="B12205" t="inlineStr">
        <is>
          <t>Beper Digital Personal Scale With Fat And Water Measurement A</t>
        </is>
      </c>
      <c r="C12205" t="inlineStr">
        <is>
          <t>Weight Loss</t>
        </is>
      </c>
      <c r="D12205" t="inlineStr">
        <is>
          <t>Beper</t>
        </is>
      </c>
      <c r="E12205" t="n">
        <v>17.39</v>
      </c>
      <c r="F12205" t="n">
        <v>1</v>
      </c>
      <c r="G12205" t="n">
        <v>2</v>
      </c>
      <c r="H12205" s="5">
        <f>HYPERLINK("https://api.qogita.com/variants/link/8051772711733/", "View Product")</f>
        <v/>
      </c>
    </row>
    <row r="12206">
      <c r="A12206" t="inlineStr">
        <is>
          <t>8051772716981</t>
        </is>
      </c>
      <c r="B12206" t="inlineStr">
        <is>
          <t>Beper Lady B 40450go Ceramic Hair Straightener</t>
        </is>
      </c>
      <c r="C12206" t="inlineStr">
        <is>
          <t>Hair Straighteners</t>
        </is>
      </c>
      <c r="D12206" t="inlineStr">
        <is>
          <t>Beper</t>
        </is>
      </c>
      <c r="E12206" t="n">
        <v>19.8</v>
      </c>
      <c r="F12206" t="n">
        <v>1</v>
      </c>
      <c r="G12206" t="n">
        <v>2</v>
      </c>
      <c r="H12206" s="5">
        <f>HYPERLINK("https://api.qogita.com/variants/link/8051772716981/", "View Product")</f>
        <v/>
      </c>
    </row>
    <row r="12207">
      <c r="A12207" t="inlineStr">
        <is>
          <t>8051772718770</t>
        </is>
      </c>
      <c r="B12207" t="inlineStr">
        <is>
          <t>Beper Digital Personal Touch Glass Scale Up To 150 Kg</t>
        </is>
      </c>
      <c r="C12207" t="inlineStr">
        <is>
          <t>Biometric Monitors &amp; Accessories</t>
        </is>
      </c>
      <c r="D12207" t="inlineStr">
        <is>
          <t>Beper</t>
        </is>
      </c>
      <c r="E12207" t="n">
        <v>13.93</v>
      </c>
      <c r="F12207" t="n">
        <v>1</v>
      </c>
      <c r="G12207" t="n">
        <v>2</v>
      </c>
      <c r="H12207" s="5">
        <f>HYPERLINK("https://api.qogita.com/variants/link/8051772718770/", "View Product")</f>
        <v/>
      </c>
    </row>
    <row r="12208">
      <c r="A12208" t="inlineStr">
        <is>
          <t>8051938692357</t>
        </is>
      </c>
      <c r="B12208" t="inlineStr">
        <is>
          <t>Millefiori Lime &amp; Vetiver Water Soluble Diffuser 15ml 7FILR</t>
        </is>
      </c>
      <c r="C12208" t="inlineStr">
        <is>
          <t>Diffusers</t>
        </is>
      </c>
      <c r="D12208" t="inlineStr">
        <is>
          <t>Millefiori</t>
        </is>
      </c>
      <c r="E12208" t="n">
        <v>7.86</v>
      </c>
      <c r="F12208" t="n">
        <v>1</v>
      </c>
      <c r="G12208" t="n">
        <v>10</v>
      </c>
      <c r="H12208" s="5">
        <f>HYPERLINK("https://api.qogita.com/variants/link/8051938692357/", "View Product")</f>
        <v/>
      </c>
    </row>
    <row r="12209">
      <c r="A12209" t="inlineStr">
        <is>
          <t>8051938697963</t>
        </is>
      </c>
      <c r="B12209" t="inlineStr">
        <is>
          <t>Millefiori Icon Cold Water car air freshener - 1 piece</t>
        </is>
      </c>
      <c r="C12209" t="inlineStr">
        <is>
          <t>Diffusers</t>
        </is>
      </c>
      <c r="D12209" t="inlineStr">
        <is>
          <t>Millefiori</t>
        </is>
      </c>
      <c r="E12209" t="n">
        <v>8.130000000000001</v>
      </c>
      <c r="F12209" t="n">
        <v>1</v>
      </c>
      <c r="G12209" t="n">
        <v>2</v>
      </c>
      <c r="H12209" s="5">
        <f>HYPERLINK("https://api.qogita.com/variants/link/8051938697963/", "View Product")</f>
        <v/>
      </c>
    </row>
    <row r="12210">
      <c r="A12210" t="inlineStr">
        <is>
          <t>8051938698083</t>
        </is>
      </c>
      <c r="B12210" t="inlineStr">
        <is>
          <t>Millefiori Icon Wood &amp; Spices car deodorant - 1 piece</t>
        </is>
      </c>
      <c r="C12210" t="inlineStr">
        <is>
          <t>Diffusers</t>
        </is>
      </c>
      <c r="D12210" t="inlineStr">
        <is>
          <t>Millefiori</t>
        </is>
      </c>
      <c r="E12210" t="n">
        <v>8.130000000000001</v>
      </c>
      <c r="F12210" t="n">
        <v>1</v>
      </c>
      <c r="G12210" t="n">
        <v>21</v>
      </c>
      <c r="H12210" s="5">
        <f>HYPERLINK("https://api.qogita.com/variants/link/8051938698083/", "View Product")</f>
        <v/>
      </c>
    </row>
    <row r="12211">
      <c r="A12211" t="inlineStr">
        <is>
          <t>8052086375185</t>
        </is>
      </c>
      <c r="B12211" t="inlineStr">
        <is>
          <t>Tuscan Creations Viola Essenziale Perfumed Water Spray 100ml</t>
        </is>
      </c>
      <c r="C12211" t="inlineStr">
        <is>
          <t>Eau De Parfum</t>
        </is>
      </c>
      <c r="D12211" t="inlineStr">
        <is>
          <t>Tuscan Creations</t>
        </is>
      </c>
      <c r="E12211" t="n">
        <v>67.91</v>
      </c>
      <c r="F12211" t="n">
        <v>1</v>
      </c>
      <c r="G12211" t="n">
        <v>4</v>
      </c>
      <c r="H12211" s="5">
        <f>HYPERLINK("https://api.qogita.com/variants/link/8052086375185/", "View Product")</f>
        <v/>
      </c>
    </row>
    <row r="12212">
      <c r="A12212" t="inlineStr">
        <is>
          <t>8052086375208</t>
        </is>
      </c>
      <c r="B12212" t="inlineStr">
        <is>
          <t>Tuscan Creations Vendemmia Perfumed Water Spray 100ml</t>
        </is>
      </c>
      <c r="C12212" t="inlineStr">
        <is>
          <t>Eau De Parfum</t>
        </is>
      </c>
      <c r="D12212" t="inlineStr">
        <is>
          <t>Tuscan Creations</t>
        </is>
      </c>
      <c r="E12212" t="n">
        <v>67.45</v>
      </c>
      <c r="F12212" t="n">
        <v>1</v>
      </c>
      <c r="G12212" t="n">
        <v>8</v>
      </c>
      <c r="H12212" s="5">
        <f>HYPERLINK("https://api.qogita.com/variants/link/8052086375208/", "View Product")</f>
        <v/>
      </c>
    </row>
    <row r="12213">
      <c r="A12213" t="inlineStr">
        <is>
          <t>8052086378087</t>
        </is>
      </c>
      <c r="B12213" t="inlineStr">
        <is>
          <t>Salvatore Ferragamo Gentil Suono Eau De Parfum Spray 100ml</t>
        </is>
      </c>
      <c r="C12213" t="inlineStr">
        <is>
          <t>Eau De Parfum</t>
        </is>
      </c>
      <c r="D12213" t="inlineStr">
        <is>
          <t>Salvatore Ferragamo</t>
        </is>
      </c>
      <c r="E12213" t="n">
        <v>71.48999999999999</v>
      </c>
      <c r="F12213" t="n">
        <v>1</v>
      </c>
      <c r="G12213" t="n">
        <v>2</v>
      </c>
      <c r="H12213" s="5">
        <f>HYPERLINK("https://api.qogita.com/variants/link/8052086378087/", "View Product")</f>
        <v/>
      </c>
    </row>
    <row r="12214">
      <c r="A12214" t="inlineStr">
        <is>
          <t>8052086378834</t>
        </is>
      </c>
      <c r="B12214" t="inlineStr">
        <is>
          <t>Salvatore Ferragamo Amo Ferragamo Per Lei Eau de Parfum 50ml</t>
        </is>
      </c>
      <c r="C12214" t="inlineStr">
        <is>
          <t>Eau De Parfum</t>
        </is>
      </c>
      <c r="D12214" t="inlineStr">
        <is>
          <t>Salvatore Ferragamo</t>
        </is>
      </c>
      <c r="E12214" t="n">
        <v>37.03</v>
      </c>
      <c r="F12214" t="n">
        <v>1</v>
      </c>
      <c r="G12214" t="n">
        <v>4</v>
      </c>
      <c r="H12214" s="5">
        <f>HYPERLINK("https://api.qogita.com/variants/link/8052086378834/", "View Product")</f>
        <v/>
      </c>
    </row>
    <row r="12215">
      <c r="A12215" t="inlineStr">
        <is>
          <t>8052204136230</t>
        </is>
      </c>
      <c r="B12215" t="inlineStr">
        <is>
          <t>Gritti Women Parfum Rebrode 3.4 Oz</t>
        </is>
      </c>
      <c r="C12215" t="inlineStr">
        <is>
          <t>Eau De Parfum</t>
        </is>
      </c>
      <c r="D12215" t="inlineStr">
        <is>
          <t>Gritti</t>
        </is>
      </c>
      <c r="E12215" t="n">
        <v>76.09</v>
      </c>
      <c r="F12215" t="n">
        <v>1</v>
      </c>
      <c r="G12215" t="n">
        <v>5</v>
      </c>
      <c r="H12215" s="5">
        <f>HYPERLINK("https://api.qogita.com/variants/link/8052204136230/", "View Product")</f>
        <v/>
      </c>
    </row>
    <row r="12216">
      <c r="A12216" t="inlineStr">
        <is>
          <t>8052464890309</t>
        </is>
      </c>
      <c r="B12216" t="inlineStr">
        <is>
          <t>Salvatore Ferragamo Giardini Di Seta Eau De Parfum 50ml</t>
        </is>
      </c>
      <c r="C12216" t="inlineStr">
        <is>
          <t>Eau De Parfum</t>
        </is>
      </c>
      <c r="D12216" t="inlineStr">
        <is>
          <t>Salvatore Ferragamo</t>
        </is>
      </c>
      <c r="E12216" t="n">
        <v>23.52</v>
      </c>
      <c r="F12216" t="n">
        <v>1</v>
      </c>
      <c r="G12216" t="n">
        <v>19</v>
      </c>
      <c r="H12216" s="5">
        <f>HYPERLINK("https://api.qogita.com/variants/link/8052464890309/", "View Product")</f>
        <v/>
      </c>
    </row>
    <row r="12217">
      <c r="A12217" t="inlineStr">
        <is>
          <t>8052464890323</t>
        </is>
      </c>
      <c r="B12217" t="inlineStr">
        <is>
          <t>Salvatore Ferragamo Giungle Di Seta Eau De Parfum 50ml</t>
        </is>
      </c>
      <c r="C12217" t="inlineStr">
        <is>
          <t>Eau De Parfum</t>
        </is>
      </c>
      <c r="D12217" t="inlineStr">
        <is>
          <t>Salvatore Ferragamo</t>
        </is>
      </c>
      <c r="E12217" t="n">
        <v>33.96</v>
      </c>
      <c r="F12217" t="n">
        <v>1</v>
      </c>
      <c r="G12217" t="n">
        <v>2</v>
      </c>
      <c r="H12217" s="5">
        <f>HYPERLINK("https://api.qogita.com/variants/link/8052464890323/", "View Product")</f>
        <v/>
      </c>
    </row>
    <row r="12218">
      <c r="A12218" t="inlineStr">
        <is>
          <t>8052464891061</t>
        </is>
      </c>
      <c r="B12218" t="inlineStr">
        <is>
          <t>Emanuel Ungaro For Her Intense Eau De Parfum 100ml</t>
        </is>
      </c>
      <c r="C12218" t="inlineStr">
        <is>
          <t>Eau De Parfum</t>
        </is>
      </c>
      <c r="D12218" t="inlineStr">
        <is>
          <t>Emanuel Ungaro</t>
        </is>
      </c>
      <c r="E12218" t="n">
        <v>15.01</v>
      </c>
      <c r="F12218" t="n">
        <v>1</v>
      </c>
      <c r="G12218" t="n">
        <v>22</v>
      </c>
      <c r="H12218" s="5">
        <f>HYPERLINK("https://api.qogita.com/variants/link/8052464891061/", "View Product")</f>
        <v/>
      </c>
    </row>
    <row r="12219">
      <c r="A12219" t="inlineStr">
        <is>
          <t>8052464891313</t>
        </is>
      </c>
      <c r="B12219" t="inlineStr">
        <is>
          <t>Salvatore Ferragamo Signorina Eau De Parfum Spray 30ml</t>
        </is>
      </c>
      <c r="C12219" t="inlineStr">
        <is>
          <t>Eau De Parfum</t>
        </is>
      </c>
      <c r="D12219" t="inlineStr">
        <is>
          <t>Salvatore Ferragamo</t>
        </is>
      </c>
      <c r="E12219" t="n">
        <v>19.57</v>
      </c>
      <c r="F12219" t="n">
        <v>1</v>
      </c>
      <c r="G12219" t="n">
        <v>16</v>
      </c>
      <c r="H12219" s="5">
        <f>HYPERLINK("https://api.qogita.com/variants/link/8052464891313/", "View Product")</f>
        <v/>
      </c>
    </row>
    <row r="12220">
      <c r="A12220" t="inlineStr">
        <is>
          <t>8052464891504</t>
        </is>
      </c>
      <c r="B12220" t="inlineStr">
        <is>
          <t>Salvatore Ferragamo Signorina Eleganza Eau De Parfum 100ml - Pink</t>
        </is>
      </c>
      <c r="C12220" t="inlineStr">
        <is>
          <t>Eau De Parfum</t>
        </is>
      </c>
      <c r="D12220" t="inlineStr">
        <is>
          <t>Salvatore Ferragamo</t>
        </is>
      </c>
      <c r="E12220" t="n">
        <v>33.1</v>
      </c>
      <c r="F12220" t="n">
        <v>1</v>
      </c>
      <c r="G12220" t="n">
        <v>25</v>
      </c>
      <c r="H12220" s="5">
        <f>HYPERLINK("https://api.qogita.com/variants/link/8052464891504/", "View Product")</f>
        <v/>
      </c>
    </row>
    <row r="12221">
      <c r="A12221" t="inlineStr">
        <is>
          <t>8052464891856</t>
        </is>
      </c>
      <c r="B12221" t="inlineStr">
        <is>
          <t>Salvatore Ferragamo Cieli Di Seta Eau De Parfum Spray 50ml</t>
        </is>
      </c>
      <c r="C12221" t="inlineStr">
        <is>
          <t>Eau De Parfum</t>
        </is>
      </c>
      <c r="D12221" t="inlineStr">
        <is>
          <t>Salvatore Ferragamo</t>
        </is>
      </c>
      <c r="E12221" t="n">
        <v>24.83</v>
      </c>
      <c r="F12221" t="n">
        <v>1</v>
      </c>
      <c r="G12221" t="n">
        <v>25</v>
      </c>
      <c r="H12221" s="5">
        <f>HYPERLINK("https://api.qogita.com/variants/link/8052464891856/", "View Product")</f>
        <v/>
      </c>
    </row>
    <row r="12222">
      <c r="A12222" t="inlineStr">
        <is>
          <t>8052464891863</t>
        </is>
      </c>
      <c r="B12222" t="inlineStr">
        <is>
          <t>Salvatore Ferragamo Cieli Di Seta Eau De Parfum 100ml</t>
        </is>
      </c>
      <c r="C12222" t="inlineStr">
        <is>
          <t>Eau De Parfum</t>
        </is>
      </c>
      <c r="D12222" t="inlineStr">
        <is>
          <t>Salvatore Ferragamo</t>
        </is>
      </c>
      <c r="E12222" t="n">
        <v>28.48</v>
      </c>
      <c r="F12222" t="n">
        <v>1</v>
      </c>
      <c r="G12222" t="n">
        <v>13</v>
      </c>
      <c r="H12222" s="5">
        <f>HYPERLINK("https://api.qogita.com/variants/link/8052464891863/", "View Product")</f>
        <v/>
      </c>
    </row>
    <row r="12223">
      <c r="A12223" t="inlineStr">
        <is>
          <t>8052464893607</t>
        </is>
      </c>
      <c r="B12223" t="inlineStr">
        <is>
          <t>Ungaro Diva Rouge Eau De Parfum Spray 100ml</t>
        </is>
      </c>
      <c r="C12223" t="inlineStr">
        <is>
          <t>Eau De Parfum</t>
        </is>
      </c>
      <c r="D12223" t="inlineStr">
        <is>
          <t>Emanuel Ungaro</t>
        </is>
      </c>
      <c r="E12223" t="n">
        <v>18.82</v>
      </c>
      <c r="F12223" t="n">
        <v>1</v>
      </c>
      <c r="G12223" t="n">
        <v>49</v>
      </c>
      <c r="H12223" s="5">
        <f>HYPERLINK("https://api.qogita.com/variants/link/8052464893607/", "View Product")</f>
        <v/>
      </c>
    </row>
    <row r="12224">
      <c r="A12224" t="inlineStr">
        <is>
          <t>8052464893638</t>
        </is>
      </c>
      <c r="B12224" t="inlineStr">
        <is>
          <t>Ungaro Diva Eau De Parfum Spray 100ml</t>
        </is>
      </c>
      <c r="C12224" t="inlineStr">
        <is>
          <t>Eau De Parfum</t>
        </is>
      </c>
      <c r="D12224" t="inlineStr">
        <is>
          <t>Emanuel Ungaro</t>
        </is>
      </c>
      <c r="E12224" t="n">
        <v>25.19</v>
      </c>
      <c r="F12224" t="n">
        <v>1</v>
      </c>
      <c r="G12224" t="n">
        <v>18</v>
      </c>
      <c r="H12224" s="5">
        <f>HYPERLINK("https://api.qogita.com/variants/link/8052464893638/", "View Product")</f>
        <v/>
      </c>
    </row>
    <row r="12225">
      <c r="A12225" t="inlineStr">
        <is>
          <t>8052464894130</t>
        </is>
      </c>
      <c r="B12225" t="inlineStr">
        <is>
          <t>Emanuel Ungaro Radiant Petals BOR W 125 ml - Women's Fragrance</t>
        </is>
      </c>
      <c r="C12225" t="inlineStr">
        <is>
          <t>Eau De Parfum</t>
        </is>
      </c>
      <c r="D12225" t="inlineStr">
        <is>
          <t>Emanuel Ungaro</t>
        </is>
      </c>
      <c r="E12225" t="n">
        <v>7.32</v>
      </c>
      <c r="F12225" t="n">
        <v>1</v>
      </c>
      <c r="G12225" t="n">
        <v>6</v>
      </c>
      <c r="H12225" s="5">
        <f>HYPERLINK("https://api.qogita.com/variants/link/8052464894130/", "View Product")</f>
        <v/>
      </c>
    </row>
    <row r="12226">
      <c r="A12226" t="inlineStr">
        <is>
          <t>8052464895649</t>
        </is>
      </c>
      <c r="B12226" t="inlineStr">
        <is>
          <t>Salvatore Ferragamo Intense Leather Eau De Parfum Spray</t>
        </is>
      </c>
      <c r="C12226" t="inlineStr">
        <is>
          <t>Eau De Parfum</t>
        </is>
      </c>
      <c r="D12226" t="inlineStr">
        <is>
          <t>Salvatore Ferragamo</t>
        </is>
      </c>
      <c r="E12226" t="n">
        <v>44.79</v>
      </c>
      <c r="F12226" t="n">
        <v>1</v>
      </c>
      <c r="G12226" t="n">
        <v>17</v>
      </c>
      <c r="H12226" s="5">
        <f>HYPERLINK("https://api.qogita.com/variants/link/8052464895649/", "View Product")</f>
        <v/>
      </c>
    </row>
    <row r="12227">
      <c r="A12227" t="inlineStr">
        <is>
          <t>8052464896028</t>
        </is>
      </c>
      <c r="B12227" t="inlineStr">
        <is>
          <t>Salvatore Ferragamo Red Leather Pour Homme Eau De Parfum 100ml</t>
        </is>
      </c>
      <c r="C12227" t="inlineStr">
        <is>
          <t>Eau De Parfum</t>
        </is>
      </c>
      <c r="D12227" t="inlineStr">
        <is>
          <t>Salvatore Ferragamo</t>
        </is>
      </c>
      <c r="E12227" t="n">
        <v>36.61</v>
      </c>
      <c r="F12227" t="n">
        <v>1</v>
      </c>
      <c r="G12227" t="n">
        <v>13</v>
      </c>
      <c r="H12227" s="5">
        <f>HYPERLINK("https://api.qogita.com/variants/link/8052464896028/", "View Product")</f>
        <v/>
      </c>
    </row>
    <row r="12228">
      <c r="A12228" t="inlineStr">
        <is>
          <t>8052464896097</t>
        </is>
      </c>
      <c r="B12228" t="inlineStr">
        <is>
          <t>Salvatore Ferragamo Signorina Unica Eau De Parfum Spray 100ml</t>
        </is>
      </c>
      <c r="C12228" t="inlineStr">
        <is>
          <t>Eau De Parfum</t>
        </is>
      </c>
      <c r="D12228" t="inlineStr">
        <is>
          <t>Salvatore Ferragamo</t>
        </is>
      </c>
      <c r="E12228" t="n">
        <v>33</v>
      </c>
      <c r="F12228" t="n">
        <v>1</v>
      </c>
      <c r="G12228" t="n">
        <v>15</v>
      </c>
      <c r="H12228" s="5">
        <f>HYPERLINK("https://api.qogita.com/variants/link/8052464896097/", "View Product")</f>
        <v/>
      </c>
    </row>
    <row r="12229">
      <c r="A12229" t="inlineStr">
        <is>
          <t>8052464896998</t>
        </is>
      </c>
      <c r="B12229" t="inlineStr">
        <is>
          <t>Roberto Cavalli Florence EDP Black 50ml</t>
        </is>
      </c>
      <c r="C12229" t="inlineStr">
        <is>
          <t>Eau De Parfum</t>
        </is>
      </c>
      <c r="D12229" t="inlineStr">
        <is>
          <t>Roberto Cavalli</t>
        </is>
      </c>
      <c r="E12229" t="n">
        <v>20.11</v>
      </c>
      <c r="F12229" t="n">
        <v>1</v>
      </c>
      <c r="G12229" t="n">
        <v>14</v>
      </c>
      <c r="H12229" s="5">
        <f>HYPERLINK("https://api.qogita.com/variants/link/8052464896998/", "View Product")</f>
        <v/>
      </c>
    </row>
    <row r="12230">
      <c r="A12230" t="inlineStr">
        <is>
          <t>8052464898015</t>
        </is>
      </c>
      <c r="B12230" t="inlineStr">
        <is>
          <t>Roberto Cavalli Just Cavalli Wild Heart For Her Spray 90ml</t>
        </is>
      </c>
      <c r="C12230" t="inlineStr">
        <is>
          <t>Eau De Toilette</t>
        </is>
      </c>
      <c r="D12230" t="inlineStr">
        <is>
          <t>Roberto Cavalli</t>
        </is>
      </c>
      <c r="E12230" t="n">
        <v>24.14</v>
      </c>
      <c r="F12230" t="n">
        <v>1</v>
      </c>
      <c r="G12230" t="n">
        <v>4</v>
      </c>
      <c r="H12230" s="5">
        <f>HYPERLINK("https://api.qogita.com/variants/link/8052464898015/", "View Product")</f>
        <v/>
      </c>
    </row>
    <row r="12231">
      <c r="A12231" t="inlineStr">
        <is>
          <t>8052464898046</t>
        </is>
      </c>
      <c r="B12231" t="inlineStr">
        <is>
          <t>Just Cavalli Men's Just Cavalli Wild Heart Eau De Toilette Spray 3.0 Oz</t>
        </is>
      </c>
      <c r="C12231" t="inlineStr">
        <is>
          <t>Eau De Toilette</t>
        </is>
      </c>
      <c r="D12231" t="inlineStr">
        <is>
          <t>Just Cavalli</t>
        </is>
      </c>
      <c r="E12231" t="n">
        <v>27.25</v>
      </c>
      <c r="F12231" t="n">
        <v>1</v>
      </c>
      <c r="G12231" t="n">
        <v>2</v>
      </c>
      <c r="H12231" s="5">
        <f>HYPERLINK("https://api.qogita.com/variants/link/8052464898046/", "View Product")</f>
        <v/>
      </c>
    </row>
    <row r="12232">
      <c r="A12232" t="inlineStr">
        <is>
          <t>8053288291396</t>
        </is>
      </c>
      <c r="B12232" t="inlineStr">
        <is>
          <t>Mr &amp; Mrs Fragrance Cesare Noble Oud Gold Car Scent</t>
        </is>
      </c>
      <c r="C12232" t="inlineStr">
        <is>
          <t>Incense</t>
        </is>
      </c>
      <c r="D12232" t="inlineStr">
        <is>
          <t>Mr &amp; Mrs Fragrance</t>
        </is>
      </c>
      <c r="E12232" t="n">
        <v>4.71</v>
      </c>
      <c r="F12232" t="n">
        <v>1</v>
      </c>
      <c r="G12232" t="n">
        <v>2</v>
      </c>
      <c r="H12232" s="5">
        <f>HYPERLINK("https://api.qogita.com/variants/link/8053288291396/", "View Product")</f>
        <v/>
      </c>
    </row>
    <row r="12233">
      <c r="A12233" t="inlineStr">
        <is>
          <t>8053288291594</t>
        </is>
      </c>
      <c r="B12233" t="inlineStr">
        <is>
          <t>Mr&amp;Mrs Fragrance Niki Cherry Red Chrome Car Freshener</t>
        </is>
      </c>
      <c r="C12233" t="inlineStr">
        <is>
          <t>Diffusers</t>
        </is>
      </c>
      <c r="D12233" t="inlineStr">
        <is>
          <t>Mr &amp; Mrs Fragrance</t>
        </is>
      </c>
      <c r="E12233" t="n">
        <v>8.9</v>
      </c>
      <c r="F12233" t="n">
        <v>1</v>
      </c>
      <c r="G12233" t="n">
        <v>7</v>
      </c>
      <c r="H12233" s="5">
        <f>HYPERLINK("https://api.qogita.com/variants/link/8053288291594/", "View Product")</f>
        <v/>
      </c>
    </row>
    <row r="12234">
      <c r="A12234" t="inlineStr">
        <is>
          <t>8053288292263</t>
        </is>
      </c>
      <c r="B12234" t="inlineStr">
        <is>
          <t>Mr&amp;Mrs Fragrance Niki Mojito Refill</t>
        </is>
      </c>
      <c r="C12234" t="inlineStr">
        <is>
          <t>Diffusers</t>
        </is>
      </c>
      <c r="D12234" t="inlineStr">
        <is>
          <t>Mr &amp; Mrs Fragrance</t>
        </is>
      </c>
      <c r="E12234" t="n">
        <v>2.84</v>
      </c>
      <c r="F12234" t="n">
        <v>1</v>
      </c>
      <c r="G12234" t="n">
        <v>18</v>
      </c>
      <c r="H12234" s="5">
        <f>HYPERLINK("https://api.qogita.com/variants/link/8053288292263/", "View Product")</f>
        <v/>
      </c>
    </row>
    <row r="12235">
      <c r="A12235" t="inlineStr">
        <is>
          <t>8053288292348</t>
        </is>
      </c>
      <c r="B12235" t="inlineStr">
        <is>
          <t>Mr &amp; Mrs Fragrance Niki Orchid Car Fragrance Diffuser Refill - Black</t>
        </is>
      </c>
      <c r="C12235" t="inlineStr">
        <is>
          <t>Diffusers</t>
        </is>
      </c>
      <c r="D12235" t="inlineStr">
        <is>
          <t>Mr &amp; Mrs Fragrance</t>
        </is>
      </c>
      <c r="E12235" t="n">
        <v>3.94</v>
      </c>
      <c r="F12235" t="n">
        <v>1</v>
      </c>
      <c r="G12235" t="n">
        <v>5</v>
      </c>
      <c r="H12235" s="5">
        <f>HYPERLINK("https://api.qogita.com/variants/link/8053288292348/", "View Product")</f>
        <v/>
      </c>
    </row>
    <row r="12236">
      <c r="A12236" t="inlineStr">
        <is>
          <t>8053288292706</t>
        </is>
      </c>
      <c r="B12236" t="inlineStr">
        <is>
          <t>Mr &amp; Mrs Fragrance Niki Big Black Tea Refill Car Fragrance Refill</t>
        </is>
      </c>
      <c r="C12236" t="inlineStr">
        <is>
          <t>Diffusers</t>
        </is>
      </c>
      <c r="D12236" t="inlineStr">
        <is>
          <t>Mr &amp; Mrs Fragrance</t>
        </is>
      </c>
      <c r="E12236" t="n">
        <v>3.94</v>
      </c>
      <c r="F12236" t="n">
        <v>1</v>
      </c>
      <c r="G12236" t="n">
        <v>10</v>
      </c>
      <c r="H12236" s="5">
        <f>HYPERLINK("https://api.qogita.com/variants/link/8053288292706/", "View Product")</f>
        <v/>
      </c>
    </row>
    <row r="12237">
      <c r="A12237" t="inlineStr">
        <is>
          <t>8053288295875</t>
        </is>
      </c>
      <c r="B12237" t="inlineStr">
        <is>
          <t>Mr &amp; Mrs Fragrance Refill For Niki Car Fragrance Diffuser Rose Oud</t>
        </is>
      </c>
      <c r="C12237" t="inlineStr">
        <is>
          <t>Diffusers</t>
        </is>
      </c>
      <c r="D12237" t="inlineStr">
        <is>
          <t>Mr &amp; Mrs Fragrance</t>
        </is>
      </c>
      <c r="E12237" t="n">
        <v>3.94</v>
      </c>
      <c r="F12237" t="n">
        <v>1</v>
      </c>
      <c r="G12237" t="n">
        <v>40</v>
      </c>
      <c r="H12237" s="5">
        <f>HYPERLINK("https://api.qogita.com/variants/link/8053288295875/", "View Product")</f>
        <v/>
      </c>
    </row>
    <row r="12238">
      <c r="A12238" t="inlineStr">
        <is>
          <t>8053288296599</t>
        </is>
      </c>
      <c r="B12238" t="inlineStr">
        <is>
          <t>Mr&amp;Mrs Fragrance Big Joy Sea Rose Black Car Fragrance</t>
        </is>
      </c>
      <c r="C12238" t="inlineStr">
        <is>
          <t>Diffusers</t>
        </is>
      </c>
      <c r="D12238" t="inlineStr">
        <is>
          <t>Mr &amp; Mrs Fragrance</t>
        </is>
      </c>
      <c r="E12238" t="n">
        <v>4.33</v>
      </c>
      <c r="F12238" t="n">
        <v>1</v>
      </c>
      <c r="G12238" t="n">
        <v>2</v>
      </c>
      <c r="H12238" s="5">
        <f>HYPERLINK("https://api.qogita.com/variants/link/8053288296599/", "View Product")</f>
        <v/>
      </c>
    </row>
    <row r="12239">
      <c r="A12239" t="inlineStr">
        <is>
          <t>8053369880082</t>
        </is>
      </c>
      <c r="B12239" t="inlineStr">
        <is>
          <t>Morph Axeum Eau De Parfum 100ml</t>
        </is>
      </c>
      <c r="C12239" t="inlineStr">
        <is>
          <t>Eau De Parfum</t>
        </is>
      </c>
      <c r="D12239" t="inlineStr">
        <is>
          <t>Morph</t>
        </is>
      </c>
      <c r="E12239" t="n">
        <v>88.86</v>
      </c>
      <c r="F12239" t="n">
        <v>1</v>
      </c>
      <c r="G12239" t="n">
        <v>2</v>
      </c>
      <c r="H12239" s="5">
        <f>HYPERLINK("https://api.qogita.com/variants/link/8053369880082/", "View Product")</f>
        <v/>
      </c>
    </row>
    <row r="12240">
      <c r="A12240" t="inlineStr">
        <is>
          <t>8053369880631</t>
        </is>
      </c>
      <c r="B12240" t="inlineStr">
        <is>
          <t>Morph Morph Too Les Exclusifs: Experience It Perfume</t>
        </is>
      </c>
      <c r="C12240" t="inlineStr">
        <is>
          <t>Eau De Parfum</t>
        </is>
      </c>
      <c r="D12240" t="inlineStr">
        <is>
          <t>Morph</t>
        </is>
      </c>
      <c r="E12240" t="n">
        <v>106.11</v>
      </c>
      <c r="F12240" t="n">
        <v>1</v>
      </c>
      <c r="G12240" t="n">
        <v>11</v>
      </c>
      <c r="H12240" s="5">
        <f>HYPERLINK("https://api.qogita.com/variants/link/8053369880631/", "View Product")</f>
        <v/>
      </c>
    </row>
    <row r="12241">
      <c r="A12241" t="inlineStr">
        <is>
          <t>8053369883618</t>
        </is>
      </c>
      <c r="B12241" t="inlineStr">
        <is>
          <t>Morph Anti Gua Bay Perfume</t>
        </is>
      </c>
      <c r="C12241" t="inlineStr">
        <is>
          <t>Eau De Parfum</t>
        </is>
      </c>
      <c r="D12241" t="inlineStr">
        <is>
          <t>Morph</t>
        </is>
      </c>
      <c r="E12241" t="n">
        <v>98.52</v>
      </c>
      <c r="F12241" t="n">
        <v>1</v>
      </c>
      <c r="G12241" t="n">
        <v>2</v>
      </c>
      <c r="H12241" s="5">
        <f>HYPERLINK("https://api.qogita.com/variants/link/8053369883618/", "View Product")</f>
        <v/>
      </c>
    </row>
    <row r="12242">
      <c r="A12242" t="inlineStr">
        <is>
          <t>8054247791063</t>
        </is>
      </c>
      <c r="B12242" t="inlineStr">
        <is>
          <t>Moliabal Milano Headband No 106</t>
        </is>
      </c>
      <c r="C12242" t="inlineStr">
        <is>
          <t>Headbands</t>
        </is>
      </c>
      <c r="D12242" t="inlineStr">
        <is>
          <t>Moliabal Milano</t>
        </is>
      </c>
      <c r="E12242" t="n">
        <v>22.1</v>
      </c>
      <c r="F12242" t="n">
        <v>1</v>
      </c>
      <c r="G12242" t="n">
        <v>4</v>
      </c>
      <c r="H12242" s="5">
        <f>HYPERLINK("https://api.qogita.com/variants/link/8054247791063/", "View Product")</f>
        <v/>
      </c>
    </row>
    <row r="12243">
      <c r="A12243" t="inlineStr">
        <is>
          <t>8054320900078</t>
        </is>
      </c>
      <c r="B12243" t="inlineStr">
        <is>
          <t>Xerjoff Casamorati Casafutura Eau De Parfum Spray 100ml</t>
        </is>
      </c>
      <c r="C12243" t="inlineStr">
        <is>
          <t>Eau De Parfum</t>
        </is>
      </c>
      <c r="D12243" t="inlineStr">
        <is>
          <t>Xerjoff</t>
        </is>
      </c>
      <c r="E12243" t="n">
        <v>133.06</v>
      </c>
      <c r="F12243" t="n">
        <v>1</v>
      </c>
      <c r="G12243" t="n">
        <v>4</v>
      </c>
      <c r="H12243" s="5">
        <f>HYPERLINK("https://api.qogita.com/variants/link/8054320900078/", "View Product")</f>
        <v/>
      </c>
    </row>
    <row r="12244">
      <c r="A12244" t="inlineStr">
        <is>
          <t>8054320900108</t>
        </is>
      </c>
      <c r="B12244" t="inlineStr">
        <is>
          <t>Casamorati Casafutura Eau De Parfum Spray 30ml</t>
        </is>
      </c>
      <c r="C12244" t="inlineStr">
        <is>
          <t>Eau De Parfum</t>
        </is>
      </c>
      <c r="D12244" t="inlineStr">
        <is>
          <t>Casamorati</t>
        </is>
      </c>
      <c r="E12244" t="n">
        <v>56.66</v>
      </c>
      <c r="F12244" t="n">
        <v>1</v>
      </c>
      <c r="G12244" t="n">
        <v>3</v>
      </c>
      <c r="H12244" s="5">
        <f>HYPERLINK("https://api.qogita.com/variants/link/8054320900108/", "View Product")</f>
        <v/>
      </c>
    </row>
    <row r="12245">
      <c r="A12245" t="inlineStr">
        <is>
          <t>8054320900214</t>
        </is>
      </c>
      <c r="B12245" t="inlineStr">
        <is>
          <t>Xerjoff Decas Eau De Parfum Spray 100ml</t>
        </is>
      </c>
      <c r="C12245" t="inlineStr">
        <is>
          <t>Eau De Parfum</t>
        </is>
      </c>
      <c r="D12245" t="inlineStr">
        <is>
          <t>Xerjoff</t>
        </is>
      </c>
      <c r="E12245" t="n">
        <v>135.91</v>
      </c>
      <c r="F12245" t="n">
        <v>1</v>
      </c>
      <c r="G12245" t="n">
        <v>32</v>
      </c>
      <c r="H12245" s="5">
        <f>HYPERLINK("https://api.qogita.com/variants/link/8054320900214/", "View Product")</f>
        <v/>
      </c>
    </row>
    <row r="12246">
      <c r="A12246" t="inlineStr">
        <is>
          <t>8054320900733</t>
        </is>
      </c>
      <c r="B12246" t="inlineStr">
        <is>
          <t>Xerjoff K Collection Hayat Parfum 100ml</t>
        </is>
      </c>
      <c r="C12246" t="inlineStr">
        <is>
          <t>Eau De Parfum</t>
        </is>
      </c>
      <c r="D12246" t="inlineStr">
        <is>
          <t>Xerjoff</t>
        </is>
      </c>
      <c r="E12246" t="n">
        <v>185.68</v>
      </c>
      <c r="F12246" t="n">
        <v>1</v>
      </c>
      <c r="G12246" t="n">
        <v>3</v>
      </c>
      <c r="H12246" s="5">
        <f>HYPERLINK("https://api.qogita.com/variants/link/8054320900733/", "View Product")</f>
        <v/>
      </c>
    </row>
    <row r="12247">
      <c r="A12247" t="inlineStr">
        <is>
          <t>8054320900962</t>
        </is>
      </c>
      <c r="B12247" t="inlineStr">
        <is>
          <t>Xerjoff K Collection Ilm Parfum Spray 50ml</t>
        </is>
      </c>
      <c r="C12247" t="inlineStr">
        <is>
          <t>Eau De Parfum</t>
        </is>
      </c>
      <c r="D12247" t="inlineStr">
        <is>
          <t>Xerjoff</t>
        </is>
      </c>
      <c r="E12247" t="n">
        <v>134.17</v>
      </c>
      <c r="F12247" t="n">
        <v>1</v>
      </c>
      <c r="G12247" t="n">
        <v>9</v>
      </c>
      <c r="H12247" s="5">
        <f>HYPERLINK("https://api.qogita.com/variants/link/8054320900962/", "View Product")</f>
        <v/>
      </c>
    </row>
    <row r="12248">
      <c r="A12248" t="inlineStr">
        <is>
          <t>8054320900993</t>
        </is>
      </c>
      <c r="B12248" t="inlineStr">
        <is>
          <t>Xerjoff K Tempest Parfum Spray 50ml</t>
        </is>
      </c>
      <c r="C12248" t="inlineStr">
        <is>
          <t>Eau De Parfum</t>
        </is>
      </c>
      <c r="D12248" t="inlineStr">
        <is>
          <t>Xerjoff</t>
        </is>
      </c>
      <c r="E12248" t="n">
        <v>123.17</v>
      </c>
      <c r="F12248" t="n">
        <v>1</v>
      </c>
      <c r="G12248" t="n">
        <v>4</v>
      </c>
      <c r="H12248" s="5">
        <f>HYPERLINK("https://api.qogita.com/variants/link/8054320900993/", "View Product")</f>
        <v/>
      </c>
    </row>
    <row r="12249">
      <c r="A12249" t="inlineStr">
        <is>
          <t>8054320901983</t>
        </is>
      </c>
      <c r="B12249" t="inlineStr">
        <is>
          <t>Xerjoff Xjk Blue Ether Parfum 50ml</t>
        </is>
      </c>
      <c r="C12249" t="inlineStr">
        <is>
          <t>Eau De Parfum</t>
        </is>
      </c>
      <c r="D12249" t="inlineStr">
        <is>
          <t>Xerjoff</t>
        </is>
      </c>
      <c r="E12249" t="n">
        <v>155.38</v>
      </c>
      <c r="F12249" t="n">
        <v>1</v>
      </c>
      <c r="G12249" t="n">
        <v>2</v>
      </c>
      <c r="H12249" s="5">
        <f>HYPERLINK("https://api.qogita.com/variants/link/8054320901983/", "View Product")</f>
        <v/>
      </c>
    </row>
    <row r="12250">
      <c r="A12250" t="inlineStr">
        <is>
          <t>8054320902447</t>
        </is>
      </c>
      <c r="B12250" t="inlineStr">
        <is>
          <t>Tony Iommi Monkey Special Perfume Spray 100ml</t>
        </is>
      </c>
      <c r="C12250" t="inlineStr">
        <is>
          <t>Eau De Parfum</t>
        </is>
      </c>
      <c r="D12250" t="inlineStr">
        <is>
          <t>Tony Iommi</t>
        </is>
      </c>
      <c r="E12250" t="n">
        <v>213.46</v>
      </c>
      <c r="F12250" t="n">
        <v>1</v>
      </c>
      <c r="G12250" t="n">
        <v>136</v>
      </c>
      <c r="H12250" s="5">
        <f>HYPERLINK("https://api.qogita.com/variants/link/8054320902447/", "View Product")</f>
        <v/>
      </c>
    </row>
    <row r="12251">
      <c r="A12251" t="inlineStr">
        <is>
          <t>8054320902553</t>
        </is>
      </c>
      <c r="B12251" t="inlineStr">
        <is>
          <t>Xerjoff Accento Eau De Parfum Spray 100ml</t>
        </is>
      </c>
      <c r="C12251" t="inlineStr">
        <is>
          <t>Eau De Parfum</t>
        </is>
      </c>
      <c r="D12251" t="inlineStr">
        <is>
          <t>Xerjoff</t>
        </is>
      </c>
      <c r="E12251" t="n">
        <v>152.66</v>
      </c>
      <c r="F12251" t="n">
        <v>1</v>
      </c>
      <c r="G12251" t="n">
        <v>9</v>
      </c>
      <c r="H12251" s="5">
        <f>HYPERLINK("https://api.qogita.com/variants/link/8054320902553/", "View Product")</f>
        <v/>
      </c>
    </row>
    <row r="12252">
      <c r="A12252" t="inlineStr">
        <is>
          <t>8054320902881</t>
        </is>
      </c>
      <c r="B12252" t="inlineStr">
        <is>
          <t>Xerjoff Opera Unisex Eau de Parfum 100ml</t>
        </is>
      </c>
      <c r="C12252" t="inlineStr">
        <is>
          <t>Eau De Parfum</t>
        </is>
      </c>
      <c r="D12252" t="inlineStr">
        <is>
          <t>Xerjoff</t>
        </is>
      </c>
      <c r="E12252" t="n">
        <v>162.86</v>
      </c>
      <c r="F12252" t="n">
        <v>1</v>
      </c>
      <c r="G12252" t="n">
        <v>2</v>
      </c>
      <c r="H12252" s="5">
        <f>HYPERLINK("https://api.qogita.com/variants/link/8054320902881/", "View Product")</f>
        <v/>
      </c>
    </row>
    <row r="12253">
      <c r="A12253" t="inlineStr">
        <is>
          <t>8054320902959</t>
        </is>
      </c>
      <c r="B12253" t="inlineStr">
        <is>
          <t>Xerjoff Casamorati Levar Del Sole Parfum 100 Ml</t>
        </is>
      </c>
      <c r="C12253" t="inlineStr">
        <is>
          <t>Eau De Parfum</t>
        </is>
      </c>
      <c r="D12253" t="inlineStr">
        <is>
          <t>Xerjoff</t>
        </is>
      </c>
      <c r="E12253" t="n">
        <v>153.59</v>
      </c>
      <c r="F12253" t="n">
        <v>1</v>
      </c>
      <c r="G12253" t="n">
        <v>10</v>
      </c>
      <c r="H12253" s="5">
        <f>HYPERLINK("https://api.qogita.com/variants/link/8054320902959/", "View Product")</f>
        <v/>
      </c>
    </row>
    <row r="12254">
      <c r="A12254" t="inlineStr">
        <is>
          <t>8054320902966</t>
        </is>
      </c>
      <c r="B12254" t="inlineStr">
        <is>
          <t>Xerjoff Casamorati Levar Del Sole Parfum 30 Ml</t>
        </is>
      </c>
      <c r="C12254" t="inlineStr">
        <is>
          <t>Eau De Parfum</t>
        </is>
      </c>
      <c r="D12254" t="inlineStr">
        <is>
          <t>Xerjoff</t>
        </is>
      </c>
      <c r="E12254" t="n">
        <v>57.63</v>
      </c>
      <c r="F12254" t="n">
        <v>1</v>
      </c>
      <c r="G12254" t="n">
        <v>9</v>
      </c>
      <c r="H12254" s="5">
        <f>HYPERLINK("https://api.qogita.com/variants/link/8054320902966/", "View Product")</f>
        <v/>
      </c>
    </row>
    <row r="12255">
      <c r="A12255" t="inlineStr">
        <is>
          <t>8054320903000</t>
        </is>
      </c>
      <c r="B12255" t="inlineStr">
        <is>
          <t>Casamorati 1888 Quattro Pizzi Eau De Parfum Spray 30ml</t>
        </is>
      </c>
      <c r="C12255" t="inlineStr">
        <is>
          <t>Eau De Parfum</t>
        </is>
      </c>
      <c r="D12255" t="inlineStr">
        <is>
          <t>Casamorati</t>
        </is>
      </c>
      <c r="E12255" t="n">
        <v>60.58</v>
      </c>
      <c r="F12255" t="n">
        <v>1</v>
      </c>
      <c r="G12255" t="n">
        <v>23</v>
      </c>
      <c r="H12255" s="5">
        <f>HYPERLINK("https://api.qogita.com/variants/link/8054320903000/", "View Product")</f>
        <v/>
      </c>
    </row>
    <row r="12256">
      <c r="A12256" t="inlineStr">
        <is>
          <t>8054320903062</t>
        </is>
      </c>
      <c r="B12256" t="inlineStr">
        <is>
          <t>Xerjoff Torino21 Eau De Parfum</t>
        </is>
      </c>
      <c r="C12256" t="inlineStr">
        <is>
          <t>Eau De Parfum</t>
        </is>
      </c>
      <c r="D12256" t="inlineStr">
        <is>
          <t>Xerjoff</t>
        </is>
      </c>
      <c r="E12256" t="n">
        <v>177.93</v>
      </c>
      <c r="F12256" t="n">
        <v>1</v>
      </c>
      <c r="G12256" t="n">
        <v>647</v>
      </c>
      <c r="H12256" s="5">
        <f>HYPERLINK("https://api.qogita.com/variants/link/8054320903062/", "View Product")</f>
        <v/>
      </c>
    </row>
    <row r="12257">
      <c r="A12257" t="inlineStr">
        <is>
          <t>8054320903093</t>
        </is>
      </c>
      <c r="B12257" t="inlineStr">
        <is>
          <t>Xerjoff JTC Torino21 Eau de Parfum 50ml</t>
        </is>
      </c>
      <c r="C12257" t="inlineStr">
        <is>
          <t>Eau De Parfum</t>
        </is>
      </c>
      <c r="D12257" t="inlineStr">
        <is>
          <t>Xerjoff</t>
        </is>
      </c>
      <c r="E12257" t="n">
        <v>125.55</v>
      </c>
      <c r="F12257" t="n">
        <v>1</v>
      </c>
      <c r="G12257" t="n">
        <v>441</v>
      </c>
      <c r="H12257" s="5">
        <f>HYPERLINK("https://api.qogita.com/variants/link/8054320903093/", "View Product")</f>
        <v/>
      </c>
    </row>
    <row r="12258">
      <c r="A12258" t="inlineStr">
        <is>
          <t>8054377023973</t>
        </is>
      </c>
      <c r="B12258" t="inlineStr">
        <is>
          <t>Millefiori Fragrance Oil, Jar, Orange, 5.5 X 11.8 X 5.3 Cm</t>
        </is>
      </c>
      <c r="C12258" t="inlineStr">
        <is>
          <t>Diffusers</t>
        </is>
      </c>
      <c r="D12258" t="inlineStr">
        <is>
          <t>Millefiori</t>
        </is>
      </c>
      <c r="E12258" t="n">
        <v>7.86</v>
      </c>
      <c r="F12258" t="n">
        <v>1</v>
      </c>
      <c r="G12258" t="n">
        <v>3</v>
      </c>
      <c r="H12258" s="5">
        <f>HYPERLINK("https://api.qogita.com/variants/link/8054377023973/", "View Product")</f>
        <v/>
      </c>
    </row>
    <row r="12259">
      <c r="A12259" t="inlineStr">
        <is>
          <t>8054521910098</t>
        </is>
      </c>
      <c r="B12259" t="inlineStr">
        <is>
          <t>Accendis Lucepura Eau de Parfum 100ml</t>
        </is>
      </c>
      <c r="C12259" t="inlineStr">
        <is>
          <t>Eau De Parfum</t>
        </is>
      </c>
      <c r="D12259" t="inlineStr">
        <is>
          <t>Accendis</t>
        </is>
      </c>
      <c r="E12259" t="n">
        <v>48.41</v>
      </c>
      <c r="F12259" t="n">
        <v>1</v>
      </c>
      <c r="G12259" t="n">
        <v>3</v>
      </c>
      <c r="H12259" s="5">
        <f>HYPERLINK("https://api.qogita.com/variants/link/8054521910098/", "View Product")</f>
        <v/>
      </c>
    </row>
    <row r="12260">
      <c r="A12260" t="inlineStr">
        <is>
          <t>8054609782234</t>
        </is>
      </c>
      <c r="B12260" t="inlineStr">
        <is>
          <t>Aquolina Pink Sugar Eau De Toilette Spray 100ml</t>
        </is>
      </c>
      <c r="C12260" t="inlineStr">
        <is>
          <t>Eau De Toilette</t>
        </is>
      </c>
      <c r="D12260" t="inlineStr">
        <is>
          <t>Aquolina</t>
        </is>
      </c>
      <c r="E12260" t="n">
        <v>16.39</v>
      </c>
      <c r="F12260" t="n">
        <v>1</v>
      </c>
      <c r="G12260" t="n">
        <v>4</v>
      </c>
      <c r="H12260" s="5">
        <f>HYPERLINK("https://api.qogita.com/variants/link/8054609782234/", "View Product")</f>
        <v/>
      </c>
    </row>
    <row r="12261">
      <c r="A12261" t="inlineStr">
        <is>
          <t>8054609782296</t>
        </is>
      </c>
      <c r="B12261" t="inlineStr">
        <is>
          <t>Aquolina Pink Sugar Body Mist 236ml</t>
        </is>
      </c>
      <c r="C12261" t="inlineStr">
        <is>
          <t>Eau De Toilette</t>
        </is>
      </c>
      <c r="D12261" t="inlineStr">
        <is>
          <t>Pink Sugar</t>
        </is>
      </c>
      <c r="E12261" t="n">
        <v>6.85</v>
      </c>
      <c r="F12261" t="n">
        <v>1</v>
      </c>
      <c r="G12261" t="n">
        <v>14</v>
      </c>
      <c r="H12261" s="5">
        <f>HYPERLINK("https://api.qogita.com/variants/link/8054609782296/", "View Product")</f>
        <v/>
      </c>
    </row>
    <row r="12262">
      <c r="A12262" t="inlineStr">
        <is>
          <t>8054754400588</t>
        </is>
      </c>
      <c r="B12262" t="inlineStr">
        <is>
          <t>Dolce &amp; Gabbana Dolce Blue Jasmine Eau De Parfum Spray 75ml And 10ml</t>
        </is>
      </c>
      <c r="C12262" t="inlineStr">
        <is>
          <t>Eau De Parfum</t>
        </is>
      </c>
      <c r="D12262" t="inlineStr">
        <is>
          <t>Dolce &amp; Gabbana</t>
        </is>
      </c>
      <c r="E12262" t="n">
        <v>49.08</v>
      </c>
      <c r="F12262" t="n">
        <v>1</v>
      </c>
      <c r="G12262" t="n">
        <v>3</v>
      </c>
      <c r="H12262" s="5">
        <f>HYPERLINK("https://api.qogita.com/variants/link/8054754400588/", "View Product")</f>
        <v/>
      </c>
    </row>
    <row r="12263">
      <c r="A12263" t="inlineStr">
        <is>
          <t>8054754400625</t>
        </is>
      </c>
      <c r="B12263" t="inlineStr">
        <is>
          <t>Dolce &amp; Gabbana 'K' 2 Pcs Set For Men: 3.3 Eau De Parfum Intense Spray + 0.33 Eau De Parfum Spray</t>
        </is>
      </c>
      <c r="C12263" t="inlineStr">
        <is>
          <t>Fragrance Sets</t>
        </is>
      </c>
      <c r="D12263" t="inlineStr">
        <is>
          <t>Dolce &amp; Gabbana</t>
        </is>
      </c>
      <c r="E12263" t="n">
        <v>57.27</v>
      </c>
      <c r="F12263" t="n">
        <v>1</v>
      </c>
      <c r="G12263" t="n">
        <v>24</v>
      </c>
      <c r="H12263" s="5">
        <f>HYPERLINK("https://api.qogita.com/variants/link/8054754400625/", "View Product")</f>
        <v/>
      </c>
    </row>
    <row r="12264">
      <c r="A12264" t="inlineStr">
        <is>
          <t>8054754400731</t>
        </is>
      </c>
      <c r="B12264" t="inlineStr">
        <is>
          <t>Dolce &amp; Gabbana Light Blue Pour Homme - Eau De Toilette 200 Ml + Eau De Toilette 75 Ml</t>
        </is>
      </c>
      <c r="C12264" t="inlineStr">
        <is>
          <t>Eau De Toilette</t>
        </is>
      </c>
      <c r="D12264" t="inlineStr">
        <is>
          <t>Dolce &amp; Gabbana</t>
        </is>
      </c>
      <c r="E12264" t="n">
        <v>88.45999999999999</v>
      </c>
      <c r="F12264" t="n">
        <v>1</v>
      </c>
      <c r="G12264" t="n">
        <v>11</v>
      </c>
      <c r="H12264" s="5">
        <f>HYPERLINK("https://api.qogita.com/variants/link/8054754400731/", "View Product")</f>
        <v/>
      </c>
    </row>
    <row r="12265">
      <c r="A12265" t="inlineStr">
        <is>
          <t>8054754401059</t>
        </is>
      </c>
      <c r="B12265" t="inlineStr">
        <is>
          <t>Dolce &amp; Gabbana Pour Homme Eau De Parfum 100 Ml</t>
        </is>
      </c>
      <c r="C12265" t="inlineStr">
        <is>
          <t>Eau De Parfum</t>
        </is>
      </c>
      <c r="D12265" t="inlineStr">
        <is>
          <t>Dolce &amp; Gabbana</t>
        </is>
      </c>
      <c r="E12265" t="n">
        <v>58.12</v>
      </c>
      <c r="F12265" t="n">
        <v>1</v>
      </c>
      <c r="G12265" t="n">
        <v>72</v>
      </c>
      <c r="H12265" s="5">
        <f>HYPERLINK("https://api.qogita.com/variants/link/8054754401059/", "View Product")</f>
        <v/>
      </c>
    </row>
    <row r="12266">
      <c r="A12266" t="inlineStr">
        <is>
          <t>8054754401158</t>
        </is>
      </c>
      <c r="B12266" t="inlineStr">
        <is>
          <t>Devotion Mascara Volume Estremo Nero</t>
        </is>
      </c>
      <c r="C12266" t="inlineStr">
        <is>
          <t>Mascara</t>
        </is>
      </c>
      <c r="D12266" t="inlineStr">
        <is>
          <t>Devotion</t>
        </is>
      </c>
      <c r="E12266" t="n">
        <v>28.21</v>
      </c>
      <c r="F12266" t="n">
        <v>1</v>
      </c>
      <c r="G12266" t="n">
        <v>5</v>
      </c>
      <c r="H12266" s="5">
        <f>HYPERLINK("https://api.qogita.com/variants/link/8054754401158/", "View Product")</f>
        <v/>
      </c>
    </row>
    <row r="12267">
      <c r="A12267" t="inlineStr">
        <is>
          <t>8054754401196</t>
        </is>
      </c>
      <c r="B12267" t="inlineStr">
        <is>
          <t>Devotion Liquid Mousse Lipstick</t>
        </is>
      </c>
      <c r="C12267" t="inlineStr">
        <is>
          <t>Lipstick</t>
        </is>
      </c>
      <c r="D12267" t="inlineStr">
        <is>
          <t>Gratitude</t>
        </is>
      </c>
      <c r="E12267" t="n">
        <v>31.01</v>
      </c>
      <c r="F12267" t="n">
        <v>1</v>
      </c>
      <c r="G12267" t="n">
        <v>2</v>
      </c>
      <c r="H12267" s="5">
        <f>HYPERLINK("https://api.qogita.com/variants/link/8054754401196/", "View Product")</f>
        <v/>
      </c>
    </row>
    <row r="12268">
      <c r="A12268" t="inlineStr">
        <is>
          <t>8054754401202</t>
        </is>
      </c>
      <c r="B12268" t="inlineStr">
        <is>
          <t>Dolce&amp;Gabbana Flawless Everkiss Liquid Lip - Matte Liquid Lipstick in Affection 205, 5 ml</t>
        </is>
      </c>
      <c r="C12268" t="inlineStr">
        <is>
          <t>Lipstick</t>
        </is>
      </c>
      <c r="D12268" t="inlineStr">
        <is>
          <t>Dolce &amp; Gabbana</t>
        </is>
      </c>
      <c r="E12268" t="n">
        <v>31.01</v>
      </c>
      <c r="F12268" t="n">
        <v>1</v>
      </c>
      <c r="G12268" t="n">
        <v>2</v>
      </c>
      <c r="H12268" s="5">
        <f>HYPERLINK("https://api.qogita.com/variants/link/8054754401202/", "View Product")</f>
        <v/>
      </c>
    </row>
    <row r="12269">
      <c r="A12269" t="inlineStr">
        <is>
          <t>8054754403459</t>
        </is>
      </c>
      <c r="B12269" t="inlineStr">
        <is>
          <t>Dolce &amp; Gabbana K By Dolce &amp; Gabbana - Eau De Parfum 50 Ml + Eau De Parfum 10 Ml</t>
        </is>
      </c>
      <c r="C12269" t="inlineStr">
        <is>
          <t>Fragrance Sets</t>
        </is>
      </c>
      <c r="D12269" t="inlineStr">
        <is>
          <t>Dolce &amp; Gabbana</t>
        </is>
      </c>
      <c r="E12269" t="n">
        <v>72.59999999999999</v>
      </c>
      <c r="F12269" t="n">
        <v>1</v>
      </c>
      <c r="G12269" t="n">
        <v>12</v>
      </c>
      <c r="H12269" s="5">
        <f>HYPERLINK("https://api.qogita.com/variants/link/8054754403459/", "View Product")</f>
        <v/>
      </c>
    </row>
    <row r="12270">
      <c r="A12270" t="inlineStr">
        <is>
          <t>8054800381847</t>
        </is>
      </c>
      <c r="B12270" t="inlineStr">
        <is>
          <t>La Roche Posay Anthelios Sunscreen Spf 50 200 Ml And Lipikar Cleansing Oil Ap Anti-Redness 100 Ml</t>
        </is>
      </c>
      <c r="C12270" t="inlineStr">
        <is>
          <t>Body Sun Protection</t>
        </is>
      </c>
      <c r="D12270" t="inlineStr">
        <is>
          <t>La Roche-Posay</t>
        </is>
      </c>
      <c r="E12270" t="n">
        <v>24.01</v>
      </c>
      <c r="F12270" t="n">
        <v>1</v>
      </c>
      <c r="G12270" t="n">
        <v>14</v>
      </c>
      <c r="H12270" s="5">
        <f>HYPERLINK("https://api.qogita.com/variants/link/8054800381847/", "View Product")</f>
        <v/>
      </c>
    </row>
    <row r="12271">
      <c r="A12271" t="inlineStr">
        <is>
          <t>8055118032223</t>
        </is>
      </c>
      <c r="B12271" t="inlineStr">
        <is>
          <t>Masque Milano Petra Eau de Parfum 1.2oz</t>
        </is>
      </c>
      <c r="C12271" t="inlineStr">
        <is>
          <t>Eau De Parfum</t>
        </is>
      </c>
      <c r="D12271" t="inlineStr">
        <is>
          <t>Masque Milano</t>
        </is>
      </c>
      <c r="E12271" t="n">
        <v>57.63</v>
      </c>
      <c r="F12271" t="n">
        <v>1</v>
      </c>
      <c r="G12271" t="n">
        <v>3</v>
      </c>
      <c r="H12271" s="5">
        <f>HYPERLINK("https://api.qogita.com/variants/link/8055118032223/", "View Product")</f>
        <v/>
      </c>
    </row>
    <row r="12272">
      <c r="A12272" t="inlineStr">
        <is>
          <t>8055277281890</t>
        </is>
      </c>
      <c r="B12272" t="inlineStr">
        <is>
          <t>Bois 1920 Oro Rosa Eau De Parfum Spray 100ml</t>
        </is>
      </c>
      <c r="C12272" t="inlineStr">
        <is>
          <t>Eau De Parfum</t>
        </is>
      </c>
      <c r="D12272" t="inlineStr">
        <is>
          <t>Bois 1920</t>
        </is>
      </c>
      <c r="E12272" t="n">
        <v>149.18</v>
      </c>
      <c r="F12272" t="n">
        <v>1</v>
      </c>
      <c r="G12272" t="n">
        <v>2</v>
      </c>
      <c r="H12272" s="5">
        <f>HYPERLINK("https://api.qogita.com/variants/link/8055277281890/", "View Product")</f>
        <v/>
      </c>
    </row>
    <row r="12273">
      <c r="A12273" t="inlineStr">
        <is>
          <t>8055773544802</t>
        </is>
      </c>
      <c r="B12273" t="inlineStr">
        <is>
          <t>Moresque Art Collection Byron Eau De Parfum 50 Ml</t>
        </is>
      </c>
      <c r="C12273" t="inlineStr">
        <is>
          <t>Eau De Parfum</t>
        </is>
      </c>
      <c r="D12273" t="inlineStr">
        <is>
          <t>Moresque</t>
        </is>
      </c>
      <c r="E12273" t="n">
        <v>108.64</v>
      </c>
      <c r="F12273" t="n">
        <v>1</v>
      </c>
      <c r="G12273" t="n">
        <v>4</v>
      </c>
      <c r="H12273" s="5">
        <f>HYPERLINK("https://api.qogita.com/variants/link/8055773544802/", "View Product")</f>
        <v/>
      </c>
    </row>
    <row r="12274">
      <c r="A12274" t="inlineStr">
        <is>
          <t>8056860210303</t>
        </is>
      </c>
      <c r="B12274" t="inlineStr">
        <is>
          <t>Salvatore Ferragamo Signorina Misteriosa Eau De Parfum Spray For Women</t>
        </is>
      </c>
      <c r="C12274" t="inlineStr">
        <is>
          <t>Eau De Parfum</t>
        </is>
      </c>
      <c r="D12274" t="inlineStr">
        <is>
          <t>Salvatore Ferragamo</t>
        </is>
      </c>
      <c r="E12274" t="n">
        <v>26.36</v>
      </c>
      <c r="F12274" t="n">
        <v>1</v>
      </c>
      <c r="G12274" t="n">
        <v>27</v>
      </c>
      <c r="H12274" s="5">
        <f>HYPERLINK("https://api.qogita.com/variants/link/8056860210303/", "View Product")</f>
        <v/>
      </c>
    </row>
    <row r="12275">
      <c r="A12275" t="inlineStr">
        <is>
          <t>8056860212369</t>
        </is>
      </c>
      <c r="B12275" t="inlineStr">
        <is>
          <t>Roberto Cavalli Nero Assoluto Women's Perfume</t>
        </is>
      </c>
      <c r="C12275" t="inlineStr">
        <is>
          <t>Eau De Parfum</t>
        </is>
      </c>
      <c r="D12275" t="inlineStr">
        <is>
          <t>Roberto Cavalli</t>
        </is>
      </c>
      <c r="E12275" t="n">
        <v>30.69</v>
      </c>
      <c r="F12275" t="n">
        <v>1</v>
      </c>
      <c r="G12275" t="n">
        <v>15</v>
      </c>
      <c r="H12275" s="5">
        <f>HYPERLINK("https://api.qogita.com/variants/link/8056860212369/", "View Product")</f>
        <v/>
      </c>
    </row>
    <row r="12276">
      <c r="A12276" t="inlineStr">
        <is>
          <t>8057509460035</t>
        </is>
      </c>
      <c r="B12276" t="inlineStr">
        <is>
          <t>Giardini Di Toscana Bianco Oro Eau De Parfum Spray 100ml</t>
        </is>
      </c>
      <c r="C12276" t="inlineStr">
        <is>
          <t>Eau De Parfum</t>
        </is>
      </c>
      <c r="D12276" t="inlineStr">
        <is>
          <t>Giardini Di Toscana</t>
        </is>
      </c>
      <c r="E12276" t="n">
        <v>91.88</v>
      </c>
      <c r="F12276" t="n">
        <v>1</v>
      </c>
      <c r="G12276" t="n">
        <v>3</v>
      </c>
      <c r="H12276" s="5">
        <f>HYPERLINK("https://api.qogita.com/variants/link/8057509460035/", "View Product")</f>
        <v/>
      </c>
    </row>
    <row r="12277">
      <c r="A12277" t="inlineStr">
        <is>
          <t>8057714450081</t>
        </is>
      </c>
      <c r="B12277" t="inlineStr">
        <is>
          <t>Iceberg Eau De Iceberg Cedar Pour Homme Toilet Water Spray 100ml</t>
        </is>
      </c>
      <c r="C12277" t="inlineStr">
        <is>
          <t>Eau De Toilette</t>
        </is>
      </c>
      <c r="D12277" t="inlineStr">
        <is>
          <t>Iceberg</t>
        </is>
      </c>
      <c r="E12277" t="n">
        <v>11.46</v>
      </c>
      <c r="F12277" t="n">
        <v>1</v>
      </c>
      <c r="G12277" t="n">
        <v>11</v>
      </c>
      <c r="H12277" s="5">
        <f>HYPERLINK("https://api.qogita.com/variants/link/8057714450081/", "View Product")</f>
        <v/>
      </c>
    </row>
    <row r="12278">
      <c r="A12278" t="inlineStr">
        <is>
          <t>8057714450111</t>
        </is>
      </c>
      <c r="B12278" t="inlineStr">
        <is>
          <t>Iceberg Eau De Iceberg Jasmine Pour Femme Toilet Water Spray 100ml</t>
        </is>
      </c>
      <c r="C12278" t="inlineStr">
        <is>
          <t>Eau De Toilette</t>
        </is>
      </c>
      <c r="D12278" t="inlineStr">
        <is>
          <t>Iceberg</t>
        </is>
      </c>
      <c r="E12278" t="n">
        <v>11.46</v>
      </c>
      <c r="F12278" t="n">
        <v>1</v>
      </c>
      <c r="G12278" t="n">
        <v>11</v>
      </c>
      <c r="H12278" s="5">
        <f>HYPERLINK("https://api.qogita.com/variants/link/8057714450111/", "View Product")</f>
        <v/>
      </c>
    </row>
    <row r="12279">
      <c r="A12279" t="inlineStr">
        <is>
          <t>8057714450777</t>
        </is>
      </c>
      <c r="B12279" t="inlineStr">
        <is>
          <t>Iceberg Twice Gold Men Eau De Toilette Spray 125 Ml</t>
        </is>
      </c>
      <c r="C12279" t="inlineStr">
        <is>
          <t>Eau De Toilette</t>
        </is>
      </c>
      <c r="D12279" t="inlineStr">
        <is>
          <t>Iceberg</t>
        </is>
      </c>
      <c r="E12279" t="n">
        <v>13.65</v>
      </c>
      <c r="F12279" t="n">
        <v>1</v>
      </c>
      <c r="G12279" t="n">
        <v>7</v>
      </c>
      <c r="H12279" s="5">
        <f>HYPERLINK("https://api.qogita.com/variants/link/8057714450777/", "View Product")</f>
        <v/>
      </c>
    </row>
    <row r="12280">
      <c r="A12280" t="inlineStr">
        <is>
          <t>8057714450814</t>
        </is>
      </c>
      <c r="B12280" t="inlineStr">
        <is>
          <t>Iceberg Twice Platinum Eau De Toilette Spray 125ml</t>
        </is>
      </c>
      <c r="C12280" t="inlineStr">
        <is>
          <t>Eau De Toilette</t>
        </is>
      </c>
      <c r="D12280" t="inlineStr">
        <is>
          <t>Iceberg</t>
        </is>
      </c>
      <c r="E12280" t="n">
        <v>13.6</v>
      </c>
      <c r="F12280" t="n">
        <v>1</v>
      </c>
      <c r="G12280" t="n">
        <v>4</v>
      </c>
      <c r="H12280" s="5">
        <f>HYPERLINK("https://api.qogita.com/variants/link/8057714450814/", "View Product")</f>
        <v/>
      </c>
    </row>
    <row r="12281">
      <c r="A12281" t="inlineStr">
        <is>
          <t>8057971180257</t>
        </is>
      </c>
      <c r="B12281" t="inlineStr">
        <is>
          <t>Dolce &amp; Gabbana Fig Skin Perfector Shine Control Blurring Powder 6.5 G</t>
        </is>
      </c>
      <c r="C12281" t="inlineStr">
        <is>
          <t>Powder</t>
        </is>
      </c>
      <c r="D12281" t="inlineStr">
        <is>
          <t>Dolce &amp; Gabbana</t>
        </is>
      </c>
      <c r="E12281" t="n">
        <v>37.48</v>
      </c>
      <c r="F12281" t="n">
        <v>1</v>
      </c>
      <c r="G12281" t="n">
        <v>5</v>
      </c>
      <c r="H12281" s="5">
        <f>HYPERLINK("https://api.qogita.com/variants/link/8057971180257/", "View Product")</f>
        <v/>
      </c>
    </row>
    <row r="12282">
      <c r="A12282" t="inlineStr">
        <is>
          <t>8057971180295</t>
        </is>
      </c>
      <c r="B12282" t="inlineStr">
        <is>
          <t>Dolce &amp; Gabbana Dolce Eau De Parfum 75ml</t>
        </is>
      </c>
      <c r="C12282" t="inlineStr">
        <is>
          <t>Eau De Parfum</t>
        </is>
      </c>
      <c r="D12282" t="inlineStr">
        <is>
          <t>Dolce &amp; Gabbana</t>
        </is>
      </c>
      <c r="E12282" t="n">
        <v>62.95</v>
      </c>
      <c r="F12282" t="n">
        <v>1</v>
      </c>
      <c r="G12282" t="n">
        <v>16</v>
      </c>
      <c r="H12282" s="5">
        <f>HYPERLINK("https://api.qogita.com/variants/link/8057971180295/", "View Product")</f>
        <v/>
      </c>
    </row>
    <row r="12283">
      <c r="A12283" t="inlineStr">
        <is>
          <t>8057971180325</t>
        </is>
      </c>
      <c r="B12283" t="inlineStr">
        <is>
          <t>Dolce&amp;Gabbana Light Blue Woman Eau De Toilette Spray 200ml</t>
        </is>
      </c>
      <c r="C12283" t="inlineStr">
        <is>
          <t>Eau De Toilette</t>
        </is>
      </c>
      <c r="D12283" t="inlineStr">
        <is>
          <t>Dolce &amp; Gabbana</t>
        </is>
      </c>
      <c r="E12283" t="n">
        <v>61.64</v>
      </c>
      <c r="F12283" t="n">
        <v>1</v>
      </c>
      <c r="G12283" t="n">
        <v>986</v>
      </c>
      <c r="H12283" s="5">
        <f>HYPERLINK("https://api.qogita.com/variants/link/8057971180325/", "View Product")</f>
        <v/>
      </c>
    </row>
    <row r="12284">
      <c r="A12284" t="inlineStr">
        <is>
          <t>8057971180349</t>
        </is>
      </c>
      <c r="B12284" t="inlineStr">
        <is>
          <t>Dolce &amp; Gabbana Light Blue Pour Femme Eau De Toilette Spray 50ml</t>
        </is>
      </c>
      <c r="C12284" t="inlineStr">
        <is>
          <t>Eau De Toilette</t>
        </is>
      </c>
      <c r="D12284" t="inlineStr">
        <is>
          <t>Dolce &amp; Gabbana</t>
        </is>
      </c>
      <c r="E12284" t="n">
        <v>31.61</v>
      </c>
      <c r="F12284" t="n">
        <v>1</v>
      </c>
      <c r="G12284" t="n">
        <v>44</v>
      </c>
      <c r="H12284" s="5">
        <f>HYPERLINK("https://api.qogita.com/variants/link/8057971180349/", "View Product")</f>
        <v/>
      </c>
    </row>
    <row r="12285">
      <c r="A12285" t="inlineStr">
        <is>
          <t>8057971180462</t>
        </is>
      </c>
      <c r="B12285" t="inlineStr">
        <is>
          <t>Dolce &amp; Gabbana Pour Homme Intenso Eau De Parfum Spray 200ml</t>
        </is>
      </c>
      <c r="C12285" t="inlineStr">
        <is>
          <t>Eau De Parfum</t>
        </is>
      </c>
      <c r="D12285" t="inlineStr">
        <is>
          <t>Dolce &amp; Gabbana</t>
        </is>
      </c>
      <c r="E12285" t="n">
        <v>62.35</v>
      </c>
      <c r="F12285" t="n">
        <v>1</v>
      </c>
      <c r="G12285" t="n">
        <v>54</v>
      </c>
      <c r="H12285" s="5">
        <f>HYPERLINK("https://api.qogita.com/variants/link/8057971180462/", "View Product")</f>
        <v/>
      </c>
    </row>
    <row r="12286">
      <c r="A12286" t="inlineStr">
        <is>
          <t>8057971180479</t>
        </is>
      </c>
      <c r="B12286" t="inlineStr">
        <is>
          <t>Dolce &amp; Gabbana The One Eau De Parfum 30ml</t>
        </is>
      </c>
      <c r="C12286" t="inlineStr">
        <is>
          <t>Eau De Parfum</t>
        </is>
      </c>
      <c r="D12286" t="inlineStr">
        <is>
          <t>Dolce &amp; Gabbana</t>
        </is>
      </c>
      <c r="E12286" t="n">
        <v>34.95</v>
      </c>
      <c r="F12286" t="n">
        <v>1</v>
      </c>
      <c r="G12286" t="n">
        <v>8</v>
      </c>
      <c r="H12286" s="5">
        <f>HYPERLINK("https://api.qogita.com/variants/link/8057971180479/", "View Product")</f>
        <v/>
      </c>
    </row>
    <row r="12287">
      <c r="A12287" t="inlineStr">
        <is>
          <t>8057971180516</t>
        </is>
      </c>
      <c r="B12287" t="inlineStr">
        <is>
          <t>Dolce&amp;Gabbana The One For Men Eau De Toilette Spray 150ml</t>
        </is>
      </c>
      <c r="C12287" t="inlineStr">
        <is>
          <t>Eau De Toilette</t>
        </is>
      </c>
      <c r="D12287" t="inlineStr">
        <is>
          <t>Dolce &amp; Gabbana</t>
        </is>
      </c>
      <c r="E12287" t="n">
        <v>51.77</v>
      </c>
      <c r="F12287" t="n">
        <v>1</v>
      </c>
      <c r="G12287" t="n">
        <v>21</v>
      </c>
      <c r="H12287" s="5">
        <f>HYPERLINK("https://api.qogita.com/variants/link/8057971180516/", "View Product")</f>
        <v/>
      </c>
    </row>
    <row r="12288">
      <c r="A12288" t="inlineStr">
        <is>
          <t>8057971180530</t>
        </is>
      </c>
      <c r="B12288" t="inlineStr">
        <is>
          <t>Dolce&amp;Gabbana The One For Men Eau De Toilette Spray 50ml</t>
        </is>
      </c>
      <c r="C12288" t="inlineStr">
        <is>
          <t>Eau De Toilette</t>
        </is>
      </c>
      <c r="D12288" t="inlineStr">
        <is>
          <t>Dolce &amp; Gabbana</t>
        </is>
      </c>
      <c r="E12288" t="n">
        <v>39.62</v>
      </c>
      <c r="F12288" t="n">
        <v>1</v>
      </c>
      <c r="G12288" t="n">
        <v>10</v>
      </c>
      <c r="H12288" s="5">
        <f>HYPERLINK("https://api.qogita.com/variants/link/8057971180530/", "View Product")</f>
        <v/>
      </c>
    </row>
    <row r="12289">
      <c r="A12289" t="inlineStr">
        <is>
          <t>8057971180554</t>
        </is>
      </c>
      <c r="B12289" t="inlineStr">
        <is>
          <t>Dolce&amp;Gabbana The One For Men Eau De Parfum Spray 150ml</t>
        </is>
      </c>
      <c r="C12289" t="inlineStr">
        <is>
          <t>Eau De Parfum</t>
        </is>
      </c>
      <c r="D12289" t="inlineStr">
        <is>
          <t>Dolce &amp; Gabbana</t>
        </is>
      </c>
      <c r="E12289" t="n">
        <v>56.44</v>
      </c>
      <c r="F12289" t="n">
        <v>1</v>
      </c>
      <c r="G12289" t="n">
        <v>196</v>
      </c>
      <c r="H12289" s="5">
        <f>HYPERLINK("https://api.qogita.com/variants/link/8057971180554/", "View Product")</f>
        <v/>
      </c>
    </row>
    <row r="12290">
      <c r="A12290" t="inlineStr">
        <is>
          <t>8057971181216</t>
        </is>
      </c>
      <c r="B12290" t="inlineStr">
        <is>
          <t>Dolce &amp; Gabbana Mattifying Foundation Spf 20 Everlast Foundation - 27 Ml</t>
        </is>
      </c>
      <c r="C12290" t="inlineStr">
        <is>
          <t>Foundation</t>
        </is>
      </c>
      <c r="D12290" t="inlineStr">
        <is>
          <t>Dolce &amp; Gabbana</t>
        </is>
      </c>
      <c r="E12290" t="n">
        <v>47.85</v>
      </c>
      <c r="F12290" t="n">
        <v>1</v>
      </c>
      <c r="G12290" t="n">
        <v>9</v>
      </c>
      <c r="H12290" s="5">
        <f>HYPERLINK("https://api.qogita.com/variants/link/8057971181216/", "View Product")</f>
        <v/>
      </c>
    </row>
    <row r="12291">
      <c r="A12291" t="inlineStr">
        <is>
          <t>8057971181483</t>
        </is>
      </c>
      <c r="B12291" t="inlineStr">
        <is>
          <t>Dolce &amp; Gabbana K Eau De Toilette Spray 50ml</t>
        </is>
      </c>
      <c r="C12291" t="inlineStr">
        <is>
          <t>Eau De Toilette</t>
        </is>
      </c>
      <c r="D12291" t="inlineStr">
        <is>
          <t>Dolce &amp; Gabbana</t>
        </is>
      </c>
      <c r="E12291" t="n">
        <v>39.22</v>
      </c>
      <c r="F12291" t="n">
        <v>1</v>
      </c>
      <c r="G12291" t="n">
        <v>5</v>
      </c>
      <c r="H12291" s="5">
        <f>HYPERLINK("https://api.qogita.com/variants/link/8057971181483/", "View Product")</f>
        <v/>
      </c>
    </row>
    <row r="12292">
      <c r="A12292" t="inlineStr">
        <is>
          <t>8057971181544</t>
        </is>
      </c>
      <c r="B12292" t="inlineStr">
        <is>
          <t>Dolce&amp;Gabbana K Eau De Toilette Spray 100ml</t>
        </is>
      </c>
      <c r="C12292" t="inlineStr">
        <is>
          <t>Eau De Toilette</t>
        </is>
      </c>
      <c r="D12292" t="inlineStr">
        <is>
          <t>Dolce &amp; Gabbana</t>
        </is>
      </c>
      <c r="E12292" t="n">
        <v>46.95</v>
      </c>
      <c r="F12292" t="n">
        <v>1</v>
      </c>
      <c r="G12292" t="n">
        <v>46</v>
      </c>
      <c r="H12292" s="5">
        <f>HYPERLINK("https://api.qogita.com/variants/link/8057971181544/", "View Product")</f>
        <v/>
      </c>
    </row>
    <row r="12293">
      <c r="A12293" t="inlineStr">
        <is>
          <t>8057971182053</t>
        </is>
      </c>
      <c r="B12293" t="inlineStr">
        <is>
          <t>Dolce&amp;Gabbana L'Imperatrice Eau De Toilette Spray 100ml</t>
        </is>
      </c>
      <c r="C12293" t="inlineStr">
        <is>
          <t>Eau De Toilette</t>
        </is>
      </c>
      <c r="D12293" t="inlineStr">
        <is>
          <t>Dolce &amp; Gabbana</t>
        </is>
      </c>
      <c r="E12293" t="n">
        <v>31.29</v>
      </c>
      <c r="F12293" t="n">
        <v>1</v>
      </c>
      <c r="G12293" t="n">
        <v>288</v>
      </c>
      <c r="H12293" s="5">
        <f>HYPERLINK("https://api.qogita.com/variants/link/8057971182053/", "View Product")</f>
        <v/>
      </c>
    </row>
    <row r="12294">
      <c r="A12294" t="inlineStr">
        <is>
          <t>8057971183029</t>
        </is>
      </c>
      <c r="B12294" t="inlineStr">
        <is>
          <t>Dolce &amp; Gabbana Dolce Lily Eau De Toilette 75ml</t>
        </is>
      </c>
      <c r="C12294" t="inlineStr">
        <is>
          <t>Eau De Toilette</t>
        </is>
      </c>
      <c r="D12294" t="inlineStr">
        <is>
          <t>Dolce &amp; Gabbana</t>
        </is>
      </c>
      <c r="E12294" t="n">
        <v>36.05</v>
      </c>
      <c r="F12294" t="n">
        <v>1</v>
      </c>
      <c r="G12294" t="n">
        <v>17</v>
      </c>
      <c r="H12294" s="5">
        <f>HYPERLINK("https://api.qogita.com/variants/link/8057971183029/", "View Product")</f>
        <v/>
      </c>
    </row>
    <row r="12295">
      <c r="A12295" t="inlineStr">
        <is>
          <t>8057971183500</t>
        </is>
      </c>
      <c r="B12295" t="inlineStr">
        <is>
          <t>Light Blue Summer Vibes by Dolce &amp; Gabbana for Women 3.3 oz EDT Spray</t>
        </is>
      </c>
      <c r="C12295" t="inlineStr">
        <is>
          <t>Eau De Toilette</t>
        </is>
      </c>
      <c r="D12295" t="inlineStr">
        <is>
          <t>Dolce &amp; Gabbana</t>
        </is>
      </c>
      <c r="E12295" t="n">
        <v>39.61</v>
      </c>
      <c r="F12295" t="n">
        <v>1</v>
      </c>
      <c r="G12295" t="n">
        <v>164</v>
      </c>
      <c r="H12295" s="5">
        <f>HYPERLINK("https://api.qogita.com/variants/link/8057971183500/", "View Product")</f>
        <v/>
      </c>
    </row>
    <row r="12296">
      <c r="A12296" t="inlineStr">
        <is>
          <t>8057971183661</t>
        </is>
      </c>
      <c r="B12296" t="inlineStr">
        <is>
          <t>Dolce &amp; Gabbana Q Eau De Parfum Spray 100ml</t>
        </is>
      </c>
      <c r="C12296" t="inlineStr">
        <is>
          <t>Eau De Parfum</t>
        </is>
      </c>
      <c r="D12296" t="inlineStr">
        <is>
          <t>Dolce &amp; Gabbana</t>
        </is>
      </c>
      <c r="E12296" t="n">
        <v>78.37</v>
      </c>
      <c r="F12296" t="n">
        <v>1</v>
      </c>
      <c r="G12296" t="n">
        <v>9</v>
      </c>
      <c r="H12296" s="5">
        <f>HYPERLINK("https://api.qogita.com/variants/link/8057971183661/", "View Product")</f>
        <v/>
      </c>
    </row>
    <row r="12297">
      <c r="A12297" t="inlineStr">
        <is>
          <t>8057971183739</t>
        </is>
      </c>
      <c r="B12297" t="inlineStr">
        <is>
          <t>Dolce &amp; Gabbana Devotion Eau De Parfum Spray 100ml</t>
        </is>
      </c>
      <c r="C12297" t="inlineStr">
        <is>
          <t>Eau De Parfum</t>
        </is>
      </c>
      <c r="D12297" t="inlineStr">
        <is>
          <t>Dolce &amp; Gabbana</t>
        </is>
      </c>
      <c r="E12297" t="n">
        <v>47.53</v>
      </c>
      <c r="F12297" t="n">
        <v>1</v>
      </c>
      <c r="G12297" t="n">
        <v>106</v>
      </c>
      <c r="H12297" s="5">
        <f>HYPERLINK("https://api.qogita.com/variants/link/8057971183739/", "View Product")</f>
        <v/>
      </c>
    </row>
    <row r="12298">
      <c r="A12298" t="inlineStr">
        <is>
          <t>8057971183784</t>
        </is>
      </c>
      <c r="B12298" t="inlineStr">
        <is>
          <t>Dolce &amp; Gabbana Dolce Violette Eau De Toilette</t>
        </is>
      </c>
      <c r="C12298" t="inlineStr">
        <is>
          <t>Eau De Toilette</t>
        </is>
      </c>
      <c r="D12298" t="inlineStr">
        <is>
          <t>Dolce &amp; Gabbana</t>
        </is>
      </c>
      <c r="E12298" t="n">
        <v>35.36</v>
      </c>
      <c r="F12298" t="n">
        <v>1</v>
      </c>
      <c r="G12298" t="n">
        <v>5</v>
      </c>
      <c r="H12298" s="5">
        <f>HYPERLINK("https://api.qogita.com/variants/link/8057971183784/", "View Product")</f>
        <v/>
      </c>
    </row>
    <row r="12299">
      <c r="A12299" t="inlineStr">
        <is>
          <t>8057971183913</t>
        </is>
      </c>
      <c r="B12299" t="inlineStr">
        <is>
          <t>Dolce &amp; Gabbana K Eau De Toilette Spray 200ml</t>
        </is>
      </c>
      <c r="C12299" t="inlineStr">
        <is>
          <t>Eau De Toilette</t>
        </is>
      </c>
      <c r="D12299" t="inlineStr">
        <is>
          <t>Dolce &amp; Gabbana</t>
        </is>
      </c>
      <c r="E12299" t="n">
        <v>75.7</v>
      </c>
      <c r="F12299" t="n">
        <v>1</v>
      </c>
      <c r="G12299" t="n">
        <v>4</v>
      </c>
      <c r="H12299" s="5">
        <f>HYPERLINK("https://api.qogita.com/variants/link/8057971183913/", "View Product")</f>
        <v/>
      </c>
    </row>
    <row r="12300">
      <c r="A12300" t="inlineStr">
        <is>
          <t>8057971185450</t>
        </is>
      </c>
      <c r="B12300" t="inlineStr">
        <is>
          <t>Dolce &amp; Gabbana Q For Women Set 1.7 Fl Oz and 0.33 Fl Oz EDP</t>
        </is>
      </c>
      <c r="C12300" t="inlineStr">
        <is>
          <t>Fragrance Sets</t>
        </is>
      </c>
      <c r="D12300" t="inlineStr">
        <is>
          <t>Dolce &amp; Gabbana</t>
        </is>
      </c>
      <c r="E12300" t="n">
        <v>52.49</v>
      </c>
      <c r="F12300" t="n">
        <v>1</v>
      </c>
      <c r="G12300" t="n">
        <v>8</v>
      </c>
      <c r="H12300" s="5">
        <f>HYPERLINK("https://api.qogita.com/variants/link/8057971185450/", "View Product")</f>
        <v/>
      </c>
    </row>
    <row r="12301">
      <c r="A12301" t="inlineStr">
        <is>
          <t>8057971185481</t>
        </is>
      </c>
      <c r="B12301" t="inlineStr">
        <is>
          <t>Dolce &amp; Gabbana Q for Women Set 3.3 oz EDP Spray 0.33 oz EDP Travel Spray NEW</t>
        </is>
      </c>
      <c r="C12301" t="inlineStr">
        <is>
          <t>Fragrance Sets</t>
        </is>
      </c>
      <c r="D12301" t="inlineStr">
        <is>
          <t>Dolce &amp; Gabbana</t>
        </is>
      </c>
      <c r="E12301" t="n">
        <v>62.8</v>
      </c>
      <c r="F12301" t="n">
        <v>1</v>
      </c>
      <c r="G12301" t="n">
        <v>12</v>
      </c>
      <c r="H12301" s="5">
        <f>HYPERLINK("https://api.qogita.com/variants/link/8057971185481/", "View Product")</f>
        <v/>
      </c>
    </row>
    <row r="12302">
      <c r="A12302" t="inlineStr">
        <is>
          <t>8057971187843</t>
        </is>
      </c>
      <c r="B12302" t="inlineStr">
        <is>
          <t>Dolce &amp; Gabbana Q By Dolce &amp; Gabbana Intense Eau De Parfum Spray 50ml</t>
        </is>
      </c>
      <c r="C12302" t="inlineStr">
        <is>
          <t>Eau De Parfum</t>
        </is>
      </c>
      <c r="D12302" t="inlineStr">
        <is>
          <t>Dolce &amp; Gabbana</t>
        </is>
      </c>
      <c r="E12302" t="n">
        <v>48.51</v>
      </c>
      <c r="F12302" t="n">
        <v>1</v>
      </c>
      <c r="G12302" t="n">
        <v>10</v>
      </c>
      <c r="H12302" s="5">
        <f>HYPERLINK("https://api.qogita.com/variants/link/8057971187843/", "View Product")</f>
        <v/>
      </c>
    </row>
    <row r="12303">
      <c r="A12303" t="inlineStr">
        <is>
          <t>8057971187904</t>
        </is>
      </c>
      <c r="B12303" t="inlineStr">
        <is>
          <t>Dolce &amp; Gabbana K By Dolce &amp; Gabbana Intense Eau De Parfum Spray 50ml</t>
        </is>
      </c>
      <c r="C12303" t="inlineStr">
        <is>
          <t>Eau De Parfum</t>
        </is>
      </c>
      <c r="D12303" t="inlineStr">
        <is>
          <t>Dolce &amp; Gabbana</t>
        </is>
      </c>
      <c r="E12303" t="n">
        <v>40.83</v>
      </c>
      <c r="F12303" t="n">
        <v>1</v>
      </c>
      <c r="G12303" t="n">
        <v>15</v>
      </c>
      <c r="H12303" s="5">
        <f>HYPERLINK("https://api.qogita.com/variants/link/8057971187904/", "View Product")</f>
        <v/>
      </c>
    </row>
    <row r="12304">
      <c r="A12304" t="inlineStr">
        <is>
          <t>8057971187911</t>
        </is>
      </c>
      <c r="B12304" t="inlineStr">
        <is>
          <t>Dolce &amp; Gabbana K By Dolce &amp; Gabbana Intense Eau De Parfum Spray 100ml</t>
        </is>
      </c>
      <c r="C12304" t="inlineStr">
        <is>
          <t>Eau De Parfum</t>
        </is>
      </c>
      <c r="D12304" t="inlineStr">
        <is>
          <t>Dolce &amp; Gabbana</t>
        </is>
      </c>
      <c r="E12304" t="n">
        <v>54.22</v>
      </c>
      <c r="F12304" t="n">
        <v>1</v>
      </c>
      <c r="G12304" t="n">
        <v>22</v>
      </c>
      <c r="H12304" s="5">
        <f>HYPERLINK("https://api.qogita.com/variants/link/8057971187911/", "View Product")</f>
        <v/>
      </c>
    </row>
    <row r="12305">
      <c r="A12305" t="inlineStr">
        <is>
          <t>8057971188116</t>
        </is>
      </c>
      <c r="B12305" t="inlineStr">
        <is>
          <t>Dolce &amp; Gabbana Light Blue Pour Homme Eau De Toilette 100ml</t>
        </is>
      </c>
      <c r="C12305" t="inlineStr">
        <is>
          <t>Eau De Toilette</t>
        </is>
      </c>
      <c r="D12305" t="inlineStr">
        <is>
          <t>Dolce &amp; Gabbana</t>
        </is>
      </c>
      <c r="E12305" t="n">
        <v>41.38</v>
      </c>
      <c r="F12305" t="n">
        <v>1</v>
      </c>
      <c r="G12305" t="n">
        <v>3</v>
      </c>
      <c r="H12305" s="5">
        <f>HYPERLINK("https://api.qogita.com/variants/link/8057971188116/", "View Product")</f>
        <v/>
      </c>
    </row>
    <row r="12306">
      <c r="A12306" t="inlineStr">
        <is>
          <t>8057971188123</t>
        </is>
      </c>
      <c r="B12306" t="inlineStr">
        <is>
          <t>Dolce &amp; Gabbana Light Blue Pour Homme Eau De Toilette Spray 200ml</t>
        </is>
      </c>
      <c r="C12306" t="inlineStr">
        <is>
          <t>Eau De Toilette</t>
        </is>
      </c>
      <c r="D12306" t="inlineStr">
        <is>
          <t>Dolce &amp; Gabbana</t>
        </is>
      </c>
      <c r="E12306" t="n">
        <v>57.01</v>
      </c>
      <c r="F12306" t="n">
        <v>1</v>
      </c>
      <c r="G12306" t="n">
        <v>267</v>
      </c>
      <c r="H12306" s="5">
        <f>HYPERLINK("https://api.qogita.com/variants/link/8057971188123/", "View Product")</f>
        <v/>
      </c>
    </row>
    <row r="12307">
      <c r="A12307" t="inlineStr">
        <is>
          <t>8057971188680</t>
        </is>
      </c>
      <c r="B12307" t="inlineStr">
        <is>
          <t>Dolce &amp; Gabbana The One Gold Eau De Parfum 75ml</t>
        </is>
      </c>
      <c r="C12307" t="inlineStr">
        <is>
          <t>Eau De Parfum</t>
        </is>
      </c>
      <c r="D12307" t="inlineStr">
        <is>
          <t>Dolce &amp; Gabbana</t>
        </is>
      </c>
      <c r="E12307" t="n">
        <v>52.51</v>
      </c>
      <c r="F12307" t="n">
        <v>1</v>
      </c>
      <c r="G12307" t="n">
        <v>38</v>
      </c>
      <c r="H12307" s="5">
        <f>HYPERLINK("https://api.qogita.com/variants/link/8057971188680/", "View Product")</f>
        <v/>
      </c>
    </row>
    <row r="12308">
      <c r="A12308" t="inlineStr">
        <is>
          <t>8057971188727</t>
        </is>
      </c>
      <c r="B12308" t="inlineStr">
        <is>
          <t>Dolce &amp; Gabbana Gold The One For Men Eau De Parfum Intense 100ml</t>
        </is>
      </c>
      <c r="C12308" t="inlineStr">
        <is>
          <t>Eau De Parfum</t>
        </is>
      </c>
      <c r="D12308" t="inlineStr">
        <is>
          <t>Dolce &amp; Gabbana</t>
        </is>
      </c>
      <c r="E12308" t="n">
        <v>52.11</v>
      </c>
      <c r="F12308" t="n">
        <v>1</v>
      </c>
      <c r="G12308" t="n">
        <v>39</v>
      </c>
      <c r="H12308" s="5">
        <f>HYPERLINK("https://api.qogita.com/variants/link/8057971188727/", "View Product")</f>
        <v/>
      </c>
    </row>
    <row r="12309">
      <c r="A12309" t="inlineStr">
        <is>
          <t>8057971189427</t>
        </is>
      </c>
      <c r="B12309" t="inlineStr">
        <is>
          <t>Dolce &amp; Gabbana Cheeks &amp; Eyes Match Blush - 8 G</t>
        </is>
      </c>
      <c r="C12309" t="inlineStr">
        <is>
          <t>Blush</t>
        </is>
      </c>
      <c r="D12309" t="inlineStr">
        <is>
          <t>Dolce &amp; Gabbana</t>
        </is>
      </c>
      <c r="E12309" t="n">
        <v>36.26</v>
      </c>
      <c r="F12309" t="n">
        <v>1</v>
      </c>
      <c r="G12309" t="n">
        <v>3</v>
      </c>
      <c r="H12309" s="5">
        <f>HYPERLINK("https://api.qogita.com/variants/link/8057971189427/", "View Product")</f>
        <v/>
      </c>
    </row>
    <row r="12310">
      <c r="A12310" t="inlineStr">
        <is>
          <t>8057971189441</t>
        </is>
      </c>
      <c r="B12310" t="inlineStr">
        <is>
          <t>Dolce &amp; Gabbana Cheeks &amp; Eyes Match Blush - Blush &amp; Eyeshadow Powder, 8 Grams</t>
        </is>
      </c>
      <c r="C12310" t="inlineStr">
        <is>
          <t>Blush</t>
        </is>
      </c>
      <c r="D12310" t="inlineStr">
        <is>
          <t>Dolce &amp; Gabbana</t>
        </is>
      </c>
      <c r="E12310" t="n">
        <v>36</v>
      </c>
      <c r="F12310" t="n">
        <v>1</v>
      </c>
      <c r="G12310" t="n">
        <v>2</v>
      </c>
      <c r="H12310" s="5">
        <f>HYPERLINK("https://api.qogita.com/variants/link/8057971189441/", "View Product")</f>
        <v/>
      </c>
    </row>
    <row r="12311">
      <c r="A12311" t="inlineStr">
        <is>
          <t>8057971189472</t>
        </is>
      </c>
      <c r="B12311" t="inlineStr">
        <is>
          <t>Dolce &amp; Gabbana Face &amp; Eyes Match Powder Bronzer Lasting Bronzer &amp; Eyeshadow Powder 14 G</t>
        </is>
      </c>
      <c r="C12311" t="inlineStr">
        <is>
          <t>Bronzer</t>
        </is>
      </c>
      <c r="D12311" t="inlineStr">
        <is>
          <t>Dolce &amp; Gabbana</t>
        </is>
      </c>
      <c r="E12311" t="n">
        <v>43.26</v>
      </c>
      <c r="F12311" t="n">
        <v>1</v>
      </c>
      <c r="G12311" t="n">
        <v>2</v>
      </c>
      <c r="H12311" s="5">
        <f>HYPERLINK("https://api.qogita.com/variants/link/8057971189472/", "View Product")</f>
        <v/>
      </c>
    </row>
    <row r="12312">
      <c r="A12312" t="inlineStr">
        <is>
          <t>8058045420347</t>
        </is>
      </c>
      <c r="B12312" t="inlineStr">
        <is>
          <t>Trussardi Rif Blue Vibe EDT 100ml</t>
        </is>
      </c>
      <c r="C12312" t="inlineStr">
        <is>
          <t>Eau De Toilette</t>
        </is>
      </c>
      <c r="D12312" t="inlineStr">
        <is>
          <t>Trussardi</t>
        </is>
      </c>
      <c r="E12312" t="n">
        <v>39.17</v>
      </c>
      <c r="F12312" t="n">
        <v>1</v>
      </c>
      <c r="G12312" t="n">
        <v>12</v>
      </c>
      <c r="H12312" s="5">
        <f>HYPERLINK("https://api.qogita.com/variants/link/8058045420347/", "View Product")</f>
        <v/>
      </c>
    </row>
    <row r="12313">
      <c r="A12313" t="inlineStr">
        <is>
          <t>8058045421535</t>
        </is>
      </c>
      <c r="B12313" t="inlineStr">
        <is>
          <t>Blockage 24H Moisturizing Defense Gel 50ml</t>
        </is>
      </c>
      <c r="C12313" t="inlineStr">
        <is>
          <t>Face Cream</t>
        </is>
      </c>
      <c r="D12313" t="inlineStr">
        <is>
          <t>Anne Moller</t>
        </is>
      </c>
      <c r="E12313" t="n">
        <v>18.44</v>
      </c>
      <c r="F12313" t="n">
        <v>1</v>
      </c>
      <c r="G12313" t="n">
        <v>2</v>
      </c>
      <c r="H12313" s="5">
        <f>HYPERLINK("https://api.qogita.com/variants/link/8058045421535/", "View Product")</f>
        <v/>
      </c>
    </row>
    <row r="12314">
      <c r="A12314" t="inlineStr">
        <is>
          <t>8058045422907</t>
        </is>
      </c>
      <c r="B12314" t="inlineStr">
        <is>
          <t>Trussardi Donna Pink Marina Eau De Toilette 50ml</t>
        </is>
      </c>
      <c r="C12314" t="inlineStr">
        <is>
          <t>Eau De Toilette</t>
        </is>
      </c>
      <c r="D12314" t="inlineStr">
        <is>
          <t>Trussardi</t>
        </is>
      </c>
      <c r="E12314" t="n">
        <v>27.04</v>
      </c>
      <c r="F12314" t="n">
        <v>1</v>
      </c>
      <c r="G12314" t="n">
        <v>17</v>
      </c>
      <c r="H12314" s="5">
        <f>HYPERLINK("https://api.qogita.com/variants/link/8058045422907/", "View Product")</f>
        <v/>
      </c>
    </row>
    <row r="12315">
      <c r="A12315" t="inlineStr">
        <is>
          <t>8058045422914</t>
        </is>
      </c>
      <c r="B12315" t="inlineStr">
        <is>
          <t>Trussardi Donna Pink Marina Eau De Toilette Spray 100ml</t>
        </is>
      </c>
      <c r="C12315" t="inlineStr">
        <is>
          <t>Eau De Toilette</t>
        </is>
      </c>
      <c r="D12315" t="inlineStr">
        <is>
          <t>Trussardi</t>
        </is>
      </c>
      <c r="E12315" t="n">
        <v>32.94</v>
      </c>
      <c r="F12315" t="n">
        <v>1</v>
      </c>
      <c r="G12315" t="n">
        <v>52</v>
      </c>
      <c r="H12315" s="5">
        <f>HYPERLINK("https://api.qogita.com/variants/link/8058045422914/", "View Product")</f>
        <v/>
      </c>
    </row>
    <row r="12316">
      <c r="A12316" t="inlineStr">
        <is>
          <t>8058045423171</t>
        </is>
      </c>
      <c r="B12316" t="inlineStr">
        <is>
          <t>Gianfranco Ferré for Men 30ml</t>
        </is>
      </c>
      <c r="C12316" t="inlineStr">
        <is>
          <t>Eau De Toilette</t>
        </is>
      </c>
      <c r="D12316" t="inlineStr">
        <is>
          <t>Gianfranco Ferre</t>
        </is>
      </c>
      <c r="E12316" t="n">
        <v>5.68</v>
      </c>
      <c r="F12316" t="n">
        <v>1</v>
      </c>
      <c r="G12316" t="n">
        <v>31</v>
      </c>
      <c r="H12316" s="5">
        <f>HYPERLINK("https://api.qogita.com/variants/link/8058045423171/", "View Product")</f>
        <v/>
      </c>
    </row>
    <row r="12317">
      <c r="A12317" t="inlineStr">
        <is>
          <t>8058045423188</t>
        </is>
      </c>
      <c r="B12317" t="inlineStr">
        <is>
          <t>Gianfranco Ferre Fougere Italiano Eau De Toilette</t>
        </is>
      </c>
      <c r="C12317" t="inlineStr">
        <is>
          <t>Eau De Toilette</t>
        </is>
      </c>
      <c r="D12317" t="inlineStr">
        <is>
          <t>Gianfranco Ferre</t>
        </is>
      </c>
      <c r="E12317" t="n">
        <v>14.58</v>
      </c>
      <c r="F12317" t="n">
        <v>1</v>
      </c>
      <c r="G12317" t="n">
        <v>6</v>
      </c>
      <c r="H12317" s="5">
        <f>HYPERLINK("https://api.qogita.com/variants/link/8058045423188/", "View Product")</f>
        <v/>
      </c>
    </row>
    <row r="12318">
      <c r="A12318" t="inlineStr">
        <is>
          <t>8058045423461</t>
        </is>
      </c>
      <c r="B12318" t="inlineStr">
        <is>
          <t>I Vicoli Via Fiori Chiari Perfumed Water Spray 100ml</t>
        </is>
      </c>
      <c r="C12318" t="inlineStr">
        <is>
          <t>Eau De Parfum</t>
        </is>
      </c>
      <c r="D12318" t="inlineStr">
        <is>
          <t>I Vicoli</t>
        </is>
      </c>
      <c r="E12318" t="n">
        <v>92.67</v>
      </c>
      <c r="F12318" t="n">
        <v>1</v>
      </c>
      <c r="G12318" t="n">
        <v>8</v>
      </c>
      <c r="H12318" s="5">
        <f>HYPERLINK("https://api.qogita.com/variants/link/8058045423461/", "View Product")</f>
        <v/>
      </c>
    </row>
    <row r="12319">
      <c r="A12319" t="inlineStr">
        <is>
          <t>8058045425601</t>
        </is>
      </c>
      <c r="B12319" t="inlineStr">
        <is>
          <t>Trussardi Donna Pink Marina Eau De Toilette 30ml</t>
        </is>
      </c>
      <c r="C12319" t="inlineStr">
        <is>
          <t>Eau De Toilette</t>
        </is>
      </c>
      <c r="D12319" t="inlineStr">
        <is>
          <t>Trussardi</t>
        </is>
      </c>
      <c r="E12319" t="n">
        <v>17.46</v>
      </c>
      <c r="F12319" t="n">
        <v>1</v>
      </c>
      <c r="G12319" t="n">
        <v>12</v>
      </c>
      <c r="H12319" s="5">
        <f>HYPERLINK("https://api.qogita.com/variants/link/8058045425601/", "View Product")</f>
        <v/>
      </c>
    </row>
    <row r="12320">
      <c r="A12320" t="inlineStr">
        <is>
          <t>8058045425625</t>
        </is>
      </c>
      <c r="B12320" t="inlineStr">
        <is>
          <t>Trussardi Eau De Parfum 30ml</t>
        </is>
      </c>
      <c r="C12320" t="inlineStr">
        <is>
          <t>Eau De Parfum</t>
        </is>
      </c>
      <c r="D12320" t="inlineStr">
        <is>
          <t>Trussardi</t>
        </is>
      </c>
      <c r="E12320" t="n">
        <v>19.68</v>
      </c>
      <c r="F12320" t="n">
        <v>1</v>
      </c>
      <c r="G12320" t="n">
        <v>18</v>
      </c>
      <c r="H12320" s="5">
        <f>HYPERLINK("https://api.qogita.com/variants/link/8058045425625/", "View Product")</f>
        <v/>
      </c>
    </row>
    <row r="12321">
      <c r="A12321" t="inlineStr">
        <is>
          <t>8058045426103</t>
        </is>
      </c>
      <c r="B12321" t="inlineStr">
        <is>
          <t>An Clean Up Cleaning Oil Milk 200ml</t>
        </is>
      </c>
      <c r="C12321" t="inlineStr">
        <is>
          <t>Cleansing Milk</t>
        </is>
      </c>
      <c r="D12321" t="inlineStr">
        <is>
          <t>Anne Moller</t>
        </is>
      </c>
      <c r="E12321" t="n">
        <v>14.46</v>
      </c>
      <c r="F12321" t="n">
        <v>1</v>
      </c>
      <c r="G12321" t="n">
        <v>2</v>
      </c>
      <c r="H12321" s="5">
        <f>HYPERLINK("https://api.qogita.com/variants/link/8058045426103/", "View Product")</f>
        <v/>
      </c>
    </row>
    <row r="12322">
      <c r="A12322" t="inlineStr">
        <is>
          <t>8058045429951</t>
        </is>
      </c>
      <c r="B12322" t="inlineStr">
        <is>
          <t>Laura Biagiotti Forever Gold For Her EDP Spray 60ml</t>
        </is>
      </c>
      <c r="C12322" t="inlineStr">
        <is>
          <t>Eau De Parfum</t>
        </is>
      </c>
      <c r="D12322" t="inlineStr">
        <is>
          <t>Laura Biagiotti</t>
        </is>
      </c>
      <c r="E12322" t="n">
        <v>23.31</v>
      </c>
      <c r="F12322" t="n">
        <v>1</v>
      </c>
      <c r="G12322" t="n">
        <v>19</v>
      </c>
      <c r="H12322" s="5">
        <f>HYPERLINK("https://api.qogita.com/variants/link/8058045429951/", "View Product")</f>
        <v/>
      </c>
    </row>
    <row r="12323">
      <c r="A12323" t="inlineStr">
        <is>
          <t>8058045430889</t>
        </is>
      </c>
      <c r="B12323" t="inlineStr">
        <is>
          <t>Armand Basi Scent Of Kiss Pop Love Eau De Toilette Spray 50ml</t>
        </is>
      </c>
      <c r="C12323" t="inlineStr">
        <is>
          <t>Eau De Toilette</t>
        </is>
      </c>
      <c r="D12323" t="inlineStr">
        <is>
          <t>Armand Basi</t>
        </is>
      </c>
      <c r="E12323" t="n">
        <v>12.35</v>
      </c>
      <c r="F12323" t="n">
        <v>1</v>
      </c>
      <c r="G12323" t="n">
        <v>5</v>
      </c>
      <c r="H12323" s="5">
        <f>HYPERLINK("https://api.qogita.com/variants/link/8058045430889/", "View Product")</f>
        <v/>
      </c>
    </row>
    <row r="12324">
      <c r="A12324" t="inlineStr">
        <is>
          <t>8058045432593</t>
        </is>
      </c>
      <c r="B12324" t="inlineStr">
        <is>
          <t>Le Vie Di Milano Walking In Porta Venezia Perfumed Water Spray 100ml</t>
        </is>
      </c>
      <c r="C12324" t="inlineStr">
        <is>
          <t>Eau De Parfum</t>
        </is>
      </c>
      <c r="D12324" t="inlineStr">
        <is>
          <t>Le Vie Di Milano</t>
        </is>
      </c>
      <c r="E12324" t="n">
        <v>65.84</v>
      </c>
      <c r="F12324" t="n">
        <v>1</v>
      </c>
      <c r="G12324" t="n">
        <v>23</v>
      </c>
      <c r="H12324" s="5">
        <f>HYPERLINK("https://api.qogita.com/variants/link/8058045432593/", "View Product")</f>
        <v/>
      </c>
    </row>
    <row r="12325">
      <c r="A12325" t="inlineStr">
        <is>
          <t>8058045434368</t>
        </is>
      </c>
      <c r="B12325" t="inlineStr">
        <is>
          <t>Anne Möller CLEAN UP Purifying Cleansing Gel for Face 400ml</t>
        </is>
      </c>
      <c r="C12325" t="inlineStr">
        <is>
          <t>Cleansing Gel</t>
        </is>
      </c>
      <c r="D12325" t="inlineStr">
        <is>
          <t>Anne Moller</t>
        </is>
      </c>
      <c r="E12325" t="n">
        <v>16.8</v>
      </c>
      <c r="F12325" t="n">
        <v>1</v>
      </c>
      <c r="G12325" t="n">
        <v>5</v>
      </c>
      <c r="H12325" s="5">
        <f>HYPERLINK("https://api.qogita.com/variants/link/8058045434368/", "View Product")</f>
        <v/>
      </c>
    </row>
    <row r="12326">
      <c r="A12326" t="inlineStr">
        <is>
          <t>8058045436638</t>
        </is>
      </c>
      <c r="B12326" t="inlineStr">
        <is>
          <t>Trussardi Ruby Red Eau De Parfum Spray 90ml</t>
        </is>
      </c>
      <c r="C12326" t="inlineStr">
        <is>
          <t>Eau De Parfum</t>
        </is>
      </c>
      <c r="D12326" t="inlineStr">
        <is>
          <t>Trussardi</t>
        </is>
      </c>
      <c r="E12326" t="n">
        <v>31.16</v>
      </c>
      <c r="F12326" t="n">
        <v>1</v>
      </c>
      <c r="G12326" t="n">
        <v>41</v>
      </c>
      <c r="H12326" s="5">
        <f>HYPERLINK("https://api.qogita.com/variants/link/8058045436638/", "View Product")</f>
        <v/>
      </c>
    </row>
    <row r="12327">
      <c r="A12327" t="inlineStr">
        <is>
          <t>8058045437185</t>
        </is>
      </c>
      <c r="B12327" t="inlineStr">
        <is>
          <t>Armand Basi Uniform Don't Look Back Eau De Toilette Spray 100ml</t>
        </is>
      </c>
      <c r="C12327" t="inlineStr">
        <is>
          <t>Eau De Toilette</t>
        </is>
      </c>
      <c r="D12327" t="inlineStr">
        <is>
          <t>Armand Basi</t>
        </is>
      </c>
      <c r="E12327" t="n">
        <v>17</v>
      </c>
      <c r="F12327" t="n">
        <v>1</v>
      </c>
      <c r="G12327" t="n">
        <v>3</v>
      </c>
      <c r="H12327" s="5">
        <f>HYPERLINK("https://api.qogita.com/variants/link/8058045437185/", "View Product")</f>
        <v/>
      </c>
    </row>
    <row r="12328">
      <c r="A12328" t="inlineStr">
        <is>
          <t>8059116002189</t>
        </is>
      </c>
      <c r="B12328" t="inlineStr">
        <is>
          <t>Trussardi Primo Eau De Parfum Spray 30ml</t>
        </is>
      </c>
      <c r="C12328" t="inlineStr">
        <is>
          <t>Eau De Parfum</t>
        </is>
      </c>
      <c r="D12328" t="inlineStr">
        <is>
          <t>Trussardi</t>
        </is>
      </c>
      <c r="E12328" t="n">
        <v>21.54</v>
      </c>
      <c r="F12328" t="n">
        <v>1</v>
      </c>
      <c r="G12328" t="n">
        <v>5</v>
      </c>
      <c r="H12328" s="5">
        <f>HYPERLINK("https://api.qogita.com/variants/link/8059116002189/", "View Product")</f>
        <v/>
      </c>
    </row>
    <row r="12329">
      <c r="A12329" t="inlineStr">
        <is>
          <t>8410190612525</t>
        </is>
      </c>
      <c r="B12329" t="inlineStr">
        <is>
          <t>Adolfo Dominguez Agua Fresca White Rose Eau De Toilette Spray 120ml</t>
        </is>
      </c>
      <c r="C12329" t="inlineStr">
        <is>
          <t>Eau De Toilette</t>
        </is>
      </c>
      <c r="D12329" t="inlineStr">
        <is>
          <t>Adolfo Dominguez</t>
        </is>
      </c>
      <c r="E12329" t="n">
        <v>26.24</v>
      </c>
      <c r="F12329" t="n">
        <v>1</v>
      </c>
      <c r="G12329" t="n">
        <v>4</v>
      </c>
      <c r="H12329" s="5">
        <f>HYPERLINK("https://api.qogita.com/variants/link/8410190612525/", "View Product")</f>
        <v/>
      </c>
    </row>
    <row r="12330">
      <c r="A12330" t="inlineStr">
        <is>
          <t>8410190613522</t>
        </is>
      </c>
      <c r="B12330" t="inlineStr">
        <is>
          <t>Adolfo Dominguez Ad Agua Rosas Blancas Eau De Toilette Spray 200ml</t>
        </is>
      </c>
      <c r="C12330" t="inlineStr">
        <is>
          <t>Eau De Toilette</t>
        </is>
      </c>
      <c r="D12330" t="inlineStr">
        <is>
          <t>Adolfo Dominguez</t>
        </is>
      </c>
      <c r="E12330" t="n">
        <v>33.96</v>
      </c>
      <c r="F12330" t="n">
        <v>1</v>
      </c>
      <c r="G12330" t="n">
        <v>5</v>
      </c>
      <c r="H12330" s="5">
        <f>HYPERLINK("https://api.qogita.com/variants/link/8410190613522/", "View Product")</f>
        <v/>
      </c>
    </row>
    <row r="12331">
      <c r="A12331" t="inlineStr">
        <is>
          <t>8410190618671</t>
        </is>
      </c>
      <c r="B12331" t="inlineStr">
        <is>
          <t>Adolfo Dominguez Bambu Woman Eau De Toilette Spray 100ml</t>
        </is>
      </c>
      <c r="C12331" t="inlineStr">
        <is>
          <t>Eau De Toilette</t>
        </is>
      </c>
      <c r="D12331" t="inlineStr">
        <is>
          <t>Adolfo Dominguez</t>
        </is>
      </c>
      <c r="E12331" t="n">
        <v>26.67</v>
      </c>
      <c r="F12331" t="n">
        <v>1</v>
      </c>
      <c r="G12331" t="n">
        <v>11</v>
      </c>
      <c r="H12331" s="5">
        <f>HYPERLINK("https://api.qogita.com/variants/link/8410190618671/", "View Product")</f>
        <v/>
      </c>
    </row>
    <row r="12332">
      <c r="A12332" t="inlineStr">
        <is>
          <t>8410190620339</t>
        </is>
      </c>
      <c r="B12332" t="inlineStr">
        <is>
          <t>Adolfo Dominguez Agua Fresca De Rosas Eau De Toilette Spray 200ml</t>
        </is>
      </c>
      <c r="C12332" t="inlineStr">
        <is>
          <t>Eau De Toilette</t>
        </is>
      </c>
      <c r="D12332" t="inlineStr">
        <is>
          <t>Adolfo Dominguez</t>
        </is>
      </c>
      <c r="E12332" t="n">
        <v>40.89</v>
      </c>
      <c r="F12332" t="n">
        <v>1</v>
      </c>
      <c r="G12332" t="n">
        <v>2</v>
      </c>
      <c r="H12332" s="5">
        <f>HYPERLINK("https://api.qogita.com/variants/link/8410190620339/", "View Product")</f>
        <v/>
      </c>
    </row>
    <row r="12333">
      <c r="A12333" t="inlineStr">
        <is>
          <t>8410190620414</t>
        </is>
      </c>
      <c r="B12333" t="inlineStr">
        <is>
          <t>Fresh Rose Water EDT Vaporizer 120ml</t>
        </is>
      </c>
      <c r="C12333" t="inlineStr">
        <is>
          <t>Eau De Toilette</t>
        </is>
      </c>
      <c r="D12333" t="inlineStr">
        <is>
          <t>Adolfo Dominguez</t>
        </is>
      </c>
      <c r="E12333" t="n">
        <v>25.52</v>
      </c>
      <c r="F12333" t="n">
        <v>1</v>
      </c>
      <c r="G12333" t="n">
        <v>5</v>
      </c>
      <c r="H12333" s="5">
        <f>HYPERLINK("https://api.qogita.com/variants/link/8410190620414/", "View Product")</f>
        <v/>
      </c>
    </row>
    <row r="12334">
      <c r="A12334" t="inlineStr">
        <is>
          <t>8410190622104</t>
        </is>
      </c>
      <c r="B12334" t="inlineStr">
        <is>
          <t>Adolfo Dominguez Agua Fresca De Gardenia Musk Eau De Toilette Spray 120ml</t>
        </is>
      </c>
      <c r="C12334" t="inlineStr">
        <is>
          <t>Eau De Toilette</t>
        </is>
      </c>
      <c r="D12334" t="inlineStr">
        <is>
          <t>Adolfo Dominguez</t>
        </is>
      </c>
      <c r="E12334" t="n">
        <v>25.67</v>
      </c>
      <c r="F12334" t="n">
        <v>1</v>
      </c>
      <c r="G12334" t="n">
        <v>8</v>
      </c>
      <c r="H12334" s="5">
        <f>HYPERLINK("https://api.qogita.com/variants/link/8410190622104/", "View Product")</f>
        <v/>
      </c>
    </row>
    <row r="12335">
      <c r="A12335" t="inlineStr">
        <is>
          <t>8410190624771</t>
        </is>
      </c>
      <c r="B12335" t="inlineStr">
        <is>
          <t>Wonder EDT Vapo 30ml</t>
        </is>
      </c>
      <c r="C12335" t="inlineStr">
        <is>
          <t>Eau De Toilette</t>
        </is>
      </c>
      <c r="D12335" t="inlineStr">
        <is>
          <t>Aristocrazy</t>
        </is>
      </c>
      <c r="E12335" t="n">
        <v>7.54</v>
      </c>
      <c r="F12335" t="n">
        <v>1</v>
      </c>
      <c r="G12335" t="n">
        <v>5</v>
      </c>
      <c r="H12335" s="5">
        <f>HYPERLINK("https://api.qogita.com/variants/link/8410190624771/", "View Product")</f>
        <v/>
      </c>
    </row>
    <row r="12336">
      <c r="A12336" t="inlineStr">
        <is>
          <t>8410190628892</t>
        </is>
      </c>
      <c r="B12336" t="inlineStr">
        <is>
          <t>Adolfo Dominguez Ebano Salvia Eau De Parfum Spray 120ml</t>
        </is>
      </c>
      <c r="C12336" t="inlineStr">
        <is>
          <t>Eau De Parfum</t>
        </is>
      </c>
      <c r="D12336" t="inlineStr">
        <is>
          <t>Adolfo Dominguez</t>
        </is>
      </c>
      <c r="E12336" t="n">
        <v>26.86</v>
      </c>
      <c r="F12336" t="n">
        <v>1</v>
      </c>
      <c r="G12336" t="n">
        <v>14</v>
      </c>
      <c r="H12336" s="5">
        <f>HYPERLINK("https://api.qogita.com/variants/link/8410190628892/", "View Product")</f>
        <v/>
      </c>
    </row>
    <row r="12337">
      <c r="A12337" t="inlineStr">
        <is>
          <t>8410190631793</t>
        </is>
      </c>
      <c r="B12337" t="inlineStr">
        <is>
          <t>Adolfo Dominguez Agua Fresca Bergamota Ambar Eau De Toilette Spray 120ml</t>
        </is>
      </c>
      <c r="C12337" t="inlineStr">
        <is>
          <t>Eau De Toilette</t>
        </is>
      </c>
      <c r="D12337" t="inlineStr">
        <is>
          <t>Adolfo Dominguez</t>
        </is>
      </c>
      <c r="E12337" t="n">
        <v>24.48</v>
      </c>
      <c r="F12337" t="n">
        <v>1</v>
      </c>
      <c r="G12337" t="n">
        <v>3</v>
      </c>
      <c r="H12337" s="5">
        <f>HYPERLINK("https://api.qogita.com/variants/link/8410190631793/", "View Product")</f>
        <v/>
      </c>
    </row>
    <row r="12338">
      <c r="A12338" t="inlineStr">
        <is>
          <t>8411047107065</t>
        </is>
      </c>
      <c r="B12338" t="inlineStr">
        <is>
          <t>Instituto Espaol Rosa Mosqueta Body Lotion 950ml</t>
        </is>
      </c>
      <c r="C12338" t="inlineStr">
        <is>
          <t>Body Lotion</t>
        </is>
      </c>
      <c r="D12338" t="inlineStr">
        <is>
          <t>Instituto Español</t>
        </is>
      </c>
      <c r="E12338" t="n">
        <v>5.85</v>
      </c>
      <c r="F12338" t="n">
        <v>1</v>
      </c>
      <c r="G12338" t="n">
        <v>2</v>
      </c>
      <c r="H12338" s="5">
        <f>HYPERLINK("https://api.qogita.com/variants/link/8411047107065/", "View Product")</f>
        <v/>
      </c>
    </row>
    <row r="12339">
      <c r="A12339" t="inlineStr">
        <is>
          <t>8411047108628</t>
        </is>
      </c>
      <c r="B12339" t="inlineStr">
        <is>
          <t>Instituto Espanol Ultra Moisturizing Body Balm With Urea 500ml</t>
        </is>
      </c>
      <c r="C12339" t="inlineStr">
        <is>
          <t>Body Lotion</t>
        </is>
      </c>
      <c r="D12339" t="inlineStr">
        <is>
          <t>Instituto Español</t>
        </is>
      </c>
      <c r="E12339" t="n">
        <v>3.85</v>
      </c>
      <c r="F12339" t="n">
        <v>1</v>
      </c>
      <c r="G12339" t="n">
        <v>4</v>
      </c>
      <c r="H12339" s="5">
        <f>HYPERLINK("https://api.qogita.com/variants/link/8411047108628/", "View Product")</f>
        <v/>
      </c>
    </row>
    <row r="12340">
      <c r="A12340" t="inlineStr">
        <is>
          <t>8411061026335</t>
        </is>
      </c>
      <c r="B12340" t="inlineStr">
        <is>
          <t>Carolina Herrera Good Girl Eau De Parfum Spray 150ml</t>
        </is>
      </c>
      <c r="C12340" t="inlineStr">
        <is>
          <t>Eau De Parfum</t>
        </is>
      </c>
      <c r="D12340" t="inlineStr">
        <is>
          <t>Carolina Herrera</t>
        </is>
      </c>
      <c r="E12340" t="n">
        <v>115.5</v>
      </c>
      <c r="F12340" t="n">
        <v>1</v>
      </c>
      <c r="G12340" t="n">
        <v>38</v>
      </c>
      <c r="H12340" s="5">
        <f>HYPERLINK("https://api.qogita.com/variants/link/8411061026335/", "View Product")</f>
        <v/>
      </c>
    </row>
    <row r="12341">
      <c r="A12341" t="inlineStr">
        <is>
          <t>8411061026342</t>
        </is>
      </c>
      <c r="B12341" t="inlineStr">
        <is>
          <t>Carolina Herrera Good Girl Eau De Parfum Spray 80ml</t>
        </is>
      </c>
      <c r="C12341" t="inlineStr">
        <is>
          <t>Eau De Parfum</t>
        </is>
      </c>
      <c r="D12341" t="inlineStr">
        <is>
          <t>Carolina Herrera</t>
        </is>
      </c>
      <c r="E12341" t="n">
        <v>85.58</v>
      </c>
      <c r="F12341" t="n">
        <v>1</v>
      </c>
      <c r="G12341" t="n">
        <v>7</v>
      </c>
      <c r="H12341" s="5">
        <f>HYPERLINK("https://api.qogita.com/variants/link/8411061026342/", "View Product")</f>
        <v/>
      </c>
    </row>
    <row r="12342">
      <c r="A12342" t="inlineStr">
        <is>
          <t>8411061041673</t>
        </is>
      </c>
      <c r="B12342" t="inlineStr">
        <is>
          <t>Carolina Herrera Good Girl Eau De Parfum Spray 30ml</t>
        </is>
      </c>
      <c r="C12342" t="inlineStr">
        <is>
          <t>Eau De Parfum</t>
        </is>
      </c>
      <c r="D12342" t="inlineStr">
        <is>
          <t>Carolina Herrera</t>
        </is>
      </c>
      <c r="E12342" t="n">
        <v>48.24</v>
      </c>
      <c r="F12342" t="n">
        <v>1</v>
      </c>
      <c r="G12342" t="n">
        <v>19</v>
      </c>
      <c r="H12342" s="5">
        <f>HYPERLINK("https://api.qogita.com/variants/link/8411061041673/", "View Product")</f>
        <v/>
      </c>
    </row>
    <row r="12343">
      <c r="A12343" t="inlineStr">
        <is>
          <t>8411061043820</t>
        </is>
      </c>
      <c r="B12343" t="inlineStr">
        <is>
          <t>Carolina Herrera Good Girl Hair Mist 30ml Eau De Perfume</t>
        </is>
      </c>
      <c r="C12343" t="inlineStr">
        <is>
          <t>Eau De Parfum</t>
        </is>
      </c>
      <c r="D12343" t="inlineStr">
        <is>
          <t>Carolina Herrera</t>
        </is>
      </c>
      <c r="E12343" t="n">
        <v>29.3</v>
      </c>
      <c r="F12343" t="n">
        <v>1</v>
      </c>
      <c r="G12343" t="n">
        <v>6</v>
      </c>
      <c r="H12343" s="5">
        <f>HYPERLINK("https://api.qogita.com/variants/link/8411061043820/", "View Product")</f>
        <v/>
      </c>
    </row>
    <row r="12344">
      <c r="A12344" t="inlineStr">
        <is>
          <t>8411061055199</t>
        </is>
      </c>
      <c r="B12344" t="inlineStr">
        <is>
          <t>Carolina Herrera Ch Woman Pasion Eau De Parfum Spray 100ml</t>
        </is>
      </c>
      <c r="C12344" t="inlineStr">
        <is>
          <t>Eau De Parfum</t>
        </is>
      </c>
      <c r="D12344" t="inlineStr">
        <is>
          <t>Carolina Herrera</t>
        </is>
      </c>
      <c r="E12344" t="n">
        <v>64.12</v>
      </c>
      <c r="F12344" t="n">
        <v>1</v>
      </c>
      <c r="G12344" t="n">
        <v>40</v>
      </c>
      <c r="H12344" s="5">
        <f>HYPERLINK("https://api.qogita.com/variants/link/8411061055199/", "View Product")</f>
        <v/>
      </c>
    </row>
    <row r="12345">
      <c r="A12345" t="inlineStr">
        <is>
          <t>8411061056752</t>
        </is>
      </c>
      <c r="B12345" t="inlineStr">
        <is>
          <t>Carolina Herrera Good Girl Blush Eau De Parfum Spray 80ml</t>
        </is>
      </c>
      <c r="C12345" t="inlineStr">
        <is>
          <t>Eau De Parfum</t>
        </is>
      </c>
      <c r="D12345" t="inlineStr">
        <is>
          <t>Carolina Herrera</t>
        </is>
      </c>
      <c r="E12345" t="n">
        <v>94.86</v>
      </c>
      <c r="F12345" t="n">
        <v>1</v>
      </c>
      <c r="G12345" t="n">
        <v>23</v>
      </c>
      <c r="H12345" s="5">
        <f>HYPERLINK("https://api.qogita.com/variants/link/8411061056752/", "View Product")</f>
        <v/>
      </c>
    </row>
    <row r="12346">
      <c r="A12346" t="inlineStr">
        <is>
          <t>8411061074886</t>
        </is>
      </c>
      <c r="B12346" t="inlineStr">
        <is>
          <t>Carolina Herrera 212 Vip Black Eau De Parfum 100ml + Shower Gel 100ml</t>
        </is>
      </c>
      <c r="C12346" t="inlineStr">
        <is>
          <t>Fragrance Sets</t>
        </is>
      </c>
      <c r="D12346" t="inlineStr">
        <is>
          <t>Carolina Herrera</t>
        </is>
      </c>
      <c r="E12346" t="n">
        <v>78.5</v>
      </c>
      <c r="F12346" t="n">
        <v>1</v>
      </c>
      <c r="G12346" t="n">
        <v>4</v>
      </c>
      <c r="H12346" s="5">
        <f>HYPERLINK("https://api.qogita.com/variants/link/8411061074886/", "View Product")</f>
        <v/>
      </c>
    </row>
    <row r="12347">
      <c r="A12347" t="inlineStr">
        <is>
          <t>8411061080641</t>
        </is>
      </c>
      <c r="B12347" t="inlineStr">
        <is>
          <t>Antonio Banderas The Secret Man Eau De Toilette Spray 100ml</t>
        </is>
      </c>
      <c r="C12347" t="inlineStr">
        <is>
          <t>Eau De Toilette</t>
        </is>
      </c>
      <c r="D12347" t="inlineStr">
        <is>
          <t>Antonio Banderas</t>
        </is>
      </c>
      <c r="E12347" t="n">
        <v>13.42</v>
      </c>
      <c r="F12347" t="n">
        <v>1</v>
      </c>
      <c r="G12347" t="n">
        <v>24</v>
      </c>
      <c r="H12347" s="5">
        <f>HYPERLINK("https://api.qogita.com/variants/link/8411061080641/", "View Product")</f>
        <v/>
      </c>
    </row>
    <row r="12348">
      <c r="A12348" t="inlineStr">
        <is>
          <t>8411061080771</t>
        </is>
      </c>
      <c r="B12348" t="inlineStr">
        <is>
          <t>Antonio Banderas Her Secret Desire Eau De Toilette Spray 80ml</t>
        </is>
      </c>
      <c r="C12348" t="inlineStr">
        <is>
          <t>Eau De Toilette</t>
        </is>
      </c>
      <c r="D12348" t="inlineStr">
        <is>
          <t>Antonio Banderas</t>
        </is>
      </c>
      <c r="E12348" t="n">
        <v>12.99</v>
      </c>
      <c r="F12348" t="n">
        <v>1</v>
      </c>
      <c r="G12348" t="n">
        <v>5</v>
      </c>
      <c r="H12348" s="5">
        <f>HYPERLINK("https://api.qogita.com/variants/link/8411061080771/", "View Product")</f>
        <v/>
      </c>
    </row>
    <row r="12349">
      <c r="A12349" t="inlineStr">
        <is>
          <t>8411061083772</t>
        </is>
      </c>
      <c r="B12349" t="inlineStr">
        <is>
          <t>Carolina Herrera Bad Boy Cobalt Elixir Eau De Parfum Spray 100ml</t>
        </is>
      </c>
      <c r="C12349" t="inlineStr">
        <is>
          <t>Eau De Parfum</t>
        </is>
      </c>
      <c r="D12349" t="inlineStr">
        <is>
          <t>Carolina Herrera</t>
        </is>
      </c>
      <c r="E12349" t="n">
        <v>75.45999999999999</v>
      </c>
      <c r="F12349" t="n">
        <v>1</v>
      </c>
      <c r="G12349" t="n">
        <v>2</v>
      </c>
      <c r="H12349" s="5">
        <f>HYPERLINK("https://api.qogita.com/variants/link/8411061083772/", "View Product")</f>
        <v/>
      </c>
    </row>
    <row r="12350">
      <c r="A12350" t="inlineStr">
        <is>
          <t>8411061088197</t>
        </is>
      </c>
      <c r="B12350" t="inlineStr">
        <is>
          <t>Carolina Herrera 212 Vip Rose Eau De Parfum Spray 80ml</t>
        </is>
      </c>
      <c r="C12350" t="inlineStr">
        <is>
          <t>Eau De Parfum</t>
        </is>
      </c>
      <c r="D12350" t="inlineStr">
        <is>
          <t>Carolina Herrera</t>
        </is>
      </c>
      <c r="E12350" t="n">
        <v>68.36</v>
      </c>
      <c r="F12350" t="n">
        <v>1</v>
      </c>
      <c r="G12350" t="n">
        <v>4</v>
      </c>
      <c r="H12350" s="5">
        <f>HYPERLINK("https://api.qogita.com/variants/link/8411061088197/", "View Product")</f>
        <v/>
      </c>
    </row>
    <row r="12351">
      <c r="A12351" t="inlineStr">
        <is>
          <t>8411061099728</t>
        </is>
      </c>
      <c r="B12351" t="inlineStr">
        <is>
          <t>Carolina Herrera Bad Boy Eau De Toilette 100ml</t>
        </is>
      </c>
      <c r="C12351" t="inlineStr">
        <is>
          <t>Eau De Toilette</t>
        </is>
      </c>
      <c r="D12351" t="inlineStr">
        <is>
          <t>Carolina Herrera</t>
        </is>
      </c>
      <c r="E12351" t="n">
        <v>64.59</v>
      </c>
      <c r="F12351" t="n">
        <v>1</v>
      </c>
      <c r="G12351" t="n">
        <v>7</v>
      </c>
      <c r="H12351" s="5">
        <f>HYPERLINK("https://api.qogita.com/variants/link/8411061099728/", "View Product")</f>
        <v/>
      </c>
    </row>
    <row r="12352">
      <c r="A12352" t="inlineStr">
        <is>
          <t>8411061401705</t>
        </is>
      </c>
      <c r="B12352" t="inlineStr">
        <is>
          <t>Antonio Puig Agua Brava Eau De Cologne Spray 100ml</t>
        </is>
      </c>
      <c r="C12352" t="inlineStr">
        <is>
          <t>Eau De Cologne</t>
        </is>
      </c>
      <c r="D12352" t="inlineStr">
        <is>
          <t>Antonio Puig</t>
        </is>
      </c>
      <c r="E12352" t="n">
        <v>10.5</v>
      </c>
      <c r="F12352" t="n">
        <v>1</v>
      </c>
      <c r="G12352" t="n">
        <v>64</v>
      </c>
      <c r="H12352" s="5">
        <f>HYPERLINK("https://api.qogita.com/variants/link/8411061401705/", "View Product")</f>
        <v/>
      </c>
    </row>
    <row r="12353">
      <c r="A12353" t="inlineStr">
        <is>
          <t>8411061582350</t>
        </is>
      </c>
      <c r="B12353" t="inlineStr">
        <is>
          <t>Antonio Puig Quorum Silver Eau De Toilette Spray 100ml</t>
        </is>
      </c>
      <c r="C12353" t="inlineStr">
        <is>
          <t>Eau De Toilette</t>
        </is>
      </c>
      <c r="D12353" t="inlineStr">
        <is>
          <t>Antonio Puig</t>
        </is>
      </c>
      <c r="E12353" t="n">
        <v>11.29</v>
      </c>
      <c r="F12353" t="n">
        <v>1</v>
      </c>
      <c r="G12353" t="n">
        <v>9</v>
      </c>
      <c r="H12353" s="5">
        <f>HYPERLINK("https://api.qogita.com/variants/link/8411061582350/", "View Product")</f>
        <v/>
      </c>
    </row>
    <row r="12354">
      <c r="A12354" t="inlineStr">
        <is>
          <t>8411061777183</t>
        </is>
      </c>
      <c r="B12354" t="inlineStr">
        <is>
          <t>Carolina Herrera 212 Vip Rose Eau De Parfum 50ml Spray For Women</t>
        </is>
      </c>
      <c r="C12354" t="inlineStr">
        <is>
          <t>Eau De Parfum</t>
        </is>
      </c>
      <c r="D12354" t="inlineStr">
        <is>
          <t>Carolina Herrera</t>
        </is>
      </c>
      <c r="E12354" t="n">
        <v>47.9</v>
      </c>
      <c r="F12354" t="n">
        <v>1</v>
      </c>
      <c r="G12354" t="n">
        <v>31</v>
      </c>
      <c r="H12354" s="5">
        <f>HYPERLINK("https://api.qogita.com/variants/link/8411061777183/", "View Product")</f>
        <v/>
      </c>
    </row>
    <row r="12355">
      <c r="A12355" t="inlineStr">
        <is>
          <t>8411061841655</t>
        </is>
      </c>
      <c r="B12355" t="inlineStr">
        <is>
          <t>Carolina Herrera Good Girl Shower Gel 200ml</t>
        </is>
      </c>
      <c r="C12355" t="inlineStr">
        <is>
          <t>Shower Gel</t>
        </is>
      </c>
      <c r="D12355" t="inlineStr">
        <is>
          <t>Carolina Herrera</t>
        </is>
      </c>
      <c r="E12355" t="n">
        <v>22.93</v>
      </c>
      <c r="F12355" t="n">
        <v>1</v>
      </c>
      <c r="G12355" t="n">
        <v>57</v>
      </c>
      <c r="H12355" s="5">
        <f>HYPERLINK("https://api.qogita.com/variants/link/8411061841655/", "View Product")</f>
        <v/>
      </c>
    </row>
    <row r="12356">
      <c r="A12356" t="inlineStr">
        <is>
          <t>8411061849378</t>
        </is>
      </c>
      <c r="B12356" t="inlineStr">
        <is>
          <t>Antonio Banderas Diavolo For Men Eau De Toilette Spray 50ml</t>
        </is>
      </c>
      <c r="C12356" t="inlineStr">
        <is>
          <t>Eau De Toilette</t>
        </is>
      </c>
      <c r="D12356" t="inlineStr">
        <is>
          <t>Antonio Banderas</t>
        </is>
      </c>
      <c r="E12356" t="n">
        <v>7.12</v>
      </c>
      <c r="F12356" t="n">
        <v>1</v>
      </c>
      <c r="G12356" t="n">
        <v>5</v>
      </c>
      <c r="H12356" s="5">
        <f>HYPERLINK("https://api.qogita.com/variants/link/8411061849378/", "View Product")</f>
        <v/>
      </c>
    </row>
    <row r="12357">
      <c r="A12357" t="inlineStr">
        <is>
          <t>8411061865613</t>
        </is>
      </c>
      <c r="B12357" t="inlineStr">
        <is>
          <t>Carolina Herrera Herrera Eau De Toilette 212 Sexy Spray for Men 50ml</t>
        </is>
      </c>
      <c r="C12357" t="inlineStr">
        <is>
          <t>Eau De Toilette</t>
        </is>
      </c>
      <c r="D12357" t="inlineStr">
        <is>
          <t>Carolina Herrera</t>
        </is>
      </c>
      <c r="E12357" t="n">
        <v>38.5</v>
      </c>
      <c r="F12357" t="n">
        <v>1</v>
      </c>
      <c r="G12357" t="n">
        <v>13</v>
      </c>
      <c r="H12357" s="5">
        <f>HYPERLINK("https://api.qogita.com/variants/link/8411061865613/", "View Product")</f>
        <v/>
      </c>
    </row>
    <row r="12358">
      <c r="A12358" t="inlineStr">
        <is>
          <t>8411061934227</t>
        </is>
      </c>
      <c r="B12358" t="inlineStr">
        <is>
          <t>Antonio Puig Aqua Quorum Eau De Toilette 100ml Spray For Men</t>
        </is>
      </c>
      <c r="C12358" t="inlineStr">
        <is>
          <t>Eau De Toilette</t>
        </is>
      </c>
      <c r="D12358" t="inlineStr">
        <is>
          <t>Antonio Puig</t>
        </is>
      </c>
      <c r="E12358" t="n">
        <v>11.52</v>
      </c>
      <c r="F12358" t="n">
        <v>1</v>
      </c>
      <c r="G12358" t="n">
        <v>3</v>
      </c>
      <c r="H12358" s="5">
        <f>HYPERLINK("https://api.qogita.com/variants/link/8411061934227/", "View Product")</f>
        <v/>
      </c>
    </row>
    <row r="12359">
      <c r="A12359" t="inlineStr">
        <is>
          <t>8411061934234</t>
        </is>
      </c>
      <c r="B12359" t="inlineStr">
        <is>
          <t>Carolina Herrera Eau De Parfum Spray 100ml</t>
        </is>
      </c>
      <c r="C12359" t="inlineStr">
        <is>
          <t>Eau De Parfum</t>
        </is>
      </c>
      <c r="D12359" t="inlineStr">
        <is>
          <t>Carolina Herrera</t>
        </is>
      </c>
      <c r="E12359" t="n">
        <v>43.59</v>
      </c>
      <c r="F12359" t="n">
        <v>1</v>
      </c>
      <c r="G12359" t="n">
        <v>34</v>
      </c>
      <c r="H12359" s="5">
        <f>HYPERLINK("https://api.qogita.com/variants/link/8411061934234/", "View Product")</f>
        <v/>
      </c>
    </row>
    <row r="12360">
      <c r="A12360" t="inlineStr">
        <is>
          <t>8411061962978</t>
        </is>
      </c>
      <c r="B12360" t="inlineStr">
        <is>
          <t>Carolina Herrera Unisex Iris Empire Middle East Exclusive EDP 3.4 oz Fragrances</t>
        </is>
      </c>
      <c r="C12360" t="inlineStr">
        <is>
          <t>Eau De Parfum</t>
        </is>
      </c>
      <c r="D12360" t="inlineStr">
        <is>
          <t>Carolina Herrera</t>
        </is>
      </c>
      <c r="E12360" t="n">
        <v>154.73</v>
      </c>
      <c r="F12360" t="n">
        <v>1</v>
      </c>
      <c r="G12360" t="n">
        <v>16</v>
      </c>
      <c r="H12360" s="5">
        <f>HYPERLINK("https://api.qogita.com/variants/link/8411061962978/", "View Product")</f>
        <v/>
      </c>
    </row>
    <row r="12361">
      <c r="A12361" t="inlineStr">
        <is>
          <t>8411061971864</t>
        </is>
      </c>
      <c r="B12361" t="inlineStr">
        <is>
          <t>Antonio Banderas Her Secret Desire Edt</t>
        </is>
      </c>
      <c r="C12361" t="inlineStr">
        <is>
          <t>Eau De Toilette</t>
        </is>
      </c>
      <c r="D12361" t="inlineStr">
        <is>
          <t>Antonio Banderas</t>
        </is>
      </c>
      <c r="E12361" t="n">
        <v>6.05</v>
      </c>
      <c r="F12361" t="n">
        <v>1</v>
      </c>
      <c r="G12361" t="n">
        <v>4</v>
      </c>
      <c r="H12361" s="5">
        <f>HYPERLINK("https://api.qogita.com/variants/link/8411061971864/", "View Product")</f>
        <v/>
      </c>
    </row>
    <row r="12362">
      <c r="A12362" t="inlineStr">
        <is>
          <t>8411061971888</t>
        </is>
      </c>
      <c r="B12362" t="inlineStr">
        <is>
          <t>Antonio Banderas Power of Seduction EDT 30ml</t>
        </is>
      </c>
      <c r="C12362" t="inlineStr">
        <is>
          <t>Eau De Toilette</t>
        </is>
      </c>
      <c r="D12362" t="inlineStr">
        <is>
          <t>Antonio Banderas</t>
        </is>
      </c>
      <c r="E12362" t="n">
        <v>8.93</v>
      </c>
      <c r="F12362" t="n">
        <v>1</v>
      </c>
      <c r="G12362" t="n">
        <v>2</v>
      </c>
      <c r="H12362" s="5">
        <f>HYPERLINK("https://api.qogita.com/variants/link/8411061971888/", "View Product")</f>
        <v/>
      </c>
    </row>
    <row r="12363">
      <c r="A12363" t="inlineStr">
        <is>
          <t>8411061974759</t>
        </is>
      </c>
      <c r="B12363" t="inlineStr">
        <is>
          <t>Carolina Herrera 212 Heroes Forever Young Men Eau De Toilette Spray 50ml</t>
        </is>
      </c>
      <c r="C12363" t="inlineStr">
        <is>
          <t>Eau De Toilette</t>
        </is>
      </c>
      <c r="D12363" t="inlineStr">
        <is>
          <t>Carolina Herrera</t>
        </is>
      </c>
      <c r="E12363" t="n">
        <v>41.37</v>
      </c>
      <c r="F12363" t="n">
        <v>1</v>
      </c>
      <c r="G12363" t="n">
        <v>8</v>
      </c>
      <c r="H12363" s="5">
        <f>HYPERLINK("https://api.qogita.com/variants/link/8411061974759/", "View Product")</f>
        <v/>
      </c>
    </row>
    <row r="12364">
      <c r="A12364" t="inlineStr">
        <is>
          <t>8411061988688</t>
        </is>
      </c>
      <c r="B12364" t="inlineStr">
        <is>
          <t>Carolina Herrera 212 Heroes 2 Piece Gift Set: Eau De Toilette 90ml - Body Wash 100ml</t>
        </is>
      </c>
      <c r="C12364" t="inlineStr">
        <is>
          <t>Fragrance Sets</t>
        </is>
      </c>
      <c r="D12364" t="inlineStr">
        <is>
          <t>Carolina Herrera</t>
        </is>
      </c>
      <c r="E12364" t="n">
        <v>76.39</v>
      </c>
      <c r="F12364" t="n">
        <v>1</v>
      </c>
      <c r="G12364" t="n">
        <v>13</v>
      </c>
      <c r="H12364" s="5">
        <f>HYPERLINK("https://api.qogita.com/variants/link/8411061988688/", "View Product")</f>
        <v/>
      </c>
    </row>
    <row r="12365">
      <c r="A12365" t="inlineStr">
        <is>
          <t>8411061991886</t>
        </is>
      </c>
      <c r="B12365" t="inlineStr">
        <is>
          <t>Carolina Herrera Bad Boy Le Parfum Eau De Parfum 100ml</t>
        </is>
      </c>
      <c r="C12365" t="inlineStr">
        <is>
          <t>Eau De Parfum</t>
        </is>
      </c>
      <c r="D12365" t="inlineStr">
        <is>
          <t>Carolina Herrera</t>
        </is>
      </c>
      <c r="E12365" t="n">
        <v>78.14</v>
      </c>
      <c r="F12365" t="n">
        <v>1</v>
      </c>
      <c r="G12365" t="n">
        <v>21</v>
      </c>
      <c r="H12365" s="5">
        <f>HYPERLINK("https://api.qogita.com/variants/link/8411061991886/", "View Product")</f>
        <v/>
      </c>
    </row>
    <row r="12366">
      <c r="A12366" t="inlineStr">
        <is>
          <t>8411061998014</t>
        </is>
      </c>
      <c r="B12366" t="inlineStr">
        <is>
          <t>Carolina Herrera True Oud Eau de Parfum 100ml</t>
        </is>
      </c>
      <c r="C12366" t="inlineStr">
        <is>
          <t>Eau De Parfum</t>
        </is>
      </c>
      <c r="D12366" t="inlineStr">
        <is>
          <t>Carolina Herrera</t>
        </is>
      </c>
      <c r="E12366" t="n">
        <v>171.1</v>
      </c>
      <c r="F12366" t="n">
        <v>1</v>
      </c>
      <c r="G12366" t="n">
        <v>7</v>
      </c>
      <c r="H12366" s="5">
        <f>HYPERLINK("https://api.qogita.com/variants/link/8411061998014/", "View Product")</f>
        <v/>
      </c>
    </row>
    <row r="12367">
      <c r="A12367" t="inlineStr">
        <is>
          <t>8411114054919</t>
        </is>
      </c>
      <c r="B12367" t="inlineStr">
        <is>
          <t>Women'secret Gold Seduction Perfume for Women Eau de Parfum 100ml Floral</t>
        </is>
      </c>
      <c r="C12367" t="inlineStr">
        <is>
          <t>Eau De Parfum</t>
        </is>
      </c>
      <c r="D12367" t="inlineStr">
        <is>
          <t>Women'secret</t>
        </is>
      </c>
      <c r="E12367" t="n">
        <v>16.02</v>
      </c>
      <c r="F12367" t="n">
        <v>1</v>
      </c>
      <c r="G12367" t="n">
        <v>14</v>
      </c>
      <c r="H12367" s="5">
        <f>HYPERLINK("https://api.qogita.com/variants/link/8411114054919/", "View Product")</f>
        <v/>
      </c>
    </row>
    <row r="12368">
      <c r="A12368" t="inlineStr">
        <is>
          <t>8411114086224</t>
        </is>
      </c>
      <c r="B12368" t="inlineStr">
        <is>
          <t>Captain America by Marvel for Kids 3.4 oz EDT Spray</t>
        </is>
      </c>
      <c r="C12368" t="inlineStr">
        <is>
          <t>Eau De Toilette</t>
        </is>
      </c>
      <c r="D12368" t="inlineStr">
        <is>
          <t>Marvel</t>
        </is>
      </c>
      <c r="E12368" t="n">
        <v>11.27</v>
      </c>
      <c r="F12368" t="n">
        <v>1</v>
      </c>
      <c r="G12368" t="n">
        <v>16</v>
      </c>
      <c r="H12368" s="5">
        <f>HYPERLINK("https://api.qogita.com/variants/link/8411114086224/", "View Product")</f>
        <v/>
      </c>
    </row>
    <row r="12369">
      <c r="A12369" t="inlineStr">
        <is>
          <t>8411114086255</t>
        </is>
      </c>
      <c r="B12369" t="inlineStr">
        <is>
          <t>Fc Barcelona Eau De Toilette Spray 100ml</t>
        </is>
      </c>
      <c r="C12369" t="inlineStr">
        <is>
          <t>Eau De Toilette</t>
        </is>
      </c>
      <c r="D12369" t="inlineStr">
        <is>
          <t>Fc Barcelona</t>
        </is>
      </c>
      <c r="E12369" t="n">
        <v>17.75</v>
      </c>
      <c r="F12369" t="n">
        <v>1</v>
      </c>
      <c r="G12369" t="n">
        <v>32</v>
      </c>
      <c r="H12369" s="5">
        <f>HYPERLINK("https://api.qogita.com/variants/link/8411114086255/", "View Product")</f>
        <v/>
      </c>
    </row>
    <row r="12370">
      <c r="A12370" t="inlineStr">
        <is>
          <t>8411114087535</t>
        </is>
      </c>
      <c r="B12370" t="inlineStr">
        <is>
          <t>Disney Mickey Mouse Gift Set - Toiletry Bag, Eau de Toilette &amp; Shower Gel 150ml</t>
        </is>
      </c>
      <c r="C12370" t="inlineStr">
        <is>
          <t>Fragrance Sets</t>
        </is>
      </c>
      <c r="D12370" t="inlineStr">
        <is>
          <t>Air-Val</t>
        </is>
      </c>
      <c r="E12370" t="n">
        <v>13.15</v>
      </c>
      <c r="F12370" t="n">
        <v>1</v>
      </c>
      <c r="G12370" t="n">
        <v>3</v>
      </c>
      <c r="H12370" s="5">
        <f>HYPERLINK("https://api.qogita.com/variants/link/8411114087535/", "View Product")</f>
        <v/>
      </c>
    </row>
    <row r="12371">
      <c r="A12371" t="inlineStr">
        <is>
          <t>8411114092478</t>
        </is>
      </c>
      <c r="B12371" t="inlineStr">
        <is>
          <t>Air-Val Mickey Mouse Eau De Toilette Set 50ml And Accessories Case</t>
        </is>
      </c>
      <c r="C12371" t="inlineStr">
        <is>
          <t>Fragrance Sets</t>
        </is>
      </c>
      <c r="D12371" t="inlineStr">
        <is>
          <t>Air Val</t>
        </is>
      </c>
      <c r="E12371" t="n">
        <v>11.27</v>
      </c>
      <c r="F12371" t="n">
        <v>1</v>
      </c>
      <c r="G12371" t="n">
        <v>30</v>
      </c>
      <c r="H12371" s="5">
        <f>HYPERLINK("https://api.qogita.com/variants/link/8411114092478/", "View Product")</f>
        <v/>
      </c>
    </row>
    <row r="12372">
      <c r="A12372" t="inlineStr">
        <is>
          <t>8411114092638</t>
        </is>
      </c>
      <c r="B12372" t="inlineStr">
        <is>
          <t>Ep Line Spiderman Edt Spray 50 Ml Shower Gel 100 Ml Cosmetic Bag Set</t>
        </is>
      </c>
      <c r="C12372" t="inlineStr">
        <is>
          <t>Fragrance Sets</t>
        </is>
      </c>
      <c r="D12372" t="inlineStr">
        <is>
          <t>Ep Line</t>
        </is>
      </c>
      <c r="E12372" t="n">
        <v>20.62</v>
      </c>
      <c r="F12372" t="n">
        <v>1</v>
      </c>
      <c r="G12372" t="n">
        <v>12</v>
      </c>
      <c r="H12372" s="5">
        <f>HYPERLINK("https://api.qogita.com/variants/link/8411114092638/", "View Product")</f>
        <v/>
      </c>
    </row>
    <row r="12373">
      <c r="A12373" t="inlineStr">
        <is>
          <t>8411114094243</t>
        </is>
      </c>
      <c r="B12373" t="inlineStr">
        <is>
          <t>Children's Makeup Gift Set, 30ml Eau de Toilette with Floral-Fruity Scent, Lip Gloss and Eyeshadow Palette for Kids</t>
        </is>
      </c>
      <c r="C12373" t="inlineStr">
        <is>
          <t>Lip Sets</t>
        </is>
      </c>
      <c r="D12373" t="inlineStr">
        <is>
          <t>Air-Val International</t>
        </is>
      </c>
      <c r="E12373" t="n">
        <v>15.62</v>
      </c>
      <c r="F12373" t="n">
        <v>1</v>
      </c>
      <c r="G12373" t="n">
        <v>5</v>
      </c>
      <c r="H12373" s="5">
        <f>HYPERLINK("https://api.qogita.com/variants/link/8411114094243/", "View Product")</f>
        <v/>
      </c>
    </row>
    <row r="12374">
      <c r="A12374" t="inlineStr">
        <is>
          <t>8411114094274</t>
        </is>
      </c>
      <c r="B12374" t="inlineStr">
        <is>
          <t>Eau My Unicorn Gift Set for Kids Eau de Toilette Lip Gloss Eye Shadow Palette Brush Vegan FSC Approved</t>
        </is>
      </c>
      <c r="C12374" t="inlineStr">
        <is>
          <t>Eye Sets &amp; Pallets</t>
        </is>
      </c>
      <c r="D12374" t="inlineStr">
        <is>
          <t>Air Val</t>
        </is>
      </c>
      <c r="E12374" t="n">
        <v>15.57</v>
      </c>
      <c r="F12374" t="n">
        <v>1</v>
      </c>
      <c r="G12374" t="n">
        <v>11</v>
      </c>
      <c r="H12374" s="5">
        <f>HYPERLINK("https://api.qogita.com/variants/link/8411114094274/", "View Product")</f>
        <v/>
      </c>
    </row>
    <row r="12375">
      <c r="A12375" t="inlineStr">
        <is>
          <t>8411135006904</t>
        </is>
      </c>
      <c r="B12375" t="inlineStr">
        <is>
          <t>ECRAN SUNNIQUE Anti-Aging Facial SPF50+ 50ml</t>
        </is>
      </c>
      <c r="C12375" t="inlineStr">
        <is>
          <t>Face Sun Protection</t>
        </is>
      </c>
      <c r="D12375" t="inlineStr">
        <is>
          <t>Ecran</t>
        </is>
      </c>
      <c r="E12375" t="n">
        <v>10.75</v>
      </c>
      <c r="F12375" t="n">
        <v>1</v>
      </c>
      <c r="G12375" t="n">
        <v>5</v>
      </c>
      <c r="H12375" s="5">
        <f>HYPERLINK("https://api.qogita.com/variants/link/8411135006904/", "View Product")</f>
        <v/>
      </c>
    </row>
    <row r="12376">
      <c r="A12376" t="inlineStr">
        <is>
          <t>8411135355309</t>
        </is>
      </c>
      <c r="B12376" t="inlineStr">
        <is>
          <t>Lactovit Facial Cream Mousse Creme 250ml</t>
        </is>
      </c>
      <c r="C12376" t="inlineStr">
        <is>
          <t>Face Cream</t>
        </is>
      </c>
      <c r="D12376" t="inlineStr">
        <is>
          <t>Lactovit</t>
        </is>
      </c>
      <c r="E12376" t="n">
        <v>6.16</v>
      </c>
      <c r="F12376" t="n">
        <v>1</v>
      </c>
      <c r="G12376" t="n">
        <v>5</v>
      </c>
      <c r="H12376" s="5">
        <f>HYPERLINK("https://api.qogita.com/variants/link/8411135355309/", "View Product")</f>
        <v/>
      </c>
    </row>
    <row r="12377">
      <c r="A12377" t="inlineStr">
        <is>
          <t>8411300042874</t>
        </is>
      </c>
      <c r="B12377" t="inlineStr">
        <is>
          <t>L'Oral Paris Age Perfect Day Cream 50ml</t>
        </is>
      </c>
      <c r="C12377" t="inlineStr">
        <is>
          <t>Day Cream</t>
        </is>
      </c>
      <c r="D12377" t="inlineStr">
        <is>
          <t>L'Oréal Paris</t>
        </is>
      </c>
      <c r="E12377" t="n">
        <v>8.039999999999999</v>
      </c>
      <c r="F12377" t="n">
        <v>1</v>
      </c>
      <c r="G12377" t="n">
        <v>10</v>
      </c>
      <c r="H12377" s="5">
        <f>HYPERLINK("https://api.qogita.com/variants/link/8411300042874/", "View Product")</f>
        <v/>
      </c>
    </row>
    <row r="12378">
      <c r="A12378" t="inlineStr">
        <is>
          <t>8411660650771</t>
        </is>
      </c>
      <c r="B12378" t="inlineStr">
        <is>
          <t>Lactovit LactoUrea Repairing Body Milk for Extra Dry Skin 400ml</t>
        </is>
      </c>
      <c r="C12378" t="inlineStr">
        <is>
          <t>Body Lotion</t>
        </is>
      </c>
      <c r="D12378" t="inlineStr">
        <is>
          <t>Lactovit</t>
        </is>
      </c>
      <c r="E12378" t="n">
        <v>6.7</v>
      </c>
      <c r="F12378" t="n">
        <v>1</v>
      </c>
      <c r="G12378" t="n">
        <v>5</v>
      </c>
      <c r="H12378" s="5">
        <f>HYPERLINK("https://api.qogita.com/variants/link/8411660650771/", "View Product")</f>
        <v/>
      </c>
    </row>
    <row r="12379">
      <c r="A12379" t="inlineStr">
        <is>
          <t>8412122051228</t>
        </is>
      </c>
      <c r="B12379" t="inlineStr">
        <is>
          <t>Fibreglass Nail File 180/220 Grit 1 piece</t>
        </is>
      </c>
      <c r="C12379" t="inlineStr">
        <is>
          <t>Nail Clippers &amp; Tools</t>
        </is>
      </c>
      <c r="D12379" t="inlineStr">
        <is>
          <t>Beter</t>
        </is>
      </c>
      <c r="E12379" t="n">
        <v>3.63</v>
      </c>
      <c r="F12379" t="n">
        <v>1</v>
      </c>
      <c r="G12379" t="n">
        <v>5</v>
      </c>
      <c r="H12379" s="5">
        <f>HYPERLINK("https://api.qogita.com/variants/link/8412122051228/", "View Product")</f>
        <v/>
      </c>
    </row>
    <row r="12380">
      <c r="A12380" t="inlineStr">
        <is>
          <t>8412122340506</t>
        </is>
      </c>
      <c r="B12380" t="inlineStr">
        <is>
          <t>Beter Double Cosmetic Pencil Sharpener 8mm</t>
        </is>
      </c>
      <c r="C12380" t="inlineStr">
        <is>
          <t>Pencil Sharpeners</t>
        </is>
      </c>
      <c r="D12380" t="inlineStr">
        <is>
          <t>Beter</t>
        </is>
      </c>
      <c r="E12380" t="n">
        <v>2.63</v>
      </c>
      <c r="F12380" t="n">
        <v>1</v>
      </c>
      <c r="G12380" t="n">
        <v>4</v>
      </c>
      <c r="H12380" s="5">
        <f>HYPERLINK("https://api.qogita.com/variants/link/8412122340506/", "View Product")</f>
        <v/>
      </c>
    </row>
    <row r="12381">
      <c r="A12381" t="inlineStr">
        <is>
          <t>8413161017053</t>
        </is>
      </c>
      <c r="B12381" t="inlineStr">
        <is>
          <t>Coty Pret A Porter Original Eau De Toilette 100ml</t>
        </is>
      </c>
      <c r="C12381" t="inlineStr">
        <is>
          <t>Eau De Toilette</t>
        </is>
      </c>
      <c r="D12381" t="inlineStr">
        <is>
          <t>Coty</t>
        </is>
      </c>
      <c r="E12381" t="n">
        <v>5.94</v>
      </c>
      <c r="F12381" t="n">
        <v>1</v>
      </c>
      <c r="G12381" t="n">
        <v>201</v>
      </c>
      <c r="H12381" s="5">
        <f>HYPERLINK("https://api.qogita.com/variants/link/8413161017053/", "View Product")</f>
        <v/>
      </c>
    </row>
    <row r="12382">
      <c r="A12382" t="inlineStr">
        <is>
          <t>8420229960435</t>
        </is>
      </c>
      <c r="B12382" t="inlineStr">
        <is>
          <t>Acqua Di Selva Deodorant Spray 200ml</t>
        </is>
      </c>
      <c r="C12382" t="inlineStr">
        <is>
          <t>Deodorant &amp; Anti-Perspirant</t>
        </is>
      </c>
      <c r="D12382" t="inlineStr">
        <is>
          <t>Visconti Di Modrone</t>
        </is>
      </c>
      <c r="E12382" t="n">
        <v>9.609999999999999</v>
      </c>
      <c r="F12382" t="n">
        <v>1</v>
      </c>
      <c r="G12382" t="n">
        <v>8</v>
      </c>
      <c r="H12382" s="5">
        <f>HYPERLINK("https://api.qogita.com/variants/link/8420229960435/", "View Product")</f>
        <v/>
      </c>
    </row>
    <row r="12383">
      <c r="A12383" t="inlineStr">
        <is>
          <t>8424405009505</t>
        </is>
      </c>
      <c r="B12383" t="inlineStr">
        <is>
          <t>Cereria Moll French Linen Car Fragrance</t>
        </is>
      </c>
      <c r="C12383" t="inlineStr">
        <is>
          <t>Diffusers</t>
        </is>
      </c>
      <c r="D12383" t="inlineStr">
        <is>
          <t>Cereria Molla</t>
        </is>
      </c>
      <c r="E12383" t="n">
        <v>13.1</v>
      </c>
      <c r="F12383" t="n">
        <v>1</v>
      </c>
      <c r="G12383" t="n">
        <v>10</v>
      </c>
      <c r="H12383" s="5">
        <f>HYPERLINK("https://api.qogita.com/variants/link/8424405009505/", "View Product")</f>
        <v/>
      </c>
    </row>
    <row r="12384">
      <c r="A12384" t="inlineStr">
        <is>
          <t>8424405077825</t>
        </is>
      </c>
      <c r="B12384" t="inlineStr">
        <is>
          <t>Cereria Molla Replacement Refill For Menthe Basilic Diffuser - 500 Ml</t>
        </is>
      </c>
      <c r="C12384" t="inlineStr">
        <is>
          <t>Diffusers</t>
        </is>
      </c>
      <c r="D12384" t="inlineStr">
        <is>
          <t>Cereria Molla</t>
        </is>
      </c>
      <c r="E12384" t="n">
        <v>37.36</v>
      </c>
      <c r="F12384" t="n">
        <v>1</v>
      </c>
      <c r="G12384" t="n">
        <v>2</v>
      </c>
      <c r="H12384" s="5">
        <f>HYPERLINK("https://api.qogita.com/variants/link/8424405077825/", "View Product")</f>
        <v/>
      </c>
    </row>
    <row r="12385">
      <c r="A12385" t="inlineStr">
        <is>
          <t>8427395011961</t>
        </is>
      </c>
      <c r="B12385" t="inlineStr">
        <is>
          <t>Angel Schlesser Pour Elle Sensuelle Eau de Parfum 100ml</t>
        </is>
      </c>
      <c r="C12385" t="inlineStr">
        <is>
          <t>Eau De Parfum</t>
        </is>
      </c>
      <c r="D12385" t="inlineStr">
        <is>
          <t>Angel Schlesser</t>
        </is>
      </c>
      <c r="E12385" t="n">
        <v>10.2</v>
      </c>
      <c r="F12385" t="n">
        <v>1</v>
      </c>
      <c r="G12385" t="n">
        <v>12</v>
      </c>
      <c r="H12385" s="5">
        <f>HYPERLINK("https://api.qogita.com/variants/link/8427395011961/", "View Product")</f>
        <v/>
      </c>
    </row>
    <row r="12386">
      <c r="A12386" t="inlineStr">
        <is>
          <t>8427395014986</t>
        </is>
      </c>
      <c r="B12386" t="inlineStr">
        <is>
          <t>Mandarina Duck Let's Travel to Paris 100ml EDT Men's Perfume</t>
        </is>
      </c>
      <c r="C12386" t="inlineStr">
        <is>
          <t>Eau De Toilette</t>
        </is>
      </c>
      <c r="D12386" t="inlineStr">
        <is>
          <t>Mandarina Duck</t>
        </is>
      </c>
      <c r="E12386" t="n">
        <v>11.05</v>
      </c>
      <c r="F12386" t="n">
        <v>1</v>
      </c>
      <c r="G12386" t="n">
        <v>4</v>
      </c>
      <c r="H12386" s="5">
        <f>HYPERLINK("https://api.qogita.com/variants/link/8427395014986/", "View Product")</f>
        <v/>
      </c>
    </row>
    <row r="12387">
      <c r="A12387" t="inlineStr">
        <is>
          <t>8427395650009</t>
        </is>
      </c>
      <c r="B12387" t="inlineStr">
        <is>
          <t>Angel Schlesser SCHL Eau De Toilette With Spray 30ml</t>
        </is>
      </c>
      <c r="C12387" t="inlineStr">
        <is>
          <t>Eau De Toilette</t>
        </is>
      </c>
      <c r="D12387" t="inlineStr">
        <is>
          <t>Angel Schlesser</t>
        </is>
      </c>
      <c r="E12387" t="n">
        <v>15.21</v>
      </c>
      <c r="F12387" t="n">
        <v>1</v>
      </c>
      <c r="G12387" t="n">
        <v>8</v>
      </c>
      <c r="H12387" s="5">
        <f>HYPERLINK("https://api.qogita.com/variants/link/8427395650009/", "View Product")</f>
        <v/>
      </c>
    </row>
    <row r="12388">
      <c r="A12388" t="inlineStr">
        <is>
          <t>8427395670205</t>
        </is>
      </c>
      <c r="B12388" t="inlineStr">
        <is>
          <t>Angel Schlesser Essential EDP Spray 100ml</t>
        </is>
      </c>
      <c r="C12388" t="inlineStr">
        <is>
          <t>Eau De Parfum</t>
        </is>
      </c>
      <c r="D12388" t="inlineStr">
        <is>
          <t>Angel Schlesser</t>
        </is>
      </c>
      <c r="E12388" t="n">
        <v>23.41</v>
      </c>
      <c r="F12388" t="n">
        <v>1</v>
      </c>
      <c r="G12388" t="n">
        <v>5</v>
      </c>
      <c r="H12388" s="5">
        <f>HYPERLINK("https://api.qogita.com/variants/link/8427395670205/", "View Product")</f>
        <v/>
      </c>
    </row>
    <row r="12389">
      <c r="A12389" t="inlineStr">
        <is>
          <t>8427395940001</t>
        </is>
      </c>
      <c r="B12389" t="inlineStr">
        <is>
          <t>IDESA Armand Basi Red Eau de Toilette Vapo 30ml</t>
        </is>
      </c>
      <c r="C12389" t="inlineStr">
        <is>
          <t>Eau De Toilette</t>
        </is>
      </c>
      <c r="D12389" t="inlineStr">
        <is>
          <t>Idesa</t>
        </is>
      </c>
      <c r="E12389" t="n">
        <v>14.38</v>
      </c>
      <c r="F12389" t="n">
        <v>1</v>
      </c>
      <c r="G12389" t="n">
        <v>3</v>
      </c>
      <c r="H12389" s="5">
        <f>HYPERLINK("https://api.qogita.com/variants/link/8427395940001/", "View Product")</f>
        <v/>
      </c>
    </row>
    <row r="12390">
      <c r="A12390" t="inlineStr">
        <is>
          <t>8427395940100</t>
        </is>
      </c>
      <c r="B12390" t="inlineStr">
        <is>
          <t>Armand Basi In Red Eau De Toilette Spray 50ml For Women</t>
        </is>
      </c>
      <c r="C12390" t="inlineStr">
        <is>
          <t>Eau De Toilette</t>
        </is>
      </c>
      <c r="D12390" t="inlineStr">
        <is>
          <t>Armand Basi</t>
        </is>
      </c>
      <c r="E12390" t="n">
        <v>19.95</v>
      </c>
      <c r="F12390" t="n">
        <v>1</v>
      </c>
      <c r="G12390" t="n">
        <v>22</v>
      </c>
      <c r="H12390" s="5">
        <f>HYPERLINK("https://api.qogita.com/variants/link/8427395940100/", "View Product")</f>
        <v/>
      </c>
    </row>
    <row r="12391">
      <c r="A12391" t="inlineStr">
        <is>
          <t>8427395940209</t>
        </is>
      </c>
      <c r="B12391" t="inlineStr">
        <is>
          <t>Armand Basi Red Wree 1135 Women's Eau De Toilette 100ml</t>
        </is>
      </c>
      <c r="C12391" t="inlineStr">
        <is>
          <t>Eau De Toilette</t>
        </is>
      </c>
      <c r="D12391" t="inlineStr">
        <is>
          <t>Armand Basi</t>
        </is>
      </c>
      <c r="E12391" t="n">
        <v>25.31</v>
      </c>
      <c r="F12391" t="n">
        <v>1</v>
      </c>
      <c r="G12391" t="n">
        <v>86</v>
      </c>
      <c r="H12391" s="5">
        <f>HYPERLINK("https://api.qogita.com/variants/link/8427395940209/", "View Product")</f>
        <v/>
      </c>
    </row>
    <row r="12392">
      <c r="A12392" t="inlineStr">
        <is>
          <t>8429421430029</t>
        </is>
      </c>
      <c r="B12392" t="inlineStr">
        <is>
          <t>LAKME k.therapy Bio Argan Oil 125ml for Hair Genuine Product</t>
        </is>
      </c>
      <c r="C12392" t="inlineStr">
        <is>
          <t>Hair Oil &amp; Hair Serum</t>
        </is>
      </c>
      <c r="D12392" t="inlineStr">
        <is>
          <t>Lakmé</t>
        </is>
      </c>
      <c r="E12392" t="n">
        <v>15.58</v>
      </c>
      <c r="F12392" t="n">
        <v>1</v>
      </c>
      <c r="G12392" t="n">
        <v>81</v>
      </c>
      <c r="H12392" s="5">
        <f>HYPERLINK("https://api.qogita.com/variants/link/8429421430029/", "View Product")</f>
        <v/>
      </c>
    </row>
    <row r="12393">
      <c r="A12393" t="inlineStr">
        <is>
          <t>8429421431125</t>
        </is>
      </c>
      <c r="B12393" t="inlineStr">
        <is>
          <t>K. Therapy Sensitive Relaxing Shampoo</t>
        </is>
      </c>
      <c r="C12393" t="inlineStr">
        <is>
          <t>Shampoo</t>
        </is>
      </c>
      <c r="D12393" t="inlineStr">
        <is>
          <t>Lakmé</t>
        </is>
      </c>
      <c r="E12393" t="n">
        <v>6.86</v>
      </c>
      <c r="F12393" t="n">
        <v>1</v>
      </c>
      <c r="G12393" t="n">
        <v>14</v>
      </c>
      <c r="H12393" s="5">
        <f>HYPERLINK("https://api.qogita.com/variants/link/8429421431125/", "View Product")</f>
        <v/>
      </c>
    </row>
    <row r="12394">
      <c r="A12394" t="inlineStr">
        <is>
          <t>8429421431422</t>
        </is>
      </c>
      <c r="B12394" t="inlineStr">
        <is>
          <t>Lakme K.Therapy Sensitive Relaxing Balm 10.6 oz</t>
        </is>
      </c>
      <c r="C12394" t="inlineStr">
        <is>
          <t>Hair Masks</t>
        </is>
      </c>
      <c r="D12394" t="inlineStr">
        <is>
          <t>Lakmé</t>
        </is>
      </c>
      <c r="E12394" t="n">
        <v>9.529999999999999</v>
      </c>
      <c r="F12394" t="n">
        <v>1</v>
      </c>
      <c r="G12394" t="n">
        <v>13</v>
      </c>
      <c r="H12394" s="5">
        <f>HYPERLINK("https://api.qogita.com/variants/link/8429421431422/", "View Product")</f>
        <v/>
      </c>
    </row>
    <row r="12395">
      <c r="A12395" t="inlineStr">
        <is>
          <t>8429421434133</t>
        </is>
      </c>
      <c r="B12395" t="inlineStr">
        <is>
          <t>Lakmé K.Therapy Shampoo 1000ml</t>
        </is>
      </c>
      <c r="C12395" t="inlineStr">
        <is>
          <t>Shampoo</t>
        </is>
      </c>
      <c r="D12395" t="inlineStr">
        <is>
          <t>Lakmé</t>
        </is>
      </c>
      <c r="E12395" t="n">
        <v>16.95</v>
      </c>
      <c r="F12395" t="n">
        <v>1</v>
      </c>
      <c r="G12395" t="n">
        <v>9</v>
      </c>
      <c r="H12395" s="5">
        <f>HYPERLINK("https://api.qogita.com/variants/link/8429421434133/", "View Product")</f>
        <v/>
      </c>
    </row>
    <row r="12396">
      <c r="A12396" t="inlineStr">
        <is>
          <t>8429421437127</t>
        </is>
      </c>
      <c r="B12396" t="inlineStr">
        <is>
          <t>K.Therapy Peeling Shampoo for Dry Hair</t>
        </is>
      </c>
      <c r="C12396" t="inlineStr">
        <is>
          <t>Shampoo</t>
        </is>
      </c>
      <c r="D12396" t="inlineStr">
        <is>
          <t>Lakmé</t>
        </is>
      </c>
      <c r="E12396" t="n">
        <v>7.89</v>
      </c>
      <c r="F12396" t="n">
        <v>1</v>
      </c>
      <c r="G12396" t="n">
        <v>5</v>
      </c>
      <c r="H12396" s="5">
        <f>HYPERLINK("https://api.qogita.com/variants/link/8429421437127/", "View Product")</f>
        <v/>
      </c>
    </row>
    <row r="12397">
      <c r="A12397" t="inlineStr">
        <is>
          <t>8429421437134</t>
        </is>
      </c>
      <c r="B12397" t="inlineStr">
        <is>
          <t>Lakmé K Therapy Peeling Dry Shampoo 1000ml</t>
        </is>
      </c>
      <c r="C12397" t="inlineStr">
        <is>
          <t>Dry Shampoo</t>
        </is>
      </c>
      <c r="D12397" t="inlineStr">
        <is>
          <t>Lakmé</t>
        </is>
      </c>
      <c r="E12397" t="n">
        <v>15.01</v>
      </c>
      <c r="F12397" t="n">
        <v>1</v>
      </c>
      <c r="G12397" t="n">
        <v>4</v>
      </c>
      <c r="H12397" s="5">
        <f>HYPERLINK("https://api.qogita.com/variants/link/8429421437134/", "View Product")</f>
        <v/>
      </c>
    </row>
    <row r="12398">
      <c r="A12398" t="inlineStr">
        <is>
          <t>8429421440097</t>
        </is>
      </c>
      <c r="B12398" t="inlineStr">
        <is>
          <t>Lakmé Teknia Hair Care White Silver Shampoo Refill 600ml</t>
        </is>
      </c>
      <c r="C12398" t="inlineStr">
        <is>
          <t>Shampoo</t>
        </is>
      </c>
      <c r="D12398" t="inlineStr">
        <is>
          <t>Lakmé</t>
        </is>
      </c>
      <c r="E12398" t="n">
        <v>13.12</v>
      </c>
      <c r="F12398" t="n">
        <v>1</v>
      </c>
      <c r="G12398" t="n">
        <v>4</v>
      </c>
      <c r="H12398" s="5">
        <f>HYPERLINK("https://api.qogita.com/variants/link/8429421440097/", "View Product")</f>
        <v/>
      </c>
    </row>
    <row r="12399">
      <c r="A12399" t="inlineStr">
        <is>
          <t>8429421446426</t>
        </is>
      </c>
      <c r="B12399" t="inlineStr">
        <is>
          <t>Lakme Body Maker Balm Formula Vegan 300ml</t>
        </is>
      </c>
      <c r="C12399" t="inlineStr">
        <is>
          <t>Body Butter</t>
        </is>
      </c>
      <c r="D12399" t="inlineStr">
        <is>
          <t>Lakmé</t>
        </is>
      </c>
      <c r="E12399" t="n">
        <v>10.96</v>
      </c>
      <c r="F12399" t="n">
        <v>1</v>
      </c>
      <c r="G12399" t="n">
        <v>5</v>
      </c>
      <c r="H12399" s="5">
        <f>HYPERLINK("https://api.qogita.com/variants/link/8429421446426/", "View Product")</f>
        <v/>
      </c>
    </row>
    <row r="12400">
      <c r="A12400" t="inlineStr">
        <is>
          <t>8429421446693</t>
        </is>
      </c>
      <c r="B12400" t="inlineStr">
        <is>
          <t>Lakmé Teknia Hair Care Body Maker Shampoo 600ml Refill</t>
        </is>
      </c>
      <c r="C12400" t="inlineStr">
        <is>
          <t>Shampoo</t>
        </is>
      </c>
      <c r="D12400" t="inlineStr">
        <is>
          <t>Lakmé</t>
        </is>
      </c>
      <c r="E12400" t="n">
        <v>11.15</v>
      </c>
      <c r="F12400" t="n">
        <v>1</v>
      </c>
      <c r="G12400" t="n">
        <v>4</v>
      </c>
      <c r="H12400" s="5">
        <f>HYPERLINK("https://api.qogita.com/variants/link/8429421446693/", "View Product")</f>
        <v/>
      </c>
    </row>
    <row r="12401">
      <c r="A12401" t="inlineStr">
        <is>
          <t>8429421448123</t>
        </is>
      </c>
      <c r="B12401" t="inlineStr">
        <is>
          <t>Lakme Teknia Argan Oil Shampoo Vegan 300ml</t>
        </is>
      </c>
      <c r="C12401" t="inlineStr">
        <is>
          <t>Shampoo</t>
        </is>
      </c>
      <c r="D12401" t="inlineStr">
        <is>
          <t>Lakmé</t>
        </is>
      </c>
      <c r="E12401" t="n">
        <v>10.16</v>
      </c>
      <c r="F12401" t="n">
        <v>1</v>
      </c>
      <c r="G12401" t="n">
        <v>13</v>
      </c>
      <c r="H12401" s="5">
        <f>HYPERLINK("https://api.qogita.com/variants/link/8429421448123/", "View Product")</f>
        <v/>
      </c>
    </row>
    <row r="12402">
      <c r="A12402" t="inlineStr">
        <is>
          <t>8429421449120</t>
        </is>
      </c>
      <c r="B12402" t="inlineStr">
        <is>
          <t>Lakme Teknia Full Defense Shampoo Protective Shampoo For Hair 300ml</t>
        </is>
      </c>
      <c r="C12402" t="inlineStr">
        <is>
          <t>Shampoo</t>
        </is>
      </c>
      <c r="D12402" t="inlineStr">
        <is>
          <t>Lakmé</t>
        </is>
      </c>
      <c r="E12402" t="n">
        <v>7.58</v>
      </c>
      <c r="F12402" t="n">
        <v>1</v>
      </c>
      <c r="G12402" t="n">
        <v>6</v>
      </c>
      <c r="H12402" s="5">
        <f>HYPERLINK("https://api.qogita.com/variants/link/8429421449120/", "View Product")</f>
        <v/>
      </c>
    </row>
    <row r="12403">
      <c r="A12403" t="inlineStr">
        <is>
          <t>8429421449991</t>
        </is>
      </c>
      <c r="B12403" t="inlineStr">
        <is>
          <t>Lakmé Teknia Hair Care Full Defense Shampoo 600ml Refill</t>
        </is>
      </c>
      <c r="C12403" t="inlineStr">
        <is>
          <t>Shampoo</t>
        </is>
      </c>
      <c r="D12403" t="inlineStr">
        <is>
          <t>Lakmé</t>
        </is>
      </c>
      <c r="E12403" t="n">
        <v>11.79</v>
      </c>
      <c r="F12403" t="n">
        <v>1</v>
      </c>
      <c r="G12403" t="n">
        <v>11</v>
      </c>
      <c r="H12403" s="5">
        <f>HYPERLINK("https://api.qogita.com/variants/link/8429421449991/", "View Product")</f>
        <v/>
      </c>
    </row>
    <row r="12404">
      <c r="A12404" t="inlineStr">
        <is>
          <t>8429421455114</t>
        </is>
      </c>
      <c r="B12404" t="inlineStr">
        <is>
          <t>L2 Bi-Phase Conditioner 100ml by Lakme</t>
        </is>
      </c>
      <c r="C12404" t="inlineStr">
        <is>
          <t>Conditioner</t>
        </is>
      </c>
      <c r="D12404" t="inlineStr">
        <is>
          <t>Lakmé</t>
        </is>
      </c>
      <c r="E12404" t="n">
        <v>5.59</v>
      </c>
      <c r="F12404" t="n">
        <v>1</v>
      </c>
      <c r="G12404" t="n">
        <v>44</v>
      </c>
      <c r="H12404" s="5">
        <f>HYPERLINK("https://api.qogita.com/variants/link/8429421455114/", "View Product")</f>
        <v/>
      </c>
    </row>
    <row r="12405">
      <c r="A12405" t="inlineStr">
        <is>
          <t>8429421460019</t>
        </is>
      </c>
      <c r="B12405" t="inlineStr">
        <is>
          <t>K.FINISH RINGS Curl Flexible Balm</t>
        </is>
      </c>
      <c r="C12405" t="inlineStr">
        <is>
          <t>Styling Creams</t>
        </is>
      </c>
      <c r="D12405" t="inlineStr">
        <is>
          <t>Lakmé</t>
        </is>
      </c>
      <c r="E12405" t="n">
        <v>7.23</v>
      </c>
      <c r="F12405" t="n">
        <v>1</v>
      </c>
      <c r="G12405" t="n">
        <v>4</v>
      </c>
      <c r="H12405" s="5">
        <f>HYPERLINK("https://api.qogita.com/variants/link/8429421460019/", "View Product")</f>
        <v/>
      </c>
    </row>
    <row r="12406">
      <c r="A12406" t="inlineStr">
        <is>
          <t>8429421460330</t>
        </is>
      </c>
      <c r="B12406" t="inlineStr">
        <is>
          <t>Lakme Kfinish Pliable Flexible Hairspray - Lak Na Vlasy Pro Stredni Fixaci</t>
        </is>
      </c>
      <c r="C12406" t="inlineStr">
        <is>
          <t>Hairspray</t>
        </is>
      </c>
      <c r="D12406" t="inlineStr">
        <is>
          <t>Lakmé</t>
        </is>
      </c>
      <c r="E12406" t="n">
        <v>8.73</v>
      </c>
      <c r="F12406" t="n">
        <v>1</v>
      </c>
      <c r="G12406" t="n">
        <v>9</v>
      </c>
      <c r="H12406" s="5">
        <f>HYPERLINK("https://api.qogita.com/variants/link/8429421460330/", "View Product")</f>
        <v/>
      </c>
    </row>
    <row r="12407">
      <c r="A12407" t="inlineStr">
        <is>
          <t>8429421460620</t>
        </is>
      </c>
      <c r="B12407" t="inlineStr">
        <is>
          <t>Lakme Kfinish Polish Sheen Spray - Sprej Pro Hebkost A Lesk Vlasu</t>
        </is>
      </c>
      <c r="C12407" t="inlineStr">
        <is>
          <t>Styling Sprays</t>
        </is>
      </c>
      <c r="D12407" t="inlineStr">
        <is>
          <t>Lakmé</t>
        </is>
      </c>
      <c r="E12407" t="n">
        <v>7.91</v>
      </c>
      <c r="F12407" t="n">
        <v>1</v>
      </c>
      <c r="G12407" t="n">
        <v>21</v>
      </c>
      <c r="H12407" s="5">
        <f>HYPERLINK("https://api.qogita.com/variants/link/8429421460620/", "View Product")</f>
        <v/>
      </c>
    </row>
    <row r="12408">
      <c r="A12408" t="inlineStr">
        <is>
          <t>8429421467018</t>
        </is>
      </c>
      <c r="B12408" t="inlineStr">
        <is>
          <t>Lakme K.Beauty Top-Ten Style-Care Balm</t>
        </is>
      </c>
      <c r="C12408" t="inlineStr">
        <is>
          <t>Lip Balm</t>
        </is>
      </c>
      <c r="D12408" t="inlineStr">
        <is>
          <t>Lakmé</t>
        </is>
      </c>
      <c r="E12408" t="n">
        <v>12</v>
      </c>
      <c r="F12408" t="n">
        <v>1</v>
      </c>
      <c r="G12408" t="n">
        <v>19</v>
      </c>
      <c r="H12408" s="5">
        <f>HYPERLINK("https://api.qogita.com/variants/link/8429421467018/", "View Product")</f>
        <v/>
      </c>
    </row>
    <row r="12409">
      <c r="A12409" t="inlineStr">
        <is>
          <t>8429979425881</t>
        </is>
      </c>
      <c r="B12409" t="inlineStr">
        <is>
          <t>Sesderma Dryses Deodorant Antiperspirant for Men 75ml</t>
        </is>
      </c>
      <c r="C12409" t="inlineStr">
        <is>
          <t>Deodorant &amp; Anti-Perspirant</t>
        </is>
      </c>
      <c r="D12409" t="inlineStr">
        <is>
          <t>Sesderma</t>
        </is>
      </c>
      <c r="E12409" t="n">
        <v>11.72</v>
      </c>
      <c r="F12409" t="n">
        <v>1</v>
      </c>
      <c r="G12409" t="n">
        <v>3</v>
      </c>
      <c r="H12409" s="5">
        <f>HYPERLINK("https://api.qogita.com/variants/link/8429979425881/", "View Product")</f>
        <v/>
      </c>
    </row>
    <row r="12410">
      <c r="A12410" t="inlineStr">
        <is>
          <t>8429979439765</t>
        </is>
      </c>
      <c r="B12410" t="inlineStr">
        <is>
          <t>Sesderma Seslash Black Regenerating Mascara 5ml - Eyelash Strengthening</t>
        </is>
      </c>
      <c r="C12410" t="inlineStr">
        <is>
          <t>Mascara</t>
        </is>
      </c>
      <c r="D12410" t="inlineStr">
        <is>
          <t>Sesderma</t>
        </is>
      </c>
      <c r="E12410" t="n">
        <v>20.39</v>
      </c>
      <c r="F12410" t="n">
        <v>1</v>
      </c>
      <c r="G12410" t="n">
        <v>2</v>
      </c>
      <c r="H12410" s="5">
        <f>HYPERLINK("https://api.qogita.com/variants/link/8429979439765/", "View Product")</f>
        <v/>
      </c>
    </row>
    <row r="12411">
      <c r="A12411" t="inlineStr">
        <is>
          <t>8429979446961</t>
        </is>
      </c>
      <c r="B12411" t="inlineStr">
        <is>
          <t>Sesderma Samay Antiaging Serum For Sensitive Skin 30ml</t>
        </is>
      </c>
      <c r="C12411" t="inlineStr">
        <is>
          <t>Anti-Aging Serum</t>
        </is>
      </c>
      <c r="D12411" t="inlineStr">
        <is>
          <t>Sesderma</t>
        </is>
      </c>
      <c r="E12411" t="n">
        <v>35.28</v>
      </c>
      <c r="F12411" t="n">
        <v>1</v>
      </c>
      <c r="G12411" t="n">
        <v>2</v>
      </c>
      <c r="H12411" s="5">
        <f>HYPERLINK("https://api.qogita.com/variants/link/8429979446961/", "View Product")</f>
        <v/>
      </c>
    </row>
    <row r="12412">
      <c r="A12412" t="inlineStr">
        <is>
          <t>8429979482143</t>
        </is>
      </c>
      <c r="B12412" t="inlineStr">
        <is>
          <t>Sesderma Repaskin Urban 365 Antiaging Sunscreen Spf 50 50ml</t>
        </is>
      </c>
      <c r="C12412" t="inlineStr">
        <is>
          <t>Face Sun Protection</t>
        </is>
      </c>
      <c r="D12412" t="inlineStr">
        <is>
          <t>Sesderma</t>
        </is>
      </c>
      <c r="E12412" t="n">
        <v>30.26</v>
      </c>
      <c r="F12412" t="n">
        <v>1</v>
      </c>
      <c r="G12412" t="n">
        <v>2</v>
      </c>
      <c r="H12412" s="5">
        <f>HYPERLINK("https://api.qogita.com/variants/link/8429979482143/", "View Product")</f>
        <v/>
      </c>
    </row>
    <row r="12413">
      <c r="A12413" t="inlineStr">
        <is>
          <t>8429979484147</t>
        </is>
      </c>
      <c r="B12413" t="inlineStr">
        <is>
          <t>Sesderma Ferulac Antioxidant Gel-Cream - A Nourishing Gel-Cream For Skin Care</t>
        </is>
      </c>
      <c r="C12413" t="inlineStr">
        <is>
          <t>Face Cream</t>
        </is>
      </c>
      <c r="D12413" t="inlineStr">
        <is>
          <t>Sesderma</t>
        </is>
      </c>
      <c r="E12413" t="n">
        <v>49.69</v>
      </c>
      <c r="F12413" t="n">
        <v>1</v>
      </c>
      <c r="G12413" t="n">
        <v>2</v>
      </c>
      <c r="H12413" s="5">
        <f>HYPERLINK("https://api.qogita.com/variants/link/8429979484147/", "View Product")</f>
        <v/>
      </c>
    </row>
    <row r="12414">
      <c r="A12414" t="inlineStr">
        <is>
          <t>8431754007939</t>
        </is>
      </c>
      <c r="B12414" t="inlineStr">
        <is>
          <t>Halloween Halloween Blossom Eau De Toilette Spray 100ml</t>
        </is>
      </c>
      <c r="C12414" t="inlineStr">
        <is>
          <t>Eau De Toilette</t>
        </is>
      </c>
      <c r="D12414" t="inlineStr">
        <is>
          <t>Halloween</t>
        </is>
      </c>
      <c r="E12414" t="n">
        <v>27.55</v>
      </c>
      <c r="F12414" t="n">
        <v>1</v>
      </c>
      <c r="G12414" t="n">
        <v>11</v>
      </c>
      <c r="H12414" s="5">
        <f>HYPERLINK("https://api.qogita.com/variants/link/8431754007939/", "View Product")</f>
        <v/>
      </c>
    </row>
    <row r="12415">
      <c r="A12415" t="inlineStr">
        <is>
          <t>8431754342184</t>
        </is>
      </c>
      <c r="B12415" t="inlineStr">
        <is>
          <t>Jesus Del Pozo Halloween Freesia Eau De Toilette</t>
        </is>
      </c>
      <c r="C12415" t="inlineStr">
        <is>
          <t>Eau De Toilette</t>
        </is>
      </c>
      <c r="D12415" t="inlineStr">
        <is>
          <t>Jesus Del Pozo</t>
        </is>
      </c>
      <c r="E12415" t="n">
        <v>21.65</v>
      </c>
      <c r="F12415" t="n">
        <v>1</v>
      </c>
      <c r="G12415" t="n">
        <v>3</v>
      </c>
      <c r="H12415" s="5">
        <f>HYPERLINK("https://api.qogita.com/variants/link/8431754342184/", "View Product")</f>
        <v/>
      </c>
    </row>
    <row r="12416">
      <c r="A12416" t="inlineStr">
        <is>
          <t>8432225096568</t>
        </is>
      </c>
      <c r="B12416" t="inlineStr">
        <is>
          <t>Revlon Equave For Kids Princess Look Conditioner 200ml Detangling Conditioner For Children</t>
        </is>
      </c>
      <c r="C12416" t="inlineStr">
        <is>
          <t>Conditioner</t>
        </is>
      </c>
      <c r="D12416" t="inlineStr">
        <is>
          <t>Revlon</t>
        </is>
      </c>
      <c r="E12416" t="n">
        <v>7.95</v>
      </c>
      <c r="F12416" t="n">
        <v>1</v>
      </c>
      <c r="G12416" t="n">
        <v>48</v>
      </c>
      <c r="H12416" s="5">
        <f>HYPERLINK("https://api.qogita.com/variants/link/8432225096568/", "View Product")</f>
        <v/>
      </c>
    </row>
    <row r="12417">
      <c r="A12417" t="inlineStr">
        <is>
          <t>8432225096735</t>
        </is>
      </c>
      <c r="B12417" t="inlineStr">
        <is>
          <t>Revlon Style Master Fiber Max Strong Sculpting Hair Cream 85g</t>
        </is>
      </c>
      <c r="C12417" t="inlineStr">
        <is>
          <t>Styling Creams</t>
        </is>
      </c>
      <c r="D12417" t="inlineStr">
        <is>
          <t>Revlon</t>
        </is>
      </c>
      <c r="E12417" t="n">
        <v>7.34</v>
      </c>
      <c r="F12417" t="n">
        <v>1</v>
      </c>
      <c r="G12417" t="n">
        <v>2</v>
      </c>
      <c r="H12417" s="5">
        <f>HYPERLINK("https://api.qogita.com/variants/link/8432225096735/", "View Product")</f>
        <v/>
      </c>
    </row>
    <row r="12418">
      <c r="A12418" t="inlineStr">
        <is>
          <t>8432225096742</t>
        </is>
      </c>
      <c r="B12418" t="inlineStr">
        <is>
          <t>Revlon Professional Style Masters Strong Matt Clay 85g</t>
        </is>
      </c>
      <c r="C12418" t="inlineStr">
        <is>
          <t>Wax</t>
        </is>
      </c>
      <c r="D12418" t="inlineStr">
        <is>
          <t>Revlon Professional</t>
        </is>
      </c>
      <c r="E12418" t="n">
        <v>8.779999999999999</v>
      </c>
      <c r="F12418" t="n">
        <v>1</v>
      </c>
      <c r="G12418" t="n">
        <v>13</v>
      </c>
      <c r="H12418" s="5">
        <f>HYPERLINK("https://api.qogita.com/variants/link/8432225096742/", "View Product")</f>
        <v/>
      </c>
    </row>
    <row r="12419">
      <c r="A12419" t="inlineStr">
        <is>
          <t>8432225096766</t>
        </is>
      </c>
      <c r="B12419" t="inlineStr">
        <is>
          <t>Style Masters Curly Fanaticurls Strong Sculpting Fluid Curls 150ml</t>
        </is>
      </c>
      <c r="C12419" t="inlineStr">
        <is>
          <t>Gel</t>
        </is>
      </c>
      <c r="D12419" t="inlineStr">
        <is>
          <t>Sytle Masters</t>
        </is>
      </c>
      <c r="E12419" t="n">
        <v>6.94</v>
      </c>
      <c r="F12419" t="n">
        <v>1</v>
      </c>
      <c r="G12419" t="n">
        <v>32</v>
      </c>
      <c r="H12419" s="5">
        <f>HYPERLINK("https://api.qogita.com/variants/link/8432225096766/", "View Product")</f>
        <v/>
      </c>
    </row>
    <row r="12420">
      <c r="A12420" t="inlineStr">
        <is>
          <t>8432225096780</t>
        </is>
      </c>
      <c r="B12420" t="inlineStr">
        <is>
          <t>Revlon Style Masters Modular Medium Hold Hairspray 500ml Professional Hair Care</t>
        </is>
      </c>
      <c r="C12420" t="inlineStr">
        <is>
          <t>Hairspray</t>
        </is>
      </c>
      <c r="D12420" t="inlineStr">
        <is>
          <t>Revlon</t>
        </is>
      </c>
      <c r="E12420" t="n">
        <v>7.53</v>
      </c>
      <c r="F12420" t="n">
        <v>1</v>
      </c>
      <c r="G12420" t="n">
        <v>14</v>
      </c>
      <c r="H12420" s="5">
        <f>HYPERLINK("https://api.qogita.com/variants/link/8432225096780/", "View Product")</f>
        <v/>
      </c>
    </row>
    <row r="12421">
      <c r="A12421" t="inlineStr">
        <is>
          <t>8432225111445</t>
        </is>
      </c>
      <c r="B12421" t="inlineStr">
        <is>
          <t>Revlon Professional Equave Kids Princess Look Shampoo For Children 300ml</t>
        </is>
      </c>
      <c r="C12421" t="inlineStr">
        <is>
          <t>Children's Hair Cleaning</t>
        </is>
      </c>
      <c r="D12421" t="inlineStr">
        <is>
          <t>Revlon Professional</t>
        </is>
      </c>
      <c r="E12421" t="n">
        <v>7.89</v>
      </c>
      <c r="F12421" t="n">
        <v>1</v>
      </c>
      <c r="G12421" t="n">
        <v>44</v>
      </c>
      <c r="H12421" s="5">
        <f>HYPERLINK("https://api.qogita.com/variants/link/8432225111445/", "View Product")</f>
        <v/>
      </c>
    </row>
    <row r="12422">
      <c r="A12422" t="inlineStr">
        <is>
          <t>8432225113586</t>
        </is>
      </c>
      <c r="B12422" t="inlineStr">
        <is>
          <t>Revlon Professional Pro You The Moisturizer Hydrating Shampoo 1000ml For Dry Hair</t>
        </is>
      </c>
      <c r="C12422" t="inlineStr">
        <is>
          <t>Shampoo</t>
        </is>
      </c>
      <c r="D12422" t="inlineStr">
        <is>
          <t>Revlon Professional</t>
        </is>
      </c>
      <c r="E12422" t="n">
        <v>9.58</v>
      </c>
      <c r="F12422" t="n">
        <v>1</v>
      </c>
      <c r="G12422" t="n">
        <v>6</v>
      </c>
      <c r="H12422" s="5">
        <f>HYPERLINK("https://api.qogita.com/variants/link/8432225113586/", "View Product")</f>
        <v/>
      </c>
    </row>
    <row r="12423">
      <c r="A12423" t="inlineStr">
        <is>
          <t>8432225113777</t>
        </is>
      </c>
      <c r="B12423" t="inlineStr">
        <is>
          <t>Revlon Pro You The Tamer Smoothing Conditioner 350ml</t>
        </is>
      </c>
      <c r="C12423" t="inlineStr">
        <is>
          <t>Conditioner</t>
        </is>
      </c>
      <c r="D12423" t="inlineStr">
        <is>
          <t>Revlon Professional</t>
        </is>
      </c>
      <c r="E12423" t="n">
        <v>4.37</v>
      </c>
      <c r="F12423" t="n">
        <v>1</v>
      </c>
      <c r="G12423" t="n">
        <v>4</v>
      </c>
      <c r="H12423" s="5">
        <f>HYPERLINK("https://api.qogita.com/variants/link/8432225113777/", "View Product")</f>
        <v/>
      </c>
    </row>
    <row r="12424">
      <c r="A12424" t="inlineStr">
        <is>
          <t>8432225113920</t>
        </is>
      </c>
      <c r="B12424" t="inlineStr">
        <is>
          <t>Revlon Pro You The Twister Curl Moisture Shampoo 350ml</t>
        </is>
      </c>
      <c r="C12424" t="inlineStr">
        <is>
          <t>Shampoo</t>
        </is>
      </c>
      <c r="D12424" t="inlineStr">
        <is>
          <t>Revlon Professional</t>
        </is>
      </c>
      <c r="E12424" t="n">
        <v>4.05</v>
      </c>
      <c r="F12424" t="n">
        <v>1</v>
      </c>
      <c r="G12424" t="n">
        <v>23</v>
      </c>
      <c r="H12424" s="5">
        <f>HYPERLINK("https://api.qogita.com/variants/link/8432225113920/", "View Product")</f>
        <v/>
      </c>
    </row>
    <row r="12425">
      <c r="A12425" t="inlineStr">
        <is>
          <t>8432225114200</t>
        </is>
      </c>
      <c r="B12425" t="inlineStr">
        <is>
          <t>Revlon Professional Proyou The Fixer Shampoo For Damaged Hair 350ml</t>
        </is>
      </c>
      <c r="C12425" t="inlineStr">
        <is>
          <t>Shampoo</t>
        </is>
      </c>
      <c r="D12425" t="inlineStr">
        <is>
          <t>Revlon Professional</t>
        </is>
      </c>
      <c r="E12425" t="n">
        <v>4.76</v>
      </c>
      <c r="F12425" t="n">
        <v>1</v>
      </c>
      <c r="G12425" t="n">
        <v>11</v>
      </c>
      <c r="H12425" s="5">
        <f>HYPERLINK("https://api.qogita.com/variants/link/8432225114200/", "View Product")</f>
        <v/>
      </c>
    </row>
    <row r="12426">
      <c r="A12426" t="inlineStr">
        <is>
          <t>8432225114217</t>
        </is>
      </c>
      <c r="B12426" t="inlineStr">
        <is>
          <t>Revlon Pro You The Fixer Repair Shampoo 1000ml</t>
        </is>
      </c>
      <c r="C12426" t="inlineStr">
        <is>
          <t>Shampoo</t>
        </is>
      </c>
      <c r="D12426" t="inlineStr">
        <is>
          <t>Revlon Professional</t>
        </is>
      </c>
      <c r="E12426" t="n">
        <v>8.73</v>
      </c>
      <c r="F12426" t="n">
        <v>1</v>
      </c>
      <c r="G12426" t="n">
        <v>2</v>
      </c>
      <c r="H12426" s="5">
        <f>HYPERLINK("https://api.qogita.com/variants/link/8432225114217/", "View Product")</f>
        <v/>
      </c>
    </row>
    <row r="12427">
      <c r="A12427" t="inlineStr">
        <is>
          <t>8432225114378</t>
        </is>
      </c>
      <c r="B12427" t="inlineStr">
        <is>
          <t>Revlon Restart Volume Magnifying Shampoo 250ml Micellar Shampoo For Hair Volume</t>
        </is>
      </c>
      <c r="C12427" t="inlineStr">
        <is>
          <t>Shampoo</t>
        </is>
      </c>
      <c r="D12427" t="inlineStr">
        <is>
          <t>Revlon</t>
        </is>
      </c>
      <c r="E12427" t="n">
        <v>10.11</v>
      </c>
      <c r="F12427" t="n">
        <v>1</v>
      </c>
      <c r="G12427" t="n">
        <v>3</v>
      </c>
      <c r="H12427" s="5">
        <f>HYPERLINK("https://api.qogita.com/variants/link/8432225114378/", "View Product")</f>
        <v/>
      </c>
    </row>
    <row r="12428">
      <c r="A12428" t="inlineStr">
        <is>
          <t>8432225114453</t>
        </is>
      </c>
      <c r="B12428" t="inlineStr">
        <is>
          <t>Revlon Professional Re / Start Balance Dandruff Shampoo 1000ml</t>
        </is>
      </c>
      <c r="C12428" t="inlineStr">
        <is>
          <t>Shampoo</t>
        </is>
      </c>
      <c r="D12428" t="inlineStr">
        <is>
          <t>Revlon Professional</t>
        </is>
      </c>
      <c r="E12428" t="n">
        <v>16.8</v>
      </c>
      <c r="F12428" t="n">
        <v>1</v>
      </c>
      <c r="G12428" t="n">
        <v>3</v>
      </c>
      <c r="H12428" s="5">
        <f>HYPERLINK("https://api.qogita.com/variants/link/8432225114453/", "View Product")</f>
        <v/>
      </c>
    </row>
    <row r="12429">
      <c r="A12429" t="inlineStr">
        <is>
          <t>8432225114538</t>
        </is>
      </c>
      <c r="B12429" t="inlineStr">
        <is>
          <t>Revlon Professional Hydrating Micellar Shampoo Restart Hydration 1000ml</t>
        </is>
      </c>
      <c r="C12429" t="inlineStr">
        <is>
          <t>Shampoo</t>
        </is>
      </c>
      <c r="D12429" t="inlineStr">
        <is>
          <t>Revlon Professional</t>
        </is>
      </c>
      <c r="E12429" t="n">
        <v>24.27</v>
      </c>
      <c r="F12429" t="n">
        <v>1</v>
      </c>
      <c r="G12429" t="n">
        <v>3</v>
      </c>
      <c r="H12429" s="5">
        <f>HYPERLINK("https://api.qogita.com/variants/link/8432225114538/", "View Product")</f>
        <v/>
      </c>
    </row>
    <row r="12430">
      <c r="A12430" t="inlineStr">
        <is>
          <t>8432225114736</t>
        </is>
      </c>
      <c r="B12430" t="inlineStr">
        <is>
          <t>Revlon Restart Color Protective Gentle Cleanser 250ml For Colored Hair</t>
        </is>
      </c>
      <c r="C12430" t="inlineStr">
        <is>
          <t>Shampoo</t>
        </is>
      </c>
      <c r="D12430" t="inlineStr">
        <is>
          <t>Revlon Professional</t>
        </is>
      </c>
      <c r="E12430" t="n">
        <v>10.12</v>
      </c>
      <c r="F12430" t="n">
        <v>1</v>
      </c>
      <c r="G12430" t="n">
        <v>5</v>
      </c>
      <c r="H12430" s="5">
        <f>HYPERLINK("https://api.qogita.com/variants/link/8432225114736/", "View Product")</f>
        <v/>
      </c>
    </row>
    <row r="12431">
      <c r="A12431" t="inlineStr">
        <is>
          <t>8432225114750</t>
        </is>
      </c>
      <c r="B12431" t="inlineStr">
        <is>
          <t>Revlon Restart Color Protective Micellar Shampoo 250ml For Colored Hair</t>
        </is>
      </c>
      <c r="C12431" t="inlineStr">
        <is>
          <t>Shampoo</t>
        </is>
      </c>
      <c r="D12431" t="inlineStr">
        <is>
          <t>Revlon</t>
        </is>
      </c>
      <c r="E12431" t="n">
        <v>10.02</v>
      </c>
      <c r="F12431" t="n">
        <v>1</v>
      </c>
      <c r="G12431" t="n">
        <v>5</v>
      </c>
      <c r="H12431" s="5">
        <f>HYPERLINK("https://api.qogita.com/variants/link/8432225114750/", "View Product")</f>
        <v/>
      </c>
    </row>
    <row r="12432">
      <c r="A12432" t="inlineStr">
        <is>
          <t>8432225114903</t>
        </is>
      </c>
      <c r="B12432" t="inlineStr">
        <is>
          <t>Revlon Restart Color Antibrassiness Purple Drops 50ml For Blonde Hair</t>
        </is>
      </c>
      <c r="C12432" t="inlineStr">
        <is>
          <t>Hair Oil &amp; Hair Serum</t>
        </is>
      </c>
      <c r="D12432" t="inlineStr">
        <is>
          <t>Revlon</t>
        </is>
      </c>
      <c r="E12432" t="n">
        <v>15.13</v>
      </c>
      <c r="F12432" t="n">
        <v>1</v>
      </c>
      <c r="G12432" t="n">
        <v>5</v>
      </c>
      <c r="H12432" s="5">
        <f>HYPERLINK("https://api.qogita.com/variants/link/8432225114903/", "View Product")</f>
        <v/>
      </c>
    </row>
    <row r="12433">
      <c r="A12433" t="inlineStr">
        <is>
          <t>8432225114972</t>
        </is>
      </c>
      <c r="B12433" t="inlineStr">
        <is>
          <t>Revlon Proyou Volumizing Spray - 250ml</t>
        </is>
      </c>
      <c r="C12433" t="inlineStr">
        <is>
          <t>Styling Sprays</t>
        </is>
      </c>
      <c r="D12433" t="inlineStr">
        <is>
          <t>Revlon</t>
        </is>
      </c>
      <c r="E12433" t="n">
        <v>6.32</v>
      </c>
      <c r="F12433" t="n">
        <v>1</v>
      </c>
      <c r="G12433" t="n">
        <v>2</v>
      </c>
      <c r="H12433" s="5">
        <f>HYPERLINK("https://api.qogita.com/variants/link/8432225114972/", "View Product")</f>
        <v/>
      </c>
    </row>
    <row r="12434">
      <c r="A12434" t="inlineStr">
        <is>
          <t>8432225114996</t>
        </is>
      </c>
      <c r="B12434" t="inlineStr">
        <is>
          <t>Pro You The Amplifier Substance Up Texturizing Hair Styling Gel 350ml</t>
        </is>
      </c>
      <c r="C12434" t="inlineStr">
        <is>
          <t>Gel</t>
        </is>
      </c>
      <c r="D12434" t="inlineStr">
        <is>
          <t>Proyou</t>
        </is>
      </c>
      <c r="E12434" t="n">
        <v>9.529999999999999</v>
      </c>
      <c r="F12434" t="n">
        <v>1</v>
      </c>
      <c r="G12434" t="n">
        <v>5</v>
      </c>
      <c r="H12434" s="5">
        <f>HYPERLINK("https://api.qogita.com/variants/link/8432225114996/", "View Product")</f>
        <v/>
      </c>
    </row>
    <row r="12435">
      <c r="A12435" t="inlineStr">
        <is>
          <t>8432225115115</t>
        </is>
      </c>
      <c r="B12435" t="inlineStr">
        <is>
          <t>Revlon Professional Proyou The Definer Hair Styling Foam 400ml</t>
        </is>
      </c>
      <c r="C12435" t="inlineStr">
        <is>
          <t>Mousse</t>
        </is>
      </c>
      <c r="D12435" t="inlineStr">
        <is>
          <t>Revlon Professional</t>
        </is>
      </c>
      <c r="E12435" t="n">
        <v>5.71</v>
      </c>
      <c r="F12435" t="n">
        <v>1</v>
      </c>
      <c r="G12435" t="n">
        <v>13</v>
      </c>
      <c r="H12435" s="5">
        <f>HYPERLINK("https://api.qogita.com/variants/link/8432225115115/", "View Product")</f>
        <v/>
      </c>
    </row>
    <row r="12436">
      <c r="A12436" t="inlineStr">
        <is>
          <t>8432225127378</t>
        </is>
      </c>
      <c r="B12436" t="inlineStr">
        <is>
          <t>Revlon Restart Density Fortifying Micellar Shampoo 250ml</t>
        </is>
      </c>
      <c r="C12436" t="inlineStr">
        <is>
          <t>Shampoo</t>
        </is>
      </c>
      <c r="D12436" t="inlineStr">
        <is>
          <t>Revlon</t>
        </is>
      </c>
      <c r="E12436" t="n">
        <v>10.08</v>
      </c>
      <c r="F12436" t="n">
        <v>1</v>
      </c>
      <c r="G12436" t="n">
        <v>3</v>
      </c>
      <c r="H12436" s="5">
        <f>HYPERLINK("https://api.qogita.com/variants/link/8432225127378/", "View Product")</f>
        <v/>
      </c>
    </row>
    <row r="12437">
      <c r="A12437" t="inlineStr">
        <is>
          <t>8432225127415</t>
        </is>
      </c>
      <c r="B12437" t="inlineStr">
        <is>
          <t>Revlon Restart Density Anti Hair Loss Spray 100ml Effective Treatment Against Hair Loss</t>
        </is>
      </c>
      <c r="C12437" t="inlineStr">
        <is>
          <t>Hair Tonic</t>
        </is>
      </c>
      <c r="D12437" t="inlineStr">
        <is>
          <t>Revlon</t>
        </is>
      </c>
      <c r="E12437" t="n">
        <v>19.71</v>
      </c>
      <c r="F12437" t="n">
        <v>1</v>
      </c>
      <c r="G12437" t="n">
        <v>5</v>
      </c>
      <c r="H12437" s="5">
        <f>HYPERLINK("https://api.qogita.com/variants/link/8432225127415/", "View Product")</f>
        <v/>
      </c>
    </row>
    <row r="12438">
      <c r="A12438" t="inlineStr">
        <is>
          <t>8432225127422</t>
        </is>
      </c>
      <c r="B12438" t="inlineStr">
        <is>
          <t>Revlon Professional Restart Density Ampoules Anti Hair Loss 12 X 5 Ml</t>
        </is>
      </c>
      <c r="C12438" t="inlineStr">
        <is>
          <t>Hair Tonic</t>
        </is>
      </c>
      <c r="D12438" t="inlineStr">
        <is>
          <t>Revlon Professional</t>
        </is>
      </c>
      <c r="E12438" t="n">
        <v>29.15</v>
      </c>
      <c r="F12438" t="n">
        <v>1</v>
      </c>
      <c r="G12438" t="n">
        <v>2</v>
      </c>
      <c r="H12438" s="5">
        <f>HYPERLINK("https://api.qogita.com/variants/link/8432225127422/", "View Product")</f>
        <v/>
      </c>
    </row>
    <row r="12439">
      <c r="A12439" t="inlineStr">
        <is>
          <t>8432225127842</t>
        </is>
      </c>
      <c r="B12439" t="inlineStr">
        <is>
          <t>Orofluido Original Elixir Hair Elixir With Argan Oil 30ml</t>
        </is>
      </c>
      <c r="C12439" t="inlineStr">
        <is>
          <t>Hair Oil &amp; Hair Serum</t>
        </is>
      </c>
      <c r="D12439" t="inlineStr">
        <is>
          <t>Orofluido</t>
        </is>
      </c>
      <c r="E12439" t="n">
        <v>7</v>
      </c>
      <c r="F12439" t="n">
        <v>1</v>
      </c>
      <c r="G12439" t="n">
        <v>6</v>
      </c>
      <c r="H12439" s="5">
        <f>HYPERLINK("https://api.qogita.com/variants/link/8432225127842/", "View Product")</f>
        <v/>
      </c>
    </row>
    <row r="12440">
      <c r="A12440" t="inlineStr">
        <is>
          <t>8432225127880</t>
        </is>
      </c>
      <c r="B12440" t="inlineStr">
        <is>
          <t>Revlon Professional Orofluido Radiance Argan Conditioner Moisturizing Hair Treatment 240ml</t>
        </is>
      </c>
      <c r="C12440" t="inlineStr">
        <is>
          <t>Conditioner</t>
        </is>
      </c>
      <c r="D12440" t="inlineStr">
        <is>
          <t>Revlon Professional</t>
        </is>
      </c>
      <c r="E12440" t="n">
        <v>4.39</v>
      </c>
      <c r="F12440" t="n">
        <v>1</v>
      </c>
      <c r="G12440" t="n">
        <v>42</v>
      </c>
      <c r="H12440" s="5">
        <f>HYPERLINK("https://api.qogita.com/variants/link/8432225127880/", "View Product")</f>
        <v/>
      </c>
    </row>
    <row r="12441">
      <c r="A12441" t="inlineStr">
        <is>
          <t>8432225127903</t>
        </is>
      </c>
      <c r="B12441" t="inlineStr">
        <is>
          <t>Revlon Professional Orofluido Radiance Argan Mask Illuminating Argan Hair Mask 250ml</t>
        </is>
      </c>
      <c r="C12441" t="inlineStr">
        <is>
          <t>Hair Masks</t>
        </is>
      </c>
      <c r="D12441" t="inlineStr">
        <is>
          <t>Revlon Professional</t>
        </is>
      </c>
      <c r="E12441" t="n">
        <v>5.05</v>
      </c>
      <c r="F12441" t="n">
        <v>1</v>
      </c>
      <c r="G12441" t="n">
        <v>67</v>
      </c>
      <c r="H12441" s="5">
        <f>HYPERLINK("https://api.qogita.com/variants/link/8432225127903/", "View Product")</f>
        <v/>
      </c>
    </row>
    <row r="12442">
      <c r="A12442" t="inlineStr">
        <is>
          <t>8432225129778</t>
        </is>
      </c>
      <c r="B12442" t="inlineStr">
        <is>
          <t>Revlon Uniq One All In One Hair Treatment 150ml</t>
        </is>
      </c>
      <c r="C12442" t="inlineStr">
        <is>
          <t>Leave-In Conditioner</t>
        </is>
      </c>
      <c r="D12442" t="inlineStr">
        <is>
          <t>Revlon</t>
        </is>
      </c>
      <c r="E12442" t="n">
        <v>7.23</v>
      </c>
      <c r="F12442" t="n">
        <v>1</v>
      </c>
      <c r="G12442" t="n">
        <v>365</v>
      </c>
      <c r="H12442" s="5">
        <f>HYPERLINK("https://api.qogita.com/variants/link/8432225129778/", "View Product")</f>
        <v/>
      </c>
    </row>
    <row r="12443">
      <c r="A12443" t="inlineStr">
        <is>
          <t>8432225129846</t>
        </is>
      </c>
      <c r="B12443" t="inlineStr">
        <is>
          <t>Revlon Professional Uniq One All In One Shampoo 490ml</t>
        </is>
      </c>
      <c r="C12443" t="inlineStr">
        <is>
          <t>Shampoo</t>
        </is>
      </c>
      <c r="D12443" t="inlineStr">
        <is>
          <t>Revlon Professional</t>
        </is>
      </c>
      <c r="E12443" t="n">
        <v>10.99</v>
      </c>
      <c r="F12443" t="n">
        <v>1</v>
      </c>
      <c r="G12443" t="n">
        <v>79</v>
      </c>
      <c r="H12443" s="5">
        <f>HYPERLINK("https://api.qogita.com/variants/link/8432225129846/", "View Product")</f>
        <v/>
      </c>
    </row>
    <row r="12444">
      <c r="A12444" t="inlineStr">
        <is>
          <t>8432225129860</t>
        </is>
      </c>
      <c r="B12444" t="inlineStr">
        <is>
          <t>Revlon Uniqone All In One Hair Treatment Green Tea Size 150 Ml</t>
        </is>
      </c>
      <c r="C12444" t="inlineStr">
        <is>
          <t>Leave-In Conditioner</t>
        </is>
      </c>
      <c r="D12444" t="inlineStr">
        <is>
          <t>Revlon</t>
        </is>
      </c>
      <c r="E12444" t="n">
        <v>7.62</v>
      </c>
      <c r="F12444" t="n">
        <v>1</v>
      </c>
      <c r="G12444" t="n">
        <v>25</v>
      </c>
      <c r="H12444" s="5">
        <f>HYPERLINK("https://api.qogita.com/variants/link/8432225129860/", "View Product")</f>
        <v/>
      </c>
    </row>
    <row r="12445">
      <c r="A12445" t="inlineStr">
        <is>
          <t>8432225129877</t>
        </is>
      </c>
      <c r="B12445" t="inlineStr">
        <is>
          <t>Revlon Professional Uniq One All In One Lotus Flower Hair Treatment 150ml - 10 Real Benefits</t>
        </is>
      </c>
      <c r="C12445" t="inlineStr">
        <is>
          <t>Leave-In Conditioner</t>
        </is>
      </c>
      <c r="D12445" t="inlineStr">
        <is>
          <t>Revlon Professional</t>
        </is>
      </c>
      <c r="E12445" t="n">
        <v>7.6</v>
      </c>
      <c r="F12445" t="n">
        <v>1</v>
      </c>
      <c r="G12445" t="n">
        <v>44</v>
      </c>
      <c r="H12445" s="5">
        <f>HYPERLINK("https://api.qogita.com/variants/link/8432225129877/", "View Product")</f>
        <v/>
      </c>
    </row>
    <row r="12446">
      <c r="A12446" t="inlineStr">
        <is>
          <t>8432225131887</t>
        </is>
      </c>
      <c r="B12446" t="inlineStr">
        <is>
          <t>American Crew Classic Anti-Dandruff + Dry Scalp Shampoo - 250ml</t>
        </is>
      </c>
      <c r="C12446" t="inlineStr">
        <is>
          <t>Shampoo</t>
        </is>
      </c>
      <c r="D12446" t="inlineStr">
        <is>
          <t>American Crew</t>
        </is>
      </c>
      <c r="E12446" t="n">
        <v>9.07</v>
      </c>
      <c r="F12446" t="n">
        <v>1</v>
      </c>
      <c r="G12446" t="n">
        <v>9</v>
      </c>
      <c r="H12446" s="5">
        <f>HYPERLINK("https://api.qogita.com/variants/link/8432225131887/", "View Product")</f>
        <v/>
      </c>
    </row>
    <row r="12447">
      <c r="A12447" t="inlineStr">
        <is>
          <t>8432225132792</t>
        </is>
      </c>
      <c r="B12447" t="inlineStr">
        <is>
          <t>Revlon Restart Curls Nourishing Cleanser 1000ml For Curly And Wavy Hair</t>
        </is>
      </c>
      <c r="C12447" t="inlineStr">
        <is>
          <t>Shampoo</t>
        </is>
      </c>
      <c r="D12447" t="inlineStr">
        <is>
          <t>Revlon Professional</t>
        </is>
      </c>
      <c r="E12447" t="n">
        <v>35.85</v>
      </c>
      <c r="F12447" t="n">
        <v>1</v>
      </c>
      <c r="G12447" t="n">
        <v>5</v>
      </c>
      <c r="H12447" s="5">
        <f>HYPERLINK("https://api.qogita.com/variants/link/8432225132792/", "View Product")</f>
        <v/>
      </c>
    </row>
    <row r="12448">
      <c r="A12448" t="inlineStr">
        <is>
          <t>8432225132808</t>
        </is>
      </c>
      <c r="B12448" t="inlineStr">
        <is>
          <t>Revlon Professional Restart Curls Conditioner 200ml Leavein Nourishing Conditioner For Curly And Wavy Hair</t>
        </is>
      </c>
      <c r="C12448" t="inlineStr">
        <is>
          <t>Leave-In Conditioner</t>
        </is>
      </c>
      <c r="D12448" t="inlineStr">
        <is>
          <t>Revlon Professional</t>
        </is>
      </c>
      <c r="E12448" t="n">
        <v>9.69</v>
      </c>
      <c r="F12448" t="n">
        <v>1</v>
      </c>
      <c r="G12448" t="n">
        <v>3</v>
      </c>
      <c r="H12448" s="5">
        <f>HYPERLINK("https://api.qogita.com/variants/link/8432225132808/", "View Product")</f>
        <v/>
      </c>
    </row>
    <row r="12449">
      <c r="A12449" t="inlineStr">
        <is>
          <t>8432225132815</t>
        </is>
      </c>
      <c r="B12449" t="inlineStr">
        <is>
          <t>Revlon Professional Leavein Nourishing Conditioner For Curly And Wavy Hair 750ml</t>
        </is>
      </c>
      <c r="C12449" t="inlineStr">
        <is>
          <t>Leave-In Conditioner</t>
        </is>
      </c>
      <c r="D12449" t="inlineStr">
        <is>
          <t>Revlon Professional</t>
        </is>
      </c>
      <c r="E12449" t="n">
        <v>17.45</v>
      </c>
      <c r="F12449" t="n">
        <v>1</v>
      </c>
      <c r="G12449" t="n">
        <v>8</v>
      </c>
      <c r="H12449" s="5">
        <f>HYPERLINK("https://api.qogita.com/variants/link/8432225132815/", "View Product")</f>
        <v/>
      </c>
    </row>
    <row r="12450">
      <c r="A12450" t="inlineStr">
        <is>
          <t>8432225132846</t>
        </is>
      </c>
      <c r="B12450" t="inlineStr">
        <is>
          <t>Revlon Professional Restart Curls Defining Caring Cream 150ml For Curly And Wavy Hair</t>
        </is>
      </c>
      <c r="C12450" t="inlineStr">
        <is>
          <t>Conditioner</t>
        </is>
      </c>
      <c r="D12450" t="inlineStr">
        <is>
          <t>Revlon Professional</t>
        </is>
      </c>
      <c r="E12450" t="n">
        <v>14.13</v>
      </c>
      <c r="F12450" t="n">
        <v>1</v>
      </c>
      <c r="G12450" t="n">
        <v>4</v>
      </c>
      <c r="H12450" s="5">
        <f>HYPERLINK("https://api.qogita.com/variants/link/8432225132846/", "View Product")</f>
        <v/>
      </c>
    </row>
    <row r="12451">
      <c r="A12451" t="inlineStr">
        <is>
          <t>8432225136387</t>
        </is>
      </c>
      <c r="B12451" t="inlineStr">
        <is>
          <t>Revlon Professional Moderate Stiffening Foam Hair 2 Style Masters 300 Ml</t>
        </is>
      </c>
      <c r="C12451" t="inlineStr">
        <is>
          <t>Mousse</t>
        </is>
      </c>
      <c r="D12451" t="inlineStr">
        <is>
          <t>Revlon Professional</t>
        </is>
      </c>
      <c r="E12451" t="n">
        <v>7.53</v>
      </c>
      <c r="F12451" t="n">
        <v>1</v>
      </c>
      <c r="G12451" t="n">
        <v>11</v>
      </c>
      <c r="H12451" s="5">
        <f>HYPERLINK("https://api.qogita.com/variants/link/8432225136387/", "View Product")</f>
        <v/>
      </c>
    </row>
    <row r="12452">
      <c r="A12452" t="inlineStr">
        <is>
          <t>8432225137018</t>
        </is>
      </c>
      <c r="B12452" t="inlineStr">
        <is>
          <t>Revlon Professional Equave Instant Detangling Conditioner 200ml For Normal To Dry Hair Twostage Hydro Nutritive Conditioner</t>
        </is>
      </c>
      <c r="C12452" t="inlineStr">
        <is>
          <t>Conditioner</t>
        </is>
      </c>
      <c r="D12452" t="inlineStr">
        <is>
          <t>Revlon Professional</t>
        </is>
      </c>
      <c r="E12452" t="n">
        <v>7.36</v>
      </c>
      <c r="F12452" t="n">
        <v>1</v>
      </c>
      <c r="G12452" t="n">
        <v>196</v>
      </c>
      <c r="H12452" s="5">
        <f>HYPERLINK("https://api.qogita.com/variants/link/8432225137018/", "View Product")</f>
        <v/>
      </c>
    </row>
    <row r="12453">
      <c r="A12453" t="inlineStr">
        <is>
          <t>8432225137056</t>
        </is>
      </c>
      <c r="B12453" t="inlineStr">
        <is>
          <t>Revlon Professional Equave Color Vibrancy Instant Detangling Conditioner 200ml</t>
        </is>
      </c>
      <c r="C12453" t="inlineStr">
        <is>
          <t>Conditioner</t>
        </is>
      </c>
      <c r="D12453" t="inlineStr">
        <is>
          <t>Revlon Professional</t>
        </is>
      </c>
      <c r="E12453" t="n">
        <v>6.36</v>
      </c>
      <c r="F12453" t="n">
        <v>1</v>
      </c>
      <c r="G12453" t="n">
        <v>28</v>
      </c>
      <c r="H12453" s="5">
        <f>HYPERLINK("https://api.qogita.com/variants/link/8432225137056/", "View Product")</f>
        <v/>
      </c>
    </row>
    <row r="12454">
      <c r="A12454" t="inlineStr">
        <is>
          <t>8432225137506</t>
        </is>
      </c>
      <c r="B12454" t="inlineStr">
        <is>
          <t>Revlon Uniq One Treatment For Curls 230ml</t>
        </is>
      </c>
      <c r="C12454" t="inlineStr">
        <is>
          <t>Leave-In Conditioner</t>
        </is>
      </c>
      <c r="D12454" t="inlineStr">
        <is>
          <t>Revlon</t>
        </is>
      </c>
      <c r="E12454" t="n">
        <v>9.039999999999999</v>
      </c>
      <c r="F12454" t="n">
        <v>1</v>
      </c>
      <c r="G12454" t="n">
        <v>15</v>
      </c>
      <c r="H12454" s="5">
        <f>HYPERLINK("https://api.qogita.com/variants/link/8432225137506/", "View Product")</f>
        <v/>
      </c>
    </row>
    <row r="12455">
      <c r="A12455" t="inlineStr">
        <is>
          <t>8433982006296</t>
        </is>
      </c>
      <c r="B12455" t="inlineStr">
        <is>
          <t>Benetton Colors Blue Eau De Toilette 50ml For Women</t>
        </is>
      </c>
      <c r="C12455" t="inlineStr">
        <is>
          <t>Eau De Toilette</t>
        </is>
      </c>
      <c r="D12455" t="inlineStr">
        <is>
          <t>Benetton</t>
        </is>
      </c>
      <c r="E12455" t="n">
        <v>9.58</v>
      </c>
      <c r="F12455" t="n">
        <v>1</v>
      </c>
      <c r="G12455" t="n">
        <v>2</v>
      </c>
      <c r="H12455" s="5">
        <f>HYPERLINK("https://api.qogita.com/variants/link/8433982006296/", "View Product")</f>
        <v/>
      </c>
    </row>
    <row r="12456">
      <c r="A12456" t="inlineStr">
        <is>
          <t>8433982018718</t>
        </is>
      </c>
      <c r="B12456" t="inlineStr">
        <is>
          <t>Benetton Sisterland Green Jasmine Eau De Toilette 80ml</t>
        </is>
      </c>
      <c r="C12456" t="inlineStr">
        <is>
          <t>Eau De Toilette</t>
        </is>
      </c>
      <c r="D12456" t="inlineStr">
        <is>
          <t>Benetton</t>
        </is>
      </c>
      <c r="E12456" t="n">
        <v>14.14</v>
      </c>
      <c r="F12456" t="n">
        <v>1</v>
      </c>
      <c r="G12456" t="n">
        <v>3</v>
      </c>
      <c r="H12456" s="5">
        <f>HYPERLINK("https://api.qogita.com/variants/link/8433982018718/", "View Product")</f>
        <v/>
      </c>
    </row>
    <row r="12457">
      <c r="A12457" t="inlineStr">
        <is>
          <t>8434853000047</t>
        </is>
      </c>
      <c r="B12457" t="inlineStr">
        <is>
          <t>Die Gans Teilzeit Held Eau de Toilette for Men 125ml</t>
        </is>
      </c>
      <c r="C12457" t="inlineStr">
        <is>
          <t>Eau De Toilette</t>
        </is>
      </c>
      <c r="D12457" t="inlineStr">
        <is>
          <t>Perfumes Y Diseño</t>
        </is>
      </c>
      <c r="E12457" t="n">
        <v>31.83</v>
      </c>
      <c r="F12457" t="n">
        <v>1</v>
      </c>
      <c r="G12457" t="n">
        <v>4</v>
      </c>
      <c r="H12457" s="5">
        <f>HYPERLINK("https://api.qogita.com/variants/link/8434853000047/", "View Product")</f>
        <v/>
      </c>
    </row>
    <row r="12458">
      <c r="A12458" t="inlineStr">
        <is>
          <t>8435137727100</t>
        </is>
      </c>
      <c r="B12458" t="inlineStr">
        <is>
          <t>Prada Candy Eau De Parfum 30ml</t>
        </is>
      </c>
      <c r="C12458" t="inlineStr">
        <is>
          <t>Eau De Parfum</t>
        </is>
      </c>
      <c r="D12458" t="inlineStr">
        <is>
          <t>Prada</t>
        </is>
      </c>
      <c r="E12458" t="n">
        <v>50.46</v>
      </c>
      <c r="F12458" t="n">
        <v>1</v>
      </c>
      <c r="G12458" t="n">
        <v>6</v>
      </c>
      <c r="H12458" s="5">
        <f>HYPERLINK("https://api.qogita.com/variants/link/8435137727100/", "View Product")</f>
        <v/>
      </c>
    </row>
    <row r="12459">
      <c r="A12459" t="inlineStr">
        <is>
          <t>8435137749287</t>
        </is>
      </c>
      <c r="B12459" t="inlineStr">
        <is>
          <t>Prada La Femme Eau De Parfum Spray 100ml</t>
        </is>
      </c>
      <c r="C12459" t="inlineStr">
        <is>
          <t>Eau De Parfum</t>
        </is>
      </c>
      <c r="D12459" t="inlineStr">
        <is>
          <t>Prada</t>
        </is>
      </c>
      <c r="E12459" t="n">
        <v>81.20999999999999</v>
      </c>
      <c r="F12459" t="n">
        <v>1</v>
      </c>
      <c r="G12459" t="n">
        <v>7</v>
      </c>
      <c r="H12459" s="5">
        <f>HYPERLINK("https://api.qogita.com/variants/link/8435137749287/", "View Product")</f>
        <v/>
      </c>
    </row>
    <row r="12460">
      <c r="A12460" t="inlineStr">
        <is>
          <t>8435137749607</t>
        </is>
      </c>
      <c r="B12460" t="inlineStr">
        <is>
          <t>Prada L'Homme EDT Spray 100ml</t>
        </is>
      </c>
      <c r="C12460" t="inlineStr">
        <is>
          <t>Eau De Toilette</t>
        </is>
      </c>
      <c r="D12460" t="inlineStr">
        <is>
          <t>Prada</t>
        </is>
      </c>
      <c r="E12460" t="n">
        <v>70.27</v>
      </c>
      <c r="F12460" t="n">
        <v>1</v>
      </c>
      <c r="G12460" t="n">
        <v>30</v>
      </c>
      <c r="H12460" s="5">
        <f>HYPERLINK("https://api.qogita.com/variants/link/8435137749607/", "View Product")</f>
        <v/>
      </c>
    </row>
    <row r="12461">
      <c r="A12461" t="inlineStr">
        <is>
          <t>8435137765362</t>
        </is>
      </c>
      <c r="B12461" t="inlineStr">
        <is>
          <t>Prada L'Homme L'Eau Eau De Toilette 100ml Men Spray</t>
        </is>
      </c>
      <c r="C12461" t="inlineStr">
        <is>
          <t>Eau De Toilette</t>
        </is>
      </c>
      <c r="D12461" t="inlineStr">
        <is>
          <t>Prada</t>
        </is>
      </c>
      <c r="E12461" t="n">
        <v>69.3</v>
      </c>
      <c r="F12461" t="n">
        <v>1</v>
      </c>
      <c r="G12461" t="n">
        <v>5</v>
      </c>
      <c r="H12461" s="5">
        <f>HYPERLINK("https://api.qogita.com/variants/link/8435137765362/", "View Product")</f>
        <v/>
      </c>
    </row>
    <row r="12462">
      <c r="A12462" t="inlineStr">
        <is>
          <t>8435137795055</t>
        </is>
      </c>
      <c r="B12462" t="inlineStr">
        <is>
          <t>Prada La Femme Water Splash EDT Spray 5.1 Oz</t>
        </is>
      </c>
      <c r="C12462" t="inlineStr">
        <is>
          <t>Eau De Toilette</t>
        </is>
      </c>
      <c r="D12462" t="inlineStr">
        <is>
          <t>Prada</t>
        </is>
      </c>
      <c r="E12462" t="n">
        <v>46.36</v>
      </c>
      <c r="F12462" t="n">
        <v>1</v>
      </c>
      <c r="G12462" t="n">
        <v>16</v>
      </c>
      <c r="H12462" s="5">
        <f>HYPERLINK("https://api.qogita.com/variants/link/8435137795055/", "View Product")</f>
        <v/>
      </c>
    </row>
    <row r="12463">
      <c r="A12463" t="inlineStr">
        <is>
          <t>8435415011310</t>
        </is>
      </c>
      <c r="B12463" t="inlineStr">
        <is>
          <t>Jean Paul Gaultier Classique Eau De Toilette Spray 50ml</t>
        </is>
      </c>
      <c r="C12463" t="inlineStr">
        <is>
          <t>Eau De Toilette</t>
        </is>
      </c>
      <c r="D12463" t="inlineStr">
        <is>
          <t>Jean-Paul Gaultier</t>
        </is>
      </c>
      <c r="E12463" t="n">
        <v>57.6</v>
      </c>
      <c r="F12463" t="n">
        <v>1</v>
      </c>
      <c r="G12463" t="n">
        <v>19</v>
      </c>
      <c r="H12463" s="5">
        <f>HYPERLINK("https://api.qogita.com/variants/link/8435415011310/", "View Product")</f>
        <v/>
      </c>
    </row>
    <row r="12464">
      <c r="A12464" t="inlineStr">
        <is>
          <t>8435415011495</t>
        </is>
      </c>
      <c r="B12464" t="inlineStr">
        <is>
          <t>Jean Paul Gaultier Eau De Toilette Spray 3.4 Oz for Women (tester)</t>
        </is>
      </c>
      <c r="C12464" t="inlineStr">
        <is>
          <t>Eau De Toilette</t>
        </is>
      </c>
      <c r="D12464" t="inlineStr">
        <is>
          <t>Jean Paul Gaultier</t>
        </is>
      </c>
      <c r="E12464" t="n">
        <v>47.75</v>
      </c>
      <c r="F12464" t="n">
        <v>1</v>
      </c>
      <c r="G12464" t="n">
        <v>11</v>
      </c>
      <c r="H12464" s="5">
        <f>HYPERLINK("https://api.qogita.com/variants/link/8435415011495/", "View Product")</f>
        <v/>
      </c>
    </row>
    <row r="12465">
      <c r="A12465" t="inlineStr">
        <is>
          <t>8435415012027</t>
        </is>
      </c>
      <c r="B12465" t="inlineStr">
        <is>
          <t>Jean Paul Gaultier Ultra Male Eau De Toilette Spray 125ml</t>
        </is>
      </c>
      <c r="C12465" t="inlineStr">
        <is>
          <t>Eau De Toilette</t>
        </is>
      </c>
      <c r="D12465" t="inlineStr">
        <is>
          <t>Jean Paul Gaultier</t>
        </is>
      </c>
      <c r="E12465" t="n">
        <v>79.91</v>
      </c>
      <c r="F12465" t="n">
        <v>1</v>
      </c>
      <c r="G12465" t="n">
        <v>39</v>
      </c>
      <c r="H12465" s="5">
        <f>HYPERLINK("https://api.qogita.com/variants/link/8435415012027/", "View Product")</f>
        <v/>
      </c>
    </row>
    <row r="12466">
      <c r="A12466" t="inlineStr">
        <is>
          <t>8435415012638</t>
        </is>
      </c>
      <c r="B12466" t="inlineStr">
        <is>
          <t>Jean Paul Gaultier Le Male Eau De Toilette Spray 75ml</t>
        </is>
      </c>
      <c r="C12466" t="inlineStr">
        <is>
          <t>Eau De Toilette</t>
        </is>
      </c>
      <c r="D12466" t="inlineStr">
        <is>
          <t>Jean-Paul Gaultier</t>
        </is>
      </c>
      <c r="E12466" t="n">
        <v>55.81</v>
      </c>
      <c r="F12466" t="n">
        <v>1</v>
      </c>
      <c r="G12466" t="n">
        <v>44</v>
      </c>
      <c r="H12466" s="5">
        <f>HYPERLINK("https://api.qogita.com/variants/link/8435415012638/", "View Product")</f>
        <v/>
      </c>
    </row>
    <row r="12467">
      <c r="A12467" t="inlineStr">
        <is>
          <t>8435415017190</t>
        </is>
      </c>
      <c r="B12467" t="inlineStr">
        <is>
          <t>Jean Paul Gaultier Le Beau Eau De Toilette 75ml For Men</t>
        </is>
      </c>
      <c r="C12467" t="inlineStr">
        <is>
          <t>Eau De Toilette</t>
        </is>
      </c>
      <c r="D12467" t="inlineStr">
        <is>
          <t>Jean Paul Gaultier</t>
        </is>
      </c>
      <c r="E12467" t="n">
        <v>58.43</v>
      </c>
      <c r="F12467" t="n">
        <v>1</v>
      </c>
      <c r="G12467" t="n">
        <v>8</v>
      </c>
      <c r="H12467" s="5">
        <f>HYPERLINK("https://api.qogita.com/variants/link/8435415017190/", "View Product")</f>
        <v/>
      </c>
    </row>
    <row r="12468">
      <c r="A12468" t="inlineStr">
        <is>
          <t>8435415017206</t>
        </is>
      </c>
      <c r="B12468" t="inlineStr">
        <is>
          <t>Jean Paul Gaultier Le Beau Eau De Toilette Spray 125ml</t>
        </is>
      </c>
      <c r="C12468" t="inlineStr">
        <is>
          <t>Eau De Toilette</t>
        </is>
      </c>
      <c r="D12468" t="inlineStr">
        <is>
          <t>Jean Paul Gaultier</t>
        </is>
      </c>
      <c r="E12468" t="n">
        <v>69.47</v>
      </c>
      <c r="F12468" t="n">
        <v>1</v>
      </c>
      <c r="G12468" t="n">
        <v>262</v>
      </c>
      <c r="H12468" s="5">
        <f>HYPERLINK("https://api.qogita.com/variants/link/8435415017206/", "View Product")</f>
        <v/>
      </c>
    </row>
    <row r="12469">
      <c r="A12469" t="inlineStr">
        <is>
          <t>8435415017213</t>
        </is>
      </c>
      <c r="B12469" t="inlineStr">
        <is>
          <t>Jean Paul Gaultier La Belle Eau De Parfum Spray 50ml</t>
        </is>
      </c>
      <c r="C12469" t="inlineStr">
        <is>
          <t>Eau De Parfum</t>
        </is>
      </c>
      <c r="D12469" t="inlineStr">
        <is>
          <t>Jean Paul Gaultier</t>
        </is>
      </c>
      <c r="E12469" t="n">
        <v>63.88</v>
      </c>
      <c r="F12469" t="n">
        <v>1</v>
      </c>
      <c r="G12469" t="n">
        <v>36</v>
      </c>
      <c r="H12469" s="5">
        <f>HYPERLINK("https://api.qogita.com/variants/link/8435415017213/", "View Product")</f>
        <v/>
      </c>
    </row>
    <row r="12470">
      <c r="A12470" t="inlineStr">
        <is>
          <t>8435415030908</t>
        </is>
      </c>
      <c r="B12470" t="inlineStr">
        <is>
          <t>Jean Paul Gaultier Scandal Pour Homme Eau De Toilette 50ml</t>
        </is>
      </c>
      <c r="C12470" t="inlineStr">
        <is>
          <t>Eau De Toilette</t>
        </is>
      </c>
      <c r="D12470" t="inlineStr">
        <is>
          <t>Jean Paul Gaultier</t>
        </is>
      </c>
      <c r="E12470" t="n">
        <v>56.06</v>
      </c>
      <c r="F12470" t="n">
        <v>1</v>
      </c>
      <c r="G12470" t="n">
        <v>3</v>
      </c>
      <c r="H12470" s="5">
        <f>HYPERLINK("https://api.qogita.com/variants/link/8435415030908/", "View Product")</f>
        <v/>
      </c>
    </row>
    <row r="12471">
      <c r="A12471" t="inlineStr">
        <is>
          <t>8435415032315</t>
        </is>
      </c>
      <c r="B12471" t="inlineStr">
        <is>
          <t>Jean Paul Gaultier Le Male Le Parfum Eau De Parfum Spray 125ml</t>
        </is>
      </c>
      <c r="C12471" t="inlineStr">
        <is>
          <t>Eau De Parfum</t>
        </is>
      </c>
      <c r="D12471" t="inlineStr">
        <is>
          <t>Jean-Paul Gaultier</t>
        </is>
      </c>
      <c r="E12471" t="n">
        <v>83.87</v>
      </c>
      <c r="F12471" t="n">
        <v>1</v>
      </c>
      <c r="G12471" t="n">
        <v>8</v>
      </c>
      <c r="H12471" s="5">
        <f>HYPERLINK("https://api.qogita.com/variants/link/8435415032315/", "View Product")</f>
        <v/>
      </c>
    </row>
    <row r="12472">
      <c r="A12472" t="inlineStr">
        <is>
          <t>8435415032360</t>
        </is>
      </c>
      <c r="B12472" t="inlineStr">
        <is>
          <t>Jean Paul Gaultier Le Male Le Parfum Spray 200ml</t>
        </is>
      </c>
      <c r="C12472" t="inlineStr">
        <is>
          <t>Eau De Parfum</t>
        </is>
      </c>
      <c r="D12472" t="inlineStr">
        <is>
          <t>Jean-Paul Gaultier</t>
        </is>
      </c>
      <c r="E12472" t="n">
        <v>108.74</v>
      </c>
      <c r="F12472" t="n">
        <v>1</v>
      </c>
      <c r="G12472" t="n">
        <v>34</v>
      </c>
      <c r="H12472" s="5">
        <f>HYPERLINK("https://api.qogita.com/variants/link/8435415032360/", "View Product")</f>
        <v/>
      </c>
    </row>
    <row r="12473">
      <c r="A12473" t="inlineStr">
        <is>
          <t>8435415050760</t>
        </is>
      </c>
      <c r="B12473" t="inlineStr">
        <is>
          <t>Jean Paul Gaultier Scandal Le Parfum Eau De Parfum Spray 80ml</t>
        </is>
      </c>
      <c r="C12473" t="inlineStr">
        <is>
          <t>Eau De Parfum</t>
        </is>
      </c>
      <c r="D12473" t="inlineStr">
        <is>
          <t>Jean-Paul Gaultier</t>
        </is>
      </c>
      <c r="E12473" t="n">
        <v>88.51000000000001</v>
      </c>
      <c r="F12473" t="n">
        <v>1</v>
      </c>
      <c r="G12473" t="n">
        <v>8</v>
      </c>
      <c r="H12473" s="5">
        <f>HYPERLINK("https://api.qogita.com/variants/link/8435415050760/", "View Product")</f>
        <v/>
      </c>
    </row>
    <row r="12474">
      <c r="A12474" t="inlineStr">
        <is>
          <t>8435415052368</t>
        </is>
      </c>
      <c r="B12474" t="inlineStr">
        <is>
          <t>Jean Paul Gaultier Scandal Pour Homme All Over Shower Gel 150ml</t>
        </is>
      </c>
      <c r="C12474" t="inlineStr">
        <is>
          <t>Shower Gel</t>
        </is>
      </c>
      <c r="D12474" t="inlineStr">
        <is>
          <t>Jean Paul Gaultier</t>
        </is>
      </c>
      <c r="E12474" t="n">
        <v>28.2</v>
      </c>
      <c r="F12474" t="n">
        <v>1</v>
      </c>
      <c r="G12474" t="n">
        <v>7</v>
      </c>
      <c r="H12474" s="5">
        <f>HYPERLINK("https://api.qogita.com/variants/link/8435415052368/", "View Product")</f>
        <v/>
      </c>
    </row>
    <row r="12475">
      <c r="A12475" t="inlineStr">
        <is>
          <t>8435415062213</t>
        </is>
      </c>
      <c r="B12475" t="inlineStr">
        <is>
          <t>Jean Paul Gaultier Le Beau Le Parfum Eau De Parfum Spray 75 Ml</t>
        </is>
      </c>
      <c r="C12475" t="inlineStr">
        <is>
          <t>Eau De Parfum</t>
        </is>
      </c>
      <c r="D12475" t="inlineStr">
        <is>
          <t>Jean Paul Gaultier</t>
        </is>
      </c>
      <c r="E12475" t="n">
        <v>63.03</v>
      </c>
      <c r="F12475" t="n">
        <v>1</v>
      </c>
      <c r="G12475" t="n">
        <v>10</v>
      </c>
      <c r="H12475" s="5">
        <f>HYPERLINK("https://api.qogita.com/variants/link/8435415062213/", "View Product")</f>
        <v/>
      </c>
    </row>
    <row r="12476">
      <c r="A12476" t="inlineStr">
        <is>
          <t>8435415065214</t>
        </is>
      </c>
      <c r="B12476" t="inlineStr">
        <is>
          <t>Jean Paul Gaultier Scandal Pour Homme Le Parfum Eau De Parfum Intense 150ml</t>
        </is>
      </c>
      <c r="C12476" t="inlineStr">
        <is>
          <t>Eau De Parfum</t>
        </is>
      </c>
      <c r="D12476" t="inlineStr">
        <is>
          <t>Jean-Paul Gaultier</t>
        </is>
      </c>
      <c r="E12476" t="n">
        <v>106.72</v>
      </c>
      <c r="F12476" t="n">
        <v>1</v>
      </c>
      <c r="G12476" t="n">
        <v>10</v>
      </c>
      <c r="H12476" s="5">
        <f>HYPERLINK("https://api.qogita.com/variants/link/8435415065214/", "View Product")</f>
        <v/>
      </c>
    </row>
    <row r="12477">
      <c r="A12477" t="inlineStr">
        <is>
          <t>8435415070386</t>
        </is>
      </c>
      <c r="B12477" t="inlineStr">
        <is>
          <t>Jean Paul Gaultier Scandal By Night Eau De Parfum</t>
        </is>
      </c>
      <c r="C12477" t="inlineStr">
        <is>
          <t>Eau De Parfum</t>
        </is>
      </c>
      <c r="D12477" t="inlineStr">
        <is>
          <t>Jean Paul Gaultier</t>
        </is>
      </c>
      <c r="E12477" t="n">
        <v>110.27</v>
      </c>
      <c r="F12477" t="n">
        <v>1</v>
      </c>
      <c r="G12477" t="n">
        <v>40</v>
      </c>
      <c r="H12477" s="5">
        <f>HYPERLINK("https://api.qogita.com/variants/link/8435415070386/", "View Product")</f>
        <v/>
      </c>
    </row>
    <row r="12478">
      <c r="A12478" t="inlineStr">
        <is>
          <t>8435415076203</t>
        </is>
      </c>
      <c r="B12478" t="inlineStr">
        <is>
          <t>Jean Paul Gaultier Le Male Pride Edition Get Used To It! Eau De Toilette Spray 125ml</t>
        </is>
      </c>
      <c r="C12478" t="inlineStr">
        <is>
          <t>Eau De Toilette</t>
        </is>
      </c>
      <c r="D12478" t="inlineStr">
        <is>
          <t>Jean-Paul Gaultier</t>
        </is>
      </c>
      <c r="E12478" t="n">
        <v>67.23999999999999</v>
      </c>
      <c r="F12478" t="n">
        <v>1</v>
      </c>
      <c r="G12478" t="n">
        <v>15</v>
      </c>
      <c r="H12478" s="5">
        <f>HYPERLINK("https://api.qogita.com/variants/link/8435415076203/", "View Product")</f>
        <v/>
      </c>
    </row>
    <row r="12479">
      <c r="A12479" t="inlineStr">
        <is>
          <t>8435415076937</t>
        </is>
      </c>
      <c r="B12479" t="inlineStr">
        <is>
          <t>Jean Paul Gaultier Le Male Elixir Perfume Spray 75ml</t>
        </is>
      </c>
      <c r="C12479" t="inlineStr">
        <is>
          <t>Eau De Parfum</t>
        </is>
      </c>
      <c r="D12479" t="inlineStr">
        <is>
          <t>Jean-Paul Gaultier</t>
        </is>
      </c>
      <c r="E12479" t="n">
        <v>66.01000000000001</v>
      </c>
      <c r="F12479" t="n">
        <v>1</v>
      </c>
      <c r="G12479" t="n">
        <v>2</v>
      </c>
      <c r="H12479" s="5">
        <f>HYPERLINK("https://api.qogita.com/variants/link/8435415076937/", "View Product")</f>
        <v/>
      </c>
    </row>
    <row r="12480">
      <c r="A12480" t="inlineStr">
        <is>
          <t>8435415085243</t>
        </is>
      </c>
      <c r="B12480" t="inlineStr">
        <is>
          <t>Jean Paul Gaultier Scandal Perfume Set for Men</t>
        </is>
      </c>
      <c r="C12480" t="inlineStr">
        <is>
          <t>Fragrance Sets</t>
        </is>
      </c>
      <c r="D12480" t="inlineStr">
        <is>
          <t>Jean-Paul Gaultier</t>
        </is>
      </c>
      <c r="E12480" t="n">
        <v>71.56999999999999</v>
      </c>
      <c r="F12480" t="n">
        <v>1</v>
      </c>
      <c r="G12480" t="n">
        <v>9</v>
      </c>
      <c r="H12480" s="5">
        <f>HYPERLINK("https://api.qogita.com/variants/link/8435415085243/", "View Product")</f>
        <v/>
      </c>
    </row>
    <row r="12481">
      <c r="A12481" t="inlineStr">
        <is>
          <t>8435415091244</t>
        </is>
      </c>
      <c r="B12481" t="inlineStr">
        <is>
          <t>Jean Paul Gaultier Le Beau Paradise Green Eau De Parfum Spray 75ml</t>
        </is>
      </c>
      <c r="C12481" t="inlineStr">
        <is>
          <t>Eau De Parfum</t>
        </is>
      </c>
      <c r="D12481" t="inlineStr">
        <is>
          <t>Jean-Paul Gaultier</t>
        </is>
      </c>
      <c r="E12481" t="n">
        <v>59.47</v>
      </c>
      <c r="F12481" t="n">
        <v>1</v>
      </c>
      <c r="G12481" t="n">
        <v>8</v>
      </c>
      <c r="H12481" s="5">
        <f>HYPERLINK("https://api.qogita.com/variants/link/8435415091244/", "View Product")</f>
        <v/>
      </c>
    </row>
    <row r="12482">
      <c r="A12482" t="inlineStr">
        <is>
          <t>8435415091275</t>
        </is>
      </c>
      <c r="B12482" t="inlineStr">
        <is>
          <t>Jean Paul Gaultier Le Beau Paradise Garden Eau De Parfum Spray 125ml</t>
        </is>
      </c>
      <c r="C12482" t="inlineStr">
        <is>
          <t>Eau De Parfum</t>
        </is>
      </c>
      <c r="D12482" t="inlineStr">
        <is>
          <t>Jean-Paul Gaultier</t>
        </is>
      </c>
      <c r="E12482" t="n">
        <v>89.31</v>
      </c>
      <c r="F12482" t="n">
        <v>1</v>
      </c>
      <c r="G12482" t="n">
        <v>22</v>
      </c>
      <c r="H12482" s="5">
        <f>HYPERLINK("https://api.qogita.com/variants/link/8435415091275/", "View Product")</f>
        <v/>
      </c>
    </row>
    <row r="12483">
      <c r="A12483" t="inlineStr">
        <is>
          <t>8435415092616</t>
        </is>
      </c>
      <c r="B12483" t="inlineStr">
        <is>
          <t>Jean Paul Gaultier Scandal Set For Men - 34 Oz Eau De Toilette Spray &amp; 25 Oz Shower Gel</t>
        </is>
      </c>
      <c r="C12483" t="inlineStr">
        <is>
          <t>Fragrance Sets</t>
        </is>
      </c>
      <c r="D12483" t="inlineStr">
        <is>
          <t>Jean-Paul Gaultier</t>
        </is>
      </c>
      <c r="E12483" t="n">
        <v>65.66</v>
      </c>
      <c r="F12483" t="n">
        <v>1</v>
      </c>
      <c r="G12483" t="n">
        <v>23</v>
      </c>
      <c r="H12483" s="5">
        <f>HYPERLINK("https://api.qogita.com/variants/link/8435415092616/", "View Product")</f>
        <v/>
      </c>
    </row>
    <row r="12484">
      <c r="A12484" t="inlineStr">
        <is>
          <t>8435415098922</t>
        </is>
      </c>
      <c r="B12484" t="inlineStr">
        <is>
          <t>Jean Paul Gaultier Divine Eau De Parfum Gift Set - 50ml</t>
        </is>
      </c>
      <c r="C12484" t="inlineStr">
        <is>
          <t>Fragrance Sets</t>
        </is>
      </c>
      <c r="D12484" t="inlineStr">
        <is>
          <t>Jean-Paul Gaultier</t>
        </is>
      </c>
      <c r="E12484" t="n">
        <v>60.73</v>
      </c>
      <c r="F12484" t="n">
        <v>1</v>
      </c>
      <c r="G12484" t="n">
        <v>151</v>
      </c>
      <c r="H12484" s="5">
        <f>HYPERLINK("https://api.qogita.com/variants/link/8435415098922/", "View Product")</f>
        <v/>
      </c>
    </row>
    <row r="12485">
      <c r="A12485" t="inlineStr">
        <is>
          <t>8435415102483</t>
        </is>
      </c>
      <c r="B12485" t="inlineStr">
        <is>
          <t>Jean Paul Gaultier La Belle Flower Eau De Parfum 100ml</t>
        </is>
      </c>
      <c r="C12485" t="inlineStr">
        <is>
          <t>Eau De Parfum</t>
        </is>
      </c>
      <c r="D12485" t="inlineStr">
        <is>
          <t>Jean-Paul Gaultier</t>
        </is>
      </c>
      <c r="E12485" t="n">
        <v>95.89</v>
      </c>
      <c r="F12485" t="n">
        <v>1</v>
      </c>
      <c r="G12485" t="n">
        <v>15</v>
      </c>
      <c r="H12485" s="5">
        <f>HYPERLINK("https://api.qogita.com/variants/link/8435415102483/", "View Product")</f>
        <v/>
      </c>
    </row>
    <row r="12486">
      <c r="A12486" t="inlineStr">
        <is>
          <t>8435624500520</t>
        </is>
      </c>
      <c r="B12486" t="inlineStr">
        <is>
          <t>Natura Biss Diamond Wellliving The Cryogel Refreshing Foot Gel 150 Ml</t>
        </is>
      </c>
      <c r="C12486" t="inlineStr">
        <is>
          <t>Foot Cream</t>
        </is>
      </c>
      <c r="D12486" t="inlineStr">
        <is>
          <t>Natura Bissé</t>
        </is>
      </c>
      <c r="E12486" t="n">
        <v>39.82</v>
      </c>
      <c r="F12486" t="n">
        <v>1</v>
      </c>
      <c r="G12486" t="n">
        <v>3</v>
      </c>
      <c r="H12486" s="5">
        <f>HYPERLINK("https://api.qogita.com/variants/link/8435624500520/", "View Product")</f>
        <v/>
      </c>
    </row>
    <row r="12487">
      <c r="A12487" t="inlineStr">
        <is>
          <t>8435624500629</t>
        </is>
      </c>
      <c r="B12487" t="inlineStr">
        <is>
          <t>Natura Bisse C+C Vitamin Self-Tan Drops 1oz</t>
        </is>
      </c>
      <c r="C12487" t="inlineStr">
        <is>
          <t>Face Self-Tanner</t>
        </is>
      </c>
      <c r="D12487" t="inlineStr">
        <is>
          <t>Natura Bissé</t>
        </is>
      </c>
      <c r="E12487" t="n">
        <v>41.8</v>
      </c>
      <c r="F12487" t="n">
        <v>1</v>
      </c>
      <c r="G12487" t="n">
        <v>3</v>
      </c>
      <c r="H12487" s="5">
        <f>HYPERLINK("https://api.qogita.com/variants/link/8435624500629/", "View Product")</f>
        <v/>
      </c>
    </row>
    <row r="12488">
      <c r="A12488" t="inlineStr">
        <is>
          <t>8435624501183</t>
        </is>
      </c>
      <c r="B12488" t="inlineStr">
        <is>
          <t>Natura Biss Diamond Wellliving The Warming Gel 150ml</t>
        </is>
      </c>
      <c r="C12488" t="inlineStr">
        <is>
          <t>Face Cream</t>
        </is>
      </c>
      <c r="D12488" t="inlineStr">
        <is>
          <t>Natura Bissé</t>
        </is>
      </c>
      <c r="E12488" t="n">
        <v>38.78</v>
      </c>
      <c r="F12488" t="n">
        <v>1</v>
      </c>
      <c r="G12488" t="n">
        <v>5</v>
      </c>
      <c r="H12488" s="5">
        <f>HYPERLINK("https://api.qogita.com/variants/link/8435624501183/", "View Product")</f>
        <v/>
      </c>
    </row>
    <row r="12489">
      <c r="A12489" t="inlineStr">
        <is>
          <t>8435624502852</t>
        </is>
      </c>
      <c r="B12489" t="inlineStr">
        <is>
          <t>Natura Biss Stabilizing Resurfacing Essence 100ml</t>
        </is>
      </c>
      <c r="C12489" t="inlineStr">
        <is>
          <t>Hydrating Serum</t>
        </is>
      </c>
      <c r="D12489" t="inlineStr">
        <is>
          <t>Natura Bissé</t>
        </is>
      </c>
      <c r="E12489" t="n">
        <v>48.47</v>
      </c>
      <c r="F12489" t="n">
        <v>1</v>
      </c>
      <c r="G12489" t="n">
        <v>3</v>
      </c>
      <c r="H12489" s="5">
        <f>HYPERLINK("https://api.qogita.com/variants/link/8435624502852/", "View Product")</f>
        <v/>
      </c>
    </row>
    <row r="12490">
      <c r="A12490" t="inlineStr">
        <is>
          <t>8436001982076</t>
        </is>
      </c>
      <c r="B12490" t="inlineStr">
        <is>
          <t>Skeyndor Day Creams 75ml</t>
        </is>
      </c>
      <c r="C12490" t="inlineStr">
        <is>
          <t>Day Cream</t>
        </is>
      </c>
      <c r="D12490" t="inlineStr">
        <is>
          <t>Skeyndor</t>
        </is>
      </c>
      <c r="E12490" t="n">
        <v>12.49</v>
      </c>
      <c r="F12490" t="n">
        <v>1</v>
      </c>
      <c r="G12490" t="n">
        <v>5</v>
      </c>
      <c r="H12490" s="5">
        <f>HYPERLINK("https://api.qogita.com/variants/link/8436001982076/", "View Product")</f>
        <v/>
      </c>
    </row>
    <row r="12491">
      <c r="A12491" t="inlineStr">
        <is>
          <t>8436002991329</t>
        </is>
      </c>
      <c r="B12491" t="inlineStr">
        <is>
          <t>Natura Bisse Oxygen Concentrate - 24 Ampoules Of 3 Ml Each</t>
        </is>
      </c>
      <c r="C12491" t="inlineStr">
        <is>
          <t>Ampoules</t>
        </is>
      </c>
      <c r="D12491" t="inlineStr">
        <is>
          <t>Natura Bissé</t>
        </is>
      </c>
      <c r="E12491" t="n">
        <v>64.86</v>
      </c>
      <c r="F12491" t="n">
        <v>1</v>
      </c>
      <c r="G12491" t="n">
        <v>6</v>
      </c>
      <c r="H12491" s="5">
        <f>HYPERLINK("https://api.qogita.com/variants/link/8436002991329/", "View Product")</f>
        <v/>
      </c>
    </row>
    <row r="12492">
      <c r="A12492" t="inlineStr">
        <is>
          <t>8436002995655</t>
        </is>
      </c>
      <c r="B12492" t="inlineStr">
        <is>
          <t>Natura Biss Stabilizing Cleansing Mask 75ml</t>
        </is>
      </c>
      <c r="C12492" t="inlineStr">
        <is>
          <t>Purifying Mask</t>
        </is>
      </c>
      <c r="D12492" t="inlineStr">
        <is>
          <t>Natura Bissé</t>
        </is>
      </c>
      <c r="E12492" t="n">
        <v>31.96</v>
      </c>
      <c r="F12492" t="n">
        <v>1</v>
      </c>
      <c r="G12492" t="n">
        <v>8</v>
      </c>
      <c r="H12492" s="5">
        <f>HYPERLINK("https://api.qogita.com/variants/link/8436002995655/", "View Product")</f>
        <v/>
      </c>
    </row>
    <row r="12493">
      <c r="A12493" t="inlineStr">
        <is>
          <t>8436007231840</t>
        </is>
      </c>
      <c r="B12493" t="inlineStr">
        <is>
          <t>Pack Termix Professional Hairbrush Aluminum Thermal Hairbrush with Nylon Bristles - Pack of 5</t>
        </is>
      </c>
      <c r="C12493" t="inlineStr">
        <is>
          <t>Round Brushes</t>
        </is>
      </c>
      <c r="D12493" t="inlineStr">
        <is>
          <t>Termix</t>
        </is>
      </c>
      <c r="E12493" t="n">
        <v>15.36</v>
      </c>
      <c r="F12493" t="n">
        <v>1</v>
      </c>
      <c r="G12493" t="n">
        <v>5</v>
      </c>
      <c r="H12493" s="5">
        <f>HYPERLINK("https://api.qogita.com/variants/link/8436007231840/", "View Product")</f>
        <v/>
      </c>
    </row>
    <row r="12494">
      <c r="A12494" t="inlineStr">
        <is>
          <t>8436018276205</t>
        </is>
      </c>
      <c r="B12494" t="inlineStr">
        <is>
          <t>Rosendo Mateu Olfactive Expressions Barcelona No 5 Eau De Parfum 100ml</t>
        </is>
      </c>
      <c r="C12494" t="inlineStr">
        <is>
          <t>Eau De Parfum</t>
        </is>
      </c>
      <c r="D12494" t="inlineStr">
        <is>
          <t>Rosendo Mateu</t>
        </is>
      </c>
      <c r="E12494" t="n">
        <v>83.02</v>
      </c>
      <c r="F12494" t="n">
        <v>1</v>
      </c>
      <c r="G12494" t="n">
        <v>198</v>
      </c>
      <c r="H12494" s="5">
        <f>HYPERLINK("https://api.qogita.com/variants/link/8436018276205/", "View Product")</f>
        <v/>
      </c>
    </row>
    <row r="12495">
      <c r="A12495" t="inlineStr">
        <is>
          <t>8436038830128</t>
        </is>
      </c>
      <c r="B12495" t="inlineStr">
        <is>
          <t>Tous Gold Eau De Parfum Spray 30ml</t>
        </is>
      </c>
      <c r="C12495" t="inlineStr">
        <is>
          <t>Eau De Parfum</t>
        </is>
      </c>
      <c r="D12495" t="inlineStr">
        <is>
          <t>Tous</t>
        </is>
      </c>
      <c r="E12495" t="n">
        <v>18</v>
      </c>
      <c r="F12495" t="n">
        <v>1</v>
      </c>
      <c r="G12495" t="n">
        <v>9</v>
      </c>
      <c r="H12495" s="5">
        <f>HYPERLINK("https://api.qogita.com/variants/link/8436038830128/", "View Product")</f>
        <v/>
      </c>
    </row>
    <row r="12496">
      <c r="A12496" t="inlineStr">
        <is>
          <t>8436534714663</t>
        </is>
      </c>
      <c r="B12496" t="inlineStr">
        <is>
          <t>Natura Bisse Essential Shock Intense Nourishing Eye &amp; Lip Firming Cream 15ml</t>
        </is>
      </c>
      <c r="C12496" t="inlineStr">
        <is>
          <t>Eye Cream</t>
        </is>
      </c>
      <c r="D12496" t="inlineStr">
        <is>
          <t>Natura Bissé</t>
        </is>
      </c>
      <c r="E12496" t="n">
        <v>42.41</v>
      </c>
      <c r="F12496" t="n">
        <v>1</v>
      </c>
      <c r="G12496" t="n">
        <v>2</v>
      </c>
      <c r="H12496" s="5">
        <f>HYPERLINK("https://api.qogita.com/variants/link/8436534714663/", "View Product")</f>
        <v/>
      </c>
    </row>
    <row r="12497">
      <c r="A12497" t="inlineStr">
        <is>
          <t>8436534715417</t>
        </is>
      </c>
      <c r="B12497" t="inlineStr">
        <is>
          <t>Natura Biss Nb Ceutical Eye &amp; Lip Makeup Remover 100 Ml</t>
        </is>
      </c>
      <c r="C12497" t="inlineStr">
        <is>
          <t>Makeup Remover</t>
        </is>
      </c>
      <c r="D12497" t="inlineStr">
        <is>
          <t>Natura Bissé</t>
        </is>
      </c>
      <c r="E12497" t="n">
        <v>31.48</v>
      </c>
      <c r="F12497" t="n">
        <v>1</v>
      </c>
      <c r="G12497" t="n">
        <v>6</v>
      </c>
      <c r="H12497" s="5">
        <f>HYPERLINK("https://api.qogita.com/variants/link/8436534715417/", "View Product")</f>
        <v/>
      </c>
    </row>
    <row r="12498">
      <c r="A12498" t="inlineStr">
        <is>
          <t>8436534716988</t>
        </is>
      </c>
      <c r="B12498" t="inlineStr">
        <is>
          <t>Diamond Life Infusion Retinol Eye Serum 15ml</t>
        </is>
      </c>
      <c r="C12498" t="inlineStr">
        <is>
          <t>Eye Serum</t>
        </is>
      </c>
      <c r="D12498" t="inlineStr">
        <is>
          <t>Natura Bissé</t>
        </is>
      </c>
      <c r="E12498" t="n">
        <v>181.77</v>
      </c>
      <c r="F12498" t="n">
        <v>1</v>
      </c>
      <c r="G12498" t="n">
        <v>3</v>
      </c>
      <c r="H12498" s="5">
        <f>HYPERLINK("https://api.qogita.com/variants/link/8436534716988/", "View Product")</f>
        <v/>
      </c>
    </row>
    <row r="12499">
      <c r="A12499" t="inlineStr">
        <is>
          <t>8436534717138</t>
        </is>
      </c>
      <c r="B12499" t="inlineStr">
        <is>
          <t>Natura Bisse Diamond Luminous Radiance Cleansing Balm 100ml</t>
        </is>
      </c>
      <c r="C12499" t="inlineStr">
        <is>
          <t>Cleansing Cream</t>
        </is>
      </c>
      <c r="D12499" t="inlineStr">
        <is>
          <t>Natura Bissé</t>
        </is>
      </c>
      <c r="E12499" t="n">
        <v>49.99</v>
      </c>
      <c r="F12499" t="n">
        <v>1</v>
      </c>
      <c r="G12499" t="n">
        <v>4</v>
      </c>
      <c r="H12499" s="5">
        <f>HYPERLINK("https://api.qogita.com/variants/link/8436534717138/", "View Product")</f>
        <v/>
      </c>
    </row>
    <row r="12500">
      <c r="A12500" t="inlineStr">
        <is>
          <t>8436543924442</t>
        </is>
      </c>
      <c r="B12500" t="inlineStr">
        <is>
          <t>Ramon Monegal Hazy Rose Eau De Parfum 100ml</t>
        </is>
      </c>
      <c r="C12500" t="inlineStr">
        <is>
          <t>Eau De Parfum</t>
        </is>
      </c>
      <c r="D12500" t="inlineStr">
        <is>
          <t>Ramon Monegal</t>
        </is>
      </c>
      <c r="E12500" t="n">
        <v>114.56</v>
      </c>
      <c r="F12500" t="n">
        <v>1</v>
      </c>
      <c r="G12500" t="n">
        <v>2</v>
      </c>
      <c r="H12500" s="5">
        <f>HYPERLINK("https://api.qogita.com/variants/link/8436543924442/", "View Product")</f>
        <v/>
      </c>
    </row>
    <row r="12501">
      <c r="A12501" t="inlineStr">
        <is>
          <t>8436550505061</t>
        </is>
      </c>
      <c r="B12501" t="inlineStr">
        <is>
          <t>Tous Your Moments Eau De Toilette Spray 90ml For Women</t>
        </is>
      </c>
      <c r="C12501" t="inlineStr">
        <is>
          <t>Eau De Toilette</t>
        </is>
      </c>
      <c r="D12501" t="inlineStr">
        <is>
          <t>Tous</t>
        </is>
      </c>
      <c r="E12501" t="n">
        <v>31.07</v>
      </c>
      <c r="F12501" t="n">
        <v>1</v>
      </c>
      <c r="G12501" t="n">
        <v>11</v>
      </c>
      <c r="H12501" s="5">
        <f>HYPERLINK("https://api.qogita.com/variants/link/8436550505061/", "View Product")</f>
        <v/>
      </c>
    </row>
    <row r="12502">
      <c r="A12502" t="inlineStr">
        <is>
          <t>8436550505740</t>
        </is>
      </c>
      <c r="B12502" t="inlineStr">
        <is>
          <t>Tous Gems Power Eau de Toilette Spray</t>
        </is>
      </c>
      <c r="C12502" t="inlineStr">
        <is>
          <t>Eau De Toilette</t>
        </is>
      </c>
      <c r="D12502" t="inlineStr">
        <is>
          <t>Tous</t>
        </is>
      </c>
      <c r="E12502" t="n">
        <v>25.14</v>
      </c>
      <c r="F12502" t="n">
        <v>1</v>
      </c>
      <c r="G12502" t="n">
        <v>42</v>
      </c>
      <c r="H12502" s="5">
        <f>HYPERLINK("https://api.qogita.com/variants/link/8436550505740/", "View Product")</f>
        <v/>
      </c>
    </row>
    <row r="12503">
      <c r="A12503" t="inlineStr">
        <is>
          <t>8436551807447</t>
        </is>
      </c>
      <c r="B12503" t="inlineStr">
        <is>
          <t>Black Baccara Hair Multiplying Mask by Miriam Quevedo for Unisex 8.4 oz</t>
        </is>
      </c>
      <c r="C12503" t="inlineStr">
        <is>
          <t>Hair Masks</t>
        </is>
      </c>
      <c r="D12503" t="inlineStr">
        <is>
          <t>Miriam Quevedo</t>
        </is>
      </c>
      <c r="E12503" t="n">
        <v>45.89</v>
      </c>
      <c r="F12503" t="n">
        <v>1</v>
      </c>
      <c r="G12503" t="n">
        <v>2</v>
      </c>
      <c r="H12503" s="5">
        <f>HYPERLINK("https://api.qogita.com/variants/link/8436551807447/", "View Product")</f>
        <v/>
      </c>
    </row>
    <row r="12504">
      <c r="A12504" t="inlineStr">
        <is>
          <t>8436551809250</t>
        </is>
      </c>
      <c r="B12504" t="inlineStr">
        <is>
          <t>Glacial White Caviar Hydra Pure Shampoo by Miriam Quevedo for Unisex 8.4 oz</t>
        </is>
      </c>
      <c r="C12504" t="inlineStr">
        <is>
          <t>Shampoo</t>
        </is>
      </c>
      <c r="D12504" t="inlineStr">
        <is>
          <t>Miriam Quevedo</t>
        </is>
      </c>
      <c r="E12504" t="n">
        <v>43.01</v>
      </c>
      <c r="F12504" t="n">
        <v>1</v>
      </c>
      <c r="G12504" t="n">
        <v>2</v>
      </c>
      <c r="H12504" s="5">
        <f>HYPERLINK("https://api.qogita.com/variants/link/8436551809250/", "View Product")</f>
        <v/>
      </c>
    </row>
    <row r="12505">
      <c r="A12505" t="inlineStr">
        <is>
          <t>8436551809793</t>
        </is>
      </c>
      <c r="B12505" t="inlineStr">
        <is>
          <t>Miriam Quevedo Sublime Gold Luminous Conditioner 8.5 oz 250mL</t>
        </is>
      </c>
      <c r="C12505" t="inlineStr">
        <is>
          <t>Conditioner</t>
        </is>
      </c>
      <c r="D12505" t="inlineStr">
        <is>
          <t>Miriam Quevedo</t>
        </is>
      </c>
      <c r="E12505" t="n">
        <v>47.46</v>
      </c>
      <c r="F12505" t="n">
        <v>1</v>
      </c>
      <c r="G12505" t="n">
        <v>2</v>
      </c>
      <c r="H12505" s="5">
        <f>HYPERLINK("https://api.qogita.com/variants/link/8436551809793/", "View Product")</f>
        <v/>
      </c>
    </row>
    <row r="12506">
      <c r="A12506" t="inlineStr">
        <is>
          <t>8436568078311</t>
        </is>
      </c>
      <c r="B12506" t="inlineStr">
        <is>
          <t>Natura Bisse Inhibit V-Neck Concentrate - Firming Concentrate In Ampoules For Neck And Decolletage Skin Care, 12 X 4 Ml</t>
        </is>
      </c>
      <c r="C12506" t="inlineStr">
        <is>
          <t>Neck &amp; Decollete</t>
        </is>
      </c>
      <c r="D12506" t="inlineStr">
        <is>
          <t>Natura Bissé</t>
        </is>
      </c>
      <c r="E12506" t="n">
        <v>100.1</v>
      </c>
      <c r="F12506" t="n">
        <v>1</v>
      </c>
      <c r="G12506" t="n">
        <v>2</v>
      </c>
      <c r="H12506" s="5">
        <f>HYPERLINK("https://api.qogita.com/variants/link/8436568078311/", "View Product")</f>
        <v/>
      </c>
    </row>
    <row r="12507">
      <c r="A12507" t="inlineStr">
        <is>
          <t>8436581940268</t>
        </is>
      </c>
      <c r="B12507" t="inlineStr">
        <is>
          <t>Pepe Jeans Celebrate For Him Eau De Parfum Spray 100ml</t>
        </is>
      </c>
      <c r="C12507" t="inlineStr">
        <is>
          <t>Eau De Parfum</t>
        </is>
      </c>
      <c r="D12507" t="inlineStr">
        <is>
          <t>Pepe Jeans</t>
        </is>
      </c>
      <c r="E12507" t="n">
        <v>21.53</v>
      </c>
      <c r="F12507" t="n">
        <v>1</v>
      </c>
      <c r="G12507" t="n">
        <v>2</v>
      </c>
      <c r="H12507" s="5">
        <f>HYPERLINK("https://api.qogita.com/variants/link/8436581940268/", "View Product")</f>
        <v/>
      </c>
    </row>
    <row r="12508">
      <c r="A12508" t="inlineStr">
        <is>
          <t>8436581941982</t>
        </is>
      </c>
      <c r="B12508" t="inlineStr">
        <is>
          <t>Women'secret Intimate Eau De Parfum Spray 100ml</t>
        </is>
      </c>
      <c r="C12508" t="inlineStr">
        <is>
          <t>Eau De Parfum</t>
        </is>
      </c>
      <c r="D12508" t="inlineStr">
        <is>
          <t>Women'secret</t>
        </is>
      </c>
      <c r="E12508" t="n">
        <v>16.02</v>
      </c>
      <c r="F12508" t="n">
        <v>1</v>
      </c>
      <c r="G12508" t="n">
        <v>4</v>
      </c>
      <c r="H12508" s="5">
        <f>HYPERLINK("https://api.qogita.com/variants/link/8436581941982/", "View Product")</f>
        <v/>
      </c>
    </row>
    <row r="12509">
      <c r="A12509" t="inlineStr">
        <is>
          <t>8436581942538</t>
        </is>
      </c>
      <c r="B12509" t="inlineStr">
        <is>
          <t>Pepe Jeans Cocktail Edition For Her Eau De Toilette 80ml</t>
        </is>
      </c>
      <c r="C12509" t="inlineStr">
        <is>
          <t>Eau De Toilette</t>
        </is>
      </c>
      <c r="D12509" t="inlineStr">
        <is>
          <t>Pepe Jeans</t>
        </is>
      </c>
      <c r="E12509" t="n">
        <v>26.27</v>
      </c>
      <c r="F12509" t="n">
        <v>1</v>
      </c>
      <c r="G12509" t="n">
        <v>8</v>
      </c>
      <c r="H12509" s="5">
        <f>HYPERLINK("https://api.qogita.com/variants/link/8436581942538/", "View Product")</f>
        <v/>
      </c>
    </row>
    <row r="12510">
      <c r="A12510" t="inlineStr">
        <is>
          <t>8436581942545</t>
        </is>
      </c>
      <c r="B12510" t="inlineStr">
        <is>
          <t>Pepe Jeans Cocktail Edition For Him Eau De Toilette</t>
        </is>
      </c>
      <c r="C12510" t="inlineStr">
        <is>
          <t>Eau De Toilette</t>
        </is>
      </c>
      <c r="D12510" t="inlineStr">
        <is>
          <t>Pepe Jeans</t>
        </is>
      </c>
      <c r="E12510" t="n">
        <v>20.1</v>
      </c>
      <c r="F12510" t="n">
        <v>1</v>
      </c>
      <c r="G12510" t="n">
        <v>12</v>
      </c>
      <c r="H12510" s="5">
        <f>HYPERLINK("https://api.qogita.com/variants/link/8436581942545/", "View Product")</f>
        <v/>
      </c>
    </row>
    <row r="12511">
      <c r="A12511" t="inlineStr">
        <is>
          <t>8436581944686</t>
        </is>
      </c>
      <c r="B12511" t="inlineStr">
        <is>
          <t>Women'secret Body Mist Forever Gold Body Spray for Women 250ml</t>
        </is>
      </c>
      <c r="C12511" t="inlineStr">
        <is>
          <t>Eau De Toilette</t>
        </is>
      </c>
      <c r="D12511" t="inlineStr">
        <is>
          <t>Women'secret</t>
        </is>
      </c>
      <c r="E12511" t="n">
        <v>7.38</v>
      </c>
      <c r="F12511" t="n">
        <v>1</v>
      </c>
      <c r="G12511" t="n">
        <v>14</v>
      </c>
      <c r="H12511" s="5">
        <f>HYPERLINK("https://api.qogita.com/variants/link/8436581944686/", "View Product")</f>
        <v/>
      </c>
    </row>
    <row r="12512">
      <c r="A12512" t="inlineStr">
        <is>
          <t>8436581945935</t>
        </is>
      </c>
      <c r="B12512" t="inlineStr">
        <is>
          <t>Reebok Move Your Spirit EDT W 50 ml - Women's Fragrance</t>
        </is>
      </c>
      <c r="C12512" t="inlineStr">
        <is>
          <t>Eau De Toilette</t>
        </is>
      </c>
      <c r="D12512" t="inlineStr">
        <is>
          <t>Reebok</t>
        </is>
      </c>
      <c r="E12512" t="n">
        <v>7.86</v>
      </c>
      <c r="F12512" t="n">
        <v>1</v>
      </c>
      <c r="G12512" t="n">
        <v>7</v>
      </c>
      <c r="H12512" s="5">
        <f>HYPERLINK("https://api.qogita.com/variants/link/8436581945935/", "View Product")</f>
        <v/>
      </c>
    </row>
    <row r="12513">
      <c r="A12513" t="inlineStr">
        <is>
          <t>8436581948103</t>
        </is>
      </c>
      <c r="B12513" t="inlineStr">
        <is>
          <t>Women'secret Passionate Treasure Body Mist Perfume 250ml</t>
        </is>
      </c>
      <c r="C12513" t="inlineStr">
        <is>
          <t>Eau De Parfum</t>
        </is>
      </c>
      <c r="D12513" t="inlineStr">
        <is>
          <t>Women'secret</t>
        </is>
      </c>
      <c r="E12513" t="n">
        <v>8.619999999999999</v>
      </c>
      <c r="F12513" t="n">
        <v>1</v>
      </c>
      <c r="G12513" t="n">
        <v>7</v>
      </c>
      <c r="H12513" s="5">
        <f>HYPERLINK("https://api.qogita.com/variants/link/8436581948103/", "View Product")</f>
        <v/>
      </c>
    </row>
    <row r="12514">
      <c r="A12514" t="inlineStr">
        <is>
          <t>8436581949292</t>
        </is>
      </c>
      <c r="B12514" t="inlineStr">
        <is>
          <t>Pepe Jeans SoBold For Him Men's Perfume Eau de Parfum 30ml Woody Aromatic Scent Gift for Men</t>
        </is>
      </c>
      <c r="C12514" t="inlineStr">
        <is>
          <t>Eau De Parfum</t>
        </is>
      </c>
      <c r="D12514" t="inlineStr">
        <is>
          <t>Pepe Jeans</t>
        </is>
      </c>
      <c r="E12514" t="n">
        <v>16</v>
      </c>
      <c r="F12514" t="n">
        <v>1</v>
      </c>
      <c r="G12514" t="n">
        <v>3</v>
      </c>
      <c r="H12514" s="5">
        <f>HYPERLINK("https://api.qogita.com/variants/link/8436581949292/", "View Product")</f>
        <v/>
      </c>
    </row>
    <row r="12515">
      <c r="A12515" t="inlineStr">
        <is>
          <t>8436581949476</t>
        </is>
      </c>
      <c r="B12515" t="inlineStr">
        <is>
          <t>Women'secret Rouge Seduction Eau De Parfum for Women 30ml</t>
        </is>
      </c>
      <c r="C12515" t="inlineStr">
        <is>
          <t>Eau De Parfum</t>
        </is>
      </c>
      <c r="D12515" t="inlineStr">
        <is>
          <t>Women'secret</t>
        </is>
      </c>
      <c r="E12515" t="n">
        <v>9.970000000000001</v>
      </c>
      <c r="F12515" t="n">
        <v>1</v>
      </c>
      <c r="G12515" t="n">
        <v>5</v>
      </c>
      <c r="H12515" s="5">
        <f>HYPERLINK("https://api.qogita.com/variants/link/8436581949476/", "View Product")</f>
        <v/>
      </c>
    </row>
    <row r="12516">
      <c r="A12516" t="inlineStr">
        <is>
          <t>8436603331302</t>
        </is>
      </c>
      <c r="B12516" t="inlineStr">
        <is>
          <t>Tous More More Pink Eau De Toilette</t>
        </is>
      </c>
      <c r="C12516" t="inlineStr">
        <is>
          <t>Eau De Toilette</t>
        </is>
      </c>
      <c r="D12516" t="inlineStr">
        <is>
          <t>Tous</t>
        </is>
      </c>
      <c r="E12516" t="n">
        <v>22.55</v>
      </c>
      <c r="F12516" t="n">
        <v>1</v>
      </c>
      <c r="G12516" t="n">
        <v>6</v>
      </c>
      <c r="H12516" s="5">
        <f>HYPERLINK("https://api.qogita.com/variants/link/8436603331302/", "View Product")</f>
        <v/>
      </c>
    </row>
    <row r="12517">
      <c r="A12517" t="inlineStr">
        <is>
          <t>8436603740005</t>
        </is>
      </c>
      <c r="B12517" t="inlineStr">
        <is>
          <t>Rosendo Mateu Olfactive Expressions Barcelona No 7 Eau De Parfum 100ml</t>
        </is>
      </c>
      <c r="C12517" t="inlineStr">
        <is>
          <t>Eau De Parfum</t>
        </is>
      </c>
      <c r="D12517" t="inlineStr">
        <is>
          <t>Rosendo Mateu</t>
        </is>
      </c>
      <c r="E12517" t="n">
        <v>82.95999999999999</v>
      </c>
      <c r="F12517" t="n">
        <v>1</v>
      </c>
      <c r="G12517" t="n">
        <v>8</v>
      </c>
      <c r="H12517" s="5">
        <f>HYPERLINK("https://api.qogita.com/variants/link/8436603740005/", "View Product")</f>
        <v/>
      </c>
    </row>
    <row r="12518">
      <c r="A12518" t="inlineStr">
        <is>
          <t>8437006654272</t>
        </is>
      </c>
      <c r="B12518" t="inlineStr">
        <is>
          <t>Tous Tous Touch Eau De Toilette Spray 30ml</t>
        </is>
      </c>
      <c r="C12518" t="inlineStr">
        <is>
          <t>Eau De Toilette</t>
        </is>
      </c>
      <c r="D12518" t="inlineStr">
        <is>
          <t>Tous</t>
        </is>
      </c>
      <c r="E12518" t="n">
        <v>32.49</v>
      </c>
      <c r="F12518" t="n">
        <v>1</v>
      </c>
      <c r="G12518" t="n">
        <v>2</v>
      </c>
      <c r="H12518" s="5">
        <f>HYPERLINK("https://api.qogita.com/variants/link/8437006654272/", "View Product")</f>
        <v/>
      </c>
    </row>
    <row r="12519">
      <c r="A12519" t="inlineStr">
        <is>
          <t>8437011481207</t>
        </is>
      </c>
      <c r="B12519" t="inlineStr">
        <is>
          <t>Carner Barcelona Palo Santo Unisex Fragrance 50ml</t>
        </is>
      </c>
      <c r="C12519" t="inlineStr">
        <is>
          <t>Eau De Parfum</t>
        </is>
      </c>
      <c r="D12519" t="inlineStr">
        <is>
          <t>Carner Barcelona</t>
        </is>
      </c>
      <c r="E12519" t="n">
        <v>56.01</v>
      </c>
      <c r="F12519" t="n">
        <v>1</v>
      </c>
      <c r="G12519" t="n">
        <v>6</v>
      </c>
      <c r="H12519" s="5">
        <f>HYPERLINK("https://api.qogita.com/variants/link/8437011481207/", "View Product")</f>
        <v/>
      </c>
    </row>
    <row r="12520">
      <c r="A12520" t="inlineStr">
        <is>
          <t>8437016160008</t>
        </is>
      </c>
      <c r="B12520" t="inlineStr">
        <is>
          <t>Ondo Charcoal &amp; Yuja Bubble Mask 25g</t>
        </is>
      </c>
      <c r="C12520" t="inlineStr">
        <is>
          <t>Charcoal Mask</t>
        </is>
      </c>
      <c r="D12520" t="inlineStr">
        <is>
          <t>Ondo Beauty</t>
        </is>
      </c>
      <c r="E12520" t="n">
        <v>2.61</v>
      </c>
      <c r="F12520" t="n">
        <v>1</v>
      </c>
      <c r="G12520" t="n">
        <v>5</v>
      </c>
      <c r="H12520" s="5">
        <f>HYPERLINK("https://api.qogita.com/variants/link/8437016160008/", "View Product")</f>
        <v/>
      </c>
    </row>
    <row r="12521">
      <c r="A12521" t="inlineStr">
        <is>
          <t>8437016160190</t>
        </is>
      </c>
      <c r="B12521" t="inlineStr">
        <is>
          <t>Calamine &amp; Oatmeal Soothing Cleansing Bar</t>
        </is>
      </c>
      <c r="C12521" t="inlineStr">
        <is>
          <t>Soap</t>
        </is>
      </c>
      <c r="D12521" t="inlineStr">
        <is>
          <t>Ondo Beauty</t>
        </is>
      </c>
      <c r="E12521" t="n">
        <v>7.08</v>
      </c>
      <c r="F12521" t="n">
        <v>1</v>
      </c>
      <c r="G12521" t="n">
        <v>3</v>
      </c>
      <c r="H12521" s="5">
        <f>HYPERLINK("https://api.qogita.com/variants/link/8437016160190/", "View Product")</f>
        <v/>
      </c>
    </row>
    <row r="12522">
      <c r="A12522" t="inlineStr">
        <is>
          <t>8437016160213</t>
        </is>
      </c>
      <c r="B12522" t="inlineStr">
        <is>
          <t>Ondo Beauty Bha Ginger Refreshing Shampoo - 70 Grams</t>
        </is>
      </c>
      <c r="C12522" t="inlineStr">
        <is>
          <t>Shampoo</t>
        </is>
      </c>
      <c r="D12522" t="inlineStr">
        <is>
          <t>Ondo Beauty</t>
        </is>
      </c>
      <c r="E12522" t="n">
        <v>7.32</v>
      </c>
      <c r="F12522" t="n">
        <v>1</v>
      </c>
      <c r="G12522" t="n">
        <v>3</v>
      </c>
      <c r="H12522" s="5">
        <f>HYPERLINK("https://api.qogita.com/variants/link/8437016160213/", "View Product")</f>
        <v/>
      </c>
    </row>
    <row r="12523">
      <c r="A12523" t="inlineStr">
        <is>
          <t>8437016160220</t>
        </is>
      </c>
      <c r="B12523" t="inlineStr">
        <is>
          <t>Aha &amp; Shea Butter Renewing Body Wash</t>
        </is>
      </c>
      <c r="C12523" t="inlineStr">
        <is>
          <t>Shower Gel</t>
        </is>
      </c>
      <c r="D12523" t="inlineStr">
        <is>
          <t>Ondo</t>
        </is>
      </c>
      <c r="E12523" t="n">
        <v>7.76</v>
      </c>
      <c r="F12523" t="n">
        <v>1</v>
      </c>
      <c r="G12523" t="n">
        <v>4</v>
      </c>
      <c r="H12523" s="5">
        <f>HYPERLINK("https://api.qogita.com/variants/link/8437016160220/", "View Product")</f>
        <v/>
      </c>
    </row>
    <row r="12524">
      <c r="A12524" t="inlineStr">
        <is>
          <t>8437017668114</t>
        </is>
      </c>
      <c r="B12524" t="inlineStr">
        <is>
          <t>Carner Barcelona Volcano Eau de Parfum 50ml</t>
        </is>
      </c>
      <c r="C12524" t="inlineStr">
        <is>
          <t>Eau De Parfum</t>
        </is>
      </c>
      <c r="D12524" t="inlineStr">
        <is>
          <t>Carner Barcelona</t>
        </is>
      </c>
      <c r="E12524" t="n">
        <v>77.86</v>
      </c>
      <c r="F12524" t="n">
        <v>1</v>
      </c>
      <c r="G12524" t="n">
        <v>5</v>
      </c>
      <c r="H12524" s="5">
        <f>HYPERLINK("https://api.qogita.com/variants/link/8437017668114/", "View Product")</f>
        <v/>
      </c>
    </row>
    <row r="12525">
      <c r="A12525" t="inlineStr">
        <is>
          <t>8437017668404</t>
        </is>
      </c>
      <c r="B12525" t="inlineStr">
        <is>
          <t>Carner Barcelona Lukomorie Eau de Parfum 50ml</t>
        </is>
      </c>
      <c r="C12525" t="inlineStr">
        <is>
          <t>Eau De Parfum</t>
        </is>
      </c>
      <c r="D12525" t="inlineStr">
        <is>
          <t>Carner Barcelona</t>
        </is>
      </c>
      <c r="E12525" t="n">
        <v>49.07</v>
      </c>
      <c r="F12525" t="n">
        <v>1</v>
      </c>
      <c r="G12525" t="n">
        <v>5</v>
      </c>
      <c r="H12525" s="5">
        <f>HYPERLINK("https://api.qogita.com/variants/link/8437017668404/", "View Product")</f>
        <v/>
      </c>
    </row>
    <row r="12526">
      <c r="A12526" t="inlineStr">
        <is>
          <t>8437017668541</t>
        </is>
      </c>
      <c r="B12526" t="inlineStr">
        <is>
          <t>Bestium Edp Vapo 50ml</t>
        </is>
      </c>
      <c r="C12526" t="inlineStr">
        <is>
          <t>Eau De Parfum</t>
        </is>
      </c>
      <c r="D12526" t="inlineStr">
        <is>
          <t>Carner Barcelona</t>
        </is>
      </c>
      <c r="E12526" t="n">
        <v>92.79000000000001</v>
      </c>
      <c r="F12526" t="n">
        <v>1</v>
      </c>
      <c r="G12526" t="n">
        <v>8</v>
      </c>
      <c r="H12526" s="5">
        <f>HYPERLINK("https://api.qogita.com/variants/link/8437017668541/", "View Product")</f>
        <v/>
      </c>
    </row>
    <row r="12527">
      <c r="A12527" t="inlineStr">
        <is>
          <t>8437017668565</t>
        </is>
      </c>
      <c r="B12527" t="inlineStr">
        <is>
          <t>Drakon EDP Vapo 50ml</t>
        </is>
      </c>
      <c r="C12527" t="inlineStr">
        <is>
          <t>Eau De Parfum</t>
        </is>
      </c>
      <c r="D12527" t="inlineStr">
        <is>
          <t>Carner Barcelona</t>
        </is>
      </c>
      <c r="E12527" t="n">
        <v>107.76</v>
      </c>
      <c r="F12527" t="n">
        <v>1</v>
      </c>
      <c r="G12527" t="n">
        <v>17</v>
      </c>
      <c r="H12527" s="5">
        <f>HYPERLINK("https://api.qogita.com/variants/link/8437017668565/", "View Product")</f>
        <v/>
      </c>
    </row>
    <row r="12528">
      <c r="A12528" t="inlineStr">
        <is>
          <t>8437018063390</t>
        </is>
      </c>
      <c r="B12528" t="inlineStr">
        <is>
          <t>Annicke 4 Perfumed Water Spray 100ml</t>
        </is>
      </c>
      <c r="C12528" t="inlineStr">
        <is>
          <t>Eau De Parfum</t>
        </is>
      </c>
      <c r="D12528" t="inlineStr">
        <is>
          <t>Annick Goutal</t>
        </is>
      </c>
      <c r="E12528" t="n">
        <v>74.5</v>
      </c>
      <c r="F12528" t="n">
        <v>1</v>
      </c>
      <c r="G12528" t="n">
        <v>8</v>
      </c>
      <c r="H12528" s="5">
        <f>HYPERLINK("https://api.qogita.com/variants/link/8437018063390/", "View Product")</f>
        <v/>
      </c>
    </row>
    <row r="12529">
      <c r="A12529" t="inlineStr">
        <is>
          <t>8437018063550</t>
        </is>
      </c>
      <c r="B12529" t="inlineStr">
        <is>
          <t>Eight &amp; Bob Annicke 1 Eau De Parfum Spray 30ml</t>
        </is>
      </c>
      <c r="C12529" t="inlineStr">
        <is>
          <t>Eau De Parfum</t>
        </is>
      </c>
      <c r="D12529" t="inlineStr">
        <is>
          <t>Eight &amp; Bob</t>
        </is>
      </c>
      <c r="E12529" t="n">
        <v>35.28</v>
      </c>
      <c r="F12529" t="n">
        <v>1</v>
      </c>
      <c r="G12529" t="n">
        <v>2</v>
      </c>
      <c r="H12529" s="5">
        <f>HYPERLINK("https://api.qogita.com/variants/link/8437018063550/", "View Product")</f>
        <v/>
      </c>
    </row>
    <row r="12530">
      <c r="A12530" t="inlineStr">
        <is>
          <t>8437018391530</t>
        </is>
      </c>
      <c r="B12530" t="inlineStr">
        <is>
          <t>NVDO Ultramar Artisan by NVDO Spain Eau de Parfum Spray 2.5 oz</t>
        </is>
      </c>
      <c r="C12530" t="inlineStr">
        <is>
          <t>Eau De Parfum</t>
        </is>
      </c>
      <c r="D12530" t="inlineStr">
        <is>
          <t>Nvdo</t>
        </is>
      </c>
      <c r="E12530" t="n">
        <v>18.64</v>
      </c>
      <c r="F12530" t="n">
        <v>1</v>
      </c>
      <c r="G12530" t="n">
        <v>4</v>
      </c>
      <c r="H12530" s="5">
        <f>HYPERLINK("https://api.qogita.com/variants/link/8437018391530/", "View Product")</f>
        <v/>
      </c>
    </row>
    <row r="12531">
      <c r="A12531" t="inlineStr">
        <is>
          <t>8437018391554</t>
        </is>
      </c>
      <c r="B12531" t="inlineStr">
        <is>
          <t>Botanicae Susurro Del Bosque Eau De Toilette 50 Ml</t>
        </is>
      </c>
      <c r="C12531" t="inlineStr">
        <is>
          <t>Eau De Toilette</t>
        </is>
      </c>
      <c r="D12531" t="inlineStr">
        <is>
          <t>Botanicae</t>
        </is>
      </c>
      <c r="E12531" t="n">
        <v>20.9</v>
      </c>
      <c r="F12531" t="n">
        <v>1</v>
      </c>
      <c r="G12531" t="n">
        <v>4</v>
      </c>
      <c r="H12531" s="5">
        <f>HYPERLINK("https://api.qogita.com/variants/link/8437018391554/", "View Product")</f>
        <v/>
      </c>
    </row>
    <row r="12532">
      <c r="A12532" t="inlineStr">
        <is>
          <t>8437020930017</t>
        </is>
      </c>
      <c r="B12532" t="inlineStr">
        <is>
          <t>Angela Ciampagna Hatria Collection Hatria Extrait De Parfum 100ml</t>
        </is>
      </c>
      <c r="C12532" t="inlineStr">
        <is>
          <t>Extrait De Parfum</t>
        </is>
      </c>
      <c r="D12532" t="inlineStr">
        <is>
          <t>Angela Ciampagna</t>
        </is>
      </c>
      <c r="E12532" t="n">
        <v>116.77</v>
      </c>
      <c r="F12532" t="n">
        <v>1</v>
      </c>
      <c r="G12532" t="n">
        <v>14</v>
      </c>
      <c r="H12532" s="5">
        <f>HYPERLINK("https://api.qogita.com/variants/link/8437020930017/", "View Product")</f>
        <v/>
      </c>
    </row>
    <row r="12533">
      <c r="A12533" t="inlineStr">
        <is>
          <t>8437020930024</t>
        </is>
      </c>
      <c r="B12533" t="inlineStr">
        <is>
          <t>Angela Ciampagna Hatria Collection Ducalis Extrait De Parfum 100ml</t>
        </is>
      </c>
      <c r="C12533" t="inlineStr">
        <is>
          <t>Extrait De Parfum</t>
        </is>
      </c>
      <c r="D12533" t="inlineStr">
        <is>
          <t>Angela Ciampagna</t>
        </is>
      </c>
      <c r="E12533" t="n">
        <v>81.55</v>
      </c>
      <c r="F12533" t="n">
        <v>1</v>
      </c>
      <c r="G12533" t="n">
        <v>2</v>
      </c>
      <c r="H12533" s="5">
        <f>HYPERLINK("https://api.qogita.com/variants/link/8437020930024/", "View Product")</f>
        <v/>
      </c>
    </row>
    <row r="12534">
      <c r="A12534" t="inlineStr">
        <is>
          <t>8437020930031</t>
        </is>
      </c>
      <c r="B12534" t="inlineStr">
        <is>
          <t>Angela Ciampagna Hatria Collection Kanat Extrait De Parfum 100ml</t>
        </is>
      </c>
      <c r="C12534" t="inlineStr">
        <is>
          <t>Extrait De Parfum</t>
        </is>
      </c>
      <c r="D12534" t="inlineStr">
        <is>
          <t>Angela Ciampagna</t>
        </is>
      </c>
      <c r="E12534" t="n">
        <v>116.7</v>
      </c>
      <c r="F12534" t="n">
        <v>1</v>
      </c>
      <c r="G12534" t="n">
        <v>7</v>
      </c>
      <c r="H12534" s="5">
        <f>HYPERLINK("https://api.qogita.com/variants/link/8437020930031/", "View Product")</f>
        <v/>
      </c>
    </row>
    <row r="12535">
      <c r="A12535" t="inlineStr">
        <is>
          <t>8437020930048</t>
        </is>
      </c>
      <c r="B12535" t="inlineStr">
        <is>
          <t>Angela Ciampagna Hatria Collection Rosarium Extrait De Parfum 100ml</t>
        </is>
      </c>
      <c r="C12535" t="inlineStr">
        <is>
          <t>Extrait De Parfum</t>
        </is>
      </c>
      <c r="D12535" t="inlineStr">
        <is>
          <t>Angela Ciampagna</t>
        </is>
      </c>
      <c r="E12535" t="n">
        <v>116.73</v>
      </c>
      <c r="F12535" t="n">
        <v>1</v>
      </c>
      <c r="G12535" t="n">
        <v>4</v>
      </c>
      <c r="H12535" s="5">
        <f>HYPERLINK("https://api.qogita.com/variants/link/8437020930048/", "View Product")</f>
        <v/>
      </c>
    </row>
    <row r="12536">
      <c r="A12536" t="inlineStr">
        <is>
          <t>8437020930079</t>
        </is>
      </c>
      <c r="B12536" t="inlineStr">
        <is>
          <t>Angela Ciampagna Hatria Collection Nox Extrait De Parfum 100ml</t>
        </is>
      </c>
      <c r="C12536" t="inlineStr">
        <is>
          <t>Extrait De Parfum</t>
        </is>
      </c>
      <c r="D12536" t="inlineStr">
        <is>
          <t>Angela Ciampagna</t>
        </is>
      </c>
      <c r="E12536" t="n">
        <v>116.74</v>
      </c>
      <c r="F12536" t="n">
        <v>1</v>
      </c>
      <c r="G12536" t="n">
        <v>4</v>
      </c>
      <c r="H12536" s="5">
        <f>HYPERLINK("https://api.qogita.com/variants/link/8437020930079/", "View Product")</f>
        <v/>
      </c>
    </row>
    <row r="12537">
      <c r="A12537" t="inlineStr">
        <is>
          <t>8590031098715</t>
        </is>
      </c>
      <c r="B12537" t="inlineStr">
        <is>
          <t>Dermacol Aroma Ritual Antistress Body Peeling Grapes With Lime 200 G</t>
        </is>
      </c>
      <c r="C12537" t="inlineStr">
        <is>
          <t>Body Scrub &amp; Peeling</t>
        </is>
      </c>
      <c r="D12537" t="inlineStr">
        <is>
          <t>Dermacol</t>
        </is>
      </c>
      <c r="E12537" t="n">
        <v>4.43</v>
      </c>
      <c r="F12537" t="n">
        <v>1</v>
      </c>
      <c r="G12537" t="n">
        <v>10</v>
      </c>
      <c r="H12537" s="5">
        <f>HYPERLINK("https://api.qogita.com/variants/link/8590031098715/", "View Product")</f>
        <v/>
      </c>
    </row>
    <row r="12538">
      <c r="A12538" t="inlineStr">
        <is>
          <t>8590031102214</t>
        </is>
      </c>
      <c r="B12538" t="inlineStr">
        <is>
          <t>Men Agent Deodorant Spray Gentleman Touch 150ml</t>
        </is>
      </c>
      <c r="C12538" t="inlineStr">
        <is>
          <t>Deodorant &amp; Anti-Perspirant</t>
        </is>
      </c>
      <c r="D12538" t="inlineStr">
        <is>
          <t>Men's Agent</t>
        </is>
      </c>
      <c r="E12538" t="n">
        <v>4.26</v>
      </c>
      <c r="F12538" t="n">
        <v>1</v>
      </c>
      <c r="G12538" t="n">
        <v>9</v>
      </c>
      <c r="H12538" s="5">
        <f>HYPERLINK("https://api.qogita.com/variants/link/8590031102214/", "View Product")</f>
        <v/>
      </c>
    </row>
    <row r="12539">
      <c r="A12539" t="inlineStr">
        <is>
          <t>8590031102849</t>
        </is>
      </c>
      <c r="B12539" t="inlineStr">
        <is>
          <t>Dermacol Acneclear Calming Lotion 200 Ml For Problematic Skin</t>
        </is>
      </c>
      <c r="C12539" t="inlineStr">
        <is>
          <t>Body Care</t>
        </is>
      </c>
      <c r="D12539" t="inlineStr">
        <is>
          <t>Dermacol</t>
        </is>
      </c>
      <c r="E12539" t="n">
        <v>3.96</v>
      </c>
      <c r="F12539" t="n">
        <v>1</v>
      </c>
      <c r="G12539" t="n">
        <v>29</v>
      </c>
      <c r="H12539" s="5">
        <f>HYPERLINK("https://api.qogita.com/variants/link/8590031102849/", "View Product")</f>
        <v/>
      </c>
    </row>
    <row r="12540">
      <c r="A12540" t="inlineStr">
        <is>
          <t>8590031102863</t>
        </is>
      </c>
      <c r="B12540" t="inlineStr">
        <is>
          <t>Dermacol Acne Clear Make-Up Removal &amp; Cleansing Gel - 200ml</t>
        </is>
      </c>
      <c r="C12540" t="inlineStr">
        <is>
          <t>Cleansing Gel</t>
        </is>
      </c>
      <c r="D12540" t="inlineStr">
        <is>
          <t>Dermacol</t>
        </is>
      </c>
      <c r="E12540" t="n">
        <v>4.43</v>
      </c>
      <c r="F12540" t="n">
        <v>1</v>
      </c>
      <c r="G12540" t="n">
        <v>24</v>
      </c>
      <c r="H12540" s="5">
        <f>HYPERLINK("https://api.qogita.com/variants/link/8590031102863/", "View Product")</f>
        <v/>
      </c>
    </row>
    <row r="12541">
      <c r="A12541" t="inlineStr">
        <is>
          <t>8590031105888</t>
        </is>
      </c>
      <c r="B12541" t="inlineStr">
        <is>
          <t>Dermacol Gentleman Touch Men Agent After Shave Lotion 100 Ml</t>
        </is>
      </c>
      <c r="C12541" t="inlineStr">
        <is>
          <t>Aftershave</t>
        </is>
      </c>
      <c r="D12541" t="inlineStr">
        <is>
          <t>Dermacol</t>
        </is>
      </c>
      <c r="E12541" t="n">
        <v>5.63</v>
      </c>
      <c r="F12541" t="n">
        <v>1</v>
      </c>
      <c r="G12541" t="n">
        <v>2</v>
      </c>
      <c r="H12541" s="5">
        <f>HYPERLINK("https://api.qogita.com/variants/link/8590031105888/", "View Product")</f>
        <v/>
      </c>
    </row>
    <row r="12542">
      <c r="A12542" t="inlineStr">
        <is>
          <t>8590031107097</t>
        </is>
      </c>
      <c r="B12542" t="inlineStr">
        <is>
          <t>Makeup Brush with Natural Fibers for Applying Corrective Product D73</t>
        </is>
      </c>
      <c r="C12542" t="inlineStr">
        <is>
          <t>Concealer Brushes</t>
        </is>
      </c>
      <c r="D12542" t="inlineStr">
        <is>
          <t>Dermacol</t>
        </is>
      </c>
      <c r="E12542" t="n">
        <v>6.33</v>
      </c>
      <c r="F12542" t="n">
        <v>1</v>
      </c>
      <c r="G12542" t="n">
        <v>4</v>
      </c>
      <c r="H12542" s="5">
        <f>HYPERLINK("https://api.qogita.com/variants/link/8590031107097/", "View Product")</f>
        <v/>
      </c>
    </row>
    <row r="12543">
      <c r="A12543" t="inlineStr">
        <is>
          <t>8590031107745</t>
        </is>
      </c>
      <c r="B12543" t="inlineStr">
        <is>
          <t>Blush and Bronzer Brush D54</t>
        </is>
      </c>
      <c r="C12543" t="inlineStr">
        <is>
          <t>Blush Brushes</t>
        </is>
      </c>
      <c r="D12543" t="inlineStr">
        <is>
          <t>Dermacol</t>
        </is>
      </c>
      <c r="E12543" t="n">
        <v>7.15</v>
      </c>
      <c r="F12543" t="n">
        <v>1</v>
      </c>
      <c r="G12543" t="n">
        <v>5</v>
      </c>
      <c r="H12543" s="5">
        <f>HYPERLINK("https://api.qogita.com/variants/link/8590031107745/", "View Product")</f>
        <v/>
      </c>
    </row>
    <row r="12544">
      <c r="A12544" t="inlineStr">
        <is>
          <t>8590031107806</t>
        </is>
      </c>
      <c r="B12544" t="inlineStr">
        <is>
          <t>Dermacol_Contouring Brush Pêdzel Do Konturowania D57</t>
        </is>
      </c>
      <c r="C12544" t="inlineStr">
        <is>
          <t>Brush Sets</t>
        </is>
      </c>
      <c r="D12544" t="inlineStr">
        <is>
          <t>Dermacol</t>
        </is>
      </c>
      <c r="E12544" t="n">
        <v>7.18</v>
      </c>
      <c r="F12544" t="n">
        <v>1</v>
      </c>
      <c r="G12544" t="n">
        <v>5</v>
      </c>
      <c r="H12544" s="5">
        <f>HYPERLINK("https://api.qogita.com/variants/link/8590031107806/", "View Product")</f>
        <v/>
      </c>
    </row>
    <row r="12545">
      <c r="A12545" t="inlineStr">
        <is>
          <t>8590031107882</t>
        </is>
      </c>
      <c r="B12545" t="inlineStr">
        <is>
          <t>Dermacol D73 Eye Shadow Brush</t>
        </is>
      </c>
      <c r="C12545" t="inlineStr">
        <is>
          <t>Eyeshadow Brushes</t>
        </is>
      </c>
      <c r="D12545" t="inlineStr">
        <is>
          <t>Dermacol</t>
        </is>
      </c>
      <c r="E12545" t="n">
        <v>4.5</v>
      </c>
      <c r="F12545" t="n">
        <v>1</v>
      </c>
      <c r="G12545" t="n">
        <v>3</v>
      </c>
      <c r="H12545" s="5">
        <f>HYPERLINK("https://api.qogita.com/variants/link/8590031107882/", "View Product")</f>
        <v/>
      </c>
    </row>
    <row r="12546">
      <c r="A12546" t="inlineStr">
        <is>
          <t>8590031107943</t>
        </is>
      </c>
      <c r="B12546" t="inlineStr">
        <is>
          <t>Dermacol - Eyeshadow Brush D82</t>
        </is>
      </c>
      <c r="C12546" t="inlineStr">
        <is>
          <t>Eyeshadow Brushes</t>
        </is>
      </c>
      <c r="D12546" t="inlineStr">
        <is>
          <t>Dermacol</t>
        </is>
      </c>
      <c r="E12546" t="n">
        <v>4.3</v>
      </c>
      <c r="F12546" t="n">
        <v>1</v>
      </c>
      <c r="G12546" t="n">
        <v>2</v>
      </c>
      <c r="H12546" s="5">
        <f>HYPERLINK("https://api.qogita.com/variants/link/8590031107943/", "View Product")</f>
        <v/>
      </c>
    </row>
    <row r="12547">
      <c r="A12547" t="inlineStr">
        <is>
          <t>8590129005090</t>
        </is>
      </c>
      <c r="B12547" t="inlineStr">
        <is>
          <t>Weleda Skin Food Light 75ml</t>
        </is>
      </c>
      <c r="C12547" t="inlineStr">
        <is>
          <t>Face Cream</t>
        </is>
      </c>
      <c r="D12547" t="inlineStr">
        <is>
          <t>Weleda</t>
        </is>
      </c>
      <c r="E12547" t="n">
        <v>21.19</v>
      </c>
      <c r="F12547" t="n">
        <v>1</v>
      </c>
      <c r="G12547" t="n">
        <v>26</v>
      </c>
      <c r="H12547" s="5">
        <f>HYPERLINK("https://api.qogita.com/variants/link/8590129005090/", "View Product")</f>
        <v/>
      </c>
    </row>
    <row r="12548">
      <c r="A12548" t="inlineStr">
        <is>
          <t>8590232000210</t>
        </is>
      </c>
      <c r="B12548" t="inlineStr">
        <is>
          <t>Elmex Whitening Sensitive Tooth Whitening Toothpaste 3 X 75 Ml</t>
        </is>
      </c>
      <c r="C12548" t="inlineStr">
        <is>
          <t>Toothpaste</t>
        </is>
      </c>
      <c r="D12548" t="inlineStr">
        <is>
          <t>Elmex</t>
        </is>
      </c>
      <c r="E12548" t="n">
        <v>11.65</v>
      </c>
      <c r="F12548" t="n">
        <v>1</v>
      </c>
      <c r="G12548" t="n">
        <v>5</v>
      </c>
      <c r="H12548" s="5">
        <f>HYPERLINK("https://api.qogita.com/variants/link/8590232000210/", "View Product")</f>
        <v/>
      </c>
    </row>
    <row r="12549">
      <c r="A12549" t="inlineStr">
        <is>
          <t>8590232000401</t>
        </is>
      </c>
      <c r="B12549" t="inlineStr">
        <is>
          <t>Kids Trio Toothpaste for Children - Pack of 3</t>
        </is>
      </c>
      <c r="C12549" t="inlineStr">
        <is>
          <t>Dental Care For Children</t>
        </is>
      </c>
      <c r="D12549" t="inlineStr">
        <is>
          <t>Elmex</t>
        </is>
      </c>
      <c r="E12549" t="n">
        <v>10.17</v>
      </c>
      <c r="F12549" t="n">
        <v>1</v>
      </c>
      <c r="G12549" t="n">
        <v>5</v>
      </c>
      <c r="H12549" s="5">
        <f>HYPERLINK("https://api.qogita.com/variants/link/8590232000401/", "View Product")</f>
        <v/>
      </c>
    </row>
    <row r="12550">
      <c r="A12550" t="inlineStr">
        <is>
          <t>8590232000432</t>
        </is>
      </c>
      <c r="B12550" t="inlineStr">
        <is>
          <t>Elmex Sensitive Whitening Trio Toothpaste For Sensitive Teeth 3 X 75 Ml</t>
        </is>
      </c>
      <c r="C12550" t="inlineStr">
        <is>
          <t>Toothpaste</t>
        </is>
      </c>
      <c r="D12550" t="inlineStr">
        <is>
          <t>Elmex</t>
        </is>
      </c>
      <c r="E12550" t="n">
        <v>16.07</v>
      </c>
      <c r="F12550" t="n">
        <v>1</v>
      </c>
      <c r="G12550" t="n">
        <v>7</v>
      </c>
      <c r="H12550" s="5">
        <f>HYPERLINK("https://api.qogita.com/variants/link/8590232000432/", "View Product")</f>
        <v/>
      </c>
    </row>
    <row r="12551">
      <c r="A12551" t="inlineStr">
        <is>
          <t>8590232000449</t>
        </is>
      </c>
      <c r="B12551" t="inlineStr">
        <is>
          <t>Elmex Dental Enamel Professional Toothpaste 3 X 75 Ml</t>
        </is>
      </c>
      <c r="C12551" t="inlineStr">
        <is>
          <t>Toothpaste</t>
        </is>
      </c>
      <c r="D12551" t="inlineStr">
        <is>
          <t>Elmex</t>
        </is>
      </c>
      <c r="E12551" t="n">
        <v>16.07</v>
      </c>
      <c r="F12551" t="n">
        <v>1</v>
      </c>
      <c r="G12551" t="n">
        <v>2</v>
      </c>
      <c r="H12551" s="5">
        <f>HYPERLINK("https://api.qogita.com/variants/link/8590232000449/", "View Product")</f>
        <v/>
      </c>
    </row>
    <row r="12552">
      <c r="A12552" t="inlineStr">
        <is>
          <t>8590232000456</t>
        </is>
      </c>
      <c r="B12552" t="inlineStr">
        <is>
          <t>Elmex Anti Caries Professional Trio Toothpaste 3 X 75 Ml</t>
        </is>
      </c>
      <c r="C12552" t="inlineStr">
        <is>
          <t>Toothpaste</t>
        </is>
      </c>
      <c r="D12552" t="inlineStr">
        <is>
          <t>Elmex</t>
        </is>
      </c>
      <c r="E12552" t="n">
        <v>16.07</v>
      </c>
      <c r="F12552" t="n">
        <v>1</v>
      </c>
      <c r="G12552" t="n">
        <v>8</v>
      </c>
      <c r="H12552" s="5">
        <f>HYPERLINK("https://api.qogita.com/variants/link/8590232000456/", "View Product")</f>
        <v/>
      </c>
    </row>
    <row r="12553">
      <c r="A12553" t="inlineStr">
        <is>
          <t>8590232000715</t>
        </is>
      </c>
      <c r="B12553" t="inlineStr">
        <is>
          <t>Total Whitening Trio 3 x 75 ml</t>
        </is>
      </c>
      <c r="C12553" t="inlineStr">
        <is>
          <t>Facial Care Sets</t>
        </is>
      </c>
      <c r="D12553" t="inlineStr">
        <is>
          <t>Total</t>
        </is>
      </c>
      <c r="E12553" t="n">
        <v>8.300000000000001</v>
      </c>
      <c r="F12553" t="n">
        <v>1</v>
      </c>
      <c r="G12553" t="n">
        <v>4</v>
      </c>
      <c r="H12553" s="5">
        <f>HYPERLINK("https://api.qogita.com/variants/link/8590232000715/", "View Product")</f>
        <v/>
      </c>
    </row>
    <row r="12554">
      <c r="A12554" t="inlineStr">
        <is>
          <t>8590232000746</t>
        </is>
      </c>
      <c r="B12554" t="inlineStr">
        <is>
          <t>Max White One Toothpaste Set</t>
        </is>
      </c>
      <c r="C12554" t="inlineStr">
        <is>
          <t>Toothpaste</t>
        </is>
      </c>
      <c r="D12554" t="inlineStr">
        <is>
          <t>Max</t>
        </is>
      </c>
      <c r="E12554" t="n">
        <v>9.970000000000001</v>
      </c>
      <c r="F12554" t="n">
        <v>1</v>
      </c>
      <c r="G12554" t="n">
        <v>2</v>
      </c>
      <c r="H12554" s="5">
        <f>HYPERLINK("https://api.qogita.com/variants/link/8590232000746/", "View Product")</f>
        <v/>
      </c>
    </row>
    <row r="12555">
      <c r="A12555" t="inlineStr">
        <is>
          <t>8590232001149</t>
        </is>
      </c>
      <c r="B12555" t="inlineStr">
        <is>
          <t>Total Original Trio Toothpaste</t>
        </is>
      </c>
      <c r="C12555" t="inlineStr">
        <is>
          <t>Toothpaste</t>
        </is>
      </c>
      <c r="D12555" t="inlineStr">
        <is>
          <t>Total</t>
        </is>
      </c>
      <c r="E12555" t="n">
        <v>8.300000000000001</v>
      </c>
      <c r="F12555" t="n">
        <v>1</v>
      </c>
      <c r="G12555" t="n">
        <v>4</v>
      </c>
      <c r="H12555" s="5">
        <f>HYPERLINK("https://api.qogita.com/variants/link/8590232001149/", "View Product")</f>
        <v/>
      </c>
    </row>
    <row r="12556">
      <c r="A12556" t="inlineStr">
        <is>
          <t>8590335008083</t>
        </is>
      </c>
      <c r="B12556" t="inlineStr">
        <is>
          <t>Corega Denture Adhesive Fresh Mint</t>
        </is>
      </c>
      <c r="C12556" t="inlineStr">
        <is>
          <t>Denture Accessories</t>
        </is>
      </c>
      <c r="D12556" t="inlineStr">
        <is>
          <t>Corega</t>
        </is>
      </c>
      <c r="E12556" t="n">
        <v>3.99</v>
      </c>
      <c r="F12556" t="n">
        <v>1</v>
      </c>
      <c r="G12556" t="n">
        <v>84</v>
      </c>
      <c r="H12556" s="5">
        <f>HYPERLINK("https://api.qogita.com/variants/link/8590335008083/", "View Product")</f>
        <v/>
      </c>
    </row>
    <row r="12557">
      <c r="A12557" t="inlineStr">
        <is>
          <t>8590393320769</t>
        </is>
      </c>
      <c r="B12557" t="inlineStr">
        <is>
          <t>Eta Analytical Personal Scale With Smart Application Vital Fit</t>
        </is>
      </c>
      <c r="C12557" t="inlineStr">
        <is>
          <t>Fitness</t>
        </is>
      </c>
      <c r="D12557" t="inlineStr">
        <is>
          <t>Eta</t>
        </is>
      </c>
      <c r="E12557" t="n">
        <v>37.22</v>
      </c>
      <c r="F12557" t="n">
        <v>1</v>
      </c>
      <c r="G12557" t="n">
        <v>6</v>
      </c>
      <c r="H12557" s="5">
        <f>HYPERLINK("https://api.qogita.com/variants/link/8590393320769/", "View Product")</f>
        <v/>
      </c>
    </row>
    <row r="12558">
      <c r="A12558" t="inlineStr">
        <is>
          <t>8590393336302</t>
        </is>
      </c>
      <c r="B12558" t="inlineStr">
        <is>
          <t>Eta Hair And Beard Trimmer 7341 90000 Simon</t>
        </is>
      </c>
      <c r="C12558" t="inlineStr">
        <is>
          <t>Shaving</t>
        </is>
      </c>
      <c r="D12558" t="inlineStr">
        <is>
          <t>Eta</t>
        </is>
      </c>
      <c r="E12558" t="n">
        <v>32.77</v>
      </c>
      <c r="F12558" t="n">
        <v>1</v>
      </c>
      <c r="G12558" t="n">
        <v>4</v>
      </c>
      <c r="H12558" s="5">
        <f>HYPERLINK("https://api.qogita.com/variants/link/8590393336302/", "View Product")</f>
        <v/>
      </c>
    </row>
    <row r="12559">
      <c r="A12559" t="inlineStr">
        <is>
          <t>8590669115327</t>
        </is>
      </c>
      <c r="B12559" t="inlineStr">
        <is>
          <t>SENCOR SHI 110BK Hair Straightener for Straightening and Styling Curls Black</t>
        </is>
      </c>
      <c r="C12559" t="inlineStr">
        <is>
          <t>Hair Straighteners</t>
        </is>
      </c>
      <c r="D12559" t="inlineStr">
        <is>
          <t>Sencor</t>
        </is>
      </c>
      <c r="E12559" t="n">
        <v>9.82</v>
      </c>
      <c r="F12559" t="n">
        <v>1</v>
      </c>
      <c r="G12559" t="n">
        <v>5</v>
      </c>
      <c r="H12559" s="5">
        <f>HYPERLINK("https://api.qogita.com/variants/link/8590669115327/", "View Product")</f>
        <v/>
      </c>
    </row>
    <row r="12560">
      <c r="A12560" t="inlineStr">
        <is>
          <t>8590669240678</t>
        </is>
      </c>
      <c r="B12560" t="inlineStr">
        <is>
          <t>Sencor Shd 6700vt Hair Dryer</t>
        </is>
      </c>
      <c r="C12560" t="inlineStr">
        <is>
          <t>Hair Dryers</t>
        </is>
      </c>
      <c r="D12560" t="inlineStr">
        <is>
          <t>Sencor</t>
        </is>
      </c>
      <c r="E12560" t="n">
        <v>17.32</v>
      </c>
      <c r="F12560" t="n">
        <v>1</v>
      </c>
      <c r="G12560" t="n">
        <v>8</v>
      </c>
      <c r="H12560" s="5">
        <f>HYPERLINK("https://api.qogita.com/variants/link/8590669240678/", "View Product")</f>
        <v/>
      </c>
    </row>
    <row r="12561">
      <c r="A12561" t="inlineStr">
        <is>
          <t>8590669240746</t>
        </is>
      </c>
      <c r="B12561" t="inlineStr">
        <is>
          <t>SHP 7201SL Men's Electric Clipper Set</t>
        </is>
      </c>
      <c r="C12561" t="inlineStr">
        <is>
          <t>Hair Clippers</t>
        </is>
      </c>
      <c r="D12561" t="inlineStr">
        <is>
          <t>Sencor</t>
        </is>
      </c>
      <c r="E12561" t="n">
        <v>34.69</v>
      </c>
      <c r="F12561" t="n">
        <v>1</v>
      </c>
      <c r="G12561" t="n">
        <v>2</v>
      </c>
      <c r="H12561" s="5">
        <f>HYPERLINK("https://api.qogita.com/variants/link/8590669240746/", "View Product")</f>
        <v/>
      </c>
    </row>
    <row r="12562">
      <c r="A12562" t="inlineStr">
        <is>
          <t>8590669274154</t>
        </is>
      </c>
      <c r="B12562" t="inlineStr">
        <is>
          <t>Replacement head for children's sonic toothbrushes SOC 091x SOX 014GR</t>
        </is>
      </c>
      <c r="C12562" t="inlineStr">
        <is>
          <t>Electric Toothbrushes</t>
        </is>
      </c>
      <c r="D12562" t="inlineStr">
        <is>
          <t>Sencor</t>
        </is>
      </c>
      <c r="E12562" t="n">
        <v>14.8</v>
      </c>
      <c r="F12562" t="n">
        <v>1</v>
      </c>
      <c r="G12562" t="n">
        <v>4</v>
      </c>
      <c r="H12562" s="5">
        <f>HYPERLINK("https://api.qogita.com/variants/link/8590669274154/", "View Product")</f>
        <v/>
      </c>
    </row>
    <row r="12563">
      <c r="A12563" t="inlineStr">
        <is>
          <t>8590669305704</t>
        </is>
      </c>
      <c r="B12563" t="inlineStr">
        <is>
          <t>Classique Bigoudi 38W Black</t>
        </is>
      </c>
      <c r="C12563" t="inlineStr">
        <is>
          <t>Curling Irons</t>
        </is>
      </c>
      <c r="D12563" t="inlineStr">
        <is>
          <t>Sencor</t>
        </is>
      </c>
      <c r="E12563" t="n">
        <v>14.25</v>
      </c>
      <c r="F12563" t="n">
        <v>1</v>
      </c>
      <c r="G12563" t="n">
        <v>5</v>
      </c>
      <c r="H12563" s="5">
        <f>HYPERLINK("https://api.qogita.com/variants/link/8590669305704/", "View Product")</f>
        <v/>
      </c>
    </row>
    <row r="12564">
      <c r="A12564" t="inlineStr">
        <is>
          <t>8590669306091</t>
        </is>
      </c>
      <c r="B12564" t="inlineStr">
        <is>
          <t>SHD 6800RG Hair Dryer</t>
        </is>
      </c>
      <c r="C12564" t="inlineStr">
        <is>
          <t>Hair Dryers</t>
        </is>
      </c>
      <c r="D12564" t="inlineStr">
        <is>
          <t>Tepuk</t>
        </is>
      </c>
      <c r="E12564" t="n">
        <v>28.9</v>
      </c>
      <c r="F12564" t="n">
        <v>1</v>
      </c>
      <c r="G12564" t="n">
        <v>2</v>
      </c>
      <c r="H12564" s="5">
        <f>HYPERLINK("https://api.qogita.com/variants/link/8590669306091/", "View Product")</f>
        <v/>
      </c>
    </row>
    <row r="12565">
      <c r="A12565" t="inlineStr">
        <is>
          <t>8590669306398</t>
        </is>
      </c>
      <c r="B12565" t="inlineStr">
        <is>
          <t>Sencor Shd 7100bk Hair Dryer</t>
        </is>
      </c>
      <c r="C12565" t="inlineStr">
        <is>
          <t>Hair Dryers</t>
        </is>
      </c>
      <c r="D12565" t="inlineStr">
        <is>
          <t>Sencor</t>
        </is>
      </c>
      <c r="E12565" t="n">
        <v>17.32</v>
      </c>
      <c r="F12565" t="n">
        <v>1</v>
      </c>
      <c r="G12565" t="n">
        <v>3</v>
      </c>
      <c r="H12565" s="5">
        <f>HYPERLINK("https://api.qogita.com/variants/link/8590669306398/", "View Product")</f>
        <v/>
      </c>
    </row>
    <row r="12566">
      <c r="A12566" t="inlineStr">
        <is>
          <t>8590669306411</t>
        </is>
      </c>
      <c r="B12566" t="inlineStr">
        <is>
          <t>Hair Dryer SHD 7200GD</t>
        </is>
      </c>
      <c r="C12566" t="inlineStr">
        <is>
          <t>Hair Dryers</t>
        </is>
      </c>
      <c r="D12566" t="inlineStr">
        <is>
          <t>Sencor</t>
        </is>
      </c>
      <c r="E12566" t="n">
        <v>20.7</v>
      </c>
      <c r="F12566" t="n">
        <v>1</v>
      </c>
      <c r="G12566" t="n">
        <v>3</v>
      </c>
      <c r="H12566" s="5">
        <f>HYPERLINK("https://api.qogita.com/variants/link/8590669306411/", "View Product")</f>
        <v/>
      </c>
    </row>
    <row r="12567">
      <c r="A12567" t="inlineStr">
        <is>
          <t>8590669322428</t>
        </is>
      </c>
      <c r="B12567" t="inlineStr">
        <is>
          <t>Sencor SHP5207CH Men's Beard and Hair Trimmer Professional Waterproof Electric Beard and Hair Trimmer with Titanium Coated Blades Hair Cutting Machine with 38 Cutting Lengths</t>
        </is>
      </c>
      <c r="C12567" t="inlineStr">
        <is>
          <t>Hair Clippers</t>
        </is>
      </c>
      <c r="D12567" t="inlineStr">
        <is>
          <t>Sencor</t>
        </is>
      </c>
      <c r="E12567" t="n">
        <v>19.25</v>
      </c>
      <c r="F12567" t="n">
        <v>1</v>
      </c>
      <c r="G12567" t="n">
        <v>3</v>
      </c>
      <c r="H12567" s="5">
        <f>HYPERLINK("https://api.qogita.com/variants/link/8590669322428/", "View Product")</f>
        <v/>
      </c>
    </row>
    <row r="12568">
      <c r="A12568" t="inlineStr">
        <is>
          <t>8592297000068</t>
        </is>
      </c>
      <c r="B12568" t="inlineStr">
        <is>
          <t>Astrid Nutri Skin Almond Nourishing Day And Night Cream For Dry And Very Dry Skin 50 Ml</t>
        </is>
      </c>
      <c r="C12568" t="inlineStr">
        <is>
          <t>Day Cream</t>
        </is>
      </c>
      <c r="D12568" t="inlineStr">
        <is>
          <t>Astrid</t>
        </is>
      </c>
      <c r="E12568" t="n">
        <v>4.91</v>
      </c>
      <c r="F12568" t="n">
        <v>1</v>
      </c>
      <c r="G12568" t="n">
        <v>5</v>
      </c>
      <c r="H12568" s="5">
        <f>HYPERLINK("https://api.qogita.com/variants/link/8592297000068/", "View Product")</f>
        <v/>
      </c>
    </row>
    <row r="12569">
      <c r="A12569" t="inlineStr">
        <is>
          <t>8592297002673</t>
        </is>
      </c>
      <c r="B12569" t="inlineStr">
        <is>
          <t>Astrid Antibacterial Deodorizing Spray Peo Shoe 150 Ml</t>
        </is>
      </c>
      <c r="C12569" t="inlineStr">
        <is>
          <t>Foot Spray</t>
        </is>
      </c>
      <c r="D12569" t="inlineStr">
        <is>
          <t>Astrid</t>
        </is>
      </c>
      <c r="E12569" t="n">
        <v>4.16</v>
      </c>
      <c r="F12569" t="n">
        <v>1</v>
      </c>
      <c r="G12569" t="n">
        <v>5</v>
      </c>
      <c r="H12569" s="5">
        <f>HYPERLINK("https://api.qogita.com/variants/link/8592297002673/", "View Product")</f>
        <v/>
      </c>
    </row>
    <row r="12570">
      <c r="A12570" t="inlineStr">
        <is>
          <t>8592297002871</t>
        </is>
      </c>
      <c r="B12570" t="inlineStr">
        <is>
          <t>Night Anti-Wrinkle Collagen Pro 50 ml</t>
        </is>
      </c>
      <c r="C12570" t="inlineStr">
        <is>
          <t>Night Cream</t>
        </is>
      </c>
      <c r="D12570" t="inlineStr">
        <is>
          <t>Astrid</t>
        </is>
      </c>
      <c r="E12570" t="n">
        <v>6.83</v>
      </c>
      <c r="F12570" t="n">
        <v>1</v>
      </c>
      <c r="G12570" t="n">
        <v>3</v>
      </c>
      <c r="H12570" s="5">
        <f>HYPERLINK("https://api.qogita.com/variants/link/8592297002871/", "View Product")</f>
        <v/>
      </c>
    </row>
    <row r="12571">
      <c r="A12571" t="inlineStr">
        <is>
          <t>8592297005261</t>
        </is>
      </c>
      <c r="B12571" t="inlineStr">
        <is>
          <t>Astrid Micellar Cleansing Gel For Normal To Oily Skin Detox 200 Ml</t>
        </is>
      </c>
      <c r="C12571" t="inlineStr">
        <is>
          <t>Cleansing Gel</t>
        </is>
      </c>
      <c r="D12571" t="inlineStr">
        <is>
          <t>Astrid</t>
        </is>
      </c>
      <c r="E12571" t="n">
        <v>4.61</v>
      </c>
      <c r="F12571" t="n">
        <v>1</v>
      </c>
      <c r="G12571" t="n">
        <v>10</v>
      </c>
      <c r="H12571" s="5">
        <f>HYPERLINK("https://api.qogita.com/variants/link/8592297005261/", "View Product")</f>
        <v/>
      </c>
    </row>
    <row r="12572">
      <c r="A12572" t="inlineStr">
        <is>
          <t>8592297010593</t>
        </is>
      </c>
      <c r="B12572" t="inlineStr">
        <is>
          <t>Aqua Biotic Gift Set for Dry and Sensitive Skin (Cleansing and Face Makeup Removal)</t>
        </is>
      </c>
      <c r="C12572" t="inlineStr">
        <is>
          <t>Facial Cleansing Sets</t>
        </is>
      </c>
      <c r="D12572" t="inlineStr">
        <is>
          <t>Astrid</t>
        </is>
      </c>
      <c r="E12572" t="n">
        <v>12.2</v>
      </c>
      <c r="F12572" t="n">
        <v>1</v>
      </c>
      <c r="G12572" t="n">
        <v>5</v>
      </c>
      <c r="H12572" s="5">
        <f>HYPERLINK("https://api.qogita.com/variants/link/8592297010593/", "View Product")</f>
        <v/>
      </c>
    </row>
    <row r="12573">
      <c r="A12573" t="inlineStr">
        <is>
          <t>8592297011040</t>
        </is>
      </c>
      <c r="B12573" t="inlineStr">
        <is>
          <t>Astrid Cooling Regeneration Foam After Sunbathing 150 Ml With 10 Panthenol</t>
        </is>
      </c>
      <c r="C12573" t="inlineStr">
        <is>
          <t>Aftersun</t>
        </is>
      </c>
      <c r="D12573" t="inlineStr">
        <is>
          <t>Astrid</t>
        </is>
      </c>
      <c r="E12573" t="n">
        <v>7.57</v>
      </c>
      <c r="F12573" t="n">
        <v>1</v>
      </c>
      <c r="G12573" t="n">
        <v>14</v>
      </c>
      <c r="H12573" s="5">
        <f>HYPERLINK("https://api.qogita.com/variants/link/8592297011040/", "View Product")</f>
        <v/>
      </c>
    </row>
    <row r="12574">
      <c r="A12574" t="inlineStr">
        <is>
          <t>8592297011064</t>
        </is>
      </c>
      <c r="B12574" t="inlineStr">
        <is>
          <t>Astrid Self-Tanning Spray 150 Ml</t>
        </is>
      </c>
      <c r="C12574" t="inlineStr">
        <is>
          <t>Body Self-Tanner</t>
        </is>
      </c>
      <c r="D12574" t="inlineStr">
        <is>
          <t>Astrid</t>
        </is>
      </c>
      <c r="E12574" t="n">
        <v>6.76</v>
      </c>
      <c r="F12574" t="n">
        <v>1</v>
      </c>
      <c r="G12574" t="n">
        <v>2</v>
      </c>
      <c r="H12574" s="5">
        <f>HYPERLINK("https://api.qogita.com/variants/link/8592297011064/", "View Product")</f>
        <v/>
      </c>
    </row>
    <row r="12575">
      <c r="A12575" t="inlineStr">
        <is>
          <t>8592297012429</t>
        </is>
      </c>
      <c r="B12575" t="inlineStr">
        <is>
          <t>Astrid Sunscreen Spray Bronz Spf 50 150 Ml</t>
        </is>
      </c>
      <c r="C12575" t="inlineStr">
        <is>
          <t>Body Sun Protection</t>
        </is>
      </c>
      <c r="D12575" t="inlineStr">
        <is>
          <t>Astrid</t>
        </is>
      </c>
      <c r="E12575" t="n">
        <v>11.52</v>
      </c>
      <c r="F12575" t="n">
        <v>1</v>
      </c>
      <c r="G12575" t="n">
        <v>15</v>
      </c>
      <c r="H12575" s="5">
        <f>HYPERLINK("https://api.qogita.com/variants/link/8592297012429/", "View Product")</f>
        <v/>
      </c>
    </row>
    <row r="12576">
      <c r="A12576" t="inlineStr">
        <is>
          <t>8592297012740</t>
        </is>
      </c>
      <c r="B12576" t="inlineStr">
        <is>
          <t>Astrid Dry Sunscreen Oil Spf 30 - 150 Ml</t>
        </is>
      </c>
      <c r="C12576" t="inlineStr">
        <is>
          <t>Body Sun Protection</t>
        </is>
      </c>
      <c r="D12576" t="inlineStr">
        <is>
          <t>Astrid</t>
        </is>
      </c>
      <c r="E12576" t="n">
        <v>9.49</v>
      </c>
      <c r="F12576" t="n">
        <v>1</v>
      </c>
      <c r="G12576" t="n">
        <v>2</v>
      </c>
      <c r="H12576" s="5">
        <f>HYPERLINK("https://api.qogita.com/variants/link/8592297012740/", "View Product")</f>
        <v/>
      </c>
    </row>
    <row r="12577">
      <c r="A12577" t="inlineStr">
        <is>
          <t>8592297012924</t>
        </is>
      </c>
      <c r="B12577" t="inlineStr">
        <is>
          <t>Astrid Hydrox-Cell Skin Care Gift Set</t>
        </is>
      </c>
      <c r="C12577" t="inlineStr">
        <is>
          <t>Facial Care Sets</t>
        </is>
      </c>
      <c r="D12577" t="inlineStr">
        <is>
          <t>Astrid</t>
        </is>
      </c>
      <c r="E12577" t="n">
        <v>14.18</v>
      </c>
      <c r="F12577" t="n">
        <v>1</v>
      </c>
      <c r="G12577" t="n">
        <v>5</v>
      </c>
      <c r="H12577" s="5">
        <f>HYPERLINK("https://api.qogita.com/variants/link/8592297012924/", "View Product")</f>
        <v/>
      </c>
    </row>
    <row r="12578">
      <c r="A12578" t="inlineStr">
        <is>
          <t>8592297013099</t>
        </is>
      </c>
      <c r="B12578" t="inlineStr">
        <is>
          <t>Astrid Filling Daily Facial Fluid Spf 50 Hyaluronic Gold - 50 Ml</t>
        </is>
      </c>
      <c r="C12578" t="inlineStr">
        <is>
          <t>Face Sun Protection</t>
        </is>
      </c>
      <c r="D12578" t="inlineStr">
        <is>
          <t>Astrid</t>
        </is>
      </c>
      <c r="E12578" t="n">
        <v>8.970000000000001</v>
      </c>
      <c r="F12578" t="n">
        <v>1</v>
      </c>
      <c r="G12578" t="n">
        <v>5</v>
      </c>
      <c r="H12578" s="5">
        <f>HYPERLINK("https://api.qogita.com/variants/link/8592297013099/", "View Product")</f>
        <v/>
      </c>
    </row>
    <row r="12579">
      <c r="A12579" t="inlineStr">
        <is>
          <t>8592807467770</t>
        </is>
      </c>
      <c r="B12579" t="inlineStr">
        <is>
          <t>L'Oral Paris Revitalift Filler Ha Duo Set Skin Care Gift Set</t>
        </is>
      </c>
      <c r="C12579" t="inlineStr">
        <is>
          <t>Facial Care Sets</t>
        </is>
      </c>
      <c r="D12579" t="inlineStr">
        <is>
          <t>L'Oréal Paris</t>
        </is>
      </c>
      <c r="E12579" t="n">
        <v>29.45</v>
      </c>
      <c r="F12579" t="n">
        <v>1</v>
      </c>
      <c r="G12579" t="n">
        <v>11</v>
      </c>
      <c r="H12579" s="5">
        <f>HYPERLINK("https://api.qogita.com/variants/link/8592807467770/", "View Product")</f>
        <v/>
      </c>
    </row>
    <row r="12580">
      <c r="A12580" t="inlineStr">
        <is>
          <t>8592807565995</t>
        </is>
      </c>
      <c r="B12580" t="inlineStr">
        <is>
          <t>L'Oreal Paris Revitalift Clinical Vitamin C SPF50 50ml</t>
        </is>
      </c>
      <c r="C12580" t="inlineStr">
        <is>
          <t>Face Sun Protection</t>
        </is>
      </c>
      <c r="D12580" t="inlineStr">
        <is>
          <t>L'Oréal</t>
        </is>
      </c>
      <c r="E12580" t="n">
        <v>32.78</v>
      </c>
      <c r="F12580" t="n">
        <v>1</v>
      </c>
      <c r="G12580" t="n">
        <v>8</v>
      </c>
      <c r="H12580" s="5">
        <f>HYPERLINK("https://api.qogita.com/variants/link/8592807565995/", "View Product")</f>
        <v/>
      </c>
    </row>
    <row r="12581">
      <c r="A12581" t="inlineStr">
        <is>
          <t>8592807631829</t>
        </is>
      </c>
      <c r="B12581" t="inlineStr">
        <is>
          <t>L'Oreal Paris Maison L'Oreal Paris - Basic Moisturiser</t>
        </is>
      </c>
      <c r="C12581" t="inlineStr">
        <is>
          <t>Face Cream</t>
        </is>
      </c>
      <c r="D12581" t="inlineStr">
        <is>
          <t>L'Oréal Paris</t>
        </is>
      </c>
      <c r="E12581" t="n">
        <v>65.29000000000001</v>
      </c>
      <c r="F12581" t="n">
        <v>1</v>
      </c>
      <c r="G12581" t="n">
        <v>21</v>
      </c>
      <c r="H12581" s="5">
        <f>HYPERLINK("https://api.qogita.com/variants/link/8592807631829/", "View Product")</f>
        <v/>
      </c>
    </row>
    <row r="12582">
      <c r="A12582" t="inlineStr">
        <is>
          <t>8594006380805</t>
        </is>
      </c>
      <c r="B12582" t="inlineStr">
        <is>
          <t>Regenerating Conditioner Green Tea (Rinse Off Conditioner) 250 ml</t>
        </is>
      </c>
      <c r="C12582" t="inlineStr">
        <is>
          <t>Conditioner</t>
        </is>
      </c>
      <c r="D12582" t="inlineStr">
        <is>
          <t>Tomas Arsov</t>
        </is>
      </c>
      <c r="E12582" t="n">
        <v>9.81</v>
      </c>
      <c r="F12582" t="n">
        <v>1</v>
      </c>
      <c r="G12582" t="n">
        <v>8</v>
      </c>
      <c r="H12582" s="5">
        <f>HYPERLINK("https://api.qogita.com/variants/link/8594006380805/", "View Product")</f>
        <v/>
      </c>
    </row>
    <row r="12583">
      <c r="A12583" t="inlineStr">
        <is>
          <t>8594007972405</t>
        </is>
      </c>
      <c r="B12583" t="inlineStr">
        <is>
          <t>Ryor Lipored Ultra Anti-Cellulite Fat Reducing Emulsion</t>
        </is>
      </c>
      <c r="C12583" t="inlineStr">
        <is>
          <t>Anti-Cellulite</t>
        </is>
      </c>
      <c r="D12583" t="inlineStr">
        <is>
          <t>Ryor</t>
        </is>
      </c>
      <c r="E12583" t="n">
        <v>10.36</v>
      </c>
      <c r="F12583" t="n">
        <v>1</v>
      </c>
      <c r="G12583" t="n">
        <v>8</v>
      </c>
      <c r="H12583" s="5">
        <f>HYPERLINK("https://api.qogita.com/variants/link/8594007972405/", "View Product")</f>
        <v/>
      </c>
    </row>
    <row r="12584">
      <c r="A12584" t="inlineStr">
        <is>
          <t>8594007973518</t>
        </is>
      </c>
      <c r="B12584" t="inlineStr">
        <is>
          <t>Ryor Moisturizing Serum with Ceramides</t>
        </is>
      </c>
      <c r="C12584" t="inlineStr">
        <is>
          <t>Hydrating Serum</t>
        </is>
      </c>
      <c r="D12584" t="inlineStr">
        <is>
          <t>Ryor</t>
        </is>
      </c>
      <c r="E12584" t="n">
        <v>6.19</v>
      </c>
      <c r="F12584" t="n">
        <v>1</v>
      </c>
      <c r="G12584" t="n">
        <v>11</v>
      </c>
      <c r="H12584" s="5">
        <f>HYPERLINK("https://api.qogita.com/variants/link/8594007973518/", "View Product")</f>
        <v/>
      </c>
    </row>
    <row r="12585">
      <c r="A12585" t="inlineStr">
        <is>
          <t>8594007974300</t>
        </is>
      </c>
      <c r="B12585" t="inlineStr">
        <is>
          <t>RYOR Eye Gel 30ml</t>
        </is>
      </c>
      <c r="C12585" t="inlineStr">
        <is>
          <t>Eye Gel</t>
        </is>
      </c>
      <c r="D12585" t="inlineStr">
        <is>
          <t>Ryor</t>
        </is>
      </c>
      <c r="E12585" t="n">
        <v>4.06</v>
      </c>
      <c r="F12585" t="n">
        <v>1</v>
      </c>
      <c r="G12585" t="n">
        <v>9</v>
      </c>
      <c r="H12585" s="5">
        <f>HYPERLINK("https://api.qogita.com/variants/link/8594007974300/", "View Product")</f>
        <v/>
      </c>
    </row>
    <row r="12586">
      <c r="A12586" t="inlineStr">
        <is>
          <t>8594007976564</t>
        </is>
      </c>
      <c r="B12586" t="inlineStr">
        <is>
          <t>Ryor Two-Phase Makeup Removal Emulsion for All Skin Types</t>
        </is>
      </c>
      <c r="C12586" t="inlineStr">
        <is>
          <t>Makeup Remover</t>
        </is>
      </c>
      <c r="D12586" t="inlineStr">
        <is>
          <t>Ryor</t>
        </is>
      </c>
      <c r="E12586" t="n">
        <v>9.710000000000001</v>
      </c>
      <c r="F12586" t="n">
        <v>1</v>
      </c>
      <c r="G12586" t="n">
        <v>9</v>
      </c>
      <c r="H12586" s="5">
        <f>HYPERLINK("https://api.qogita.com/variants/link/8594007976564/", "View Product")</f>
        <v/>
      </c>
    </row>
    <row r="12587">
      <c r="A12587" t="inlineStr">
        <is>
          <t>8594007977066</t>
        </is>
      </c>
      <c r="B12587" t="inlineStr">
        <is>
          <t>Two Phase Make-Up Removal Emulsion for All Skin Types</t>
        </is>
      </c>
      <c r="C12587" t="inlineStr">
        <is>
          <t>Makeup Remover</t>
        </is>
      </c>
      <c r="D12587" t="inlineStr">
        <is>
          <t>Ryor</t>
        </is>
      </c>
      <c r="E12587" t="n">
        <v>5.56</v>
      </c>
      <c r="F12587" t="n">
        <v>1</v>
      </c>
      <c r="G12587" t="n">
        <v>9</v>
      </c>
      <c r="H12587" s="5">
        <f>HYPERLINK("https://api.qogita.com/variants/link/8594007977066/", "View Product")</f>
        <v/>
      </c>
    </row>
    <row r="12588">
      <c r="A12588" t="inlineStr">
        <is>
          <t>8594007977134</t>
        </is>
      </c>
      <c r="B12588" t="inlineStr">
        <is>
          <t>Ryor Night Cream</t>
        </is>
      </c>
      <c r="C12588" t="inlineStr">
        <is>
          <t>Night Cream</t>
        </is>
      </c>
      <c r="D12588" t="inlineStr">
        <is>
          <t>Ryor</t>
        </is>
      </c>
      <c r="E12588" t="n">
        <v>6.01</v>
      </c>
      <c r="F12588" t="n">
        <v>1</v>
      </c>
      <c r="G12588" t="n">
        <v>11</v>
      </c>
      <c r="H12588" s="5">
        <f>HYPERLINK("https://api.qogita.com/variants/link/8594007977134/", "View Product")</f>
        <v/>
      </c>
    </row>
    <row r="12589">
      <c r="A12589" t="inlineStr">
        <is>
          <t>8594007977141</t>
        </is>
      </c>
      <c r="B12589" t="inlineStr">
        <is>
          <t>RYOR Coenzyme Q10 Eye Cream 30ml</t>
        </is>
      </c>
      <c r="C12589" t="inlineStr">
        <is>
          <t>Eye Cream</t>
        </is>
      </c>
      <c r="D12589" t="inlineStr">
        <is>
          <t>Ryor</t>
        </is>
      </c>
      <c r="E12589" t="n">
        <v>5.4</v>
      </c>
      <c r="F12589" t="n">
        <v>1</v>
      </c>
      <c r="G12589" t="n">
        <v>8</v>
      </c>
      <c r="H12589" s="5">
        <f>HYPERLINK("https://api.qogita.com/variants/link/8594007977141/", "View Product")</f>
        <v/>
      </c>
    </row>
    <row r="12590">
      <c r="A12590" t="inlineStr">
        <is>
          <t>8594007977639</t>
        </is>
      </c>
      <c r="B12590" t="inlineStr">
        <is>
          <t>Cream with Hyaluronic Acid and Stem Cells 50ml</t>
        </is>
      </c>
      <c r="C12590" t="inlineStr">
        <is>
          <t>Anti-Aging Facial Care</t>
        </is>
      </c>
      <c r="D12590" t="inlineStr">
        <is>
          <t>Ryor</t>
        </is>
      </c>
      <c r="E12590" t="n">
        <v>8.85</v>
      </c>
      <c r="F12590" t="n">
        <v>1</v>
      </c>
      <c r="G12590" t="n">
        <v>9</v>
      </c>
      <c r="H12590" s="5">
        <f>HYPERLINK("https://api.qogita.com/variants/link/8594007977639/", "View Product")</f>
        <v/>
      </c>
    </row>
    <row r="12591">
      <c r="A12591" t="inlineStr">
        <is>
          <t>8594007977851</t>
        </is>
      </c>
      <c r="B12591" t="inlineStr">
        <is>
          <t>Ryor Cleansing Gel for Galvanic Spa</t>
        </is>
      </c>
      <c r="C12591" t="inlineStr">
        <is>
          <t>Cleansing Gel</t>
        </is>
      </c>
      <c r="D12591" t="inlineStr">
        <is>
          <t>Ryor</t>
        </is>
      </c>
      <c r="E12591" t="n">
        <v>19.75</v>
      </c>
      <c r="F12591" t="n">
        <v>1</v>
      </c>
      <c r="G12591" t="n">
        <v>9</v>
      </c>
      <c r="H12591" s="5">
        <f>HYPERLINK("https://api.qogita.com/variants/link/8594007977851/", "View Product")</f>
        <v/>
      </c>
    </row>
    <row r="12592">
      <c r="A12592" t="inlineStr">
        <is>
          <t>8594007978018</t>
        </is>
      </c>
      <c r="B12592" t="inlineStr">
        <is>
          <t>Ryor Deodorant For Women With A 48hour Effect</t>
        </is>
      </c>
      <c r="C12592" t="inlineStr">
        <is>
          <t>Deodorant &amp; Anti-Perspirant</t>
        </is>
      </c>
      <c r="D12592" t="inlineStr">
        <is>
          <t>Ryor</t>
        </is>
      </c>
      <c r="E12592" t="n">
        <v>6.47</v>
      </c>
      <c r="F12592" t="n">
        <v>1</v>
      </c>
      <c r="G12592" t="n">
        <v>14</v>
      </c>
      <c r="H12592" s="5">
        <f>HYPERLINK("https://api.qogita.com/variants/link/8594007978018/", "View Product")</f>
        <v/>
      </c>
    </row>
    <row r="12593">
      <c r="A12593" t="inlineStr">
        <is>
          <t>8594007978094</t>
        </is>
      </c>
      <c r="B12593" t="inlineStr">
        <is>
          <t>Ryor Hair Growth Inhibitor 200ml</t>
        </is>
      </c>
      <c r="C12593" t="inlineStr">
        <is>
          <t>Body Care</t>
        </is>
      </c>
      <c r="D12593" t="inlineStr">
        <is>
          <t>Ryor</t>
        </is>
      </c>
      <c r="E12593" t="n">
        <v>10.19</v>
      </c>
      <c r="F12593" t="n">
        <v>1</v>
      </c>
      <c r="G12593" t="n">
        <v>5</v>
      </c>
      <c r="H12593" s="5">
        <f>HYPERLINK("https://api.qogita.com/variants/link/8594007978094/", "View Product")</f>
        <v/>
      </c>
    </row>
    <row r="12594">
      <c r="A12594" t="inlineStr">
        <is>
          <t>8594040043841</t>
        </is>
      </c>
      <c r="B12594" t="inlineStr">
        <is>
          <t>Oranjito Choco Coco Suntan Lotion Accelerator - 200 Ml</t>
        </is>
      </c>
      <c r="C12594" t="inlineStr">
        <is>
          <t>Body Sun Protection</t>
        </is>
      </c>
      <c r="D12594" t="inlineStr">
        <is>
          <t>Oranjito</t>
        </is>
      </c>
      <c r="E12594" t="n">
        <v>11.67</v>
      </c>
      <c r="F12594" t="n">
        <v>1</v>
      </c>
      <c r="G12594" t="n">
        <v>2</v>
      </c>
      <c r="H12594" s="5">
        <f>HYPERLINK("https://api.qogita.com/variants/link/8594040043841/", "View Product")</f>
        <v/>
      </c>
    </row>
    <row r="12595">
      <c r="A12595" t="inlineStr">
        <is>
          <t>8594040045487</t>
        </is>
      </c>
      <c r="B12595" t="inlineStr">
        <is>
          <t>Coconut After Tan Lotion 200 ml - Unknown</t>
        </is>
      </c>
      <c r="C12595" t="inlineStr">
        <is>
          <t>Aftersun</t>
        </is>
      </c>
      <c r="D12595" t="inlineStr">
        <is>
          <t>‎- Unknown</t>
        </is>
      </c>
      <c r="E12595" t="n">
        <v>7.69</v>
      </c>
      <c r="F12595" t="n">
        <v>1</v>
      </c>
      <c r="G12595" t="n">
        <v>2</v>
      </c>
      <c r="H12595" s="5">
        <f>HYPERLINK("https://api.qogita.com/variants/link/8594040045487/", "View Product")</f>
        <v/>
      </c>
    </row>
    <row r="12596">
      <c r="A12596" t="inlineStr">
        <is>
          <t>8594040047726</t>
        </is>
      </c>
      <c r="B12596" t="inlineStr">
        <is>
          <t>Oranjito Rapid Melone Superbronzer Tanning Milk 200 Ml</t>
        </is>
      </c>
      <c r="C12596" t="inlineStr">
        <is>
          <t>Body Self-Tanner</t>
        </is>
      </c>
      <c r="D12596" t="inlineStr">
        <is>
          <t>Oranjito</t>
        </is>
      </c>
      <c r="E12596" t="n">
        <v>11.67</v>
      </c>
      <c r="F12596" t="n">
        <v>1</v>
      </c>
      <c r="G12596" t="n">
        <v>2</v>
      </c>
      <c r="H12596" s="5">
        <f>HYPERLINK("https://api.qogita.com/variants/link/8594040047726/", "View Product")</f>
        <v/>
      </c>
    </row>
    <row r="12597">
      <c r="A12597" t="inlineStr">
        <is>
          <t>8594040048549</t>
        </is>
      </c>
      <c r="B12597" t="inlineStr">
        <is>
          <t>Oranjito Milk And Honey Accelerator</t>
        </is>
      </c>
      <c r="C12597" t="inlineStr">
        <is>
          <t>Body Lotion</t>
        </is>
      </c>
      <c r="D12597" t="inlineStr">
        <is>
          <t>Oranjito</t>
        </is>
      </c>
      <c r="E12597" t="n">
        <v>9.19</v>
      </c>
      <c r="F12597" t="n">
        <v>1</v>
      </c>
      <c r="G12597" t="n">
        <v>6</v>
      </c>
      <c r="H12597" s="5">
        <f>HYPERLINK("https://api.qogita.com/variants/link/8594040048549/", "View Product")</f>
        <v/>
      </c>
    </row>
    <row r="12598">
      <c r="A12598" t="inlineStr">
        <is>
          <t>8594040048570</t>
        </is>
      </c>
      <c r="B12598" t="inlineStr">
        <is>
          <t>Oranjito Black Velvet Accelerator Tanning Lotion 200 Ml</t>
        </is>
      </c>
      <c r="C12598" t="inlineStr">
        <is>
          <t>Body Self-Tanner</t>
        </is>
      </c>
      <c r="D12598" t="inlineStr">
        <is>
          <t>Oranjito</t>
        </is>
      </c>
      <c r="E12598" t="n">
        <v>11.67</v>
      </c>
      <c r="F12598" t="n">
        <v>1</v>
      </c>
      <c r="G12598" t="n">
        <v>6</v>
      </c>
      <c r="H12598" s="5">
        <f>HYPERLINK("https://api.qogita.com/variants/link/8594040048570/", "View Product")</f>
        <v/>
      </c>
    </row>
    <row r="12599">
      <c r="A12599" t="inlineStr">
        <is>
          <t>8594040070069</t>
        </is>
      </c>
      <c r="B12599" t="inlineStr">
        <is>
          <t>Oranjito Cannabis Sunscreen Max Effect Marijuana Superbronzer 200 Ml</t>
        </is>
      </c>
      <c r="C12599" t="inlineStr">
        <is>
          <t>Body Sun Protection</t>
        </is>
      </c>
      <c r="D12599" t="inlineStr">
        <is>
          <t>Oranjito</t>
        </is>
      </c>
      <c r="E12599" t="n">
        <v>7.69</v>
      </c>
      <c r="F12599" t="n">
        <v>1</v>
      </c>
      <c r="G12599" t="n">
        <v>18</v>
      </c>
      <c r="H12599" s="5">
        <f>HYPERLINK("https://api.qogita.com/variants/link/8594040070069/", "View Product")</f>
        <v/>
      </c>
    </row>
    <row r="12600">
      <c r="A12600" t="inlineStr">
        <is>
          <t>8594049738656</t>
        </is>
      </c>
      <c r="B12600" t="inlineStr">
        <is>
          <t>CONCEPT KF-1310ze Hot Air Brush with 2 Attachments 20mm and 16mm Green - Single</t>
        </is>
      </c>
      <c r="C12600" t="inlineStr">
        <is>
          <t>Hot Air Brushes</t>
        </is>
      </c>
      <c r="D12600" t="inlineStr">
        <is>
          <t>Concept</t>
        </is>
      </c>
      <c r="E12600" t="n">
        <v>17.88</v>
      </c>
      <c r="F12600" t="n">
        <v>1</v>
      </c>
      <c r="G12600" t="n">
        <v>14</v>
      </c>
      <c r="H12600" s="5">
        <f>HYPERLINK("https://api.qogita.com/variants/link/8594049738656/", "View Product")</f>
        <v/>
      </c>
    </row>
    <row r="12601">
      <c r="A12601" t="inlineStr">
        <is>
          <t>8594057392925</t>
        </is>
      </c>
      <c r="B12601" t="inlineStr">
        <is>
          <t>Sefiros Makesha M8 - Cosmetic Brush</t>
        </is>
      </c>
      <c r="C12601" t="inlineStr">
        <is>
          <t>Brush Sets</t>
        </is>
      </c>
      <c r="D12601" t="inlineStr">
        <is>
          <t>Sefiros</t>
        </is>
      </c>
      <c r="E12601" t="n">
        <v>3.16</v>
      </c>
      <c r="F12601" t="n">
        <v>1</v>
      </c>
      <c r="G12601" t="n">
        <v>78</v>
      </c>
      <c r="H12601" s="5">
        <f>HYPERLINK("https://api.qogita.com/variants/link/8594057392925/", "View Product")</f>
        <v/>
      </c>
    </row>
    <row r="12602">
      <c r="A12602" t="inlineStr">
        <is>
          <t>8594057392949</t>
        </is>
      </c>
      <c r="B12602" t="inlineStr">
        <is>
          <t>Sefiros Makesha M10 - Cosmetic Brush</t>
        </is>
      </c>
      <c r="C12602" t="inlineStr">
        <is>
          <t>Brush Sets</t>
        </is>
      </c>
      <c r="D12602" t="inlineStr">
        <is>
          <t>Sefiros</t>
        </is>
      </c>
      <c r="E12602" t="n">
        <v>3.16</v>
      </c>
      <c r="F12602" t="n">
        <v>1</v>
      </c>
      <c r="G12602" t="n">
        <v>11</v>
      </c>
      <c r="H12602" s="5">
        <f>HYPERLINK("https://api.qogita.com/variants/link/8594057392949/", "View Product")</f>
        <v/>
      </c>
    </row>
    <row r="12603">
      <c r="A12603" t="inlineStr">
        <is>
          <t>8594057393236</t>
        </is>
      </c>
      <c r="B12603" t="inlineStr">
        <is>
          <t>Dead Sea Minerals Conditioner - Sefiros 300 ml</t>
        </is>
      </c>
      <c r="C12603" t="inlineStr">
        <is>
          <t>Conditioner</t>
        </is>
      </c>
      <c r="D12603" t="inlineStr">
        <is>
          <t>Sefiros</t>
        </is>
      </c>
      <c r="E12603" t="n">
        <v>5.04</v>
      </c>
      <c r="F12603" t="n">
        <v>1</v>
      </c>
      <c r="G12603" t="n">
        <v>61</v>
      </c>
      <c r="H12603" s="5">
        <f>HYPERLINK("https://api.qogita.com/variants/link/8594057393236/", "View Product")</f>
        <v/>
      </c>
    </row>
    <row r="12604">
      <c r="A12604" t="inlineStr">
        <is>
          <t>8594057393496</t>
        </is>
      </c>
      <c r="B12604" t="inlineStr">
        <is>
          <t>Sefiros Collagen Day Cream - 50 Ml</t>
        </is>
      </c>
      <c r="C12604" t="inlineStr">
        <is>
          <t>Day Cream</t>
        </is>
      </c>
      <c r="D12604" t="inlineStr">
        <is>
          <t>Sefiros</t>
        </is>
      </c>
      <c r="E12604" t="n">
        <v>5.04</v>
      </c>
      <c r="F12604" t="n">
        <v>1</v>
      </c>
      <c r="G12604" t="n">
        <v>2</v>
      </c>
      <c r="H12604" s="5">
        <f>HYPERLINK("https://api.qogita.com/variants/link/8594057393496/", "View Product")</f>
        <v/>
      </c>
    </row>
    <row r="12605">
      <c r="A12605" t="inlineStr">
        <is>
          <t>8594057394004</t>
        </is>
      </c>
      <c r="B12605" t="inlineStr">
        <is>
          <t>Sefiros Caviar Firming And Lifting Cream Renewcream 50 G</t>
        </is>
      </c>
      <c r="C12605" t="inlineStr">
        <is>
          <t>Anti-Aging Facial Care</t>
        </is>
      </c>
      <c r="D12605" t="inlineStr">
        <is>
          <t>Sefiros</t>
        </is>
      </c>
      <c r="E12605" t="n">
        <v>5.42</v>
      </c>
      <c r="F12605" t="n">
        <v>1</v>
      </c>
      <c r="G12605" t="n">
        <v>524</v>
      </c>
      <c r="H12605" s="5">
        <f>HYPERLINK("https://api.qogita.com/variants/link/8594057394004/", "View Product")</f>
        <v/>
      </c>
    </row>
    <row r="12606">
      <c r="A12606" t="inlineStr">
        <is>
          <t>8594069330816</t>
        </is>
      </c>
      <c r="B12606" t="inlineStr">
        <is>
          <t>Vitalcare White Pearl Aloe Vera Toothpaste 120 G</t>
        </is>
      </c>
      <c r="C12606" t="inlineStr">
        <is>
          <t>Toothpaste</t>
        </is>
      </c>
      <c r="D12606" t="inlineStr">
        <is>
          <t>Vitalcare</t>
        </is>
      </c>
      <c r="E12606" t="n">
        <v>5.3</v>
      </c>
      <c r="F12606" t="n">
        <v>1</v>
      </c>
      <c r="G12606" t="n">
        <v>7</v>
      </c>
      <c r="H12606" s="5">
        <f>HYPERLINK("https://api.qogita.com/variants/link/8594069330816/", "View Product")</f>
        <v/>
      </c>
    </row>
    <row r="12607">
      <c r="A12607" t="inlineStr">
        <is>
          <t>8594069333275</t>
        </is>
      </c>
      <c r="B12607" t="inlineStr">
        <is>
          <t>PAP Carbon Whitening Toothpaste</t>
        </is>
      </c>
      <c r="C12607" t="inlineStr">
        <is>
          <t>Toothpaste</t>
        </is>
      </c>
      <c r="D12607" t="inlineStr">
        <is>
          <t>Pap</t>
        </is>
      </c>
      <c r="E12607" t="n">
        <v>8.039999999999999</v>
      </c>
      <c r="F12607" t="n">
        <v>1</v>
      </c>
      <c r="G12607" t="n">
        <v>5</v>
      </c>
      <c r="H12607" s="5">
        <f>HYPERLINK("https://api.qogita.com/variants/link/8594069333275/", "View Product")</f>
        <v/>
      </c>
    </row>
    <row r="12608">
      <c r="A12608" t="inlineStr">
        <is>
          <t>8594069333312</t>
        </is>
      </c>
      <c r="B12608" t="inlineStr">
        <is>
          <t>White Pearl Aloe Vera Toothpaste 75ml</t>
        </is>
      </c>
      <c r="C12608" t="inlineStr">
        <is>
          <t>Toothpaste</t>
        </is>
      </c>
      <c r="D12608" t="inlineStr">
        <is>
          <t>White Pearl</t>
        </is>
      </c>
      <c r="E12608" t="n">
        <v>8.039999999999999</v>
      </c>
      <c r="F12608" t="n">
        <v>1</v>
      </c>
      <c r="G12608" t="n">
        <v>8</v>
      </c>
      <c r="H12608" s="5">
        <f>HYPERLINK("https://api.qogita.com/variants/link/8594069333312/", "View Product")</f>
        <v/>
      </c>
    </row>
    <row r="12609">
      <c r="A12609" t="inlineStr">
        <is>
          <t>8594069333398</t>
        </is>
      </c>
      <c r="B12609" t="inlineStr">
        <is>
          <t>PAP Whitening Tooth Powder</t>
        </is>
      </c>
      <c r="C12609" t="inlineStr">
        <is>
          <t>Teeth Whiteners</t>
        </is>
      </c>
      <c r="D12609" t="inlineStr">
        <is>
          <t>White Pearl</t>
        </is>
      </c>
      <c r="E12609" t="n">
        <v>8.039999999999999</v>
      </c>
      <c r="F12609" t="n">
        <v>1</v>
      </c>
      <c r="G12609" t="n">
        <v>5</v>
      </c>
      <c r="H12609" s="5">
        <f>HYPERLINK("https://api.qogita.com/variants/link/8594069333398/", "View Product")</f>
        <v/>
      </c>
    </row>
    <row r="12610">
      <c r="A12610" t="inlineStr">
        <is>
          <t>8594166096486</t>
        </is>
      </c>
      <c r="B12610" t="inlineStr">
        <is>
          <t>Beautyrelax Br720 Home Ultrasonic Cavitation 3 In 1</t>
        </is>
      </c>
      <c r="C12610" t="inlineStr">
        <is>
          <t>Massage</t>
        </is>
      </c>
      <c r="D12610" t="inlineStr">
        <is>
          <t>Beautyrelax</t>
        </is>
      </c>
      <c r="E12610" t="n">
        <v>60.75</v>
      </c>
      <c r="F12610" t="n">
        <v>1</v>
      </c>
      <c r="G12610" t="n">
        <v>11</v>
      </c>
      <c r="H12610" s="5">
        <f>HYPERLINK("https://api.qogita.com/variants/link/8594166096486/", "View Product")</f>
        <v/>
      </c>
    </row>
    <row r="12611">
      <c r="A12611" t="inlineStr">
        <is>
          <t>8594166115248</t>
        </is>
      </c>
      <c r="B12611" t="inlineStr">
        <is>
          <t>BeautyRelax Multicare Multifunctional Cosmetic Device</t>
        </is>
      </c>
      <c r="C12611" t="inlineStr">
        <is>
          <t>Facial Cleansing Tools</t>
        </is>
      </c>
      <c r="D12611" t="inlineStr">
        <is>
          <t>Beautyrelax</t>
        </is>
      </c>
      <c r="E12611" t="n">
        <v>140.43</v>
      </c>
      <c r="F12611" t="n">
        <v>1</v>
      </c>
      <c r="G12611" t="n">
        <v>8</v>
      </c>
      <c r="H12611" s="5">
        <f>HYPERLINK("https://api.qogita.com/variants/link/8594166115248/", "View Product")</f>
        <v/>
      </c>
    </row>
    <row r="12612">
      <c r="A12612" t="inlineStr">
        <is>
          <t>8594166116962</t>
        </is>
      </c>
      <c r="B12612" t="inlineStr">
        <is>
          <t>Beautyrelax Ultrasonic Spatula Peel &amp; Lift Premium Br1540</t>
        </is>
      </c>
      <c r="C12612" t="inlineStr">
        <is>
          <t>Facial Cleansing Tools</t>
        </is>
      </c>
      <c r="D12612" t="inlineStr">
        <is>
          <t>Beautyrelax</t>
        </is>
      </c>
      <c r="E12612" t="n">
        <v>98.52</v>
      </c>
      <c r="F12612" t="n">
        <v>1</v>
      </c>
      <c r="G12612" t="n">
        <v>8</v>
      </c>
      <c r="H12612" s="5">
        <f>HYPERLINK("https://api.qogita.com/variants/link/8594166116962/", "View Product")</f>
        <v/>
      </c>
    </row>
    <row r="12613">
      <c r="A12613" t="inlineStr">
        <is>
          <t>8594166118652</t>
        </is>
      </c>
      <c r="B12613" t="inlineStr">
        <is>
          <t>Beautyrelax Vacuform Premium Massage Device White</t>
        </is>
      </c>
      <c r="C12613" t="inlineStr">
        <is>
          <t>Anti-Cellulite</t>
        </is>
      </c>
      <c r="D12613" t="inlineStr">
        <is>
          <t>Beautyrelax</t>
        </is>
      </c>
      <c r="E12613" t="n">
        <v>56.69</v>
      </c>
      <c r="F12613" t="n">
        <v>1</v>
      </c>
      <c r="G12613" t="n">
        <v>5</v>
      </c>
      <c r="H12613" s="5">
        <f>HYPERLINK("https://api.qogita.com/variants/link/8594166118652/", "View Product")</f>
        <v/>
      </c>
    </row>
    <row r="12614">
      <c r="A12614" t="inlineStr">
        <is>
          <t>8594180030749</t>
        </is>
      </c>
      <c r="B12614" t="inlineStr">
        <is>
          <t>Castor Oil Cold Pressed 100ml with Pipette Renovality Made in Czech Republic</t>
        </is>
      </c>
      <c r="C12614" t="inlineStr">
        <is>
          <t>Aromatherapy &amp; Essential Oils</t>
        </is>
      </c>
      <c r="D12614" t="inlineStr">
        <is>
          <t>Renovality</t>
        </is>
      </c>
      <c r="E12614" t="n">
        <v>6.62</v>
      </c>
      <c r="F12614" t="n">
        <v>1</v>
      </c>
      <c r="G12614" t="n">
        <v>14</v>
      </c>
      <c r="H12614" s="5">
        <f>HYPERLINK("https://api.qogita.com/variants/link/8594180030749/", "View Product")</f>
        <v/>
      </c>
    </row>
    <row r="12615">
      <c r="A12615" t="inlineStr">
        <is>
          <t>8594180030824</t>
        </is>
      </c>
      <c r="B12615" t="inlineStr">
        <is>
          <t>Renovality Magnesium Oil Spray 200ml - Made in Czech Republic</t>
        </is>
      </c>
      <c r="C12615" t="inlineStr">
        <is>
          <t>Sporting Tension</t>
        </is>
      </c>
      <c r="D12615" t="inlineStr">
        <is>
          <t>Renovality</t>
        </is>
      </c>
      <c r="E12615" t="n">
        <v>14.65</v>
      </c>
      <c r="F12615" t="n">
        <v>1</v>
      </c>
      <c r="G12615" t="n">
        <v>17</v>
      </c>
      <c r="H12615" s="5">
        <f>HYPERLINK("https://api.qogita.com/variants/link/8594180030824/", "View Product")</f>
        <v/>
      </c>
    </row>
    <row r="12616">
      <c r="A12616" t="inlineStr">
        <is>
          <t>8594187810191</t>
        </is>
      </c>
      <c r="B12616" t="inlineStr">
        <is>
          <t>Renohair Oil with Pipette 100ml Renovality Made in Czech Republic</t>
        </is>
      </c>
      <c r="C12616" t="inlineStr">
        <is>
          <t>Hair Oil &amp; Hair Serum</t>
        </is>
      </c>
      <c r="D12616" t="inlineStr">
        <is>
          <t>Renovality</t>
        </is>
      </c>
      <c r="E12616" t="n">
        <v>15.06</v>
      </c>
      <c r="F12616" t="n">
        <v>1</v>
      </c>
      <c r="G12616" t="n">
        <v>8</v>
      </c>
      <c r="H12616" s="5">
        <f>HYPERLINK("https://api.qogita.com/variants/link/8594187810191/", "View Product")</f>
        <v/>
      </c>
    </row>
    <row r="12617">
      <c r="A12617" t="inlineStr">
        <is>
          <t>8594187810917</t>
        </is>
      </c>
      <c r="B12617" t="inlineStr">
        <is>
          <t>Renovalita Cold Pressed Plum Oil 50ml Made in the Czech Republic</t>
        </is>
      </c>
      <c r="C12617" t="inlineStr">
        <is>
          <t>Inflammations</t>
        </is>
      </c>
      <c r="D12617" t="inlineStr">
        <is>
          <t>Renovality</t>
        </is>
      </c>
      <c r="E12617" t="n">
        <v>14.65</v>
      </c>
      <c r="F12617" t="n">
        <v>1</v>
      </c>
      <c r="G12617" t="n">
        <v>5</v>
      </c>
      <c r="H12617" s="5">
        <f>HYPERLINK("https://api.qogita.com/variants/link/8594187810917/", "View Product")</f>
        <v/>
      </c>
    </row>
    <row r="12618">
      <c r="A12618" t="inlineStr">
        <is>
          <t>8594187811181</t>
        </is>
      </c>
      <c r="B12618" t="inlineStr">
        <is>
          <t>Renovality Original Series Hyaluronic Serum with Vitamin C and B3 50ml</t>
        </is>
      </c>
      <c r="C12618" t="inlineStr">
        <is>
          <t>Hyaluronic Acid Serum</t>
        </is>
      </c>
      <c r="D12618" t="inlineStr">
        <is>
          <t>Renovality</t>
        </is>
      </c>
      <c r="E12618" t="n">
        <v>20.11</v>
      </c>
      <c r="F12618" t="n">
        <v>1</v>
      </c>
      <c r="G12618" t="n">
        <v>8</v>
      </c>
      <c r="H12618" s="5">
        <f>HYPERLINK("https://api.qogita.com/variants/link/8594187811181/", "View Product")</f>
        <v/>
      </c>
    </row>
    <row r="12619">
      <c r="A12619" t="inlineStr">
        <is>
          <t>8594187811396</t>
        </is>
      </c>
      <c r="B12619" t="inlineStr">
        <is>
          <t>Renovality Renolips Lip Oil 10ml</t>
        </is>
      </c>
      <c r="C12619" t="inlineStr">
        <is>
          <t>Lip Oil</t>
        </is>
      </c>
      <c r="D12619" t="inlineStr">
        <is>
          <t>Renovality</t>
        </is>
      </c>
      <c r="E12619" t="n">
        <v>7.83</v>
      </c>
      <c r="F12619" t="n">
        <v>1</v>
      </c>
      <c r="G12619" t="n">
        <v>6</v>
      </c>
      <c r="H12619" s="5">
        <f>HYPERLINK("https://api.qogita.com/variants/link/8594187811396/", "View Product")</f>
        <v/>
      </c>
    </row>
    <row r="12620">
      <c r="A12620" t="inlineStr">
        <is>
          <t>8594187813567</t>
        </is>
      </c>
      <c r="B12620" t="inlineStr">
        <is>
          <t>Renovality Original Series - Facial Serum Against Signs Of Aging</t>
        </is>
      </c>
      <c r="C12620" t="inlineStr">
        <is>
          <t>Anti-Aging Serum</t>
        </is>
      </c>
      <c r="D12620" t="inlineStr">
        <is>
          <t>Renovality</t>
        </is>
      </c>
      <c r="E12620" t="n">
        <v>13.92</v>
      </c>
      <c r="F12620" t="n">
        <v>1</v>
      </c>
      <c r="G12620" t="n">
        <v>4</v>
      </c>
      <c r="H12620" s="5">
        <f>HYPERLINK("https://api.qogita.com/variants/link/8594187813567/", "View Product")</f>
        <v/>
      </c>
    </row>
    <row r="12621">
      <c r="A12621" t="inlineStr">
        <is>
          <t>8594199040166</t>
        </is>
      </c>
      <c r="B12621" t="inlineStr">
        <is>
          <t>Tomas Arsov Saffron Jasmine Amber Eau De Parfum 50 Ml</t>
        </is>
      </c>
      <c r="C12621" t="inlineStr">
        <is>
          <t>Eau De Parfum</t>
        </is>
      </c>
      <c r="D12621" t="inlineStr">
        <is>
          <t>Tomas Arsov</t>
        </is>
      </c>
      <c r="E12621" t="n">
        <v>48.86</v>
      </c>
      <c r="F12621" t="n">
        <v>1</v>
      </c>
      <c r="G12621" t="n">
        <v>3</v>
      </c>
      <c r="H12621" s="5">
        <f>HYPERLINK("https://api.qogita.com/variants/link/8594199040166/", "View Product")</f>
        <v/>
      </c>
    </row>
    <row r="12622">
      <c r="A12622" t="inlineStr">
        <is>
          <t>8594199040258</t>
        </is>
      </c>
      <c r="B12622" t="inlineStr">
        <is>
          <t>Bonfire Shampoo 1000 milliliters</t>
        </is>
      </c>
      <c r="C12622" t="inlineStr">
        <is>
          <t>Shampoo</t>
        </is>
      </c>
      <c r="D12622" t="inlineStr">
        <is>
          <t>Tomas Arsov</t>
        </is>
      </c>
      <c r="E12622" t="n">
        <v>25.92</v>
      </c>
      <c r="F12622" t="n">
        <v>1</v>
      </c>
      <c r="G12622" t="n">
        <v>4</v>
      </c>
      <c r="H12622" s="5">
        <f>HYPERLINK("https://api.qogita.com/variants/link/8594199040258/", "View Product")</f>
        <v/>
      </c>
    </row>
    <row r="12623">
      <c r="A12623" t="inlineStr">
        <is>
          <t>8594199040456</t>
        </is>
      </c>
      <c r="B12623" t="inlineStr">
        <is>
          <t>Iconic Eau de Parfum</t>
        </is>
      </c>
      <c r="C12623" t="inlineStr">
        <is>
          <t>Eau De Parfum</t>
        </is>
      </c>
      <c r="D12623" t="inlineStr">
        <is>
          <t>Tomas Arsov</t>
        </is>
      </c>
      <c r="E12623" t="n">
        <v>65.29000000000001</v>
      </c>
      <c r="F12623" t="n">
        <v>1</v>
      </c>
      <c r="G12623" t="n">
        <v>5</v>
      </c>
      <c r="H12623" s="5">
        <f>HYPERLINK("https://api.qogita.com/variants/link/8594199040456/", "View Product")</f>
        <v/>
      </c>
    </row>
    <row r="12624">
      <c r="A12624" t="inlineStr">
        <is>
          <t>8594199040470</t>
        </is>
      </c>
      <c r="B12624" t="inlineStr">
        <is>
          <t>Green Tea Hair Barium Gift Set</t>
        </is>
      </c>
      <c r="C12624" t="inlineStr">
        <is>
          <t>Hair Care Sets</t>
        </is>
      </c>
      <c r="D12624" t="inlineStr">
        <is>
          <t>Tomas Arsov</t>
        </is>
      </c>
      <c r="E12624" t="n">
        <v>62</v>
      </c>
      <c r="F12624" t="n">
        <v>1</v>
      </c>
      <c r="G12624" t="n">
        <v>2</v>
      </c>
      <c r="H12624" s="5">
        <f>HYPERLINK("https://api.qogita.com/variants/link/8594199040470/", "View Product")</f>
        <v/>
      </c>
    </row>
    <row r="12625">
      <c r="A12625" t="inlineStr">
        <is>
          <t>8594199040838</t>
        </is>
      </c>
      <c r="B12625" t="inlineStr">
        <is>
          <t>Tomas Arsov Hair Guard Dietary Supplement - 90 Capsules</t>
        </is>
      </c>
      <c r="C12625" t="inlineStr">
        <is>
          <t>Beautiful Hair</t>
        </is>
      </c>
      <c r="D12625" t="inlineStr">
        <is>
          <t>Tomas Arsov</t>
        </is>
      </c>
      <c r="E12625" t="n">
        <v>56.97</v>
      </c>
      <c r="F12625" t="n">
        <v>1</v>
      </c>
      <c r="G12625" t="n">
        <v>5</v>
      </c>
      <c r="H12625" s="5">
        <f>HYPERLINK("https://api.qogita.com/variants/link/8594199040838/", "View Product")</f>
        <v/>
      </c>
    </row>
    <row r="12626">
      <c r="A12626" t="inlineStr">
        <is>
          <t>8594209100132</t>
        </is>
      </c>
      <c r="B12626" t="inlineStr">
        <is>
          <t>Palsar 7 Black Obsidian Jade Face Roller</t>
        </is>
      </c>
      <c r="C12626" t="inlineStr">
        <is>
          <t>Facial Massage</t>
        </is>
      </c>
      <c r="D12626" t="inlineStr">
        <is>
          <t>Palisade</t>
        </is>
      </c>
      <c r="E12626" t="n">
        <v>15.71</v>
      </c>
      <c r="F12626" t="n">
        <v>1</v>
      </c>
      <c r="G12626" t="n">
        <v>3</v>
      </c>
      <c r="H12626" s="5">
        <f>HYPERLINK("https://api.qogita.com/variants/link/8594209100132/", "View Product")</f>
        <v/>
      </c>
    </row>
    <row r="12627">
      <c r="A12627" t="inlineStr">
        <is>
          <t>8594209100149</t>
        </is>
      </c>
      <c r="B12627" t="inlineStr">
        <is>
          <t>Rose Guasha Massage Plate</t>
        </is>
      </c>
      <c r="C12627" t="inlineStr">
        <is>
          <t>Facial Massage</t>
        </is>
      </c>
      <c r="D12627" t="inlineStr">
        <is>
          <t>Palsar 7</t>
        </is>
      </c>
      <c r="E12627" t="n">
        <v>17</v>
      </c>
      <c r="F12627" t="n">
        <v>1</v>
      </c>
      <c r="G12627" t="n">
        <v>10</v>
      </c>
      <c r="H12627" s="5">
        <f>HYPERLINK("https://api.qogita.com/variants/link/8594209100149/", "View Product")</f>
        <v/>
      </c>
    </row>
    <row r="12628">
      <c r="A12628" t="inlineStr">
        <is>
          <t>8594209100156</t>
        </is>
      </c>
      <c r="B12628" t="inlineStr">
        <is>
          <t>Palsar 7 Face Roller</t>
        </is>
      </c>
      <c r="C12628" t="inlineStr">
        <is>
          <t>Facial Massage</t>
        </is>
      </c>
      <c r="D12628" t="inlineStr">
        <is>
          <t>Palisade</t>
        </is>
      </c>
      <c r="E12628" t="n">
        <v>22.12</v>
      </c>
      <c r="F12628" t="n">
        <v>1</v>
      </c>
      <c r="G12628" t="n">
        <v>6</v>
      </c>
      <c r="H12628" s="5">
        <f>HYPERLINK("https://api.qogita.com/variants/link/8594209100156/", "View Product")</f>
        <v/>
      </c>
    </row>
    <row r="12629">
      <c r="A12629" t="inlineStr">
        <is>
          <t>8594209100163</t>
        </is>
      </c>
      <c r="B12629" t="inlineStr">
        <is>
          <t>Palsar 7 Rose Quartz Jade Roller &amp; Gua Sha Set Massage Roller And Gua Sha Rose Plate</t>
        </is>
      </c>
      <c r="C12629" t="inlineStr">
        <is>
          <t>Facial Massage</t>
        </is>
      </c>
      <c r="D12629" t="inlineStr">
        <is>
          <t>Palisade</t>
        </is>
      </c>
      <c r="E12629" t="n">
        <v>30.77</v>
      </c>
      <c r="F12629" t="n">
        <v>1</v>
      </c>
      <c r="G12629" t="n">
        <v>3</v>
      </c>
      <c r="H12629" s="5">
        <f>HYPERLINK("https://api.qogita.com/variants/link/8594209100163/", "View Product")</f>
        <v/>
      </c>
    </row>
    <row r="12630">
      <c r="A12630" t="inlineStr">
        <is>
          <t>8594209100194</t>
        </is>
      </c>
      <c r="B12630" t="inlineStr">
        <is>
          <t>Palsar 7 Green Aventurine Jade Roller &amp; Gua Sha Set Massage Roller And Plate For Skincare</t>
        </is>
      </c>
      <c r="C12630" t="inlineStr">
        <is>
          <t>Facial Massage</t>
        </is>
      </c>
      <c r="D12630" t="inlineStr">
        <is>
          <t>Palisade</t>
        </is>
      </c>
      <c r="E12630" t="n">
        <v>36</v>
      </c>
      <c r="F12630" t="n">
        <v>1</v>
      </c>
      <c r="G12630" t="n">
        <v>4</v>
      </c>
      <c r="H12630" s="5">
        <f>HYPERLINK("https://api.qogita.com/variants/link/8594209100194/", "View Product")</f>
        <v/>
      </c>
    </row>
    <row r="12631">
      <c r="A12631" t="inlineStr">
        <is>
          <t>8594209100231</t>
        </is>
      </c>
      <c r="B12631" t="inlineStr">
        <is>
          <t>Xiuyan Jade Guasha Massage Plate</t>
        </is>
      </c>
      <c r="C12631" t="inlineStr">
        <is>
          <t>Facial Massage</t>
        </is>
      </c>
      <c r="D12631" t="inlineStr">
        <is>
          <t>Palsar 7</t>
        </is>
      </c>
      <c r="E12631" t="n">
        <v>10.23</v>
      </c>
      <c r="F12631" t="n">
        <v>1</v>
      </c>
      <c r="G12631" t="n">
        <v>5</v>
      </c>
      <c r="H12631" s="5">
        <f>HYPERLINK("https://api.qogita.com/variants/link/8594209100231/", "View Product")</f>
        <v/>
      </c>
    </row>
    <row r="12632">
      <c r="A12632" t="inlineStr">
        <is>
          <t>8594209100422</t>
        </is>
      </c>
      <c r="B12632" t="inlineStr">
        <is>
          <t>Galvanic Facial Iron 5-in-1</t>
        </is>
      </c>
      <c r="C12632" t="inlineStr">
        <is>
          <t>Facial Massage</t>
        </is>
      </c>
      <c r="D12632" t="inlineStr">
        <is>
          <t>‎- Unknown</t>
        </is>
      </c>
      <c r="E12632" t="n">
        <v>39.85</v>
      </c>
      <c r="F12632" t="n">
        <v>1</v>
      </c>
      <c r="G12632" t="n">
        <v>17</v>
      </c>
      <c r="H12632" s="5">
        <f>HYPERLINK("https://api.qogita.com/variants/link/8594209100422/", "View Product")</f>
        <v/>
      </c>
    </row>
    <row r="12633">
      <c r="A12633" t="inlineStr">
        <is>
          <t>8595003102902</t>
        </is>
      </c>
      <c r="B12633" t="inlineStr">
        <is>
          <t>Dermacol Nourishing Night Cream Natural Almond 50 Ml For Dry And Sensitive Skin</t>
        </is>
      </c>
      <c r="C12633" t="inlineStr">
        <is>
          <t>Night Cream</t>
        </is>
      </c>
      <c r="D12633" t="inlineStr">
        <is>
          <t>Dermacol</t>
        </is>
      </c>
      <c r="E12633" t="n">
        <v>4.19</v>
      </c>
      <c r="F12633" t="n">
        <v>1</v>
      </c>
      <c r="G12633" t="n">
        <v>8</v>
      </c>
      <c r="H12633" s="5">
        <f>HYPERLINK("https://api.qogita.com/variants/link/8595003102902/", "View Product")</f>
        <v/>
      </c>
    </row>
    <row r="12634">
      <c r="A12634" t="inlineStr">
        <is>
          <t>8595003104234</t>
        </is>
      </c>
      <c r="B12634" t="inlineStr">
        <is>
          <t>Dermacol Fresh Shoes Spray Antiperspirant For Shoes 130ml</t>
        </is>
      </c>
      <c r="C12634" t="inlineStr">
        <is>
          <t>Foot Spray</t>
        </is>
      </c>
      <c r="D12634" t="inlineStr">
        <is>
          <t>Dermacol</t>
        </is>
      </c>
      <c r="E12634" t="n">
        <v>4.85</v>
      </c>
      <c r="F12634" t="n">
        <v>1</v>
      </c>
      <c r="G12634" t="n">
        <v>5</v>
      </c>
      <c r="H12634" s="5">
        <f>HYPERLINK("https://api.qogita.com/variants/link/8595003104234/", "View Product")</f>
        <v/>
      </c>
    </row>
    <row r="12635">
      <c r="A12635" t="inlineStr">
        <is>
          <t>8595003107082</t>
        </is>
      </c>
      <c r="B12635" t="inlineStr">
        <is>
          <t>Dermacol Aroma Ritual Belgian Chocolate Hand Cream</t>
        </is>
      </c>
      <c r="C12635" t="inlineStr">
        <is>
          <t>Hand Cream</t>
        </is>
      </c>
      <c r="D12635" t="inlineStr">
        <is>
          <t>Dermacol</t>
        </is>
      </c>
      <c r="E12635" t="n">
        <v>3.26</v>
      </c>
      <c r="F12635" t="n">
        <v>1</v>
      </c>
      <c r="G12635" t="n">
        <v>3</v>
      </c>
      <c r="H12635" s="5">
        <f>HYPERLINK("https://api.qogita.com/variants/link/8595003107082/", "View Product")</f>
        <v/>
      </c>
    </row>
    <row r="12636">
      <c r="A12636" t="inlineStr">
        <is>
          <t>8595003108393</t>
        </is>
      </c>
      <c r="B12636" t="inlineStr">
        <is>
          <t>Dermacol Hyaluron Therapy 3d Wrinkle Night Filler Cream - 50ml</t>
        </is>
      </c>
      <c r="C12636" t="inlineStr">
        <is>
          <t>Night Cream</t>
        </is>
      </c>
      <c r="D12636" t="inlineStr">
        <is>
          <t>Dermacol</t>
        </is>
      </c>
      <c r="E12636" t="n">
        <v>8.890000000000001</v>
      </c>
      <c r="F12636" t="n">
        <v>1</v>
      </c>
      <c r="G12636" t="n">
        <v>14</v>
      </c>
      <c r="H12636" s="5">
        <f>HYPERLINK("https://api.qogita.com/variants/link/8595003108393/", "View Product")</f>
        <v/>
      </c>
    </row>
    <row r="12637">
      <c r="A12637" t="inlineStr">
        <is>
          <t>8595003108430</t>
        </is>
      </c>
      <c r="B12637" t="inlineStr">
        <is>
          <t>Dermacol Hyaluron Therapy 3d Intensive Hydrating Mask - 2x8g</t>
        </is>
      </c>
      <c r="C12637" t="inlineStr">
        <is>
          <t>Hydrating Mask</t>
        </is>
      </c>
      <c r="D12637" t="inlineStr">
        <is>
          <t>Dermacol</t>
        </is>
      </c>
      <c r="E12637" t="n">
        <v>3.28</v>
      </c>
      <c r="F12637" t="n">
        <v>1</v>
      </c>
      <c r="G12637" t="n">
        <v>12</v>
      </c>
      <c r="H12637" s="5">
        <f>HYPERLINK("https://api.qogita.com/variants/link/8595003108430/", "View Product")</f>
        <v/>
      </c>
    </row>
    <row r="12638">
      <c r="A12638" t="inlineStr">
        <is>
          <t>8595003108874</t>
        </is>
      </c>
      <c r="B12638" t="inlineStr">
        <is>
          <t>Dermacol Bt Cell Intensive Lifting &amp; Remodeling Care Serum 30ml</t>
        </is>
      </c>
      <c r="C12638" t="inlineStr">
        <is>
          <t>Anti-Aging Serum</t>
        </is>
      </c>
      <c r="D12638" t="inlineStr">
        <is>
          <t>Dermacol</t>
        </is>
      </c>
      <c r="E12638" t="n">
        <v>12.41</v>
      </c>
      <c r="F12638" t="n">
        <v>1</v>
      </c>
      <c r="G12638" t="n">
        <v>1</v>
      </c>
      <c r="H12638" s="5">
        <f>HYPERLINK("https://api.qogita.com/variants/link/8595003108874/", "View Product")</f>
        <v/>
      </c>
    </row>
    <row r="12639">
      <c r="A12639" t="inlineStr">
        <is>
          <t>8595003109963</t>
        </is>
      </c>
      <c r="B12639" t="inlineStr">
        <is>
          <t>Dermacol Black Magic Detox &amp; Pore Purifying Peel-Off Mask 150ml</t>
        </is>
      </c>
      <c r="C12639" t="inlineStr">
        <is>
          <t>Purifying Mask</t>
        </is>
      </c>
      <c r="D12639" t="inlineStr">
        <is>
          <t>Dermacol</t>
        </is>
      </c>
      <c r="E12639" t="n">
        <v>6.92</v>
      </c>
      <c r="F12639" t="n">
        <v>1</v>
      </c>
      <c r="G12639" t="n">
        <v>10</v>
      </c>
      <c r="H12639" s="5">
        <f>HYPERLINK("https://api.qogita.com/variants/link/8595003109963/", "View Product")</f>
        <v/>
      </c>
    </row>
    <row r="12640">
      <c r="A12640" t="inlineStr">
        <is>
          <t>8595003113359</t>
        </is>
      </c>
      <c r="B12640" t="inlineStr">
        <is>
          <t>Dermacol Honey Pomelo Neroli Eau De Parfum 50 Ml</t>
        </is>
      </c>
      <c r="C12640" t="inlineStr">
        <is>
          <t>Eau De Parfum</t>
        </is>
      </c>
      <c r="D12640" t="inlineStr">
        <is>
          <t>Dermacol</t>
        </is>
      </c>
      <c r="E12640" t="n">
        <v>14.96</v>
      </c>
      <c r="F12640" t="n">
        <v>1</v>
      </c>
      <c r="G12640" t="n">
        <v>3</v>
      </c>
      <c r="H12640" s="5">
        <f>HYPERLINK("https://api.qogita.com/variants/link/8595003113359/", "View Product")</f>
        <v/>
      </c>
    </row>
    <row r="12641">
      <c r="A12641" t="inlineStr">
        <is>
          <t>8595003113809</t>
        </is>
      </c>
      <c r="B12641" t="inlineStr">
        <is>
          <t>Dermacol Love My Body Cellulite &amp; Stretch Marks Defense Balm 150ml</t>
        </is>
      </c>
      <c r="C12641" t="inlineStr">
        <is>
          <t>Anti-Cellulite</t>
        </is>
      </c>
      <c r="D12641" t="inlineStr">
        <is>
          <t>Dermacol</t>
        </is>
      </c>
      <c r="E12641" t="n">
        <v>7.15</v>
      </c>
      <c r="F12641" t="n">
        <v>1</v>
      </c>
      <c r="G12641" t="n">
        <v>7</v>
      </c>
      <c r="H12641" s="5">
        <f>HYPERLINK("https://api.qogita.com/variants/link/8595003113809/", "View Product")</f>
        <v/>
      </c>
    </row>
    <row r="12642">
      <c r="A12642" t="inlineStr">
        <is>
          <t>8595003114769</t>
        </is>
      </c>
      <c r="B12642" t="inlineStr">
        <is>
          <t>Dermacol Longwear Makeup Setting Spray - Long-Lasting, Smudge-Proof &amp; Transfer</t>
        </is>
      </c>
      <c r="C12642" t="inlineStr">
        <is>
          <t>Setting Spray</t>
        </is>
      </c>
      <c r="D12642" t="inlineStr">
        <is>
          <t>Dermacol</t>
        </is>
      </c>
      <c r="E12642" t="n">
        <v>6.33</v>
      </c>
      <c r="F12642" t="n">
        <v>1</v>
      </c>
      <c r="G12642" t="n">
        <v>17</v>
      </c>
      <c r="H12642" s="5">
        <f>HYPERLINK("https://api.qogita.com/variants/link/8595003114769/", "View Product")</f>
        <v/>
      </c>
    </row>
    <row r="12643">
      <c r="A12643" t="inlineStr">
        <is>
          <t>8595003117739</t>
        </is>
      </c>
      <c r="B12643" t="inlineStr">
        <is>
          <t>After Sun Hydrating and Cooling Gel 150ml</t>
        </is>
      </c>
      <c r="C12643" t="inlineStr">
        <is>
          <t>Aftersun</t>
        </is>
      </c>
      <c r="D12643" t="inlineStr">
        <is>
          <t>Dermacol</t>
        </is>
      </c>
      <c r="E12643" t="n">
        <v>5.29</v>
      </c>
      <c r="F12643" t="n">
        <v>1</v>
      </c>
      <c r="G12643" t="n">
        <v>5</v>
      </c>
      <c r="H12643" s="5">
        <f>HYPERLINK("https://api.qogita.com/variants/link/8595003117739/", "View Product")</f>
        <v/>
      </c>
    </row>
    <row r="12644">
      <c r="A12644" t="inlineStr">
        <is>
          <t>8595003118064</t>
        </is>
      </c>
      <c r="B12644" t="inlineStr">
        <is>
          <t>Body Peeling With Coconut Oil Sun Body Scrub 200g</t>
        </is>
      </c>
      <c r="C12644" t="inlineStr">
        <is>
          <t>Body Scrub &amp; Peeling</t>
        </is>
      </c>
      <c r="D12644" t="inlineStr">
        <is>
          <t>Dermacol</t>
        </is>
      </c>
      <c r="E12644" t="n">
        <v>5.67</v>
      </c>
      <c r="F12644" t="n">
        <v>1</v>
      </c>
      <c r="G12644" t="n">
        <v>13</v>
      </c>
      <c r="H12644" s="5">
        <f>HYPERLINK("https://api.qogita.com/variants/link/8595003118064/", "View Product")</f>
        <v/>
      </c>
    </row>
    <row r="12645">
      <c r="A12645" t="inlineStr">
        <is>
          <t>8595003118637</t>
        </is>
      </c>
      <c r="B12645" t="inlineStr">
        <is>
          <t>Dermacol Cosmetic Brush Cleanser Cleaning Solution For Cosmetic Brushes 100 Ml</t>
        </is>
      </c>
      <c r="C12645" t="inlineStr">
        <is>
          <t>Brush Cleaner</t>
        </is>
      </c>
      <c r="D12645" t="inlineStr">
        <is>
          <t>Dermacol</t>
        </is>
      </c>
      <c r="E12645" t="n">
        <v>4.85</v>
      </c>
      <c r="F12645" t="n">
        <v>1</v>
      </c>
      <c r="G12645" t="n">
        <v>4</v>
      </c>
      <c r="H12645" s="5">
        <f>HYPERLINK("https://api.qogita.com/variants/link/8595003118637/", "View Product")</f>
        <v/>
      </c>
    </row>
    <row r="12646">
      <c r="A12646" t="inlineStr">
        <is>
          <t>8595003120777</t>
        </is>
      </c>
      <c r="B12646" t="inlineStr">
        <is>
          <t>Dermacol Freesia Flower Shower Cream 200 Ml</t>
        </is>
      </c>
      <c r="C12646" t="inlineStr">
        <is>
          <t>Shower Gel</t>
        </is>
      </c>
      <c r="D12646" t="inlineStr">
        <is>
          <t>Dermacol</t>
        </is>
      </c>
      <c r="E12646" t="n">
        <v>4.85</v>
      </c>
      <c r="F12646" t="n">
        <v>1</v>
      </c>
      <c r="G12646" t="n">
        <v>6</v>
      </c>
      <c r="H12646" s="5">
        <f>HYPERLINK("https://api.qogita.com/variants/link/8595003120777/", "View Product")</f>
        <v/>
      </c>
    </row>
    <row r="12647">
      <c r="A12647" t="inlineStr">
        <is>
          <t>8595003120975</t>
        </is>
      </c>
      <c r="B12647" t="inlineStr">
        <is>
          <t>Dermacol Hand and Nail Cream Ideal for Women</t>
        </is>
      </c>
      <c r="C12647" t="inlineStr">
        <is>
          <t>Hand Cream</t>
        </is>
      </c>
      <c r="D12647" t="inlineStr">
        <is>
          <t>Dermacol</t>
        </is>
      </c>
      <c r="E12647" t="n">
        <v>2.78</v>
      </c>
      <c r="F12647" t="n">
        <v>1</v>
      </c>
      <c r="G12647" t="n">
        <v>5</v>
      </c>
      <c r="H12647" s="5">
        <f>HYPERLINK("https://api.qogita.com/variants/link/8595003120975/", "View Product")</f>
        <v/>
      </c>
    </row>
    <row r="12648">
      <c r="A12648" t="inlineStr">
        <is>
          <t>8595003121132</t>
        </is>
      </c>
      <c r="B12648" t="inlineStr">
        <is>
          <t>Dermacol Detoxifying Face And Lip Peeling 50 G</t>
        </is>
      </c>
      <c r="C12648" t="inlineStr">
        <is>
          <t>Facial Scrub &amp; Peeling</t>
        </is>
      </c>
      <c r="D12648" t="inlineStr">
        <is>
          <t>Dermacol</t>
        </is>
      </c>
      <c r="E12648" t="n">
        <v>4.19</v>
      </c>
      <c r="F12648" t="n">
        <v>1</v>
      </c>
      <c r="G12648" t="n">
        <v>15</v>
      </c>
      <c r="H12648" s="5">
        <f>HYPERLINK("https://api.qogita.com/variants/link/8595003121132/", "View Product")</f>
        <v/>
      </c>
    </row>
    <row r="12649">
      <c r="A12649" t="inlineStr">
        <is>
          <t>8595003121514</t>
        </is>
      </c>
      <c r="B12649" t="inlineStr">
        <is>
          <t>Dermacol Collagen Lifting Metallic Peeloff Mask Facial Mask</t>
        </is>
      </c>
      <c r="C12649" t="inlineStr">
        <is>
          <t>Anti-Aging Mask</t>
        </is>
      </c>
      <c r="D12649" t="inlineStr">
        <is>
          <t>Dermacol</t>
        </is>
      </c>
      <c r="E12649" t="n">
        <v>2.89</v>
      </c>
      <c r="F12649" t="n">
        <v>1</v>
      </c>
      <c r="G12649" t="n">
        <v>9</v>
      </c>
      <c r="H12649" s="5">
        <f>HYPERLINK("https://api.qogita.com/variants/link/8595003121514/", "View Product")</f>
        <v/>
      </c>
    </row>
    <row r="12650">
      <c r="A12650" t="inlineStr">
        <is>
          <t>8595003122740</t>
        </is>
      </c>
      <c r="B12650" t="inlineStr">
        <is>
          <t>Dermacol Hair Ritual Super Blonde Conditioner - 200ml</t>
        </is>
      </c>
      <c r="C12650" t="inlineStr">
        <is>
          <t>Conditioner</t>
        </is>
      </c>
      <c r="D12650" t="inlineStr">
        <is>
          <t>Dermacol</t>
        </is>
      </c>
      <c r="E12650" t="n">
        <v>4.8</v>
      </c>
      <c r="F12650" t="n">
        <v>1</v>
      </c>
      <c r="G12650" t="n">
        <v>11</v>
      </c>
      <c r="H12650" s="5">
        <f>HYPERLINK("https://api.qogita.com/variants/link/8595003122740/", "View Product")</f>
        <v/>
      </c>
    </row>
    <row r="12651">
      <c r="A12651" t="inlineStr">
        <is>
          <t>8595003124294</t>
        </is>
      </c>
      <c r="B12651" t="inlineStr">
        <is>
          <t>Dermacol Nourishing Almond Face Mask 100 Ml</t>
        </is>
      </c>
      <c r="C12651" t="inlineStr">
        <is>
          <t>Hydrating Mask</t>
        </is>
      </c>
      <c r="D12651" t="inlineStr">
        <is>
          <t>Dermacol</t>
        </is>
      </c>
      <c r="E12651" t="n">
        <v>4.19</v>
      </c>
      <c r="F12651" t="n">
        <v>1</v>
      </c>
      <c r="G12651" t="n">
        <v>12</v>
      </c>
      <c r="H12651" s="5">
        <f>HYPERLINK("https://api.qogita.com/variants/link/8595003124294/", "View Product")</f>
        <v/>
      </c>
    </row>
    <row r="12652">
      <c r="A12652" t="inlineStr">
        <is>
          <t>8595003124706</t>
        </is>
      </c>
      <c r="B12652" t="inlineStr">
        <is>
          <t>Dermacol Cannabis Shower Gel 200 ml</t>
        </is>
      </c>
      <c r="C12652" t="inlineStr">
        <is>
          <t>Shower Gel</t>
        </is>
      </c>
      <c r="D12652" t="inlineStr">
        <is>
          <t>Dermacol</t>
        </is>
      </c>
      <c r="E12652" t="n">
        <v>4.13</v>
      </c>
      <c r="F12652" t="n">
        <v>1</v>
      </c>
      <c r="G12652" t="n">
        <v>6</v>
      </c>
      <c r="H12652" s="5">
        <f>HYPERLINK("https://api.qogita.com/variants/link/8595003124706/", "View Product")</f>
        <v/>
      </c>
    </row>
    <row r="12653">
      <c r="A12653" t="inlineStr">
        <is>
          <t>8595003125352</t>
        </is>
      </c>
      <c r="B12653" t="inlineStr">
        <is>
          <t>Dermacol Hair Ritual Shampoo Red Hair &amp; Grow Effect - 250ml</t>
        </is>
      </c>
      <c r="C12653" t="inlineStr">
        <is>
          <t>Shampoo</t>
        </is>
      </c>
      <c r="D12653" t="inlineStr">
        <is>
          <t>Dermacol</t>
        </is>
      </c>
      <c r="E12653" t="n">
        <v>4.8</v>
      </c>
      <c r="F12653" t="n">
        <v>1</v>
      </c>
      <c r="G12653" t="n">
        <v>10</v>
      </c>
      <c r="H12653" s="5">
        <f>HYPERLINK("https://api.qogita.com/variants/link/8595003125352/", "View Product")</f>
        <v/>
      </c>
    </row>
    <row r="12654">
      <c r="A12654" t="inlineStr">
        <is>
          <t>8595003126519</t>
        </is>
      </c>
      <c r="B12654" t="inlineStr">
        <is>
          <t>Dermacol Gift Set Of Body Care Grapes With Lime Aroma Ritual</t>
        </is>
      </c>
      <c r="C12654" t="inlineStr">
        <is>
          <t>Body Care Sets</t>
        </is>
      </c>
      <c r="D12654" t="inlineStr">
        <is>
          <t>Dermacol</t>
        </is>
      </c>
      <c r="E12654" t="n">
        <v>8.68</v>
      </c>
      <c r="F12654" t="n">
        <v>1</v>
      </c>
      <c r="G12654" t="n">
        <v>52</v>
      </c>
      <c r="H12654" s="5">
        <f>HYPERLINK("https://api.qogita.com/variants/link/8595003126519/", "View Product")</f>
        <v/>
      </c>
    </row>
    <row r="12655">
      <c r="A12655" t="inlineStr">
        <is>
          <t>8595003126991</t>
        </is>
      </c>
      <c r="B12655" t="inlineStr">
        <is>
          <t>Dermacol Foundation Powder Brush D52 Rose Gold Cosmetic Brush For Makeup And Powder With Case</t>
        </is>
      </c>
      <c r="C12655" t="inlineStr">
        <is>
          <t>Powder Brushes</t>
        </is>
      </c>
      <c r="D12655" t="inlineStr">
        <is>
          <t>Dermacol</t>
        </is>
      </c>
      <c r="E12655" t="n">
        <v>6.66</v>
      </c>
      <c r="F12655" t="n">
        <v>1</v>
      </c>
      <c r="G12655" t="n">
        <v>14</v>
      </c>
      <c r="H12655" s="5">
        <f>HYPERLINK("https://api.qogita.com/variants/link/8595003126991/", "View Product")</f>
        <v/>
      </c>
    </row>
    <row r="12656">
      <c r="A12656" t="inlineStr">
        <is>
          <t>8595003127219</t>
        </is>
      </c>
      <c r="B12656" t="inlineStr">
        <is>
          <t>Cosmetic Eye Brush Rose Gold D82</t>
        </is>
      </c>
      <c r="C12656" t="inlineStr">
        <is>
          <t>Eyeshadow Brushes</t>
        </is>
      </c>
      <c r="D12656" t="inlineStr">
        <is>
          <t>Dermacol</t>
        </is>
      </c>
      <c r="E12656" t="n">
        <v>4.43</v>
      </c>
      <c r="F12656" t="n">
        <v>1</v>
      </c>
      <c r="G12656" t="n">
        <v>4</v>
      </c>
      <c r="H12656" s="5">
        <f>HYPERLINK("https://api.qogita.com/variants/link/8595003127219/", "View Product")</f>
        <v/>
      </c>
    </row>
    <row r="12657">
      <c r="A12657" t="inlineStr">
        <is>
          <t>8595003127271</t>
        </is>
      </c>
      <c r="B12657" t="inlineStr">
        <is>
          <t>Cosmetic Lip Brush Rose Gold D60</t>
        </is>
      </c>
      <c r="C12657" t="inlineStr">
        <is>
          <t>Lip Brushes</t>
        </is>
      </c>
      <c r="D12657" t="inlineStr">
        <is>
          <t>Dermacol</t>
        </is>
      </c>
      <c r="E12657" t="n">
        <v>5.57</v>
      </c>
      <c r="F12657" t="n">
        <v>1</v>
      </c>
      <c r="G12657" t="n">
        <v>2</v>
      </c>
      <c r="H12657" s="5">
        <f>HYPERLINK("https://api.qogita.com/variants/link/8595003127271/", "View Product")</f>
        <v/>
      </c>
    </row>
    <row r="12658">
      <c r="A12658" t="inlineStr">
        <is>
          <t>8595003127295</t>
        </is>
      </c>
      <c r="B12658" t="inlineStr">
        <is>
          <t>Dolce Identita perfumed water 50 ml - Fragrance</t>
        </is>
      </c>
      <c r="C12658" t="inlineStr">
        <is>
          <t>Eau De Parfum</t>
        </is>
      </c>
      <c r="D12658" t="inlineStr">
        <is>
          <t>Dolce</t>
        </is>
      </c>
      <c r="E12658" t="n">
        <v>14.67</v>
      </c>
      <c r="F12658" t="n">
        <v>1</v>
      </c>
      <c r="G12658" t="n">
        <v>2</v>
      </c>
      <c r="H12658" s="5">
        <f>HYPERLINK("https://api.qogita.com/variants/link/8595003127295/", "View Product")</f>
        <v/>
      </c>
    </row>
    <row r="12659">
      <c r="A12659" t="inlineStr">
        <is>
          <t>8595003128407</t>
        </is>
      </c>
      <c r="B12659" t="inlineStr">
        <is>
          <t>Dermacol Collagen Intensive Firming 1ml</t>
        </is>
      </c>
      <c r="C12659" t="inlineStr">
        <is>
          <t>Collagen Serum</t>
        </is>
      </c>
      <c r="D12659" t="inlineStr">
        <is>
          <t>Dermacol</t>
        </is>
      </c>
      <c r="E12659" t="n">
        <v>3.39</v>
      </c>
      <c r="F12659" t="n">
        <v>1</v>
      </c>
      <c r="G12659" t="n">
        <v>10</v>
      </c>
      <c r="H12659" s="5">
        <f>HYPERLINK("https://api.qogita.com/variants/link/8595003128407/", "View Product")</f>
        <v/>
      </c>
    </row>
    <row r="12660">
      <c r="A12660" t="inlineStr">
        <is>
          <t>8595003129046</t>
        </is>
      </c>
      <c r="B12660" t="inlineStr">
        <is>
          <t>Dermacol Exfoliating Feet Mask In Socks</t>
        </is>
      </c>
      <c r="C12660" t="inlineStr">
        <is>
          <t>Foot Mask</t>
        </is>
      </c>
      <c r="D12660" t="inlineStr">
        <is>
          <t>Dermacol</t>
        </is>
      </c>
      <c r="E12660" t="n">
        <v>5.74</v>
      </c>
      <c r="F12660" t="n">
        <v>1</v>
      </c>
      <c r="G12660" t="n">
        <v>7</v>
      </c>
      <c r="H12660" s="5">
        <f>HYPERLINK("https://api.qogita.com/variants/link/8595003129046/", "View Product")</f>
        <v/>
      </c>
    </row>
    <row r="12661">
      <c r="A12661" t="inlineStr">
        <is>
          <t>8595003129688</t>
        </is>
      </c>
      <c r="B12661" t="inlineStr">
        <is>
          <t>Gift set of Men Agent Dotek Gentleman cosmetics</t>
        </is>
      </c>
      <c r="C12661" t="inlineStr">
        <is>
          <t>Shaving Sets</t>
        </is>
      </c>
      <c r="D12661" t="inlineStr">
        <is>
          <t>Dermacol</t>
        </is>
      </c>
      <c r="E12661" t="n">
        <v>14.43</v>
      </c>
      <c r="F12661" t="n">
        <v>1</v>
      </c>
      <c r="G12661" t="n">
        <v>52</v>
      </c>
      <c r="H12661" s="5">
        <f>HYPERLINK("https://api.qogita.com/variants/link/8595003129688/", "View Product")</f>
        <v/>
      </c>
    </row>
    <row r="12662">
      <c r="A12662" t="inlineStr">
        <is>
          <t>8595003129848</t>
        </is>
      </c>
      <c r="B12662" t="inlineStr">
        <is>
          <t>Dermacol Gift Set For Women Magnolia Flower Care Ii</t>
        </is>
      </c>
      <c r="C12662" t="inlineStr">
        <is>
          <t>Facial Care Sets</t>
        </is>
      </c>
      <c r="D12662" t="inlineStr">
        <is>
          <t>Dermacol</t>
        </is>
      </c>
      <c r="E12662" t="n">
        <v>6.33</v>
      </c>
      <c r="F12662" t="n">
        <v>1</v>
      </c>
      <c r="G12662" t="n">
        <v>47</v>
      </c>
      <c r="H12662" s="5">
        <f>HYPERLINK("https://api.qogita.com/variants/link/8595003129848/", "View Product")</f>
        <v/>
      </c>
    </row>
    <row r="12663">
      <c r="A12663" t="inlineStr">
        <is>
          <t>8595003131377</t>
        </is>
      </c>
      <c r="B12663" t="inlineStr">
        <is>
          <t>Dermacol Bronze Highlighter Palette 9 Grams</t>
        </is>
      </c>
      <c r="C12663" t="inlineStr">
        <is>
          <t>Highlighter</t>
        </is>
      </c>
      <c r="D12663" t="inlineStr">
        <is>
          <t>Dermacol</t>
        </is>
      </c>
      <c r="E12663" t="n">
        <v>10.87</v>
      </c>
      <c r="F12663" t="n">
        <v>1</v>
      </c>
      <c r="G12663" t="n">
        <v>4</v>
      </c>
      <c r="H12663" s="5">
        <f>HYPERLINK("https://api.qogita.com/variants/link/8595003131377/", "View Product")</f>
        <v/>
      </c>
    </row>
    <row r="12664">
      <c r="A12664" t="inlineStr">
        <is>
          <t>8595003131902</t>
        </is>
      </c>
      <c r="B12664" t="inlineStr">
        <is>
          <t>Dermacol Bio Retinol Serum Facial Serum 30ml</t>
        </is>
      </c>
      <c r="C12664" t="inlineStr">
        <is>
          <t>Anti-Aging Serum</t>
        </is>
      </c>
      <c r="D12664" t="inlineStr">
        <is>
          <t>Dermacol</t>
        </is>
      </c>
      <c r="E12664" t="n">
        <v>8.130000000000001</v>
      </c>
      <c r="F12664" t="n">
        <v>1</v>
      </c>
      <c r="G12664" t="n">
        <v>14</v>
      </c>
      <c r="H12664" s="5">
        <f>HYPERLINK("https://api.qogita.com/variants/link/8595003131902/", "View Product")</f>
        <v/>
      </c>
    </row>
    <row r="12665">
      <c r="A12665" t="inlineStr">
        <is>
          <t>8595003132046</t>
        </is>
      </c>
      <c r="B12665" t="inlineStr">
        <is>
          <t>Dermacol Infinity Makeup and Corrector Super Coverage Photo-Friendly Waterproof SPF 15 04 Bronze</t>
        </is>
      </c>
      <c r="C12665" t="inlineStr">
        <is>
          <t>Foundation</t>
        </is>
      </c>
      <c r="D12665" t="inlineStr">
        <is>
          <t>Dermacol</t>
        </is>
      </c>
      <c r="E12665" t="n">
        <v>9.130000000000001</v>
      </c>
      <c r="F12665" t="n">
        <v>1</v>
      </c>
      <c r="G12665" t="n">
        <v>7</v>
      </c>
      <c r="H12665" s="5">
        <f>HYPERLINK("https://api.qogita.com/variants/link/8595003132046/", "View Product")</f>
        <v/>
      </c>
    </row>
    <row r="12666">
      <c r="A12666" t="inlineStr">
        <is>
          <t>8595003132442</t>
        </is>
      </c>
      <c r="B12666" t="inlineStr">
        <is>
          <t>Dermacol Protective Lotion To Accelerate Tanning Spf 20 Tan Booster - 200 Ml</t>
        </is>
      </c>
      <c r="C12666" t="inlineStr">
        <is>
          <t>Body Sun Protection</t>
        </is>
      </c>
      <c r="D12666" t="inlineStr">
        <is>
          <t>Dermacol</t>
        </is>
      </c>
      <c r="E12666" t="n">
        <v>10.87</v>
      </c>
      <c r="F12666" t="n">
        <v>1</v>
      </c>
      <c r="G12666" t="n">
        <v>8</v>
      </c>
      <c r="H12666" s="5">
        <f>HYPERLINK("https://api.qogita.com/variants/link/8595003132442/", "View Product")</f>
        <v/>
      </c>
    </row>
    <row r="12667">
      <c r="A12667" t="inlineStr">
        <is>
          <t>8595003134064</t>
        </is>
      </c>
      <c r="B12667" t="inlineStr">
        <is>
          <t>Dermacol Magnolia Gift Set</t>
        </is>
      </c>
      <c r="C12667" t="inlineStr">
        <is>
          <t>Facial Care Sets</t>
        </is>
      </c>
      <c r="D12667" t="inlineStr">
        <is>
          <t>Dermacol</t>
        </is>
      </c>
      <c r="E12667" t="n">
        <v>25.44</v>
      </c>
      <c r="F12667" t="n">
        <v>1</v>
      </c>
      <c r="G12667" t="n">
        <v>17</v>
      </c>
      <c r="H12667" s="5">
        <f>HYPERLINK("https://api.qogita.com/variants/link/8595003134064/", "View Product")</f>
        <v/>
      </c>
    </row>
    <row r="12668">
      <c r="A12668" t="inlineStr">
        <is>
          <t>8595003134101</t>
        </is>
      </c>
      <c r="B12668" t="inlineStr">
        <is>
          <t>Dermacol Men Agent Eternal Victory Care Set</t>
        </is>
      </c>
      <c r="C12668" t="inlineStr">
        <is>
          <t>Shaving Sets</t>
        </is>
      </c>
      <c r="D12668" t="inlineStr">
        <is>
          <t>Dermacol</t>
        </is>
      </c>
      <c r="E12668" t="n">
        <v>12.43</v>
      </c>
      <c r="F12668" t="n">
        <v>1</v>
      </c>
      <c r="G12668" t="n">
        <v>8</v>
      </c>
      <c r="H12668" s="5">
        <f>HYPERLINK("https://api.qogita.com/variants/link/8595003134101/", "View Product")</f>
        <v/>
      </c>
    </row>
    <row r="12669">
      <c r="A12669" t="inlineStr">
        <is>
          <t>8595003134125</t>
        </is>
      </c>
      <c r="B12669" t="inlineStr">
        <is>
          <t>Dermacol Men Agent Eternal Victory Skin Care Set</t>
        </is>
      </c>
      <c r="C12669" t="inlineStr">
        <is>
          <t>Face</t>
        </is>
      </c>
      <c r="D12669" t="inlineStr">
        <is>
          <t>Dermacol</t>
        </is>
      </c>
      <c r="E12669" t="n">
        <v>28.55</v>
      </c>
      <c r="F12669" t="n">
        <v>1</v>
      </c>
      <c r="G12669" t="n">
        <v>5</v>
      </c>
      <c r="H12669" s="5">
        <f>HYPERLINK("https://api.qogita.com/variants/link/8595003134125/", "View Product")</f>
        <v/>
      </c>
    </row>
    <row r="12670">
      <c r="A12670" t="inlineStr">
        <is>
          <t>8595003135535</t>
        </is>
      </c>
      <c r="B12670" t="inlineStr">
        <is>
          <t>Dermacol Rejuvenating Caviar Eye Cream Gold Elixir - 15 Ml</t>
        </is>
      </c>
      <c r="C12670" t="inlineStr">
        <is>
          <t>Eye Cream</t>
        </is>
      </c>
      <c r="D12670" t="inlineStr">
        <is>
          <t>Dermacol</t>
        </is>
      </c>
      <c r="E12670" t="n">
        <v>6.16</v>
      </c>
      <c r="F12670" t="n">
        <v>1</v>
      </c>
      <c r="G12670" t="n">
        <v>17</v>
      </c>
      <c r="H12670" s="5">
        <f>HYPERLINK("https://api.qogita.com/variants/link/8595003135535/", "View Product")</f>
        <v/>
      </c>
    </row>
    <row r="12671">
      <c r="A12671" t="inlineStr">
        <is>
          <t>8595003135542</t>
        </is>
      </c>
      <c r="B12671" t="inlineStr">
        <is>
          <t>Dermacol Gold Elixir Deep Rejuvenating Caviar Serum - 12 Ml</t>
        </is>
      </c>
      <c r="C12671" t="inlineStr">
        <is>
          <t>Anti-Aging Serum</t>
        </is>
      </c>
      <c r="D12671" t="inlineStr">
        <is>
          <t>Dermacol</t>
        </is>
      </c>
      <c r="E12671" t="n">
        <v>6.16</v>
      </c>
      <c r="F12671" t="n">
        <v>1</v>
      </c>
      <c r="G12671" t="n">
        <v>14</v>
      </c>
      <c r="H12671" s="5">
        <f>HYPERLINK("https://api.qogita.com/variants/link/8595003135542/", "View Product")</f>
        <v/>
      </c>
    </row>
    <row r="12672">
      <c r="A12672" t="inlineStr">
        <is>
          <t>8595003136679</t>
        </is>
      </c>
      <c r="B12672" t="inlineStr">
        <is>
          <t>Dermacol Regenerating And Soothing Ceramide Skin Serum - 30 Ml</t>
        </is>
      </c>
      <c r="C12672" t="inlineStr">
        <is>
          <t>Hydrating Serum</t>
        </is>
      </c>
      <c r="D12672" t="inlineStr">
        <is>
          <t>Dermacol</t>
        </is>
      </c>
      <c r="E12672" t="n">
        <v>8.130000000000001</v>
      </c>
      <c r="F12672" t="n">
        <v>1</v>
      </c>
      <c r="G12672" t="n">
        <v>15</v>
      </c>
      <c r="H12672" s="5">
        <f>HYPERLINK("https://api.qogita.com/variants/link/8595003136679/", "View Product")</f>
        <v/>
      </c>
    </row>
    <row r="12673">
      <c r="A12673" t="inlineStr">
        <is>
          <t>8595003917605</t>
        </is>
      </c>
      <c r="B12673" t="inlineStr">
        <is>
          <t>Dermacol Refreshing Eye Gold Gel - Reduces Dark Circles Under Eyes, 15ml</t>
        </is>
      </c>
      <c r="C12673" t="inlineStr">
        <is>
          <t>Eye Gel</t>
        </is>
      </c>
      <c r="D12673" t="inlineStr">
        <is>
          <t>Dermacol</t>
        </is>
      </c>
      <c r="E12673" t="n">
        <v>4.95</v>
      </c>
      <c r="F12673" t="n">
        <v>1</v>
      </c>
      <c r="G12673" t="n">
        <v>2</v>
      </c>
      <c r="H12673" s="5">
        <f>HYPERLINK("https://api.qogita.com/variants/link/8595003917605/", "View Product")</f>
        <v/>
      </c>
    </row>
    <row r="12674">
      <c r="A12674" t="inlineStr">
        <is>
          <t>8595017900099</t>
        </is>
      </c>
      <c r="B12674" t="inlineStr">
        <is>
          <t>Gabriella Salvete Tools Lipliner Brush Cosmetic Lip Brush</t>
        </is>
      </c>
      <c r="C12674" t="inlineStr">
        <is>
          <t>Lip Liner</t>
        </is>
      </c>
      <c r="D12674" t="inlineStr">
        <is>
          <t>Gabriella Salvete</t>
        </is>
      </c>
      <c r="E12674" t="n">
        <v>2.34</v>
      </c>
      <c r="F12674" t="n">
        <v>1</v>
      </c>
      <c r="G12674" t="n">
        <v>19</v>
      </c>
      <c r="H12674" s="5">
        <f>HYPERLINK("https://api.qogita.com/variants/link/8595017900099/", "View Product")</f>
        <v/>
      </c>
    </row>
    <row r="12675">
      <c r="A12675" t="inlineStr">
        <is>
          <t>8595017989391</t>
        </is>
      </c>
      <c r="B12675" t="inlineStr">
        <is>
          <t>Cocktails Nail Stickers with Various Designs</t>
        </is>
      </c>
      <c r="C12675" t="inlineStr">
        <is>
          <t>Artificial Nails &amp; Nail Decoration</t>
        </is>
      </c>
      <c r="D12675" t="inlineStr">
        <is>
          <t>Gabriella Salvete</t>
        </is>
      </c>
      <c r="E12675" t="n">
        <v>2.28</v>
      </c>
      <c r="F12675" t="n">
        <v>1</v>
      </c>
      <c r="G12675" t="n">
        <v>3</v>
      </c>
      <c r="H12675" s="5">
        <f>HYPERLINK("https://api.qogita.com/variants/link/8595017989391/", "View Product")</f>
        <v/>
      </c>
    </row>
    <row r="12676">
      <c r="A12676" t="inlineStr">
        <is>
          <t>8595017998164</t>
        </is>
      </c>
      <c r="B12676" t="inlineStr">
        <is>
          <t>GeLove UV LED Nail Polish 8 ml 19 Crush</t>
        </is>
      </c>
      <c r="C12676" t="inlineStr">
        <is>
          <t>Gel Polish</t>
        </is>
      </c>
      <c r="D12676" t="inlineStr">
        <is>
          <t>Gabriella Salvete</t>
        </is>
      </c>
      <c r="E12676" t="n">
        <v>9.56</v>
      </c>
      <c r="F12676" t="n">
        <v>1</v>
      </c>
      <c r="G12676" t="n">
        <v>5</v>
      </c>
      <c r="H12676" s="5">
        <f>HYPERLINK("https://api.qogita.com/variants/link/8595017998164/", "View Product")</f>
        <v/>
      </c>
    </row>
    <row r="12677">
      <c r="A12677" t="inlineStr">
        <is>
          <t>8595018001191</t>
        </is>
      </c>
      <c r="B12677" t="inlineStr">
        <is>
          <t>Gabriella Salvete Soul Matte Foundation/Concealer</t>
        </is>
      </c>
      <c r="C12677" t="inlineStr">
        <is>
          <t>Foundation</t>
        </is>
      </c>
      <c r="D12677" t="inlineStr">
        <is>
          <t>Gabriella Salvete</t>
        </is>
      </c>
      <c r="E12677" t="n">
        <v>7.44</v>
      </c>
      <c r="F12677" t="n">
        <v>1</v>
      </c>
      <c r="G12677" t="n">
        <v>3</v>
      </c>
      <c r="H12677" s="5">
        <f>HYPERLINK("https://api.qogita.com/variants/link/8595018001191/", "View Product")</f>
        <v/>
      </c>
    </row>
    <row r="12678">
      <c r="A12678" t="inlineStr">
        <is>
          <t>8595018001955</t>
        </is>
      </c>
      <c r="B12678" t="inlineStr">
        <is>
          <t>Gabriella Salvete Beveled Gab Monster Make-Up Sponge</t>
        </is>
      </c>
      <c r="C12678" t="inlineStr">
        <is>
          <t>Makeup Sponges</t>
        </is>
      </c>
      <c r="D12678" t="inlineStr">
        <is>
          <t>Gabriella Salvete</t>
        </is>
      </c>
      <c r="E12678" t="n">
        <v>3.78</v>
      </c>
      <c r="F12678" t="n">
        <v>1</v>
      </c>
      <c r="G12678" t="n">
        <v>21</v>
      </c>
      <c r="H12678" s="5">
        <f>HYPERLINK("https://api.qogita.com/variants/link/8595018001955/", "View Product")</f>
        <v/>
      </c>
    </row>
    <row r="12679">
      <c r="A12679" t="inlineStr">
        <is>
          <t>8595018002372</t>
        </is>
      </c>
      <c r="B12679" t="inlineStr">
        <is>
          <t>Gabriella Salvete Soul Matte Foundation</t>
        </is>
      </c>
      <c r="C12679" t="inlineStr">
        <is>
          <t>Foundation</t>
        </is>
      </c>
      <c r="D12679" t="inlineStr">
        <is>
          <t>Gabriella Salvete</t>
        </is>
      </c>
      <c r="E12679" t="n">
        <v>8.94</v>
      </c>
      <c r="F12679" t="n">
        <v>1</v>
      </c>
      <c r="G12679" t="n">
        <v>2</v>
      </c>
      <c r="H12679" s="5">
        <f>HYPERLINK("https://api.qogita.com/variants/link/8595018002372/", "View Product")</f>
        <v/>
      </c>
    </row>
    <row r="12680">
      <c r="A12680" t="inlineStr">
        <is>
          <t>8595059740257</t>
        </is>
      </c>
      <c r="B12680" t="inlineStr">
        <is>
          <t>Original Nourishing Shower Gel</t>
        </is>
      </c>
      <c r="C12680" t="inlineStr">
        <is>
          <t>Shower Gel</t>
        </is>
      </c>
      <c r="D12680" t="inlineStr">
        <is>
          <t>Lactovit</t>
        </is>
      </c>
      <c r="E12680" t="n">
        <v>3.74</v>
      </c>
      <c r="F12680" t="n">
        <v>1</v>
      </c>
      <c r="G12680" t="n">
        <v>7</v>
      </c>
      <c r="H12680" s="5">
        <f>HYPERLINK("https://api.qogita.com/variants/link/8595059740257/", "View Product")</f>
        <v/>
      </c>
    </row>
    <row r="12681">
      <c r="A12681" t="inlineStr">
        <is>
          <t>8595059740264</t>
        </is>
      </c>
      <c r="B12681" t="inlineStr">
        <is>
          <t>Lactovit Original Nourishing Shower Gel 500ml</t>
        </is>
      </c>
      <c r="C12681" t="inlineStr">
        <is>
          <t>Shower Gel</t>
        </is>
      </c>
      <c r="D12681" t="inlineStr">
        <is>
          <t>Lactovit</t>
        </is>
      </c>
      <c r="E12681" t="n">
        <v>4.78</v>
      </c>
      <c r="F12681" t="n">
        <v>1</v>
      </c>
      <c r="G12681" t="n">
        <v>7</v>
      </c>
      <c r="H12681" s="5">
        <f>HYPERLINK("https://api.qogita.com/variants/link/8595059740264/", "View Product")</f>
        <v/>
      </c>
    </row>
    <row r="12682">
      <c r="A12682" t="inlineStr">
        <is>
          <t>8595059740295</t>
        </is>
      </c>
      <c r="B12682" t="inlineStr">
        <is>
          <t>Lactovit Regenerative Shower Gel With Milk Proteins Lactourea</t>
        </is>
      </c>
      <c r="C12682" t="inlineStr">
        <is>
          <t>Shower Gel</t>
        </is>
      </c>
      <c r="D12682" t="inlineStr">
        <is>
          <t>Lactovit</t>
        </is>
      </c>
      <c r="E12682" t="n">
        <v>3.74</v>
      </c>
      <c r="F12682" t="n">
        <v>1</v>
      </c>
      <c r="G12682" t="n">
        <v>7</v>
      </c>
      <c r="H12682" s="5">
        <f>HYPERLINK("https://api.qogita.com/variants/link/8595059740295/", "View Product")</f>
        <v/>
      </c>
    </row>
    <row r="12683">
      <c r="A12683" t="inlineStr">
        <is>
          <t>8595111880006</t>
        </is>
      </c>
      <c r="B12683" t="inlineStr">
        <is>
          <t>Le Chaton Platine S Goat Colostrum Skin Rejuvenating Serum 30 G</t>
        </is>
      </c>
      <c r="C12683" t="inlineStr">
        <is>
          <t>Anti-Aging Serum</t>
        </is>
      </c>
      <c r="D12683" t="inlineStr">
        <is>
          <t>Le Chaton</t>
        </is>
      </c>
      <c r="E12683" t="n">
        <v>60.58</v>
      </c>
      <c r="F12683" t="n">
        <v>1</v>
      </c>
      <c r="G12683" t="n">
        <v>4</v>
      </c>
      <c r="H12683" s="5">
        <f>HYPERLINK("https://api.qogita.com/variants/link/8595111880006/", "View Product")</f>
        <v/>
      </c>
    </row>
    <row r="12684">
      <c r="A12684" t="inlineStr">
        <is>
          <t>8595148203588</t>
        </is>
      </c>
      <c r="B12684" t="inlineStr">
        <is>
          <t>Tepe Tuft Toothbrush - Single-Bundle Toothbrush For Cleaning</t>
        </is>
      </c>
      <c r="C12684" t="inlineStr">
        <is>
          <t>Toothbrushes &amp; Tongue Cleaners</t>
        </is>
      </c>
      <c r="D12684" t="inlineStr">
        <is>
          <t>Tepe</t>
        </is>
      </c>
      <c r="E12684" t="n">
        <v>2.28</v>
      </c>
      <c r="F12684" t="n">
        <v>1</v>
      </c>
      <c r="G12684" t="n">
        <v>3</v>
      </c>
      <c r="H12684" s="5">
        <f>HYPERLINK("https://api.qogita.com/variants/link/8595148203588/", "View Product")</f>
        <v/>
      </c>
    </row>
    <row r="12685">
      <c r="A12685" t="inlineStr">
        <is>
          <t>8595162103512</t>
        </is>
      </c>
      <c r="B12685" t="inlineStr">
        <is>
          <t>Black Manicure Set for Men Zipper 6 Piece Premium Line</t>
        </is>
      </c>
      <c r="C12685" t="inlineStr">
        <is>
          <t>Manicure Sets</t>
        </is>
      </c>
      <c r="D12685" t="inlineStr">
        <is>
          <t>Dukas</t>
        </is>
      </c>
      <c r="E12685" t="n">
        <v>26.45</v>
      </c>
      <c r="F12685" t="n">
        <v>1</v>
      </c>
      <c r="G12685" t="n">
        <v>6</v>
      </c>
      <c r="H12685" s="5">
        <f>HYPERLINK("https://api.qogita.com/variants/link/8595162103512/", "View Product")</f>
        <v/>
      </c>
    </row>
    <row r="12686">
      <c r="A12686" t="inlineStr">
        <is>
          <t>8595162103772</t>
        </is>
      </c>
      <c r="B12686" t="inlineStr">
        <is>
          <t>Dukas Family Manicure Set 10 Pieces</t>
        </is>
      </c>
      <c r="C12686" t="inlineStr">
        <is>
          <t>Manicure Sets</t>
        </is>
      </c>
      <c r="D12686" t="inlineStr">
        <is>
          <t>Ducal</t>
        </is>
      </c>
      <c r="E12686" t="n">
        <v>48.82</v>
      </c>
      <c r="F12686" t="n">
        <v>1</v>
      </c>
      <c r="G12686" t="n">
        <v>2</v>
      </c>
      <c r="H12686" s="5">
        <f>HYPERLINK("https://api.qogita.com/variants/link/8595162103772/", "View Product")</f>
        <v/>
      </c>
    </row>
    <row r="12687">
      <c r="A12687" t="inlineStr">
        <is>
          <t>8595162103895</t>
        </is>
      </c>
      <c r="B12687" t="inlineStr">
        <is>
          <t>Dukas Premium Line Pl 216fr - Manicure Set With Round Flap, 6 Pieces</t>
        </is>
      </c>
      <c r="C12687" t="inlineStr">
        <is>
          <t>Manicure Sets</t>
        </is>
      </c>
      <c r="D12687" t="inlineStr">
        <is>
          <t>Ducal</t>
        </is>
      </c>
      <c r="E12687" t="n">
        <v>41.98</v>
      </c>
      <c r="F12687" t="n">
        <v>1</v>
      </c>
      <c r="G12687" t="n">
        <v>4</v>
      </c>
      <c r="H12687" s="5">
        <f>HYPERLINK("https://api.qogita.com/variants/link/8595162103895/", "View Product")</f>
        <v/>
      </c>
    </row>
    <row r="12688">
      <c r="A12688" t="inlineStr">
        <is>
          <t>8595162103987</t>
        </is>
      </c>
      <c r="B12688" t="inlineStr">
        <is>
          <t>Dukas 6piece Manicure Set Frame Pl 125cnv</t>
        </is>
      </c>
      <c r="C12688" t="inlineStr">
        <is>
          <t>Manicure Sets</t>
        </is>
      </c>
      <c r="D12688" t="inlineStr">
        <is>
          <t>Ducal</t>
        </is>
      </c>
      <c r="E12688" t="n">
        <v>44.01</v>
      </c>
      <c r="F12688" t="n">
        <v>1</v>
      </c>
      <c r="G12688" t="n">
        <v>3</v>
      </c>
      <c r="H12688" s="5">
        <f>HYPERLINK("https://api.qogita.com/variants/link/8595162103987/", "View Product")</f>
        <v/>
      </c>
    </row>
    <row r="12689">
      <c r="A12689" t="inlineStr">
        <is>
          <t>8595162104113</t>
        </is>
      </c>
      <c r="B12689" t="inlineStr">
        <is>
          <t>Dukas Family Manicure Set 10 Pieces Pl 252sb</t>
        </is>
      </c>
      <c r="C12689" t="inlineStr">
        <is>
          <t>Manicure Sets</t>
        </is>
      </c>
      <c r="D12689" t="inlineStr">
        <is>
          <t>Dukas</t>
        </is>
      </c>
      <c r="E12689" t="n">
        <v>49.19</v>
      </c>
      <c r="F12689" t="n">
        <v>1</v>
      </c>
      <c r="G12689" t="n">
        <v>2</v>
      </c>
      <c r="H12689" s="5">
        <f>HYPERLINK("https://api.qogita.com/variants/link/8595162104113/", "View Product")</f>
        <v/>
      </c>
    </row>
    <row r="12690">
      <c r="A12690" t="inlineStr">
        <is>
          <t>8595162104281</t>
        </is>
      </c>
      <c r="B12690" t="inlineStr">
        <is>
          <t>Dukas 10-Piece Family Manicure Set Pl 252bo</t>
        </is>
      </c>
      <c r="C12690" t="inlineStr">
        <is>
          <t>Manicure Sets</t>
        </is>
      </c>
      <c r="D12690" t="inlineStr">
        <is>
          <t>Ducal</t>
        </is>
      </c>
      <c r="E12690" t="n">
        <v>58.69</v>
      </c>
      <c r="F12690" t="n">
        <v>1</v>
      </c>
      <c r="G12690" t="n">
        <v>3</v>
      </c>
      <c r="H12690" s="5">
        <f>HYPERLINK("https://api.qogita.com/variants/link/8595162104281/", "View Product")</f>
        <v/>
      </c>
    </row>
    <row r="12691">
      <c r="A12691" t="inlineStr">
        <is>
          <t>8595572900060</t>
        </is>
      </c>
      <c r="B12691" t="inlineStr">
        <is>
          <t>Reinheit Vision Bio-Rosenwasser 250ml</t>
        </is>
      </c>
      <c r="C12691" t="inlineStr">
        <is>
          <t>Facial Spray</t>
        </is>
      </c>
      <c r="D12691" t="inlineStr">
        <is>
          <t>Purity Vision</t>
        </is>
      </c>
      <c r="E12691" t="n">
        <v>12.06</v>
      </c>
      <c r="F12691" t="n">
        <v>1</v>
      </c>
      <c r="G12691" t="n">
        <v>10</v>
      </c>
      <c r="H12691" s="5">
        <f>HYPERLINK("https://api.qogita.com/variants/link/8595572900060/", "View Product")</f>
        <v/>
      </c>
    </row>
    <row r="12692">
      <c r="A12692" t="inlineStr">
        <is>
          <t>8595572900398</t>
        </is>
      </c>
      <c r="B12692" t="inlineStr">
        <is>
          <t>Purity Vision Mineral Crystal Deodorant 24 Hours</t>
        </is>
      </c>
      <c r="C12692" t="inlineStr">
        <is>
          <t>Deodorant &amp; Anti-Perspirant</t>
        </is>
      </c>
      <c r="D12692" t="inlineStr">
        <is>
          <t>Purity Vision</t>
        </is>
      </c>
      <c r="E12692" t="n">
        <v>5.61</v>
      </c>
      <c r="F12692" t="n">
        <v>1</v>
      </c>
      <c r="G12692" t="n">
        <v>15</v>
      </c>
      <c r="H12692" s="5">
        <f>HYPERLINK("https://api.qogita.com/variants/link/8595572900398/", "View Product")</f>
        <v/>
      </c>
    </row>
    <row r="12693">
      <c r="A12693" t="inlineStr">
        <is>
          <t>8595572900749</t>
        </is>
      </c>
      <c r="B12693" t="inlineStr">
        <is>
          <t>Purity Vision Kids Body Butter 200ml</t>
        </is>
      </c>
      <c r="C12693" t="inlineStr">
        <is>
          <t>Body Butter</t>
        </is>
      </c>
      <c r="D12693" t="inlineStr">
        <is>
          <t>Purity Vision</t>
        </is>
      </c>
      <c r="E12693" t="n">
        <v>12.6</v>
      </c>
      <c r="F12693" t="n">
        <v>1</v>
      </c>
      <c r="G12693" t="n">
        <v>14</v>
      </c>
      <c r="H12693" s="5">
        <f>HYPERLINK("https://api.qogita.com/variants/link/8595572900749/", "View Product")</f>
        <v/>
      </c>
    </row>
    <row r="12694">
      <c r="A12694" t="inlineStr">
        <is>
          <t>8595572900930</t>
        </is>
      </c>
      <c r="B12694" t="inlineStr">
        <is>
          <t>Purity Vision Body Butter Ideal for Unisex Children</t>
        </is>
      </c>
      <c r="C12694" t="inlineStr">
        <is>
          <t>Body Butter</t>
        </is>
      </c>
      <c r="D12694" t="inlineStr">
        <is>
          <t>Purity Vision</t>
        </is>
      </c>
      <c r="E12694" t="n">
        <v>4.62</v>
      </c>
      <c r="F12694" t="n">
        <v>1</v>
      </c>
      <c r="G12694" t="n">
        <v>5</v>
      </c>
      <c r="H12694" s="5">
        <f>HYPERLINK("https://api.qogita.com/variants/link/8595572900930/", "View Product")</f>
        <v/>
      </c>
    </row>
    <row r="12695">
      <c r="A12695" t="inlineStr">
        <is>
          <t>8595572900954</t>
        </is>
      </c>
      <c r="B12695" t="inlineStr">
        <is>
          <t>Bio Coffee Peeling 175g</t>
        </is>
      </c>
      <c r="C12695" t="inlineStr">
        <is>
          <t>Body Scrub &amp; Peeling</t>
        </is>
      </c>
      <c r="D12695" t="inlineStr">
        <is>
          <t>Purity Vision</t>
        </is>
      </c>
      <c r="E12695" t="n">
        <v>7.71</v>
      </c>
      <c r="F12695" t="n">
        <v>1</v>
      </c>
      <c r="G12695" t="n">
        <v>5</v>
      </c>
      <c r="H12695" s="5">
        <f>HYPERLINK("https://api.qogita.com/variants/link/8595572900954/", "View Product")</f>
        <v/>
      </c>
    </row>
    <row r="12696">
      <c r="A12696" t="inlineStr">
        <is>
          <t>8595572900961</t>
        </is>
      </c>
      <c r="B12696" t="inlineStr">
        <is>
          <t>Reinheit Vision Organic Body Butter 150ml</t>
        </is>
      </c>
      <c r="C12696" t="inlineStr">
        <is>
          <t>Body Butter</t>
        </is>
      </c>
      <c r="D12696" t="inlineStr">
        <is>
          <t>Purity Vision</t>
        </is>
      </c>
      <c r="E12696" t="n">
        <v>9.09</v>
      </c>
      <c r="F12696" t="n">
        <v>1</v>
      </c>
      <c r="G12696" t="n">
        <v>3</v>
      </c>
      <c r="H12696" s="5">
        <f>HYPERLINK("https://api.qogita.com/variants/link/8595572900961/", "View Product")</f>
        <v/>
      </c>
    </row>
    <row r="12697">
      <c r="A12697" t="inlineStr">
        <is>
          <t>8595572901067</t>
        </is>
      </c>
      <c r="B12697" t="inlineStr">
        <is>
          <t>Raw Organic Argan Oil Volume 100 ml</t>
        </is>
      </c>
      <c r="C12697" t="inlineStr">
        <is>
          <t>Inflammations</t>
        </is>
      </c>
      <c r="D12697" t="inlineStr">
        <is>
          <t>Purity Vision</t>
        </is>
      </c>
      <c r="E12697" t="n">
        <v>17.35</v>
      </c>
      <c r="F12697" t="n">
        <v>1</v>
      </c>
      <c r="G12697" t="n">
        <v>5</v>
      </c>
      <c r="H12697" s="5">
        <f>HYPERLINK("https://api.qogita.com/variants/link/8595572901067/", "View Product")</f>
        <v/>
      </c>
    </row>
    <row r="12698">
      <c r="A12698" t="inlineStr">
        <is>
          <t>8595572901227</t>
        </is>
      </c>
      <c r="B12698" t="inlineStr">
        <is>
          <t>Moroccan Clay Rhassoul 450g</t>
        </is>
      </c>
      <c r="C12698" t="inlineStr">
        <is>
          <t>Alternative Medicine</t>
        </is>
      </c>
      <c r="D12698" t="inlineStr">
        <is>
          <t>Purity Vision</t>
        </is>
      </c>
      <c r="E12698" t="n">
        <v>13.84</v>
      </c>
      <c r="F12698" t="n">
        <v>1</v>
      </c>
      <c r="G12698" t="n">
        <v>6</v>
      </c>
      <c r="H12698" s="5">
        <f>HYPERLINK("https://api.qogita.com/variants/link/8595572901227/", "View Product")</f>
        <v/>
      </c>
    </row>
    <row r="12699">
      <c r="A12699" t="inlineStr">
        <is>
          <t>8595572901548</t>
        </is>
      </c>
      <c r="B12699" t="inlineStr">
        <is>
          <t>Purity Vision Organic Rose Water From Rare Damask Rose</t>
        </is>
      </c>
      <c r="C12699" t="inlineStr">
        <is>
          <t>Facial Spray</t>
        </is>
      </c>
      <c r="D12699" t="inlineStr">
        <is>
          <t>Purity Vision</t>
        </is>
      </c>
      <c r="E12699" t="n">
        <v>11.44</v>
      </c>
      <c r="F12699" t="n">
        <v>1</v>
      </c>
      <c r="G12699" t="n">
        <v>5</v>
      </c>
      <c r="H12699" s="5">
        <f>HYPERLINK("https://api.qogita.com/variants/link/8595572901548/", "View Product")</f>
        <v/>
      </c>
    </row>
    <row r="12700">
      <c r="A12700" t="inlineStr">
        <is>
          <t>8595572901579</t>
        </is>
      </c>
      <c r="B12700" t="inlineStr">
        <is>
          <t>Organic Shea Butter Volume 200 ml</t>
        </is>
      </c>
      <c r="C12700" t="inlineStr">
        <is>
          <t>Body Butter</t>
        </is>
      </c>
      <c r="D12700" t="inlineStr">
        <is>
          <t>Purity Vision</t>
        </is>
      </c>
      <c r="E12700" t="n">
        <v>11.93</v>
      </c>
      <c r="F12700" t="n">
        <v>1</v>
      </c>
      <c r="G12700" t="n">
        <v>18</v>
      </c>
      <c r="H12700" s="5">
        <f>HYPERLINK("https://api.qogita.com/variants/link/8595572901579/", "View Product")</f>
        <v/>
      </c>
    </row>
    <row r="12701">
      <c r="A12701" t="inlineStr">
        <is>
          <t>8595572901609</t>
        </is>
      </c>
      <c r="B12701" t="inlineStr">
        <is>
          <t>Floral Set for Cleansing and Face Makeup Removal</t>
        </is>
      </c>
      <c r="C12701" t="inlineStr">
        <is>
          <t>Facial Cleansing Sets</t>
        </is>
      </c>
      <c r="D12701" t="inlineStr">
        <is>
          <t>Purity Vision</t>
        </is>
      </c>
      <c r="E12701" t="n">
        <v>23.49</v>
      </c>
      <c r="F12701" t="n">
        <v>1</v>
      </c>
      <c r="G12701" t="n">
        <v>4</v>
      </c>
      <c r="H12701" s="5">
        <f>HYPERLINK("https://api.qogita.com/variants/link/8595572901609/", "View Product")</f>
        <v/>
      </c>
    </row>
    <row r="12702">
      <c r="A12702" t="inlineStr">
        <is>
          <t>8595572901722</t>
        </is>
      </c>
      <c r="B12702" t="inlineStr">
        <is>
          <t>Organic Shea Butter Volume 20 ml</t>
        </is>
      </c>
      <c r="C12702" t="inlineStr">
        <is>
          <t>Body Butter</t>
        </is>
      </c>
      <c r="D12702" t="inlineStr">
        <is>
          <t>Purity Vision</t>
        </is>
      </c>
      <c r="E12702" t="n">
        <v>4.53</v>
      </c>
      <c r="F12702" t="n">
        <v>1</v>
      </c>
      <c r="G12702" t="n">
        <v>10</v>
      </c>
      <c r="H12702" s="5">
        <f>HYPERLINK("https://api.qogita.com/variants/link/8595572901722/", "View Product")</f>
        <v/>
      </c>
    </row>
    <row r="12703">
      <c r="A12703" t="inlineStr">
        <is>
          <t>8595572901999</t>
        </is>
      </c>
      <c r="B12703" t="inlineStr">
        <is>
          <t>Reinheit Vision Organic Rose Oil 100ml</t>
        </is>
      </c>
      <c r="C12703" t="inlineStr">
        <is>
          <t>Rose</t>
        </is>
      </c>
      <c r="D12703" t="inlineStr">
        <is>
          <t>Purity Vision</t>
        </is>
      </c>
      <c r="E12703" t="n">
        <v>11.91</v>
      </c>
      <c r="F12703" t="n">
        <v>1</v>
      </c>
      <c r="G12703" t="n">
        <v>7</v>
      </c>
      <c r="H12703" s="5">
        <f>HYPERLINK("https://api.qogita.com/variants/link/8595572901999/", "View Product")</f>
        <v/>
      </c>
    </row>
    <row r="12704">
      <c r="A12704" t="inlineStr">
        <is>
          <t>8595572902040</t>
        </is>
      </c>
      <c r="B12704" t="inlineStr">
        <is>
          <t>Reinheit Vision Bio-Calendula Butter 120ml</t>
        </is>
      </c>
      <c r="C12704" t="inlineStr">
        <is>
          <t>Body Butter</t>
        </is>
      </c>
      <c r="D12704" t="inlineStr">
        <is>
          <t>Purity Vision</t>
        </is>
      </c>
      <c r="E12704" t="n">
        <v>9.6</v>
      </c>
      <c r="F12704" t="n">
        <v>1</v>
      </c>
      <c r="G12704" t="n">
        <v>8</v>
      </c>
      <c r="H12704" s="5">
        <f>HYPERLINK("https://api.qogita.com/variants/link/8595572902040/", "View Product")</f>
        <v/>
      </c>
    </row>
    <row r="12705">
      <c r="A12705" t="inlineStr">
        <is>
          <t>8595572902293</t>
        </is>
      </c>
      <c r="B12705" t="inlineStr">
        <is>
          <t>Bio Rose Butter for Dry and Mature Skin Volume 20 ml</t>
        </is>
      </c>
      <c r="C12705" t="inlineStr">
        <is>
          <t>Face Cream</t>
        </is>
      </c>
      <c r="D12705" t="inlineStr">
        <is>
          <t>Purity Vision</t>
        </is>
      </c>
      <c r="E12705" t="n">
        <v>4.96</v>
      </c>
      <c r="F12705" t="n">
        <v>1</v>
      </c>
      <c r="G12705" t="n">
        <v>5</v>
      </c>
      <c r="H12705" s="5">
        <f>HYPERLINK("https://api.qogita.com/variants/link/8595572902293/", "View Product")</f>
        <v/>
      </c>
    </row>
    <row r="12706">
      <c r="A12706" t="inlineStr">
        <is>
          <t>8595572902446</t>
        </is>
      </c>
      <c r="B12706" t="inlineStr">
        <is>
          <t>Rejuvenating Set with Damask Roses</t>
        </is>
      </c>
      <c r="C12706" t="inlineStr">
        <is>
          <t>Facial Care Sets</t>
        </is>
      </c>
      <c r="D12706" t="inlineStr">
        <is>
          <t>Purity Vision</t>
        </is>
      </c>
      <c r="E12706" t="n">
        <v>17.31</v>
      </c>
      <c r="F12706" t="n">
        <v>1</v>
      </c>
      <c r="G12706" t="n">
        <v>6</v>
      </c>
      <c r="H12706" s="5">
        <f>HYPERLINK("https://api.qogita.com/variants/link/8595572902446/", "View Product")</f>
        <v/>
      </c>
    </row>
    <row r="12707">
      <c r="A12707" t="inlineStr">
        <is>
          <t>8595572902712</t>
        </is>
      </c>
      <c r="B12707" t="inlineStr">
        <is>
          <t>Reinheit Vision Bio Calendula Zinc Soothing Care Balm 70ml</t>
        </is>
      </c>
      <c r="C12707" t="inlineStr">
        <is>
          <t>Body Care Sets</t>
        </is>
      </c>
      <c r="D12707" t="inlineStr">
        <is>
          <t>Purity Vision</t>
        </is>
      </c>
      <c r="E12707" t="n">
        <v>6.66</v>
      </c>
      <c r="F12707" t="n">
        <v>1</v>
      </c>
      <c r="G12707" t="n">
        <v>8</v>
      </c>
      <c r="H12707" s="5">
        <f>HYPERLINK("https://api.qogita.com/variants/link/8595572902712/", "View Product")</f>
        <v/>
      </c>
    </row>
    <row r="12708">
      <c r="A12708" t="inlineStr">
        <is>
          <t>8595572902958</t>
        </is>
      </c>
      <c r="B12708" t="inlineStr">
        <is>
          <t>Bio Calendula Zinc Ointment 150 milliliters</t>
        </is>
      </c>
      <c r="C12708" t="inlineStr">
        <is>
          <t>Neurodermatitis</t>
        </is>
      </c>
      <c r="D12708" t="inlineStr">
        <is>
          <t>Purity Vision</t>
        </is>
      </c>
      <c r="E12708" t="n">
        <v>9.609999999999999</v>
      </c>
      <c r="F12708" t="n">
        <v>1</v>
      </c>
      <c r="G12708" t="n">
        <v>29</v>
      </c>
      <c r="H12708" s="5">
        <f>HYPERLINK("https://api.qogita.com/variants/link/8595572902958/", "View Product")</f>
        <v/>
      </c>
    </row>
    <row r="12709">
      <c r="A12709" t="inlineStr">
        <is>
          <t>8595572903306</t>
        </is>
      </c>
      <c r="B12709" t="inlineStr">
        <is>
          <t>Organic Golden Jojoba Oil - Fair Trade Volume 45 ml</t>
        </is>
      </c>
      <c r="C12709" t="inlineStr">
        <is>
          <t>Body Oil</t>
        </is>
      </c>
      <c r="D12709" t="inlineStr">
        <is>
          <t>Purity Vision</t>
        </is>
      </c>
      <c r="E12709" t="n">
        <v>8.550000000000001</v>
      </c>
      <c r="F12709" t="n">
        <v>1</v>
      </c>
      <c r="G12709" t="n">
        <v>6</v>
      </c>
      <c r="H12709" s="5">
        <f>HYPERLINK("https://api.qogita.com/variants/link/8595572903306/", "View Product")</f>
        <v/>
      </c>
    </row>
    <row r="12710">
      <c r="A12710" t="inlineStr">
        <is>
          <t>8595572903320</t>
        </is>
      </c>
      <c r="B12710" t="inlineStr">
        <is>
          <t>Organic Golden Jojoba Oil - Fair Trade Volume 100 ml</t>
        </is>
      </c>
      <c r="C12710" t="inlineStr">
        <is>
          <t>Inflammations</t>
        </is>
      </c>
      <c r="D12710" t="inlineStr">
        <is>
          <t>Purity Vision</t>
        </is>
      </c>
      <c r="E12710" t="n">
        <v>11.44</v>
      </c>
      <c r="F12710" t="n">
        <v>1</v>
      </c>
      <c r="G12710" t="n">
        <v>4</v>
      </c>
      <c r="H12710" s="5">
        <f>HYPERLINK("https://api.qogita.com/variants/link/8595572903320/", "View Product")</f>
        <v/>
      </c>
    </row>
    <row r="12711">
      <c r="A12711" t="inlineStr">
        <is>
          <t>8595572903368</t>
        </is>
      </c>
      <c r="B12711" t="inlineStr">
        <is>
          <t>Reinheit Vision Bio Lavender Soothing Cream 40ml</t>
        </is>
      </c>
      <c r="C12711" t="inlineStr">
        <is>
          <t>Face Cream</t>
        </is>
      </c>
      <c r="D12711" t="inlineStr">
        <is>
          <t>Purity Vision</t>
        </is>
      </c>
      <c r="E12711" t="n">
        <v>13.02</v>
      </c>
      <c r="F12711" t="n">
        <v>1</v>
      </c>
      <c r="G12711" t="n">
        <v>5</v>
      </c>
      <c r="H12711" s="5">
        <f>HYPERLINK("https://api.qogita.com/variants/link/8595572903368/", "View Product")</f>
        <v/>
      </c>
    </row>
    <row r="12712">
      <c r="A12712" t="inlineStr">
        <is>
          <t>8595572903467</t>
        </is>
      </c>
      <c r="B12712" t="inlineStr">
        <is>
          <t>Reinheit Vision Bio Detox Mask 40ml</t>
        </is>
      </c>
      <c r="C12712" t="inlineStr">
        <is>
          <t>Purifying Mask</t>
        </is>
      </c>
      <c r="D12712" t="inlineStr">
        <is>
          <t>Purity Vision</t>
        </is>
      </c>
      <c r="E12712" t="n">
        <v>11.97</v>
      </c>
      <c r="F12712" t="n">
        <v>1</v>
      </c>
      <c r="G12712" t="n">
        <v>7</v>
      </c>
      <c r="H12712" s="5">
        <f>HYPERLINK("https://api.qogita.com/variants/link/8595572903467/", "View Product")</f>
        <v/>
      </c>
    </row>
    <row r="12713">
      <c r="A12713" t="inlineStr">
        <is>
          <t>8595572905591</t>
        </is>
      </c>
      <c r="B12713" t="inlineStr">
        <is>
          <t>Bio Skin Serum (Hydro 2 Serum) 30 ml</t>
        </is>
      </c>
      <c r="C12713" t="inlineStr">
        <is>
          <t>Hydrating Serum</t>
        </is>
      </c>
      <c r="D12713" t="inlineStr">
        <is>
          <t>Purity Vision</t>
        </is>
      </c>
      <c r="E12713" t="n">
        <v>10.83</v>
      </c>
      <c r="F12713" t="n">
        <v>1</v>
      </c>
      <c r="G12713" t="n">
        <v>2</v>
      </c>
      <c r="H12713" s="5">
        <f>HYPERLINK("https://api.qogita.com/variants/link/8595572905591/", "View Product")</f>
        <v/>
      </c>
    </row>
    <row r="12714">
      <c r="A12714" t="inlineStr">
        <is>
          <t>8595572905607</t>
        </is>
      </c>
      <c r="B12714" t="inlineStr">
        <is>
          <t>Bio Vitamin C Skin Serum (Serum) 30 ml</t>
        </is>
      </c>
      <c r="C12714" t="inlineStr">
        <is>
          <t>Vitamin Serum</t>
        </is>
      </c>
      <c r="D12714" t="inlineStr">
        <is>
          <t>Purity Vision</t>
        </is>
      </c>
      <c r="E12714" t="n">
        <v>11.07</v>
      </c>
      <c r="F12714" t="n">
        <v>1</v>
      </c>
      <c r="G12714" t="n">
        <v>4</v>
      </c>
      <c r="H12714" s="5">
        <f>HYPERLINK("https://api.qogita.com/variants/link/8595572905607/", "View Product")</f>
        <v/>
      </c>
    </row>
    <row r="12715">
      <c r="A12715" t="inlineStr">
        <is>
          <t>8595572905935</t>
        </is>
      </c>
      <c r="B12715" t="inlineStr">
        <is>
          <t>French Green Clay 150g</t>
        </is>
      </c>
      <c r="C12715" t="inlineStr">
        <is>
          <t>Clay Mask</t>
        </is>
      </c>
      <c r="D12715" t="inlineStr">
        <is>
          <t>Purity Vision</t>
        </is>
      </c>
      <c r="E12715" t="n">
        <v>7.07</v>
      </c>
      <c r="F12715" t="n">
        <v>1</v>
      </c>
      <c r="G12715" t="n">
        <v>5</v>
      </c>
      <c r="H12715" s="5">
        <f>HYPERLINK("https://api.qogita.com/variants/link/8595572905935/", "View Product")</f>
        <v/>
      </c>
    </row>
    <row r="12716">
      <c r="A12716" t="inlineStr">
        <is>
          <t>8595572907939</t>
        </is>
      </c>
      <c r="B12716" t="inlineStr">
        <is>
          <t>Bio Calendula Cleansing Gel for Babies 200 ml</t>
        </is>
      </c>
      <c r="C12716" t="inlineStr">
        <is>
          <t>Baby Bath</t>
        </is>
      </c>
      <c r="D12716" t="inlineStr">
        <is>
          <t>Purity Vision</t>
        </is>
      </c>
      <c r="E12716" t="n">
        <v>16.67</v>
      </c>
      <c r="F12716" t="n">
        <v>1</v>
      </c>
      <c r="G12716" t="n">
        <v>5</v>
      </c>
      <c r="H12716" s="5">
        <f>HYPERLINK("https://api.qogita.com/variants/link/8595572907939/", "View Product")</f>
        <v/>
      </c>
    </row>
    <row r="12717">
      <c r="A12717" t="inlineStr">
        <is>
          <t>8595572907953</t>
        </is>
      </c>
      <c r="B12717" t="inlineStr">
        <is>
          <t>Soothing Gel Bio Aloe Vera 200 ml</t>
        </is>
      </c>
      <c r="C12717" t="inlineStr">
        <is>
          <t>Body Care Sets</t>
        </is>
      </c>
      <c r="D12717" t="inlineStr">
        <is>
          <t>Purity Vision</t>
        </is>
      </c>
      <c r="E12717" t="n">
        <v>12.39</v>
      </c>
      <c r="F12717" t="n">
        <v>1</v>
      </c>
      <c r="G12717" t="n">
        <v>11</v>
      </c>
      <c r="H12717" s="5">
        <f>HYPERLINK("https://api.qogita.com/variants/link/8595572907953/", "View Product")</f>
        <v/>
      </c>
    </row>
    <row r="12718">
      <c r="A12718" t="inlineStr">
        <is>
          <t>8595572908035</t>
        </is>
      </c>
      <c r="B12718" t="inlineStr">
        <is>
          <t>Bio SOS Calendula Cream 70 ml</t>
        </is>
      </c>
      <c r="C12718" t="inlineStr">
        <is>
          <t>Neurodermatitis</t>
        </is>
      </c>
      <c r="D12718" t="inlineStr">
        <is>
          <t>Purity Vision</t>
        </is>
      </c>
      <c r="E12718" t="n">
        <v>8.56</v>
      </c>
      <c r="F12718" t="n">
        <v>1</v>
      </c>
      <c r="G12718" t="n">
        <v>12</v>
      </c>
      <c r="H12718" s="5">
        <f>HYPERLINK("https://api.qogita.com/variants/link/8595572908035/", "View Product")</f>
        <v/>
      </c>
    </row>
    <row r="12719">
      <c r="A12719" t="inlineStr">
        <is>
          <t>8595615780123</t>
        </is>
      </c>
      <c r="B12719" t="inlineStr">
        <is>
          <t>Dtangler Flamingo Hairbrush A Stylish Hair Brush With A Flamingo Handle</t>
        </is>
      </c>
      <c r="C12719" t="inlineStr">
        <is>
          <t>Detanglers</t>
        </is>
      </c>
      <c r="D12719" t="inlineStr">
        <is>
          <t>Dtangler</t>
        </is>
      </c>
      <c r="E12719" t="n">
        <v>6.33</v>
      </c>
      <c r="F12719" t="n">
        <v>1</v>
      </c>
      <c r="G12719" t="n">
        <v>2</v>
      </c>
      <c r="H12719" s="5">
        <f>HYPERLINK("https://api.qogita.com/variants/link/8595615780123/", "View Product")</f>
        <v/>
      </c>
    </row>
    <row r="12720">
      <c r="A12720" t="inlineStr">
        <is>
          <t>8595615780185</t>
        </is>
      </c>
      <c r="B12720" t="inlineStr">
        <is>
          <t>Dtangler Comb Ideal for Unisex Adults</t>
        </is>
      </c>
      <c r="C12720" t="inlineStr">
        <is>
          <t>Combs</t>
        </is>
      </c>
      <c r="D12720" t="inlineStr">
        <is>
          <t>Dtangler</t>
        </is>
      </c>
      <c r="E12720" t="n">
        <v>5.35</v>
      </c>
      <c r="F12720" t="n">
        <v>1</v>
      </c>
      <c r="G12720" t="n">
        <v>8</v>
      </c>
      <c r="H12720" s="5">
        <f>HYPERLINK("https://api.qogita.com/variants/link/8595615780185/", "View Product")</f>
        <v/>
      </c>
    </row>
    <row r="12721">
      <c r="A12721" t="inlineStr">
        <is>
          <t>8595615780291</t>
        </is>
      </c>
      <c r="B12721" t="inlineStr">
        <is>
          <t>Hair Brush with Fairy Tale Handle</t>
        </is>
      </c>
      <c r="C12721" t="inlineStr">
        <is>
          <t>Wooden Brushes</t>
        </is>
      </c>
      <c r="D12721" t="inlineStr">
        <is>
          <t>Dtangler</t>
        </is>
      </c>
      <c r="E12721" t="n">
        <v>5.35</v>
      </c>
      <c r="F12721" t="n">
        <v>1</v>
      </c>
      <c r="G12721" t="n">
        <v>3</v>
      </c>
      <c r="H12721" s="5">
        <f>HYPERLINK("https://api.qogita.com/variants/link/8595615780291/", "View Product")</f>
        <v/>
      </c>
    </row>
    <row r="12722">
      <c r="A12722" t="inlineStr">
        <is>
          <t>8595615780321</t>
        </is>
      </c>
      <c r="B12722" t="inlineStr">
        <is>
          <t>Miraculous Pink Set - Gift set of hair brushes</t>
        </is>
      </c>
      <c r="C12722" t="inlineStr">
        <is>
          <t>Round Brushes</t>
        </is>
      </c>
      <c r="D12722" t="inlineStr">
        <is>
          <t>Miraculous</t>
        </is>
      </c>
      <c r="E12722" t="n">
        <v>10.31</v>
      </c>
      <c r="F12722" t="n">
        <v>1</v>
      </c>
      <c r="G12722" t="n">
        <v>10</v>
      </c>
      <c r="H12722" s="5">
        <f>HYPERLINK("https://api.qogita.com/variants/link/8595615780321/", "View Product")</f>
        <v/>
      </c>
    </row>
    <row r="12723">
      <c r="A12723" t="inlineStr">
        <is>
          <t>8595615780352</t>
        </is>
      </c>
      <c r="B12723" t="inlineStr">
        <is>
          <t>Hair brush with Baby Deer handle</t>
        </is>
      </c>
      <c r="C12723" t="inlineStr">
        <is>
          <t>Wooden Brushes</t>
        </is>
      </c>
      <c r="D12723" t="inlineStr">
        <is>
          <t>Dtangler</t>
        </is>
      </c>
      <c r="E12723" t="n">
        <v>6.33</v>
      </c>
      <c r="F12723" t="n">
        <v>1</v>
      </c>
      <c r="G12723" t="n">
        <v>8</v>
      </c>
      <c r="H12723" s="5">
        <f>HYPERLINK("https://api.qogita.com/variants/link/8595615780352/", "View Product")</f>
        <v/>
      </c>
    </row>
    <row r="12724">
      <c r="A12724" t="inlineStr">
        <is>
          <t>8595631007709</t>
        </is>
      </c>
      <c r="B12724" t="inlineStr">
        <is>
          <t>Concept ZA7035 Hair and Beard Trimmer with Self-Sharpening Blades</t>
        </is>
      </c>
      <c r="C12724" t="inlineStr">
        <is>
          <t>Beard Care Accessories</t>
        </is>
      </c>
      <c r="D12724" t="inlineStr">
        <is>
          <t>Concept</t>
        </is>
      </c>
      <c r="E12724" t="n">
        <v>14.36</v>
      </c>
      <c r="F12724" t="n">
        <v>1</v>
      </c>
      <c r="G12724" t="n">
        <v>3</v>
      </c>
      <c r="H12724" s="5">
        <f>HYPERLINK("https://api.qogita.com/variants/link/8595631007709/", "View Product")</f>
        <v/>
      </c>
    </row>
    <row r="12725">
      <c r="A12725" t="inlineStr">
        <is>
          <t>8595631007730</t>
        </is>
      </c>
      <c r="B12725" t="inlineStr">
        <is>
          <t>Concept Titan Care VZ1440 Hair Straightener with Temperature Control from 80 to 220°C Ceramic Heating Plates</t>
        </is>
      </c>
      <c r="C12725" t="inlineStr">
        <is>
          <t>Hair Straighteners</t>
        </is>
      </c>
      <c r="D12725" t="inlineStr">
        <is>
          <t>Concept</t>
        </is>
      </c>
      <c r="E12725" t="n">
        <v>16.37</v>
      </c>
      <c r="F12725" t="n">
        <v>1</v>
      </c>
      <c r="G12725" t="n">
        <v>5</v>
      </c>
      <c r="H12725" s="5">
        <f>HYPERLINK("https://api.qogita.com/variants/link/8595631007730/", "View Product")</f>
        <v/>
      </c>
    </row>
    <row r="12726">
      <c r="A12726" t="inlineStr">
        <is>
          <t>8595631007754</t>
        </is>
      </c>
      <c r="B12726" t="inlineStr">
        <is>
          <t>CONCEPT Household Titan Care KF1320 2-in-1 Hair Dryer and Curling Iron 600W 2 Heat Settings + COOL SHOT Function Gray</t>
        </is>
      </c>
      <c r="C12726" t="inlineStr">
        <is>
          <t>Hair Dryers</t>
        </is>
      </c>
      <c r="D12726" t="inlineStr">
        <is>
          <t>Concept</t>
        </is>
      </c>
      <c r="E12726" t="n">
        <v>16.49</v>
      </c>
      <c r="F12726" t="n">
        <v>1</v>
      </c>
      <c r="G12726" t="n">
        <v>5</v>
      </c>
      <c r="H12726" s="5">
        <f>HYPERLINK("https://api.qogita.com/variants/link/8595631007754/", "View Product")</f>
        <v/>
      </c>
    </row>
    <row r="12727">
      <c r="A12727" t="inlineStr">
        <is>
          <t>8595631011591</t>
        </is>
      </c>
      <c r="B12727" t="inlineStr">
        <is>
          <t>Concept VO4001 Glass Diagnostic Scale with App Digital Body Analysis Weight Scale Muscle Mass BMI LED Display Bluetooth Weight up to 180kg Black</t>
        </is>
      </c>
      <c r="C12727" t="inlineStr">
        <is>
          <t>Biometric Monitors &amp; Accessories</t>
        </is>
      </c>
      <c r="D12727" t="inlineStr">
        <is>
          <t>Concept</t>
        </is>
      </c>
      <c r="E12727" t="n">
        <v>21.85</v>
      </c>
      <c r="F12727" t="n">
        <v>1</v>
      </c>
      <c r="G12727" t="n">
        <v>5</v>
      </c>
      <c r="H12727" s="5">
        <f>HYPERLINK("https://api.qogita.com/variants/link/8595631011591/", "View Product")</f>
        <v/>
      </c>
    </row>
    <row r="12728">
      <c r="A12728" t="inlineStr">
        <is>
          <t>8595631015087</t>
        </is>
      </c>
      <c r="B12728" t="inlineStr">
        <is>
          <t>Concept Hausgerate Zk4021 Oral Irrigator With Charging Station, 3-Stage</t>
        </is>
      </c>
      <c r="C12728" t="inlineStr">
        <is>
          <t>Mouth &amp; Gum Care</t>
        </is>
      </c>
      <c r="D12728" t="inlineStr">
        <is>
          <t>Concept</t>
        </is>
      </c>
      <c r="E12728" t="n">
        <v>39.33</v>
      </c>
      <c r="F12728" t="n">
        <v>1</v>
      </c>
      <c r="G12728" t="n">
        <v>2</v>
      </c>
      <c r="H12728" s="5">
        <f>HYPERLINK("https://api.qogita.com/variants/link/8595631015087/", "View Product")</f>
        <v/>
      </c>
    </row>
    <row r="12729">
      <c r="A12729" t="inlineStr">
        <is>
          <t>8595631015872</t>
        </is>
      </c>
      <c r="B12729" t="inlineStr">
        <is>
          <t>Concept Home Appliances ZK0050 Daily Clean Replacement Brush Heads for Daily Care White</t>
        </is>
      </c>
      <c r="C12729" t="inlineStr">
        <is>
          <t>Electric Toothbrushes</t>
        </is>
      </c>
      <c r="D12729" t="inlineStr">
        <is>
          <t>Concept</t>
        </is>
      </c>
      <c r="E12729" t="n">
        <v>17.29</v>
      </c>
      <c r="F12729" t="n">
        <v>1</v>
      </c>
      <c r="G12729" t="n">
        <v>5</v>
      </c>
      <c r="H12729" s="5">
        <f>HYPERLINK("https://api.qogita.com/variants/link/8595631015872/", "View Product")</f>
        <v/>
      </c>
    </row>
    <row r="12730">
      <c r="A12730" t="inlineStr">
        <is>
          <t>8595631019917</t>
        </is>
      </c>
      <c r="B12730" t="inlineStr">
        <is>
          <t>Concept Perfect Skin Pro IL5020 IPL Epilator Hair Removal Device Wireless Acne Removal Skin Rejuvenation Integrated UV Filter 5 Levels 2 Modes</t>
        </is>
      </c>
      <c r="C12730" t="inlineStr">
        <is>
          <t>Razors &amp; Hair Removal Tools</t>
        </is>
      </c>
      <c r="D12730" t="inlineStr">
        <is>
          <t>Concept</t>
        </is>
      </c>
      <c r="E12730" t="n">
        <v>287.42</v>
      </c>
      <c r="F12730" t="n">
        <v>1</v>
      </c>
      <c r="G12730" t="n">
        <v>3</v>
      </c>
      <c r="H12730" s="5">
        <f>HYPERLINK("https://api.qogita.com/variants/link/8595631019917/", "View Product")</f>
        <v/>
      </c>
    </row>
    <row r="12731">
      <c r="A12731" t="inlineStr">
        <is>
          <t>8595631036938</t>
        </is>
      </c>
      <c r="B12731" t="inlineStr">
        <is>
          <t>Electric Heel File PN3000</t>
        </is>
      </c>
      <c r="C12731" t="inlineStr">
        <is>
          <t>Callus Remover</t>
        </is>
      </c>
      <c r="D12731" t="inlineStr">
        <is>
          <t>Concept</t>
        </is>
      </c>
      <c r="E12731" t="n">
        <v>21.66</v>
      </c>
      <c r="F12731" t="n">
        <v>1</v>
      </c>
      <c r="G12731" t="n">
        <v>11</v>
      </c>
      <c r="H12731" s="5">
        <f>HYPERLINK("https://api.qogita.com/variants/link/8595631036938/", "View Product")</f>
        <v/>
      </c>
    </row>
    <row r="12732">
      <c r="A12732" t="inlineStr">
        <is>
          <t>8595631074596</t>
        </is>
      </c>
      <c r="B12732" t="inlineStr">
        <is>
          <t>Concept Sonic Children's Toothbrush 5-9 Years Blue Zk6020</t>
        </is>
      </c>
      <c r="C12732" t="inlineStr">
        <is>
          <t>Dental Care For Children</t>
        </is>
      </c>
      <c r="D12732" t="inlineStr">
        <is>
          <t>Concept</t>
        </is>
      </c>
      <c r="E12732" t="n">
        <v>22.38</v>
      </c>
      <c r="F12732" t="n">
        <v>1</v>
      </c>
      <c r="G12732" t="n">
        <v>4</v>
      </c>
      <c r="H12732" s="5">
        <f>HYPERLINK("https://api.qogita.com/variants/link/8595631074596/", "View Product")</f>
        <v/>
      </c>
    </row>
    <row r="12733">
      <c r="A12733" t="inlineStr">
        <is>
          <t>8595631075050</t>
        </is>
      </c>
      <c r="B12733" t="inlineStr">
        <is>
          <t>Concept Replacement Heads For Children's Toothbrushes Zk3010, Zk3020 Medium Zk0032 - 2 Pieces</t>
        </is>
      </c>
      <c r="C12733" t="inlineStr">
        <is>
          <t>Dental Care For Children</t>
        </is>
      </c>
      <c r="D12733" t="inlineStr">
        <is>
          <t>Concept</t>
        </is>
      </c>
      <c r="E12733" t="n">
        <v>5.84</v>
      </c>
      <c r="F12733" t="n">
        <v>1</v>
      </c>
      <c r="G12733" t="n">
        <v>3</v>
      </c>
      <c r="H12733" s="5">
        <f>HYPERLINK("https://api.qogita.com/variants/link/8595631075050/", "View Product")</f>
        <v/>
      </c>
    </row>
    <row r="12734">
      <c r="A12734" t="inlineStr">
        <is>
          <t>8595631075074</t>
        </is>
      </c>
      <c r="B12734" t="inlineStr">
        <is>
          <t>Concept Replacement Heads For Children's Toothbrushes Zk6010, Zk6020 Medium Zk0062 - 2 Pieces</t>
        </is>
      </c>
      <c r="C12734" t="inlineStr">
        <is>
          <t>Dental Care For Children</t>
        </is>
      </c>
      <c r="D12734" t="inlineStr">
        <is>
          <t>Concept</t>
        </is>
      </c>
      <c r="E12734" t="n">
        <v>6.14</v>
      </c>
      <c r="F12734" t="n">
        <v>1</v>
      </c>
      <c r="G12734" t="n">
        <v>2</v>
      </c>
      <c r="H12734" s="5">
        <f>HYPERLINK("https://api.qogita.com/variants/link/8595631075074/", "View Product")</f>
        <v/>
      </c>
    </row>
    <row r="12735">
      <c r="A12735" t="inlineStr">
        <is>
          <t>8595635200045</t>
        </is>
      </c>
      <c r="B12735" t="inlineStr">
        <is>
          <t>Vivaco Sun Argan Bronzing Oil Suntan Butter SPF6</t>
        </is>
      </c>
      <c r="C12735" t="inlineStr">
        <is>
          <t>Body Sun Protection</t>
        </is>
      </c>
      <c r="D12735" t="inlineStr">
        <is>
          <t>Vivaco</t>
        </is>
      </c>
      <c r="E12735" t="n">
        <v>5.95</v>
      </c>
      <c r="F12735" t="n">
        <v>1</v>
      </c>
      <c r="G12735" t="n">
        <v>3</v>
      </c>
      <c r="H12735" s="5">
        <f>HYPERLINK("https://api.qogita.com/variants/link/8595635200045/", "View Product")</f>
        <v/>
      </c>
    </row>
    <row r="12736">
      <c r="A12736" t="inlineStr">
        <is>
          <t>8595635200069</t>
        </is>
      </c>
      <c r="B12736" t="inlineStr">
        <is>
          <t>Vivaco SUN Tanning Butter with Organic Argan Oil SPF 20 200ml</t>
        </is>
      </c>
      <c r="C12736" t="inlineStr">
        <is>
          <t>Body Sun Protection</t>
        </is>
      </c>
      <c r="D12736" t="inlineStr">
        <is>
          <t>Vivaco</t>
        </is>
      </c>
      <c r="E12736" t="n">
        <v>6.95</v>
      </c>
      <c r="F12736" t="n">
        <v>1</v>
      </c>
      <c r="G12736" t="n">
        <v>11</v>
      </c>
      <c r="H12736" s="5">
        <f>HYPERLINK("https://api.qogita.com/variants/link/8595635200069/", "View Product")</f>
        <v/>
      </c>
    </row>
    <row r="12737">
      <c r="A12737" t="inlineStr">
        <is>
          <t>8595635200915</t>
        </is>
      </c>
      <c r="B12737" t="inlineStr">
        <is>
          <t>Vivapharm Gift Box With Hyaluronic Acid</t>
        </is>
      </c>
      <c r="C12737" t="inlineStr">
        <is>
          <t>Hyaluronic Acid Serum</t>
        </is>
      </c>
      <c r="D12737" t="inlineStr">
        <is>
          <t>Vivapharm®</t>
        </is>
      </c>
      <c r="E12737" t="n">
        <v>10.97</v>
      </c>
      <c r="F12737" t="n">
        <v>1</v>
      </c>
      <c r="G12737" t="n">
        <v>3</v>
      </c>
      <c r="H12737" s="5">
        <f>HYPERLINK("https://api.qogita.com/variants/link/8595635200915/", "View Product")</f>
        <v/>
      </c>
    </row>
    <row r="12738">
      <c r="A12738" t="inlineStr">
        <is>
          <t>8595635201516</t>
        </is>
      </c>
      <c r="B12738" t="inlineStr">
        <is>
          <t>Vivaco Sun Argan Bronze Oil After Sun Butter</t>
        </is>
      </c>
      <c r="C12738" t="inlineStr">
        <is>
          <t>Aftersun</t>
        </is>
      </c>
      <c r="D12738" t="inlineStr">
        <is>
          <t>Vivaco</t>
        </is>
      </c>
      <c r="E12738" t="n">
        <v>5.3</v>
      </c>
      <c r="F12738" t="n">
        <v>1</v>
      </c>
      <c r="G12738" t="n">
        <v>5</v>
      </c>
      <c r="H12738" s="5">
        <f>HYPERLINK("https://api.qogita.com/variants/link/8595635201516/", "View Product")</f>
        <v/>
      </c>
    </row>
    <row r="12739">
      <c r="A12739" t="inlineStr">
        <is>
          <t>8595635206603</t>
        </is>
      </c>
      <c r="B12739" t="inlineStr">
        <is>
          <t>Vivaco Sun Solarium Activator Milk - Solarium Activator Milk For Body And Face</t>
        </is>
      </c>
      <c r="C12739" t="inlineStr">
        <is>
          <t>Body Self-Tanner</t>
        </is>
      </c>
      <c r="D12739" t="inlineStr">
        <is>
          <t>Vivaco</t>
        </is>
      </c>
      <c r="E12739" t="n">
        <v>5.67</v>
      </c>
      <c r="F12739" t="n">
        <v>1</v>
      </c>
      <c r="G12739" t="n">
        <v>5</v>
      </c>
      <c r="H12739" s="5">
        <f>HYPERLINK("https://api.qogita.com/variants/link/8595635206603/", "View Product")</f>
        <v/>
      </c>
    </row>
    <row r="12740">
      <c r="A12740" t="inlineStr">
        <is>
          <t>8595635209154</t>
        </is>
      </c>
      <c r="B12740" t="inlineStr">
        <is>
          <t>Vivaco For Women 300ml</t>
        </is>
      </c>
      <c r="C12740" t="inlineStr">
        <is>
          <t>Body Mist</t>
        </is>
      </c>
      <c r="D12740" t="inlineStr">
        <is>
          <t>Vivaco</t>
        </is>
      </c>
      <c r="E12740" t="n">
        <v>4.16</v>
      </c>
      <c r="F12740" t="n">
        <v>1</v>
      </c>
      <c r="G12740" t="n">
        <v>9</v>
      </c>
      <c r="H12740" s="5">
        <f>HYPERLINK("https://api.qogita.com/variants/link/8595635209154/", "View Product")</f>
        <v/>
      </c>
    </row>
    <row r="12741">
      <c r="A12741" t="inlineStr">
        <is>
          <t>8595635209222</t>
        </is>
      </c>
      <c r="B12741" t="inlineStr">
        <is>
          <t>Vivaco Bio Carrot Suntan Oil</t>
        </is>
      </c>
      <c r="C12741" t="inlineStr">
        <is>
          <t>Body Sun Protection</t>
        </is>
      </c>
      <c r="D12741" t="inlineStr">
        <is>
          <t>Vivaco</t>
        </is>
      </c>
      <c r="E12741" t="n">
        <v>3.71</v>
      </c>
      <c r="F12741" t="n">
        <v>1</v>
      </c>
      <c r="G12741" t="n">
        <v>8</v>
      </c>
      <c r="H12741" s="5">
        <f>HYPERLINK("https://api.qogita.com/variants/link/8595635209222/", "View Product")</f>
        <v/>
      </c>
    </row>
    <row r="12742">
      <c r="A12742" t="inlineStr">
        <is>
          <t>8595635214349</t>
        </is>
      </c>
      <c r="B12742" t="inlineStr">
        <is>
          <t>Vivapharm Aloe Vera 97% Cooling After Sun Spray 200ml</t>
        </is>
      </c>
      <c r="C12742" t="inlineStr">
        <is>
          <t>Aftersun</t>
        </is>
      </c>
      <c r="D12742" t="inlineStr">
        <is>
          <t>Vivobella</t>
        </is>
      </c>
      <c r="E12742" t="n">
        <v>3.28</v>
      </c>
      <c r="F12742" t="n">
        <v>1</v>
      </c>
      <c r="G12742" t="n">
        <v>5</v>
      </c>
      <c r="H12742" s="5">
        <f>HYPERLINK("https://api.qogita.com/variants/link/8595635214349/", "View Product")</f>
        <v/>
      </c>
    </row>
    <row r="12743">
      <c r="A12743" t="inlineStr">
        <is>
          <t>8595673310027</t>
        </is>
      </c>
      <c r="B12743" t="inlineStr">
        <is>
          <t>Moisturizing Colour Correcting Cream 30 grams Shade Light</t>
        </is>
      </c>
      <c r="C12743" t="inlineStr">
        <is>
          <t>Bb Cream &amp; Cc Cream</t>
        </is>
      </c>
      <c r="D12743" t="inlineStr">
        <is>
          <t>Pola Cosmetics</t>
        </is>
      </c>
      <c r="E12743" t="n">
        <v>23.5</v>
      </c>
      <c r="F12743" t="n">
        <v>1</v>
      </c>
      <c r="G12743" t="n">
        <v>3</v>
      </c>
      <c r="H12743" s="5">
        <f>HYPERLINK("https://api.qogita.com/variants/link/8595673310027/", "View Product")</f>
        <v/>
      </c>
    </row>
    <row r="12744">
      <c r="A12744" t="inlineStr">
        <is>
          <t>8595673310133</t>
        </is>
      </c>
      <c r="B12744" t="inlineStr">
        <is>
          <t>Pola Cosmetics Hd Makeup Perfect Look Foundation 30 Ml Fully Opaque</t>
        </is>
      </c>
      <c r="C12744" t="inlineStr">
        <is>
          <t>Foundation</t>
        </is>
      </c>
      <c r="D12744" t="inlineStr">
        <is>
          <t>Pola Cosmetics</t>
        </is>
      </c>
      <c r="E12744" t="n">
        <v>26.04</v>
      </c>
      <c r="F12744" t="n">
        <v>1</v>
      </c>
      <c r="G12744" t="n">
        <v>4</v>
      </c>
      <c r="H12744" s="5">
        <f>HYPERLINK("https://api.qogita.com/variants/link/8595673310133/", "View Product")</f>
        <v/>
      </c>
    </row>
    <row r="12745">
      <c r="A12745" t="inlineStr">
        <is>
          <t>8595673310171</t>
        </is>
      </c>
      <c r="B12745" t="inlineStr">
        <is>
          <t>Pola Cosmetics Hd Makeup Perfect Look Foundation 30 Ml</t>
        </is>
      </c>
      <c r="C12745" t="inlineStr">
        <is>
          <t>Foundation</t>
        </is>
      </c>
      <c r="D12745" t="inlineStr">
        <is>
          <t>Pola Cosmetics</t>
        </is>
      </c>
      <c r="E12745" t="n">
        <v>25.08</v>
      </c>
      <c r="F12745" t="n">
        <v>1</v>
      </c>
      <c r="G12745" t="n">
        <v>3</v>
      </c>
      <c r="H12745" s="5">
        <f>HYPERLINK("https://api.qogita.com/variants/link/8595673310171/", "View Product")</f>
        <v/>
      </c>
    </row>
    <row r="12746">
      <c r="A12746" t="inlineStr">
        <is>
          <t>8595673310591</t>
        </is>
      </c>
      <c r="B12746" t="inlineStr">
        <is>
          <t>Pola Cosmetics Makeup Sponge Pink</t>
        </is>
      </c>
      <c r="C12746" t="inlineStr">
        <is>
          <t>Makeup Sponges</t>
        </is>
      </c>
      <c r="D12746" t="inlineStr">
        <is>
          <t>Pola Cosmetics</t>
        </is>
      </c>
      <c r="E12746" t="n">
        <v>5.71</v>
      </c>
      <c r="F12746" t="n">
        <v>1</v>
      </c>
      <c r="G12746" t="n">
        <v>2</v>
      </c>
      <c r="H12746" s="5">
        <f>HYPERLINK("https://api.qogita.com/variants/link/8595673310591/", "View Product")</f>
        <v/>
      </c>
    </row>
    <row r="12747">
      <c r="A12747" t="inlineStr">
        <is>
          <t>8595673310713</t>
        </is>
      </c>
      <c r="B12747" t="inlineStr">
        <is>
          <t>Diamond Shine Brightener 5.8 grams</t>
        </is>
      </c>
      <c r="C12747" t="inlineStr">
        <is>
          <t>Highlighter</t>
        </is>
      </c>
      <c r="D12747" t="inlineStr">
        <is>
          <t>Pola Cosmetics</t>
        </is>
      </c>
      <c r="E12747" t="n">
        <v>19.6</v>
      </c>
      <c r="F12747" t="n">
        <v>1</v>
      </c>
      <c r="G12747" t="n">
        <v>4</v>
      </c>
      <c r="H12747" s="5">
        <f>HYPERLINK("https://api.qogita.com/variants/link/8595673310713/", "View Product")</f>
        <v/>
      </c>
    </row>
    <row r="12748">
      <c r="A12748" t="inlineStr">
        <is>
          <t>8595713602037</t>
        </is>
      </c>
      <c r="B12748" t="inlineStr">
        <is>
          <t>Steve's Sandalwood After Shave Balm (After Shave Balm) 100 ml</t>
        </is>
      </c>
      <c r="C12748" t="inlineStr">
        <is>
          <t>Aftershave</t>
        </is>
      </c>
      <c r="D12748" t="inlineStr">
        <is>
          <t>Steve's</t>
        </is>
      </c>
      <c r="E12748" t="n">
        <v>11.23</v>
      </c>
      <c r="F12748" t="n">
        <v>1</v>
      </c>
      <c r="G12748" t="n">
        <v>2</v>
      </c>
      <c r="H12748" s="5">
        <f>HYPERLINK("https://api.qogita.com/variants/link/8595713602037/", "View Product")</f>
        <v/>
      </c>
    </row>
    <row r="12749">
      <c r="A12749" t="inlineStr">
        <is>
          <t>8595713607018</t>
        </is>
      </c>
      <c r="B12749" t="inlineStr">
        <is>
          <t>Steve's No Bullt Capsules To Support Hair Growth 60 Capsules</t>
        </is>
      </c>
      <c r="C12749" t="inlineStr">
        <is>
          <t>Beautiful Hair</t>
        </is>
      </c>
      <c r="D12749" t="inlineStr">
        <is>
          <t>Steve's</t>
        </is>
      </c>
      <c r="E12749" t="n">
        <v>13.86</v>
      </c>
      <c r="F12749" t="n">
        <v>1</v>
      </c>
      <c r="G12749" t="n">
        <v>2</v>
      </c>
      <c r="H12749" s="5">
        <f>HYPERLINK("https://api.qogita.com/variants/link/8595713607018/", "View Product")</f>
        <v/>
      </c>
    </row>
    <row r="12750">
      <c r="A12750" t="inlineStr">
        <is>
          <t>8595713607056</t>
        </is>
      </c>
      <c r="B12750" t="inlineStr">
        <is>
          <t>No Bull***t Libido Support Tablets 60 count</t>
        </is>
      </c>
      <c r="C12750" t="inlineStr">
        <is>
          <t>Vitamin</t>
        </is>
      </c>
      <c r="D12750" t="inlineStr">
        <is>
          <t>Steve´S</t>
        </is>
      </c>
      <c r="E12750" t="n">
        <v>13.86</v>
      </c>
      <c r="F12750" t="n">
        <v>1</v>
      </c>
      <c r="G12750" t="n">
        <v>3</v>
      </c>
      <c r="H12750" s="5">
        <f>HYPERLINK("https://api.qogita.com/variants/link/8595713607056/", "View Product")</f>
        <v/>
      </c>
    </row>
    <row r="12751">
      <c r="A12751" t="inlineStr">
        <is>
          <t>8596149000565</t>
        </is>
      </c>
      <c r="B12751" t="inlineStr">
        <is>
          <t>Corega Whitening 30pcs</t>
        </is>
      </c>
      <c r="C12751" t="inlineStr">
        <is>
          <t>Teeth Whiteners</t>
        </is>
      </c>
      <c r="D12751" t="inlineStr">
        <is>
          <t>Corega</t>
        </is>
      </c>
      <c r="E12751" t="n">
        <v>3.12</v>
      </c>
      <c r="F12751" t="n">
        <v>1</v>
      </c>
      <c r="G12751" t="n">
        <v>51</v>
      </c>
      <c r="H12751" s="5">
        <f>HYPERLINK("https://api.qogita.com/variants/link/8596149000565/", "View Product")</f>
        <v/>
      </c>
    </row>
    <row r="12752">
      <c r="A12752" t="inlineStr">
        <is>
          <t>8596149002385</t>
        </is>
      </c>
      <c r="B12752" t="inlineStr">
        <is>
          <t>Sensodyne Rapid Toothpaste 75ml</t>
        </is>
      </c>
      <c r="C12752" t="inlineStr">
        <is>
          <t>Toothpaste</t>
        </is>
      </c>
      <c r="D12752" t="inlineStr">
        <is>
          <t>Sensodyne</t>
        </is>
      </c>
      <c r="E12752" t="n">
        <v>3.99</v>
      </c>
      <c r="F12752" t="n">
        <v>1</v>
      </c>
      <c r="G12752" t="n">
        <v>42</v>
      </c>
      <c r="H12752" s="5">
        <f>HYPERLINK("https://api.qogita.com/variants/link/8596149002385/", "View Product")</f>
        <v/>
      </c>
    </row>
    <row r="12753">
      <c r="A12753" t="inlineStr">
        <is>
          <t>8681008055005</t>
        </is>
      </c>
      <c r="B12753" t="inlineStr">
        <is>
          <t>Nishane B612 Extrait De Parfum For Men 50 Ml</t>
        </is>
      </c>
      <c r="C12753" t="inlineStr">
        <is>
          <t>Extrait De Parfum</t>
        </is>
      </c>
      <c r="D12753" t="inlineStr">
        <is>
          <t>Nishane</t>
        </is>
      </c>
      <c r="E12753" t="n">
        <v>96.09999999999999</v>
      </c>
      <c r="F12753" t="n">
        <v>1</v>
      </c>
      <c r="G12753" t="n">
        <v>9</v>
      </c>
      <c r="H12753" s="5">
        <f>HYPERLINK("https://api.qogita.com/variants/link/8681008055005/", "View Product")</f>
        <v/>
      </c>
    </row>
    <row r="12754">
      <c r="A12754" t="inlineStr">
        <is>
          <t>8681008055227</t>
        </is>
      </c>
      <c r="B12754" t="inlineStr">
        <is>
          <t>Nishane Wulong Cha Unisex Perfume Extract 100ml</t>
        </is>
      </c>
      <c r="C12754" t="inlineStr">
        <is>
          <t>Extrait De Parfum</t>
        </is>
      </c>
      <c r="D12754" t="inlineStr">
        <is>
          <t>Nishane</t>
        </is>
      </c>
      <c r="E12754" t="n">
        <v>130.32</v>
      </c>
      <c r="F12754" t="n">
        <v>1</v>
      </c>
      <c r="G12754" t="n">
        <v>89</v>
      </c>
      <c r="H12754" s="5">
        <f>HYPERLINK("https://api.qogita.com/variants/link/8681008055227/", "View Product")</f>
        <v/>
      </c>
    </row>
    <row r="12755">
      <c r="A12755" t="inlineStr">
        <is>
          <t>8681008055289</t>
        </is>
      </c>
      <c r="B12755" t="inlineStr">
        <is>
          <t>Nishane Nanshe Extrait De Parfum Spray 100ml</t>
        </is>
      </c>
      <c r="C12755" t="inlineStr">
        <is>
          <t>Extrait De Parfum</t>
        </is>
      </c>
      <c r="D12755" t="inlineStr">
        <is>
          <t>Nishane</t>
        </is>
      </c>
      <c r="E12755" t="n">
        <v>157.49</v>
      </c>
      <c r="F12755" t="n">
        <v>1</v>
      </c>
      <c r="G12755" t="n">
        <v>13</v>
      </c>
      <c r="H12755" s="5">
        <f>HYPERLINK("https://api.qogita.com/variants/link/8681008055289/", "View Product")</f>
        <v/>
      </c>
    </row>
    <row r="12756">
      <c r="A12756" t="inlineStr">
        <is>
          <t>8681008055418</t>
        </is>
      </c>
      <c r="B12756" t="inlineStr">
        <is>
          <t>Nishane Men's Wulong Cha Extrait De Parfum Spray 1.7 Oz</t>
        </is>
      </c>
      <c r="C12756" t="inlineStr">
        <is>
          <t>Extrait De Parfum</t>
        </is>
      </c>
      <c r="D12756" t="inlineStr">
        <is>
          <t>Nishane</t>
        </is>
      </c>
      <c r="E12756" t="n">
        <v>93.68000000000001</v>
      </c>
      <c r="F12756" t="n">
        <v>1</v>
      </c>
      <c r="G12756" t="n">
        <v>66</v>
      </c>
      <c r="H12756" s="5">
        <f>HYPERLINK("https://api.qogita.com/variants/link/8681008055418/", "View Product")</f>
        <v/>
      </c>
    </row>
    <row r="12757">
      <c r="A12757" t="inlineStr">
        <is>
          <t>8681008055487</t>
        </is>
      </c>
      <c r="B12757" t="inlineStr">
        <is>
          <t>Nishane Sultan Vetiver Extrait De Parfum</t>
        </is>
      </c>
      <c r="C12757" t="inlineStr">
        <is>
          <t>Extrait De Parfum</t>
        </is>
      </c>
      <c r="D12757" t="inlineStr">
        <is>
          <t>Nishane</t>
        </is>
      </c>
      <c r="E12757" t="n">
        <v>84.02</v>
      </c>
      <c r="F12757" t="n">
        <v>1</v>
      </c>
      <c r="G12757" t="n">
        <v>5</v>
      </c>
      <c r="H12757" s="5">
        <f>HYPERLINK("https://api.qogita.com/variants/link/8681008055487/", "View Product")</f>
        <v/>
      </c>
    </row>
    <row r="12758">
      <c r="A12758" t="inlineStr">
        <is>
          <t>8681619761203</t>
        </is>
      </c>
      <c r="B12758" t="inlineStr">
        <is>
          <t>Alghabra Ancient Fortress Extract De Parfum 50ml Unisex</t>
        </is>
      </c>
      <c r="C12758" t="inlineStr">
        <is>
          <t>Eau De Parfum</t>
        </is>
      </c>
      <c r="D12758" t="inlineStr">
        <is>
          <t>Alghabra</t>
        </is>
      </c>
      <c r="E12758" t="n">
        <v>81.94</v>
      </c>
      <c r="F12758" t="n">
        <v>1</v>
      </c>
      <c r="G12758" t="n">
        <v>4</v>
      </c>
      <c r="H12758" s="5">
        <f>HYPERLINK("https://api.qogita.com/variants/link/8681619761203/", "View Product")</f>
        <v/>
      </c>
    </row>
    <row r="12759">
      <c r="A12759" t="inlineStr">
        <is>
          <t>8681619761210</t>
        </is>
      </c>
      <c r="B12759" t="inlineStr">
        <is>
          <t>Alghabra Ottoman Treasure Perfume Extract 50ml Unisex</t>
        </is>
      </c>
      <c r="C12759" t="inlineStr">
        <is>
          <t>Extrait De Parfum</t>
        </is>
      </c>
      <c r="D12759" t="inlineStr">
        <is>
          <t>Alghabra</t>
        </is>
      </c>
      <c r="E12759" t="n">
        <v>74.77</v>
      </c>
      <c r="F12759" t="n">
        <v>1</v>
      </c>
      <c r="G12759" t="n">
        <v>5</v>
      </c>
      <c r="H12759" s="5">
        <f>HYPERLINK("https://api.qogita.com/variants/link/8681619761210/", "View Product")</f>
        <v/>
      </c>
    </row>
    <row r="12760">
      <c r="A12760" t="inlineStr">
        <is>
          <t>8683608070518</t>
        </is>
      </c>
      <c r="B12760" t="inlineStr">
        <is>
          <t>Nishane Kredo Extrait De Parfum Spray 50ml</t>
        </is>
      </c>
      <c r="C12760" t="inlineStr">
        <is>
          <t>Extrait De Parfum</t>
        </is>
      </c>
      <c r="D12760" t="inlineStr">
        <is>
          <t>Nishane</t>
        </is>
      </c>
      <c r="E12760" t="n">
        <v>111.73</v>
      </c>
      <c r="F12760" t="n">
        <v>1</v>
      </c>
      <c r="G12760" t="n">
        <v>5</v>
      </c>
      <c r="H12760" s="5">
        <f>HYPERLINK("https://api.qogita.com/variants/link/8683608070518/", "View Product")</f>
        <v/>
      </c>
    </row>
    <row r="12761">
      <c r="A12761" t="inlineStr">
        <is>
          <t>8683608071027</t>
        </is>
      </c>
      <c r="B12761" t="inlineStr">
        <is>
          <t>Nishane Fan Your Flames Extrait De Parfum Spray 100ml</t>
        </is>
      </c>
      <c r="C12761" t="inlineStr">
        <is>
          <t>Extrait De Parfum</t>
        </is>
      </c>
      <c r="D12761" t="inlineStr">
        <is>
          <t>Nishane</t>
        </is>
      </c>
      <c r="E12761" t="n">
        <v>128.59</v>
      </c>
      <c r="F12761" t="n">
        <v>1</v>
      </c>
      <c r="G12761" t="n">
        <v>14</v>
      </c>
      <c r="H12761" s="5">
        <f>HYPERLINK("https://api.qogita.com/variants/link/8683608071027/", "View Product")</f>
        <v/>
      </c>
    </row>
    <row r="12762">
      <c r="A12762" t="inlineStr">
        <is>
          <t>8683608071034</t>
        </is>
      </c>
      <c r="B12762" t="inlineStr">
        <is>
          <t>Nishane Hundred Silent Ways Extrait De Parfum Spray 50ml</t>
        </is>
      </c>
      <c r="C12762" t="inlineStr">
        <is>
          <t>Extrait De Parfum</t>
        </is>
      </c>
      <c r="D12762" t="inlineStr">
        <is>
          <t>Nishane</t>
        </is>
      </c>
      <c r="E12762" t="n">
        <v>108.11</v>
      </c>
      <c r="F12762" t="n">
        <v>1</v>
      </c>
      <c r="G12762" t="n">
        <v>5</v>
      </c>
      <c r="H12762" s="5">
        <f>HYPERLINK("https://api.qogita.com/variants/link/8683608071034/", "View Product")</f>
        <v/>
      </c>
    </row>
    <row r="12763">
      <c r="A12763" t="inlineStr">
        <is>
          <t>8683608071058</t>
        </is>
      </c>
      <c r="B12763" t="inlineStr">
        <is>
          <t>Nishane Hacivat X - A New Take on Hacivat's Global Success</t>
        </is>
      </c>
      <c r="C12763" t="inlineStr">
        <is>
          <t>Eau De Parfum</t>
        </is>
      </c>
      <c r="D12763" t="inlineStr">
        <is>
          <t>Nishane</t>
        </is>
      </c>
      <c r="E12763" t="n">
        <v>94.64</v>
      </c>
      <c r="F12763" t="n">
        <v>1</v>
      </c>
      <c r="G12763" t="n">
        <v>12</v>
      </c>
      <c r="H12763" s="5">
        <f>HYPERLINK("https://api.qogita.com/variants/link/8683608071058/", "View Product")</f>
        <v/>
      </c>
    </row>
    <row r="12764">
      <c r="A12764" t="inlineStr">
        <is>
          <t>8683608071072</t>
        </is>
      </c>
      <c r="B12764" t="inlineStr">
        <is>
          <t>Nishane Ani X Extrait De Parfum Spray 50ml</t>
        </is>
      </c>
      <c r="C12764" t="inlineStr">
        <is>
          <t>Extrait De Parfum</t>
        </is>
      </c>
      <c r="D12764" t="inlineStr">
        <is>
          <t>Nishane</t>
        </is>
      </c>
      <c r="E12764" t="n">
        <v>130.67</v>
      </c>
      <c r="F12764" t="n">
        <v>1</v>
      </c>
      <c r="G12764" t="n">
        <v>2</v>
      </c>
      <c r="H12764" s="5">
        <f>HYPERLINK("https://api.qogita.com/variants/link/8683608071072/", "View Product")</f>
        <v/>
      </c>
    </row>
    <row r="12765">
      <c r="A12765" t="inlineStr">
        <is>
          <t>8683608071225</t>
        </is>
      </c>
      <c r="B12765" t="inlineStr">
        <is>
          <t>Nishane Hacivat Extrait De Parfum Spray 100ml</t>
        </is>
      </c>
      <c r="C12765" t="inlineStr">
        <is>
          <t>Extrait De Parfum</t>
        </is>
      </c>
      <c r="D12765" t="inlineStr">
        <is>
          <t>Nishane</t>
        </is>
      </c>
      <c r="E12765" t="n">
        <v>136.17</v>
      </c>
      <c r="F12765" t="n">
        <v>1</v>
      </c>
      <c r="G12765" t="n">
        <v>917</v>
      </c>
      <c r="H12765" s="5">
        <f>HYPERLINK("https://api.qogita.com/variants/link/8683608071225/", "View Product")</f>
        <v/>
      </c>
    </row>
    <row r="12766">
      <c r="A12766" t="inlineStr">
        <is>
          <t>8683608071508</t>
        </is>
      </c>
      <c r="B12766" t="inlineStr">
        <is>
          <t>Nishane Extrait De Parfum 50ml</t>
        </is>
      </c>
      <c r="C12766" t="inlineStr">
        <is>
          <t>Extrait De Parfum</t>
        </is>
      </c>
      <c r="D12766" t="inlineStr">
        <is>
          <t>Nishane</t>
        </is>
      </c>
      <c r="E12766" t="n">
        <v>87.09999999999999</v>
      </c>
      <c r="F12766" t="n">
        <v>1</v>
      </c>
      <c r="G12766" t="n">
        <v>5</v>
      </c>
      <c r="H12766" s="5">
        <f>HYPERLINK("https://api.qogita.com/variants/link/8683608071508/", "View Product")</f>
        <v/>
      </c>
    </row>
    <row r="12767">
      <c r="A12767" t="inlineStr">
        <is>
          <t>8683608071522</t>
        </is>
      </c>
      <c r="B12767" t="inlineStr">
        <is>
          <t>Nishane Deziro Extrait Eau De Parfum Spray 100ml</t>
        </is>
      </c>
      <c r="C12767" t="inlineStr">
        <is>
          <t>Eau De Parfum</t>
        </is>
      </c>
      <c r="D12767" t="inlineStr">
        <is>
          <t>Nishane</t>
        </is>
      </c>
      <c r="E12767" t="n">
        <v>115.46</v>
      </c>
      <c r="F12767" t="n">
        <v>1</v>
      </c>
      <c r="G12767" t="n">
        <v>2</v>
      </c>
      <c r="H12767" s="5">
        <f>HYPERLINK("https://api.qogita.com/variants/link/8683608071522/", "View Product")</f>
        <v/>
      </c>
    </row>
    <row r="12768">
      <c r="A12768" t="inlineStr">
        <is>
          <t>8683608071584</t>
        </is>
      </c>
      <c r="B12768" t="inlineStr">
        <is>
          <t>Nishane Tuberoza X Extrait Eau De Parfum Spray 100ml</t>
        </is>
      </c>
      <c r="C12768" t="inlineStr">
        <is>
          <t>Eau De Parfum</t>
        </is>
      </c>
      <c r="D12768" t="inlineStr">
        <is>
          <t>Nishane</t>
        </is>
      </c>
      <c r="E12768" t="n">
        <v>148.78</v>
      </c>
      <c r="F12768" t="n">
        <v>1</v>
      </c>
      <c r="G12768" t="n">
        <v>14</v>
      </c>
      <c r="H12768" s="5">
        <f>HYPERLINK("https://api.qogita.com/variants/link/8683608071584/", "View Product")</f>
        <v/>
      </c>
    </row>
    <row r="12769">
      <c r="A12769" t="inlineStr">
        <is>
          <t>8700216026581</t>
        </is>
      </c>
      <c r="B12769" t="inlineStr">
        <is>
          <t>Gillette Satin Care Skin Smoothing Exfoliant Gentle Peeling For The Bikini Area 177 Ml</t>
        </is>
      </c>
      <c r="C12769" t="inlineStr">
        <is>
          <t>Intimate Care</t>
        </is>
      </c>
      <c r="D12769" t="inlineStr">
        <is>
          <t>Gillette</t>
        </is>
      </c>
      <c r="E12769" t="n">
        <v>11.15</v>
      </c>
      <c r="F12769" t="n">
        <v>1</v>
      </c>
      <c r="G12769" t="n">
        <v>6</v>
      </c>
      <c r="H12769" s="5">
        <f>HYPERLINK("https://api.qogita.com/variants/link/8700216026581/", "View Product")</f>
        <v/>
      </c>
    </row>
    <row r="12770">
      <c r="A12770" t="inlineStr">
        <is>
          <t>8700216074308</t>
        </is>
      </c>
      <c r="B12770" t="inlineStr">
        <is>
          <t>Gillette Mach3 Charcoal Razor + 2 Replacement Blades</t>
        </is>
      </c>
      <c r="C12770" t="inlineStr">
        <is>
          <t>Razors &amp; Hair Removal Tools</t>
        </is>
      </c>
      <c r="D12770" t="inlineStr">
        <is>
          <t>Gillette</t>
        </is>
      </c>
      <c r="E12770" t="n">
        <v>9.220000000000001</v>
      </c>
      <c r="F12770" t="n">
        <v>1</v>
      </c>
      <c r="G12770" t="n">
        <v>11</v>
      </c>
      <c r="H12770" s="5">
        <f>HYPERLINK("https://api.qogita.com/variants/link/8700216074308/", "View Product")</f>
        <v/>
      </c>
    </row>
    <row r="12771">
      <c r="A12771" t="inlineStr">
        <is>
          <t>8700216131803</t>
        </is>
      </c>
      <c r="B12771" t="inlineStr">
        <is>
          <t>Old Spice Wolfthorn Gamer Set Body Care Gift Set</t>
        </is>
      </c>
      <c r="C12771" t="inlineStr">
        <is>
          <t>Body Care Sets</t>
        </is>
      </c>
      <c r="D12771" t="inlineStr">
        <is>
          <t>Old Spice</t>
        </is>
      </c>
      <c r="E12771" t="n">
        <v>8.68</v>
      </c>
      <c r="F12771" t="n">
        <v>1</v>
      </c>
      <c r="G12771" t="n">
        <v>14</v>
      </c>
      <c r="H12771" s="5">
        <f>HYPERLINK("https://api.qogita.com/variants/link/8700216131803/", "View Product")</f>
        <v/>
      </c>
    </row>
    <row r="12772">
      <c r="A12772" t="inlineStr">
        <is>
          <t>8700216203906</t>
        </is>
      </c>
      <c r="B12772" t="inlineStr">
        <is>
          <t>Old Spice RockStar Solid Deodorant for Men - 50 ml</t>
        </is>
      </c>
      <c r="C12772" t="inlineStr">
        <is>
          <t>Deodorant &amp; Anti-Perspirant</t>
        </is>
      </c>
      <c r="D12772" t="inlineStr">
        <is>
          <t>Old Spice</t>
        </is>
      </c>
      <c r="E12772" t="n">
        <v>5.72</v>
      </c>
      <c r="F12772" t="n">
        <v>1</v>
      </c>
      <c r="G12772" t="n">
        <v>8</v>
      </c>
      <c r="H12772" s="5">
        <f>HYPERLINK("https://api.qogita.com/variants/link/8700216203906/", "View Product")</f>
        <v/>
      </c>
    </row>
    <row r="12773">
      <c r="A12773" t="inlineStr">
        <is>
          <t>8700216274746</t>
        </is>
      </c>
      <c r="B12773" t="inlineStr">
        <is>
          <t>Gillette Venus Tropical Disposable Razors - 6 Pieces</t>
        </is>
      </c>
      <c r="C12773" t="inlineStr">
        <is>
          <t>Razors &amp; Hair Removal Tools</t>
        </is>
      </c>
      <c r="D12773" t="inlineStr">
        <is>
          <t>Gillette</t>
        </is>
      </c>
      <c r="E12773" t="n">
        <v>9.83</v>
      </c>
      <c r="F12773" t="n">
        <v>1</v>
      </c>
      <c r="G12773" t="n">
        <v>5</v>
      </c>
      <c r="H12773" s="5">
        <f>HYPERLINK("https://api.qogita.com/variants/link/8700216274746/", "View Product")</f>
        <v/>
      </c>
    </row>
    <row r="12774">
      <c r="A12774" t="inlineStr">
        <is>
          <t>8700216304689</t>
        </is>
      </c>
      <c r="B12774" t="inlineStr">
        <is>
          <t>Head &amp; Shoulders Apple Fresh 2in1 Shampoo And Conditioner Antidandruff Shampoo And Conditioner</t>
        </is>
      </c>
      <c r="C12774" t="inlineStr">
        <is>
          <t>Shampoo</t>
        </is>
      </c>
      <c r="D12774" t="inlineStr">
        <is>
          <t>Head And Shoulders</t>
        </is>
      </c>
      <c r="E12774" t="n">
        <v>6.4</v>
      </c>
      <c r="F12774" t="n">
        <v>1</v>
      </c>
      <c r="G12774" t="n">
        <v>5</v>
      </c>
      <c r="H12774" s="5">
        <f>HYPERLINK("https://api.qogita.com/variants/link/8700216304689/", "View Product")</f>
        <v/>
      </c>
    </row>
    <row r="12775">
      <c r="A12775" t="inlineStr">
        <is>
          <t>8700216304733</t>
        </is>
      </c>
      <c r="B12775" t="inlineStr">
        <is>
          <t>Citrus Fresh 2in1 Shampoo and Conditioner for Oily Hair and Dandruff</t>
        </is>
      </c>
      <c r="C12775" t="inlineStr">
        <is>
          <t>Shampoo</t>
        </is>
      </c>
      <c r="D12775" t="inlineStr">
        <is>
          <t>‎- Unknown</t>
        </is>
      </c>
      <c r="E12775" t="n">
        <v>6.4</v>
      </c>
      <c r="F12775" t="n">
        <v>1</v>
      </c>
      <c r="G12775" t="n">
        <v>5</v>
      </c>
      <c r="H12775" s="5">
        <f>HYPERLINK("https://api.qogita.com/variants/link/8700216304733/", "View Product")</f>
        <v/>
      </c>
    </row>
    <row r="12776">
      <c r="A12776" t="inlineStr">
        <is>
          <t>8700216357227</t>
        </is>
      </c>
      <c r="B12776" t="inlineStr">
        <is>
          <t>Gillette Pro Glide Razor With Stand And Replacement Blades</t>
        </is>
      </c>
      <c r="C12776" t="inlineStr">
        <is>
          <t>Razors &amp; Hair Removal Tools</t>
        </is>
      </c>
      <c r="D12776" t="inlineStr">
        <is>
          <t>Gillette</t>
        </is>
      </c>
      <c r="E12776" t="n">
        <v>29.17</v>
      </c>
      <c r="F12776" t="n">
        <v>1</v>
      </c>
      <c r="G12776" t="n">
        <v>5</v>
      </c>
      <c r="H12776" s="5">
        <f>HYPERLINK("https://api.qogita.com/variants/link/8700216357227/", "View Product")</f>
        <v/>
      </c>
    </row>
    <row r="12777">
      <c r="A12777" t="inlineStr">
        <is>
          <t>8700216399807</t>
        </is>
      </c>
      <c r="B12777" t="inlineStr">
        <is>
          <t>Gillette Mach3 Charcoal Razor</t>
        </is>
      </c>
      <c r="C12777" t="inlineStr">
        <is>
          <t>Shaving</t>
        </is>
      </c>
      <c r="D12777" t="inlineStr">
        <is>
          <t>Gillette</t>
        </is>
      </c>
      <c r="E12777" t="n">
        <v>23.47</v>
      </c>
      <c r="F12777" t="n">
        <v>1</v>
      </c>
      <c r="G12777" t="n">
        <v>5</v>
      </c>
      <c r="H12777" s="5">
        <f>HYPERLINK("https://api.qogita.com/variants/link/8700216399807/", "View Product")</f>
        <v/>
      </c>
    </row>
    <row r="12778">
      <c r="A12778" t="inlineStr">
        <is>
          <t>8700216534420</t>
        </is>
      </c>
      <c r="B12778" t="inlineStr">
        <is>
          <t>Gillette Proglide Cosmetic Set</t>
        </is>
      </c>
      <c r="C12778" t="inlineStr">
        <is>
          <t>Beard Care Sets</t>
        </is>
      </c>
      <c r="D12778" t="inlineStr">
        <is>
          <t>Gillette</t>
        </is>
      </c>
      <c r="E12778" t="n">
        <v>22.61</v>
      </c>
      <c r="F12778" t="n">
        <v>1</v>
      </c>
      <c r="G12778" t="n">
        <v>29</v>
      </c>
      <c r="H12778" s="5">
        <f>HYPERLINK("https://api.qogita.com/variants/link/8700216534420/", "View Product")</f>
        <v/>
      </c>
    </row>
    <row r="12779">
      <c r="A12779" t="inlineStr">
        <is>
          <t>8700216566469</t>
        </is>
      </c>
      <c r="B12779" t="inlineStr">
        <is>
          <t>Gillette Mach3 Charcoal Gift Set</t>
        </is>
      </c>
      <c r="C12779" t="inlineStr">
        <is>
          <t>Beard Care Sets</t>
        </is>
      </c>
      <c r="D12779" t="inlineStr">
        <is>
          <t>Gillette</t>
        </is>
      </c>
      <c r="E12779" t="n">
        <v>10.63</v>
      </c>
      <c r="F12779" t="n">
        <v>1</v>
      </c>
      <c r="G12779" t="n">
        <v>29</v>
      </c>
      <c r="H12779" s="5">
        <f>HYPERLINK("https://api.qogita.com/variants/link/8700216566469/", "View Product")</f>
        <v/>
      </c>
    </row>
    <row r="12780">
      <c r="A12780" t="inlineStr">
        <is>
          <t>8700216591850</t>
        </is>
      </c>
      <c r="B12780" t="inlineStr">
        <is>
          <t>Gillette Gift Set Of Shaving Gels For Sensitive Skin - 2 X 200 Ml</t>
        </is>
      </c>
      <c r="C12780" t="inlineStr">
        <is>
          <t>Shaving Sets</t>
        </is>
      </c>
      <c r="D12780" t="inlineStr">
        <is>
          <t>Gillette</t>
        </is>
      </c>
      <c r="E12780" t="n">
        <v>8.31</v>
      </c>
      <c r="F12780" t="n">
        <v>1</v>
      </c>
      <c r="G12780" t="n">
        <v>6</v>
      </c>
      <c r="H12780" s="5">
        <f>HYPERLINK("https://api.qogita.com/variants/link/8700216591850/", "View Product")</f>
        <v/>
      </c>
    </row>
    <row r="12781">
      <c r="A12781" t="inlineStr">
        <is>
          <t>8700216639279</t>
        </is>
      </c>
      <c r="B12781" t="inlineStr">
        <is>
          <t>Old Spice Sport Power Antiperspirant Spray 150 Ml</t>
        </is>
      </c>
      <c r="C12781" t="inlineStr">
        <is>
          <t>Deodorant &amp; Anti-Perspirant</t>
        </is>
      </c>
      <c r="D12781" t="inlineStr">
        <is>
          <t>Old Spice</t>
        </is>
      </c>
      <c r="E12781" t="n">
        <v>6.58</v>
      </c>
      <c r="F12781" t="n">
        <v>1</v>
      </c>
      <c r="G12781" t="n">
        <v>8</v>
      </c>
      <c r="H12781" s="5">
        <f>HYPERLINK("https://api.qogita.com/variants/link/8700216639279/", "View Product")</f>
        <v/>
      </c>
    </row>
    <row r="12782">
      <c r="A12782" t="inlineStr">
        <is>
          <t>8700216658867</t>
        </is>
      </c>
      <c r="B12782" t="inlineStr">
        <is>
          <t>Old Spice Solid Antiperspirant Sport Power Antiperspirant Stick 50 Ml</t>
        </is>
      </c>
      <c r="C12782" t="inlineStr">
        <is>
          <t>Deodorant &amp; Anti-Perspirant</t>
        </is>
      </c>
      <c r="D12782" t="inlineStr">
        <is>
          <t>Old Spice</t>
        </is>
      </c>
      <c r="E12782" t="n">
        <v>6.53</v>
      </c>
      <c r="F12782" t="n">
        <v>1</v>
      </c>
      <c r="G12782" t="n">
        <v>15</v>
      </c>
      <c r="H12782" s="5">
        <f>HYPERLINK("https://api.qogita.com/variants/link/8700216658867/", "View Product")</f>
        <v/>
      </c>
    </row>
    <row r="12783">
      <c r="A12783" t="inlineStr">
        <is>
          <t>8700216752497</t>
        </is>
      </c>
      <c r="B12783" t="inlineStr">
        <is>
          <t>Old Spice Bearglove Deodorant Spray - 250 Ml</t>
        </is>
      </c>
      <c r="C12783" t="inlineStr">
        <is>
          <t>Deodorant &amp; Anti-Perspirant</t>
        </is>
      </c>
      <c r="D12783" t="inlineStr">
        <is>
          <t>Old Spice</t>
        </is>
      </c>
      <c r="E12783" t="n">
        <v>8.31</v>
      </c>
      <c r="F12783" t="n">
        <v>1</v>
      </c>
      <c r="G12783" t="n">
        <v>6</v>
      </c>
      <c r="H12783" s="5">
        <f>HYPERLINK("https://api.qogita.com/variants/link/8700216752497/", "View Product")</f>
        <v/>
      </c>
    </row>
    <row r="12784">
      <c r="A12784" t="inlineStr">
        <is>
          <t>8700216752527</t>
        </is>
      </c>
      <c r="B12784" t="inlineStr">
        <is>
          <t>Old Spice Night Panther Solid Deodorant Stick 85 Ml</t>
        </is>
      </c>
      <c r="C12784" t="inlineStr">
        <is>
          <t>Deodorant &amp; Anti-Perspirant</t>
        </is>
      </c>
      <c r="D12784" t="inlineStr">
        <is>
          <t>Old Spice</t>
        </is>
      </c>
      <c r="E12784" t="n">
        <v>8.31</v>
      </c>
      <c r="F12784" t="n">
        <v>1</v>
      </c>
      <c r="G12784" t="n">
        <v>9</v>
      </c>
      <c r="H12784" s="5">
        <f>HYPERLINK("https://api.qogita.com/variants/link/8700216752527/", "View Product")</f>
        <v/>
      </c>
    </row>
    <row r="12785">
      <c r="A12785" t="inlineStr">
        <is>
          <t>8700216875615</t>
        </is>
      </c>
      <c r="B12785" t="inlineStr">
        <is>
          <t>Old Spice Nightpanther Shower Gel For Men - Body, Hair, And Face Wash</t>
        </is>
      </c>
      <c r="C12785" t="inlineStr">
        <is>
          <t>Shower Gel</t>
        </is>
      </c>
      <c r="D12785" t="inlineStr">
        <is>
          <t>Old Spice</t>
        </is>
      </c>
      <c r="E12785" t="n">
        <v>6</v>
      </c>
      <c r="F12785" t="n">
        <v>1</v>
      </c>
      <c r="G12785" t="n">
        <v>8</v>
      </c>
      <c r="H12785" s="5">
        <f>HYPERLINK("https://api.qogita.com/variants/link/8700216875615/", "View Product")</f>
        <v/>
      </c>
    </row>
    <row r="12786">
      <c r="A12786" t="inlineStr">
        <is>
          <t>8700216895538</t>
        </is>
      </c>
      <c r="B12786" t="inlineStr">
        <is>
          <t>Gillette Venus Comfortglide Breeze Razor With 4 Heads</t>
        </is>
      </c>
      <c r="C12786" t="inlineStr">
        <is>
          <t>Razors &amp; Hair Removal Tools</t>
        </is>
      </c>
      <c r="D12786" t="inlineStr">
        <is>
          <t>Gillette</t>
        </is>
      </c>
      <c r="E12786" t="n">
        <v>17.46</v>
      </c>
      <c r="F12786" t="n">
        <v>1</v>
      </c>
      <c r="G12786" t="n">
        <v>6</v>
      </c>
      <c r="H12786" s="5">
        <f>HYPERLINK("https://api.qogita.com/variants/link/8700216895538/", "View Product")</f>
        <v/>
      </c>
    </row>
    <row r="12787">
      <c r="A12787" t="inlineStr">
        <is>
          <t>8710103846734</t>
        </is>
      </c>
      <c r="B12787" t="inlineStr">
        <is>
          <t>Philips Sonicare Built-in pressure sensor Sonic electric toothbrush</t>
        </is>
      </c>
      <c r="C12787" t="inlineStr">
        <is>
          <t>Electric Toothbrushes</t>
        </is>
      </c>
      <c r="D12787" t="inlineStr">
        <is>
          <t>Philips</t>
        </is>
      </c>
      <c r="E12787" t="n">
        <v>116.47</v>
      </c>
      <c r="F12787" t="n">
        <v>1</v>
      </c>
      <c r="G12787" t="n">
        <v>2</v>
      </c>
      <c r="H12787" s="5">
        <f>HYPERLINK("https://api.qogita.com/variants/link/8710103846734/", "View Product")</f>
        <v/>
      </c>
    </row>
    <row r="12788">
      <c r="A12788" t="inlineStr">
        <is>
          <t>8710522323007</t>
        </is>
      </c>
      <c r="B12788" t="inlineStr">
        <is>
          <t>TRESemme Pro Collection Keratin Smooth with Marula Oil Shampoo 400ml</t>
        </is>
      </c>
      <c r="C12788" t="inlineStr">
        <is>
          <t>Shampoo</t>
        </is>
      </c>
      <c r="D12788" t="inlineStr">
        <is>
          <t>TRESemmé</t>
        </is>
      </c>
      <c r="E12788" t="n">
        <v>6.2</v>
      </c>
      <c r="F12788" t="n">
        <v>1</v>
      </c>
      <c r="G12788" t="n">
        <v>5</v>
      </c>
      <c r="H12788" s="5">
        <f>HYPERLINK("https://api.qogita.com/variants/link/8710522323007/", "View Product")</f>
        <v/>
      </c>
    </row>
    <row r="12789">
      <c r="A12789" t="inlineStr">
        <is>
          <t>8710522323021</t>
        </is>
      </c>
      <c r="B12789" t="inlineStr">
        <is>
          <t>TRESemmé Keratin Smooth Conditioner 400ml</t>
        </is>
      </c>
      <c r="C12789" t="inlineStr">
        <is>
          <t>Conditioner</t>
        </is>
      </c>
      <c r="D12789" t="inlineStr">
        <is>
          <t>TRESemmé</t>
        </is>
      </c>
      <c r="E12789" t="n">
        <v>6.2</v>
      </c>
      <c r="F12789" t="n">
        <v>1</v>
      </c>
      <c r="G12789" t="n">
        <v>5</v>
      </c>
      <c r="H12789" s="5">
        <f>HYPERLINK("https://api.qogita.com/variants/link/8710522323021/", "View Product")</f>
        <v/>
      </c>
    </row>
    <row r="12790">
      <c r="A12790" t="inlineStr">
        <is>
          <t>8710847963469</t>
        </is>
      </c>
      <c r="B12790" t="inlineStr">
        <is>
          <t>Dove Hand Cream Essential Care 75ml</t>
        </is>
      </c>
      <c r="C12790" t="inlineStr">
        <is>
          <t>Hand Cream</t>
        </is>
      </c>
      <c r="D12790" t="inlineStr">
        <is>
          <t>Dove</t>
        </is>
      </c>
      <c r="E12790" t="n">
        <v>3.73</v>
      </c>
      <c r="F12790" t="n">
        <v>1</v>
      </c>
      <c r="G12790" t="n">
        <v>5</v>
      </c>
      <c r="H12790" s="5">
        <f>HYPERLINK("https://api.qogita.com/variants/link/8710847963469/", "View Product")</f>
        <v/>
      </c>
    </row>
    <row r="12791">
      <c r="A12791" t="inlineStr">
        <is>
          <t>8710908317828</t>
        </is>
      </c>
      <c r="B12791" t="inlineStr">
        <is>
          <t>Dove Men Care Shower Gel Cool Fresh 400 Ml</t>
        </is>
      </c>
      <c r="C12791" t="inlineStr">
        <is>
          <t>Shower Gel</t>
        </is>
      </c>
      <c r="D12791" t="inlineStr">
        <is>
          <t>Dove</t>
        </is>
      </c>
      <c r="E12791" t="n">
        <v>4.3</v>
      </c>
      <c r="F12791" t="n">
        <v>1</v>
      </c>
      <c r="G12791" t="n">
        <v>7</v>
      </c>
      <c r="H12791" s="5">
        <f>HYPERLINK("https://api.qogita.com/variants/link/8710908317828/", "View Product")</f>
        <v/>
      </c>
    </row>
    <row r="12792">
      <c r="A12792" t="inlineStr">
        <is>
          <t>8710908760716</t>
        </is>
      </c>
      <c r="B12792" t="inlineStr">
        <is>
          <t>Rexona Motionsense Active Shield Fresh Antiperspirant 48h Antiperspirant For Longterm Freshness</t>
        </is>
      </c>
      <c r="C12792" t="inlineStr">
        <is>
          <t>Deodorant &amp; Anti-Perspirant</t>
        </is>
      </c>
      <c r="D12792" t="inlineStr">
        <is>
          <t>Rexona</t>
        </is>
      </c>
      <c r="E12792" t="n">
        <v>3.95</v>
      </c>
      <c r="F12792" t="n">
        <v>1</v>
      </c>
      <c r="G12792" t="n">
        <v>5</v>
      </c>
      <c r="H12792" s="5">
        <f>HYPERLINK("https://api.qogita.com/variants/link/8710908760716/", "View Product")</f>
        <v/>
      </c>
    </row>
    <row r="12793">
      <c r="A12793" t="inlineStr">
        <is>
          <t>8710908777004</t>
        </is>
      </c>
      <c r="B12793" t="inlineStr">
        <is>
          <t>Dove Nourishing Secrets Body Lotion Glowing Care</t>
        </is>
      </c>
      <c r="C12793" t="inlineStr">
        <is>
          <t>Body Lotion</t>
        </is>
      </c>
      <c r="D12793" t="inlineStr">
        <is>
          <t>Dove</t>
        </is>
      </c>
      <c r="E12793" t="n">
        <v>5.93</v>
      </c>
      <c r="F12793" t="n">
        <v>1</v>
      </c>
      <c r="G12793" t="n">
        <v>10</v>
      </c>
      <c r="H12793" s="5">
        <f>HYPERLINK("https://api.qogita.com/variants/link/8710908777004/", "View Product")</f>
        <v/>
      </c>
    </row>
    <row r="12794">
      <c r="A12794" t="inlineStr">
        <is>
          <t>8711600350212</t>
        </is>
      </c>
      <c r="B12794" t="inlineStr">
        <is>
          <t>Rexona Motionsense Shower Clean Antiperspirant Antiperspirant In Spray</t>
        </is>
      </c>
      <c r="C12794" t="inlineStr">
        <is>
          <t>Deodorant &amp; Anti-Perspirant</t>
        </is>
      </c>
      <c r="D12794" t="inlineStr">
        <is>
          <t>Rexona</t>
        </is>
      </c>
      <c r="E12794" t="n">
        <v>3.95</v>
      </c>
      <c r="F12794" t="n">
        <v>1</v>
      </c>
      <c r="G12794" t="n">
        <v>5</v>
      </c>
      <c r="H12794" s="5">
        <f>HYPERLINK("https://api.qogita.com/variants/link/8711600350212/", "View Product")</f>
        <v/>
      </c>
    </row>
    <row r="12795">
      <c r="A12795" t="inlineStr">
        <is>
          <t>8711600831063</t>
        </is>
      </c>
      <c r="B12795" t="inlineStr">
        <is>
          <t>Rexona Maxpro Sensitive Dry Deostick For Women Maximum Protection</t>
        </is>
      </c>
      <c r="C12795" t="inlineStr">
        <is>
          <t>Deodorant &amp; Anti-Perspirant</t>
        </is>
      </c>
      <c r="D12795" t="inlineStr">
        <is>
          <t>Rexona</t>
        </is>
      </c>
      <c r="E12795" t="n">
        <v>5.92</v>
      </c>
      <c r="F12795" t="n">
        <v>1</v>
      </c>
      <c r="G12795" t="n">
        <v>4</v>
      </c>
      <c r="H12795" s="5">
        <f>HYPERLINK("https://api.qogita.com/variants/link/8711600831063/", "View Product")</f>
        <v/>
      </c>
    </row>
    <row r="12796">
      <c r="A12796" t="inlineStr">
        <is>
          <t>8711700807258</t>
        </is>
      </c>
      <c r="B12796" t="inlineStr">
        <is>
          <t>Dove Body Lotion Intensive For Very Dry Skin 250 Ml</t>
        </is>
      </c>
      <c r="C12796" t="inlineStr">
        <is>
          <t>Body Lotion</t>
        </is>
      </c>
      <c r="D12796" t="inlineStr">
        <is>
          <t>Dove</t>
        </is>
      </c>
      <c r="E12796" t="n">
        <v>5.91</v>
      </c>
      <c r="F12796" t="n">
        <v>1</v>
      </c>
      <c r="G12796" t="n">
        <v>5</v>
      </c>
      <c r="H12796" s="5">
        <f>HYPERLINK("https://api.qogita.com/variants/link/8711700807258/", "View Product")</f>
        <v/>
      </c>
    </row>
    <row r="12797">
      <c r="A12797" t="inlineStr">
        <is>
          <t>8712561521840</t>
        </is>
      </c>
      <c r="B12797" t="inlineStr">
        <is>
          <t>Rexona Maximum Protection Stress Control Deodorant Stick 45ml</t>
        </is>
      </c>
      <c r="C12797" t="inlineStr">
        <is>
          <t>Deodorant &amp; Anti-Perspirant</t>
        </is>
      </c>
      <c r="D12797" t="inlineStr">
        <is>
          <t>Rexona</t>
        </is>
      </c>
      <c r="E12797" t="n">
        <v>5.92</v>
      </c>
      <c r="F12797" t="n">
        <v>1</v>
      </c>
      <c r="G12797" t="n">
        <v>5</v>
      </c>
      <c r="H12797" s="5">
        <f>HYPERLINK("https://api.qogita.com/variants/link/8712561521840/", "View Product")</f>
        <v/>
      </c>
    </row>
    <row r="12798">
      <c r="A12798" t="inlineStr">
        <is>
          <t>8712561534444</t>
        </is>
      </c>
      <c r="B12798" t="inlineStr">
        <is>
          <t>Rexona Men Deodorant Spray 48h Invisible Black &amp; White Antiperspirant</t>
        </is>
      </c>
      <c r="C12798" t="inlineStr">
        <is>
          <t>Deodorant &amp; Anti-Perspirant</t>
        </is>
      </c>
      <c r="D12798" t="inlineStr">
        <is>
          <t>Rexona</t>
        </is>
      </c>
      <c r="E12798" t="n">
        <v>3.95</v>
      </c>
      <c r="F12798" t="n">
        <v>1</v>
      </c>
      <c r="G12798" t="n">
        <v>5</v>
      </c>
      <c r="H12798" s="5">
        <f>HYPERLINK("https://api.qogita.com/variants/link/8712561534444/", "View Product")</f>
        <v/>
      </c>
    </row>
    <row r="12799">
      <c r="A12799" t="inlineStr">
        <is>
          <t>8717163476789</t>
        </is>
      </c>
      <c r="B12799" t="inlineStr">
        <is>
          <t>Dove Nourishing Body Cream Rich Nourishment 150ml In Tin</t>
        </is>
      </c>
      <c r="C12799" t="inlineStr">
        <is>
          <t>Body Lotion</t>
        </is>
      </c>
      <c r="D12799" t="inlineStr">
        <is>
          <t>Dove</t>
        </is>
      </c>
      <c r="E12799" t="n">
        <v>4.96</v>
      </c>
      <c r="F12799" t="n">
        <v>1</v>
      </c>
      <c r="G12799" t="n">
        <v>25</v>
      </c>
      <c r="H12799" s="5">
        <f>HYPERLINK("https://api.qogita.com/variants/link/8717163476789/", "View Product")</f>
        <v/>
      </c>
    </row>
    <row r="12800">
      <c r="A12800" t="inlineStr">
        <is>
          <t>8717163673065</t>
        </is>
      </c>
      <c r="B12800" t="inlineStr">
        <is>
          <t>Dove Body Love Pro Age Body Lotion</t>
        </is>
      </c>
      <c r="C12800" t="inlineStr">
        <is>
          <t>Body Lotion</t>
        </is>
      </c>
      <c r="D12800" t="inlineStr">
        <is>
          <t>Dove</t>
        </is>
      </c>
      <c r="E12800" t="n">
        <v>6.17</v>
      </c>
      <c r="F12800" t="n">
        <v>1</v>
      </c>
      <c r="G12800" t="n">
        <v>10</v>
      </c>
      <c r="H12800" s="5">
        <f>HYPERLINK("https://api.qogita.com/variants/link/8717163673065/", "View Product")</f>
        <v/>
      </c>
    </row>
    <row r="12801">
      <c r="A12801" t="inlineStr">
        <is>
          <t>8717524072407</t>
        </is>
      </c>
      <c r="B12801" t="inlineStr">
        <is>
          <t>Purol Vaseline 50ml</t>
        </is>
      </c>
      <c r="C12801" t="inlineStr">
        <is>
          <t>Body Care Sets</t>
        </is>
      </c>
      <c r="D12801" t="inlineStr">
        <is>
          <t>Purol</t>
        </is>
      </c>
      <c r="E12801" t="n">
        <v>2.93</v>
      </c>
      <c r="F12801" t="n">
        <v>1</v>
      </c>
      <c r="G12801" t="n">
        <v>21</v>
      </c>
      <c r="H12801" s="5">
        <f>HYPERLINK("https://api.qogita.com/variants/link/8717524072407/", "View Product")</f>
        <v/>
      </c>
    </row>
    <row r="12802">
      <c r="A12802" t="inlineStr">
        <is>
          <t>8717524074067</t>
        </is>
      </c>
      <c r="B12802" t="inlineStr">
        <is>
          <t>Purol Soft Plus - 100 Ml - Body Cream</t>
        </is>
      </c>
      <c r="C12802" t="inlineStr">
        <is>
          <t>Body Lotion</t>
        </is>
      </c>
      <c r="D12802" t="inlineStr">
        <is>
          <t>Purol</t>
        </is>
      </c>
      <c r="E12802" t="n">
        <v>2.93</v>
      </c>
      <c r="F12802" t="n">
        <v>1</v>
      </c>
      <c r="G12802" t="n">
        <v>13</v>
      </c>
      <c r="H12802" s="5">
        <f>HYPERLINK("https://api.qogita.com/variants/link/8717524074067/", "View Product")</f>
        <v/>
      </c>
    </row>
    <row r="12803">
      <c r="A12803" t="inlineStr">
        <is>
          <t>8717524074906</t>
        </is>
      </c>
      <c r="B12803" t="inlineStr">
        <is>
          <t>Bac Deostick Classic Man</t>
        </is>
      </c>
      <c r="C12803" t="inlineStr">
        <is>
          <t>Deodorant &amp; Anti-Perspirant</t>
        </is>
      </c>
      <c r="D12803" t="inlineStr">
        <is>
          <t>Bac</t>
        </is>
      </c>
      <c r="E12803" t="n">
        <v>2.52</v>
      </c>
      <c r="F12803" t="n">
        <v>1</v>
      </c>
      <c r="G12803" t="n">
        <v>225</v>
      </c>
      <c r="H12803" s="5">
        <f>HYPERLINK("https://api.qogita.com/variants/link/8717524074906/", "View Product")</f>
        <v/>
      </c>
    </row>
    <row r="12804">
      <c r="A12804" t="inlineStr">
        <is>
          <t>8717524075255</t>
        </is>
      </c>
      <c r="B12804" t="inlineStr">
        <is>
          <t>Aok Mattifying Day Care with White Tea 50ml</t>
        </is>
      </c>
      <c r="C12804" t="inlineStr">
        <is>
          <t>Day Cream</t>
        </is>
      </c>
      <c r="D12804" t="inlineStr">
        <is>
          <t>Aok</t>
        </is>
      </c>
      <c r="E12804" t="n">
        <v>3.56</v>
      </c>
      <c r="F12804" t="n">
        <v>1</v>
      </c>
      <c r="G12804" t="n">
        <v>9</v>
      </c>
      <c r="H12804" s="5">
        <f>HYPERLINK("https://api.qogita.com/variants/link/8717524075255/", "View Product")</f>
        <v/>
      </c>
    </row>
    <row r="12805">
      <c r="A12805" t="inlineStr">
        <is>
          <t>8717524077426</t>
        </is>
      </c>
      <c r="B12805" t="inlineStr">
        <is>
          <t>Purol Lipstick</t>
        </is>
      </c>
      <c r="C12805" t="inlineStr">
        <is>
          <t>Lipstick</t>
        </is>
      </c>
      <c r="D12805" t="inlineStr">
        <is>
          <t>Rarewaves</t>
        </is>
      </c>
      <c r="E12805" t="n">
        <v>2.93</v>
      </c>
      <c r="F12805" t="n">
        <v>1</v>
      </c>
      <c r="G12805" t="n">
        <v>20</v>
      </c>
      <c r="H12805" s="5">
        <f>HYPERLINK("https://api.qogita.com/variants/link/8717524077426/", "View Product")</f>
        <v/>
      </c>
    </row>
    <row r="12806">
      <c r="A12806" t="inlineStr">
        <is>
          <t>8717524078492</t>
        </is>
      </c>
      <c r="B12806" t="inlineStr">
        <is>
          <t>Satina Shea Butter Cream with Mineral-Vitamin Complex 150ml</t>
        </is>
      </c>
      <c r="C12806" t="inlineStr">
        <is>
          <t>Body Butter</t>
        </is>
      </c>
      <c r="D12806" t="inlineStr">
        <is>
          <t>Satina</t>
        </is>
      </c>
      <c r="E12806" t="n">
        <v>2.93</v>
      </c>
      <c r="F12806" t="n">
        <v>1</v>
      </c>
      <c r="G12806" t="n">
        <v>79</v>
      </c>
      <c r="H12806" s="5">
        <f>HYPERLINK("https://api.qogita.com/variants/link/8717524078492/", "View Product")</f>
        <v/>
      </c>
    </row>
    <row r="12807">
      <c r="A12807" t="inlineStr">
        <is>
          <t>8717774840016</t>
        </is>
      </c>
      <c r="B12807" t="inlineStr">
        <is>
          <t>Nasomatto Narcotic V. Woman Extrait De Parfum Spray 30ml</t>
        </is>
      </c>
      <c r="C12807" t="inlineStr">
        <is>
          <t>Extrait De Parfum</t>
        </is>
      </c>
      <c r="D12807" t="inlineStr">
        <is>
          <t>Nasomatto</t>
        </is>
      </c>
      <c r="E12807" t="n">
        <v>102.74</v>
      </c>
      <c r="F12807" t="n">
        <v>1</v>
      </c>
      <c r="G12807" t="n">
        <v>9</v>
      </c>
      <c r="H12807" s="5">
        <f>HYPERLINK("https://api.qogita.com/variants/link/8717774840016/", "View Product")</f>
        <v/>
      </c>
    </row>
    <row r="12808">
      <c r="A12808" t="inlineStr">
        <is>
          <t>8717774840290</t>
        </is>
      </c>
      <c r="B12808" t="inlineStr">
        <is>
          <t>Nasomatto Pardon Extrait De Parfum Spray 30ml</t>
        </is>
      </c>
      <c r="C12808" t="inlineStr">
        <is>
          <t>Extrait De Parfum</t>
        </is>
      </c>
      <c r="D12808" t="inlineStr">
        <is>
          <t>Nasomatto</t>
        </is>
      </c>
      <c r="E12808" t="n">
        <v>103.16</v>
      </c>
      <c r="F12808" t="n">
        <v>1</v>
      </c>
      <c r="G12808" t="n">
        <v>3</v>
      </c>
      <c r="H12808" s="5">
        <f>HYPERLINK("https://api.qogita.com/variants/link/8717774840290/", "View Product")</f>
        <v/>
      </c>
    </row>
    <row r="12809">
      <c r="A12809" t="inlineStr">
        <is>
          <t>8717774840320</t>
        </is>
      </c>
      <c r="B12809" t="inlineStr">
        <is>
          <t>Nasomatto Baraonda Extrait De Parfum Spray 30ml</t>
        </is>
      </c>
      <c r="C12809" t="inlineStr">
        <is>
          <t>Extrait De Parfum</t>
        </is>
      </c>
      <c r="D12809" t="inlineStr">
        <is>
          <t>Nasomatto</t>
        </is>
      </c>
      <c r="E12809" t="n">
        <v>105.55</v>
      </c>
      <c r="F12809" t="n">
        <v>1</v>
      </c>
      <c r="G12809" t="n">
        <v>6</v>
      </c>
      <c r="H12809" s="5">
        <f>HYPERLINK("https://api.qogita.com/variants/link/8717774840320/", "View Product")</f>
        <v/>
      </c>
    </row>
    <row r="12810">
      <c r="A12810" t="inlineStr">
        <is>
          <t>8717774840849</t>
        </is>
      </c>
      <c r="B12810" t="inlineStr">
        <is>
          <t>Orto Parisi Boccanera Eau De Parfum Spray 50ml</t>
        </is>
      </c>
      <c r="C12810" t="inlineStr">
        <is>
          <t>Eau De Parfum</t>
        </is>
      </c>
      <c r="D12810" t="inlineStr">
        <is>
          <t>Orto Parisi</t>
        </is>
      </c>
      <c r="E12810" t="n">
        <v>117.09</v>
      </c>
      <c r="F12810" t="n">
        <v>1</v>
      </c>
      <c r="G12810" t="n">
        <v>7</v>
      </c>
      <c r="H12810" s="5">
        <f>HYPERLINK("https://api.qogita.com/variants/link/8717774840849/", "View Product")</f>
        <v/>
      </c>
    </row>
    <row r="12811">
      <c r="A12811" t="inlineStr">
        <is>
          <t>8717774840887</t>
        </is>
      </c>
      <c r="B12811" t="inlineStr">
        <is>
          <t>Orto Parisi Cuoium Parfum 50ml</t>
        </is>
      </c>
      <c r="C12811" t="inlineStr">
        <is>
          <t>Eau De Parfum</t>
        </is>
      </c>
      <c r="D12811" t="inlineStr">
        <is>
          <t>Orto Parisi</t>
        </is>
      </c>
      <c r="E12811" t="n">
        <v>124.94</v>
      </c>
      <c r="F12811" t="n">
        <v>1</v>
      </c>
      <c r="G12811" t="n">
        <v>2</v>
      </c>
      <c r="H12811" s="5">
        <f>HYPERLINK("https://api.qogita.com/variants/link/8717774840887/", "View Product")</f>
        <v/>
      </c>
    </row>
    <row r="12812">
      <c r="A12812" t="inlineStr">
        <is>
          <t>8718951034983</t>
        </is>
      </c>
      <c r="B12812" t="inlineStr">
        <is>
          <t>Elmex Dental Enamel Protection Professional Toothpaste 75 Ml</t>
        </is>
      </c>
      <c r="C12812" t="inlineStr">
        <is>
          <t>Toothpaste</t>
        </is>
      </c>
      <c r="D12812" t="inlineStr">
        <is>
          <t>Elmex</t>
        </is>
      </c>
      <c r="E12812" t="n">
        <v>6.57</v>
      </c>
      <c r="F12812" t="n">
        <v>1</v>
      </c>
      <c r="G12812" t="n">
        <v>2</v>
      </c>
      <c r="H12812" s="5">
        <f>HYPERLINK("https://api.qogita.com/variants/link/8718951034983/", "View Product")</f>
        <v/>
      </c>
    </row>
    <row r="12813">
      <c r="A12813" t="inlineStr">
        <is>
          <t>8718951386945</t>
        </is>
      </c>
      <c r="B12813" t="inlineStr">
        <is>
          <t>Elmex Interdental Brush Iso 0 04 Mm 8 Pieces</t>
        </is>
      </c>
      <c r="C12813" t="inlineStr">
        <is>
          <t>Mouth &amp; Gum Care</t>
        </is>
      </c>
      <c r="D12813" t="inlineStr">
        <is>
          <t>Elmex</t>
        </is>
      </c>
      <c r="E12813" t="n">
        <v>7.41</v>
      </c>
      <c r="F12813" t="n">
        <v>1</v>
      </c>
      <c r="G12813" t="n">
        <v>14</v>
      </c>
      <c r="H12813" s="5">
        <f>HYPERLINK("https://api.qogita.com/variants/link/8718951386945/", "View Product")</f>
        <v/>
      </c>
    </row>
    <row r="12814">
      <c r="A12814" t="inlineStr">
        <is>
          <t>8718951435407</t>
        </is>
      </c>
      <c r="B12814" t="inlineStr">
        <is>
          <t>Elmex Super Soft Multipack Toothbrush 3 Pieces</t>
        </is>
      </c>
      <c r="C12814" t="inlineStr">
        <is>
          <t>Toothbrushes &amp; Tongue Cleaners</t>
        </is>
      </c>
      <c r="D12814" t="inlineStr">
        <is>
          <t>Elmex</t>
        </is>
      </c>
      <c r="E12814" t="n">
        <v>9.06</v>
      </c>
      <c r="F12814" t="n">
        <v>1</v>
      </c>
      <c r="G12814" t="n">
        <v>7</v>
      </c>
      <c r="H12814" s="5">
        <f>HYPERLINK("https://api.qogita.com/variants/link/8718951435407/", "View Product")</f>
        <v/>
      </c>
    </row>
    <row r="12815">
      <c r="A12815" t="inlineStr">
        <is>
          <t>8718951663480</t>
        </is>
      </c>
      <c r="B12815" t="inlineStr">
        <is>
          <t>Elmex Opti-Namel Daily Repair Toothpaste 75 Ml</t>
        </is>
      </c>
      <c r="C12815" t="inlineStr">
        <is>
          <t>Toothpaste</t>
        </is>
      </c>
      <c r="D12815" t="inlineStr">
        <is>
          <t>Elmex</t>
        </is>
      </c>
      <c r="E12815" t="n">
        <v>5.42</v>
      </c>
      <c r="F12815" t="n">
        <v>1</v>
      </c>
      <c r="G12815" t="n">
        <v>4</v>
      </c>
      <c r="H12815" s="5">
        <f>HYPERLINK("https://api.qogita.com/variants/link/8718951663480/", "View Product")</f>
        <v/>
      </c>
    </row>
    <row r="12816">
      <c r="A12816" t="inlineStr">
        <is>
          <t>8718951667037</t>
        </is>
      </c>
      <c r="B12816" t="inlineStr">
        <is>
          <t>Elmex Toothbrush For Deep Cleaning Of Interdental Spaces Expert Precision Caries Protection</t>
        </is>
      </c>
      <c r="C12816" t="inlineStr">
        <is>
          <t>Toothbrushes &amp; Tongue Cleaners</t>
        </is>
      </c>
      <c r="D12816" t="inlineStr">
        <is>
          <t>Elmex</t>
        </is>
      </c>
      <c r="E12816" t="n">
        <v>4.88</v>
      </c>
      <c r="F12816" t="n">
        <v>1</v>
      </c>
      <c r="G12816" t="n">
        <v>3</v>
      </c>
      <c r="H12816" s="5">
        <f>HYPERLINK("https://api.qogita.com/variants/link/8718951667037/", "View Product")</f>
        <v/>
      </c>
    </row>
    <row r="12817">
      <c r="A12817" t="inlineStr">
        <is>
          <t>8719134011647</t>
        </is>
      </c>
      <c r="B12817" t="inlineStr">
        <is>
          <t>RITUALS The Ritual of Namasté Anti-Aging Night Cream Glow Collection 50ml</t>
        </is>
      </c>
      <c r="C12817" t="inlineStr">
        <is>
          <t>Night Cream</t>
        </is>
      </c>
      <c r="D12817" t="inlineStr">
        <is>
          <t>Rituals</t>
        </is>
      </c>
      <c r="E12817" t="n">
        <v>30.7</v>
      </c>
      <c r="F12817" t="n">
        <v>1</v>
      </c>
      <c r="G12817" t="n">
        <v>2</v>
      </c>
      <c r="H12817" s="5">
        <f>HYPERLINK("https://api.qogita.com/variants/link/8719134011647/", "View Product")</f>
        <v/>
      </c>
    </row>
    <row r="12818">
      <c r="A12818" t="inlineStr">
        <is>
          <t>8719134146493</t>
        </is>
      </c>
      <c r="B12818" t="inlineStr">
        <is>
          <t>Rituals The Ritual Of Karma Instant Care Hand Lotion 70 Ml</t>
        </is>
      </c>
      <c r="C12818" t="inlineStr">
        <is>
          <t>Hand Cream</t>
        </is>
      </c>
      <c r="D12818" t="inlineStr">
        <is>
          <t>Rituals</t>
        </is>
      </c>
      <c r="E12818" t="n">
        <v>8.470000000000001</v>
      </c>
      <c r="F12818" t="n">
        <v>1</v>
      </c>
      <c r="G12818" t="n">
        <v>82</v>
      </c>
      <c r="H12818" s="5">
        <f>HYPERLINK("https://api.qogita.com/variants/link/8719134146493/", "View Product")</f>
        <v/>
      </c>
    </row>
    <row r="12819">
      <c r="A12819" t="inlineStr">
        <is>
          <t>8719134152517</t>
        </is>
      </c>
      <c r="B12819" t="inlineStr">
        <is>
          <t>Rituals The Ritual Of Karma Soul Shimmering Body Oil 100ml Glittering Body Oil</t>
        </is>
      </c>
      <c r="C12819" t="inlineStr">
        <is>
          <t>Body Oil</t>
        </is>
      </c>
      <c r="D12819" t="inlineStr">
        <is>
          <t>Rituals</t>
        </is>
      </c>
      <c r="E12819" t="n">
        <v>15.68</v>
      </c>
      <c r="F12819" t="n">
        <v>1</v>
      </c>
      <c r="G12819" t="n">
        <v>5</v>
      </c>
      <c r="H12819" s="5">
        <f>HYPERLINK("https://api.qogita.com/variants/link/8719134152517/", "View Product")</f>
        <v/>
      </c>
    </row>
    <row r="12820">
      <c r="A12820" t="inlineStr">
        <is>
          <t>8719134152760</t>
        </is>
      </c>
      <c r="B12820" t="inlineStr">
        <is>
          <t>Rituals The Ritual Of Karma Softening Body Scrub 300g</t>
        </is>
      </c>
      <c r="C12820" t="inlineStr">
        <is>
          <t>Body Scrub &amp; Peeling</t>
        </is>
      </c>
      <c r="D12820" t="inlineStr">
        <is>
          <t>Rituals</t>
        </is>
      </c>
      <c r="E12820" t="n">
        <v>11.97</v>
      </c>
      <c r="F12820" t="n">
        <v>1</v>
      </c>
      <c r="G12820" t="n">
        <v>54</v>
      </c>
      <c r="H12820" s="5">
        <f>HYPERLINK("https://api.qogita.com/variants/link/8719134152760/", "View Product")</f>
        <v/>
      </c>
    </row>
    <row r="12821">
      <c r="A12821" t="inlineStr">
        <is>
          <t>8719134152784</t>
        </is>
      </c>
      <c r="B12821" t="inlineStr">
        <is>
          <t>RITUALS The Rituals of Karma After Sun Hydrating Lotion 200ml</t>
        </is>
      </c>
      <c r="C12821" t="inlineStr">
        <is>
          <t>Aftersun</t>
        </is>
      </c>
      <c r="D12821" t="inlineStr">
        <is>
          <t>Rituals</t>
        </is>
      </c>
      <c r="E12821" t="n">
        <v>13.02</v>
      </c>
      <c r="F12821" t="n">
        <v>1</v>
      </c>
      <c r="G12821" t="n">
        <v>57</v>
      </c>
      <c r="H12821" s="5">
        <f>HYPERLINK("https://api.qogita.com/variants/link/8719134152784/", "View Product")</f>
        <v/>
      </c>
    </row>
    <row r="12822">
      <c r="A12822" t="inlineStr">
        <is>
          <t>8719134161311</t>
        </is>
      </c>
      <c r="B12822" t="inlineStr">
        <is>
          <t>Rituals The Ritual Of Sakura Body Cream Magic Touch 220ml</t>
        </is>
      </c>
      <c r="C12822" t="inlineStr">
        <is>
          <t>Body Butter</t>
        </is>
      </c>
      <c r="D12822" t="inlineStr">
        <is>
          <t>Rituals</t>
        </is>
      </c>
      <c r="E12822" t="n">
        <v>15.74</v>
      </c>
      <c r="F12822" t="n">
        <v>1</v>
      </c>
      <c r="G12822" t="n">
        <v>9</v>
      </c>
      <c r="H12822" s="5">
        <f>HYPERLINK("https://api.qogita.com/variants/link/8719134161311/", "View Product")</f>
        <v/>
      </c>
    </row>
    <row r="12823">
      <c r="A12823" t="inlineStr">
        <is>
          <t>8719134180664</t>
        </is>
      </c>
      <c r="B12823" t="inlineStr">
        <is>
          <t>Rituals Jing Fragrance Sticks 250ml</t>
        </is>
      </c>
      <c r="C12823" t="inlineStr">
        <is>
          <t>Diffusers</t>
        </is>
      </c>
      <c r="D12823" t="inlineStr">
        <is>
          <t>Rituals</t>
        </is>
      </c>
      <c r="E12823" t="n">
        <v>25.75</v>
      </c>
      <c r="F12823" t="n">
        <v>1</v>
      </c>
      <c r="G12823" t="n">
        <v>5</v>
      </c>
      <c r="H12823" s="5">
        <f>HYPERLINK("https://api.qogita.com/variants/link/8719134180664/", "View Product")</f>
        <v/>
      </c>
    </row>
    <row r="12824">
      <c r="A12824" t="inlineStr">
        <is>
          <t>8719134184518</t>
        </is>
      </c>
      <c r="B12824" t="inlineStr">
        <is>
          <t>Rituals The Ritual Of Jing Medium 2024 Gift Set</t>
        </is>
      </c>
      <c r="C12824" t="inlineStr">
        <is>
          <t>Body Care Sets</t>
        </is>
      </c>
      <c r="D12824" t="inlineStr">
        <is>
          <t>Rituals</t>
        </is>
      </c>
      <c r="E12824" t="n">
        <v>30.74</v>
      </c>
      <c r="F12824" t="n">
        <v>1</v>
      </c>
      <c r="G12824" t="n">
        <v>2</v>
      </c>
      <c r="H12824" s="5">
        <f>HYPERLINK("https://api.qogita.com/variants/link/8719134184518/", "View Product")</f>
        <v/>
      </c>
    </row>
    <row r="12825">
      <c r="A12825" t="inlineStr">
        <is>
          <t>8719134204506</t>
        </is>
      </c>
      <c r="B12825" t="inlineStr">
        <is>
          <t>Rituals Wreath Advent Calendar 2025</t>
        </is>
      </c>
      <c r="C12825" t="inlineStr">
        <is>
          <t>Candles</t>
        </is>
      </c>
      <c r="D12825" t="inlineStr">
        <is>
          <t>Rituals</t>
        </is>
      </c>
      <c r="E12825" t="n">
        <v>120.65</v>
      </c>
      <c r="F12825" t="n">
        <v>1</v>
      </c>
      <c r="G12825" t="n">
        <v>176</v>
      </c>
      <c r="H12825" s="5">
        <f>HYPERLINK("https://api.qogita.com/variants/link/8719134204506/", "View Product")</f>
        <v/>
      </c>
    </row>
    <row r="12826">
      <c r="A12826" t="inlineStr">
        <is>
          <t>8719189451382</t>
        </is>
      </c>
      <c r="B12826" t="inlineStr">
        <is>
          <t>Naif Relaxing Bath Foam Baby &amp; Kids 500 Ml</t>
        </is>
      </c>
      <c r="C12826" t="inlineStr">
        <is>
          <t>Baby Bath</t>
        </is>
      </c>
      <c r="D12826" t="inlineStr">
        <is>
          <t>Naïf</t>
        </is>
      </c>
      <c r="E12826" t="n">
        <v>15.65</v>
      </c>
      <c r="F12826" t="n">
        <v>1</v>
      </c>
      <c r="G12826" t="n">
        <v>5</v>
      </c>
      <c r="H12826" s="5">
        <f>HYPERLINK("https://api.qogita.com/variants/link/8719189451382/", "View Product")</f>
        <v/>
      </c>
    </row>
    <row r="12827">
      <c r="A12827" t="inlineStr">
        <is>
          <t>8719327731789</t>
        </is>
      </c>
      <c r="B12827" t="inlineStr">
        <is>
          <t>Francesca Bianchi The Dark Side Extrait De Parfum 3.38 Oz</t>
        </is>
      </c>
      <c r="C12827" t="inlineStr">
        <is>
          <t>Extrait De Parfum</t>
        </is>
      </c>
      <c r="D12827" t="inlineStr">
        <is>
          <t>Francesca Bianchi</t>
        </is>
      </c>
      <c r="E12827" t="n">
        <v>129.73</v>
      </c>
      <c r="F12827" t="n">
        <v>1</v>
      </c>
      <c r="G12827" t="n">
        <v>3</v>
      </c>
      <c r="H12827" s="5">
        <f>HYPERLINK("https://api.qogita.com/variants/link/8719327731789/", "View Product")</f>
        <v/>
      </c>
    </row>
    <row r="12828">
      <c r="A12828" t="inlineStr">
        <is>
          <t>8720181061714</t>
        </is>
      </c>
      <c r="B12828" t="inlineStr">
        <is>
          <t>Vaseline Rosy Tinted Lip Balm 10g</t>
        </is>
      </c>
      <c r="C12828" t="inlineStr">
        <is>
          <t>Lip Balm</t>
        </is>
      </c>
      <c r="D12828" t="inlineStr">
        <is>
          <t>Vaseline</t>
        </is>
      </c>
      <c r="E12828" t="n">
        <v>4.45</v>
      </c>
      <c r="F12828" t="n">
        <v>1</v>
      </c>
      <c r="G12828" t="n">
        <v>9</v>
      </c>
      <c r="H12828" s="5">
        <f>HYPERLINK("https://api.qogita.com/variants/link/8720181061714/", "View Product")</f>
        <v/>
      </c>
    </row>
    <row r="12829">
      <c r="A12829" t="inlineStr">
        <is>
          <t>8720181101250</t>
        </is>
      </c>
      <c r="B12829" t="inlineStr">
        <is>
          <t>Vaseline Expert Care Dry Skin Healing Balm</t>
        </is>
      </c>
      <c r="C12829" t="inlineStr">
        <is>
          <t>Acne</t>
        </is>
      </c>
      <c r="D12829" t="inlineStr">
        <is>
          <t>Vaseline</t>
        </is>
      </c>
      <c r="E12829" t="n">
        <v>6.61</v>
      </c>
      <c r="F12829" t="n">
        <v>1</v>
      </c>
      <c r="G12829" t="n">
        <v>5</v>
      </c>
      <c r="H12829" s="5">
        <f>HYPERLINK("https://api.qogita.com/variants/link/8720181101250/", "View Product")</f>
        <v/>
      </c>
    </row>
    <row r="12830">
      <c r="A12830" t="inlineStr">
        <is>
          <t>8720181101939</t>
        </is>
      </c>
      <c r="B12830" t="inlineStr">
        <is>
          <t>Rexona Men Invisible Fresh Power Antiperspirant Spray For Men</t>
        </is>
      </c>
      <c r="C12830" t="inlineStr">
        <is>
          <t>Deodorant &amp; Anti-Perspirant</t>
        </is>
      </c>
      <c r="D12830" t="inlineStr">
        <is>
          <t>Rexona</t>
        </is>
      </c>
      <c r="E12830" t="n">
        <v>3.95</v>
      </c>
      <c r="F12830" t="n">
        <v>1</v>
      </c>
      <c r="G12830" t="n">
        <v>5</v>
      </c>
      <c r="H12830" s="5">
        <f>HYPERLINK("https://api.qogita.com/variants/link/8720181101939/", "View Product")</f>
        <v/>
      </c>
    </row>
    <row r="12831">
      <c r="A12831" t="inlineStr">
        <is>
          <t>8720181114533</t>
        </is>
      </c>
      <c r="B12831" t="inlineStr">
        <is>
          <t>Axee Ice Chill Deodorant Frozen Mint And Lemon 150ml Spray Men's Deodorant</t>
        </is>
      </c>
      <c r="C12831" t="inlineStr">
        <is>
          <t>Deodorant &amp; Anti-Perspirant</t>
        </is>
      </c>
      <c r="D12831" t="inlineStr">
        <is>
          <t>Axe</t>
        </is>
      </c>
      <c r="E12831" t="n">
        <v>3.02</v>
      </c>
      <c r="F12831" t="n">
        <v>1</v>
      </c>
      <c r="G12831" t="n">
        <v>5</v>
      </c>
      <c r="H12831" s="5">
        <f>HYPERLINK("https://api.qogita.com/variants/link/8720181114533/", "View Product")</f>
        <v/>
      </c>
    </row>
    <row r="12832">
      <c r="A12832" t="inlineStr">
        <is>
          <t>8720181225451</t>
        </is>
      </c>
      <c r="B12832" t="inlineStr">
        <is>
          <t>Dove Men Care Shower Gel Sensitive 3 In 1 Body Face And Hair Wash</t>
        </is>
      </c>
      <c r="C12832" t="inlineStr">
        <is>
          <t>Shower Gel</t>
        </is>
      </c>
      <c r="D12832" t="inlineStr">
        <is>
          <t>Dove</t>
        </is>
      </c>
      <c r="E12832" t="n">
        <v>4.3</v>
      </c>
      <c r="F12832" t="n">
        <v>1</v>
      </c>
      <c r="G12832" t="n">
        <v>10</v>
      </c>
      <c r="H12832" s="5">
        <f>HYPERLINK("https://api.qogita.com/variants/link/8720181225451/", "View Product")</f>
        <v/>
      </c>
    </row>
    <row r="12833">
      <c r="A12833" t="inlineStr">
        <is>
          <t>8720181260544</t>
        </is>
      </c>
      <c r="B12833" t="inlineStr">
        <is>
          <t>Dove Body Love Summer Revived 200ml</t>
        </is>
      </c>
      <c r="C12833" t="inlineStr">
        <is>
          <t>Body Lotion</t>
        </is>
      </c>
      <c r="D12833" t="inlineStr">
        <is>
          <t>Dove</t>
        </is>
      </c>
      <c r="E12833" t="n">
        <v>6.4</v>
      </c>
      <c r="F12833" t="n">
        <v>1</v>
      </c>
      <c r="G12833" t="n">
        <v>6</v>
      </c>
      <c r="H12833" s="5">
        <f>HYPERLINK("https://api.qogita.com/variants/link/8720181260544/", "View Product")</f>
        <v/>
      </c>
    </row>
    <row r="12834">
      <c r="A12834" t="inlineStr">
        <is>
          <t>8720181284458</t>
        </is>
      </c>
      <c r="B12834" t="inlineStr">
        <is>
          <t>Dove Men Care Advanced Sport Fresh Antiperspirant Spray 150 Ml</t>
        </is>
      </c>
      <c r="C12834" t="inlineStr">
        <is>
          <t>Deodorant &amp; Anti-Perspirant</t>
        </is>
      </c>
      <c r="D12834" t="inlineStr">
        <is>
          <t>Dove</t>
        </is>
      </c>
      <c r="E12834" t="n">
        <v>4.33</v>
      </c>
      <c r="F12834" t="n">
        <v>1</v>
      </c>
      <c r="G12834" t="n">
        <v>5</v>
      </c>
      <c r="H12834" s="5">
        <f>HYPERLINK("https://api.qogita.com/variants/link/8720181284458/", "View Product")</f>
        <v/>
      </c>
    </row>
    <row r="12835">
      <c r="A12835" t="inlineStr">
        <is>
          <t>8720181284892</t>
        </is>
      </c>
      <c r="B12835" t="inlineStr">
        <is>
          <t>Dove Mencare Advanced Cool Fresh Antiperspirant Spray 150 Ml</t>
        </is>
      </c>
      <c r="C12835" t="inlineStr">
        <is>
          <t>Deodorant &amp; Anti-Perspirant</t>
        </is>
      </c>
      <c r="D12835" t="inlineStr">
        <is>
          <t>Dove</t>
        </is>
      </c>
      <c r="E12835" t="n">
        <v>4.33</v>
      </c>
      <c r="F12835" t="n">
        <v>1</v>
      </c>
      <c r="G12835" t="n">
        <v>5</v>
      </c>
      <c r="H12835" s="5">
        <f>HYPERLINK("https://api.qogita.com/variants/link/8720181284892/", "View Product")</f>
        <v/>
      </c>
    </row>
    <row r="12836">
      <c r="A12836" t="inlineStr">
        <is>
          <t>8720181291722</t>
        </is>
      </c>
      <c r="B12836" t="inlineStr">
        <is>
          <t>Dove Advanced Care Antiperspirant Spray Passion Fruit &amp; Lemongrass 150 Ml 72h Protection</t>
        </is>
      </c>
      <c r="C12836" t="inlineStr">
        <is>
          <t>Deodorant &amp; Anti-Perspirant</t>
        </is>
      </c>
      <c r="D12836" t="inlineStr">
        <is>
          <t>Dove</t>
        </is>
      </c>
      <c r="E12836" t="n">
        <v>4.33</v>
      </c>
      <c r="F12836" t="n">
        <v>1</v>
      </c>
      <c r="G12836" t="n">
        <v>11</v>
      </c>
      <c r="H12836" s="5">
        <f>HYPERLINK("https://api.qogita.com/variants/link/8720181291722/", "View Product")</f>
        <v/>
      </c>
    </row>
    <row r="12837">
      <c r="A12837" t="inlineStr">
        <is>
          <t>8720181291791</t>
        </is>
      </c>
      <c r="B12837" t="inlineStr">
        <is>
          <t>Dove Advanced Care Go Fresh Pomegranate &amp; Lemon Verbena Antiperspirant Spray 150 Ml</t>
        </is>
      </c>
      <c r="C12837" t="inlineStr">
        <is>
          <t>Deodorant &amp; Anti-Perspirant</t>
        </is>
      </c>
      <c r="D12837" t="inlineStr">
        <is>
          <t>Dove</t>
        </is>
      </c>
      <c r="E12837" t="n">
        <v>4.33</v>
      </c>
      <c r="F12837" t="n">
        <v>1</v>
      </c>
      <c r="G12837" t="n">
        <v>3</v>
      </c>
      <c r="H12837" s="5">
        <f>HYPERLINK("https://api.qogita.com/variants/link/8720181291791/", "View Product")</f>
        <v/>
      </c>
    </row>
    <row r="12838">
      <c r="A12838" t="inlineStr">
        <is>
          <t>8720181402340</t>
        </is>
      </c>
      <c r="B12838" t="inlineStr">
        <is>
          <t>Dove Ultra Care Aloe Vera Rose Water 400ml Body Lotion</t>
        </is>
      </c>
      <c r="C12838" t="inlineStr">
        <is>
          <t>Body Lotion</t>
        </is>
      </c>
      <c r="D12838" t="inlineStr">
        <is>
          <t>Dove</t>
        </is>
      </c>
      <c r="E12838" t="n">
        <v>4.84</v>
      </c>
      <c r="F12838" t="n">
        <v>1</v>
      </c>
      <c r="G12838" t="n">
        <v>3</v>
      </c>
      <c r="H12838" s="5">
        <f>HYPERLINK("https://api.qogita.com/variants/link/8720181402340/", "View Product")</f>
        <v/>
      </c>
    </row>
    <row r="12839">
      <c r="A12839" t="inlineStr">
        <is>
          <t>8720181460135</t>
        </is>
      </c>
      <c r="B12839" t="inlineStr">
        <is>
          <t>Dove Advanced Care Reviving Body Wash 400 Ml</t>
        </is>
      </c>
      <c r="C12839" t="inlineStr">
        <is>
          <t>Shower Gel</t>
        </is>
      </c>
      <c r="D12839" t="inlineStr">
        <is>
          <t>Dove</t>
        </is>
      </c>
      <c r="E12839" t="n">
        <v>5.54</v>
      </c>
      <c r="F12839" t="n">
        <v>1</v>
      </c>
      <c r="G12839" t="n">
        <v>5</v>
      </c>
      <c r="H12839" s="5">
        <f>HYPERLINK("https://api.qogita.com/variants/link/8720181460135/", "View Product")</f>
        <v/>
      </c>
    </row>
    <row r="12840">
      <c r="A12840" t="inlineStr">
        <is>
          <t>8720181565830</t>
        </is>
      </c>
      <c r="B12840" t="inlineStr">
        <is>
          <t>Dove Advanced Care Antiperspirant Spray Dragon Fruit &amp; Coconut Cream - 150 Ml</t>
        </is>
      </c>
      <c r="C12840" t="inlineStr">
        <is>
          <t>Deodorant &amp; Anti-Perspirant</t>
        </is>
      </c>
      <c r="D12840" t="inlineStr">
        <is>
          <t>Dove</t>
        </is>
      </c>
      <c r="E12840" t="n">
        <v>4.33</v>
      </c>
      <c r="F12840" t="n">
        <v>1</v>
      </c>
      <c r="G12840" t="n">
        <v>5</v>
      </c>
      <c r="H12840" s="5">
        <f>HYPERLINK("https://api.qogita.com/variants/link/8720181565830/", "View Product")</f>
        <v/>
      </c>
    </row>
    <row r="12841">
      <c r="A12841" t="inlineStr">
        <is>
          <t>8720181608261</t>
        </is>
      </c>
      <c r="B12841" t="inlineStr">
        <is>
          <t>Dove Advanced Care Replenishing Shower Gel</t>
        </is>
      </c>
      <c r="C12841" t="inlineStr">
        <is>
          <t>Shower Gel</t>
        </is>
      </c>
      <c r="D12841" t="inlineStr">
        <is>
          <t>Dove</t>
        </is>
      </c>
      <c r="E12841" t="n">
        <v>4.04</v>
      </c>
      <c r="F12841" t="n">
        <v>1</v>
      </c>
      <c r="G12841" t="n">
        <v>5</v>
      </c>
      <c r="H12841" s="5">
        <f>HYPERLINK("https://api.qogita.com/variants/link/8720181608261/", "View Product")</f>
        <v/>
      </c>
    </row>
    <row r="12842">
      <c r="A12842" t="inlineStr">
        <is>
          <t>8720181608384</t>
        </is>
      </c>
      <c r="B12842" t="inlineStr">
        <is>
          <t>Dove Creamy Indulge Shower Gel - A Luxurious Shower Experience</t>
        </is>
      </c>
      <c r="C12842" t="inlineStr">
        <is>
          <t>Shower Gel</t>
        </is>
      </c>
      <c r="D12842" t="inlineStr">
        <is>
          <t>Dove</t>
        </is>
      </c>
      <c r="E12842" t="n">
        <v>3.61</v>
      </c>
      <c r="F12842" t="n">
        <v>1</v>
      </c>
      <c r="G12842" t="n">
        <v>11</v>
      </c>
      <c r="H12842" s="5">
        <f>HYPERLINK("https://api.qogita.com/variants/link/8720181608384/", "View Product")</f>
        <v/>
      </c>
    </row>
    <row r="12843">
      <c r="A12843" t="inlineStr">
        <is>
          <t>8720182262417</t>
        </is>
      </c>
      <c r="B12843" t="inlineStr">
        <is>
          <t>Dove Beauty Cream Bar Purely Pampering Shea Butter &amp; Vanilla Soap</t>
        </is>
      </c>
      <c r="C12843" t="inlineStr">
        <is>
          <t>Soap</t>
        </is>
      </c>
      <c r="D12843" t="inlineStr">
        <is>
          <t>Dove</t>
        </is>
      </c>
      <c r="E12843" t="n">
        <v>2.95</v>
      </c>
      <c r="F12843" t="n">
        <v>1</v>
      </c>
      <c r="G12843" t="n">
        <v>41</v>
      </c>
      <c r="H12843" s="5">
        <f>HYPERLINK("https://api.qogita.com/variants/link/8720182262417/", "View Product")</f>
        <v/>
      </c>
    </row>
    <row r="12844">
      <c r="A12844" t="inlineStr">
        <is>
          <t>8720182852090</t>
        </is>
      </c>
      <c r="B12844" t="inlineStr">
        <is>
          <t>Dove Body Care Gift Set With Nourish Cosmetic Bag</t>
        </is>
      </c>
      <c r="C12844" t="inlineStr">
        <is>
          <t>Body Care Sets</t>
        </is>
      </c>
      <c r="D12844" t="inlineStr">
        <is>
          <t>Dove</t>
        </is>
      </c>
      <c r="E12844" t="n">
        <v>18.64</v>
      </c>
      <c r="F12844" t="n">
        <v>1</v>
      </c>
      <c r="G12844" t="n">
        <v>5</v>
      </c>
      <c r="H12844" s="5">
        <f>HYPERLINK("https://api.qogita.com/variants/link/8720182852090/", "View Product")</f>
        <v/>
      </c>
    </row>
    <row r="12845">
      <c r="A12845" t="inlineStr">
        <is>
          <t>8720865194189</t>
        </is>
      </c>
      <c r="B12845" t="inlineStr">
        <is>
          <t>Francesca Bianchi Sex And The Sea Neroli Extrait De Parfum 3.38 Oz</t>
        </is>
      </c>
      <c r="C12845" t="inlineStr">
        <is>
          <t>Extrait De Parfum</t>
        </is>
      </c>
      <c r="D12845" t="inlineStr">
        <is>
          <t>Francesca Bianchi</t>
        </is>
      </c>
      <c r="E12845" t="n">
        <v>120.61</v>
      </c>
      <c r="F12845" t="n">
        <v>1</v>
      </c>
      <c r="G12845" t="n">
        <v>8</v>
      </c>
      <c r="H12845" s="5">
        <f>HYPERLINK("https://api.qogita.com/variants/link/8720865194189/", "View Product")</f>
        <v/>
      </c>
    </row>
    <row r="12846">
      <c r="A12846" t="inlineStr">
        <is>
          <t>8720865194196</t>
        </is>
      </c>
      <c r="B12846" t="inlineStr">
        <is>
          <t>Francesca Bianchi Lost In Heaven Extrait De Parfum 3.38 Oz</t>
        </is>
      </c>
      <c r="C12846" t="inlineStr">
        <is>
          <t>Extrait De Parfum</t>
        </is>
      </c>
      <c r="D12846" t="inlineStr">
        <is>
          <t>Francesca Bianchi</t>
        </is>
      </c>
      <c r="E12846" t="n">
        <v>119.04</v>
      </c>
      <c r="F12846" t="n">
        <v>1</v>
      </c>
      <c r="G12846" t="n">
        <v>2</v>
      </c>
      <c r="H12846" s="5">
        <f>HYPERLINK("https://api.qogita.com/variants/link/8720865194196/", "View Product")</f>
        <v/>
      </c>
    </row>
    <row r="12847">
      <c r="A12847" t="inlineStr">
        <is>
          <t>8720938341984</t>
        </is>
      </c>
      <c r="B12847" t="inlineStr">
        <is>
          <t>Naif Baby &amp; Kids Mineral Sunscreen Spf 50 100 Ml</t>
        </is>
      </c>
      <c r="C12847" t="inlineStr">
        <is>
          <t>Baby &amp; Child Accessories</t>
        </is>
      </c>
      <c r="D12847" t="inlineStr">
        <is>
          <t>Naïf</t>
        </is>
      </c>
      <c r="E12847" t="n">
        <v>21.37</v>
      </c>
      <c r="F12847" t="n">
        <v>1</v>
      </c>
      <c r="G12847" t="n">
        <v>2</v>
      </c>
      <c r="H12847" s="5">
        <f>HYPERLINK("https://api.qogita.com/variants/link/8720938341984/", "View Product")</f>
        <v/>
      </c>
    </row>
    <row r="12848">
      <c r="A12848" t="inlineStr">
        <is>
          <t>8721082818605</t>
        </is>
      </c>
      <c r="B12848" t="inlineStr">
        <is>
          <t>Naif Caring Shower Foam For Pregnant Women - 200 Ml</t>
        </is>
      </c>
      <c r="C12848" t="inlineStr">
        <is>
          <t>Shower Foam</t>
        </is>
      </c>
      <c r="D12848" t="inlineStr">
        <is>
          <t>Naïf</t>
        </is>
      </c>
      <c r="E12848" t="n">
        <v>9.23</v>
      </c>
      <c r="F12848" t="n">
        <v>1</v>
      </c>
      <c r="G12848" t="n">
        <v>3</v>
      </c>
      <c r="H12848" s="5">
        <f>HYPERLINK("https://api.qogita.com/variants/link/8721082818605/", "View Product")</f>
        <v/>
      </c>
    </row>
    <row r="12849">
      <c r="A12849" t="inlineStr">
        <is>
          <t>8800240567347</t>
        </is>
      </c>
      <c r="B12849" t="inlineStr">
        <is>
          <t>Medicube Super Cica Deep Cleansing Balm 100 Ml</t>
        </is>
      </c>
      <c r="C12849" t="inlineStr">
        <is>
          <t>Cleansing Cream</t>
        </is>
      </c>
      <c r="D12849" t="inlineStr">
        <is>
          <t>Medicube</t>
        </is>
      </c>
      <c r="E12849" t="n">
        <v>28.18</v>
      </c>
      <c r="F12849" t="n">
        <v>1</v>
      </c>
      <c r="G12849" t="n">
        <v>2</v>
      </c>
      <c r="H12849" s="5">
        <f>HYPERLINK("https://api.qogita.com/variants/link/8800240567347/", "View Product")</f>
        <v/>
      </c>
    </row>
    <row r="12850">
      <c r="A12850" t="inlineStr">
        <is>
          <t>8800256114320</t>
        </is>
      </c>
      <c r="B12850" t="inlineStr">
        <is>
          <t>Medicube Triple Collagen Toner 4.0 - 140ml</t>
        </is>
      </c>
      <c r="C12850" t="inlineStr">
        <is>
          <t>Facial Spray</t>
        </is>
      </c>
      <c r="D12850" t="inlineStr">
        <is>
          <t>Medicube</t>
        </is>
      </c>
      <c r="E12850" t="n">
        <v>10.72</v>
      </c>
      <c r="F12850" t="n">
        <v>1</v>
      </c>
      <c r="G12850" t="n">
        <v>5</v>
      </c>
      <c r="H12850" s="5">
        <f>HYPERLINK("https://api.qogita.com/variants/link/8800256114320/", "View Product")</f>
        <v/>
      </c>
    </row>
    <row r="12851">
      <c r="A12851" t="inlineStr">
        <is>
          <t>8802685671238</t>
        </is>
      </c>
      <c r="B12851" t="inlineStr">
        <is>
          <t>Privezarah Aoud Desert Eau De Parfum 80ml</t>
        </is>
      </c>
      <c r="C12851" t="inlineStr">
        <is>
          <t>Eau De Parfum</t>
        </is>
      </c>
      <c r="D12851" t="inlineStr">
        <is>
          <t>Privé Zara</t>
        </is>
      </c>
      <c r="E12851" t="n">
        <v>13.6</v>
      </c>
      <c r="F12851" t="n">
        <v>1</v>
      </c>
      <c r="G12851" t="n">
        <v>6</v>
      </c>
      <c r="H12851" s="5">
        <f>HYPERLINK("https://api.qogita.com/variants/link/8802685671238/", "View Product")</f>
        <v/>
      </c>
    </row>
    <row r="12852">
      <c r="A12852" t="inlineStr">
        <is>
          <t>8803348039938</t>
        </is>
      </c>
      <c r="B12852" t="inlineStr">
        <is>
          <t>Frudia Ultra UV Shield Sun Essence 50g</t>
        </is>
      </c>
      <c r="C12852" t="inlineStr">
        <is>
          <t>Face Sun Protection</t>
        </is>
      </c>
      <c r="D12852" t="inlineStr">
        <is>
          <t>Original S.W.A.T</t>
        </is>
      </c>
      <c r="E12852" t="n">
        <v>6.96</v>
      </c>
      <c r="F12852" t="n">
        <v>1</v>
      </c>
      <c r="G12852" t="n">
        <v>10</v>
      </c>
      <c r="H12852" s="5">
        <f>HYPERLINK("https://api.qogita.com/variants/link/8803348039938/", "View Product")</f>
        <v/>
      </c>
    </row>
    <row r="12853">
      <c r="A12853" t="inlineStr">
        <is>
          <t>8803348040897</t>
        </is>
      </c>
      <c r="B12853" t="inlineStr">
        <is>
          <t>FRUDIA Green Grape Sebum Control Cooling Sun Gel SPF50+ PA++++ 50g</t>
        </is>
      </c>
      <c r="C12853" t="inlineStr">
        <is>
          <t>Face Sun Protection</t>
        </is>
      </c>
      <c r="D12853" t="inlineStr">
        <is>
          <t>Frudia</t>
        </is>
      </c>
      <c r="E12853" t="n">
        <v>8.25</v>
      </c>
      <c r="F12853" t="n">
        <v>1</v>
      </c>
      <c r="G12853" t="n">
        <v>10</v>
      </c>
      <c r="H12853" s="5">
        <f>HYPERLINK("https://api.qogita.com/variants/link/8803348040897/", "View Product")</f>
        <v/>
      </c>
    </row>
    <row r="12854">
      <c r="A12854" t="inlineStr">
        <is>
          <t>8803463004507</t>
        </is>
      </c>
      <c r="B12854" t="inlineStr">
        <is>
          <t>Vt Cosmetics Reedle Shot Refreshing Tonic with Peptide Complex 150ml</t>
        </is>
      </c>
      <c r="C12854" t="inlineStr">
        <is>
          <t>Facial Spray</t>
        </is>
      </c>
      <c r="D12854" t="inlineStr">
        <is>
          <t>Vt Cosmetics</t>
        </is>
      </c>
      <c r="E12854" t="n">
        <v>27.79</v>
      </c>
      <c r="F12854" t="n">
        <v>1</v>
      </c>
      <c r="G12854" t="n">
        <v>5</v>
      </c>
      <c r="H12854" s="5">
        <f>HYPERLINK("https://api.qogita.com/variants/link/8803463004507/", "View Product")</f>
        <v/>
      </c>
    </row>
    <row r="12855">
      <c r="A12855" t="inlineStr">
        <is>
          <t>8803463007454</t>
        </is>
      </c>
      <c r="B12855" t="inlineStr">
        <is>
          <t>Vt Tx Toning Essence 1000 Shot 30ml - Defense Care Against Melanin</t>
        </is>
      </c>
      <c r="C12855" t="inlineStr">
        <is>
          <t>Glow Serum</t>
        </is>
      </c>
      <c r="D12855" t="inlineStr">
        <is>
          <t>Essence</t>
        </is>
      </c>
      <c r="E12855" t="n">
        <v>18.92</v>
      </c>
      <c r="F12855" t="n">
        <v>1</v>
      </c>
      <c r="G12855" t="n">
        <v>8</v>
      </c>
      <c r="H12855" s="5">
        <f>HYPERLINK("https://api.qogita.com/variants/link/8803463007454/", "View Product")</f>
        <v/>
      </c>
    </row>
    <row r="12856">
      <c r="A12856" t="inlineStr">
        <is>
          <t>8806133613078</t>
        </is>
      </c>
      <c r="B12856" t="inlineStr">
        <is>
          <t>Dr.Ceuracle Plc Erystop Gel 200 Ml - Soothing Gel For Irritated Skin</t>
        </is>
      </c>
      <c r="C12856" t="inlineStr">
        <is>
          <t>Neurodermatitis</t>
        </is>
      </c>
      <c r="D12856" t="inlineStr">
        <is>
          <t>Dr.Ceuracle</t>
        </is>
      </c>
      <c r="E12856" t="n">
        <v>33.59</v>
      </c>
      <c r="F12856" t="n">
        <v>1</v>
      </c>
      <c r="G12856" t="n">
        <v>8</v>
      </c>
      <c r="H12856" s="5">
        <f>HYPERLINK("https://api.qogita.com/variants/link/8806133613078/", "View Product")</f>
        <v/>
      </c>
    </row>
    <row r="12857">
      <c r="A12857" t="inlineStr">
        <is>
          <t>8806133613702</t>
        </is>
      </c>
      <c r="B12857" t="inlineStr">
        <is>
          <t>Drceuracle Tea Tree Purifine Cream For Problematic Skin Spf 50 50 Ml</t>
        </is>
      </c>
      <c r="C12857" t="inlineStr">
        <is>
          <t>Face Sun Protection</t>
        </is>
      </c>
      <c r="D12857" t="inlineStr">
        <is>
          <t>Dr.Ceuracle</t>
        </is>
      </c>
      <c r="E12857" t="n">
        <v>28.32</v>
      </c>
      <c r="F12857" t="n">
        <v>1</v>
      </c>
      <c r="G12857" t="n">
        <v>8</v>
      </c>
      <c r="H12857" s="5">
        <f>HYPERLINK("https://api.qogita.com/variants/link/8806133613702/", "View Product")</f>
        <v/>
      </c>
    </row>
    <row r="12858">
      <c r="A12858" t="inlineStr">
        <is>
          <t>8806133613801</t>
        </is>
      </c>
      <c r="B12858" t="inlineStr">
        <is>
          <t>Honey Nourishing Essence Royal Vita Propolis 33 Ampoule Korean Skin Care with Royal Jelly Extract and Panthenol Dr.Ceuracle</t>
        </is>
      </c>
      <c r="C12858" t="inlineStr">
        <is>
          <t>Ampoules</t>
        </is>
      </c>
      <c r="D12858" t="inlineStr">
        <is>
          <t>Dr. Ceuracle</t>
        </is>
      </c>
      <c r="E12858" t="n">
        <v>32.61</v>
      </c>
      <c r="F12858" t="n">
        <v>1</v>
      </c>
      <c r="G12858" t="n">
        <v>5</v>
      </c>
      <c r="H12858" s="5">
        <f>HYPERLINK("https://api.qogita.com/variants/link/8806133613801/", "View Product")</f>
        <v/>
      </c>
    </row>
    <row r="12859">
      <c r="A12859" t="inlineStr">
        <is>
          <t>8806133613986</t>
        </is>
      </c>
      <c r="B12859" t="inlineStr">
        <is>
          <t>Dr.Ceuracle Hyal Reyouth Ampoule 1.69 Fluid Ounce Revitalizing Moisturizing for Weak and Exhausted Skin</t>
        </is>
      </c>
      <c r="C12859" t="inlineStr">
        <is>
          <t>Hyaluronic Acid Serum</t>
        </is>
      </c>
      <c r="D12859" t="inlineStr">
        <is>
          <t>Dr. Ceuracle</t>
        </is>
      </c>
      <c r="E12859" t="n">
        <v>24.26</v>
      </c>
      <c r="F12859" t="n">
        <v>1</v>
      </c>
      <c r="G12859" t="n">
        <v>5</v>
      </c>
      <c r="H12859" s="5">
        <f>HYPERLINK("https://api.qogita.com/variants/link/8806133613986/", "View Product")</f>
        <v/>
      </c>
    </row>
    <row r="12860">
      <c r="A12860" t="inlineStr">
        <is>
          <t>8806133614037</t>
        </is>
      </c>
      <c r="B12860" t="inlineStr">
        <is>
          <t>Dr.Ceuracle Jeju Matcha Clay Pack 115g</t>
        </is>
      </c>
      <c r="C12860" t="inlineStr">
        <is>
          <t>Clay Mask</t>
        </is>
      </c>
      <c r="D12860" t="inlineStr">
        <is>
          <t>Dr.Ceuracle</t>
        </is>
      </c>
      <c r="E12860" t="n">
        <v>20.62</v>
      </c>
      <c r="F12860" t="n">
        <v>1</v>
      </c>
      <c r="G12860" t="n">
        <v>5</v>
      </c>
      <c r="H12860" s="5">
        <f>HYPERLINK("https://api.qogita.com/variants/link/8806133614037/", "View Product")</f>
        <v/>
      </c>
    </row>
    <row r="12861">
      <c r="A12861" t="inlineStr">
        <is>
          <t>8806133614334</t>
        </is>
      </c>
      <c r="B12861" t="inlineStr">
        <is>
          <t>Drceuracle Soothing Skin Tonic Cica Regen 92 Toner 120 Ml</t>
        </is>
      </c>
      <c r="C12861" t="inlineStr">
        <is>
          <t>Facial Spray</t>
        </is>
      </c>
      <c r="D12861" t="inlineStr">
        <is>
          <t>Dr.Ceuracle</t>
        </is>
      </c>
      <c r="E12861" t="n">
        <v>20.21</v>
      </c>
      <c r="F12861" t="n">
        <v>1</v>
      </c>
      <c r="G12861" t="n">
        <v>3</v>
      </c>
      <c r="H12861" s="5">
        <f>HYPERLINK("https://api.qogita.com/variants/link/8806133614334/", "View Product")</f>
        <v/>
      </c>
    </row>
    <row r="12862">
      <c r="A12862" t="inlineStr">
        <is>
          <t>8806133614372</t>
        </is>
      </c>
      <c r="B12862" t="inlineStr">
        <is>
          <t>Drceuracle Soothing Skin Cream With Asian Navel Cica Regen 70 50 Ml</t>
        </is>
      </c>
      <c r="C12862" t="inlineStr">
        <is>
          <t>Face Cream</t>
        </is>
      </c>
      <c r="D12862" t="inlineStr">
        <is>
          <t>Dr.Ceuracle</t>
        </is>
      </c>
      <c r="E12862" t="n">
        <v>25.15</v>
      </c>
      <c r="F12862" t="n">
        <v>1</v>
      </c>
      <c r="G12862" t="n">
        <v>4</v>
      </c>
      <c r="H12862" s="5">
        <f>HYPERLINK("https://api.qogita.com/variants/link/8806133614372/", "View Product")</f>
        <v/>
      </c>
    </row>
    <row r="12863">
      <c r="A12863" t="inlineStr">
        <is>
          <t>8806133614730</t>
        </is>
      </c>
      <c r="B12863" t="inlineStr">
        <is>
          <t>Dr.Ceuracle Tea Tree Purifine Soothing Mask For Problematic Skin</t>
        </is>
      </c>
      <c r="C12863" t="inlineStr">
        <is>
          <t>Purifying Mask</t>
        </is>
      </c>
      <c r="D12863" t="inlineStr">
        <is>
          <t>Dr.Ceuracle</t>
        </is>
      </c>
      <c r="E12863" t="n">
        <v>3.98</v>
      </c>
      <c r="F12863" t="n">
        <v>1</v>
      </c>
      <c r="G12863" t="n">
        <v>5</v>
      </c>
      <c r="H12863" s="5">
        <f>HYPERLINK("https://api.qogita.com/variants/link/8806133614730/", "View Product")</f>
        <v/>
      </c>
    </row>
    <row r="12864">
      <c r="A12864" t="inlineStr">
        <is>
          <t>8806133614952</t>
        </is>
      </c>
      <c r="B12864" t="inlineStr">
        <is>
          <t>Dr.Ceuracle Pure Vitamin C Mellight Cream Tone-Up Serum for Face</t>
        </is>
      </c>
      <c r="C12864" t="inlineStr">
        <is>
          <t>Vitamin Serum</t>
        </is>
      </c>
      <c r="D12864" t="inlineStr">
        <is>
          <t>Dr. Ceuracle</t>
        </is>
      </c>
      <c r="E12864" t="n">
        <v>18.6</v>
      </c>
      <c r="F12864" t="n">
        <v>1</v>
      </c>
      <c r="G12864" t="n">
        <v>5</v>
      </c>
      <c r="H12864" s="5">
        <f>HYPERLINK("https://api.qogita.com/variants/link/8806133614952/", "View Product")</f>
        <v/>
      </c>
    </row>
    <row r="12865">
      <c r="A12865" t="inlineStr">
        <is>
          <t>8806164176986</t>
        </is>
      </c>
      <c r="B12865" t="inlineStr">
        <is>
          <t>The Saem Eco Earth Sunscreen</t>
        </is>
      </c>
      <c r="C12865" t="inlineStr">
        <is>
          <t>Face Sun Protection</t>
        </is>
      </c>
      <c r="D12865" t="inlineStr">
        <is>
          <t>The Saem</t>
        </is>
      </c>
      <c r="E12865" t="n">
        <v>13.06</v>
      </c>
      <c r="F12865" t="n">
        <v>1</v>
      </c>
      <c r="G12865" t="n">
        <v>31</v>
      </c>
      <c r="H12865" s="5">
        <f>HYPERLINK("https://api.qogita.com/variants/link/8806164176986/", "View Product")</f>
        <v/>
      </c>
    </row>
    <row r="12866">
      <c r="A12866" t="inlineStr">
        <is>
          <t>8806185764483</t>
        </is>
      </c>
      <c r="B12866" t="inlineStr">
        <is>
          <t>Missha Speedy Solution Anti Trouble Patch</t>
        </is>
      </c>
      <c r="C12866" t="inlineStr">
        <is>
          <t>Pimple &amp; Blackhead Treatments</t>
        </is>
      </c>
      <c r="D12866" t="inlineStr">
        <is>
          <t>Missha</t>
        </is>
      </c>
      <c r="E12866" t="n">
        <v>4.58</v>
      </c>
      <c r="F12866" t="n">
        <v>1</v>
      </c>
      <c r="G12866" t="n">
        <v>8</v>
      </c>
      <c r="H12866" s="5">
        <f>HYPERLINK("https://api.qogita.com/variants/link/8806185764483/", "View Product")</f>
        <v/>
      </c>
    </row>
    <row r="12867">
      <c r="A12867" t="inlineStr">
        <is>
          <t>8806194051857</t>
        </is>
      </c>
      <c r="B12867" t="inlineStr">
        <is>
          <t>Tony Moly Botanic Relief Avette White Musk Body Lotion 400 Ml</t>
        </is>
      </c>
      <c r="C12867" t="inlineStr">
        <is>
          <t>Body Lotion</t>
        </is>
      </c>
      <c r="D12867" t="inlineStr">
        <is>
          <t>Tony Moly</t>
        </is>
      </c>
      <c r="E12867" t="n">
        <v>13.46</v>
      </c>
      <c r="F12867" t="n">
        <v>1</v>
      </c>
      <c r="G12867" t="n">
        <v>2</v>
      </c>
      <c r="H12867" s="5">
        <f>HYPERLINK("https://api.qogita.com/variants/link/8806194051857/", "View Product")</f>
        <v/>
      </c>
    </row>
    <row r="12868">
      <c r="A12868" t="inlineStr">
        <is>
          <t>8806194058580</t>
        </is>
      </c>
      <c r="B12868" t="inlineStr">
        <is>
          <t>TONYMOLY Triple Collagen Total Tension Toner 200ml</t>
        </is>
      </c>
      <c r="C12868" t="inlineStr">
        <is>
          <t>Facial Spray</t>
        </is>
      </c>
      <c r="D12868" t="inlineStr">
        <is>
          <t>Tonymoly</t>
        </is>
      </c>
      <c r="E12868" t="n">
        <v>18.27</v>
      </c>
      <c r="F12868" t="n">
        <v>1</v>
      </c>
      <c r="G12868" t="n">
        <v>3</v>
      </c>
      <c r="H12868" s="5">
        <f>HYPERLINK("https://api.qogita.com/variants/link/8806194058580/", "View Product")</f>
        <v/>
      </c>
    </row>
    <row r="12869">
      <c r="A12869" t="inlineStr">
        <is>
          <t>8806194058740</t>
        </is>
      </c>
      <c r="B12869" t="inlineStr">
        <is>
          <t>Tony Moly Houttuynia Cordata Cica Cream Mist 110 Ml For Irritated Skin</t>
        </is>
      </c>
      <c r="C12869" t="inlineStr">
        <is>
          <t>Facial Spray</t>
        </is>
      </c>
      <c r="D12869" t="inlineStr">
        <is>
          <t>Tony Moly</t>
        </is>
      </c>
      <c r="E12869" t="n">
        <v>12.18</v>
      </c>
      <c r="F12869" t="n">
        <v>1</v>
      </c>
      <c r="G12869" t="n">
        <v>2</v>
      </c>
      <c r="H12869" s="5">
        <f>HYPERLINK("https://api.qogita.com/variants/link/8806194058740/", "View Product")</f>
        <v/>
      </c>
    </row>
    <row r="12870">
      <c r="A12870" t="inlineStr">
        <is>
          <t>8806194060293</t>
        </is>
      </c>
      <c r="B12870" t="inlineStr">
        <is>
          <t>Tony Moly Fragrance Garden Flower Bouquet Body Oil 150 Ml</t>
        </is>
      </c>
      <c r="C12870" t="inlineStr">
        <is>
          <t>Body Oil</t>
        </is>
      </c>
      <c r="D12870" t="inlineStr">
        <is>
          <t>Tony Moly</t>
        </is>
      </c>
      <c r="E12870" t="n">
        <v>14.87</v>
      </c>
      <c r="F12870" t="n">
        <v>1</v>
      </c>
      <c r="G12870" t="n">
        <v>2</v>
      </c>
      <c r="H12870" s="5">
        <f>HYPERLINK("https://api.qogita.com/variants/link/8806194060293/", "View Product")</f>
        <v/>
      </c>
    </row>
    <row r="12871">
      <c r="A12871" t="inlineStr">
        <is>
          <t>8806194060316</t>
        </is>
      </c>
      <c r="B12871" t="inlineStr">
        <is>
          <t>Tony Moly Goat Milk Naturalth Nutrition Moisture Cream - 80 Ml For Dry And Sensitive Skin</t>
        </is>
      </c>
      <c r="C12871" t="inlineStr">
        <is>
          <t>Face Cream</t>
        </is>
      </c>
      <c r="D12871" t="inlineStr">
        <is>
          <t>Tony Moly</t>
        </is>
      </c>
      <c r="E12871" t="n">
        <v>18.98</v>
      </c>
      <c r="F12871" t="n">
        <v>1</v>
      </c>
      <c r="G12871" t="n">
        <v>7</v>
      </c>
      <c r="H12871" s="5">
        <f>HYPERLINK("https://api.qogita.com/variants/link/8806194060316/", "View Product")</f>
        <v/>
      </c>
    </row>
    <row r="12872">
      <c r="A12872" t="inlineStr">
        <is>
          <t>8806194061184</t>
        </is>
      </c>
      <c r="B12872" t="inlineStr">
        <is>
          <t>Tony Moly Hypoallergenic Sun Cream For The Whole Family Spf 35 - 45 Ml</t>
        </is>
      </c>
      <c r="C12872" t="inlineStr">
        <is>
          <t>Body Sun Protection</t>
        </is>
      </c>
      <c r="D12872" t="inlineStr">
        <is>
          <t>Tony Moly</t>
        </is>
      </c>
      <c r="E12872" t="n">
        <v>11.46</v>
      </c>
      <c r="F12872" t="n">
        <v>1</v>
      </c>
      <c r="G12872" t="n">
        <v>5</v>
      </c>
      <c r="H12872" s="5">
        <f>HYPERLINK("https://api.qogita.com/variants/link/8806194061184/", "View Product")</f>
        <v/>
      </c>
    </row>
    <row r="12873">
      <c r="A12873" t="inlineStr">
        <is>
          <t>8807779081986</t>
        </is>
      </c>
      <c r="B12873" t="inlineStr">
        <is>
          <t>Daeng Gi Meo Ri Vitalizing Treatment</t>
        </is>
      </c>
      <c r="C12873" t="inlineStr">
        <is>
          <t>Conditioner</t>
        </is>
      </c>
      <c r="D12873" t="inlineStr">
        <is>
          <t>Daeng Gi Meo Ri</t>
        </is>
      </c>
      <c r="E12873" t="n">
        <v>10.47</v>
      </c>
      <c r="F12873" t="n">
        <v>1</v>
      </c>
      <c r="G12873" t="n">
        <v>3</v>
      </c>
      <c r="H12873" s="5">
        <f>HYPERLINK("https://api.qogita.com/variants/link/8807779081986/", "View Product")</f>
        <v/>
      </c>
    </row>
    <row r="12874">
      <c r="A12874" t="inlineStr">
        <is>
          <t>8809029391159</t>
        </is>
      </c>
      <c r="B12874" t="inlineStr">
        <is>
          <t>Three Seven Manicure Set Penal 10 Tools</t>
        </is>
      </c>
      <c r="C12874" t="inlineStr">
        <is>
          <t>Manicure Sets</t>
        </is>
      </c>
      <c r="D12874" t="inlineStr">
        <is>
          <t>Three Seven</t>
        </is>
      </c>
      <c r="E12874" t="n">
        <v>25.82</v>
      </c>
      <c r="F12874" t="n">
        <v>1</v>
      </c>
      <c r="G12874" t="n">
        <v>4</v>
      </c>
      <c r="H12874" s="5">
        <f>HYPERLINK("https://api.qogita.com/variants/link/8809029391159/", "View Product")</f>
        <v/>
      </c>
    </row>
    <row r="12875">
      <c r="A12875" t="inlineStr">
        <is>
          <t>8809029399605</t>
        </is>
      </c>
      <c r="B12875" t="inlineStr">
        <is>
          <t>Three Seven Violet Manicure Set 6 Tools</t>
        </is>
      </c>
      <c r="C12875" t="inlineStr">
        <is>
          <t>Manicure Sets</t>
        </is>
      </c>
      <c r="D12875" t="inlineStr">
        <is>
          <t>Three Seven</t>
        </is>
      </c>
      <c r="E12875" t="n">
        <v>13.28</v>
      </c>
      <c r="F12875" t="n">
        <v>1</v>
      </c>
      <c r="G12875" t="n">
        <v>7</v>
      </c>
      <c r="H12875" s="5">
        <f>HYPERLINK("https://api.qogita.com/variants/link/8809029399605/", "View Product")</f>
        <v/>
      </c>
    </row>
    <row r="12876">
      <c r="A12876" t="inlineStr">
        <is>
          <t>8809080826218</t>
        </is>
      </c>
      <c r="B12876" t="inlineStr">
        <is>
          <t>Coxir Ultra Hyaluronic Toner 150ml 5.07 fl.oz. Hydration-14-Complex Paraben Free Cruelty Free Korean Skin Care</t>
        </is>
      </c>
      <c r="C12876" t="inlineStr">
        <is>
          <t>Facial Spray</t>
        </is>
      </c>
      <c r="D12876" t="inlineStr">
        <is>
          <t>Coxir</t>
        </is>
      </c>
      <c r="E12876" t="n">
        <v>11.52</v>
      </c>
      <c r="F12876" t="n">
        <v>1</v>
      </c>
      <c r="G12876" t="n">
        <v>2</v>
      </c>
      <c r="H12876" s="5">
        <f>HYPERLINK("https://api.qogita.com/variants/link/8809080826218/", "View Product")</f>
        <v/>
      </c>
    </row>
    <row r="12877">
      <c r="A12877" t="inlineStr">
        <is>
          <t>8809115025012</t>
        </is>
      </c>
      <c r="B12877" t="inlineStr">
        <is>
          <t>Dearklairs Supple Preparation Facial Toner 180ml</t>
        </is>
      </c>
      <c r="C12877" t="inlineStr">
        <is>
          <t>Facial Spray</t>
        </is>
      </c>
      <c r="D12877" t="inlineStr">
        <is>
          <t>Dear Klairs</t>
        </is>
      </c>
      <c r="E12877" t="n">
        <v>16.28</v>
      </c>
      <c r="F12877" t="n">
        <v>1</v>
      </c>
      <c r="G12877" t="n">
        <v>3</v>
      </c>
      <c r="H12877" s="5">
        <f>HYPERLINK("https://api.qogita.com/variants/link/8809115025012/", "View Product")</f>
        <v/>
      </c>
    </row>
    <row r="12878">
      <c r="A12878" t="inlineStr">
        <is>
          <t>8809132968934</t>
        </is>
      </c>
      <c r="B12878" t="inlineStr">
        <is>
          <t>Mizon My Relaxing Time Body Wash Tea Tree 800 Ml For Irritated And Problematic Skin</t>
        </is>
      </c>
      <c r="C12878" t="inlineStr">
        <is>
          <t>Shower Gel</t>
        </is>
      </c>
      <c r="D12878" t="inlineStr">
        <is>
          <t>Mizon</t>
        </is>
      </c>
      <c r="E12878" t="n">
        <v>11.84</v>
      </c>
      <c r="F12878" t="n">
        <v>1</v>
      </c>
      <c r="G12878" t="n">
        <v>33</v>
      </c>
      <c r="H12878" s="5">
        <f>HYPERLINK("https://api.qogita.com/variants/link/8809132968934/", "View Product")</f>
        <v/>
      </c>
    </row>
    <row r="12879">
      <c r="A12879" t="inlineStr">
        <is>
          <t>8809186778992</t>
        </is>
      </c>
      <c r="B12879" t="inlineStr">
        <is>
          <t>Sioris Let Me Refresh Foam Cleanser 120ml 4.05fl Oz - Slightly Acid Cleanser</t>
        </is>
      </c>
      <c r="C12879" t="inlineStr">
        <is>
          <t>Cleansing Foam</t>
        </is>
      </c>
      <c r="D12879" t="inlineStr">
        <is>
          <t>Sioris</t>
        </is>
      </c>
      <c r="E12879" t="n">
        <v>14.54</v>
      </c>
      <c r="F12879" t="n">
        <v>1</v>
      </c>
      <c r="G12879" t="n">
        <v>6</v>
      </c>
      <c r="H12879" s="5">
        <f>HYPERLINK("https://api.qogita.com/variants/link/8809186778992/", "View Product")</f>
        <v/>
      </c>
    </row>
    <row r="12880">
      <c r="A12880" t="inlineStr">
        <is>
          <t>8809223662529</t>
        </is>
      </c>
      <c r="B12880" t="inlineStr">
        <is>
          <t>Skin79 Super Plus Triple Function Vital Orange BB Cream SPF 50</t>
        </is>
      </c>
      <c r="C12880" t="inlineStr">
        <is>
          <t>Face Sun Protection</t>
        </is>
      </c>
      <c r="D12880" t="inlineStr">
        <is>
          <t>Skin79</t>
        </is>
      </c>
      <c r="E12880" t="n">
        <v>15.94</v>
      </c>
      <c r="F12880" t="n">
        <v>1</v>
      </c>
      <c r="G12880" t="n">
        <v>56</v>
      </c>
      <c r="H12880" s="5">
        <f>HYPERLINK("https://api.qogita.com/variants/link/8809223662529/", "View Product")</f>
        <v/>
      </c>
    </row>
    <row r="12881">
      <c r="A12881" t="inlineStr">
        <is>
          <t>8809255780338</t>
        </is>
      </c>
      <c r="B12881" t="inlineStr">
        <is>
          <t>Erborian Bb Eye Touche Parfaite Eye Cream And Concealer 15 Ml</t>
        </is>
      </c>
      <c r="C12881" t="inlineStr">
        <is>
          <t>Eye Cream</t>
        </is>
      </c>
      <c r="D12881" t="inlineStr">
        <is>
          <t>Erborian</t>
        </is>
      </c>
      <c r="E12881" t="n">
        <v>24.08</v>
      </c>
      <c r="F12881" t="n">
        <v>1</v>
      </c>
      <c r="G12881" t="n">
        <v>13</v>
      </c>
      <c r="H12881" s="5">
        <f>HYPERLINK("https://api.qogita.com/variants/link/8809255780338/", "View Product")</f>
        <v/>
      </c>
    </row>
    <row r="12882">
      <c r="A12882" t="inlineStr">
        <is>
          <t>8809255784015</t>
        </is>
      </c>
      <c r="B12882" t="inlineStr">
        <is>
          <t>Erborian Brightening Cc Eye Cream 10 Ml</t>
        </is>
      </c>
      <c r="C12882" t="inlineStr">
        <is>
          <t>Eye Cream</t>
        </is>
      </c>
      <c r="D12882" t="inlineStr">
        <is>
          <t>Erborian</t>
        </is>
      </c>
      <c r="E12882" t="n">
        <v>24.17</v>
      </c>
      <c r="F12882" t="n">
        <v>1</v>
      </c>
      <c r="G12882" t="n">
        <v>33</v>
      </c>
      <c r="H12882" s="5">
        <f>HYPERLINK("https://api.qogita.com/variants/link/8809255784015/", "View Product")</f>
        <v/>
      </c>
    </row>
    <row r="12883">
      <c r="A12883" t="inlineStr">
        <is>
          <t>8809255784022</t>
        </is>
      </c>
      <c r="B12883" t="inlineStr">
        <is>
          <t>Erborian Brightening Cc Eye Cream 10 Ml</t>
        </is>
      </c>
      <c r="C12883" t="inlineStr">
        <is>
          <t>Eye Cream</t>
        </is>
      </c>
      <c r="D12883" t="inlineStr">
        <is>
          <t>Erborian</t>
        </is>
      </c>
      <c r="E12883" t="n">
        <v>24.21</v>
      </c>
      <c r="F12883" t="n">
        <v>1</v>
      </c>
      <c r="G12883" t="n">
        <v>50</v>
      </c>
      <c r="H12883" s="5">
        <f>HYPERLINK("https://api.qogita.com/variants/link/8809255784022/", "View Product")</f>
        <v/>
      </c>
    </row>
    <row r="12884">
      <c r="A12884" t="inlineStr">
        <is>
          <t>8809255785678</t>
        </is>
      </c>
      <c r="B12884" t="inlineStr">
        <is>
          <t>Erborian Bamboo Shot Mask Face Sheet Mask 15 G Moisturizing Face Mask</t>
        </is>
      </c>
      <c r="C12884" t="inlineStr">
        <is>
          <t>Sheet Mask</t>
        </is>
      </c>
      <c r="D12884" t="inlineStr">
        <is>
          <t>Erborian</t>
        </is>
      </c>
      <c r="E12884" t="n">
        <v>6.07</v>
      </c>
      <c r="F12884" t="n">
        <v>1</v>
      </c>
      <c r="G12884" t="n">
        <v>5</v>
      </c>
      <c r="H12884" s="5">
        <f>HYPERLINK("https://api.qogita.com/variants/link/8809255785678/", "View Product")</f>
        <v/>
      </c>
    </row>
    <row r="12885">
      <c r="A12885" t="inlineStr">
        <is>
          <t>8809255786279</t>
        </is>
      </c>
      <c r="B12885" t="inlineStr">
        <is>
          <t>Erborian Bb Cream Spf 20 Bb Creme Makeup Care Face Cream 40 Ml</t>
        </is>
      </c>
      <c r="C12885" t="inlineStr">
        <is>
          <t>Tinted Day Cream</t>
        </is>
      </c>
      <c r="D12885" t="inlineStr">
        <is>
          <t>Erborian</t>
        </is>
      </c>
      <c r="E12885" t="n">
        <v>31.14</v>
      </c>
      <c r="F12885" t="n">
        <v>1</v>
      </c>
      <c r="G12885" t="n">
        <v>9</v>
      </c>
      <c r="H12885" s="5">
        <f>HYPERLINK("https://api.qogita.com/variants/link/8809255786279/", "View Product")</f>
        <v/>
      </c>
    </row>
    <row r="12886">
      <c r="A12886" t="inlineStr">
        <is>
          <t>8809255786347</t>
        </is>
      </c>
      <c r="B12886" t="inlineStr">
        <is>
          <t>Erborian Bb Cream With Ginseng Nude Spf 20 15ml Makeup Care Face Cream</t>
        </is>
      </c>
      <c r="C12886" t="inlineStr">
        <is>
          <t>Tinted Day Cream</t>
        </is>
      </c>
      <c r="D12886" t="inlineStr">
        <is>
          <t>Erborian</t>
        </is>
      </c>
      <c r="E12886" t="n">
        <v>17.14</v>
      </c>
      <c r="F12886" t="n">
        <v>1</v>
      </c>
      <c r="G12886" t="n">
        <v>6</v>
      </c>
      <c r="H12886" s="5">
        <f>HYPERLINK("https://api.qogita.com/variants/link/8809255786347/", "View Product")</f>
        <v/>
      </c>
    </row>
    <row r="12887">
      <c r="A12887" t="inlineStr">
        <is>
          <t>8809255786552</t>
        </is>
      </c>
      <c r="B12887" t="inlineStr">
        <is>
          <t>Erborian Cc Cream Dore - 40ml</t>
        </is>
      </c>
      <c r="C12887" t="inlineStr">
        <is>
          <t>Tinted Day Cream</t>
        </is>
      </c>
      <c r="D12887" t="inlineStr">
        <is>
          <t>Erborian</t>
        </is>
      </c>
      <c r="E12887" t="n">
        <v>33.46</v>
      </c>
      <c r="F12887" t="n">
        <v>1</v>
      </c>
      <c r="G12887" t="n">
        <v>66</v>
      </c>
      <c r="H12887" s="5">
        <f>HYPERLINK("https://api.qogita.com/variants/link/8809255786552/", "View Product")</f>
        <v/>
      </c>
    </row>
    <row r="12888">
      <c r="A12888" t="inlineStr">
        <is>
          <t>8809255787009</t>
        </is>
      </c>
      <c r="B12888" t="inlineStr">
        <is>
          <t>Erborian Bb Cream Spf 20 15 Ml</t>
        </is>
      </c>
      <c r="C12888" t="inlineStr">
        <is>
          <t>Face Sun Protection</t>
        </is>
      </c>
      <c r="D12888" t="inlineStr">
        <is>
          <t>Erborian</t>
        </is>
      </c>
      <c r="E12888" t="n">
        <v>13.46</v>
      </c>
      <c r="F12888" t="n">
        <v>1</v>
      </c>
      <c r="G12888" t="n">
        <v>5</v>
      </c>
      <c r="H12888" s="5">
        <f>HYPERLINK("https://api.qogita.com/variants/link/8809255787009/", "View Product")</f>
        <v/>
      </c>
    </row>
    <row r="12889">
      <c r="A12889" t="inlineStr">
        <is>
          <t>8809255788112</t>
        </is>
      </c>
      <c r="B12889" t="inlineStr">
        <is>
          <t>Erborian Skin Hero Glow Non-Tinted Skin Perfector 15ml</t>
        </is>
      </c>
      <c r="C12889" t="inlineStr">
        <is>
          <t>Tinted Day Cream</t>
        </is>
      </c>
      <c r="D12889" t="inlineStr">
        <is>
          <t>Erborian</t>
        </is>
      </c>
      <c r="E12889" t="n">
        <v>16.71</v>
      </c>
      <c r="F12889" t="n">
        <v>1</v>
      </c>
      <c r="G12889" t="n">
        <v>3</v>
      </c>
      <c r="H12889" s="5">
        <f>HYPERLINK("https://api.qogita.com/variants/link/8809255788112/", "View Product")</f>
        <v/>
      </c>
    </row>
    <row r="12890">
      <c r="A12890" t="inlineStr">
        <is>
          <t>8809255788150</t>
        </is>
      </c>
      <c r="B12890" t="inlineStr">
        <is>
          <t>Erborian Super Bb Concealer 10ml Spf 25</t>
        </is>
      </c>
      <c r="C12890" t="inlineStr">
        <is>
          <t>Concealer</t>
        </is>
      </c>
      <c r="D12890" t="inlineStr">
        <is>
          <t>Erborian</t>
        </is>
      </c>
      <c r="E12890" t="n">
        <v>24.08</v>
      </c>
      <c r="F12890" t="n">
        <v>1</v>
      </c>
      <c r="G12890" t="n">
        <v>6</v>
      </c>
      <c r="H12890" s="5">
        <f>HYPERLINK("https://api.qogita.com/variants/link/8809255788150/", "View Product")</f>
        <v/>
      </c>
    </row>
    <row r="12891">
      <c r="A12891" t="inlineStr">
        <is>
          <t>8809255788174</t>
        </is>
      </c>
      <c r="B12891" t="inlineStr">
        <is>
          <t>Erborian Super Bb Concealer Dor 10ml Spf 25</t>
        </is>
      </c>
      <c r="C12891" t="inlineStr">
        <is>
          <t>Concealer</t>
        </is>
      </c>
      <c r="D12891" t="inlineStr">
        <is>
          <t>Erborian</t>
        </is>
      </c>
      <c r="E12891" t="n">
        <v>24.15</v>
      </c>
      <c r="F12891" t="n">
        <v>1</v>
      </c>
      <c r="G12891" t="n">
        <v>5</v>
      </c>
      <c r="H12891" s="5">
        <f>HYPERLINK("https://api.qogita.com/variants/link/8809255788174/", "View Product")</f>
        <v/>
      </c>
    </row>
    <row r="12892">
      <c r="A12892" t="inlineStr">
        <is>
          <t>8809255788181</t>
        </is>
      </c>
      <c r="B12892" t="inlineStr">
        <is>
          <t>Erborian Super Bb Concealer Caramel 10ml Spf 25</t>
        </is>
      </c>
      <c r="C12892" t="inlineStr">
        <is>
          <t>Concealer</t>
        </is>
      </c>
      <c r="D12892" t="inlineStr">
        <is>
          <t>Erborian</t>
        </is>
      </c>
      <c r="E12892" t="n">
        <v>21.89</v>
      </c>
      <c r="F12892" t="n">
        <v>1</v>
      </c>
      <c r="G12892" t="n">
        <v>16</v>
      </c>
      <c r="H12892" s="5">
        <f>HYPERLINK("https://api.qogita.com/variants/link/8809255788181/", "View Product")</f>
        <v/>
      </c>
    </row>
    <row r="12893">
      <c r="A12893" t="inlineStr">
        <is>
          <t>8809416470030</t>
        </is>
      </c>
      <c r="B12893" t="inlineStr">
        <is>
          <t>Cosrx Ahabha Clarifying Treatment Toner 150 Ml</t>
        </is>
      </c>
      <c r="C12893" t="inlineStr">
        <is>
          <t>Facial Scrub &amp; Peeling</t>
        </is>
      </c>
      <c r="D12893" t="inlineStr">
        <is>
          <t>Cosrx</t>
        </is>
      </c>
      <c r="E12893" t="n">
        <v>10</v>
      </c>
      <c r="F12893" t="n">
        <v>1</v>
      </c>
      <c r="G12893" t="n">
        <v>110</v>
      </c>
      <c r="H12893" s="5">
        <f>HYPERLINK("https://api.qogita.com/variants/link/8809416470030/", "View Product")</f>
        <v/>
      </c>
    </row>
    <row r="12894">
      <c r="A12894" t="inlineStr">
        <is>
          <t>8809416470047</t>
        </is>
      </c>
      <c r="B12894" t="inlineStr">
        <is>
          <t>Cosrx Aha 7 Whitehead Power Liquid Exfoliating Facial Treatment 100ml</t>
        </is>
      </c>
      <c r="C12894" t="inlineStr">
        <is>
          <t>Facial Scrub &amp; Peeling</t>
        </is>
      </c>
      <c r="D12894" t="inlineStr">
        <is>
          <t>Cosrx</t>
        </is>
      </c>
      <c r="E12894" t="n">
        <v>12.26</v>
      </c>
      <c r="F12894" t="n">
        <v>1</v>
      </c>
      <c r="G12894" t="n">
        <v>51</v>
      </c>
      <c r="H12894" s="5">
        <f>HYPERLINK("https://api.qogita.com/variants/link/8809416470047/", "View Product")</f>
        <v/>
      </c>
    </row>
    <row r="12895">
      <c r="A12895" t="inlineStr">
        <is>
          <t>8809416470191</t>
        </is>
      </c>
      <c r="B12895" t="inlineStr">
        <is>
          <t>Cosrx Aloe Soothing Sun Cream SPF 50+ Daily Hydrating Sunscreen for Dry Skin</t>
        </is>
      </c>
      <c r="C12895" t="inlineStr">
        <is>
          <t>Face Sun Protection</t>
        </is>
      </c>
      <c r="D12895" t="inlineStr">
        <is>
          <t>Cosrx</t>
        </is>
      </c>
      <c r="E12895" t="n">
        <v>10.96</v>
      </c>
      <c r="F12895" t="n">
        <v>1</v>
      </c>
      <c r="G12895" t="n">
        <v>51</v>
      </c>
      <c r="H12895" s="5">
        <f>HYPERLINK("https://api.qogita.com/variants/link/8809416470191/", "View Product")</f>
        <v/>
      </c>
    </row>
    <row r="12896">
      <c r="A12896" t="inlineStr">
        <is>
          <t>8809416470511</t>
        </is>
      </c>
      <c r="B12896" t="inlineStr">
        <is>
          <t>Cosrx Low Ph Morning Gel Cleanser - 150ml</t>
        </is>
      </c>
      <c r="C12896" t="inlineStr">
        <is>
          <t>Cleansing Gel</t>
        </is>
      </c>
      <c r="D12896" t="inlineStr">
        <is>
          <t>Cosrx</t>
        </is>
      </c>
      <c r="E12896" t="n">
        <v>8.119999999999999</v>
      </c>
      <c r="F12896" t="n">
        <v>1</v>
      </c>
      <c r="G12896" t="n">
        <v>27</v>
      </c>
      <c r="H12896" s="5">
        <f>HYPERLINK("https://api.qogita.com/variants/link/8809416470511/", "View Product")</f>
        <v/>
      </c>
    </row>
    <row r="12897">
      <c r="A12897" t="inlineStr">
        <is>
          <t>8809416470764</t>
        </is>
      </c>
      <c r="B12897" t="inlineStr">
        <is>
          <t>Cosrx One Step Moisture Up Pad Moisturizing Pads 70 Pieces</t>
        </is>
      </c>
      <c r="C12897" t="inlineStr">
        <is>
          <t>Face Cream</t>
        </is>
      </c>
      <c r="D12897" t="inlineStr">
        <is>
          <t>Cosrx</t>
        </is>
      </c>
      <c r="E12897" t="n">
        <v>12.83</v>
      </c>
      <c r="F12897" t="n">
        <v>1</v>
      </c>
      <c r="G12897" t="n">
        <v>58</v>
      </c>
      <c r="H12897" s="5">
        <f>HYPERLINK("https://api.qogita.com/variants/link/8809416470764/", "View Product")</f>
        <v/>
      </c>
    </row>
    <row r="12898">
      <c r="A12898" t="inlineStr">
        <is>
          <t>8809416471310</t>
        </is>
      </c>
      <c r="B12898" t="inlineStr">
        <is>
          <t>Cosrx Galactomyces 95 Tone Balancing Essence 100 Ml</t>
        </is>
      </c>
      <c r="C12898" t="inlineStr">
        <is>
          <t>Hydrating Serum</t>
        </is>
      </c>
      <c r="D12898" t="inlineStr">
        <is>
          <t>Cosrx</t>
        </is>
      </c>
      <c r="E12898" t="n">
        <v>13.63</v>
      </c>
      <c r="F12898" t="n">
        <v>1</v>
      </c>
      <c r="G12898" t="n">
        <v>40</v>
      </c>
      <c r="H12898" s="5">
        <f>HYPERLINK("https://api.qogita.com/variants/link/8809416471310/", "View Product")</f>
        <v/>
      </c>
    </row>
    <row r="12899">
      <c r="A12899" t="inlineStr">
        <is>
          <t>8809420800403</t>
        </is>
      </c>
      <c r="B12899" t="inlineStr">
        <is>
          <t>The Clean Vegan AHA/BHA Exfoliating Mask 20ml</t>
        </is>
      </c>
      <c r="C12899" t="inlineStr">
        <is>
          <t>Purifying Mask</t>
        </is>
      </c>
      <c r="D12899" t="inlineStr">
        <is>
          <t>Barulab</t>
        </is>
      </c>
      <c r="E12899" t="n">
        <v>2.35</v>
      </c>
      <c r="F12899" t="n">
        <v>1</v>
      </c>
      <c r="G12899" t="n">
        <v>11</v>
      </c>
      <c r="H12899" s="5">
        <f>HYPERLINK("https://api.qogita.com/variants/link/8809420800403/", "View Product")</f>
        <v/>
      </c>
    </row>
    <row r="12900">
      <c r="A12900" t="inlineStr">
        <is>
          <t>8809420800502</t>
        </is>
      </c>
      <c r="B12900" t="inlineStr">
        <is>
          <t>Barulab Nourishing Shea Butter Sheet Mask 20ml</t>
        </is>
      </c>
      <c r="C12900" t="inlineStr">
        <is>
          <t>Sheet Mask</t>
        </is>
      </c>
      <c r="D12900" t="inlineStr">
        <is>
          <t>Barulab</t>
        </is>
      </c>
      <c r="E12900" t="n">
        <v>2.09</v>
      </c>
      <c r="F12900" t="n">
        <v>1</v>
      </c>
      <c r="G12900" t="n">
        <v>5</v>
      </c>
      <c r="H12900" s="5">
        <f>HYPERLINK("https://api.qogita.com/variants/link/8809420800502/", "View Product")</f>
        <v/>
      </c>
    </row>
    <row r="12901">
      <c r="A12901" t="inlineStr">
        <is>
          <t>8809420800526</t>
        </is>
      </c>
      <c r="B12901" t="inlineStr">
        <is>
          <t>BARULAB Vegan Olive Sheet Mask 20ml</t>
        </is>
      </c>
      <c r="C12901" t="inlineStr">
        <is>
          <t>Sheet Mask</t>
        </is>
      </c>
      <c r="D12901" t="inlineStr">
        <is>
          <t>Barulab</t>
        </is>
      </c>
      <c r="E12901" t="n">
        <v>2.26</v>
      </c>
      <c r="F12901" t="n">
        <v>1</v>
      </c>
      <c r="G12901" t="n">
        <v>10</v>
      </c>
      <c r="H12901" s="5">
        <f>HYPERLINK("https://api.qogita.com/variants/link/8809420800526/", "View Product")</f>
        <v/>
      </c>
    </row>
    <row r="12902">
      <c r="A12902" t="inlineStr">
        <is>
          <t>8809447255101</t>
        </is>
      </c>
      <c r="B12902" t="inlineStr">
        <is>
          <t>Dr. Althea Gentle Vitamin C Serum for Skin Tone and Pigmentation</t>
        </is>
      </c>
      <c r="C12902" t="inlineStr">
        <is>
          <t>Vitamin Serum</t>
        </is>
      </c>
      <c r="D12902" t="inlineStr">
        <is>
          <t>Dr.Althea</t>
        </is>
      </c>
      <c r="E12902" t="n">
        <v>16.34</v>
      </c>
      <c r="F12902" t="n">
        <v>1</v>
      </c>
      <c r="G12902" t="n">
        <v>7</v>
      </c>
      <c r="H12902" s="5">
        <f>HYPERLINK("https://api.qogita.com/variants/link/8809447255101/", "View Product")</f>
        <v/>
      </c>
    </row>
    <row r="12903">
      <c r="A12903" t="inlineStr">
        <is>
          <t>8809448639948</t>
        </is>
      </c>
      <c r="B12903" t="inlineStr">
        <is>
          <t>Han Skin Pore Cleansing Balm, Pha, 2.82 Oz 80 G</t>
        </is>
      </c>
      <c r="C12903" t="inlineStr">
        <is>
          <t>Cleansing Cream</t>
        </is>
      </c>
      <c r="D12903" t="inlineStr">
        <is>
          <t>Han Skincare</t>
        </is>
      </c>
      <c r="E12903" t="n">
        <v>16.04</v>
      </c>
      <c r="F12903" t="n">
        <v>1</v>
      </c>
      <c r="G12903" t="n">
        <v>5</v>
      </c>
      <c r="H12903" s="5">
        <f>HYPERLINK("https://api.qogita.com/variants/link/8809448639948/", "View Product")</f>
        <v/>
      </c>
    </row>
    <row r="12904">
      <c r="A12904" t="inlineStr">
        <is>
          <t>8809455421222</t>
        </is>
      </c>
      <c r="B12904" t="inlineStr">
        <is>
          <t>NEEDLY Peony Jelly Mask</t>
        </is>
      </c>
      <c r="C12904" t="inlineStr">
        <is>
          <t>Glow Mask</t>
        </is>
      </c>
      <c r="D12904" t="inlineStr">
        <is>
          <t>Needly</t>
        </is>
      </c>
      <c r="E12904" t="n">
        <v>4.37</v>
      </c>
      <c r="F12904" t="n">
        <v>1</v>
      </c>
      <c r="G12904" t="n">
        <v>26</v>
      </c>
      <c r="H12904" s="5">
        <f>HYPERLINK("https://api.qogita.com/variants/link/8809455421222/", "View Product")</f>
        <v/>
      </c>
    </row>
    <row r="12905">
      <c r="A12905" t="inlineStr">
        <is>
          <t>8809455421932</t>
        </is>
      </c>
      <c r="B12905" t="inlineStr">
        <is>
          <t>Mild Micellar Cleansing Water 390 ml</t>
        </is>
      </c>
      <c r="C12905" t="inlineStr">
        <is>
          <t>Micellar Water</t>
        </is>
      </c>
      <c r="D12905" t="inlineStr">
        <is>
          <t>Needly</t>
        </is>
      </c>
      <c r="E12905" t="n">
        <v>15.31</v>
      </c>
      <c r="F12905" t="n">
        <v>1</v>
      </c>
      <c r="G12905" t="n">
        <v>25</v>
      </c>
      <c r="H12905" s="5">
        <f>HYPERLINK("https://api.qogita.com/variants/link/8809455421932/", "View Product")</f>
        <v/>
      </c>
    </row>
    <row r="12906">
      <c r="A12906" t="inlineStr">
        <is>
          <t>8809463993889</t>
        </is>
      </c>
      <c r="B12906" t="inlineStr">
        <is>
          <t>Celimax Ji.Woo.Gae One Step Mild Cleansing Pad 60 Pads</t>
        </is>
      </c>
      <c r="C12906" t="inlineStr">
        <is>
          <t>Makeup Remover</t>
        </is>
      </c>
      <c r="D12906" t="inlineStr">
        <is>
          <t>Celimax</t>
        </is>
      </c>
      <c r="E12906" t="n">
        <v>13.18</v>
      </c>
      <c r="F12906" t="n">
        <v>1</v>
      </c>
      <c r="G12906" t="n">
        <v>7</v>
      </c>
      <c r="H12906" s="5">
        <f>HYPERLINK("https://api.qogita.com/variants/link/8809463993889/", "View Product")</f>
        <v/>
      </c>
    </row>
    <row r="12907">
      <c r="A12907" t="inlineStr">
        <is>
          <t>8809479166390</t>
        </is>
      </c>
      <c r="B12907" t="inlineStr">
        <is>
          <t>Joyful Time Aloe Essence Sheet Mask</t>
        </is>
      </c>
      <c r="C12907" t="inlineStr">
        <is>
          <t>Sheet Mask</t>
        </is>
      </c>
      <c r="D12907" t="inlineStr">
        <is>
          <t>Mizon</t>
        </is>
      </c>
      <c r="E12907" t="n">
        <v>3.13</v>
      </c>
      <c r="F12907" t="n">
        <v>1</v>
      </c>
      <c r="G12907" t="n">
        <v>6</v>
      </c>
      <c r="H12907" s="5">
        <f>HYPERLINK("https://api.qogita.com/variants/link/8809479166390/", "View Product")</f>
        <v/>
      </c>
    </row>
    <row r="12908">
      <c r="A12908" t="inlineStr">
        <is>
          <t>8809479166468</t>
        </is>
      </c>
      <c r="B12908" t="inlineStr">
        <is>
          <t>Mizon Joyful Essence Pomegranate Sheet Mask 23g</t>
        </is>
      </c>
      <c r="C12908" t="inlineStr">
        <is>
          <t>Sheet Mask</t>
        </is>
      </c>
      <c r="D12908" t="inlineStr">
        <is>
          <t>Mizon</t>
        </is>
      </c>
      <c r="E12908" t="n">
        <v>3.13</v>
      </c>
      <c r="F12908" t="n">
        <v>1</v>
      </c>
      <c r="G12908" t="n">
        <v>9</v>
      </c>
      <c r="H12908" s="5">
        <f>HYPERLINK("https://api.qogita.com/variants/link/8809479166468/", "View Product")</f>
        <v/>
      </c>
    </row>
    <row r="12909">
      <c r="A12909" t="inlineStr">
        <is>
          <t>8809479166505</t>
        </is>
      </c>
      <c r="B12909" t="inlineStr">
        <is>
          <t>Mizon Joyful Vitamin Acerola Face Mask Sheet</t>
        </is>
      </c>
      <c r="C12909" t="inlineStr">
        <is>
          <t>Sheet Mask</t>
        </is>
      </c>
      <c r="D12909" t="inlineStr">
        <is>
          <t>Mizon</t>
        </is>
      </c>
      <c r="E12909" t="n">
        <v>3.13</v>
      </c>
      <c r="F12909" t="n">
        <v>1</v>
      </c>
      <c r="G12909" t="n">
        <v>9</v>
      </c>
      <c r="H12909" s="5">
        <f>HYPERLINK("https://api.qogita.com/variants/link/8809479166505/", "View Product")</f>
        <v/>
      </c>
    </row>
    <row r="12910">
      <c r="A12910" t="inlineStr">
        <is>
          <t>8809486680018</t>
        </is>
      </c>
      <c r="B12910" t="inlineStr">
        <is>
          <t>Pyunkang Yul Face Mist Toner 6.8 fl oz - Moisturizing Facial Toner Spray for Oily and Combination Skin</t>
        </is>
      </c>
      <c r="C12910" t="inlineStr">
        <is>
          <t>Facial Spray</t>
        </is>
      </c>
      <c r="D12910" t="inlineStr">
        <is>
          <t>Pyunkang Yul</t>
        </is>
      </c>
      <c r="E12910" t="n">
        <v>15.36</v>
      </c>
      <c r="F12910" t="n">
        <v>1</v>
      </c>
      <c r="G12910" t="n">
        <v>4</v>
      </c>
      <c r="H12910" s="5">
        <f>HYPERLINK("https://api.qogita.com/variants/link/8809486680018/", "View Product")</f>
        <v/>
      </c>
    </row>
    <row r="12911">
      <c r="A12911" t="inlineStr">
        <is>
          <t>8809486680025</t>
        </is>
      </c>
      <c r="B12911" t="inlineStr">
        <is>
          <t>Pyunkang Yul Moisture Ampoule 3.4 Fl. Oz</t>
        </is>
      </c>
      <c r="C12911" t="inlineStr">
        <is>
          <t>Ampoules</t>
        </is>
      </c>
      <c r="D12911" t="inlineStr">
        <is>
          <t>Pyunkang Yul</t>
        </is>
      </c>
      <c r="E12911" t="n">
        <v>26.84</v>
      </c>
      <c r="F12911" t="n">
        <v>1</v>
      </c>
      <c r="G12911" t="n">
        <v>3</v>
      </c>
      <c r="H12911" s="5">
        <f>HYPERLINK("https://api.qogita.com/variants/link/8809486680025/", "View Product")</f>
        <v/>
      </c>
    </row>
    <row r="12912">
      <c r="A12912" t="inlineStr">
        <is>
          <t>8809486681244</t>
        </is>
      </c>
      <c r="B12912" t="inlineStr">
        <is>
          <t>Pyunkang Yul Calming Moisture Barrier Cream with Ceramides Hyaluronic Acid Tea Tree Shea Butter Squalene and Cica 1.7 Fl Oz</t>
        </is>
      </c>
      <c r="C12912" t="inlineStr">
        <is>
          <t>Face Cream</t>
        </is>
      </c>
      <c r="D12912" t="inlineStr">
        <is>
          <t>Pyunkang Yul</t>
        </is>
      </c>
      <c r="E12912" t="n">
        <v>11.74</v>
      </c>
      <c r="F12912" t="n">
        <v>1</v>
      </c>
      <c r="G12912" t="n">
        <v>8</v>
      </c>
      <c r="H12912" s="5">
        <f>HYPERLINK("https://api.qogita.com/variants/link/8809486681244/", "View Product")</f>
        <v/>
      </c>
    </row>
    <row r="12913">
      <c r="A12913" t="inlineStr">
        <is>
          <t>8809486681497</t>
        </is>
      </c>
      <c r="B12913" t="inlineStr">
        <is>
          <t>Pyunkang Yul Deep Clear Cleansing Balm All In One Facial Cleanser</t>
        </is>
      </c>
      <c r="C12913" t="inlineStr">
        <is>
          <t>Cleansing Cream</t>
        </is>
      </c>
      <c r="D12913" t="inlineStr">
        <is>
          <t>Pyunkang Yul</t>
        </is>
      </c>
      <c r="E12913" t="n">
        <v>15.36</v>
      </c>
      <c r="F12913" t="n">
        <v>1</v>
      </c>
      <c r="G12913" t="n">
        <v>5</v>
      </c>
      <c r="H12913" s="5">
        <f>HYPERLINK("https://api.qogita.com/variants/link/8809486681497/", "View Product")</f>
        <v/>
      </c>
    </row>
    <row r="12914">
      <c r="A12914" t="inlineStr">
        <is>
          <t>8809486682395</t>
        </is>
      </c>
      <c r="B12914" t="inlineStr">
        <is>
          <t>Pyunkang Yul Intensive Ceramide Lotion 290ml Moisturizing Body Lotion</t>
        </is>
      </c>
      <c r="C12914" t="inlineStr">
        <is>
          <t>Body Lotion</t>
        </is>
      </c>
      <c r="D12914" t="inlineStr">
        <is>
          <t>Pyunkang Yul</t>
        </is>
      </c>
      <c r="E12914" t="n">
        <v>16.39</v>
      </c>
      <c r="F12914" t="n">
        <v>1</v>
      </c>
      <c r="G12914" t="n">
        <v>5</v>
      </c>
      <c r="H12914" s="5">
        <f>HYPERLINK("https://api.qogita.com/variants/link/8809486682395/", "View Product")</f>
        <v/>
      </c>
    </row>
    <row r="12915">
      <c r="A12915" t="inlineStr">
        <is>
          <t>8809532220700</t>
        </is>
      </c>
      <c r="B12915" t="inlineStr">
        <is>
          <t>Haruharu Wonder Black Rice Hyaluronic Toner - 300ml</t>
        </is>
      </c>
      <c r="C12915" t="inlineStr">
        <is>
          <t>Facial Spray</t>
        </is>
      </c>
      <c r="D12915" t="inlineStr">
        <is>
          <t>Haruharu Wonder</t>
        </is>
      </c>
      <c r="E12915" t="n">
        <v>15.83</v>
      </c>
      <c r="F12915" t="n">
        <v>1</v>
      </c>
      <c r="G12915" t="n">
        <v>3</v>
      </c>
      <c r="H12915" s="5">
        <f>HYPERLINK("https://api.qogita.com/variants/link/8809532220700/", "View Product")</f>
        <v/>
      </c>
    </row>
    <row r="12916">
      <c r="A12916" t="inlineStr">
        <is>
          <t>8809532220748</t>
        </is>
      </c>
      <c r="B12916" t="inlineStr">
        <is>
          <t>Haruharu Wonder Black Bamboo Mist Hydrating Face Mist 150ml</t>
        </is>
      </c>
      <c r="C12916" t="inlineStr">
        <is>
          <t>Facial Spray</t>
        </is>
      </c>
      <c r="D12916" t="inlineStr">
        <is>
          <t>Haruharu Wonder</t>
        </is>
      </c>
      <c r="E12916" t="n">
        <v>12.48</v>
      </c>
      <c r="F12916" t="n">
        <v>1</v>
      </c>
      <c r="G12916" t="n">
        <v>10</v>
      </c>
      <c r="H12916" s="5">
        <f>HYPERLINK("https://api.qogita.com/variants/link/8809532220748/", "View Product")</f>
        <v/>
      </c>
    </row>
    <row r="12917">
      <c r="A12917" t="inlineStr">
        <is>
          <t>8809532220946</t>
        </is>
      </c>
      <c r="B12917" t="inlineStr">
        <is>
          <t>Haruharu Wonder Black Bamboo Mist 80 Ml Hydrating Facial Mist</t>
        </is>
      </c>
      <c r="C12917" t="inlineStr">
        <is>
          <t>Facial Spray</t>
        </is>
      </c>
      <c r="D12917" t="inlineStr">
        <is>
          <t>Haruharu Wonder</t>
        </is>
      </c>
      <c r="E12917" t="n">
        <v>12.14</v>
      </c>
      <c r="F12917" t="n">
        <v>1</v>
      </c>
      <c r="G12917" t="n">
        <v>7</v>
      </c>
      <c r="H12917" s="5">
        <f>HYPERLINK("https://api.qogita.com/variants/link/8809532220946/", "View Product")</f>
        <v/>
      </c>
    </row>
    <row r="12918">
      <c r="A12918" t="inlineStr">
        <is>
          <t>8809532220953</t>
        </is>
      </c>
      <c r="B12918" t="inlineStr">
        <is>
          <t>Haruharu Wonder Black Rice Hyaluronic Toner - 150ml</t>
        </is>
      </c>
      <c r="C12918" t="inlineStr">
        <is>
          <t>Facial Spray</t>
        </is>
      </c>
      <c r="D12918" t="inlineStr">
        <is>
          <t>Haruharu Wonder</t>
        </is>
      </c>
      <c r="E12918" t="n">
        <v>10.87</v>
      </c>
      <c r="F12918" t="n">
        <v>1</v>
      </c>
      <c r="G12918" t="n">
        <v>5</v>
      </c>
      <c r="H12918" s="5">
        <f>HYPERLINK("https://api.qogita.com/variants/link/8809532220953/", "View Product")</f>
        <v/>
      </c>
    </row>
    <row r="12919">
      <c r="A12919" t="inlineStr">
        <is>
          <t>8809532221349</t>
        </is>
      </c>
      <c r="B12919" t="inlineStr">
        <is>
          <t>Haruharu Wonder Black Rice Moisture Deep Cleansing Oil 5.1 fl.oz / 150ml Korean Facial Cleanser Makeup Remover</t>
        </is>
      </c>
      <c r="C12919" t="inlineStr">
        <is>
          <t>Cleansing Oil</t>
        </is>
      </c>
      <c r="D12919" t="inlineStr">
        <is>
          <t>Haruharu Wonder</t>
        </is>
      </c>
      <c r="E12919" t="n">
        <v>16.48</v>
      </c>
      <c r="F12919" t="n">
        <v>1</v>
      </c>
      <c r="G12919" t="n">
        <v>18</v>
      </c>
      <c r="H12919" s="5">
        <f>HYPERLINK("https://api.qogita.com/variants/link/8809532221349/", "View Product")</f>
        <v/>
      </c>
    </row>
    <row r="12920">
      <c r="A12920" t="inlineStr">
        <is>
          <t>8809532221707</t>
        </is>
      </c>
      <c r="B12920" t="inlineStr">
        <is>
          <t>Haruharu Wonder Black Rice Moisture Airyfit Daily Sunscreen 50ml Reef Safe Formula Non-Greasy Velvet Finish</t>
        </is>
      </c>
      <c r="C12920" t="inlineStr">
        <is>
          <t>Face Sun Protection</t>
        </is>
      </c>
      <c r="D12920" t="inlineStr">
        <is>
          <t>Haruharu Wonder</t>
        </is>
      </c>
      <c r="E12920" t="n">
        <v>13</v>
      </c>
      <c r="F12920" t="n">
        <v>1</v>
      </c>
      <c r="G12920" t="n">
        <v>5</v>
      </c>
      <c r="H12920" s="5">
        <f>HYPERLINK("https://api.qogita.com/variants/link/8809532221707/", "View Product")</f>
        <v/>
      </c>
    </row>
    <row r="12921">
      <c r="A12921" t="inlineStr">
        <is>
          <t>8809541199561</t>
        </is>
      </c>
      <c r="B12921" t="inlineStr">
        <is>
          <t>MIZON BSA Black Head Away Liquid Low pH Salicylic Acid Exfoliant 3.88 fl oz</t>
        </is>
      </c>
      <c r="C12921" t="inlineStr">
        <is>
          <t>Facial Scrub &amp; Peeling</t>
        </is>
      </c>
      <c r="D12921" t="inlineStr">
        <is>
          <t>Mizon</t>
        </is>
      </c>
      <c r="E12921" t="n">
        <v>23.72</v>
      </c>
      <c r="F12921" t="n">
        <v>1</v>
      </c>
      <c r="G12921" t="n">
        <v>12</v>
      </c>
      <c r="H12921" s="5">
        <f>HYPERLINK("https://api.qogita.com/variants/link/8809541199561/", "View Product")</f>
        <v/>
      </c>
    </row>
    <row r="12922">
      <c r="A12922" t="inlineStr">
        <is>
          <t>8809559626196</t>
        </is>
      </c>
      <c r="B12922" t="inlineStr">
        <is>
          <t>Vt Cosmetics Reedle Shot 50 Booster For Deep Improvement Of Skin Texture 50ml</t>
        </is>
      </c>
      <c r="C12922" t="inlineStr">
        <is>
          <t>Ampoules</t>
        </is>
      </c>
      <c r="D12922" t="inlineStr">
        <is>
          <t>Vt Cosmetics</t>
        </is>
      </c>
      <c r="E12922" t="n">
        <v>20.04</v>
      </c>
      <c r="F12922" t="n">
        <v>1</v>
      </c>
      <c r="G12922" t="n">
        <v>10</v>
      </c>
      <c r="H12922" s="5">
        <f>HYPERLINK("https://api.qogita.com/variants/link/8809559626196/", "View Product")</f>
        <v/>
      </c>
    </row>
    <row r="12923">
      <c r="A12923" t="inlineStr">
        <is>
          <t>8809559627490</t>
        </is>
      </c>
      <c r="B12923" t="inlineStr">
        <is>
          <t>Vt Cosmetics Cica Daily Soothing Mask - 30 Sheets</t>
        </is>
      </c>
      <c r="C12923" t="inlineStr">
        <is>
          <t>Sheet Mask</t>
        </is>
      </c>
      <c r="D12923" t="inlineStr">
        <is>
          <t>Vt Cosmetics</t>
        </is>
      </c>
      <c r="E12923" t="n">
        <v>16.75</v>
      </c>
      <c r="F12923" t="n">
        <v>1</v>
      </c>
      <c r="G12923" t="n">
        <v>8</v>
      </c>
      <c r="H12923" s="5">
        <f>HYPERLINK("https://api.qogita.com/variants/link/8809559627490/", "View Product")</f>
        <v/>
      </c>
    </row>
    <row r="12924">
      <c r="A12924" t="inlineStr">
        <is>
          <t>8809560220062</t>
        </is>
      </c>
      <c r="B12924" t="inlineStr">
        <is>
          <t>Banila Co Clean It Zero Original Foam Cleanser - Rich Lather Gentle Cleansing</t>
        </is>
      </c>
      <c r="C12924" t="inlineStr">
        <is>
          <t>Cleansing Foam</t>
        </is>
      </c>
      <c r="D12924" t="inlineStr">
        <is>
          <t>Banila Co</t>
        </is>
      </c>
      <c r="E12924" t="n">
        <v>8.65</v>
      </c>
      <c r="F12924" t="n">
        <v>1</v>
      </c>
      <c r="G12924" t="n">
        <v>5</v>
      </c>
      <c r="H12924" s="5">
        <f>HYPERLINK("https://api.qogita.com/variants/link/8809560220062/", "View Product")</f>
        <v/>
      </c>
    </row>
    <row r="12925">
      <c r="A12925" t="inlineStr">
        <is>
          <t>8809562191735</t>
        </is>
      </c>
      <c r="B12925" t="inlineStr">
        <is>
          <t>Arencia Red Collagen + Peptide Smoothie Serum with 8% Niacinamide and Vitamin C</t>
        </is>
      </c>
      <c r="C12925" t="inlineStr">
        <is>
          <t>Collagen Serum</t>
        </is>
      </c>
      <c r="D12925" t="inlineStr">
        <is>
          <t>A'pieu</t>
        </is>
      </c>
      <c r="E12925" t="n">
        <v>10.96</v>
      </c>
      <c r="F12925" t="n">
        <v>1</v>
      </c>
      <c r="G12925" t="n">
        <v>2</v>
      </c>
      <c r="H12925" s="5">
        <f>HYPERLINK("https://api.qogita.com/variants/link/8809562191735/", "View Product")</f>
        <v/>
      </c>
    </row>
    <row r="12926">
      <c r="A12926" t="inlineStr">
        <is>
          <t>8809562557043</t>
        </is>
      </c>
      <c r="B12926" t="inlineStr">
        <is>
          <t>Abib Airy Sunstick Smoothing Bar SPF50 Non-Sticky Matte Finish Sun Protection for Face and Body</t>
        </is>
      </c>
      <c r="C12926" t="inlineStr">
        <is>
          <t>Face Sun Protection</t>
        </is>
      </c>
      <c r="D12926" t="inlineStr">
        <is>
          <t>Abib</t>
        </is>
      </c>
      <c r="E12926" t="n">
        <v>14.18</v>
      </c>
      <c r="F12926" t="n">
        <v>1</v>
      </c>
      <c r="G12926" t="n">
        <v>10</v>
      </c>
      <c r="H12926" s="5">
        <f>HYPERLINK("https://api.qogita.com/variants/link/8809562557043/", "View Product")</f>
        <v/>
      </c>
    </row>
    <row r="12927">
      <c r="A12927" t="inlineStr">
        <is>
          <t>8809562559306</t>
        </is>
      </c>
      <c r="B12927" t="inlineStr">
        <is>
          <t>Abib Collagen Gel Mask Sedum Jelly 4 Sheets Hydrating Korean Vegan Collagen</t>
        </is>
      </c>
      <c r="C12927" t="inlineStr">
        <is>
          <t>Sheet Mask</t>
        </is>
      </c>
      <c r="D12927" t="inlineStr">
        <is>
          <t>Abib</t>
        </is>
      </c>
      <c r="E12927" t="n">
        <v>11.77</v>
      </c>
      <c r="F12927" t="n">
        <v>1</v>
      </c>
      <c r="G12927" t="n">
        <v>6</v>
      </c>
      <c r="H12927" s="5">
        <f>HYPERLINK("https://api.qogita.com/variants/link/8809562559306/", "View Product")</f>
        <v/>
      </c>
    </row>
    <row r="12928">
      <c r="A12928" t="inlineStr">
        <is>
          <t>8809563103355</t>
        </is>
      </c>
      <c r="B12928" t="inlineStr">
        <is>
          <t>Purito Seoul Wonder Releaf Centella Bb Cushion - Neutral Ivory</t>
        </is>
      </c>
      <c r="C12928" t="inlineStr">
        <is>
          <t>Bb Cream &amp; Cc Cream</t>
        </is>
      </c>
      <c r="D12928" t="inlineStr">
        <is>
          <t>Seoul</t>
        </is>
      </c>
      <c r="E12928" t="n">
        <v>29.75</v>
      </c>
      <c r="F12928" t="n">
        <v>1</v>
      </c>
      <c r="G12928" t="n">
        <v>16</v>
      </c>
      <c r="H12928" s="5">
        <f>HYPERLINK("https://api.qogita.com/variants/link/8809563103355/", "View Product")</f>
        <v/>
      </c>
    </row>
    <row r="12929">
      <c r="A12929" t="inlineStr">
        <is>
          <t>8809566991638</t>
        </is>
      </c>
      <c r="B12929" t="inlineStr">
        <is>
          <t>Benton Fermentation Essence 100ml &amp; Eye Cream 10g Set</t>
        </is>
      </c>
      <c r="C12929" t="inlineStr">
        <is>
          <t>Facial Care Sets</t>
        </is>
      </c>
      <c r="D12929" t="inlineStr">
        <is>
          <t>Benton</t>
        </is>
      </c>
      <c r="E12929" t="n">
        <v>22.56</v>
      </c>
      <c r="F12929" t="n">
        <v>1</v>
      </c>
      <c r="G12929" t="n">
        <v>3</v>
      </c>
      <c r="H12929" s="5">
        <f>HYPERLINK("https://api.qogita.com/variants/link/8809566991638/", "View Product")</f>
        <v/>
      </c>
    </row>
    <row r="12930">
      <c r="A12930" t="inlineStr">
        <is>
          <t>8809566991911</t>
        </is>
      </c>
      <c r="B12930" t="inlineStr">
        <is>
          <t>Snail Bee Ultimate Ph-Balanced Cleansing</t>
        </is>
      </c>
      <c r="C12930" t="inlineStr">
        <is>
          <t>Cleansing Foam</t>
        </is>
      </c>
      <c r="D12930" t="inlineStr">
        <is>
          <t>Benton</t>
        </is>
      </c>
      <c r="E12930" t="n">
        <v>18.98</v>
      </c>
      <c r="F12930" t="n">
        <v>1</v>
      </c>
      <c r="G12930" t="n">
        <v>5</v>
      </c>
      <c r="H12930" s="5">
        <f>HYPERLINK("https://api.qogita.com/variants/link/8809566991911/", "View Product")</f>
        <v/>
      </c>
    </row>
    <row r="12931">
      <c r="A12931" t="inlineStr">
        <is>
          <t>8809566992932</t>
        </is>
      </c>
      <c r="B12931" t="inlineStr">
        <is>
          <t>Miin Cosmetics Benton Snail Bee High Content Starter Kit</t>
        </is>
      </c>
      <c r="C12931" t="inlineStr">
        <is>
          <t>Face</t>
        </is>
      </c>
      <c r="D12931" t="inlineStr">
        <is>
          <t>Miin Cosmetics</t>
        </is>
      </c>
      <c r="E12931" t="n">
        <v>14.84</v>
      </c>
      <c r="F12931" t="n">
        <v>1</v>
      </c>
      <c r="G12931" t="n">
        <v>4</v>
      </c>
      <c r="H12931" s="5">
        <f>HYPERLINK("https://api.qogita.com/variants/link/8809566992932/", "View Product")</f>
        <v/>
      </c>
    </row>
    <row r="12932">
      <c r="A12932" t="inlineStr">
        <is>
          <t>8809572891243</t>
        </is>
      </c>
      <c r="B12932" t="inlineStr">
        <is>
          <t>Gentle Black Facial Cleanser 0.68 Fl Oz 20ml</t>
        </is>
      </c>
      <c r="C12932" t="inlineStr">
        <is>
          <t>Cleansing Milk</t>
        </is>
      </c>
      <c r="D12932" t="inlineStr">
        <is>
          <t>Dear Klairs</t>
        </is>
      </c>
      <c r="E12932" t="n">
        <v>6.77</v>
      </c>
      <c r="F12932" t="n">
        <v>1</v>
      </c>
      <c r="G12932" t="n">
        <v>2</v>
      </c>
      <c r="H12932" s="5">
        <f>HYPERLINK("https://api.qogita.com/variants/link/8809572891243/", "View Product")</f>
        <v/>
      </c>
    </row>
    <row r="12933">
      <c r="A12933" t="inlineStr">
        <is>
          <t>8809576260458</t>
        </is>
      </c>
      <c r="B12933" t="inlineStr">
        <is>
          <t>SKIN1004 Zombie Beauty Mummy Pack &amp; Activator Kit Wrinkles Treatment Smoothening</t>
        </is>
      </c>
      <c r="C12933" t="inlineStr">
        <is>
          <t>Anti-Aging Mask</t>
        </is>
      </c>
      <c r="D12933" t="inlineStr">
        <is>
          <t>Skin1004</t>
        </is>
      </c>
      <c r="E12933" t="n">
        <v>21.03</v>
      </c>
      <c r="F12933" t="n">
        <v>1</v>
      </c>
      <c r="G12933" t="n">
        <v>3</v>
      </c>
      <c r="H12933" s="5">
        <f>HYPERLINK("https://api.qogita.com/variants/link/8809576260458/", "View Product")</f>
        <v/>
      </c>
    </row>
    <row r="12934">
      <c r="A12934" t="inlineStr">
        <is>
          <t>8809576260618</t>
        </is>
      </c>
      <c r="B12934" t="inlineStr">
        <is>
          <t>Skin1004 Madagascar Centella Ampoule 30ml</t>
        </is>
      </c>
      <c r="C12934" t="inlineStr">
        <is>
          <t>Ampoules</t>
        </is>
      </c>
      <c r="D12934" t="inlineStr">
        <is>
          <t>Skin1004</t>
        </is>
      </c>
      <c r="E12934" t="n">
        <v>9.01</v>
      </c>
      <c r="F12934" t="n">
        <v>1</v>
      </c>
      <c r="G12934" t="n">
        <v>30</v>
      </c>
      <c r="H12934" s="5">
        <f>HYPERLINK("https://api.qogita.com/variants/link/8809576260618/", "View Product")</f>
        <v/>
      </c>
    </row>
    <row r="12935">
      <c r="A12935" t="inlineStr">
        <is>
          <t>8809576260663</t>
        </is>
      </c>
      <c r="B12935" t="inlineStr">
        <is>
          <t>Skin1004 Madagascar Centella Ampoule - 100 Ml</t>
        </is>
      </c>
      <c r="C12935" t="inlineStr">
        <is>
          <t>Ampoules</t>
        </is>
      </c>
      <c r="D12935" t="inlineStr">
        <is>
          <t>Skin1004</t>
        </is>
      </c>
      <c r="E12935" t="n">
        <v>16.69</v>
      </c>
      <c r="F12935" t="n">
        <v>1</v>
      </c>
      <c r="G12935" t="n">
        <v>25</v>
      </c>
      <c r="H12935" s="5">
        <f>HYPERLINK("https://api.qogita.com/variants/link/8809576260663/", "View Product")</f>
        <v/>
      </c>
    </row>
    <row r="12936">
      <c r="A12936" t="inlineStr">
        <is>
          <t>8809576260724</t>
        </is>
      </c>
      <c r="B12936" t="inlineStr">
        <is>
          <t>SKIN1004 Madagascar Centella Hyalu-Cica Sleeping Pack</t>
        </is>
      </c>
      <c r="C12936" t="inlineStr">
        <is>
          <t>Hyaluronic Acid Serum</t>
        </is>
      </c>
      <c r="D12936" t="inlineStr">
        <is>
          <t>Skin1004</t>
        </is>
      </c>
      <c r="E12936" t="n">
        <v>12.35</v>
      </c>
      <c r="F12936" t="n">
        <v>1</v>
      </c>
      <c r="G12936" t="n">
        <v>21</v>
      </c>
      <c r="H12936" s="5">
        <f>HYPERLINK("https://api.qogita.com/variants/link/8809576260724/", "View Product")</f>
        <v/>
      </c>
    </row>
    <row r="12937">
      <c r="A12937" t="inlineStr">
        <is>
          <t>8809576261059</t>
        </is>
      </c>
      <c r="B12937" t="inlineStr">
        <is>
          <t>SKIN1004 Hyalu-Cica Blue Serum 30ml</t>
        </is>
      </c>
      <c r="C12937" t="inlineStr">
        <is>
          <t>Hyaluronic Acid Serum</t>
        </is>
      </c>
      <c r="D12937" t="inlineStr">
        <is>
          <t>Skin1004</t>
        </is>
      </c>
      <c r="E12937" t="n">
        <v>12.49</v>
      </c>
      <c r="F12937" t="n">
        <v>1</v>
      </c>
      <c r="G12937" t="n">
        <v>32</v>
      </c>
      <c r="H12937" s="5">
        <f>HYPERLINK("https://api.qogita.com/variants/link/8809576261059/", "View Product")</f>
        <v/>
      </c>
    </row>
    <row r="12938">
      <c r="A12938" t="inlineStr">
        <is>
          <t>8809576261196</t>
        </is>
      </c>
      <c r="B12938" t="inlineStr">
        <is>
          <t>SKIN1004 Centella Toning Tonic for Face 30ml</t>
        </is>
      </c>
      <c r="C12938" t="inlineStr">
        <is>
          <t>Facial Spray</t>
        </is>
      </c>
      <c r="D12938" t="inlineStr">
        <is>
          <t>Skin1004</t>
        </is>
      </c>
      <c r="E12938" t="n">
        <v>5.97</v>
      </c>
      <c r="F12938" t="n">
        <v>1</v>
      </c>
      <c r="G12938" t="n">
        <v>43</v>
      </c>
      <c r="H12938" s="5">
        <f>HYPERLINK("https://api.qogita.com/variants/link/8809576261196/", "View Product")</f>
        <v/>
      </c>
    </row>
    <row r="12939">
      <c r="A12939" t="inlineStr">
        <is>
          <t>8809576261622</t>
        </is>
      </c>
      <c r="B12939" t="inlineStr">
        <is>
          <t>SKIN1004 Madagascar Centella Tone-Up Sunscreen 1.69 fl. oz, 50ml</t>
        </is>
      </c>
      <c r="C12939" t="inlineStr">
        <is>
          <t>Face Sun Protection</t>
        </is>
      </c>
      <c r="D12939" t="inlineStr">
        <is>
          <t>Skin1004</t>
        </is>
      </c>
      <c r="E12939" t="n">
        <v>14.01</v>
      </c>
      <c r="F12939" t="n">
        <v>1</v>
      </c>
      <c r="G12939" t="n">
        <v>5</v>
      </c>
      <c r="H12939" s="5">
        <f>HYPERLINK("https://api.qogita.com/variants/link/8809576261622/", "View Product")</f>
        <v/>
      </c>
    </row>
    <row r="12940">
      <c r="A12940" t="inlineStr">
        <is>
          <t>8809579273127</t>
        </is>
      </c>
      <c r="B12940" t="inlineStr">
        <is>
          <t>Mizon Original Skin Energy Collagen Eye Gel Patch 60 Patches 14 G Each</t>
        </is>
      </c>
      <c r="C12940" t="inlineStr">
        <is>
          <t>Eye Masks &amp; Eye Pads</t>
        </is>
      </c>
      <c r="D12940" t="inlineStr">
        <is>
          <t>Mizon</t>
        </is>
      </c>
      <c r="E12940" t="n">
        <v>24.21</v>
      </c>
      <c r="F12940" t="n">
        <v>1</v>
      </c>
      <c r="G12940" t="n">
        <v>4</v>
      </c>
      <c r="H12940" s="5">
        <f>HYPERLINK("https://api.qogita.com/variants/link/8809579273127/", "View Product")</f>
        <v/>
      </c>
    </row>
    <row r="12941">
      <c r="A12941" t="inlineStr">
        <is>
          <t>8809581450615</t>
        </is>
      </c>
      <c r="B12941" t="inlineStr">
        <is>
          <t>A'Pieu Pure Block Daily Sunscreen SPF 50+ 50ml</t>
        </is>
      </c>
      <c r="C12941" t="inlineStr">
        <is>
          <t>Face Sun Protection</t>
        </is>
      </c>
      <c r="D12941" t="inlineStr">
        <is>
          <t>A'pieu</t>
        </is>
      </c>
      <c r="E12941" t="n">
        <v>10.2</v>
      </c>
      <c r="F12941" t="n">
        <v>1</v>
      </c>
      <c r="G12941" t="n">
        <v>5</v>
      </c>
      <c r="H12941" s="5">
        <f>HYPERLINK("https://api.qogita.com/variants/link/8809581450615/", "View Product")</f>
        <v/>
      </c>
    </row>
    <row r="12942">
      <c r="A12942" t="inlineStr">
        <is>
          <t>8809581471337</t>
        </is>
      </c>
      <c r="B12942" t="inlineStr">
        <is>
          <t>Missha Dare Rouge Velvet Matte Lipstick - 3.5 G</t>
        </is>
      </c>
      <c r="C12942" t="inlineStr">
        <is>
          <t>Lipstick</t>
        </is>
      </c>
      <c r="D12942" t="inlineStr">
        <is>
          <t>Missha</t>
        </is>
      </c>
      <c r="E12942" t="n">
        <v>13.88</v>
      </c>
      <c r="F12942" t="n">
        <v>1</v>
      </c>
      <c r="G12942" t="n">
        <v>5</v>
      </c>
      <c r="H12942" s="5">
        <f>HYPERLINK("https://api.qogita.com/variants/link/8809581471337/", "View Product")</f>
        <v/>
      </c>
    </row>
    <row r="12943">
      <c r="A12943" t="inlineStr">
        <is>
          <t>8809581471375</t>
        </is>
      </c>
      <c r="B12943" t="inlineStr">
        <is>
          <t>Missha Dare Rouge Velvet Matte Lipstick - 3.5 G</t>
        </is>
      </c>
      <c r="C12943" t="inlineStr">
        <is>
          <t>Lipstick</t>
        </is>
      </c>
      <c r="D12943" t="inlineStr">
        <is>
          <t>Missha</t>
        </is>
      </c>
      <c r="E12943" t="n">
        <v>13.88</v>
      </c>
      <c r="F12943" t="n">
        <v>1</v>
      </c>
      <c r="G12943" t="n">
        <v>5</v>
      </c>
      <c r="H12943" s="5">
        <f>HYPERLINK("https://api.qogita.com/variants/link/8809581471375/", "View Product")</f>
        <v/>
      </c>
    </row>
    <row r="12944">
      <c r="A12944" t="inlineStr">
        <is>
          <t>8809581471399</t>
        </is>
      </c>
      <c r="B12944" t="inlineStr">
        <is>
          <t>Missha Dare Rouge Velvet Matte Lipstick - 3.5 G</t>
        </is>
      </c>
      <c r="C12944" t="inlineStr">
        <is>
          <t>Lipstick</t>
        </is>
      </c>
      <c r="D12944" t="inlineStr">
        <is>
          <t>Missha</t>
        </is>
      </c>
      <c r="E12944" t="n">
        <v>13.88</v>
      </c>
      <c r="F12944" t="n">
        <v>1</v>
      </c>
      <c r="G12944" t="n">
        <v>5</v>
      </c>
      <c r="H12944" s="5">
        <f>HYPERLINK("https://api.qogita.com/variants/link/8809581471399/", "View Product")</f>
        <v/>
      </c>
    </row>
    <row r="12945">
      <c r="A12945" t="inlineStr">
        <is>
          <t>8809581488496</t>
        </is>
      </c>
      <c r="B12945" t="inlineStr">
        <is>
          <t>Missha Dare Rouge Velvet Matte Lipstick - 3.5 G</t>
        </is>
      </c>
      <c r="C12945" t="inlineStr">
        <is>
          <t>Lipstick</t>
        </is>
      </c>
      <c r="D12945" t="inlineStr">
        <is>
          <t>Missha</t>
        </is>
      </c>
      <c r="E12945" t="n">
        <v>13.88</v>
      </c>
      <c r="F12945" t="n">
        <v>1</v>
      </c>
      <c r="G12945" t="n">
        <v>4</v>
      </c>
      <c r="H12945" s="5">
        <f>HYPERLINK("https://api.qogita.com/variants/link/8809581488496/", "View Product")</f>
        <v/>
      </c>
    </row>
    <row r="12946">
      <c r="A12946" t="inlineStr">
        <is>
          <t>8809598450141</t>
        </is>
      </c>
      <c r="B12946" t="inlineStr">
        <is>
          <t>COSRX Acne Calming Liquid Mild 4.22 fl.oz 125ml Alcohol-Free Gentle Toner Korean Skincare</t>
        </is>
      </c>
      <c r="C12946" t="inlineStr">
        <is>
          <t>Pimple &amp; Blackhead Treatments</t>
        </is>
      </c>
      <c r="D12946" t="inlineStr">
        <is>
          <t>Cosrx</t>
        </is>
      </c>
      <c r="E12946" t="n">
        <v>16.82</v>
      </c>
      <c r="F12946" t="n">
        <v>1</v>
      </c>
      <c r="G12946" t="n">
        <v>41</v>
      </c>
      <c r="H12946" s="5">
        <f>HYPERLINK("https://api.qogita.com/variants/link/8809598450141/", "View Product")</f>
        <v/>
      </c>
    </row>
    <row r="12947">
      <c r="A12947" t="inlineStr">
        <is>
          <t>8809598450158</t>
        </is>
      </c>
      <c r="B12947" t="inlineStr">
        <is>
          <t>Cosrx Ac Collection Calming Liquid Intensive 20 Skin Tonic 125 Ml</t>
        </is>
      </c>
      <c r="C12947" t="inlineStr">
        <is>
          <t>Facial Spray</t>
        </is>
      </c>
      <c r="D12947" t="inlineStr">
        <is>
          <t>Cosrx</t>
        </is>
      </c>
      <c r="E12947" t="n">
        <v>16.84</v>
      </c>
      <c r="F12947" t="n">
        <v>1</v>
      </c>
      <c r="G12947" t="n">
        <v>39</v>
      </c>
      <c r="H12947" s="5">
        <f>HYPERLINK("https://api.qogita.com/variants/link/8809598450158/", "View Product")</f>
        <v/>
      </c>
    </row>
    <row r="12948">
      <c r="A12948" t="inlineStr">
        <is>
          <t>8809598450820</t>
        </is>
      </c>
      <c r="B12948" t="inlineStr">
        <is>
          <t>COSRX Propolis Ampoule Glow Boosting Serum for Face with 73.5% Propolis Extract 1.01 fl.oz / 30ml</t>
        </is>
      </c>
      <c r="C12948" t="inlineStr">
        <is>
          <t>Ampoules</t>
        </is>
      </c>
      <c r="D12948" t="inlineStr">
        <is>
          <t>Cosrx</t>
        </is>
      </c>
      <c r="E12948" t="n">
        <v>19.31</v>
      </c>
      <c r="F12948" t="n">
        <v>1</v>
      </c>
      <c r="G12948" t="n">
        <v>23</v>
      </c>
      <c r="H12948" s="5">
        <f>HYPERLINK("https://api.qogita.com/variants/link/8809598450820/", "View Product")</f>
        <v/>
      </c>
    </row>
    <row r="12949">
      <c r="A12949" t="inlineStr">
        <is>
          <t>8809598451070</t>
        </is>
      </c>
      <c r="B12949" t="inlineStr">
        <is>
          <t>Cosrx Advanced Snail Peptide Eye Cream Moisturizing Eye Cream With Peptides 25ml</t>
        </is>
      </c>
      <c r="C12949" t="inlineStr">
        <is>
          <t>Eye Cream</t>
        </is>
      </c>
      <c r="D12949" t="inlineStr">
        <is>
          <t>Cosrx</t>
        </is>
      </c>
      <c r="E12949" t="n">
        <v>16.64</v>
      </c>
      <c r="F12949" t="n">
        <v>1</v>
      </c>
      <c r="G12949" t="n">
        <v>169</v>
      </c>
      <c r="H12949" s="5">
        <f>HYPERLINK("https://api.qogita.com/variants/link/8809598451070/", "View Product")</f>
        <v/>
      </c>
    </row>
    <row r="12950">
      <c r="A12950" t="inlineStr">
        <is>
          <t>8809598451414</t>
        </is>
      </c>
      <c r="B12950" t="inlineStr">
        <is>
          <t>Cosrx Hydrium Triple Hyaluronic Water Sheet Mask 20 Ml</t>
        </is>
      </c>
      <c r="C12950" t="inlineStr">
        <is>
          <t>Sheet Mask</t>
        </is>
      </c>
      <c r="D12950" t="inlineStr">
        <is>
          <t>Cosrx</t>
        </is>
      </c>
      <c r="E12950" t="n">
        <v>4.41</v>
      </c>
      <c r="F12950" t="n">
        <v>1</v>
      </c>
      <c r="G12950" t="n">
        <v>89</v>
      </c>
      <c r="H12950" s="5">
        <f>HYPERLINK("https://api.qogita.com/variants/link/8809598451414/", "View Product")</f>
        <v/>
      </c>
    </row>
    <row r="12951">
      <c r="A12951" t="inlineStr">
        <is>
          <t>8809598451506</t>
        </is>
      </c>
      <c r="B12951" t="inlineStr">
        <is>
          <t>Cosrx Pure Fit Cica Serum Soothing Face Serum 30ml</t>
        </is>
      </c>
      <c r="C12951" t="inlineStr">
        <is>
          <t>Hydrating Serum</t>
        </is>
      </c>
      <c r="D12951" t="inlineStr">
        <is>
          <t>Cosrx</t>
        </is>
      </c>
      <c r="E12951" t="n">
        <v>18.9</v>
      </c>
      <c r="F12951" t="n">
        <v>1</v>
      </c>
      <c r="G12951" t="n">
        <v>23</v>
      </c>
      <c r="H12951" s="5">
        <f>HYPERLINK("https://api.qogita.com/variants/link/8809598451506/", "View Product")</f>
        <v/>
      </c>
    </row>
    <row r="12952">
      <c r="A12952" t="inlineStr">
        <is>
          <t>8809598451896</t>
        </is>
      </c>
      <c r="B12952" t="inlineStr">
        <is>
          <t>Cosrx Propolis Synergy Soothing Toner 150ml</t>
        </is>
      </c>
      <c r="C12952" t="inlineStr">
        <is>
          <t>Facial Spray</t>
        </is>
      </c>
      <c r="D12952" t="inlineStr">
        <is>
          <t>Cosrx</t>
        </is>
      </c>
      <c r="E12952" t="n">
        <v>13.92</v>
      </c>
      <c r="F12952" t="n">
        <v>1</v>
      </c>
      <c r="G12952" t="n">
        <v>63</v>
      </c>
      <c r="H12952" s="5">
        <f>HYPERLINK("https://api.qogita.com/variants/link/8809598451896/", "View Product")</f>
        <v/>
      </c>
    </row>
    <row r="12953">
      <c r="A12953" t="inlineStr">
        <is>
          <t>8809598452053</t>
        </is>
      </c>
      <c r="B12953" t="inlineStr">
        <is>
          <t>Cosrx Advanced Snail Radiance Dual Essence With Mucin And Niacinamide 80ml</t>
        </is>
      </c>
      <c r="C12953" t="inlineStr">
        <is>
          <t>Glow Serum</t>
        </is>
      </c>
      <c r="D12953" t="inlineStr">
        <is>
          <t>Cosrx</t>
        </is>
      </c>
      <c r="E12953" t="n">
        <v>21.81</v>
      </c>
      <c r="F12953" t="n">
        <v>1</v>
      </c>
      <c r="G12953" t="n">
        <v>68</v>
      </c>
      <c r="H12953" s="5">
        <f>HYPERLINK("https://api.qogita.com/variants/link/8809598452053/", "View Product")</f>
        <v/>
      </c>
    </row>
    <row r="12954">
      <c r="A12954" t="inlineStr">
        <is>
          <t>8809598453036</t>
        </is>
      </c>
      <c r="B12954" t="inlineStr">
        <is>
          <t>COSRX AC Collection Soothing Toner 125ml</t>
        </is>
      </c>
      <c r="C12954" t="inlineStr">
        <is>
          <t>Facial Spray</t>
        </is>
      </c>
      <c r="D12954" t="inlineStr">
        <is>
          <t>Cosrx</t>
        </is>
      </c>
      <c r="E12954" t="n">
        <v>19.99</v>
      </c>
      <c r="F12954" t="n">
        <v>1</v>
      </c>
      <c r="G12954" t="n">
        <v>4</v>
      </c>
      <c r="H12954" s="5">
        <f>HYPERLINK("https://api.qogita.com/variants/link/8809598453036/", "View Product")</f>
        <v/>
      </c>
    </row>
    <row r="12955">
      <c r="A12955" t="inlineStr">
        <is>
          <t>8809598453241</t>
        </is>
      </c>
      <c r="B12955" t="inlineStr">
        <is>
          <t>Cosrx Lip Sleeping Mask With Propolis Full Fit 20 G</t>
        </is>
      </c>
      <c r="C12955" t="inlineStr">
        <is>
          <t>Lip Mask</t>
        </is>
      </c>
      <c r="D12955" t="inlineStr">
        <is>
          <t>Cosrx</t>
        </is>
      </c>
      <c r="E12955" t="n">
        <v>15.6</v>
      </c>
      <c r="F12955" t="n">
        <v>1</v>
      </c>
      <c r="G12955" t="n">
        <v>9</v>
      </c>
      <c r="H12955" s="5">
        <f>HYPERLINK("https://api.qogita.com/variants/link/8809598453241/", "View Product")</f>
        <v/>
      </c>
    </row>
    <row r="12956">
      <c r="A12956" t="inlineStr">
        <is>
          <t>8809598453340</t>
        </is>
      </c>
      <c r="B12956" t="inlineStr">
        <is>
          <t>COSRX Pure Fit Cica Smoothing Cleansing Balm 120ml - Free Gift</t>
        </is>
      </c>
      <c r="C12956" t="inlineStr">
        <is>
          <t>Cleansing Cream</t>
        </is>
      </c>
      <c r="D12956" t="inlineStr">
        <is>
          <t>Cosrx</t>
        </is>
      </c>
      <c r="E12956" t="n">
        <v>12.76</v>
      </c>
      <c r="F12956" t="n">
        <v>1</v>
      </c>
      <c r="G12956" t="n">
        <v>3</v>
      </c>
      <c r="H12956" s="5">
        <f>HYPERLINK("https://api.qogita.com/variants/link/8809598453340/", "View Product")</f>
        <v/>
      </c>
    </row>
    <row r="12957">
      <c r="A12957" t="inlineStr">
        <is>
          <t>8809611862586</t>
        </is>
      </c>
      <c r="B12957" t="inlineStr">
        <is>
          <t>Laka Dream Beam Highlighter - 02 Pink Beam, 37 Grams</t>
        </is>
      </c>
      <c r="C12957" t="inlineStr">
        <is>
          <t>Highlighter</t>
        </is>
      </c>
      <c r="D12957" t="inlineStr">
        <is>
          <t>L.A. Girl</t>
        </is>
      </c>
      <c r="E12957" t="n">
        <v>13.97</v>
      </c>
      <c r="F12957" t="n">
        <v>1</v>
      </c>
      <c r="G12957" t="n">
        <v>3</v>
      </c>
      <c r="H12957" s="5">
        <f>HYPERLINK("https://api.qogita.com/variants/link/8809611862586/", "View Product")</f>
        <v/>
      </c>
    </row>
    <row r="12958">
      <c r="A12958" t="inlineStr">
        <is>
          <t>8809611862593</t>
        </is>
      </c>
      <c r="B12958" t="inlineStr">
        <is>
          <t>Laka Dream Beam Highlighter - Water Beam 03, 37 Grams</t>
        </is>
      </c>
      <c r="C12958" t="inlineStr">
        <is>
          <t>Highlighter</t>
        </is>
      </c>
      <c r="D12958" t="inlineStr">
        <is>
          <t>L.A. Girl</t>
        </is>
      </c>
      <c r="E12958" t="n">
        <v>13.36</v>
      </c>
      <c r="F12958" t="n">
        <v>1</v>
      </c>
      <c r="G12958" t="n">
        <v>5</v>
      </c>
      <c r="H12958" s="5">
        <f>HYPERLINK("https://api.qogita.com/variants/link/8809611862593/", "View Product")</f>
        <v/>
      </c>
    </row>
    <row r="12959">
      <c r="A12959" t="inlineStr">
        <is>
          <t>8809625240196</t>
        </is>
      </c>
      <c r="B12959" t="inlineStr">
        <is>
          <t>Rom&amp;Nd Zero Velvet Tint Lip Tint 04 Burnt Heart 5.5g</t>
        </is>
      </c>
      <c r="C12959" t="inlineStr">
        <is>
          <t>Lipstick</t>
        </is>
      </c>
      <c r="D12959" t="inlineStr">
        <is>
          <t>Rom&amp;Nd</t>
        </is>
      </c>
      <c r="E12959" t="n">
        <v>10.8</v>
      </c>
      <c r="F12959" t="n">
        <v>1</v>
      </c>
      <c r="G12959" t="n">
        <v>4</v>
      </c>
      <c r="H12959" s="5">
        <f>HYPERLINK("https://api.qogita.com/variants/link/8809625240196/", "View Product")</f>
        <v/>
      </c>
    </row>
    <row r="12960">
      <c r="A12960" t="inlineStr">
        <is>
          <t>8809625241612</t>
        </is>
      </c>
      <c r="B12960" t="inlineStr">
        <is>
          <t>Rom&amp;Nd Glasting Water Tint 08 Rose Stream 4g</t>
        </is>
      </c>
      <c r="C12960" t="inlineStr">
        <is>
          <t>Lip Gloss</t>
        </is>
      </c>
      <c r="D12960" t="inlineStr">
        <is>
          <t>Rom&amp;Nd</t>
        </is>
      </c>
      <c r="E12960" t="n">
        <v>8.82</v>
      </c>
      <c r="F12960" t="n">
        <v>1</v>
      </c>
      <c r="G12960" t="n">
        <v>4</v>
      </c>
      <c r="H12960" s="5">
        <f>HYPERLINK("https://api.qogita.com/variants/link/8809625241612/", "View Product")</f>
        <v/>
      </c>
    </row>
    <row r="12961">
      <c r="A12961" t="inlineStr">
        <is>
          <t>8809625242138</t>
        </is>
      </c>
      <c r="B12961" t="inlineStr">
        <is>
          <t>Rom&amp;Nd Zero Matte Lipstick 08 Adorable - 3g</t>
        </is>
      </c>
      <c r="C12961" t="inlineStr">
        <is>
          <t>Lipstick</t>
        </is>
      </c>
      <c r="D12961" t="inlineStr">
        <is>
          <t>Rom&amp;Nd</t>
        </is>
      </c>
      <c r="E12961" t="n">
        <v>8.08</v>
      </c>
      <c r="F12961" t="n">
        <v>1</v>
      </c>
      <c r="G12961" t="n">
        <v>4</v>
      </c>
      <c r="H12961" s="5">
        <f>HYPERLINK("https://api.qogita.com/variants/link/8809625242138/", "View Product")</f>
        <v/>
      </c>
    </row>
    <row r="12962">
      <c r="A12962" t="inlineStr">
        <is>
          <t>8809625244019</t>
        </is>
      </c>
      <c r="B12962" t="inlineStr">
        <is>
          <t>Rom&amp;Nd Zero Sun Clean Sunscreen For Face Spf50+ Pa++++ 02 Tone Up 50ml</t>
        </is>
      </c>
      <c r="C12962" t="inlineStr">
        <is>
          <t>Face Sun Protection</t>
        </is>
      </c>
      <c r="D12962" t="inlineStr">
        <is>
          <t>Rom&amp;Nd</t>
        </is>
      </c>
      <c r="E12962" t="n">
        <v>9.16</v>
      </c>
      <c r="F12962" t="n">
        <v>1</v>
      </c>
      <c r="G12962" t="n">
        <v>11</v>
      </c>
      <c r="H12962" s="5">
        <f>HYPERLINK("https://api.qogita.com/variants/link/8809625244019/", "View Product")</f>
        <v/>
      </c>
    </row>
    <row r="12963">
      <c r="A12963" t="inlineStr">
        <is>
          <t>8809625245498</t>
        </is>
      </c>
      <c r="B12963" t="inlineStr">
        <is>
          <t>Rom&amp;Nd Juicy Lasting Tint Highly Pigmented Lip Gloss 28 Bare Fig 5.5g</t>
        </is>
      </c>
      <c r="C12963" t="inlineStr">
        <is>
          <t>Lip Gloss</t>
        </is>
      </c>
      <c r="D12963" t="inlineStr">
        <is>
          <t>Rom&amp;Nd</t>
        </is>
      </c>
      <c r="E12963" t="n">
        <v>8.19</v>
      </c>
      <c r="F12963" t="n">
        <v>1</v>
      </c>
      <c r="G12963" t="n">
        <v>2</v>
      </c>
      <c r="H12963" s="5">
        <f>HYPERLINK("https://api.qogita.com/variants/link/8809625245498/", "View Product")</f>
        <v/>
      </c>
    </row>
    <row r="12964">
      <c r="A12964" t="inlineStr">
        <is>
          <t>8809625245887</t>
        </is>
      </c>
      <c r="B12964" t="inlineStr">
        <is>
          <t>Rom&amp;Nd Better Than Cheek N01 Nutty Nude 4g</t>
        </is>
      </c>
      <c r="C12964" t="inlineStr">
        <is>
          <t>Blush</t>
        </is>
      </c>
      <c r="D12964" t="inlineStr">
        <is>
          <t>Rom&amp;Nd</t>
        </is>
      </c>
      <c r="E12964" t="n">
        <v>7.88</v>
      </c>
      <c r="F12964" t="n">
        <v>1</v>
      </c>
      <c r="G12964" t="n">
        <v>4</v>
      </c>
      <c r="H12964" s="5">
        <f>HYPERLINK("https://api.qogita.com/variants/link/8809625245887/", "View Product")</f>
        <v/>
      </c>
    </row>
    <row r="12965">
      <c r="A12965" t="inlineStr">
        <is>
          <t>8809625246112</t>
        </is>
      </c>
      <c r="B12965" t="inlineStr">
        <is>
          <t>Rom&amp;Nd Glasting Melting Balm Lip Balm 04 Hippie Berry 3.5g</t>
        </is>
      </c>
      <c r="C12965" t="inlineStr">
        <is>
          <t>Lip Balm</t>
        </is>
      </c>
      <c r="D12965" t="inlineStr">
        <is>
          <t>Rom&amp;Nd</t>
        </is>
      </c>
      <c r="E12965" t="n">
        <v>9.16</v>
      </c>
      <c r="F12965" t="n">
        <v>1</v>
      </c>
      <c r="G12965" t="n">
        <v>2</v>
      </c>
      <c r="H12965" s="5">
        <f>HYPERLINK("https://api.qogita.com/variants/link/8809625246112/", "View Product")</f>
        <v/>
      </c>
    </row>
    <row r="12966">
      <c r="A12966" t="inlineStr">
        <is>
          <t>8809640732188</t>
        </is>
      </c>
      <c r="B12966" t="inlineStr">
        <is>
          <t>Anua Birch Moisture Boosting Pad - 70 Pieces</t>
        </is>
      </c>
      <c r="C12966" t="inlineStr">
        <is>
          <t>Facial Spray</t>
        </is>
      </c>
      <c r="D12966" t="inlineStr">
        <is>
          <t>Anua</t>
        </is>
      </c>
      <c r="E12966" t="n">
        <v>17.08</v>
      </c>
      <c r="F12966" t="n">
        <v>1</v>
      </c>
      <c r="G12966" t="n">
        <v>5</v>
      </c>
      <c r="H12966" s="5">
        <f>HYPERLINK("https://api.qogita.com/variants/link/8809640732188/", "View Product")</f>
        <v/>
      </c>
    </row>
    <row r="12967">
      <c r="A12967" t="inlineStr">
        <is>
          <t>8809640733550</t>
        </is>
      </c>
      <c r="B12967" t="inlineStr">
        <is>
          <t>Anua Peach70 Niacin Serum 70% 30ml</t>
        </is>
      </c>
      <c r="C12967" t="inlineStr">
        <is>
          <t>Vitamin Serum</t>
        </is>
      </c>
      <c r="D12967" t="inlineStr">
        <is>
          <t>Anua</t>
        </is>
      </c>
      <c r="E12967" t="n">
        <v>18.51</v>
      </c>
      <c r="F12967" t="n">
        <v>1</v>
      </c>
      <c r="G12967" t="n">
        <v>9</v>
      </c>
      <c r="H12967" s="5">
        <f>HYPERLINK("https://api.qogita.com/variants/link/8809640733550/", "View Product")</f>
        <v/>
      </c>
    </row>
    <row r="12968">
      <c r="A12968" t="inlineStr">
        <is>
          <t>8809640734281</t>
        </is>
      </c>
      <c r="B12968" t="inlineStr">
        <is>
          <t>Anua Heartleaf Pore Clay Pack 100ml</t>
        </is>
      </c>
      <c r="C12968" t="inlineStr">
        <is>
          <t>Clay Mask</t>
        </is>
      </c>
      <c r="D12968" t="inlineStr">
        <is>
          <t>Anua</t>
        </is>
      </c>
      <c r="E12968" t="n">
        <v>11.9</v>
      </c>
      <c r="F12968" t="n">
        <v>1</v>
      </c>
      <c r="G12968" t="n">
        <v>2</v>
      </c>
      <c r="H12968" s="5">
        <f>HYPERLINK("https://api.qogita.com/variants/link/8809640734281/", "View Product")</f>
        <v/>
      </c>
    </row>
    <row r="12969">
      <c r="A12969" t="inlineStr">
        <is>
          <t>8809640734342</t>
        </is>
      </c>
      <c r="B12969" t="inlineStr">
        <is>
          <t>Anua Peach 77 Niacinamide Moisturizing Milk 150ml</t>
        </is>
      </c>
      <c r="C12969" t="inlineStr">
        <is>
          <t>Face Cream</t>
        </is>
      </c>
      <c r="D12969" t="inlineStr">
        <is>
          <t>Anua</t>
        </is>
      </c>
      <c r="E12969" t="n">
        <v>20.21</v>
      </c>
      <c r="F12969" t="n">
        <v>1</v>
      </c>
      <c r="G12969" t="n">
        <v>9</v>
      </c>
      <c r="H12969" s="5">
        <f>HYPERLINK("https://api.qogita.com/variants/link/8809640734342/", "View Product")</f>
        <v/>
      </c>
    </row>
    <row r="12970">
      <c r="A12970" t="inlineStr">
        <is>
          <t>8809640734427</t>
        </is>
      </c>
      <c r="B12970" t="inlineStr">
        <is>
          <t>Anua Heartleaf Quercetinol Pore Deep Cleansing Foam - 150ml</t>
        </is>
      </c>
      <c r="C12970" t="inlineStr">
        <is>
          <t>Cleansing Foam</t>
        </is>
      </c>
      <c r="D12970" t="inlineStr">
        <is>
          <t>Anua</t>
        </is>
      </c>
      <c r="E12970" t="n">
        <v>10.63</v>
      </c>
      <c r="F12970" t="n">
        <v>1</v>
      </c>
      <c r="G12970" t="n">
        <v>7</v>
      </c>
      <c r="H12970" s="5">
        <f>HYPERLINK("https://api.qogita.com/variants/link/8809640734427/", "View Product")</f>
        <v/>
      </c>
    </row>
    <row r="12971">
      <c r="A12971" t="inlineStr">
        <is>
          <t>8809640734670</t>
        </is>
      </c>
      <c r="B12971" t="inlineStr">
        <is>
          <t>Anua Heartleaf 70 Intense Calming Cream - 50ml</t>
        </is>
      </c>
      <c r="C12971" t="inlineStr">
        <is>
          <t>Face Cream</t>
        </is>
      </c>
      <c r="D12971" t="inlineStr">
        <is>
          <t>Anua</t>
        </is>
      </c>
      <c r="E12971" t="n">
        <v>24.55</v>
      </c>
      <c r="F12971" t="n">
        <v>1</v>
      </c>
      <c r="G12971" t="n">
        <v>16</v>
      </c>
      <c r="H12971" s="5">
        <f>HYPERLINK("https://api.qogita.com/variants/link/8809640734670/", "View Product")</f>
        <v/>
      </c>
    </row>
    <row r="12972">
      <c r="A12972" t="inlineStr">
        <is>
          <t>8809640734694</t>
        </is>
      </c>
      <c r="B12972" t="inlineStr">
        <is>
          <t>Anua Heartleaf 77% Soothing Toner - 250ml</t>
        </is>
      </c>
      <c r="C12972" t="inlineStr">
        <is>
          <t>Facial Spray</t>
        </is>
      </c>
      <c r="D12972" t="inlineStr">
        <is>
          <t>Anua</t>
        </is>
      </c>
      <c r="E12972" t="n">
        <v>16.8</v>
      </c>
      <c r="F12972" t="n">
        <v>1</v>
      </c>
      <c r="G12972" t="n">
        <v>8</v>
      </c>
      <c r="H12972" s="5">
        <f>HYPERLINK("https://api.qogita.com/variants/link/8809640734694/", "View Product")</f>
        <v/>
      </c>
    </row>
    <row r="12973">
      <c r="A12973" t="inlineStr">
        <is>
          <t>8809640734861</t>
        </is>
      </c>
      <c r="B12973" t="inlineStr">
        <is>
          <t>Anua 7 Rice Ceramide Hydrating Barrier Serum - 50 Ml</t>
        </is>
      </c>
      <c r="C12973" t="inlineStr">
        <is>
          <t>Hydrating Serum</t>
        </is>
      </c>
      <c r="D12973" t="inlineStr">
        <is>
          <t>Anua</t>
        </is>
      </c>
      <c r="E12973" t="n">
        <v>20.96</v>
      </c>
      <c r="F12973" t="n">
        <v>1</v>
      </c>
      <c r="G12973" t="n">
        <v>8</v>
      </c>
      <c r="H12973" s="5">
        <f>HYPERLINK("https://api.qogita.com/variants/link/8809640734861/", "View Product")</f>
        <v/>
      </c>
    </row>
    <row r="12974">
      <c r="A12974" t="inlineStr">
        <is>
          <t>8809640735264</t>
        </is>
      </c>
      <c r="B12974" t="inlineStr">
        <is>
          <t>Anua Heartleaf Lha Moisture Peeling Gel - 120 Ml</t>
        </is>
      </c>
      <c r="C12974" t="inlineStr">
        <is>
          <t>Facial Scrub &amp; Peeling</t>
        </is>
      </c>
      <c r="D12974" t="inlineStr">
        <is>
          <t>Anua</t>
        </is>
      </c>
      <c r="E12974" t="n">
        <v>11.1</v>
      </c>
      <c r="F12974" t="n">
        <v>1</v>
      </c>
      <c r="G12974" t="n">
        <v>5</v>
      </c>
      <c r="H12974" s="5">
        <f>HYPERLINK("https://api.qogita.com/variants/link/8809640735264/", "View Product")</f>
        <v/>
      </c>
    </row>
    <row r="12975">
      <c r="A12975" t="inlineStr">
        <is>
          <t>8809643507233</t>
        </is>
      </c>
      <c r="B12975" t="inlineStr">
        <is>
          <t>MISSHA Super Aqua Ultra Hyalron Cleansing Cream</t>
        </is>
      </c>
      <c r="C12975" t="inlineStr">
        <is>
          <t>Cleansing Cream</t>
        </is>
      </c>
      <c r="D12975" t="inlineStr">
        <is>
          <t>Missha</t>
        </is>
      </c>
      <c r="E12975" t="n">
        <v>9.16</v>
      </c>
      <c r="F12975" t="n">
        <v>1</v>
      </c>
      <c r="G12975" t="n">
        <v>35</v>
      </c>
      <c r="H12975" s="5">
        <f>HYPERLINK("https://api.qogita.com/variants/link/8809643507233/", "View Product")</f>
        <v/>
      </c>
    </row>
    <row r="12976">
      <c r="A12976" t="inlineStr">
        <is>
          <t>8809643520126</t>
        </is>
      </c>
      <c r="B12976" t="inlineStr">
        <is>
          <t>Missha Super Aqua Ultra Hyalron Peeling Gel 100ml 3.38 fl.oz.</t>
        </is>
      </c>
      <c r="C12976" t="inlineStr">
        <is>
          <t>Facial Scrub &amp; Peeling</t>
        </is>
      </c>
      <c r="D12976" t="inlineStr">
        <is>
          <t>Mischa</t>
        </is>
      </c>
      <c r="E12976" t="n">
        <v>8.130000000000001</v>
      </c>
      <c r="F12976" t="n">
        <v>1</v>
      </c>
      <c r="G12976" t="n">
        <v>8</v>
      </c>
      <c r="H12976" s="5">
        <f>HYPERLINK("https://api.qogita.com/variants/link/8809643520126/", "View Product")</f>
        <v/>
      </c>
    </row>
    <row r="12977">
      <c r="A12977" t="inlineStr">
        <is>
          <t>8809643521055</t>
        </is>
      </c>
      <c r="B12977" t="inlineStr">
        <is>
          <t>Missha Bee Pollen Renew Ampoule Skin 150ml</t>
        </is>
      </c>
      <c r="C12977" t="inlineStr">
        <is>
          <t>Ampoules</t>
        </is>
      </c>
      <c r="D12977" t="inlineStr">
        <is>
          <t>Missha</t>
        </is>
      </c>
      <c r="E12977" t="n">
        <v>19.01</v>
      </c>
      <c r="F12977" t="n">
        <v>1</v>
      </c>
      <c r="G12977" t="n">
        <v>4</v>
      </c>
      <c r="H12977" s="5">
        <f>HYPERLINK("https://api.qogita.com/variants/link/8809643521055/", "View Product")</f>
        <v/>
      </c>
    </row>
    <row r="12978">
      <c r="A12978" t="inlineStr">
        <is>
          <t>8809643524278</t>
        </is>
      </c>
      <c r="B12978" t="inlineStr">
        <is>
          <t>Missha Dare Rouge Sheer Slick Hydrating Lipstick 03 Red Marmalade 35 G</t>
        </is>
      </c>
      <c r="C12978" t="inlineStr">
        <is>
          <t>Lipstick</t>
        </is>
      </c>
      <c r="D12978" t="inlineStr">
        <is>
          <t>Missha</t>
        </is>
      </c>
      <c r="E12978" t="n">
        <v>12.84</v>
      </c>
      <c r="F12978" t="n">
        <v>1</v>
      </c>
      <c r="G12978" t="n">
        <v>2</v>
      </c>
      <c r="H12978" s="5">
        <f>HYPERLINK("https://api.qogita.com/variants/link/8809643524278/", "View Product")</f>
        <v/>
      </c>
    </row>
    <row r="12979">
      <c r="A12979" t="inlineStr">
        <is>
          <t>8809643525169</t>
        </is>
      </c>
      <c r="B12979" t="inlineStr">
        <is>
          <t>Missha Vita C Plus Brightening Toner 200ml 6.76 Fl.Oz</t>
        </is>
      </c>
      <c r="C12979" t="inlineStr">
        <is>
          <t>Facial Spray</t>
        </is>
      </c>
      <c r="D12979" t="inlineStr">
        <is>
          <t>Missha</t>
        </is>
      </c>
      <c r="E12979" t="n">
        <v>15.86</v>
      </c>
      <c r="F12979" t="n">
        <v>1</v>
      </c>
      <c r="G12979" t="n">
        <v>26</v>
      </c>
      <c r="H12979" s="5">
        <f>HYPERLINK("https://api.qogita.com/variants/link/8809643525169/", "View Product")</f>
        <v/>
      </c>
    </row>
    <row r="12980">
      <c r="A12980" t="inlineStr">
        <is>
          <t>8809643533744</t>
        </is>
      </c>
      <c r="B12980" t="inlineStr">
        <is>
          <t>Missha Talks Vegan Squeeze Skin Smoother Sheet Mask 27 G</t>
        </is>
      </c>
      <c r="C12980" t="inlineStr">
        <is>
          <t>Sheet Mask</t>
        </is>
      </c>
      <c r="D12980" t="inlineStr">
        <is>
          <t>Missha</t>
        </is>
      </c>
      <c r="E12980" t="n">
        <v>3.55</v>
      </c>
      <c r="F12980" t="n">
        <v>1</v>
      </c>
      <c r="G12980" t="n">
        <v>2</v>
      </c>
      <c r="H12980" s="5">
        <f>HYPERLINK("https://api.qogita.com/variants/link/8809643533744/", "View Product")</f>
        <v/>
      </c>
    </row>
    <row r="12981">
      <c r="A12981" t="inlineStr">
        <is>
          <t>8809643533775</t>
        </is>
      </c>
      <c r="B12981" t="inlineStr">
        <is>
          <t>Talks Vegan Squeeze Sheet Mask Power Cleanse 27g</t>
        </is>
      </c>
      <c r="C12981" t="inlineStr">
        <is>
          <t>Sheet Mask</t>
        </is>
      </c>
      <c r="D12981" t="inlineStr">
        <is>
          <t>Talks</t>
        </is>
      </c>
      <c r="E12981" t="n">
        <v>3.55</v>
      </c>
      <c r="F12981" t="n">
        <v>1</v>
      </c>
      <c r="G12981" t="n">
        <v>3</v>
      </c>
      <c r="H12981" s="5">
        <f>HYPERLINK("https://api.qogita.com/variants/link/8809643533775/", "View Product")</f>
        <v/>
      </c>
    </row>
    <row r="12982">
      <c r="A12982" t="inlineStr">
        <is>
          <t>8809643534987</t>
        </is>
      </c>
      <c r="B12982" t="inlineStr">
        <is>
          <t>Missha Amazon Red Clay Pore Mask Wash Off 110ml - Cleansing Face Mask</t>
        </is>
      </c>
      <c r="C12982" t="inlineStr">
        <is>
          <t>Clay Mask</t>
        </is>
      </c>
      <c r="D12982" t="inlineStr">
        <is>
          <t>Missha</t>
        </is>
      </c>
      <c r="E12982" t="n">
        <v>9.210000000000001</v>
      </c>
      <c r="F12982" t="n">
        <v>1</v>
      </c>
      <c r="G12982" t="n">
        <v>16</v>
      </c>
      <c r="H12982" s="5">
        <f>HYPERLINK("https://api.qogita.com/variants/link/8809643534987/", "View Product")</f>
        <v/>
      </c>
    </row>
    <row r="12983">
      <c r="A12983" t="inlineStr">
        <is>
          <t>8809643546577</t>
        </is>
      </c>
      <c r="B12983" t="inlineStr">
        <is>
          <t>Dare Body Hand Cream Fresh Grapefruit</t>
        </is>
      </c>
      <c r="C12983" t="inlineStr">
        <is>
          <t>Hand Cream</t>
        </is>
      </c>
      <c r="D12983" t="inlineStr">
        <is>
          <t>Missha</t>
        </is>
      </c>
      <c r="E12983" t="n">
        <v>4.08</v>
      </c>
      <c r="F12983" t="n">
        <v>1</v>
      </c>
      <c r="G12983" t="n">
        <v>5</v>
      </c>
      <c r="H12983" s="5">
        <f>HYPERLINK("https://api.qogita.com/variants/link/8809643546577/", "View Product")</f>
        <v/>
      </c>
    </row>
    <row r="12984">
      <c r="A12984" t="inlineStr">
        <is>
          <t>8809643546607</t>
        </is>
      </c>
      <c r="B12984" t="inlineStr">
        <is>
          <t>Missha Moisturizing Hand Cream Dare Body Dreamlike Soap - 30 Ml</t>
        </is>
      </c>
      <c r="C12984" t="inlineStr">
        <is>
          <t>Hand Cream</t>
        </is>
      </c>
      <c r="D12984" t="inlineStr">
        <is>
          <t>Missha</t>
        </is>
      </c>
      <c r="E12984" t="n">
        <v>4.08</v>
      </c>
      <c r="F12984" t="n">
        <v>1</v>
      </c>
      <c r="G12984" t="n">
        <v>6</v>
      </c>
      <c r="H12984" s="5">
        <f>HYPERLINK("https://api.qogita.com/variants/link/8809643546607/", "View Product")</f>
        <v/>
      </c>
    </row>
    <row r="12985">
      <c r="A12985" t="inlineStr">
        <is>
          <t>8809647390275</t>
        </is>
      </c>
      <c r="B12985" t="inlineStr">
        <is>
          <t>Some By Mi Snail Trucica Miracle Repair Serum 1.69oz 50ml</t>
        </is>
      </c>
      <c r="C12985" t="inlineStr">
        <is>
          <t>Anti-Aging Serum</t>
        </is>
      </c>
      <c r="D12985" t="inlineStr">
        <is>
          <t>Some By Mi</t>
        </is>
      </c>
      <c r="E12985" t="n">
        <v>18.4</v>
      </c>
      <c r="F12985" t="n">
        <v>1</v>
      </c>
      <c r="G12985" t="n">
        <v>3</v>
      </c>
      <c r="H12985" s="5">
        <f>HYPERLINK("https://api.qogita.com/variants/link/8809647390275/", "View Product")</f>
        <v/>
      </c>
    </row>
    <row r="12986">
      <c r="A12986" t="inlineStr">
        <is>
          <t>8809647391302</t>
        </is>
      </c>
      <c r="B12986" t="inlineStr">
        <is>
          <t>Some By Mi Super Matcha Pore Tightening Serum 1.69oz 50ml</t>
        </is>
      </c>
      <c r="C12986" t="inlineStr">
        <is>
          <t>Hydrating Serum</t>
        </is>
      </c>
      <c r="D12986" t="inlineStr">
        <is>
          <t>Some By Mi</t>
        </is>
      </c>
      <c r="E12986" t="n">
        <v>18.4</v>
      </c>
      <c r="F12986" t="n">
        <v>1</v>
      </c>
      <c r="G12986" t="n">
        <v>4</v>
      </c>
      <c r="H12986" s="5">
        <f>HYPERLINK("https://api.qogita.com/variants/link/8809647391302/", "View Product")</f>
        <v/>
      </c>
    </row>
    <row r="12987">
      <c r="A12987" t="inlineStr">
        <is>
          <t>8809647392668</t>
        </is>
      </c>
      <c r="B12987" t="inlineStr">
        <is>
          <t>SOME BY MI Retinol Intense Reactivating Serum 1.01oz 30ml - Mild 0.1% Retinol Serum for Anti-Aging and Glass Skin - Improvement of Post Acne Marks, Skin Texture and Elasticity - Facial Skin Care</t>
        </is>
      </c>
      <c r="C12987" t="inlineStr">
        <is>
          <t>Anti-Aging Serum</t>
        </is>
      </c>
      <c r="D12987" t="inlineStr">
        <is>
          <t>Some By Mi</t>
        </is>
      </c>
      <c r="E12987" t="n">
        <v>16.17</v>
      </c>
      <c r="F12987" t="n">
        <v>1</v>
      </c>
      <c r="G12987" t="n">
        <v>20</v>
      </c>
      <c r="H12987" s="5">
        <f>HYPERLINK("https://api.qogita.com/variants/link/8809647392668/", "View Product")</f>
        <v/>
      </c>
    </row>
    <row r="12988">
      <c r="A12988" t="inlineStr">
        <is>
          <t>8809647393276</t>
        </is>
      </c>
      <c r="B12988" t="inlineStr">
        <is>
          <t>Some By Mi V10 Hyal Air Fit Sunscreen SPF 50+ 50 ml</t>
        </is>
      </c>
      <c r="C12988" t="inlineStr">
        <is>
          <t>Face Sun Protection</t>
        </is>
      </c>
      <c r="D12988" t="inlineStr">
        <is>
          <t>Some By Mi</t>
        </is>
      </c>
      <c r="E12988" t="n">
        <v>15.65</v>
      </c>
      <c r="F12988" t="n">
        <v>1</v>
      </c>
      <c r="G12988" t="n">
        <v>2</v>
      </c>
      <c r="H12988" s="5">
        <f>HYPERLINK("https://api.qogita.com/variants/link/8809647393276/", "View Product")</f>
        <v/>
      </c>
    </row>
    <row r="12989">
      <c r="A12989" t="inlineStr">
        <is>
          <t>8809647393801</t>
        </is>
      </c>
      <c r="B12989" t="inlineStr">
        <is>
          <t>Some By Mi Beta Panthenol Repair Set - Soothing and Strengthening for Sensitive Skin</t>
        </is>
      </c>
      <c r="C12989" t="inlineStr">
        <is>
          <t>Facial Care Sets</t>
        </is>
      </c>
      <c r="D12989" t="inlineStr">
        <is>
          <t>Some By Mi</t>
        </is>
      </c>
      <c r="E12989" t="n">
        <v>15.71</v>
      </c>
      <c r="F12989" t="n">
        <v>1</v>
      </c>
      <c r="G12989" t="n">
        <v>4</v>
      </c>
      <c r="H12989" s="5">
        <f>HYPERLINK("https://api.qogita.com/variants/link/8809647393801/", "View Product")</f>
        <v/>
      </c>
    </row>
    <row r="12990">
      <c r="A12990" t="inlineStr">
        <is>
          <t>8809647394143</t>
        </is>
      </c>
      <c r="B12990" t="inlineStr">
        <is>
          <t>Some By Mi Galactomyces Glutathione Daily Mask Pack - Illuminating Face Mask - 24 Sheets</t>
        </is>
      </c>
      <c r="C12990" t="inlineStr">
        <is>
          <t>Sheet Mask</t>
        </is>
      </c>
      <c r="D12990" t="inlineStr">
        <is>
          <t>Some By Mi</t>
        </is>
      </c>
      <c r="E12990" t="n">
        <v>20.25</v>
      </c>
      <c r="F12990" t="n">
        <v>1</v>
      </c>
      <c r="G12990" t="n">
        <v>2</v>
      </c>
      <c r="H12990" s="5">
        <f>HYPERLINK("https://api.qogita.com/variants/link/8809647394143/", "View Product")</f>
        <v/>
      </c>
    </row>
    <row r="12991">
      <c r="A12991" t="inlineStr">
        <is>
          <t>8809647394150</t>
        </is>
      </c>
      <c r="B12991" t="inlineStr">
        <is>
          <t>Some By Mi Lacto Soy Mild Bubble Peeling Cleanser - 180 Ml</t>
        </is>
      </c>
      <c r="C12991" t="inlineStr">
        <is>
          <t>Facial Scrub &amp; Peeling</t>
        </is>
      </c>
      <c r="D12991" t="inlineStr">
        <is>
          <t>Some By Mi</t>
        </is>
      </c>
      <c r="E12991" t="n">
        <v>15.97</v>
      </c>
      <c r="F12991" t="n">
        <v>1</v>
      </c>
      <c r="G12991" t="n">
        <v>2</v>
      </c>
      <c r="H12991" s="5">
        <f>HYPERLINK("https://api.qogita.com/variants/link/8809647394150/", "View Product")</f>
        <v/>
      </c>
    </row>
    <row r="12992">
      <c r="A12992" t="inlineStr">
        <is>
          <t>8809647394457</t>
        </is>
      </c>
      <c r="B12992" t="inlineStr">
        <is>
          <t>Some By Mi Beta-Panthenol Repair Body Cream 6.76oz 200ml</t>
        </is>
      </c>
      <c r="C12992" t="inlineStr">
        <is>
          <t>Body Lotion</t>
        </is>
      </c>
      <c r="D12992" t="inlineStr">
        <is>
          <t>Some By Mi</t>
        </is>
      </c>
      <c r="E12992" t="n">
        <v>14.73</v>
      </c>
      <c r="F12992" t="n">
        <v>1</v>
      </c>
      <c r="G12992" t="n">
        <v>3</v>
      </c>
      <c r="H12992" s="5">
        <f>HYPERLINK("https://api.qogita.com/variants/link/8809647394457/", "View Product")</f>
        <v/>
      </c>
    </row>
    <row r="12993">
      <c r="A12993" t="inlineStr">
        <is>
          <t>8809653232606</t>
        </is>
      </c>
      <c r="B12993" t="inlineStr">
        <is>
          <t>Hanskin Real Tez Hyaluronic AHA Exfoliating Treatment Tonic</t>
        </is>
      </c>
      <c r="C12993" t="inlineStr">
        <is>
          <t>Facial Scrub &amp; Peeling</t>
        </is>
      </c>
      <c r="D12993" t="inlineStr">
        <is>
          <t>Hanskin</t>
        </is>
      </c>
      <c r="E12993" t="n">
        <v>18.07</v>
      </c>
      <c r="F12993" t="n">
        <v>1</v>
      </c>
      <c r="G12993" t="n">
        <v>6</v>
      </c>
      <c r="H12993" s="5">
        <f>HYPERLINK("https://api.qogita.com/variants/link/8809653232606/", "View Product")</f>
        <v/>
      </c>
    </row>
    <row r="12994">
      <c r="A12994" t="inlineStr">
        <is>
          <t>8809657114960</t>
        </is>
      </c>
      <c r="B12994" t="inlineStr">
        <is>
          <t>Beauty Of Joseon Glow Serum Propolis + Niacinamide Face Serum 30ml</t>
        </is>
      </c>
      <c r="C12994" t="inlineStr">
        <is>
          <t>Glow Serum</t>
        </is>
      </c>
      <c r="D12994" t="inlineStr">
        <is>
          <t>Beauty Of Joseon</t>
        </is>
      </c>
      <c r="E12994" t="n">
        <v>11.58</v>
      </c>
      <c r="F12994" t="n">
        <v>1</v>
      </c>
      <c r="G12994" t="n">
        <v>20</v>
      </c>
      <c r="H12994" s="5">
        <f>HYPERLINK("https://api.qogita.com/variants/link/8809657114960/", "View Product")</f>
        <v/>
      </c>
    </row>
    <row r="12995">
      <c r="A12995" t="inlineStr">
        <is>
          <t>8809663575298</t>
        </is>
      </c>
      <c r="B12995" t="inlineStr">
        <is>
          <t>It's Skin Power 10 Formula LI Cream Soothing Face Moisturizer 55ml</t>
        </is>
      </c>
      <c r="C12995" t="inlineStr">
        <is>
          <t>Face Cream</t>
        </is>
      </c>
      <c r="D12995" t="inlineStr">
        <is>
          <t>It's Skin</t>
        </is>
      </c>
      <c r="E12995" t="n">
        <v>19.35</v>
      </c>
      <c r="F12995" t="n">
        <v>1</v>
      </c>
      <c r="G12995" t="n">
        <v>2</v>
      </c>
      <c r="H12995" s="5">
        <f>HYPERLINK("https://api.qogita.com/variants/link/8809663575298/", "View Product")</f>
        <v/>
      </c>
    </row>
    <row r="12996">
      <c r="A12996" t="inlineStr">
        <is>
          <t>8809663575861</t>
        </is>
      </c>
      <c r="B12996" t="inlineStr">
        <is>
          <t>IT'S SKIN Blue Snail Serum Day and Night Serum for Face with Snail Mucin Essence and Centella Asiatica Hydrating Face Serum for Radiant Skin Korean Skin Care Serum 1.35 fl oz</t>
        </is>
      </c>
      <c r="C12996" t="inlineStr">
        <is>
          <t>Hydrating Serum</t>
        </is>
      </c>
      <c r="D12996" t="inlineStr">
        <is>
          <t>It's Skin</t>
        </is>
      </c>
      <c r="E12996" t="n">
        <v>12.05</v>
      </c>
      <c r="F12996" t="n">
        <v>1</v>
      </c>
      <c r="G12996" t="n">
        <v>4</v>
      </c>
      <c r="H12996" s="5">
        <f>HYPERLINK("https://api.qogita.com/variants/link/8809663575861/", "View Product")</f>
        <v/>
      </c>
    </row>
    <row r="12997">
      <c r="A12997" t="inlineStr">
        <is>
          <t>8809663751500</t>
        </is>
      </c>
      <c r="B12997" t="inlineStr">
        <is>
          <t>Mizon Collagen Power Firming Eye Cream With 42 Marine Collagen 25ml</t>
        </is>
      </c>
      <c r="C12997" t="inlineStr">
        <is>
          <t>Eye Cream</t>
        </is>
      </c>
      <c r="D12997" t="inlineStr">
        <is>
          <t>Mizon</t>
        </is>
      </c>
      <c r="E12997" t="n">
        <v>18.62</v>
      </c>
      <c r="F12997" t="n">
        <v>1</v>
      </c>
      <c r="G12997" t="n">
        <v>16</v>
      </c>
      <c r="H12997" s="5">
        <f>HYPERLINK("https://api.qogita.com/variants/link/8809663751500/", "View Product")</f>
        <v/>
      </c>
    </row>
    <row r="12998">
      <c r="A12998" t="inlineStr">
        <is>
          <t>8809663751593</t>
        </is>
      </c>
      <c r="B12998" t="inlineStr">
        <is>
          <t>Mizon Collagen 100 110g</t>
        </is>
      </c>
      <c r="C12998" t="inlineStr">
        <is>
          <t>Collagen Serum</t>
        </is>
      </c>
      <c r="D12998" t="inlineStr">
        <is>
          <t>Mizon</t>
        </is>
      </c>
      <c r="E12998" t="n">
        <v>23.6</v>
      </c>
      <c r="F12998" t="n">
        <v>1</v>
      </c>
      <c r="G12998" t="n">
        <v>32</v>
      </c>
      <c r="H12998" s="5">
        <f>HYPERLINK("https://api.qogita.com/variants/link/8809663751593/", "View Product")</f>
        <v/>
      </c>
    </row>
    <row r="12999">
      <c r="A12999" t="inlineStr">
        <is>
          <t>8809663751647</t>
        </is>
      </c>
      <c r="B12999" t="inlineStr">
        <is>
          <t>Mizon All In One Snail Repair Cream 92 Regenerating Face Cream</t>
        </is>
      </c>
      <c r="C12999" t="inlineStr">
        <is>
          <t>Face Cream</t>
        </is>
      </c>
      <c r="D12999" t="inlineStr">
        <is>
          <t>Mizon</t>
        </is>
      </c>
      <c r="E12999" t="n">
        <v>12.6</v>
      </c>
      <c r="F12999" t="n">
        <v>1</v>
      </c>
      <c r="G12999" t="n">
        <v>26</v>
      </c>
      <c r="H12999" s="5">
        <f>HYPERLINK("https://api.qogita.com/variants/link/8809663751647/", "View Product")</f>
        <v/>
      </c>
    </row>
    <row r="13000">
      <c r="A13000" t="inlineStr">
        <is>
          <t>8809663751654</t>
        </is>
      </c>
      <c r="B13000" t="inlineStr">
        <is>
          <t>Mizon Regenerating Face Cream With Snail Secretion Filtrate 92 All In One Snail Repair Cream 75ml</t>
        </is>
      </c>
      <c r="C13000" t="inlineStr">
        <is>
          <t>Face Cream</t>
        </is>
      </c>
      <c r="D13000" t="inlineStr">
        <is>
          <t>Mizon</t>
        </is>
      </c>
      <c r="E13000" t="n">
        <v>24.17</v>
      </c>
      <c r="F13000" t="n">
        <v>1</v>
      </c>
      <c r="G13000" t="n">
        <v>19</v>
      </c>
      <c r="H13000" s="5">
        <f>HYPERLINK("https://api.qogita.com/variants/link/8809663751654/", "View Product")</f>
        <v/>
      </c>
    </row>
    <row r="13001">
      <c r="A13001" t="inlineStr">
        <is>
          <t>8809663751739</t>
        </is>
      </c>
      <c r="B13001" t="inlineStr">
        <is>
          <t>Mizon Snail Repair Eye Cream 25ml</t>
        </is>
      </c>
      <c r="C13001" t="inlineStr">
        <is>
          <t>Eye Cream</t>
        </is>
      </c>
      <c r="D13001" t="inlineStr">
        <is>
          <t>Mizon</t>
        </is>
      </c>
      <c r="E13001" t="n">
        <v>17.01</v>
      </c>
      <c r="F13001" t="n">
        <v>1</v>
      </c>
      <c r="G13001" t="n">
        <v>15</v>
      </c>
      <c r="H13001" s="5">
        <f>HYPERLINK("https://api.qogita.com/variants/link/8809663751739/", "View Product")</f>
        <v/>
      </c>
    </row>
    <row r="13002">
      <c r="A13002" t="inlineStr">
        <is>
          <t>8809663751753</t>
        </is>
      </c>
      <c r="B13002" t="inlineStr">
        <is>
          <t>[Mizon] Black Snail All in One Cream Premium Snail Repair Cream with Plant Extracts 75ml</t>
        </is>
      </c>
      <c r="C13002" t="inlineStr">
        <is>
          <t>Face Cream</t>
        </is>
      </c>
      <c r="D13002" t="inlineStr">
        <is>
          <t>Mizon</t>
        </is>
      </c>
      <c r="E13002" t="n">
        <v>31.08</v>
      </c>
      <c r="F13002" t="n">
        <v>1</v>
      </c>
      <c r="G13002" t="n">
        <v>5</v>
      </c>
      <c r="H13002" s="5">
        <f>HYPERLINK("https://api.qogita.com/variants/link/8809663751753/", "View Product")</f>
        <v/>
      </c>
    </row>
    <row r="13003">
      <c r="A13003" t="inlineStr">
        <is>
          <t>8809663752590</t>
        </is>
      </c>
      <c r="B13003" t="inlineStr">
        <is>
          <t>Only One Eye Cream for Face</t>
        </is>
      </c>
      <c r="C13003" t="inlineStr">
        <is>
          <t>Eye Cream</t>
        </is>
      </c>
      <c r="D13003" t="inlineStr">
        <is>
          <t>Mizon</t>
        </is>
      </c>
      <c r="E13003" t="n">
        <v>10.79</v>
      </c>
      <c r="F13003" t="n">
        <v>1</v>
      </c>
      <c r="G13003" t="n">
        <v>5</v>
      </c>
      <c r="H13003" s="5">
        <f>HYPERLINK("https://api.qogita.com/variants/link/8809663752590/", "View Product")</f>
        <v/>
      </c>
    </row>
    <row r="13004">
      <c r="A13004" t="inlineStr">
        <is>
          <t>8809663752668</t>
        </is>
      </c>
      <c r="B13004" t="inlineStr">
        <is>
          <t>Mizon Collagen Miniature Kit Set Repair Line Toner Emulsion Serum Cream - Pack of 4</t>
        </is>
      </c>
      <c r="C13004" t="inlineStr">
        <is>
          <t>Facial Care Sets</t>
        </is>
      </c>
      <c r="D13004" t="inlineStr">
        <is>
          <t>Mizon</t>
        </is>
      </c>
      <c r="E13004" t="n">
        <v>32.72</v>
      </c>
      <c r="F13004" t="n">
        <v>1</v>
      </c>
      <c r="G13004" t="n">
        <v>2</v>
      </c>
      <c r="H13004" s="5">
        <f>HYPERLINK("https://api.qogita.com/variants/link/8809663752668/", "View Product")</f>
        <v/>
      </c>
    </row>
    <row r="13005">
      <c r="A13005" t="inlineStr">
        <is>
          <t>8809663752675</t>
        </is>
      </c>
      <c r="B13005" t="inlineStr">
        <is>
          <t>MIZON Cicaluronic Line Cicaluronic Water Fit Mask Vegan Formula Cica + Hyaluronic Acid Soothing Moisturizing Sensitive Skin Dry Skin 24g</t>
        </is>
      </c>
      <c r="C13005" t="inlineStr">
        <is>
          <t>Sheet Mask</t>
        </is>
      </c>
      <c r="D13005" t="inlineStr">
        <is>
          <t>Mizon</t>
        </is>
      </c>
      <c r="E13005" t="n">
        <v>4.33</v>
      </c>
      <c r="F13005" t="n">
        <v>1</v>
      </c>
      <c r="G13005" t="n">
        <v>31</v>
      </c>
      <c r="H13005" s="5">
        <f>HYPERLINK("https://api.qogita.com/variants/link/8809663752675/", "View Product")</f>
        <v/>
      </c>
    </row>
    <row r="13006">
      <c r="A13006" t="inlineStr">
        <is>
          <t>8809663753146</t>
        </is>
      </c>
      <c r="B13006" t="inlineStr">
        <is>
          <t>Mizon Good Bye Blemish Clear Patch 44 Pieces</t>
        </is>
      </c>
      <c r="C13006" t="inlineStr">
        <is>
          <t>Pimple &amp; Blackhead Treatments</t>
        </is>
      </c>
      <c r="D13006" t="inlineStr">
        <is>
          <t>Mizon</t>
        </is>
      </c>
      <c r="E13006" t="n">
        <v>6.9</v>
      </c>
      <c r="F13006" t="n">
        <v>1</v>
      </c>
      <c r="G13006" t="n">
        <v>142</v>
      </c>
      <c r="H13006" s="5">
        <f>HYPERLINK("https://api.qogita.com/variants/link/8809663753146/", "View Product")</f>
        <v/>
      </c>
    </row>
    <row r="13007">
      <c r="A13007" t="inlineStr">
        <is>
          <t>8809663754129</t>
        </is>
      </c>
      <c r="B13007" t="inlineStr">
        <is>
          <t>Mizon Snail Repair Intensive Bb Cream Spf 30 Pa 50 Ml</t>
        </is>
      </c>
      <c r="C13007" t="inlineStr">
        <is>
          <t>Tinted Day Cream</t>
        </is>
      </c>
      <c r="D13007" t="inlineStr">
        <is>
          <t>Mizon</t>
        </is>
      </c>
      <c r="E13007" t="n">
        <v>17.27</v>
      </c>
      <c r="F13007" t="n">
        <v>1</v>
      </c>
      <c r="G13007" t="n">
        <v>5</v>
      </c>
      <c r="H13007" s="5">
        <f>HYPERLINK("https://api.qogita.com/variants/link/8809663754129/", "View Product")</f>
        <v/>
      </c>
    </row>
    <row r="13008">
      <c r="A13008" t="inlineStr">
        <is>
          <t>8809663754143</t>
        </is>
      </c>
      <c r="B13008" t="inlineStr">
        <is>
          <t>Mizon Snail Repair Intensive BB Cream #27</t>
        </is>
      </c>
      <c r="C13008" t="inlineStr">
        <is>
          <t>Tinted Day Cream</t>
        </is>
      </c>
      <c r="D13008" t="inlineStr">
        <is>
          <t>Mizon</t>
        </is>
      </c>
      <c r="E13008" t="n">
        <v>17.27</v>
      </c>
      <c r="F13008" t="n">
        <v>1</v>
      </c>
      <c r="G13008" t="n">
        <v>6</v>
      </c>
      <c r="H13008" s="5">
        <f>HYPERLINK("https://api.qogita.com/variants/link/8809663754143/", "View Product")</f>
        <v/>
      </c>
    </row>
    <row r="13009">
      <c r="A13009" t="inlineStr">
        <is>
          <t>8809663754242</t>
        </is>
      </c>
      <c r="B13009" t="inlineStr">
        <is>
          <t>MIZON Phyto Plump Collagen Serum Anti Wrinkle Hydrating Vegan Formula 30ml</t>
        </is>
      </c>
      <c r="C13009" t="inlineStr">
        <is>
          <t>Collagen Serum</t>
        </is>
      </c>
      <c r="D13009" t="inlineStr">
        <is>
          <t>Mizon</t>
        </is>
      </c>
      <c r="E13009" t="n">
        <v>16.69</v>
      </c>
      <c r="F13009" t="n">
        <v>1</v>
      </c>
      <c r="G13009" t="n">
        <v>5</v>
      </c>
      <c r="H13009" s="5">
        <f>HYPERLINK("https://api.qogita.com/variants/link/8809663754242/", "View Product")</f>
        <v/>
      </c>
    </row>
    <row r="13010">
      <c r="A13010" t="inlineStr">
        <is>
          <t>8809663754259</t>
        </is>
      </c>
      <c r="B13010" t="inlineStr">
        <is>
          <t>Mizon Phyto Plump Collagen Day Cream 50 Ml</t>
        </is>
      </c>
      <c r="C13010" t="inlineStr">
        <is>
          <t>Day Cream</t>
        </is>
      </c>
      <c r="D13010" t="inlineStr">
        <is>
          <t>Mizon</t>
        </is>
      </c>
      <c r="E13010" t="n">
        <v>20.75</v>
      </c>
      <c r="F13010" t="n">
        <v>1</v>
      </c>
      <c r="G13010" t="n">
        <v>4</v>
      </c>
      <c r="H13010" s="5">
        <f>HYPERLINK("https://api.qogita.com/variants/link/8809663754259/", "View Product")</f>
        <v/>
      </c>
    </row>
    <row r="13011">
      <c r="A13011" t="inlineStr">
        <is>
          <t>8809663754266</t>
        </is>
      </c>
      <c r="B13011" t="inlineStr">
        <is>
          <t>Mizon Phyto Plump Collagen Night Cream 50 Ml</t>
        </is>
      </c>
      <c r="C13011" t="inlineStr">
        <is>
          <t>Night Cream</t>
        </is>
      </c>
      <c r="D13011" t="inlineStr">
        <is>
          <t>Mizon</t>
        </is>
      </c>
      <c r="E13011" t="n">
        <v>21.94</v>
      </c>
      <c r="F13011" t="n">
        <v>1</v>
      </c>
      <c r="G13011" t="n">
        <v>3</v>
      </c>
      <c r="H13011" s="5">
        <f>HYPERLINK("https://api.qogita.com/variants/link/8809663754266/", "View Product")</f>
        <v/>
      </c>
    </row>
    <row r="13012">
      <c r="A13012" t="inlineStr">
        <is>
          <t>8809663754600</t>
        </is>
      </c>
      <c r="B13012" t="inlineStr">
        <is>
          <t>Collagen Power Lifting Cream 1.18 Fl Oz 35ml</t>
        </is>
      </c>
      <c r="C13012" t="inlineStr">
        <is>
          <t>Anti-Aging Facial Care</t>
        </is>
      </c>
      <c r="D13012" t="inlineStr">
        <is>
          <t>Mizon</t>
        </is>
      </c>
      <c r="E13012" t="n">
        <v>13.48</v>
      </c>
      <c r="F13012" t="n">
        <v>1</v>
      </c>
      <c r="G13012" t="n">
        <v>22</v>
      </c>
      <c r="H13012" s="5">
        <f>HYPERLINK("https://api.qogita.com/variants/link/8809663754600/", "View Product")</f>
        <v/>
      </c>
    </row>
    <row r="13013">
      <c r="A13013" t="inlineStr">
        <is>
          <t>8809663754631</t>
        </is>
      </c>
      <c r="B13013" t="inlineStr">
        <is>
          <t>MIZON Nose Patch from Goodbye Blemish Line for Nose Pores Pimples Zits Oil and Acne Blackhead Remover 10ea</t>
        </is>
      </c>
      <c r="C13013" t="inlineStr">
        <is>
          <t>Pimple &amp; Blackhead Treatments</t>
        </is>
      </c>
      <c r="D13013" t="inlineStr">
        <is>
          <t>Mizon</t>
        </is>
      </c>
      <c r="E13013" t="n">
        <v>22.57</v>
      </c>
      <c r="F13013" t="n">
        <v>1</v>
      </c>
      <c r="G13013" t="n">
        <v>12</v>
      </c>
      <c r="H13013" s="5">
        <f>HYPERLINK("https://api.qogita.com/variants/link/8809663754631/", "View Product")</f>
        <v/>
      </c>
    </row>
    <row r="13014">
      <c r="A13014" t="inlineStr">
        <is>
          <t>8809670680787</t>
        </is>
      </c>
      <c r="B13014" t="inlineStr">
        <is>
          <t>Mary&amp;May Centella Asiatica Serum 95% Cica Extract for Instant Skin</t>
        </is>
      </c>
      <c r="C13014" t="inlineStr">
        <is>
          <t>Hydrating Serum</t>
        </is>
      </c>
      <c r="D13014" t="inlineStr">
        <is>
          <t>Mary&amp;May</t>
        </is>
      </c>
      <c r="E13014" t="n">
        <v>12.3</v>
      </c>
      <c r="F13014" t="n">
        <v>1</v>
      </c>
      <c r="G13014" t="n">
        <v>4</v>
      </c>
      <c r="H13014" s="5">
        <f>HYPERLINK("https://api.qogita.com/variants/link/8809670680787/", "View Product")</f>
        <v/>
      </c>
    </row>
    <row r="13015">
      <c r="A13015" t="inlineStr">
        <is>
          <t>8809670680794</t>
        </is>
      </c>
      <c r="B13015" t="inlineStr">
        <is>
          <t>Mary&amp;May Houttuynia Cordata + Tea Tree Serum Normalizing Face Serum 30ml</t>
        </is>
      </c>
      <c r="C13015" t="inlineStr">
        <is>
          <t>Hydrating Serum</t>
        </is>
      </c>
      <c r="D13015" t="inlineStr">
        <is>
          <t>Mary&amp;May</t>
        </is>
      </c>
      <c r="E13015" t="n">
        <v>12.64</v>
      </c>
      <c r="F13015" t="n">
        <v>1</v>
      </c>
      <c r="G13015" t="n">
        <v>6</v>
      </c>
      <c r="H13015" s="5">
        <f>HYPERLINK("https://api.qogita.com/variants/link/8809670680794/", "View Product")</f>
        <v/>
      </c>
    </row>
    <row r="13016">
      <c r="A13016" t="inlineStr">
        <is>
          <t>8809670681593</t>
        </is>
      </c>
      <c r="B13016" t="inlineStr">
        <is>
          <t>Mary &amp; May Lemon Niacinamide Wash Off Pack</t>
        </is>
      </c>
      <c r="C13016" t="inlineStr">
        <is>
          <t>Glow Mask</t>
        </is>
      </c>
      <c r="D13016" t="inlineStr">
        <is>
          <t>Mary&amp;May</t>
        </is>
      </c>
      <c r="E13016" t="n">
        <v>20.31</v>
      </c>
      <c r="F13016" t="n">
        <v>1</v>
      </c>
      <c r="G13016" t="n">
        <v>2</v>
      </c>
      <c r="H13016" s="5">
        <f>HYPERLINK("https://api.qogita.com/variants/link/8809670681593/", "View Product")</f>
        <v/>
      </c>
    </row>
    <row r="13017">
      <c r="A13017" t="inlineStr">
        <is>
          <t>8809695679315</t>
        </is>
      </c>
      <c r="B13017" t="inlineStr">
        <is>
          <t>Vt Reedle Shot Cleaner 80ml</t>
        </is>
      </c>
      <c r="C13017" t="inlineStr">
        <is>
          <t>Soap</t>
        </is>
      </c>
      <c r="D13017" t="inlineStr">
        <is>
          <t>Vt</t>
        </is>
      </c>
      <c r="E13017" t="n">
        <v>15.06</v>
      </c>
      <c r="F13017" t="n">
        <v>1</v>
      </c>
      <c r="G13017" t="n">
        <v>5</v>
      </c>
      <c r="H13017" s="5">
        <f>HYPERLINK("https://api.qogita.com/variants/link/8809695679315/", "View Product")</f>
        <v/>
      </c>
    </row>
    <row r="13018">
      <c r="A13018" t="inlineStr">
        <is>
          <t>8809704190619</t>
        </is>
      </c>
      <c r="B13018" t="inlineStr">
        <is>
          <t>One Thing Green Tea Serum 2.7 Fl Oz with Hyaluronic Acid Barrier Strengthening</t>
        </is>
      </c>
      <c r="C13018" t="inlineStr">
        <is>
          <t>Hyaluronic Acid Serum</t>
        </is>
      </c>
      <c r="D13018" t="inlineStr">
        <is>
          <t>One Thing</t>
        </is>
      </c>
      <c r="E13018" t="n">
        <v>19.55</v>
      </c>
      <c r="F13018" t="n">
        <v>1</v>
      </c>
      <c r="G13018" t="n">
        <v>2</v>
      </c>
      <c r="H13018" s="5">
        <f>HYPERLINK("https://api.qogita.com/variants/link/8809704190619/", "View Product")</f>
        <v/>
      </c>
    </row>
    <row r="13019">
      <c r="A13019" t="inlineStr">
        <is>
          <t>8809738312728</t>
        </is>
      </c>
      <c r="B13019" t="inlineStr">
        <is>
          <t>Beauty Of Joseon Glow Deep Serum Rice + Alpha Arbutin Face Serum 30ml</t>
        </is>
      </c>
      <c r="C13019" t="inlineStr">
        <is>
          <t>Glow Serum</t>
        </is>
      </c>
      <c r="D13019" t="inlineStr">
        <is>
          <t>Beauty Of Joseon</t>
        </is>
      </c>
      <c r="E13019" t="n">
        <v>11.8</v>
      </c>
      <c r="F13019" t="n">
        <v>1</v>
      </c>
      <c r="G13019" t="n">
        <v>64</v>
      </c>
      <c r="H13019" s="5">
        <f>HYPERLINK("https://api.qogita.com/variants/link/8809738312728/", "View Product")</f>
        <v/>
      </c>
    </row>
    <row r="13020">
      <c r="A13020" t="inlineStr">
        <is>
          <t>8809738316412</t>
        </is>
      </c>
      <c r="B13020" t="inlineStr">
        <is>
          <t>Beauty Of Joseon Calming Serum with Green Tea and Panthenol 29.5ml</t>
        </is>
      </c>
      <c r="C13020" t="inlineStr">
        <is>
          <t>Hydrating Serum</t>
        </is>
      </c>
      <c r="D13020" t="inlineStr">
        <is>
          <t>Beauty Of Joseon</t>
        </is>
      </c>
      <c r="E13020" t="n">
        <v>12.05</v>
      </c>
      <c r="F13020" t="n">
        <v>1</v>
      </c>
      <c r="G13020" t="n">
        <v>5</v>
      </c>
      <c r="H13020" s="5">
        <f>HYPERLINK("https://api.qogita.com/variants/link/8809738316412/", "View Product")</f>
        <v/>
      </c>
    </row>
    <row r="13021">
      <c r="A13021" t="inlineStr">
        <is>
          <t>8809744060118</t>
        </is>
      </c>
      <c r="B13021" t="inlineStr">
        <is>
          <t>Masil 3 Salon Hair CMC Shampoo Stick Pouch 8 ml</t>
        </is>
      </c>
      <c r="C13021" t="inlineStr">
        <is>
          <t>Shampoo</t>
        </is>
      </c>
      <c r="D13021" t="inlineStr">
        <is>
          <t>Masil</t>
        </is>
      </c>
      <c r="E13021" t="n">
        <v>10.64</v>
      </c>
      <c r="F13021" t="n">
        <v>1</v>
      </c>
      <c r="G13021" t="n">
        <v>8</v>
      </c>
      <c r="H13021" s="5">
        <f>HYPERLINK("https://api.qogita.com/variants/link/8809744060118/", "View Product")</f>
        <v/>
      </c>
    </row>
    <row r="13022">
      <c r="A13022" t="inlineStr">
        <is>
          <t>8809744060279</t>
        </is>
      </c>
      <c r="B13022" t="inlineStr">
        <is>
          <t>Masil 8 Seconds Salon Hair Mask 3.38floz Travel Portable Dry Damaged Hair Deep Conditioning Hydrating Curly Colored Frizzy Hair Treatment Shine Gloss</t>
        </is>
      </c>
      <c r="C13022" t="inlineStr">
        <is>
          <t>Hair Masks</t>
        </is>
      </c>
      <c r="D13022" t="inlineStr">
        <is>
          <t>Masil</t>
        </is>
      </c>
      <c r="E13022" t="n">
        <v>8.1</v>
      </c>
      <c r="F13022" t="n">
        <v>1</v>
      </c>
      <c r="G13022" t="n">
        <v>2</v>
      </c>
      <c r="H13022" s="5">
        <f>HYPERLINK("https://api.qogita.com/variants/link/8809744060279/", "View Product")</f>
        <v/>
      </c>
    </row>
    <row r="13023">
      <c r="A13023" t="inlineStr">
        <is>
          <t>8809744060309</t>
        </is>
      </c>
      <c r="B13023" t="inlineStr">
        <is>
          <t>Masil 8 Seconds Salon Super Mild Hair Mask For Sensitive Scalp</t>
        </is>
      </c>
      <c r="C13023" t="inlineStr">
        <is>
          <t>Hair Masks</t>
        </is>
      </c>
      <c r="D13023" t="inlineStr">
        <is>
          <t>Masil</t>
        </is>
      </c>
      <c r="E13023" t="n">
        <v>19.32</v>
      </c>
      <c r="F13023" t="n">
        <v>1</v>
      </c>
      <c r="G13023" t="n">
        <v>4</v>
      </c>
      <c r="H13023" s="5">
        <f>HYPERLINK("https://api.qogita.com/variants/link/8809744060309/", "View Product")</f>
        <v/>
      </c>
    </row>
    <row r="13024">
      <c r="A13024" t="inlineStr">
        <is>
          <t>8809744060361</t>
        </is>
      </c>
      <c r="B13024" t="inlineStr">
        <is>
          <t>Masil 5 Salon Kein Gelbes Shampoo K Beauty with Free Gift</t>
        </is>
      </c>
      <c r="C13024" t="inlineStr">
        <is>
          <t>Shampoo</t>
        </is>
      </c>
      <c r="D13024" t="inlineStr">
        <is>
          <t>Masil</t>
        </is>
      </c>
      <c r="E13024" t="n">
        <v>10.65</v>
      </c>
      <c r="F13024" t="n">
        <v>1</v>
      </c>
      <c r="G13024" t="n">
        <v>4</v>
      </c>
      <c r="H13024" s="5">
        <f>HYPERLINK("https://api.qogita.com/variants/link/8809744060361/", "View Product")</f>
        <v/>
      </c>
    </row>
    <row r="13025">
      <c r="A13025" t="inlineStr">
        <is>
          <t>8809744060477</t>
        </is>
      </c>
      <c r="B13025" t="inlineStr">
        <is>
          <t>MASIL Wood Paddle Brush</t>
        </is>
      </c>
      <c r="C13025" t="inlineStr">
        <is>
          <t>Wooden Brushes</t>
        </is>
      </c>
      <c r="D13025" t="inlineStr">
        <is>
          <t>Masil</t>
        </is>
      </c>
      <c r="E13025" t="n">
        <v>10.12</v>
      </c>
      <c r="F13025" t="n">
        <v>1</v>
      </c>
      <c r="G13025" t="n">
        <v>5</v>
      </c>
      <c r="H13025" s="5">
        <f>HYPERLINK("https://api.qogita.com/variants/link/8809744060477/", "View Product")</f>
        <v/>
      </c>
    </row>
    <row r="13026">
      <c r="A13026" t="inlineStr">
        <is>
          <t>8809744060507</t>
        </is>
      </c>
      <c r="B13026" t="inlineStr">
        <is>
          <t>Masil 5 Probiotics Color Radiance Shampoo 8 ml</t>
        </is>
      </c>
      <c r="C13026" t="inlineStr">
        <is>
          <t>Shampoo</t>
        </is>
      </c>
      <c r="D13026" t="inlineStr">
        <is>
          <t>Masil</t>
        </is>
      </c>
      <c r="E13026" t="n">
        <v>10.65</v>
      </c>
      <c r="F13026" t="n">
        <v>1</v>
      </c>
      <c r="G13026" t="n">
        <v>8</v>
      </c>
      <c r="H13026" s="5">
        <f>HYPERLINK("https://api.qogita.com/variants/link/8809744060507/", "View Product")</f>
        <v/>
      </c>
    </row>
    <row r="13027">
      <c r="A13027" t="inlineStr">
        <is>
          <t>8809744060590</t>
        </is>
      </c>
      <c r="B13027" t="inlineStr">
        <is>
          <t>Masil Moisturizing Perfumed Hair Oil 6 Salon Lactobacillus Hair Perfume Oil 66 Ml</t>
        </is>
      </c>
      <c r="C13027" t="inlineStr">
        <is>
          <t>Hair Oil &amp; Hair Serum</t>
        </is>
      </c>
      <c r="D13027" t="inlineStr">
        <is>
          <t>Masil</t>
        </is>
      </c>
      <c r="E13027" t="n">
        <v>14.33</v>
      </c>
      <c r="F13027" t="n">
        <v>1</v>
      </c>
      <c r="G13027" t="n">
        <v>4</v>
      </c>
      <c r="H13027" s="5">
        <f>HYPERLINK("https://api.qogita.com/variants/link/8809744060590/", "View Product")</f>
        <v/>
      </c>
    </row>
    <row r="13028">
      <c r="A13028" t="inlineStr">
        <is>
          <t>8809744061290</t>
        </is>
      </c>
      <c r="B13028" t="inlineStr">
        <is>
          <t>[MASIL] 11 Salon Scalp Care Ampoule Tonic 30ml x 4</t>
        </is>
      </c>
      <c r="C13028" t="inlineStr">
        <is>
          <t>Scalp Care</t>
        </is>
      </c>
      <c r="D13028" t="inlineStr">
        <is>
          <t>Masil</t>
        </is>
      </c>
      <c r="E13028" t="n">
        <v>13.09</v>
      </c>
      <c r="F13028" t="n">
        <v>1</v>
      </c>
      <c r="G13028" t="n">
        <v>8</v>
      </c>
      <c r="H13028" s="5">
        <f>HYPERLINK("https://api.qogita.com/variants/link/8809744061290/", "View Product")</f>
        <v/>
      </c>
    </row>
    <row r="13029">
      <c r="A13029" t="inlineStr">
        <is>
          <t>8809744061504</t>
        </is>
      </c>
      <c r="B13029" t="inlineStr">
        <is>
          <t>Masil White Musk 7 Perfumed Shower Gel Ceramide Infused</t>
        </is>
      </c>
      <c r="C13029" t="inlineStr">
        <is>
          <t>Shower Gel</t>
        </is>
      </c>
      <c r="D13029" t="inlineStr">
        <is>
          <t>Masil</t>
        </is>
      </c>
      <c r="E13029" t="n">
        <v>10.4</v>
      </c>
      <c r="F13029" t="n">
        <v>1</v>
      </c>
      <c r="G13029" t="n">
        <v>6</v>
      </c>
      <c r="H13029" s="5">
        <f>HYPERLINK("https://api.qogita.com/variants/link/8809744061504/", "View Product")</f>
        <v/>
      </c>
    </row>
    <row r="13030">
      <c r="A13030" t="inlineStr">
        <is>
          <t>8809744061573</t>
        </is>
      </c>
      <c r="B13030" t="inlineStr">
        <is>
          <t>Masil Sweet Love 7 Ceramide Perfume Shower Gel</t>
        </is>
      </c>
      <c r="C13030" t="inlineStr">
        <is>
          <t>Shower Gel</t>
        </is>
      </c>
      <c r="D13030" t="inlineStr">
        <is>
          <t>Masil</t>
        </is>
      </c>
      <c r="E13030" t="n">
        <v>13.49</v>
      </c>
      <c r="F13030" t="n">
        <v>1</v>
      </c>
      <c r="G13030" t="n">
        <v>7</v>
      </c>
      <c r="H13030" s="5">
        <f>HYPERLINK("https://api.qogita.com/variants/link/8809744061573/", "View Product")</f>
        <v/>
      </c>
    </row>
    <row r="13031">
      <c r="A13031" t="inlineStr">
        <is>
          <t>8809744061597</t>
        </is>
      </c>
      <c r="B13031" t="inlineStr">
        <is>
          <t>Masil Perfumed Shower Gel Sweet Flower 7 - Ceramide Perfume Shower Gel</t>
        </is>
      </c>
      <c r="C13031" t="inlineStr">
        <is>
          <t>Shower Gel</t>
        </is>
      </c>
      <c r="D13031" t="inlineStr">
        <is>
          <t>Masil</t>
        </is>
      </c>
      <c r="E13031" t="n">
        <v>13.49</v>
      </c>
      <c r="F13031" t="n">
        <v>1</v>
      </c>
      <c r="G13031" t="n">
        <v>7</v>
      </c>
      <c r="H13031" s="5">
        <f>HYPERLINK("https://api.qogita.com/variants/link/8809744061597/", "View Product")</f>
        <v/>
      </c>
    </row>
    <row r="13032">
      <c r="A13032" t="inlineStr">
        <is>
          <t>8809747923571</t>
        </is>
      </c>
      <c r="B13032" t="inlineStr">
        <is>
          <t>Missha Vita C Plus Spot Correcting and Firming Ampoule</t>
        </is>
      </c>
      <c r="C13032" t="inlineStr">
        <is>
          <t>Vitamin Serum</t>
        </is>
      </c>
      <c r="D13032" t="inlineStr">
        <is>
          <t>Missha</t>
        </is>
      </c>
      <c r="E13032" t="n">
        <v>19.29</v>
      </c>
      <c r="F13032" t="n">
        <v>1</v>
      </c>
      <c r="G13032" t="n">
        <v>2</v>
      </c>
      <c r="H13032" s="5">
        <f>HYPERLINK("https://api.qogita.com/variants/link/8809747923571/", "View Product")</f>
        <v/>
      </c>
    </row>
    <row r="13033">
      <c r="A13033" t="inlineStr">
        <is>
          <t>8809747940004</t>
        </is>
      </c>
      <c r="B13033" t="inlineStr">
        <is>
          <t>MISSHA Chogongjin Sosaeng Cream</t>
        </is>
      </c>
      <c r="C13033" t="inlineStr">
        <is>
          <t>Face Cream</t>
        </is>
      </c>
      <c r="D13033" t="inlineStr">
        <is>
          <t>Missha</t>
        </is>
      </c>
      <c r="E13033" t="n">
        <v>34.83</v>
      </c>
      <c r="F13033" t="n">
        <v>1</v>
      </c>
      <c r="G13033" t="n">
        <v>7</v>
      </c>
      <c r="H13033" s="5">
        <f>HYPERLINK("https://api.qogita.com/variants/link/8809747940004/", "View Product")</f>
        <v/>
      </c>
    </row>
    <row r="13034">
      <c r="A13034" t="inlineStr">
        <is>
          <t>8809747940110</t>
        </is>
      </c>
      <c r="B13034" t="inlineStr">
        <is>
          <t>MISSHA Chogongjin Youngan Eye Cream</t>
        </is>
      </c>
      <c r="C13034" t="inlineStr">
        <is>
          <t>Eye Cream</t>
        </is>
      </c>
      <c r="D13034" t="inlineStr">
        <is>
          <t>Missha</t>
        </is>
      </c>
      <c r="E13034" t="n">
        <v>38</v>
      </c>
      <c r="F13034" t="n">
        <v>1</v>
      </c>
      <c r="G13034" t="n">
        <v>17</v>
      </c>
      <c r="H13034" s="5">
        <f>HYPERLINK("https://api.qogita.com/variants/link/8809747940110/", "View Product")</f>
        <v/>
      </c>
    </row>
    <row r="13035">
      <c r="A13035" t="inlineStr">
        <is>
          <t>8809747941926</t>
        </is>
      </c>
      <c r="B13035" t="inlineStr">
        <is>
          <t>MISSHA CHOGONGJIN GEUMSUL JIN EYE CREAM 30ml 60ml K-BEAUTY</t>
        </is>
      </c>
      <c r="C13035" t="inlineStr">
        <is>
          <t>Eye Cream</t>
        </is>
      </c>
      <c r="D13035" t="inlineStr">
        <is>
          <t>Missha</t>
        </is>
      </c>
      <c r="E13035" t="n">
        <v>27.6</v>
      </c>
      <c r="F13035" t="n">
        <v>1</v>
      </c>
      <c r="G13035" t="n">
        <v>8</v>
      </c>
      <c r="H13035" s="5">
        <f>HYPERLINK("https://api.qogita.com/variants/link/8809747941926/", "View Product")</f>
        <v/>
      </c>
    </row>
    <row r="13036">
      <c r="A13036" t="inlineStr">
        <is>
          <t>8809747944057</t>
        </is>
      </c>
      <c r="B13036" t="inlineStr">
        <is>
          <t>Missha Soothing Sheet Mask With Artemisia Ampoule Mask - 27 G</t>
        </is>
      </c>
      <c r="C13036" t="inlineStr">
        <is>
          <t>Sheet Mask</t>
        </is>
      </c>
      <c r="D13036" t="inlineStr">
        <is>
          <t>Missha</t>
        </is>
      </c>
      <c r="E13036" t="n">
        <v>6.18</v>
      </c>
      <c r="F13036" t="n">
        <v>1</v>
      </c>
      <c r="G13036" t="n">
        <v>5</v>
      </c>
      <c r="H13036" s="5">
        <f>HYPERLINK("https://api.qogita.com/variants/link/8809747944057/", "View Product")</f>
        <v/>
      </c>
    </row>
    <row r="13037">
      <c r="A13037" t="inlineStr">
        <is>
          <t>8809782554464</t>
        </is>
      </c>
      <c r="B13037" t="inlineStr">
        <is>
          <t>ISNTREE Hyaluronic Acid Natural Suncream SPF50 PA++++ 50ml 1.69 fl.oz - Evens Out Skin Tone and Replenishes Moisture</t>
        </is>
      </c>
      <c r="C13037" t="inlineStr">
        <is>
          <t>Face Sun Protection</t>
        </is>
      </c>
      <c r="D13037" t="inlineStr">
        <is>
          <t>Isntree</t>
        </is>
      </c>
      <c r="E13037" t="n">
        <v>12.25</v>
      </c>
      <c r="F13037" t="n">
        <v>1</v>
      </c>
      <c r="G13037" t="n">
        <v>13</v>
      </c>
      <c r="H13037" s="5">
        <f>HYPERLINK("https://api.qogita.com/variants/link/8809782554464/", "View Product")</f>
        <v/>
      </c>
    </row>
    <row r="13038">
      <c r="A13038" t="inlineStr">
        <is>
          <t>8809789570016</t>
        </is>
      </c>
      <c r="B13038" t="inlineStr">
        <is>
          <t>Skybottle Viva La Pink Perfumed Body Lotion 300 Ml</t>
        </is>
      </c>
      <c r="C13038" t="inlineStr">
        <is>
          <t>Body Lotion</t>
        </is>
      </c>
      <c r="D13038" t="inlineStr">
        <is>
          <t>Skybottle</t>
        </is>
      </c>
      <c r="E13038" t="n">
        <v>16.8</v>
      </c>
      <c r="F13038" t="n">
        <v>1</v>
      </c>
      <c r="G13038" t="n">
        <v>2</v>
      </c>
      <c r="H13038" s="5">
        <f>HYPERLINK("https://api.qogita.com/variants/link/8809789570016/", "View Product")</f>
        <v/>
      </c>
    </row>
    <row r="13039">
      <c r="A13039" t="inlineStr">
        <is>
          <t>8809789570153</t>
        </is>
      </c>
      <c r="B13039" t="inlineStr">
        <is>
          <t>Skybottle Daily Moisturizing Hand Cream with Fig Fruit Woody Scent</t>
        </is>
      </c>
      <c r="C13039" t="inlineStr">
        <is>
          <t>Hand Cream</t>
        </is>
      </c>
      <c r="D13039" t="inlineStr">
        <is>
          <t>Skybottle</t>
        </is>
      </c>
      <c r="E13039" t="n">
        <v>8.34</v>
      </c>
      <c r="F13039" t="n">
        <v>1</v>
      </c>
      <c r="G13039" t="n">
        <v>4</v>
      </c>
      <c r="H13039" s="5">
        <f>HYPERLINK("https://api.qogita.com/variants/link/8809789570153/", "View Product")</f>
        <v/>
      </c>
    </row>
    <row r="13040">
      <c r="A13040" t="inlineStr">
        <is>
          <t>8809800940149</t>
        </is>
      </c>
      <c r="B13040" t="inlineStr">
        <is>
          <t>Isntree Chestnut Aha 8 Clear Essence 100 Ml</t>
        </is>
      </c>
      <c r="C13040" t="inlineStr">
        <is>
          <t>Hydrating Serum</t>
        </is>
      </c>
      <c r="D13040" t="inlineStr">
        <is>
          <t>Isntree</t>
        </is>
      </c>
      <c r="E13040" t="n">
        <v>8.27</v>
      </c>
      <c r="F13040" t="n">
        <v>1</v>
      </c>
      <c r="G13040" t="n">
        <v>3</v>
      </c>
      <c r="H13040" s="5">
        <f>HYPERLINK("https://api.qogita.com/variants/link/8809800940149/", "View Product")</f>
        <v/>
      </c>
    </row>
    <row r="13041">
      <c r="A13041" t="inlineStr">
        <is>
          <t>8809800940163</t>
        </is>
      </c>
      <c r="B13041" t="inlineStr">
        <is>
          <t>[ISNTREE] Beetae Soothing Powder Wash 30 Pack - Free Gift</t>
        </is>
      </c>
      <c r="C13041" t="inlineStr">
        <is>
          <t>Facial Soap</t>
        </is>
      </c>
      <c r="D13041" t="inlineStr">
        <is>
          <t>Isntree</t>
        </is>
      </c>
      <c r="E13041" t="n">
        <v>16.38</v>
      </c>
      <c r="F13041" t="n">
        <v>1</v>
      </c>
      <c r="G13041" t="n">
        <v>5</v>
      </c>
      <c r="H13041" s="5">
        <f>HYPERLINK("https://api.qogita.com/variants/link/8809800940163/", "View Product")</f>
        <v/>
      </c>
    </row>
    <row r="13042">
      <c r="A13042" t="inlineStr">
        <is>
          <t>8809800940231</t>
        </is>
      </c>
      <c r="B13042" t="inlineStr">
        <is>
          <t>Mugwort Calm Gauze Soothing Mask (Mask) 10 Pieces</t>
        </is>
      </c>
      <c r="C13042" t="inlineStr">
        <is>
          <t>Sheet Mask</t>
        </is>
      </c>
      <c r="D13042" t="inlineStr">
        <is>
          <t>Isntree</t>
        </is>
      </c>
      <c r="E13042" t="n">
        <v>16.17</v>
      </c>
      <c r="F13042" t="n">
        <v>1</v>
      </c>
      <c r="G13042" t="n">
        <v>20</v>
      </c>
      <c r="H13042" s="5">
        <f>HYPERLINK("https://api.qogita.com/variants/link/8809800940231/", "View Product")</f>
        <v/>
      </c>
    </row>
    <row r="13043">
      <c r="A13043" t="inlineStr">
        <is>
          <t>8809800940460</t>
        </is>
      </c>
      <c r="B13043" t="inlineStr">
        <is>
          <t>ISNTREE Onion Newpair Clear Pad 250ml 8.45 fl.oz for Blemish Care Soft Texture Pad</t>
        </is>
      </c>
      <c r="C13043" t="inlineStr">
        <is>
          <t>Facial Scrub &amp; Peeling</t>
        </is>
      </c>
      <c r="D13043" t="inlineStr">
        <is>
          <t>Isntree</t>
        </is>
      </c>
      <c r="E13043" t="n">
        <v>18.95</v>
      </c>
      <c r="F13043" t="n">
        <v>1</v>
      </c>
      <c r="G13043" t="n">
        <v>5</v>
      </c>
      <c r="H13043" s="5">
        <f>HYPERLINK("https://api.qogita.com/variants/link/8809800940460/", "View Product")</f>
        <v/>
      </c>
    </row>
    <row r="13044">
      <c r="A13044" t="inlineStr">
        <is>
          <t>8809800940774</t>
        </is>
      </c>
      <c r="B13044" t="inlineStr">
        <is>
          <t>Isntree Hyper Niacinamide 20 Serum 20ml</t>
        </is>
      </c>
      <c r="C13044" t="inlineStr">
        <is>
          <t>Anti-Aging Serum</t>
        </is>
      </c>
      <c r="D13044" t="inlineStr">
        <is>
          <t>Isntree</t>
        </is>
      </c>
      <c r="E13044" t="n">
        <v>13.16</v>
      </c>
      <c r="F13044" t="n">
        <v>1</v>
      </c>
      <c r="G13044" t="n">
        <v>12</v>
      </c>
      <c r="H13044" s="5">
        <f>HYPERLINK("https://api.qogita.com/variants/link/8809800940774/", "View Product")</f>
        <v/>
      </c>
    </row>
    <row r="13045">
      <c r="A13045" t="inlineStr">
        <is>
          <t>8809803590846</t>
        </is>
      </c>
      <c r="B13045" t="inlineStr">
        <is>
          <t>Laneige Cica Night Mask 60ml</t>
        </is>
      </c>
      <c r="C13045" t="inlineStr">
        <is>
          <t>Hydrating Mask</t>
        </is>
      </c>
      <c r="D13045" t="inlineStr">
        <is>
          <t>Laneige</t>
        </is>
      </c>
      <c r="E13045" t="n">
        <v>22.88</v>
      </c>
      <c r="F13045" t="n">
        <v>1</v>
      </c>
      <c r="G13045" t="n">
        <v>3</v>
      </c>
      <c r="H13045" s="5">
        <f>HYPERLINK("https://api.qogita.com/variants/link/8809803590846/", "View Product")</f>
        <v/>
      </c>
    </row>
    <row r="13046">
      <c r="A13046" t="inlineStr">
        <is>
          <t>8809844992210</t>
        </is>
      </c>
      <c r="B13046" t="inlineStr">
        <is>
          <t>Dr Jart Pore Remedy Renewing Foam Cleanser - 150ml</t>
        </is>
      </c>
      <c r="C13046" t="inlineStr">
        <is>
          <t>Cleansing Foam</t>
        </is>
      </c>
      <c r="D13046" t="inlineStr">
        <is>
          <t>Dr. Jart</t>
        </is>
      </c>
      <c r="E13046" t="n">
        <v>22.24</v>
      </c>
      <c r="F13046" t="n">
        <v>1</v>
      </c>
      <c r="G13046" t="n">
        <v>11</v>
      </c>
      <c r="H13046" s="5">
        <f>HYPERLINK("https://api.qogita.com/variants/link/8809844992210/", "View Product")</f>
        <v/>
      </c>
    </row>
    <row r="13047">
      <c r="A13047" t="inlineStr">
        <is>
          <t>8809844992449</t>
        </is>
      </c>
      <c r="B13047" t="inlineStr">
        <is>
          <t>Dr. Jart+ Moisturizing Sunscreen Every Sun Day Spf 50+ Moisturizing Sun - 30 Ml</t>
        </is>
      </c>
      <c r="C13047" t="inlineStr">
        <is>
          <t>Face Sun Protection</t>
        </is>
      </c>
      <c r="D13047" t="inlineStr">
        <is>
          <t>Dr. Jart</t>
        </is>
      </c>
      <c r="E13047" t="n">
        <v>18.79</v>
      </c>
      <c r="F13047" t="n">
        <v>1</v>
      </c>
      <c r="G13047" t="n">
        <v>20</v>
      </c>
      <c r="H13047" s="5">
        <f>HYPERLINK("https://api.qogita.com/variants/link/8809844992449/", "View Product")</f>
        <v/>
      </c>
    </row>
    <row r="13048">
      <c r="A13048" t="inlineStr">
        <is>
          <t>8809844993132</t>
        </is>
      </c>
      <c r="B13048" t="inlineStr">
        <is>
          <t>Dr. Jart Pore Remedy Primer - Smoothing Base 30 Ml</t>
        </is>
      </c>
      <c r="C13048" t="inlineStr">
        <is>
          <t>Face Cream</t>
        </is>
      </c>
      <c r="D13048" t="inlineStr">
        <is>
          <t>Dr. Jart</t>
        </is>
      </c>
      <c r="E13048" t="n">
        <v>29.54</v>
      </c>
      <c r="F13048" t="n">
        <v>1</v>
      </c>
      <c r="G13048" t="n">
        <v>31</v>
      </c>
      <c r="H13048" s="5">
        <f>HYPERLINK("https://api.qogita.com/variants/link/8809844993132/", "View Product")</f>
        <v/>
      </c>
    </row>
    <row r="13049">
      <c r="A13049" t="inlineStr">
        <is>
          <t>8809844997376</t>
        </is>
      </c>
      <c r="B13049" t="inlineStr">
        <is>
          <t>Dr. Jart+ Vital Hydra Solution Hydro Plump Water Cream - 15 ml, with Hyaluronic Acid</t>
        </is>
      </c>
      <c r="C13049" t="inlineStr">
        <is>
          <t>Face Cream</t>
        </is>
      </c>
      <c r="D13049" t="inlineStr">
        <is>
          <t>Dr. Jart</t>
        </is>
      </c>
      <c r="E13049" t="n">
        <v>11.97</v>
      </c>
      <c r="F13049" t="n">
        <v>1</v>
      </c>
      <c r="G13049" t="n">
        <v>3</v>
      </c>
      <c r="H13049" s="5">
        <f>HYPERLINK("https://api.qogita.com/variants/link/8809844997376/", "View Product")</f>
        <v/>
      </c>
    </row>
    <row r="13050">
      <c r="A13050" t="inlineStr">
        <is>
          <t>8809844997604</t>
        </is>
      </c>
      <c r="B13050" t="inlineStr">
        <is>
          <t>Dr Jart Ceramidin Skin Barrier Moisturising Cream With Ceramides - 50 Ml</t>
        </is>
      </c>
      <c r="C13050" t="inlineStr">
        <is>
          <t>Face Cream</t>
        </is>
      </c>
      <c r="D13050" t="inlineStr">
        <is>
          <t>Dr. Jart</t>
        </is>
      </c>
      <c r="E13050" t="n">
        <v>26.09</v>
      </c>
      <c r="F13050" t="n">
        <v>1</v>
      </c>
      <c r="G13050" t="n">
        <v>11</v>
      </c>
      <c r="H13050" s="5">
        <f>HYPERLINK("https://api.qogita.com/variants/link/8809844997604/", "View Product")</f>
        <v/>
      </c>
    </row>
    <row r="13051">
      <c r="A13051" t="inlineStr">
        <is>
          <t>8809864760097</t>
        </is>
      </c>
      <c r="B13051" t="inlineStr">
        <is>
          <t>Abib Sedum Hyaluron Pad Hydrating Touch - Hyaluronic Acid, Hydrating and Improving Skin Texture, Mild Exfoliation</t>
        </is>
      </c>
      <c r="C13051" t="inlineStr">
        <is>
          <t>Hyaluronic Acid Serum</t>
        </is>
      </c>
      <c r="D13051" t="inlineStr">
        <is>
          <t>Abib</t>
        </is>
      </c>
      <c r="E13051" t="n">
        <v>14.17</v>
      </c>
      <c r="F13051" t="n">
        <v>1</v>
      </c>
      <c r="G13051" t="n">
        <v>5</v>
      </c>
      <c r="H13051" s="5">
        <f>HYPERLINK("https://api.qogita.com/variants/link/8809864760097/", "View Product")</f>
        <v/>
      </c>
    </row>
    <row r="13052">
      <c r="A13052" t="inlineStr">
        <is>
          <t>8809864762299</t>
        </is>
      </c>
      <c r="B13052" t="inlineStr">
        <is>
          <t>Abib Collagen Gel Mask Jericho Rose Jelly 35g - Hydrogel Face Mask</t>
        </is>
      </c>
      <c r="C13052" t="inlineStr">
        <is>
          <t>Hydrating Mask</t>
        </is>
      </c>
      <c r="D13052" t="inlineStr">
        <is>
          <t>Abib</t>
        </is>
      </c>
      <c r="E13052" t="n">
        <v>2.78</v>
      </c>
      <c r="F13052" t="n">
        <v>1</v>
      </c>
      <c r="G13052" t="n">
        <v>4</v>
      </c>
      <c r="H13052" s="5">
        <f>HYPERLINK("https://api.qogita.com/variants/link/8809864762299/", "View Product")</f>
        <v/>
      </c>
    </row>
    <row r="13053">
      <c r="A13053" t="inlineStr">
        <is>
          <t>8809864769229</t>
        </is>
      </c>
      <c r="B13053" t="inlineStr">
        <is>
          <t>Abib Acne Foam Cleanser Heartleaf 5.07 Fl Oz 150ml</t>
        </is>
      </c>
      <c r="C13053" t="inlineStr">
        <is>
          <t>Cleansing Foam</t>
        </is>
      </c>
      <c r="D13053" t="inlineStr">
        <is>
          <t>Abib</t>
        </is>
      </c>
      <c r="E13053" t="n">
        <v>8.470000000000001</v>
      </c>
      <c r="F13053" t="n">
        <v>1</v>
      </c>
      <c r="G13053" t="n">
        <v>5</v>
      </c>
      <c r="H13053" s="5">
        <f>HYPERLINK("https://api.qogita.com/variants/link/8809864769229/", "View Product")</f>
        <v/>
      </c>
    </row>
    <row r="13054">
      <c r="A13054" t="inlineStr">
        <is>
          <t>8809874682716</t>
        </is>
      </c>
      <c r="B13054" t="inlineStr">
        <is>
          <t>Aplb Glutathione Niacinamide Mist Essence Lipo Gluta Niac 22.6% 3.55</t>
        </is>
      </c>
      <c r="C13054" t="inlineStr">
        <is>
          <t>Facial Spray</t>
        </is>
      </c>
      <c r="D13054" t="inlineStr">
        <is>
          <t>Aplb</t>
        </is>
      </c>
      <c r="E13054" t="n">
        <v>8.06</v>
      </c>
      <c r="F13054" t="n">
        <v>1</v>
      </c>
      <c r="G13054" t="n">
        <v>2</v>
      </c>
      <c r="H13054" s="5">
        <f>HYPERLINK("https://api.qogita.com/variants/link/8809874682716/", "View Product")</f>
        <v/>
      </c>
    </row>
    <row r="13055">
      <c r="A13055" t="inlineStr">
        <is>
          <t>8809874683980</t>
        </is>
      </c>
      <c r="B13055" t="inlineStr">
        <is>
          <t>Aplb Glutathione Niacinamide Cleansing Oil 105 Ml</t>
        </is>
      </c>
      <c r="C13055" t="inlineStr">
        <is>
          <t>Cleansing Oil</t>
        </is>
      </c>
      <c r="D13055" t="inlineStr">
        <is>
          <t>Aplb</t>
        </is>
      </c>
      <c r="E13055" t="n">
        <v>9.720000000000001</v>
      </c>
      <c r="F13055" t="n">
        <v>1</v>
      </c>
      <c r="G13055" t="n">
        <v>7</v>
      </c>
      <c r="H13055" s="5">
        <f>HYPERLINK("https://api.qogita.com/variants/link/8809874683980/", "View Product")</f>
        <v/>
      </c>
    </row>
    <row r="13056">
      <c r="A13056" t="inlineStr">
        <is>
          <t>8809874685274</t>
        </is>
      </c>
      <c r="B13056" t="inlineStr">
        <is>
          <t>Aplb Spicule Collagen Shot 300 Serum 1.35 Fl Oz</t>
        </is>
      </c>
      <c r="C13056" t="inlineStr">
        <is>
          <t>Collagen Serum</t>
        </is>
      </c>
      <c r="D13056" t="inlineStr">
        <is>
          <t>Aplb</t>
        </is>
      </c>
      <c r="E13056" t="n">
        <v>10.11</v>
      </c>
      <c r="F13056" t="n">
        <v>1</v>
      </c>
      <c r="G13056" t="n">
        <v>3</v>
      </c>
      <c r="H13056" s="5">
        <f>HYPERLINK("https://api.qogita.com/variants/link/8809874685274/", "View Product")</f>
        <v/>
      </c>
    </row>
    <row r="13057">
      <c r="A13057" t="inlineStr">
        <is>
          <t>8809875454275</t>
        </is>
      </c>
      <c r="B13057" t="inlineStr">
        <is>
          <t>Eqqualberry Swimming Pool Ampoule 50ml Hyaluronic Acid Serum for the Face</t>
        </is>
      </c>
      <c r="C13057" t="inlineStr">
        <is>
          <t>Hyaluronic Acid Serum</t>
        </is>
      </c>
      <c r="D13057" t="inlineStr">
        <is>
          <t>Equalberry</t>
        </is>
      </c>
      <c r="E13057" t="n">
        <v>14.29</v>
      </c>
      <c r="F13057" t="n">
        <v>1</v>
      </c>
      <c r="G13057" t="n">
        <v>7</v>
      </c>
      <c r="H13057" s="5">
        <f>HYPERLINK("https://api.qogita.com/variants/link/8809875454275/", "View Product")</f>
        <v/>
      </c>
    </row>
    <row r="13058">
      <c r="A13058" t="inlineStr">
        <is>
          <t>8809875903353</t>
        </is>
      </c>
      <c r="B13058" t="inlineStr">
        <is>
          <t>Abib Sedum Hyaluron Sunscreen Protection Tube 1.69 fl oz / 150ml</t>
        </is>
      </c>
      <c r="C13058" t="inlineStr">
        <is>
          <t>Face Sun Protection</t>
        </is>
      </c>
      <c r="D13058" t="inlineStr">
        <is>
          <t>Abib</t>
        </is>
      </c>
      <c r="E13058" t="n">
        <v>13.34</v>
      </c>
      <c r="F13058" t="n">
        <v>1</v>
      </c>
      <c r="G13058" t="n">
        <v>6</v>
      </c>
      <c r="H13058" s="5">
        <f>HYPERLINK("https://api.qogita.com/variants/link/8809875903353/", "View Product")</f>
        <v/>
      </c>
    </row>
    <row r="13059">
      <c r="A13059" t="inlineStr">
        <is>
          <t>8809913830191</t>
        </is>
      </c>
      <c r="B13059" t="inlineStr">
        <is>
          <t>Skin1004 Hydrating Face Mist Madagascar Centella Hyalu-Cica Cloudy Mist - 120 Ml</t>
        </is>
      </c>
      <c r="C13059" t="inlineStr">
        <is>
          <t>Facial Spray</t>
        </is>
      </c>
      <c r="D13059" t="inlineStr">
        <is>
          <t>Skin1004</t>
        </is>
      </c>
      <c r="E13059" t="n">
        <v>16.37</v>
      </c>
      <c r="F13059" t="n">
        <v>1</v>
      </c>
      <c r="G13059" t="n">
        <v>23</v>
      </c>
      <c r="H13059" s="5">
        <f>HYPERLINK("https://api.qogita.com/variants/link/8809913830191/", "View Product")</f>
        <v/>
      </c>
    </row>
    <row r="13060">
      <c r="A13060" t="inlineStr">
        <is>
          <t>8809913830627</t>
        </is>
      </c>
      <c r="B13060" t="inlineStr">
        <is>
          <t>Skin1004 Madagascar Centella - Tone Brightening Capsule Ampoule</t>
        </is>
      </c>
      <c r="C13060" t="inlineStr">
        <is>
          <t>Ampoules</t>
        </is>
      </c>
      <c r="D13060" t="inlineStr">
        <is>
          <t>Skin1004</t>
        </is>
      </c>
      <c r="E13060" t="n">
        <v>11.61</v>
      </c>
      <c r="F13060" t="n">
        <v>1</v>
      </c>
      <c r="G13060" t="n">
        <v>9</v>
      </c>
      <c r="H13060" s="5">
        <f>HYPERLINK("https://api.qogita.com/variants/link/8809913830627/", "View Product")</f>
        <v/>
      </c>
    </row>
    <row r="13061">
      <c r="A13061" t="inlineStr">
        <is>
          <t>8809913831150</t>
        </is>
      </c>
      <c r="B13061" t="inlineStr">
        <is>
          <t>Skin1004 Madagascar Centella Light Cleansing Oil - 30 Ml</t>
        </is>
      </c>
      <c r="C13061" t="inlineStr">
        <is>
          <t>Cleansing Oil</t>
        </is>
      </c>
      <c r="D13061" t="inlineStr">
        <is>
          <t>Skin1004</t>
        </is>
      </c>
      <c r="E13061" t="n">
        <v>5.75</v>
      </c>
      <c r="F13061" t="n">
        <v>1</v>
      </c>
      <c r="G13061" t="n">
        <v>36</v>
      </c>
      <c r="H13061" s="5">
        <f>HYPERLINK("https://api.qogita.com/variants/link/8809913831150/", "View Product")</f>
        <v/>
      </c>
    </row>
    <row r="13062">
      <c r="A13062" t="inlineStr">
        <is>
          <t>8809913831280</t>
        </is>
      </c>
      <c r="B13062" t="inlineStr">
        <is>
          <t>Skin1004 Madagascar Centella Probio-Cica Intensive Ampoule, 95 Ml - Concentrated Serum For Dry Skin</t>
        </is>
      </c>
      <c r="C13062" t="inlineStr">
        <is>
          <t>Ampoules</t>
        </is>
      </c>
      <c r="D13062" t="inlineStr">
        <is>
          <t>Skin1004</t>
        </is>
      </c>
      <c r="E13062" t="n">
        <v>22.93</v>
      </c>
      <c r="F13062" t="n">
        <v>1</v>
      </c>
      <c r="G13062" t="n">
        <v>65</v>
      </c>
      <c r="H13062" s="5">
        <f>HYPERLINK("https://api.qogita.com/variants/link/8809913831280/", "View Product")</f>
        <v/>
      </c>
    </row>
    <row r="13063">
      <c r="A13063" t="inlineStr">
        <is>
          <t>8809928133287</t>
        </is>
      </c>
      <c r="B13063" t="inlineStr">
        <is>
          <t>Tirtir Mask Fit Red Cushion - 27n Camel, 18 Grams</t>
        </is>
      </c>
      <c r="C13063" t="inlineStr">
        <is>
          <t>Glow Mask</t>
        </is>
      </c>
      <c r="D13063" t="inlineStr">
        <is>
          <t>Tirtir</t>
        </is>
      </c>
      <c r="E13063" t="n">
        <v>18.07</v>
      </c>
      <c r="F13063" t="n">
        <v>1</v>
      </c>
      <c r="G13063" t="n">
        <v>6</v>
      </c>
      <c r="H13063" s="5">
        <f>HYPERLINK("https://api.qogita.com/variants/link/8809928133287/", "View Product")</f>
        <v/>
      </c>
    </row>
    <row r="13064">
      <c r="A13064" t="inlineStr">
        <is>
          <t>8809928133867</t>
        </is>
      </c>
      <c r="B13064" t="inlineStr">
        <is>
          <t>Tirtir Mask Fit Red Cushion Foundation Full Coverage Weightless Skin Fit</t>
        </is>
      </c>
      <c r="C13064" t="inlineStr">
        <is>
          <t>Foundation</t>
        </is>
      </c>
      <c r="D13064" t="inlineStr">
        <is>
          <t>Tirtir</t>
        </is>
      </c>
      <c r="E13064" t="n">
        <v>21.35</v>
      </c>
      <c r="F13064" t="n">
        <v>1</v>
      </c>
      <c r="G13064" t="n">
        <v>5</v>
      </c>
      <c r="H13064" s="5">
        <f>HYPERLINK("https://api.qogita.com/variants/link/8809928133867/", "View Product")</f>
        <v/>
      </c>
    </row>
    <row r="13065">
      <c r="A13065" t="inlineStr">
        <is>
          <t>8809928134895</t>
        </is>
      </c>
      <c r="B13065" t="inlineStr">
        <is>
          <t>Tirtir Mask Fit Red Cushion Foundation - Full Coverage, Weightless, Skin Fit</t>
        </is>
      </c>
      <c r="C13065" t="inlineStr">
        <is>
          <t>Foundation</t>
        </is>
      </c>
      <c r="D13065" t="inlineStr">
        <is>
          <t>Tirtir</t>
        </is>
      </c>
      <c r="E13065" t="n">
        <v>21.35</v>
      </c>
      <c r="F13065" t="n">
        <v>1</v>
      </c>
      <c r="G13065" t="n">
        <v>5</v>
      </c>
      <c r="H13065" s="5">
        <f>HYPERLINK("https://api.qogita.com/variants/link/8809928134895/", "View Product")</f>
        <v/>
      </c>
    </row>
    <row r="13066">
      <c r="A13066" t="inlineStr">
        <is>
          <t>8809928135861</t>
        </is>
      </c>
      <c r="B13066" t="inlineStr">
        <is>
          <t>Tirtir Mask Fit Red Cushion Foundation - Full Coverage, Weightless, Skin Fit</t>
        </is>
      </c>
      <c r="C13066" t="inlineStr">
        <is>
          <t>Foundation</t>
        </is>
      </c>
      <c r="D13066" t="inlineStr">
        <is>
          <t>Tirtir</t>
        </is>
      </c>
      <c r="E13066" t="n">
        <v>21.35</v>
      </c>
      <c r="F13066" t="n">
        <v>1</v>
      </c>
      <c r="G13066" t="n">
        <v>5</v>
      </c>
      <c r="H13066" s="5">
        <f>HYPERLINK("https://api.qogita.com/variants/link/8809928135861/", "View Product")</f>
        <v/>
      </c>
    </row>
    <row r="13067">
      <c r="A13067" t="inlineStr">
        <is>
          <t>8809933611633</t>
        </is>
      </c>
      <c r="B13067" t="inlineStr">
        <is>
          <t>Dr. Jart Dermaclear Cleansing Foam 120ml</t>
        </is>
      </c>
      <c r="C13067" t="inlineStr">
        <is>
          <t>Cleansing Foam</t>
        </is>
      </c>
      <c r="D13067" t="inlineStr">
        <is>
          <t>Dr. Jart</t>
        </is>
      </c>
      <c r="E13067" t="n">
        <v>17.29</v>
      </c>
      <c r="F13067" t="n">
        <v>1</v>
      </c>
      <c r="G13067" t="n">
        <v>14</v>
      </c>
      <c r="H13067" s="5">
        <f>HYPERLINK("https://api.qogita.com/variants/link/8809933611633/", "View Product")</f>
        <v/>
      </c>
    </row>
    <row r="13068">
      <c r="A13068" t="inlineStr">
        <is>
          <t>8809937360629</t>
        </is>
      </c>
      <c r="B13068" t="inlineStr">
        <is>
          <t>Original Korean Biodance Hydro Cera-Nol Real Deep Mask 34g</t>
        </is>
      </c>
      <c r="C13068" t="inlineStr">
        <is>
          <t>Hydrating Mask</t>
        </is>
      </c>
      <c r="D13068" t="inlineStr">
        <is>
          <t>Biodance</t>
        </is>
      </c>
      <c r="E13068" t="n">
        <v>4.31</v>
      </c>
      <c r="F13068" t="n">
        <v>1</v>
      </c>
      <c r="G13068" t="n">
        <v>47</v>
      </c>
      <c r="H13068" s="5">
        <f>HYPERLINK("https://api.qogita.com/variants/link/8809937360629/", "View Product")</f>
        <v/>
      </c>
    </row>
    <row r="13069">
      <c r="A13069" t="inlineStr">
        <is>
          <t>8809937360834</t>
        </is>
      </c>
      <c r="B13069" t="inlineStr">
        <is>
          <t>Biodance Bio-Collagen Real Deep Mask 34g - Collagen Face Mask</t>
        </is>
      </c>
      <c r="C13069" t="inlineStr">
        <is>
          <t>Anti-Aging Mask</t>
        </is>
      </c>
      <c r="D13069" t="inlineStr">
        <is>
          <t>Biodance</t>
        </is>
      </c>
      <c r="E13069" t="n">
        <v>4.31</v>
      </c>
      <c r="F13069" t="n">
        <v>1</v>
      </c>
      <c r="G13069" t="n">
        <v>21</v>
      </c>
      <c r="H13069" s="5">
        <f>HYPERLINK("https://api.qogita.com/variants/link/8809937360834/", "View Product")</f>
        <v/>
      </c>
    </row>
    <row r="13070">
      <c r="A13070" t="inlineStr">
        <is>
          <t>8809937361701</t>
        </is>
      </c>
      <c r="B13070" t="inlineStr">
        <is>
          <t>Biodance Skin-Glow Essence Cream Moisturizing Face Cream 50ml</t>
        </is>
      </c>
      <c r="C13070" t="inlineStr">
        <is>
          <t>Face Cream</t>
        </is>
      </c>
      <c r="D13070" t="inlineStr">
        <is>
          <t>Biodance</t>
        </is>
      </c>
      <c r="E13070" t="n">
        <v>33.48</v>
      </c>
      <c r="F13070" t="n">
        <v>1</v>
      </c>
      <c r="G13070" t="n">
        <v>22</v>
      </c>
      <c r="H13070" s="5">
        <f>HYPERLINK("https://api.qogita.com/variants/link/8809937361701/", "View Product")</f>
        <v/>
      </c>
    </row>
    <row r="13071">
      <c r="A13071" t="inlineStr">
        <is>
          <t>8809937361817</t>
        </is>
      </c>
      <c r="B13071" t="inlineStr">
        <is>
          <t>Biodance Skin Glow Brightening Serum Vital Ampoule 50 Ml</t>
        </is>
      </c>
      <c r="C13071" t="inlineStr">
        <is>
          <t>Glow Serum</t>
        </is>
      </c>
      <c r="D13071" t="inlineStr">
        <is>
          <t>Biodance</t>
        </is>
      </c>
      <c r="E13071" t="n">
        <v>40.86</v>
      </c>
      <c r="F13071" t="n">
        <v>1</v>
      </c>
      <c r="G13071" t="n">
        <v>26</v>
      </c>
      <c r="H13071" s="5">
        <f>HYPERLINK("https://api.qogita.com/variants/link/8809937361817/", "View Product")</f>
        <v/>
      </c>
    </row>
    <row r="13072">
      <c r="A13072" t="inlineStr">
        <is>
          <t>8809954941498</t>
        </is>
      </c>
      <c r="B13072" t="inlineStr">
        <is>
          <t>Beauty Of Joseon Dynasty Cream Facial Moisturizer for Dry, Acne-Prone, Sensitive Skin</t>
        </is>
      </c>
      <c r="C13072" t="inlineStr">
        <is>
          <t>Face Cream</t>
        </is>
      </c>
      <c r="D13072" t="inlineStr">
        <is>
          <t>Beauty Of Joseon</t>
        </is>
      </c>
      <c r="E13072" t="n">
        <v>44.26</v>
      </c>
      <c r="F13072" t="n">
        <v>1</v>
      </c>
      <c r="G13072" t="n">
        <v>3</v>
      </c>
      <c r="H13072" s="5">
        <f>HYPERLINK("https://api.qogita.com/variants/link/8809954941498/", "View Product")</f>
        <v/>
      </c>
    </row>
    <row r="13073">
      <c r="A13073" t="inlineStr">
        <is>
          <t>8809960356620</t>
        </is>
      </c>
      <c r="B13073" t="inlineStr">
        <is>
          <t>Medicube Deep Reviving Bakuchiol Retinol Facial Serum - Anti-Aging</t>
        </is>
      </c>
      <c r="C13073" t="inlineStr">
        <is>
          <t>Anti-Aging Serum</t>
        </is>
      </c>
      <c r="D13073" t="inlineStr">
        <is>
          <t>Medicube</t>
        </is>
      </c>
      <c r="E13073" t="n">
        <v>21.38</v>
      </c>
      <c r="F13073" t="n">
        <v>1</v>
      </c>
      <c r="G13073" t="n">
        <v>3</v>
      </c>
      <c r="H13073" s="5">
        <f>HYPERLINK("https://api.qogita.com/variants/link/8809960356620/", "View Product")</f>
        <v/>
      </c>
    </row>
    <row r="13074">
      <c r="A13074" t="inlineStr">
        <is>
          <t>8809968130123</t>
        </is>
      </c>
      <c r="B13074" t="inlineStr">
        <is>
          <t>Beauty Of Joseon Green Plum Refreshing Toner Aha + Bha - 150ml</t>
        </is>
      </c>
      <c r="C13074" t="inlineStr">
        <is>
          <t>Facial Spray</t>
        </is>
      </c>
      <c r="D13074" t="inlineStr">
        <is>
          <t>Beauty Of Joseon</t>
        </is>
      </c>
      <c r="E13074" t="n">
        <v>13.01</v>
      </c>
      <c r="F13074" t="n">
        <v>1</v>
      </c>
      <c r="G13074" t="n">
        <v>14</v>
      </c>
      <c r="H13074" s="5">
        <f>HYPERLINK("https://api.qogita.com/variants/link/8809968130123/", "View Product")</f>
        <v/>
      </c>
    </row>
    <row r="13075">
      <c r="A13075" t="inlineStr">
        <is>
          <t>8809968130130</t>
        </is>
      </c>
      <c r="B13075" t="inlineStr">
        <is>
          <t>Beauty Of Joseon Ginseng Cleansing Oil 210 Ml</t>
        </is>
      </c>
      <c r="C13075" t="inlineStr">
        <is>
          <t>Cleansing Oil</t>
        </is>
      </c>
      <c r="D13075" t="inlineStr">
        <is>
          <t>Beauty Of Joseon</t>
        </is>
      </c>
      <c r="E13075" t="n">
        <v>14.98</v>
      </c>
      <c r="F13075" t="n">
        <v>1</v>
      </c>
      <c r="G13075" t="n">
        <v>77</v>
      </c>
      <c r="H13075" s="5">
        <f>HYPERLINK("https://api.qogita.com/variants/link/8809968130130/", "View Product")</f>
        <v/>
      </c>
    </row>
    <row r="13076">
      <c r="A13076" t="inlineStr">
        <is>
          <t>8809968130239</t>
        </is>
      </c>
      <c r="B13076" t="inlineStr">
        <is>
          <t>Beauty Of Joseon Glow Replenishing Rice Milk</t>
        </is>
      </c>
      <c r="C13076" t="inlineStr">
        <is>
          <t>Face Cream</t>
        </is>
      </c>
      <c r="D13076" t="inlineStr">
        <is>
          <t>Beauty Of Joseon</t>
        </is>
      </c>
      <c r="E13076" t="n">
        <v>13.36</v>
      </c>
      <c r="F13076" t="n">
        <v>1</v>
      </c>
      <c r="G13076" t="n">
        <v>37</v>
      </c>
      <c r="H13076" s="5">
        <f>HYPERLINK("https://api.qogita.com/variants/link/8809968130239/", "View Product")</f>
        <v/>
      </c>
    </row>
    <row r="13077">
      <c r="A13077" t="inlineStr">
        <is>
          <t>8809981339206</t>
        </is>
      </c>
      <c r="B13077" t="inlineStr">
        <is>
          <t>Medicube Collagen Glow Booster Milk Serum - Twist &amp; Click for Radiance and Hydration</t>
        </is>
      </c>
      <c r="C13077" t="inlineStr">
        <is>
          <t>Collagen Serum</t>
        </is>
      </c>
      <c r="D13077" t="inlineStr">
        <is>
          <t>Medicube</t>
        </is>
      </c>
      <c r="E13077" t="n">
        <v>15.12</v>
      </c>
      <c r="F13077" t="n">
        <v>1</v>
      </c>
      <c r="G13077" t="n">
        <v>6</v>
      </c>
      <c r="H13077" s="5">
        <f>HYPERLINK("https://api.qogita.com/variants/link/8809981339206/", "View Product")</f>
        <v/>
      </c>
    </row>
    <row r="13078">
      <c r="A13078" t="inlineStr">
        <is>
          <t>9000101723366</t>
        </is>
      </c>
      <c r="B13078" t="inlineStr">
        <is>
          <t>Schwarzkopf Professional Taft Stand Up Look Styling Gel</t>
        </is>
      </c>
      <c r="C13078" t="inlineStr">
        <is>
          <t>Gel</t>
        </is>
      </c>
      <c r="D13078" t="inlineStr">
        <is>
          <t>Schwarzkopf</t>
        </is>
      </c>
      <c r="E13078" t="n">
        <v>3.46</v>
      </c>
      <c r="F13078" t="n">
        <v>1</v>
      </c>
      <c r="G13078" t="n">
        <v>27</v>
      </c>
      <c r="H13078" s="5">
        <f>HYPERLINK("https://api.qogita.com/variants/link/9000101723366/", "View Product")</f>
        <v/>
      </c>
    </row>
    <row r="13079">
      <c r="A13079" t="inlineStr">
        <is>
          <t>9001498302509</t>
        </is>
      </c>
      <c r="B13079" t="inlineStr">
        <is>
          <t>Pitralon Polar 100ml</t>
        </is>
      </c>
      <c r="C13079" t="inlineStr">
        <is>
          <t>Aftershave</t>
        </is>
      </c>
      <c r="D13079" t="inlineStr">
        <is>
          <t>Pitralon</t>
        </is>
      </c>
      <c r="E13079" t="n">
        <v>3.99</v>
      </c>
      <c r="F13079" t="n">
        <v>1</v>
      </c>
      <c r="G13079" t="n">
        <v>291</v>
      </c>
      <c r="H13079" s="5">
        <f>HYPERLINK("https://api.qogita.com/variants/link/9001498302509/", "View Product")</f>
        <v/>
      </c>
    </row>
    <row r="13080">
      <c r="A13080" t="inlineStr">
        <is>
          <t>9003877907091</t>
        </is>
      </c>
      <c r="B13080" t="inlineStr">
        <is>
          <t>Refectocil Eyelash And Eyebrow Tint 3.1 Light Brown - 15ml</t>
        </is>
      </c>
      <c r="C13080" t="inlineStr">
        <is>
          <t>Eyebrow Dye</t>
        </is>
      </c>
      <c r="D13080" t="inlineStr">
        <is>
          <t>Refectocil</t>
        </is>
      </c>
      <c r="E13080" t="n">
        <v>4.72</v>
      </c>
      <c r="F13080" t="n">
        <v>1</v>
      </c>
      <c r="G13080" t="n">
        <v>39</v>
      </c>
      <c r="H13080" s="5">
        <f>HYPERLINK("https://api.qogita.com/variants/link/9003877907091/", "View Product")</f>
        <v/>
      </c>
    </row>
    <row r="13081">
      <c r="A13081" t="inlineStr">
        <is>
          <t>9003877907978</t>
        </is>
      </c>
      <c r="B13081" t="inlineStr">
        <is>
          <t>Refectocil Beautylash Two Go Neutral Brown Eyebrow Color</t>
        </is>
      </c>
      <c r="C13081" t="inlineStr">
        <is>
          <t>Eyebrow Dye</t>
        </is>
      </c>
      <c r="D13081" t="inlineStr">
        <is>
          <t>Refectocil</t>
        </is>
      </c>
      <c r="E13081" t="n">
        <v>21.02</v>
      </c>
      <c r="F13081" t="n">
        <v>1</v>
      </c>
      <c r="G13081" t="n">
        <v>11</v>
      </c>
      <c r="H13081" s="5">
        <f>HYPERLINK("https://api.qogita.com/variants/link/9003877907978/", "View Product")</f>
        <v/>
      </c>
    </row>
    <row r="13082">
      <c r="A13082" t="inlineStr">
        <is>
          <t>9003877907985</t>
        </is>
      </c>
      <c r="B13082" t="inlineStr">
        <is>
          <t>Refectocil Beauty Lash Two Go Eyebrow Color Black Brown 1 Pc</t>
        </is>
      </c>
      <c r="C13082" t="inlineStr">
        <is>
          <t>Eyebrow Dye</t>
        </is>
      </c>
      <c r="D13082" t="inlineStr">
        <is>
          <t>Refectocil</t>
        </is>
      </c>
      <c r="E13082" t="n">
        <v>20.53</v>
      </c>
      <c r="F13082" t="n">
        <v>1</v>
      </c>
      <c r="G13082" t="n">
        <v>3</v>
      </c>
      <c r="H13082" s="5">
        <f>HYPERLINK("https://api.qogita.com/variants/link/9003877907985/", "View Product")</f>
        <v/>
      </c>
    </row>
    <row r="13083">
      <c r="A13083" t="inlineStr">
        <is>
          <t>9004432175511</t>
        </is>
      </c>
      <c r="B13083" t="inlineStr">
        <is>
          <t>STYX Goat Butter Massage Cream 50ml</t>
        </is>
      </c>
      <c r="C13083" t="inlineStr">
        <is>
          <t>Body Butter</t>
        </is>
      </c>
      <c r="D13083" t="inlineStr">
        <is>
          <t>Styx</t>
        </is>
      </c>
      <c r="E13083" t="n">
        <v>12.19</v>
      </c>
      <c r="F13083" t="n">
        <v>1</v>
      </c>
      <c r="G13083" t="n">
        <v>7</v>
      </c>
      <c r="H13083" s="5">
        <f>HYPERLINK("https://api.qogita.com/variants/link/9004432175511/", "View Product")</f>
        <v/>
      </c>
    </row>
    <row r="13084">
      <c r="A13084" t="inlineStr">
        <is>
          <t>9004432180843</t>
        </is>
      </c>
      <c r="B13084" t="inlineStr">
        <is>
          <t>STYX Aloe Vera Body Cream 200ml</t>
        </is>
      </c>
      <c r="C13084" t="inlineStr">
        <is>
          <t>Body Lotion</t>
        </is>
      </c>
      <c r="D13084" t="inlineStr">
        <is>
          <t>Styx</t>
        </is>
      </c>
      <c r="E13084" t="n">
        <v>14.16</v>
      </c>
      <c r="F13084" t="n">
        <v>1</v>
      </c>
      <c r="G13084" t="n">
        <v>4</v>
      </c>
      <c r="H13084" s="5">
        <f>HYPERLINK("https://api.qogita.com/variants/link/9004432180843/", "View Product")</f>
        <v/>
      </c>
    </row>
    <row r="13085">
      <c r="A13085" t="inlineStr">
        <is>
          <t>9004432831233</t>
        </is>
      </c>
      <c r="B13085" t="inlineStr">
        <is>
          <t>Aroma Derm Cell Active Gel Cinnamon 150ml</t>
        </is>
      </c>
      <c r="C13085" t="inlineStr">
        <is>
          <t>Acne</t>
        </is>
      </c>
      <c r="D13085" t="inlineStr">
        <is>
          <t>Styx</t>
        </is>
      </c>
      <c r="E13085" t="n">
        <v>16.96</v>
      </c>
      <c r="F13085" t="n">
        <v>1</v>
      </c>
      <c r="G13085" t="n">
        <v>47</v>
      </c>
      <c r="H13085" s="5">
        <f>HYPERLINK("https://api.qogita.com/variants/link/9004432831233/", "View Product")</f>
        <v/>
      </c>
    </row>
    <row r="13086">
      <c r="A13086" t="inlineStr">
        <is>
          <t>9005800217222</t>
        </is>
      </c>
      <c r="B13086" t="inlineStr">
        <is>
          <t>Nivea Diamond Volume Care Hair Spray 250ml</t>
        </is>
      </c>
      <c r="C13086" t="inlineStr">
        <is>
          <t>Hairspray</t>
        </is>
      </c>
      <c r="D13086" t="inlineStr">
        <is>
          <t>Nivea</t>
        </is>
      </c>
      <c r="E13086" t="n">
        <v>5.9</v>
      </c>
      <c r="F13086" t="n">
        <v>1</v>
      </c>
      <c r="G13086" t="n">
        <v>5</v>
      </c>
      <c r="H13086" s="5">
        <f>HYPERLINK("https://api.qogita.com/variants/link/9005800217222/", "View Product")</f>
        <v/>
      </c>
    </row>
    <row r="13087">
      <c r="A13087" t="inlineStr">
        <is>
          <t>9005800222875</t>
        </is>
      </c>
      <c r="B13087" t="inlineStr">
        <is>
          <t>Nivea Care Shower Gel Waterlily &amp; Oil 250ml</t>
        </is>
      </c>
      <c r="C13087" t="inlineStr">
        <is>
          <t>Shower Gel</t>
        </is>
      </c>
      <c r="D13087" t="inlineStr">
        <is>
          <t>Nivea</t>
        </is>
      </c>
      <c r="E13087" t="n">
        <v>2.89</v>
      </c>
      <c r="F13087" t="n">
        <v>1</v>
      </c>
      <c r="G13087" t="n">
        <v>11</v>
      </c>
      <c r="H13087" s="5">
        <f>HYPERLINK("https://api.qogita.com/variants/link/9005800222875/", "View Product")</f>
        <v/>
      </c>
    </row>
    <row r="13088">
      <c r="A13088" t="inlineStr">
        <is>
          <t>9005800223063</t>
        </is>
      </c>
      <c r="B13088" t="inlineStr">
        <is>
          <t>Nivea Creme Care Shower Gel 750ml</t>
        </is>
      </c>
      <c r="C13088" t="inlineStr">
        <is>
          <t>Shower Gel</t>
        </is>
      </c>
      <c r="D13088" t="inlineStr">
        <is>
          <t>Nivea</t>
        </is>
      </c>
      <c r="E13088" t="n">
        <v>6.52</v>
      </c>
      <c r="F13088" t="n">
        <v>1</v>
      </c>
      <c r="G13088" t="n">
        <v>4</v>
      </c>
      <c r="H13088" s="5">
        <f>HYPERLINK("https://api.qogita.com/variants/link/9005800223063/", "View Product")</f>
        <v/>
      </c>
    </row>
    <row r="13089">
      <c r="A13089" t="inlineStr">
        <is>
          <t>9005800223384</t>
        </is>
      </c>
      <c r="B13089" t="inlineStr">
        <is>
          <t>Nivea Extra Strong Styling Spray 250 Ml</t>
        </is>
      </c>
      <c r="C13089" t="inlineStr">
        <is>
          <t>Styling Sprays</t>
        </is>
      </c>
      <c r="D13089" t="inlineStr">
        <is>
          <t>Nivea</t>
        </is>
      </c>
      <c r="E13089" t="n">
        <v>5.9</v>
      </c>
      <c r="F13089" t="n">
        <v>1</v>
      </c>
      <c r="G13089" t="n">
        <v>22</v>
      </c>
      <c r="H13089" s="5">
        <f>HYPERLINK("https://api.qogita.com/variants/link/9005800223384/", "View Product")</f>
        <v/>
      </c>
    </row>
    <row r="13090">
      <c r="A13090" t="inlineStr">
        <is>
          <t>9005800223490</t>
        </is>
      </c>
      <c r="B13090" t="inlineStr">
        <is>
          <t>Nivea Care Shampoo Volume Care - 400ml</t>
        </is>
      </c>
      <c r="C13090" t="inlineStr">
        <is>
          <t>Shampoo</t>
        </is>
      </c>
      <c r="D13090" t="inlineStr">
        <is>
          <t>Nivea</t>
        </is>
      </c>
      <c r="E13090" t="n">
        <v>3.39</v>
      </c>
      <c r="F13090" t="n">
        <v>1</v>
      </c>
      <c r="G13090" t="n">
        <v>2</v>
      </c>
      <c r="H13090" s="5">
        <f>HYPERLINK("https://api.qogita.com/variants/link/9005800223490/", "View Product")</f>
        <v/>
      </c>
    </row>
    <row r="13091">
      <c r="A13091" t="inlineStr">
        <is>
          <t>9005800243788</t>
        </is>
      </c>
      <c r="B13091" t="inlineStr">
        <is>
          <t>Nivea Creme Smooth Care Shower Gel 500ml</t>
        </is>
      </c>
      <c r="C13091" t="inlineStr">
        <is>
          <t>Shower Gel</t>
        </is>
      </c>
      <c r="D13091" t="inlineStr">
        <is>
          <t>Nivea</t>
        </is>
      </c>
      <c r="E13091" t="n">
        <v>5.91</v>
      </c>
      <c r="F13091" t="n">
        <v>1</v>
      </c>
      <c r="G13091" t="n">
        <v>5</v>
      </c>
      <c r="H13091" s="5">
        <f>HYPERLINK("https://api.qogita.com/variants/link/9005800243788/", "View Product")</f>
        <v/>
      </c>
    </row>
    <row r="13092">
      <c r="A13092" t="inlineStr">
        <is>
          <t>9005800244693</t>
        </is>
      </c>
      <c r="B13092" t="inlineStr">
        <is>
          <t>Nivea Active Clean Cleansing Shampoo For Hair 400ml</t>
        </is>
      </c>
      <c r="C13092" t="inlineStr">
        <is>
          <t>Shampoo</t>
        </is>
      </c>
      <c r="D13092" t="inlineStr">
        <is>
          <t>Nivea</t>
        </is>
      </c>
      <c r="E13092" t="n">
        <v>5.73</v>
      </c>
      <c r="F13092" t="n">
        <v>1</v>
      </c>
      <c r="G13092" t="n">
        <v>8</v>
      </c>
      <c r="H13092" s="5">
        <f>HYPERLINK("https://api.qogita.com/variants/link/9005800244693/", "View Product")</f>
        <v/>
      </c>
    </row>
    <row r="13093">
      <c r="A13093" t="inlineStr">
        <is>
          <t>9005800250328</t>
        </is>
      </c>
      <c r="B13093" t="inlineStr">
        <is>
          <t>Nivea Fresh Comfort Deodorant Spray 150 Ml</t>
        </is>
      </c>
      <c r="C13093" t="inlineStr">
        <is>
          <t>Deodorant &amp; Anti-Perspirant</t>
        </is>
      </c>
      <c r="D13093" t="inlineStr">
        <is>
          <t>Nivea</t>
        </is>
      </c>
      <c r="E13093" t="n">
        <v>5.23</v>
      </c>
      <c r="F13093" t="n">
        <v>1</v>
      </c>
      <c r="G13093" t="n">
        <v>22</v>
      </c>
      <c r="H13093" s="5">
        <f>HYPERLINK("https://api.qogita.com/variants/link/9005800250328/", "View Product")</f>
        <v/>
      </c>
    </row>
    <row r="13094">
      <c r="A13094" t="inlineStr">
        <is>
          <t>9005800250342</t>
        </is>
      </c>
      <c r="B13094" t="inlineStr">
        <is>
          <t>Nivea Fresh Flower Deodorant Spray 150 Ml</t>
        </is>
      </c>
      <c r="C13094" t="inlineStr">
        <is>
          <t>Deodorant &amp; Anti-Perspirant</t>
        </is>
      </c>
      <c r="D13094" t="inlineStr">
        <is>
          <t>Nivea</t>
        </is>
      </c>
      <c r="E13094" t="n">
        <v>4.04</v>
      </c>
      <c r="F13094" t="n">
        <v>1</v>
      </c>
      <c r="G13094" t="n">
        <v>14</v>
      </c>
      <c r="H13094" s="5">
        <f>HYPERLINK("https://api.qogita.com/variants/link/9005800250342/", "View Product")</f>
        <v/>
      </c>
    </row>
    <row r="13095">
      <c r="A13095" t="inlineStr">
        <is>
          <t>9005800280684</t>
        </is>
      </c>
      <c r="B13095" t="inlineStr">
        <is>
          <t>Nivea Black &amp; White Invisible Fresh Antiperspirant Spray</t>
        </is>
      </c>
      <c r="C13095" t="inlineStr">
        <is>
          <t>Deodorant &amp; Anti-Perspirant</t>
        </is>
      </c>
      <c r="D13095" t="inlineStr">
        <is>
          <t>Nivea</t>
        </is>
      </c>
      <c r="E13095" t="n">
        <v>5.69</v>
      </c>
      <c r="F13095" t="n">
        <v>1</v>
      </c>
      <c r="G13095" t="n">
        <v>7</v>
      </c>
      <c r="H13095" s="5">
        <f>HYPERLINK("https://api.qogita.com/variants/link/9005800280684/", "View Product")</f>
        <v/>
      </c>
    </row>
    <row r="13096">
      <c r="A13096" t="inlineStr">
        <is>
          <t>9005800286778</t>
        </is>
      </c>
      <c r="B13096" t="inlineStr">
        <is>
          <t>Nivea Smooth Sensation Cream Body Lotion For Dry Skin</t>
        </is>
      </c>
      <c r="C13096" t="inlineStr">
        <is>
          <t>Body Lotion</t>
        </is>
      </c>
      <c r="D13096" t="inlineStr">
        <is>
          <t>Nivea</t>
        </is>
      </c>
      <c r="E13096" t="n">
        <v>8.34</v>
      </c>
      <c r="F13096" t="n">
        <v>1</v>
      </c>
      <c r="G13096" t="n">
        <v>4</v>
      </c>
      <c r="H13096" s="5">
        <f>HYPERLINK("https://api.qogita.com/variants/link/9005800286778/", "View Product")</f>
        <v/>
      </c>
    </row>
    <row r="13097">
      <c r="A13097" t="inlineStr">
        <is>
          <t>9005800288147</t>
        </is>
      </c>
      <c r="B13097" t="inlineStr">
        <is>
          <t>Nivea Invisible For Black &amp; White Clear Antiperspirant 100 Ml</t>
        </is>
      </c>
      <c r="C13097" t="inlineStr">
        <is>
          <t>Deodorant &amp; Anti-Perspirant</t>
        </is>
      </c>
      <c r="D13097" t="inlineStr">
        <is>
          <t>Nivea</t>
        </is>
      </c>
      <c r="E13097" t="n">
        <v>4.71</v>
      </c>
      <c r="F13097" t="n">
        <v>1</v>
      </c>
      <c r="G13097" t="n">
        <v>5</v>
      </c>
      <c r="H13097" s="5">
        <f>HYPERLINK("https://api.qogita.com/variants/link/9005800288147/", "View Product")</f>
        <v/>
      </c>
    </row>
    <row r="13098">
      <c r="A13098" t="inlineStr">
        <is>
          <t>9005800301587</t>
        </is>
      </c>
      <c r="B13098" t="inlineStr">
        <is>
          <t>Nivea Wrinkle Shampoo With Milk And Silk Proteins For Tired Hair 250 Ml</t>
        </is>
      </c>
      <c r="C13098" t="inlineStr">
        <is>
          <t>Shampoo</t>
        </is>
      </c>
      <c r="D13098" t="inlineStr">
        <is>
          <t>Nivea</t>
        </is>
      </c>
      <c r="E13098" t="n">
        <v>4.82</v>
      </c>
      <c r="F13098" t="n">
        <v>1</v>
      </c>
      <c r="G13098" t="n">
        <v>30</v>
      </c>
      <c r="H13098" s="5">
        <f>HYPERLINK("https://api.qogita.com/variants/link/9005800301587/", "View Product")</f>
        <v/>
      </c>
    </row>
    <row r="13099">
      <c r="A13099" t="inlineStr">
        <is>
          <t>9005800301686</t>
        </is>
      </c>
      <c r="B13099" t="inlineStr">
        <is>
          <t>Nivea Hairmilk Natural Shine Gentle Conditioner Unlocking Hair Shine 200ml</t>
        </is>
      </c>
      <c r="C13099" t="inlineStr">
        <is>
          <t>Conditioner</t>
        </is>
      </c>
      <c r="D13099" t="inlineStr">
        <is>
          <t>Nivea</t>
        </is>
      </c>
      <c r="E13099" t="n">
        <v>4.82</v>
      </c>
      <c r="F13099" t="n">
        <v>1</v>
      </c>
      <c r="G13099" t="n">
        <v>4</v>
      </c>
      <c r="H13099" s="5">
        <f>HYPERLINK("https://api.qogita.com/variants/link/9005800301686/", "View Product")</f>
        <v/>
      </c>
    </row>
    <row r="13100">
      <c r="A13100" t="inlineStr">
        <is>
          <t>9005800308432</t>
        </is>
      </c>
      <c r="B13100" t="inlineStr">
        <is>
          <t>Nivea 3 Day Beard Shave Gel 200 Ml For Sensitive Skin</t>
        </is>
      </c>
      <c r="C13100" t="inlineStr">
        <is>
          <t>Shaving</t>
        </is>
      </c>
      <c r="D13100" t="inlineStr">
        <is>
          <t>Nivea</t>
        </is>
      </c>
      <c r="E13100" t="n">
        <v>3.68</v>
      </c>
      <c r="F13100" t="n">
        <v>1</v>
      </c>
      <c r="G13100" t="n">
        <v>4</v>
      </c>
      <c r="H13100" s="5">
        <f>HYPERLINK("https://api.qogita.com/variants/link/9005800308432/", "View Product")</f>
        <v/>
      </c>
    </row>
    <row r="13101">
      <c r="A13101" t="inlineStr">
        <is>
          <t>9005800308456</t>
        </is>
      </c>
      <c r="B13101" t="inlineStr">
        <is>
          <t>Nivea Smooth Sensation Cream Body Lotion For Dry Skin 400 Ml</t>
        </is>
      </c>
      <c r="C13101" t="inlineStr">
        <is>
          <t>Body Lotion</t>
        </is>
      </c>
      <c r="D13101" t="inlineStr">
        <is>
          <t>Nivea</t>
        </is>
      </c>
      <c r="E13101" t="n">
        <v>10.89</v>
      </c>
      <c r="F13101" t="n">
        <v>1</v>
      </c>
      <c r="G13101" t="n">
        <v>7</v>
      </c>
      <c r="H13101" s="5">
        <f>HYPERLINK("https://api.qogita.com/variants/link/9005800308456/", "View Product")</f>
        <v/>
      </c>
    </row>
    <row r="13102">
      <c r="A13102" t="inlineStr">
        <is>
          <t>9005800341866</t>
        </is>
      </c>
      <c r="B13102" t="inlineStr">
        <is>
          <t>Nivea Sun UV Face Alpine Sunscreen Protective Facial Care with SPF 50</t>
        </is>
      </c>
      <c r="C13102" t="inlineStr">
        <is>
          <t>Face Sun Protection</t>
        </is>
      </c>
      <c r="D13102" t="inlineStr">
        <is>
          <t>Nivea Sun</t>
        </is>
      </c>
      <c r="E13102" t="n">
        <v>10.48</v>
      </c>
      <c r="F13102" t="n">
        <v>1</v>
      </c>
      <c r="G13102" t="n">
        <v>40</v>
      </c>
      <c r="H13102" s="5">
        <f>HYPERLINK("https://api.qogita.com/variants/link/9005800341866/", "View Product")</f>
        <v/>
      </c>
    </row>
    <row r="13103">
      <c r="A13103" t="inlineStr">
        <is>
          <t>9005800342788</t>
        </is>
      </c>
      <c r="B13103" t="inlineStr">
        <is>
          <t>Nivea Men Fresh Kick Antiperspirant 50 Ml</t>
        </is>
      </c>
      <c r="C13103" t="inlineStr">
        <is>
          <t>Deodorant &amp; Anti-Perspirant</t>
        </is>
      </c>
      <c r="D13103" t="inlineStr">
        <is>
          <t>Nivea</t>
        </is>
      </c>
      <c r="E13103" t="n">
        <v>3.65</v>
      </c>
      <c r="F13103" t="n">
        <v>1</v>
      </c>
      <c r="G13103" t="n">
        <v>9</v>
      </c>
      <c r="H13103" s="5">
        <f>HYPERLINK("https://api.qogita.com/variants/link/9005800342788/", "View Product")</f>
        <v/>
      </c>
    </row>
    <row r="13104">
      <c r="A13104" t="inlineStr">
        <is>
          <t>9005800344539</t>
        </is>
      </c>
      <c r="B13104" t="inlineStr">
        <is>
          <t>Nivea Hydra Skin Effect Allin1 Micellar Water 400 Ml Moisturizing Micellar Water</t>
        </is>
      </c>
      <c r="C13104" t="inlineStr">
        <is>
          <t>Micellar Water</t>
        </is>
      </c>
      <c r="D13104" t="inlineStr">
        <is>
          <t>Nivea</t>
        </is>
      </c>
      <c r="E13104" t="n">
        <v>8.800000000000001</v>
      </c>
      <c r="F13104" t="n">
        <v>1</v>
      </c>
      <c r="G13104" t="n">
        <v>5</v>
      </c>
      <c r="H13104" s="5">
        <f>HYPERLINK("https://api.qogita.com/variants/link/9005800344539/", "View Product")</f>
        <v/>
      </c>
    </row>
    <row r="13105">
      <c r="A13105" t="inlineStr">
        <is>
          <t>9005800346922</t>
        </is>
      </c>
      <c r="B13105" t="inlineStr">
        <is>
          <t>Nivea Rose Touch Body Lotion Moisturizing Balm With Argan Oil For Normal And Dry Skin 400ml</t>
        </is>
      </c>
      <c r="C13105" t="inlineStr">
        <is>
          <t>Body Lotion</t>
        </is>
      </c>
      <c r="D13105" t="inlineStr">
        <is>
          <t>Nivea</t>
        </is>
      </c>
      <c r="E13105" t="n">
        <v>7.41</v>
      </c>
      <c r="F13105" t="n">
        <v>1</v>
      </c>
      <c r="G13105" t="n">
        <v>5</v>
      </c>
      <c r="H13105" s="5">
        <f>HYPERLINK("https://api.qogita.com/variants/link/9005800346922/", "View Product")</f>
        <v/>
      </c>
    </row>
    <row r="13106">
      <c r="A13106" t="inlineStr">
        <is>
          <t>9005800352244</t>
        </is>
      </c>
      <c r="B13106" t="inlineStr">
        <is>
          <t>Nivea Black &amp; White Invisible Fresh Antiperspirant 50 Ml</t>
        </is>
      </c>
      <c r="C13106" t="inlineStr">
        <is>
          <t>Deodorant &amp; Anti-Perspirant</t>
        </is>
      </c>
      <c r="D13106" t="inlineStr">
        <is>
          <t>Nivea</t>
        </is>
      </c>
      <c r="E13106" t="n">
        <v>5.23</v>
      </c>
      <c r="F13106" t="n">
        <v>1</v>
      </c>
      <c r="G13106" t="n">
        <v>6</v>
      </c>
      <c r="H13106" s="5">
        <f>HYPERLINK("https://api.qogita.com/variants/link/9005800352244/", "View Product")</f>
        <v/>
      </c>
    </row>
    <row r="13107">
      <c r="A13107" t="inlineStr">
        <is>
          <t>9005800352275</t>
        </is>
      </c>
      <c r="B13107" t="inlineStr">
        <is>
          <t>Nivea Invisible For Black &amp; White Clear Antiperspirant 50 Ml</t>
        </is>
      </c>
      <c r="C13107" t="inlineStr">
        <is>
          <t>Deodorant &amp; Anti-Perspirant</t>
        </is>
      </c>
      <c r="D13107" t="inlineStr">
        <is>
          <t>Nivea</t>
        </is>
      </c>
      <c r="E13107" t="n">
        <v>5.23</v>
      </c>
      <c r="F13107" t="n">
        <v>1</v>
      </c>
      <c r="G13107" t="n">
        <v>11</v>
      </c>
      <c r="H13107" s="5">
        <f>HYPERLINK("https://api.qogita.com/variants/link/9005800352275/", "View Product")</f>
        <v/>
      </c>
    </row>
    <row r="13108">
      <c r="A13108" t="inlineStr">
        <is>
          <t>9005800357324</t>
        </is>
      </c>
      <c r="B13108" t="inlineStr">
        <is>
          <t>Nivea Derma Dry Control Antiperspirant Spray 150 Ml</t>
        </is>
      </c>
      <c r="C13108" t="inlineStr">
        <is>
          <t>Deodorant &amp; Anti-Perspirant</t>
        </is>
      </c>
      <c r="D13108" t="inlineStr">
        <is>
          <t>Nivea</t>
        </is>
      </c>
      <c r="E13108" t="n">
        <v>4.54</v>
      </c>
      <c r="F13108" t="n">
        <v>1</v>
      </c>
      <c r="G13108" t="n">
        <v>7</v>
      </c>
      <c r="H13108" s="5">
        <f>HYPERLINK("https://api.qogita.com/variants/link/9005800357324/", "View Product")</f>
        <v/>
      </c>
    </row>
    <row r="13109">
      <c r="A13109" t="inlineStr">
        <is>
          <t>9005800361130</t>
        </is>
      </c>
      <c r="B13109" t="inlineStr">
        <is>
          <t>Nivea Derma Skin Clear Antiblemish Scrub 150 Ml</t>
        </is>
      </c>
      <c r="C13109" t="inlineStr">
        <is>
          <t>Facial Scrub &amp; Peeling</t>
        </is>
      </c>
      <c r="D13109" t="inlineStr">
        <is>
          <t>Nivea</t>
        </is>
      </c>
      <c r="E13109" t="n">
        <v>6.84</v>
      </c>
      <c r="F13109" t="n">
        <v>1</v>
      </c>
      <c r="G13109" t="n">
        <v>4</v>
      </c>
      <c r="H13109" s="5">
        <f>HYPERLINK("https://api.qogita.com/variants/link/9005800361130/", "View Product")</f>
        <v/>
      </c>
    </row>
    <row r="13110">
      <c r="A13110" t="inlineStr">
        <is>
          <t>9005800362755</t>
        </is>
      </c>
      <c r="B13110" t="inlineStr">
        <is>
          <t>Nivea Derma Skin Clear Night Exfoliator 40 Ml</t>
        </is>
      </c>
      <c r="C13110" t="inlineStr">
        <is>
          <t>Night Cream</t>
        </is>
      </c>
      <c r="D13110" t="inlineStr">
        <is>
          <t>Nivea</t>
        </is>
      </c>
      <c r="E13110" t="n">
        <v>8.609999999999999</v>
      </c>
      <c r="F13110" t="n">
        <v>1</v>
      </c>
      <c r="G13110" t="n">
        <v>3</v>
      </c>
      <c r="H13110" s="5">
        <f>HYPERLINK("https://api.qogita.com/variants/link/9005800362755/", "View Product")</f>
        <v/>
      </c>
    </row>
    <row r="13111">
      <c r="A13111" t="inlineStr">
        <is>
          <t>9005800362830</t>
        </is>
      </c>
      <c r="B13111" t="inlineStr">
        <is>
          <t>Nivea Extreme Hold Hair Spray 250ml</t>
        </is>
      </c>
      <c r="C13111" t="inlineStr">
        <is>
          <t>Hairspray</t>
        </is>
      </c>
      <c r="D13111" t="inlineStr">
        <is>
          <t>Nivea</t>
        </is>
      </c>
      <c r="E13111" t="n">
        <v>5.9</v>
      </c>
      <c r="F13111" t="n">
        <v>1</v>
      </c>
      <c r="G13111" t="n">
        <v>6</v>
      </c>
      <c r="H13111" s="5">
        <f>HYPERLINK("https://api.qogita.com/variants/link/9005800362830/", "View Product")</f>
        <v/>
      </c>
    </row>
    <row r="13112">
      <c r="A13112" t="inlineStr">
        <is>
          <t>9005800362878</t>
        </is>
      </c>
      <c r="B13112" t="inlineStr">
        <is>
          <t>Labello Classic Care Lip Balm 2 Pieces</t>
        </is>
      </c>
      <c r="C13112" t="inlineStr">
        <is>
          <t>Medicated Treatments</t>
        </is>
      </c>
      <c r="D13112" t="inlineStr">
        <is>
          <t>Labello</t>
        </is>
      </c>
      <c r="E13112" t="n">
        <v>3.14</v>
      </c>
      <c r="F13112" t="n">
        <v>1</v>
      </c>
      <c r="G13112" t="n">
        <v>19</v>
      </c>
      <c r="H13112" s="5">
        <f>HYPERLINK("https://api.qogita.com/variants/link/9005800362878/", "View Product")</f>
        <v/>
      </c>
    </row>
    <row r="13113">
      <c r="A13113" t="inlineStr">
        <is>
          <t>9005800365749</t>
        </is>
      </c>
      <c r="B13113" t="inlineStr">
        <is>
          <t>Nivea Fresh Sensation Antiperspirant Deospray 150 Ml</t>
        </is>
      </c>
      <c r="C13113" t="inlineStr">
        <is>
          <t>Deodorant &amp; Anti-Perspirant</t>
        </is>
      </c>
      <c r="D13113" t="inlineStr">
        <is>
          <t>Nivea</t>
        </is>
      </c>
      <c r="E13113" t="n">
        <v>5</v>
      </c>
      <c r="F13113" t="n">
        <v>1</v>
      </c>
      <c r="G13113" t="n">
        <v>19</v>
      </c>
      <c r="H13113" s="5">
        <f>HYPERLINK("https://api.qogita.com/variants/link/9005800365749/", "View Product")</f>
        <v/>
      </c>
    </row>
    <row r="13114">
      <c r="A13114" t="inlineStr">
        <is>
          <t>9005800369075</t>
        </is>
      </c>
      <c r="B13114" t="inlineStr">
        <is>
          <t>Nivea Gentle Mild Shampoo 200ml - Baby Care</t>
        </is>
      </c>
      <c r="C13114" t="inlineStr">
        <is>
          <t>Baby Bath</t>
        </is>
      </c>
      <c r="D13114" t="inlineStr">
        <is>
          <t>Nivea</t>
        </is>
      </c>
      <c r="E13114" t="n">
        <v>4.56</v>
      </c>
      <c r="F13114" t="n">
        <v>1</v>
      </c>
      <c r="G13114" t="n">
        <v>7</v>
      </c>
      <c r="H13114" s="5">
        <f>HYPERLINK("https://api.qogita.com/variants/link/9005800369075/", "View Product")</f>
        <v/>
      </c>
    </row>
    <row r="13115">
      <c r="A13115" t="inlineStr">
        <is>
          <t>9005800371306</t>
        </is>
      </c>
      <c r="B13115" t="inlineStr">
        <is>
          <t>Nivea Antiwrinkle Revitalizing Refreshing Day Cream Against Wrinkles 55 50 Ml</t>
        </is>
      </c>
      <c r="C13115" t="inlineStr">
        <is>
          <t>Day Cream</t>
        </is>
      </c>
      <c r="D13115" t="inlineStr">
        <is>
          <t>Nivea</t>
        </is>
      </c>
      <c r="E13115" t="n">
        <v>5.4</v>
      </c>
      <c r="F13115" t="n">
        <v>1</v>
      </c>
      <c r="G13115" t="n">
        <v>20</v>
      </c>
      <c r="H13115" s="5">
        <f>HYPERLINK("https://api.qogita.com/variants/link/9005800371306/", "View Product")</f>
        <v/>
      </c>
    </row>
    <row r="13116">
      <c r="A13116" t="inlineStr">
        <is>
          <t>9005800376783</t>
        </is>
      </c>
      <c r="B13116" t="inlineStr">
        <is>
          <t>Nivea Men Total Relax Shower Gel 500ml</t>
        </is>
      </c>
      <c r="C13116" t="inlineStr">
        <is>
          <t>Shower Gel</t>
        </is>
      </c>
      <c r="D13116" t="inlineStr">
        <is>
          <t>Nivea</t>
        </is>
      </c>
      <c r="E13116" t="n">
        <v>5.91</v>
      </c>
      <c r="F13116" t="n">
        <v>1</v>
      </c>
      <c r="G13116" t="n">
        <v>7</v>
      </c>
      <c r="H13116" s="5">
        <f>HYPERLINK("https://api.qogita.com/variants/link/9005800376783/", "View Product")</f>
        <v/>
      </c>
    </row>
    <row r="13117">
      <c r="A13117" t="inlineStr">
        <is>
          <t>9005800379012</t>
        </is>
      </c>
      <c r="B13117" t="inlineStr">
        <is>
          <t>Nivea Men Ultra Charge Antiperspirant Spray 150 Ml</t>
        </is>
      </c>
      <c r="C13117" t="inlineStr">
        <is>
          <t>Deodorant &amp; Anti-Perspirant</t>
        </is>
      </c>
      <c r="D13117" t="inlineStr">
        <is>
          <t>Nivea</t>
        </is>
      </c>
      <c r="E13117" t="n">
        <v>4.42</v>
      </c>
      <c r="F13117" t="n">
        <v>1</v>
      </c>
      <c r="G13117" t="n">
        <v>8</v>
      </c>
      <c r="H13117" s="5">
        <f>HYPERLINK("https://api.qogita.com/variants/link/9005800379012/", "View Product")</f>
        <v/>
      </c>
    </row>
    <row r="13118">
      <c r="A13118" t="inlineStr">
        <is>
          <t>9005800379180</t>
        </is>
      </c>
      <c r="B13118" t="inlineStr">
        <is>
          <t>Nivea Ball Antiperspirant Original Care - 50 Ml</t>
        </is>
      </c>
      <c r="C13118" t="inlineStr">
        <is>
          <t>Deodorant &amp; Anti-Perspirant</t>
        </is>
      </c>
      <c r="D13118" t="inlineStr">
        <is>
          <t>Nivea</t>
        </is>
      </c>
      <c r="E13118" t="n">
        <v>5.23</v>
      </c>
      <c r="F13118" t="n">
        <v>1</v>
      </c>
      <c r="G13118" t="n">
        <v>14</v>
      </c>
      <c r="H13118" s="5">
        <f>HYPERLINK("https://api.qogita.com/variants/link/9005800379180/", "View Product")</f>
        <v/>
      </c>
    </row>
    <row r="13119">
      <c r="A13119" t="inlineStr">
        <is>
          <t>9005800379678</t>
        </is>
      </c>
      <c r="B13119" t="inlineStr">
        <is>
          <t>Nivea Luminous 630 Cc Fluid 3 In 1 Spf 30+ Foundation 03 Deep 40ml</t>
        </is>
      </c>
      <c r="C13119" t="inlineStr">
        <is>
          <t>Foundation</t>
        </is>
      </c>
      <c r="D13119" t="inlineStr">
        <is>
          <t>Nivea</t>
        </is>
      </c>
      <c r="E13119" t="n">
        <v>23.33</v>
      </c>
      <c r="F13119" t="n">
        <v>1</v>
      </c>
      <c r="G13119" t="n">
        <v>5</v>
      </c>
      <c r="H13119" s="5">
        <f>HYPERLINK("https://api.qogita.com/variants/link/9005800379678/", "View Product")</f>
        <v/>
      </c>
    </row>
    <row r="13120">
      <c r="A13120" t="inlineStr">
        <is>
          <t>9005800380544</t>
        </is>
      </c>
      <c r="B13120" t="inlineStr">
        <is>
          <t>Nivea Repair &amp; Care Moisturizing And Regenerating Cream 400ml</t>
        </is>
      </c>
      <c r="C13120" t="inlineStr">
        <is>
          <t>Body Lotion</t>
        </is>
      </c>
      <c r="D13120" t="inlineStr">
        <is>
          <t>Nivea</t>
        </is>
      </c>
      <c r="E13120" t="n">
        <v>9.390000000000001</v>
      </c>
      <c r="F13120" t="n">
        <v>1</v>
      </c>
      <c r="G13120" t="n">
        <v>12</v>
      </c>
      <c r="H13120" s="5">
        <f>HYPERLINK("https://api.qogita.com/variants/link/9005800380544/", "View Product")</f>
        <v/>
      </c>
    </row>
    <row r="13121">
      <c r="A13121" t="inlineStr">
        <is>
          <t>9005800383569</t>
        </is>
      </c>
      <c r="B13121" t="inlineStr">
        <is>
          <t>Nivea Smooth Care Skincare Moments Set - Includes Oth Sensation 400 Ml, Diamond Argan Oil Shower Cream 250 Ml, And Invisible Black Antiperspirant</t>
        </is>
      </c>
      <c r="C13121" t="inlineStr">
        <is>
          <t>Body Care Sets</t>
        </is>
      </c>
      <c r="D13121" t="inlineStr">
        <is>
          <t>Nivea</t>
        </is>
      </c>
      <c r="E13121" t="n">
        <v>20.65</v>
      </c>
      <c r="F13121" t="n">
        <v>1</v>
      </c>
      <c r="G13121" t="n">
        <v>8</v>
      </c>
      <c r="H13121" s="5">
        <f>HYPERLINK("https://api.qogita.com/variants/link/9005800383569/", "View Product")</f>
        <v/>
      </c>
    </row>
    <row r="13122">
      <c r="A13122" t="inlineStr">
        <is>
          <t>9005800385570</t>
        </is>
      </c>
      <c r="B13122" t="inlineStr">
        <is>
          <t>Nivea Cleansing Face Gel For Normal And Combination Skin Refreshing Wash Gel 150 Ml</t>
        </is>
      </c>
      <c r="C13122" t="inlineStr">
        <is>
          <t>Cleansing Gel</t>
        </is>
      </c>
      <c r="D13122" t="inlineStr">
        <is>
          <t>Nivea</t>
        </is>
      </c>
      <c r="E13122" t="n">
        <v>6.4</v>
      </c>
      <c r="F13122" t="n">
        <v>1</v>
      </c>
      <c r="G13122" t="n">
        <v>5</v>
      </c>
      <c r="H13122" s="5">
        <f>HYPERLINK("https://api.qogita.com/variants/link/9005800385570/", "View Product")</f>
        <v/>
      </c>
    </row>
    <row r="13123">
      <c r="A13123" t="inlineStr">
        <is>
          <t>9005800388274</t>
        </is>
      </c>
      <c r="B13123" t="inlineStr">
        <is>
          <t>Nivea Moisturizing Cream With Uv Protection Spf 15 Soft Daily Uv Cream - 100 Ml</t>
        </is>
      </c>
      <c r="C13123" t="inlineStr">
        <is>
          <t>Day Cream</t>
        </is>
      </c>
      <c r="D13123" t="inlineStr">
        <is>
          <t>Nivea</t>
        </is>
      </c>
      <c r="E13123" t="n">
        <v>6.09</v>
      </c>
      <c r="F13123" t="n">
        <v>1</v>
      </c>
      <c r="G13123" t="n">
        <v>5</v>
      </c>
      <c r="H13123" s="5">
        <f>HYPERLINK("https://api.qogita.com/variants/link/9005800388274/", "View Product")</f>
        <v/>
      </c>
    </row>
    <row r="13124">
      <c r="A13124" t="inlineStr">
        <is>
          <t>9005800388304</t>
        </is>
      </c>
      <c r="B13124" t="inlineStr">
        <is>
          <t>Nivea Extra Nourishing Firming Milk Q10 - 400 Ml</t>
        </is>
      </c>
      <c r="C13124" t="inlineStr">
        <is>
          <t>Body Lotion</t>
        </is>
      </c>
      <c r="D13124" t="inlineStr">
        <is>
          <t>Nivea</t>
        </is>
      </c>
      <c r="E13124" t="n">
        <v>10.89</v>
      </c>
      <c r="F13124" t="n">
        <v>1</v>
      </c>
      <c r="G13124" t="n">
        <v>4</v>
      </c>
      <c r="H13124" s="5">
        <f>HYPERLINK("https://api.qogita.com/variants/link/9005800388304/", "View Product")</f>
        <v/>
      </c>
    </row>
    <row r="13125">
      <c r="A13125" t="inlineStr">
        <is>
          <t>9005800388915</t>
        </is>
      </c>
      <c r="B13125" t="inlineStr">
        <is>
          <t>Nivea Men Deep Shampoo For Men 500ml</t>
        </is>
      </c>
      <c r="C13125" t="inlineStr">
        <is>
          <t>Shampoo</t>
        </is>
      </c>
      <c r="D13125" t="inlineStr">
        <is>
          <t>Nivea</t>
        </is>
      </c>
      <c r="E13125" t="n">
        <v>5.73</v>
      </c>
      <c r="F13125" t="n">
        <v>1</v>
      </c>
      <c r="G13125" t="n">
        <v>5</v>
      </c>
      <c r="H13125" s="5">
        <f>HYPERLINK("https://api.qogita.com/variants/link/9005800388915/", "View Product")</f>
        <v/>
      </c>
    </row>
    <row r="13126">
      <c r="A13126" t="inlineStr">
        <is>
          <t>9005800390048</t>
        </is>
      </c>
      <c r="B13126" t="inlineStr">
        <is>
          <t>Nivea Luminous Skin Glow Liquid Refiner 100 Ml</t>
        </is>
      </c>
      <c r="C13126" t="inlineStr">
        <is>
          <t>Anti-Pigmentation Spot Cream</t>
        </is>
      </c>
      <c r="D13126" t="inlineStr">
        <is>
          <t>Nivea</t>
        </is>
      </c>
      <c r="E13126" t="n">
        <v>9.390000000000001</v>
      </c>
      <c r="F13126" t="n">
        <v>1</v>
      </c>
      <c r="G13126" t="n">
        <v>3</v>
      </c>
      <c r="H13126" s="5">
        <f>HYPERLINK("https://api.qogita.com/variants/link/9005800390048/", "View Product")</f>
        <v/>
      </c>
    </row>
    <row r="13127">
      <c r="A13127" t="inlineStr">
        <is>
          <t>9005800390055</t>
        </is>
      </c>
      <c r="B13127" t="inlineStr">
        <is>
          <t>Nivea Luminous Skin Glow Serum</t>
        </is>
      </c>
      <c r="C13127" t="inlineStr">
        <is>
          <t>Glow Serum</t>
        </is>
      </c>
      <c r="D13127" t="inlineStr">
        <is>
          <t>Nivea</t>
        </is>
      </c>
      <c r="E13127" t="n">
        <v>9.390000000000001</v>
      </c>
      <c r="F13127" t="n">
        <v>1</v>
      </c>
      <c r="G13127" t="n">
        <v>6</v>
      </c>
      <c r="H13127" s="5">
        <f>HYPERLINK("https://api.qogita.com/variants/link/9005800390055/", "View Product")</f>
        <v/>
      </c>
    </row>
    <row r="13128">
      <c r="A13128" t="inlineStr">
        <is>
          <t>9007867005248</t>
        </is>
      </c>
      <c r="B13128" t="inlineStr">
        <is>
          <t>Declaré Men Gentle Cleansing Gel 200ml</t>
        </is>
      </c>
      <c r="C13128" t="inlineStr">
        <is>
          <t>Cleansing Gel</t>
        </is>
      </c>
      <c r="D13128" t="inlineStr">
        <is>
          <t>Declare</t>
        </is>
      </c>
      <c r="E13128" t="n">
        <v>12.85</v>
      </c>
      <c r="F13128" t="n">
        <v>1</v>
      </c>
      <c r="G13128" t="n">
        <v>5</v>
      </c>
      <c r="H13128" s="5">
        <f>HYPERLINK("https://api.qogita.com/variants/link/9007867005248/", "View Product")</f>
        <v/>
      </c>
    </row>
    <row r="13129">
      <c r="A13129" t="inlineStr">
        <is>
          <t>9007867005330</t>
        </is>
      </c>
      <c r="B13129" t="inlineStr">
        <is>
          <t>Declare Pure Balance Pore Refining Fluid</t>
        </is>
      </c>
      <c r="C13129" t="inlineStr">
        <is>
          <t>Hydrating Serum</t>
        </is>
      </c>
      <c r="D13129" t="inlineStr">
        <is>
          <t>Declare</t>
        </is>
      </c>
      <c r="E13129" t="n">
        <v>22.93</v>
      </c>
      <c r="F13129" t="n">
        <v>1</v>
      </c>
      <c r="G13129" t="n">
        <v>3</v>
      </c>
      <c r="H13129" s="5">
        <f>HYPERLINK("https://api.qogita.com/variants/link/9007867005330/", "View Product")</f>
        <v/>
      </c>
    </row>
    <row r="13130">
      <c r="A13130" t="inlineStr">
        <is>
          <t>9007867007600</t>
        </is>
      </c>
      <c r="B13130" t="inlineStr">
        <is>
          <t>Declaré Caviar Perfection Luxury Anti-Wrinkle Hand Cream 75ml</t>
        </is>
      </c>
      <c r="C13130" t="inlineStr">
        <is>
          <t>Hand Cream</t>
        </is>
      </c>
      <c r="D13130" t="inlineStr">
        <is>
          <t>Declare</t>
        </is>
      </c>
      <c r="E13130" t="n">
        <v>24.57</v>
      </c>
      <c r="F13130" t="n">
        <v>1</v>
      </c>
      <c r="G13130" t="n">
        <v>3</v>
      </c>
      <c r="H13130" s="5">
        <f>HYPERLINK("https://api.qogita.com/variants/link/9007867007600/", "View Product")</f>
        <v/>
      </c>
    </row>
    <row r="13131">
      <c r="A13131" t="inlineStr">
        <is>
          <t>9007867728963</t>
        </is>
      </c>
      <c r="B13131" t="inlineStr">
        <is>
          <t>Juvena Prevent &amp; Optimize Eye Cream For Sensitive Skin 15 Ml</t>
        </is>
      </c>
      <c r="C13131" t="inlineStr">
        <is>
          <t>Eye Cream</t>
        </is>
      </c>
      <c r="D13131" t="inlineStr">
        <is>
          <t>Juvena</t>
        </is>
      </c>
      <c r="E13131" t="n">
        <v>26.94</v>
      </c>
      <c r="F13131" t="n">
        <v>1</v>
      </c>
      <c r="G13131" t="n">
        <v>7</v>
      </c>
      <c r="H13131" s="5">
        <f>HYPERLINK("https://api.qogita.com/variants/link/9007867728963/", "View Product")</f>
        <v/>
      </c>
    </row>
    <row r="13132">
      <c r="A13132" t="inlineStr">
        <is>
          <t>9007867731147</t>
        </is>
      </c>
      <c r="B13132" t="inlineStr">
        <is>
          <t>Juvena Pure Calming Cleansing Milk 200ml For Sensitive Normal To Dry Skin</t>
        </is>
      </c>
      <c r="C13132" t="inlineStr">
        <is>
          <t>Cleansing Milk</t>
        </is>
      </c>
      <c r="D13132" t="inlineStr">
        <is>
          <t>Juvena</t>
        </is>
      </c>
      <c r="E13132" t="n">
        <v>13.45</v>
      </c>
      <c r="F13132" t="n">
        <v>1</v>
      </c>
      <c r="G13132" t="n">
        <v>5</v>
      </c>
      <c r="H13132" s="5">
        <f>HYPERLINK("https://api.qogita.com/variants/link/9007867731147/", "View Product")</f>
        <v/>
      </c>
    </row>
    <row r="13133">
      <c r="A13133" t="inlineStr">
        <is>
          <t>9007867731208</t>
        </is>
      </c>
      <c r="B13133" t="inlineStr">
        <is>
          <t>Juvena Skincare Clarifying Cleansing Foam 6.7 Ounce</t>
        </is>
      </c>
      <c r="C13133" t="inlineStr">
        <is>
          <t>Cleansing Foam</t>
        </is>
      </c>
      <c r="D13133" t="inlineStr">
        <is>
          <t>Juvena</t>
        </is>
      </c>
      <c r="E13133" t="n">
        <v>17.84</v>
      </c>
      <c r="F13133" t="n">
        <v>1</v>
      </c>
      <c r="G13133" t="n">
        <v>4</v>
      </c>
      <c r="H13133" s="5">
        <f>HYPERLINK("https://api.qogita.com/variants/link/9007867731208/", "View Product")</f>
        <v/>
      </c>
    </row>
    <row r="13134">
      <c r="A13134" t="inlineStr">
        <is>
          <t>9007867737941</t>
        </is>
      </c>
      <c r="B13134" t="inlineStr">
        <is>
          <t>Juvena Body Daily Recreation Refreshing Shower Gel 200 Ml</t>
        </is>
      </c>
      <c r="C13134" t="inlineStr">
        <is>
          <t>Shower Gel</t>
        </is>
      </c>
      <c r="D13134" t="inlineStr">
        <is>
          <t>Juvena</t>
        </is>
      </c>
      <c r="E13134" t="n">
        <v>13.01</v>
      </c>
      <c r="F13134" t="n">
        <v>1</v>
      </c>
      <c r="G13134" t="n">
        <v>2</v>
      </c>
      <c r="H13134" s="5">
        <f>HYPERLINK("https://api.qogita.com/variants/link/9007867737941/", "View Product")</f>
        <v/>
      </c>
    </row>
    <row r="13135">
      <c r="A13135" t="inlineStr">
        <is>
          <t>9007867750902</t>
        </is>
      </c>
      <c r="B13135" t="inlineStr">
        <is>
          <t>Juvena Skin Rejuvenate Intensive Nourishing Night Cream 50ml For Dry To Very Dry Skin</t>
        </is>
      </c>
      <c r="C13135" t="inlineStr">
        <is>
          <t>Night Cream</t>
        </is>
      </c>
      <c r="D13135" t="inlineStr">
        <is>
          <t>Juvena</t>
        </is>
      </c>
      <c r="E13135" t="n">
        <v>43.29</v>
      </c>
      <c r="F13135" t="n">
        <v>1</v>
      </c>
      <c r="G13135" t="n">
        <v>14</v>
      </c>
      <c r="H13135" s="5">
        <f>HYPERLINK("https://api.qogita.com/variants/link/9007867750902/", "View Product")</f>
        <v/>
      </c>
    </row>
    <row r="13136">
      <c r="A13136" t="inlineStr">
        <is>
          <t>9007867760048</t>
        </is>
      </c>
      <c r="B13136" t="inlineStr">
        <is>
          <t>Juvena Skin Energy Aqua Recharge Gel 50ml</t>
        </is>
      </c>
      <c r="C13136" t="inlineStr">
        <is>
          <t>Face Cream</t>
        </is>
      </c>
      <c r="D13136" t="inlineStr">
        <is>
          <t>Juvena</t>
        </is>
      </c>
      <c r="E13136" t="n">
        <v>27.76</v>
      </c>
      <c r="F13136" t="n">
        <v>1</v>
      </c>
      <c r="G13136" t="n">
        <v>7</v>
      </c>
      <c r="H13136" s="5">
        <f>HYPERLINK("https://api.qogita.com/variants/link/9007867760048/", "View Product")</f>
        <v/>
      </c>
    </row>
    <row r="13137">
      <c r="A13137" t="inlineStr">
        <is>
          <t>9007867760338</t>
        </is>
      </c>
      <c r="B13137" t="inlineStr">
        <is>
          <t>Juvena Miracle Boost Essence 125ml Elixir Of Beauty</t>
        </is>
      </c>
      <c r="C13137" t="inlineStr">
        <is>
          <t>Glow Serum</t>
        </is>
      </c>
      <c r="D13137" t="inlineStr">
        <is>
          <t>Juvena</t>
        </is>
      </c>
      <c r="E13137" t="n">
        <v>52.71</v>
      </c>
      <c r="F13137" t="n">
        <v>1</v>
      </c>
      <c r="G13137" t="n">
        <v>32</v>
      </c>
      <c r="H13137" s="5">
        <f>HYPERLINK("https://api.qogita.com/variants/link/9007867760338/", "View Product")</f>
        <v/>
      </c>
    </row>
    <row r="13138">
      <c r="A13138" t="inlineStr">
        <is>
          <t>9007867760659</t>
        </is>
      </c>
      <c r="B13138" t="inlineStr">
        <is>
          <t>Juvena Superior Miracle Cream 75ml Day Cream</t>
        </is>
      </c>
      <c r="C13138" t="inlineStr">
        <is>
          <t>Day Cream</t>
        </is>
      </c>
      <c r="D13138" t="inlineStr">
        <is>
          <t>Juvena</t>
        </is>
      </c>
      <c r="E13138" t="n">
        <v>60.31</v>
      </c>
      <c r="F13138" t="n">
        <v>1</v>
      </c>
      <c r="G13138" t="n">
        <v>13</v>
      </c>
      <c r="H13138" s="5">
        <f>HYPERLINK("https://api.qogita.com/variants/link/9007867760659/", "View Product")</f>
        <v/>
      </c>
    </row>
    <row r="13139">
      <c r="A13139" t="inlineStr">
        <is>
          <t>9007867761229</t>
        </is>
      </c>
      <c r="B13139" t="inlineStr">
        <is>
          <t>Juvena Moisturizing Essence For Face Neck And Dcollet Aqua Recharge Essence 50 Ml</t>
        </is>
      </c>
      <c r="C13139" t="inlineStr">
        <is>
          <t>Neck &amp; Decollete</t>
        </is>
      </c>
      <c r="D13139" t="inlineStr">
        <is>
          <t>Juvena</t>
        </is>
      </c>
      <c r="E13139" t="n">
        <v>32.15</v>
      </c>
      <c r="F13139" t="n">
        <v>1</v>
      </c>
      <c r="G13139" t="n">
        <v>2</v>
      </c>
      <c r="H13139" s="5">
        <f>HYPERLINK("https://api.qogita.com/variants/link/9007867761229/", "View Product")</f>
        <v/>
      </c>
    </row>
    <row r="13140">
      <c r="A13140" t="inlineStr">
        <is>
          <t>9007867763476</t>
        </is>
      </c>
      <c r="B13140" t="inlineStr">
        <is>
          <t>Juvena Sunsation Superior Antiaging Lotion Spf 30 150 Ml</t>
        </is>
      </c>
      <c r="C13140" t="inlineStr">
        <is>
          <t>Face Sun Protection</t>
        </is>
      </c>
      <c r="D13140" t="inlineStr">
        <is>
          <t>Juvena</t>
        </is>
      </c>
      <c r="E13140" t="n">
        <v>35.26</v>
      </c>
      <c r="F13140" t="n">
        <v>1</v>
      </c>
      <c r="G13140" t="n">
        <v>5</v>
      </c>
      <c r="H13140" s="5">
        <f>HYPERLINK("https://api.qogita.com/variants/link/9007867763476/", "View Product")</f>
        <v/>
      </c>
    </row>
    <row r="13141">
      <c r="A13141" t="inlineStr">
        <is>
          <t>9007867763582</t>
        </is>
      </c>
      <c r="B13141" t="inlineStr">
        <is>
          <t>Juvena Sunsation After Sun Tan Intensifier Lotion 150ml</t>
        </is>
      </c>
      <c r="C13141" t="inlineStr">
        <is>
          <t>Aftersun</t>
        </is>
      </c>
      <c r="D13141" t="inlineStr">
        <is>
          <t>Juvena</t>
        </is>
      </c>
      <c r="E13141" t="n">
        <v>33.09</v>
      </c>
      <c r="F13141" t="n">
        <v>1</v>
      </c>
      <c r="G13141" t="n">
        <v>12</v>
      </c>
      <c r="H13141" s="5">
        <f>HYPERLINK("https://api.qogita.com/variants/link/9007867763582/", "View Product")</f>
        <v/>
      </c>
    </row>
    <row r="13142">
      <c r="A13142" t="inlineStr">
        <is>
          <t>9007867765616</t>
        </is>
      </c>
      <c r="B13142" t="inlineStr">
        <is>
          <t>Juvena Juvelia Nutri-Restore Cream 50ml</t>
        </is>
      </c>
      <c r="C13142" t="inlineStr">
        <is>
          <t>Face Cream</t>
        </is>
      </c>
      <c r="D13142" t="inlineStr">
        <is>
          <t>Juvena</t>
        </is>
      </c>
      <c r="E13142" t="n">
        <v>58.3</v>
      </c>
      <c r="F13142" t="n">
        <v>1</v>
      </c>
      <c r="G13142" t="n">
        <v>2</v>
      </c>
      <c r="H13142" s="5">
        <f>HYPERLINK("https://api.qogita.com/variants/link/9007867765616/", "View Product")</f>
        <v/>
      </c>
    </row>
    <row r="13143">
      <c r="A13143" t="inlineStr">
        <is>
          <t>9007867766354</t>
        </is>
      </c>
      <c r="B13143" t="inlineStr">
        <is>
          <t>Juvena Juvenance Epigen Serum 30ml Lifting Antiwrinkle Serum For Face &amp; Eyes</t>
        </is>
      </c>
      <c r="C13143" t="inlineStr">
        <is>
          <t>Anti-Aging Serum</t>
        </is>
      </c>
      <c r="D13143" t="inlineStr">
        <is>
          <t>Juvena</t>
        </is>
      </c>
      <c r="E13143" t="n">
        <v>58</v>
      </c>
      <c r="F13143" t="n">
        <v>1</v>
      </c>
      <c r="G13143" t="n">
        <v>19</v>
      </c>
      <c r="H13143" s="5">
        <f>HYPERLINK("https://api.qogita.com/variants/link/9007867766354/", "View Product")</f>
        <v/>
      </c>
    </row>
    <row r="13144">
      <c r="A13144" t="inlineStr">
        <is>
          <t>9007867768372</t>
        </is>
      </c>
      <c r="B13144" t="inlineStr">
        <is>
          <t>Juvena Men Moisture Boost Shower &amp; Shampoo Gel 200ml</t>
        </is>
      </c>
      <c r="C13144" t="inlineStr">
        <is>
          <t>Shower Gel</t>
        </is>
      </c>
      <c r="D13144" t="inlineStr">
        <is>
          <t>Juvena</t>
        </is>
      </c>
      <c r="E13144" t="n">
        <v>17.6</v>
      </c>
      <c r="F13144" t="n">
        <v>1</v>
      </c>
      <c r="G13144" t="n">
        <v>14</v>
      </c>
      <c r="H13144" s="5">
        <f>HYPERLINK("https://api.qogita.com/variants/link/9007867768372/", "View Product")</f>
        <v/>
      </c>
    </row>
    <row r="13145">
      <c r="A13145" t="inlineStr">
        <is>
          <t>9120037353960</t>
        </is>
      </c>
      <c r="B13145" t="inlineStr">
        <is>
          <t>Susanne Kaufmann Nourishing Night Cream</t>
        </is>
      </c>
      <c r="C13145" t="inlineStr">
        <is>
          <t>Night Cream</t>
        </is>
      </c>
      <c r="D13145" t="inlineStr">
        <is>
          <t>Susanne Kaufmann</t>
        </is>
      </c>
      <c r="E13145" t="n">
        <v>64.95</v>
      </c>
      <c r="F13145" t="n">
        <v>1</v>
      </c>
      <c r="G13145" t="n">
        <v>2</v>
      </c>
      <c r="H13145" s="5">
        <f>HYPERLINK("https://api.qogita.com/variants/link/9120037353960/", "View Product")</f>
        <v/>
      </c>
    </row>
    <row r="13146">
      <c r="A13146" t="inlineStr">
        <is>
          <t>9339341016298</t>
        </is>
      </c>
      <c r="B13146" t="inlineStr">
        <is>
          <t>Kevin Murphy Blonde Angel Wash - 250ml</t>
        </is>
      </c>
      <c r="C13146" t="inlineStr">
        <is>
          <t>Shampoo</t>
        </is>
      </c>
      <c r="D13146" t="inlineStr">
        <is>
          <t>Kevin Murphy</t>
        </is>
      </c>
      <c r="E13146" t="n">
        <v>22.47</v>
      </c>
      <c r="F13146" t="n">
        <v>1</v>
      </c>
      <c r="G13146" t="n">
        <v>34</v>
      </c>
      <c r="H13146" s="5">
        <f>HYPERLINK("https://api.qogita.com/variants/link/9339341016298/", "View Product")</f>
        <v/>
      </c>
    </row>
    <row r="13147">
      <c r="A13147" t="inlineStr">
        <is>
          <t>9339341016342</t>
        </is>
      </c>
      <c r="B13147" t="inlineStr">
        <is>
          <t>Kevin Murphy Full Again Thickening Lotion 150ml</t>
        </is>
      </c>
      <c r="C13147" t="inlineStr">
        <is>
          <t>Hair Tonic</t>
        </is>
      </c>
      <c r="D13147" t="inlineStr">
        <is>
          <t>Kevin Murphy</t>
        </is>
      </c>
      <c r="E13147" t="n">
        <v>24.62</v>
      </c>
      <c r="F13147" t="n">
        <v>1</v>
      </c>
      <c r="G13147" t="n">
        <v>22</v>
      </c>
      <c r="H13147" s="5">
        <f>HYPERLINK("https://api.qogita.com/variants/link/9339341016342/", "View Product")</f>
        <v/>
      </c>
    </row>
    <row r="13148">
      <c r="A13148" t="inlineStr">
        <is>
          <t>9339341016854</t>
        </is>
      </c>
      <c r="B13148" t="inlineStr">
        <is>
          <t>Kevin Murphy Stimulate-Me.Wash for Hair and Scalp 1000ml 33.8oz</t>
        </is>
      </c>
      <c r="C13148" t="inlineStr">
        <is>
          <t>Shampoo</t>
        </is>
      </c>
      <c r="D13148" t="inlineStr">
        <is>
          <t>Kevin Murphy</t>
        </is>
      </c>
      <c r="E13148" t="n">
        <v>53</v>
      </c>
      <c r="F13148" t="n">
        <v>1</v>
      </c>
      <c r="G13148" t="n">
        <v>18</v>
      </c>
      <c r="H13148" s="5">
        <f>HYPERLINK("https://api.qogita.com/variants/link/9339341016854/", "View Product")</f>
        <v/>
      </c>
    </row>
    <row r="13149">
      <c r="A13149" t="inlineStr">
        <is>
          <t>9339341016878</t>
        </is>
      </c>
      <c r="B13149" t="inlineStr">
        <is>
          <t>Kevin Murphy Stimulateme Wash Stimulating Refreshing Shampoo 250ml</t>
        </is>
      </c>
      <c r="C13149" t="inlineStr">
        <is>
          <t>Shampoo</t>
        </is>
      </c>
      <c r="D13149" t="inlineStr">
        <is>
          <t>Kevin Murphy</t>
        </is>
      </c>
      <c r="E13149" t="n">
        <v>20.98</v>
      </c>
      <c r="F13149" t="n">
        <v>1</v>
      </c>
      <c r="G13149" t="n">
        <v>11</v>
      </c>
      <c r="H13149" s="5">
        <f>HYPERLINK("https://api.qogita.com/variants/link/9339341016878/", "View Product")</f>
        <v/>
      </c>
    </row>
    <row r="13150">
      <c r="A13150" t="inlineStr">
        <is>
          <t>9339341016984</t>
        </is>
      </c>
      <c r="B13150" t="inlineStr">
        <is>
          <t>Kevin Murphy Blonde Angel Treatment Strengthening Color Treatment For Blonde Hair 40ml</t>
        </is>
      </c>
      <c r="C13150" t="inlineStr">
        <is>
          <t>Conditioner</t>
        </is>
      </c>
      <c r="D13150" t="inlineStr">
        <is>
          <t>Kevin Murphy</t>
        </is>
      </c>
      <c r="E13150" t="n">
        <v>7.75</v>
      </c>
      <c r="F13150" t="n">
        <v>1</v>
      </c>
      <c r="G13150" t="n">
        <v>53</v>
      </c>
      <c r="H13150" s="5">
        <f>HYPERLINK("https://api.qogita.com/variants/link/9339341016984/", "View Product")</f>
        <v/>
      </c>
    </row>
    <row r="13151">
      <c r="A13151" t="inlineStr">
        <is>
          <t>9339341017073</t>
        </is>
      </c>
      <c r="B13151" t="inlineStr">
        <is>
          <t>Kevin Murphy Angel Rinse Conditioner For Colored Hair 250ml</t>
        </is>
      </c>
      <c r="C13151" t="inlineStr">
        <is>
          <t>Conditioner</t>
        </is>
      </c>
      <c r="D13151" t="inlineStr">
        <is>
          <t>Kevin Murphy</t>
        </is>
      </c>
      <c r="E13151" t="n">
        <v>20.89</v>
      </c>
      <c r="F13151" t="n">
        <v>1</v>
      </c>
      <c r="G13151" t="n">
        <v>5</v>
      </c>
      <c r="H13151" s="5">
        <f>HYPERLINK("https://api.qogita.com/variants/link/9339341017073/", "View Product")</f>
        <v/>
      </c>
    </row>
    <row r="13152">
      <c r="A13152" t="inlineStr">
        <is>
          <t>9339341017202</t>
        </is>
      </c>
      <c r="B13152" t="inlineStr">
        <is>
          <t>Kevin Murphy Cool Angel Cool Ash Color Enhancing Shine Treatment 1000 Ml</t>
        </is>
      </c>
      <c r="C13152" t="inlineStr">
        <is>
          <t>Hair Oil &amp; Hair Serum</t>
        </is>
      </c>
      <c r="D13152" t="inlineStr">
        <is>
          <t>Kevin Murphy</t>
        </is>
      </c>
      <c r="E13152" t="n">
        <v>62.59</v>
      </c>
      <c r="F13152" t="n">
        <v>1</v>
      </c>
      <c r="G13152" t="n">
        <v>4</v>
      </c>
      <c r="H13152" s="5">
        <f>HYPERLINK("https://api.qogita.com/variants/link/9339341017202/", "View Product")</f>
        <v/>
      </c>
    </row>
    <row r="13153">
      <c r="A13153" t="inlineStr">
        <is>
          <t>9339341017233</t>
        </is>
      </c>
      <c r="B13153" t="inlineStr">
        <is>
          <t>Kevin Murphy Crystal Angel Shampoo 1000ml</t>
        </is>
      </c>
      <c r="C13153" t="inlineStr">
        <is>
          <t>Shampoo</t>
        </is>
      </c>
      <c r="D13153" t="inlineStr">
        <is>
          <t>Kevin.Murphy</t>
        </is>
      </c>
      <c r="E13153" t="n">
        <v>58.05</v>
      </c>
      <c r="F13153" t="n">
        <v>1</v>
      </c>
      <c r="G13153" t="n">
        <v>13</v>
      </c>
      <c r="H13153" s="5">
        <f>HYPERLINK("https://api.qogita.com/variants/link/9339341017233/", "View Product")</f>
        <v/>
      </c>
    </row>
    <row r="13154">
      <c r="A13154" t="inlineStr">
        <is>
          <t>9339341017325</t>
        </is>
      </c>
      <c r="B13154" t="inlineStr">
        <is>
          <t>Kevin Murphy Repair Me Rinse Strengthening Conditioner 40ml</t>
        </is>
      </c>
      <c r="C13154" t="inlineStr">
        <is>
          <t>Conditioner</t>
        </is>
      </c>
      <c r="D13154" t="inlineStr">
        <is>
          <t>Kevin Murphy</t>
        </is>
      </c>
      <c r="E13154" t="n">
        <v>9.039999999999999</v>
      </c>
      <c r="F13154" t="n">
        <v>1</v>
      </c>
      <c r="G13154" t="n">
        <v>5</v>
      </c>
      <c r="H13154" s="5">
        <f>HYPERLINK("https://api.qogita.com/variants/link/9339341017325/", "View Product")</f>
        <v/>
      </c>
    </row>
    <row r="13155">
      <c r="A13155" t="inlineStr">
        <is>
          <t>9339341017400</t>
        </is>
      </c>
      <c r="B13155" t="inlineStr">
        <is>
          <t>Kevin Murphy Staying Alive Leave-In Treatment For Oily Hair 150ml</t>
        </is>
      </c>
      <c r="C13155" t="inlineStr">
        <is>
          <t>Leave-In Conditioner</t>
        </is>
      </c>
      <c r="D13155" t="inlineStr">
        <is>
          <t>Kevin Murphy</t>
        </is>
      </c>
      <c r="E13155" t="n">
        <v>21.61</v>
      </c>
      <c r="F13155" t="n">
        <v>1</v>
      </c>
      <c r="G13155" t="n">
        <v>6</v>
      </c>
      <c r="H13155" s="5">
        <f>HYPERLINK("https://api.qogita.com/variants/link/9339341017400/", "View Product")</f>
        <v/>
      </c>
    </row>
    <row r="13156">
      <c r="A13156" t="inlineStr">
        <is>
          <t>9339341017424</t>
        </is>
      </c>
      <c r="B13156" t="inlineStr">
        <is>
          <t>Kevin Murphy Hair Resort Spray 150ml - Adds Volume To Hair</t>
        </is>
      </c>
      <c r="C13156" t="inlineStr">
        <is>
          <t>Hairspray</t>
        </is>
      </c>
      <c r="D13156" t="inlineStr">
        <is>
          <t>Kevin Murphy</t>
        </is>
      </c>
      <c r="E13156" t="n">
        <v>23.26</v>
      </c>
      <c r="F13156" t="n">
        <v>1</v>
      </c>
      <c r="G13156" t="n">
        <v>29</v>
      </c>
      <c r="H13156" s="5">
        <f>HYPERLINK("https://api.qogita.com/variants/link/9339341017424/", "View Product")</f>
        <v/>
      </c>
    </row>
    <row r="13157">
      <c r="A13157" t="inlineStr">
        <is>
          <t>9339341017486</t>
        </is>
      </c>
      <c r="B13157" t="inlineStr">
        <is>
          <t>Kevin Murphy Fee Hold Hair Paste Medium Hold And Naturally Shining 100g</t>
        </is>
      </c>
      <c r="C13157" t="inlineStr">
        <is>
          <t>Styling Creams</t>
        </is>
      </c>
      <c r="D13157" t="inlineStr">
        <is>
          <t>Kevin Murphy</t>
        </is>
      </c>
      <c r="E13157" t="n">
        <v>26.12</v>
      </c>
      <c r="F13157" t="n">
        <v>1</v>
      </c>
      <c r="G13157" t="n">
        <v>8</v>
      </c>
      <c r="H13157" s="5">
        <f>HYPERLINK("https://api.qogita.com/variants/link/9339341017486/", "View Product")</f>
        <v/>
      </c>
    </row>
    <row r="13158">
      <c r="A13158" t="inlineStr">
        <is>
          <t>9339341017493</t>
        </is>
      </c>
      <c r="B13158" t="inlineStr">
        <is>
          <t>Kevin Murphy Plumping Rinse Thickening Conditioner 1000ml</t>
        </is>
      </c>
      <c r="C13158" t="inlineStr">
        <is>
          <t>Conditioner</t>
        </is>
      </c>
      <c r="D13158" t="inlineStr">
        <is>
          <t>Kevin Murphy</t>
        </is>
      </c>
      <c r="E13158" t="n">
        <v>73.02</v>
      </c>
      <c r="F13158" t="n">
        <v>1</v>
      </c>
      <c r="G13158" t="n">
        <v>5</v>
      </c>
      <c r="H13158" s="5">
        <f>HYPERLINK("https://api.qogita.com/variants/link/9339341017493/", "View Product")</f>
        <v/>
      </c>
    </row>
    <row r="13159">
      <c r="A13159" t="inlineStr">
        <is>
          <t>9339341017530</t>
        </is>
      </c>
      <c r="B13159" t="inlineStr">
        <is>
          <t>Kevin Murphy Hydrate Me Wash Shampoo Moisturizing And Smoothing Shampoo For Hair 1000ml</t>
        </is>
      </c>
      <c r="C13159" t="inlineStr">
        <is>
          <t>Shampoo</t>
        </is>
      </c>
      <c r="D13159" t="inlineStr">
        <is>
          <t>Kevin Murphy</t>
        </is>
      </c>
      <c r="E13159" t="n">
        <v>51.34</v>
      </c>
      <c r="F13159" t="n">
        <v>1</v>
      </c>
      <c r="G13159" t="n">
        <v>45</v>
      </c>
      <c r="H13159" s="5">
        <f>HYPERLINK("https://api.qogita.com/variants/link/9339341017530/", "View Product")</f>
        <v/>
      </c>
    </row>
    <row r="13160">
      <c r="A13160" t="inlineStr">
        <is>
          <t>9339341017547</t>
        </is>
      </c>
      <c r="B13160" t="inlineStr">
        <is>
          <t>Kevin Murphy Hydrateme Rinse Conditioner 250 Ml For Normal To Dry Hair</t>
        </is>
      </c>
      <c r="C13160" t="inlineStr">
        <is>
          <t>Conditioner</t>
        </is>
      </c>
      <c r="D13160" t="inlineStr">
        <is>
          <t>Kevin Murphy</t>
        </is>
      </c>
      <c r="E13160" t="n">
        <v>22.32</v>
      </c>
      <c r="F13160" t="n">
        <v>1</v>
      </c>
      <c r="G13160" t="n">
        <v>15</v>
      </c>
      <c r="H13160" s="5">
        <f>HYPERLINK("https://api.qogita.com/variants/link/9339341017547/", "View Product")</f>
        <v/>
      </c>
    </row>
    <row r="13161">
      <c r="A13161" t="inlineStr">
        <is>
          <t>9339341017561</t>
        </is>
      </c>
      <c r="B13161" t="inlineStr">
        <is>
          <t>Kevin Murphy Plumping Rinse Densifying Conditioner For Fine And Thinning Hair</t>
        </is>
      </c>
      <c r="C13161" t="inlineStr">
        <is>
          <t>Conditioner</t>
        </is>
      </c>
      <c r="D13161" t="inlineStr">
        <is>
          <t>Kevin Murphy</t>
        </is>
      </c>
      <c r="E13161" t="n">
        <v>6.6</v>
      </c>
      <c r="F13161" t="n">
        <v>1</v>
      </c>
      <c r="G13161" t="n">
        <v>3</v>
      </c>
      <c r="H13161" s="5">
        <f>HYPERLINK("https://api.qogita.com/variants/link/9339341017561/", "View Product")</f>
        <v/>
      </c>
    </row>
    <row r="13162">
      <c r="A13162" t="inlineStr">
        <is>
          <t>9339341017585</t>
        </is>
      </c>
      <c r="B13162" t="inlineStr">
        <is>
          <t>Kevin Murphy Hydrateme Rinse 40ml For Normal To Dry Hair</t>
        </is>
      </c>
      <c r="C13162" t="inlineStr">
        <is>
          <t>Conditioner</t>
        </is>
      </c>
      <c r="D13162" t="inlineStr">
        <is>
          <t>Kevin Murphy</t>
        </is>
      </c>
      <c r="E13162" t="n">
        <v>7.07</v>
      </c>
      <c r="F13162" t="n">
        <v>1</v>
      </c>
      <c r="G13162" t="n">
        <v>2</v>
      </c>
      <c r="H13162" s="5">
        <f>HYPERLINK("https://api.qogita.com/variants/link/9339341017585/", "View Product")</f>
        <v/>
      </c>
    </row>
    <row r="13163">
      <c r="A13163" t="inlineStr">
        <is>
          <t>9339341017646</t>
        </is>
      </c>
      <c r="B13163" t="inlineStr">
        <is>
          <t>Rough.Rider Moldable Styling Clay Strong Hold Hair Styling Paste 30g</t>
        </is>
      </c>
      <c r="C13163" t="inlineStr">
        <is>
          <t>Wax</t>
        </is>
      </c>
      <c r="D13163" t="inlineStr">
        <is>
          <t>Rough Rider</t>
        </is>
      </c>
      <c r="E13163" t="n">
        <v>11.42</v>
      </c>
      <c r="F13163" t="n">
        <v>1</v>
      </c>
      <c r="G13163" t="n">
        <v>9</v>
      </c>
      <c r="H13163" s="5">
        <f>HYPERLINK("https://api.qogita.com/variants/link/9339341017646/", "View Product")</f>
        <v/>
      </c>
    </row>
    <row r="13164">
      <c r="A13164" t="inlineStr">
        <is>
          <t>9339341017660</t>
        </is>
      </c>
      <c r="B13164" t="inlineStr">
        <is>
          <t>Kevin Murphy Night Rider 30g</t>
        </is>
      </c>
      <c r="C13164" t="inlineStr">
        <is>
          <t>Wax</t>
        </is>
      </c>
      <c r="D13164" t="inlineStr">
        <is>
          <t>Kevin Murphy</t>
        </is>
      </c>
      <c r="E13164" t="n">
        <v>8.31</v>
      </c>
      <c r="F13164" t="n">
        <v>1</v>
      </c>
      <c r="G13164" t="n">
        <v>17</v>
      </c>
      <c r="H13164" s="5">
        <f>HYPERLINK("https://api.qogita.com/variants/link/9339341017660/", "View Product")</f>
        <v/>
      </c>
    </row>
    <row r="13165">
      <c r="A13165" t="inlineStr">
        <is>
          <t>9339341018391</t>
        </is>
      </c>
      <c r="B13165" t="inlineStr">
        <is>
          <t>Kevin Murphy Re Store Repairing Cleansing Treatment - 40ml</t>
        </is>
      </c>
      <c r="C13165" t="inlineStr">
        <is>
          <t>Shampoo</t>
        </is>
      </c>
      <c r="D13165" t="inlineStr">
        <is>
          <t>Kevin Murphy</t>
        </is>
      </c>
      <c r="E13165" t="n">
        <v>7.84</v>
      </c>
      <c r="F13165" t="n">
        <v>1</v>
      </c>
      <c r="G13165" t="n">
        <v>24</v>
      </c>
      <c r="H13165" s="5">
        <f>HYPERLINK("https://api.qogita.com/variants/link/9339341018391/", "View Product")</f>
        <v/>
      </c>
    </row>
    <row r="13166">
      <c r="A13166" t="inlineStr">
        <is>
          <t>9339341019657</t>
        </is>
      </c>
      <c r="B13166" t="inlineStr">
        <is>
          <t>Kevin Murphy Young Again Wash Shampoo 250ml</t>
        </is>
      </c>
      <c r="C13166" t="inlineStr">
        <is>
          <t>Shampoo</t>
        </is>
      </c>
      <c r="D13166" t="inlineStr">
        <is>
          <t>Kevin Murphy</t>
        </is>
      </c>
      <c r="E13166" t="n">
        <v>23.21</v>
      </c>
      <c r="F13166" t="n">
        <v>1</v>
      </c>
      <c r="G13166" t="n">
        <v>6</v>
      </c>
      <c r="H13166" s="5">
        <f>HYPERLINK("https://api.qogita.com/variants/link/9339341019657/", "View Product")</f>
        <v/>
      </c>
    </row>
    <row r="13167">
      <c r="A13167" t="inlineStr">
        <is>
          <t>9339341020295</t>
        </is>
      </c>
      <c r="B13167" t="inlineStr">
        <is>
          <t>Kevin Murphy Thick.Again</t>
        </is>
      </c>
      <c r="C13167" t="inlineStr">
        <is>
          <t>Hair Tonic</t>
        </is>
      </c>
      <c r="D13167" t="inlineStr">
        <is>
          <t>Kevin Murphy</t>
        </is>
      </c>
      <c r="E13167" t="n">
        <v>32.08</v>
      </c>
      <c r="F13167" t="n">
        <v>1</v>
      </c>
      <c r="G13167" t="n">
        <v>16</v>
      </c>
      <c r="H13167" s="5">
        <f>HYPERLINK("https://api.qogita.com/variants/link/9339341020295/", "View Product")</f>
        <v/>
      </c>
    </row>
    <row r="13168">
      <c r="A13168" t="inlineStr">
        <is>
          <t>9339341022091</t>
        </is>
      </c>
      <c r="B13168" t="inlineStr">
        <is>
          <t>Kevin.Murphy Young.Again Dry Conditioner 100ml</t>
        </is>
      </c>
      <c r="C13168" t="inlineStr">
        <is>
          <t>Conditioner</t>
        </is>
      </c>
      <c r="D13168" t="inlineStr">
        <is>
          <t>Kevin.Murphy</t>
        </is>
      </c>
      <c r="E13168" t="n">
        <v>17</v>
      </c>
      <c r="F13168" t="n">
        <v>1</v>
      </c>
      <c r="G13168" t="n">
        <v>5</v>
      </c>
      <c r="H13168" s="5">
        <f>HYPERLINK("https://api.qogita.com/variants/link/9339341022091/", "View Product")</f>
        <v/>
      </c>
    </row>
    <row r="13169">
      <c r="A13169" t="inlineStr">
        <is>
          <t>9339341033707</t>
        </is>
      </c>
      <c r="B13169" t="inlineStr">
        <is>
          <t>Kevin Murphy Volume Antigravity Spray - 40 Ml For All Hair Types</t>
        </is>
      </c>
      <c r="C13169" t="inlineStr">
        <is>
          <t>Hairspray</t>
        </is>
      </c>
      <c r="D13169" t="inlineStr">
        <is>
          <t>Kevin Murphy</t>
        </is>
      </c>
      <c r="E13169" t="n">
        <v>7.64</v>
      </c>
      <c r="F13169" t="n">
        <v>1</v>
      </c>
      <c r="G13169" t="n">
        <v>3</v>
      </c>
      <c r="H13169" s="5">
        <f>HYPERLINK("https://api.qogita.com/variants/link/9339341033707/", "View Product")</f>
        <v/>
      </c>
    </row>
    <row r="13170">
      <c r="A13170" t="inlineStr">
        <is>
          <t>9339341035480</t>
        </is>
      </c>
      <c r="B13170" t="inlineStr">
        <is>
          <t>Kevin Murphy Everlastingcolour Treatment Home Kit Strengthening Treatment For Colored Hair</t>
        </is>
      </c>
      <c r="C13170" t="inlineStr">
        <is>
          <t>Hair Care Sets</t>
        </is>
      </c>
      <c r="D13170" t="inlineStr">
        <is>
          <t>Kevin Murphy</t>
        </is>
      </c>
      <c r="E13170" t="n">
        <v>33.76</v>
      </c>
      <c r="F13170" t="n">
        <v>1</v>
      </c>
      <c r="G13170" t="n">
        <v>14</v>
      </c>
      <c r="H13170" s="5">
        <f>HYPERLINK("https://api.qogita.com/variants/link/9339341035480/", "View Product")</f>
        <v/>
      </c>
    </row>
    <row r="13171">
      <c r="A13171" t="inlineStr">
        <is>
          <t>9339341035985</t>
        </is>
      </c>
      <c r="B13171" t="inlineStr">
        <is>
          <t>Kevin Murphy Blow Dry Wash Nourishing And Repairing Shampoo 250ml</t>
        </is>
      </c>
      <c r="C13171" t="inlineStr">
        <is>
          <t>Shampoo</t>
        </is>
      </c>
      <c r="D13171" t="inlineStr">
        <is>
          <t>Kevin Murphy</t>
        </is>
      </c>
      <c r="E13171" t="n">
        <v>21.57</v>
      </c>
      <c r="F13171" t="n">
        <v>1</v>
      </c>
      <c r="G13171" t="n">
        <v>25</v>
      </c>
      <c r="H13171" s="5">
        <f>HYPERLINK("https://api.qogita.com/variants/link/9339341035985/", "View Product")</f>
        <v/>
      </c>
    </row>
    <row r="13172">
      <c r="A13172" t="inlineStr">
        <is>
          <t>9339341037521</t>
        </is>
      </c>
      <c r="B13172" t="inlineStr">
        <is>
          <t>Kevin Murphy Killer Curls Rinse Strengthening Conditioner For Curly Hair 250ml</t>
        </is>
      </c>
      <c r="C13172" t="inlineStr">
        <is>
          <t>Conditioner</t>
        </is>
      </c>
      <c r="D13172" t="inlineStr">
        <is>
          <t>Kevin Murphy</t>
        </is>
      </c>
      <c r="E13172" t="n">
        <v>22.49</v>
      </c>
      <c r="F13172" t="n">
        <v>1</v>
      </c>
      <c r="G13172" t="n">
        <v>6</v>
      </c>
      <c r="H13172" s="5">
        <f>HYPERLINK("https://api.qogita.com/variants/link/9339341037521/", "View Product")</f>
        <v/>
      </c>
    </row>
    <row r="13173">
      <c r="A13173" t="inlineStr">
        <is>
          <t>9339341060048</t>
        </is>
      </c>
      <c r="B13173" t="inlineStr">
        <is>
          <t>Kevin Murphy Smooth Again Rinse 1000ml</t>
        </is>
      </c>
      <c r="C13173" t="inlineStr">
        <is>
          <t>Conditioner</t>
        </is>
      </c>
      <c r="D13173" t="inlineStr">
        <is>
          <t>Kevin Murphy</t>
        </is>
      </c>
      <c r="E13173" t="n">
        <v>54.47</v>
      </c>
      <c r="F13173" t="n">
        <v>1</v>
      </c>
      <c r="G13173" t="n">
        <v>9</v>
      </c>
      <c r="H13173" s="5">
        <f>HYPERLINK("https://api.qogita.com/variants/link/9339341060048/", "View Product")</f>
        <v/>
      </c>
    </row>
    <row r="13174">
      <c r="A13174" t="inlineStr">
        <is>
          <t>9339341060383</t>
        </is>
      </c>
      <c r="B13174" t="inlineStr">
        <is>
          <t>Kevin Murphy Fresh Hair Dry Shampoo - 250 Ml</t>
        </is>
      </c>
      <c r="C13174" t="inlineStr">
        <is>
          <t>Dry Shampoo</t>
        </is>
      </c>
      <c r="D13174" t="inlineStr">
        <is>
          <t>Kevin Murphy</t>
        </is>
      </c>
      <c r="E13174" t="n">
        <v>22.81</v>
      </c>
      <c r="F13174" t="n">
        <v>1</v>
      </c>
      <c r="G13174" t="n">
        <v>29</v>
      </c>
      <c r="H13174" s="5">
        <f>HYPERLINK("https://api.qogita.com/variants/link/9339341060383/", "View Product")</f>
        <v/>
      </c>
    </row>
    <row r="13175">
      <c r="A13175" t="inlineStr">
        <is>
          <t>9339341061748</t>
        </is>
      </c>
      <c r="B13175" t="inlineStr">
        <is>
          <t>Kevin Murphy Super Goo Rubber Sculpting Gel 100g</t>
        </is>
      </c>
      <c r="C13175" t="inlineStr">
        <is>
          <t>Gel</t>
        </is>
      </c>
      <c r="D13175" t="inlineStr">
        <is>
          <t>Kevin Murphy</t>
        </is>
      </c>
      <c r="E13175" t="n">
        <v>21.54</v>
      </c>
      <c r="F13175" t="n">
        <v>1</v>
      </c>
      <c r="G13175" t="n">
        <v>5</v>
      </c>
      <c r="H13175" s="5">
        <f>HYPERLINK("https://api.qogita.com/variants/link/9339341061748/", "View Product")</f>
        <v/>
      </c>
    </row>
    <row r="13176">
      <c r="A13176" t="inlineStr">
        <is>
          <t>9339341062028</t>
        </is>
      </c>
      <c r="B13176" t="inlineStr">
        <is>
          <t>Kevin Murphy Hair Resort Spray - 150ml</t>
        </is>
      </c>
      <c r="C13176" t="inlineStr">
        <is>
          <t>Hairspray</t>
        </is>
      </c>
      <c r="D13176" t="inlineStr">
        <is>
          <t>Kevin Murphy</t>
        </is>
      </c>
      <c r="E13176" t="n">
        <v>22.48</v>
      </c>
      <c r="F13176" t="n">
        <v>1</v>
      </c>
      <c r="G13176" t="n">
        <v>5</v>
      </c>
      <c r="H13176" s="5">
        <f>HYPERLINK("https://api.qogita.com/variants/link/9339341062028/", "View Product")</f>
        <v/>
      </c>
    </row>
    <row r="13177">
      <c r="A13177" t="inlineStr">
        <is>
          <t>9340800007535</t>
        </is>
      </c>
      <c r="B13177" t="inlineStr">
        <is>
          <t>Grown Alchemist Soothing Hand Cream Cactus Flower Cedarwood Atlas Tri-Hyaluronan Complex 65mL</t>
        </is>
      </c>
      <c r="C13177" t="inlineStr">
        <is>
          <t>Hand Cream</t>
        </is>
      </c>
      <c r="D13177" t="inlineStr">
        <is>
          <t>Grown Alchemist</t>
        </is>
      </c>
      <c r="E13177" t="n">
        <v>19.29</v>
      </c>
      <c r="F13177" t="n">
        <v>1</v>
      </c>
      <c r="G13177" t="n">
        <v>4</v>
      </c>
      <c r="H13177" s="5">
        <f>HYPERLINK("https://api.qogita.com/variants/link/9340800007535/", "View Product")</f>
        <v/>
      </c>
    </row>
    <row r="13178">
      <c r="A13178" t="inlineStr">
        <is>
          <t>9347108007779</t>
        </is>
      </c>
      <c r="B13178" t="inlineStr">
        <is>
          <t>Minetan Personal Spray Tan Kit Black Selftanning Gun Bronze Babe</t>
        </is>
      </c>
      <c r="C13178" t="inlineStr">
        <is>
          <t>Body Self-Tanner</t>
        </is>
      </c>
      <c r="D13178" t="inlineStr">
        <is>
          <t>Minetan</t>
        </is>
      </c>
      <c r="E13178" t="n">
        <v>137.98</v>
      </c>
      <c r="F13178" t="n">
        <v>1</v>
      </c>
      <c r="G13178" t="n">
        <v>3</v>
      </c>
      <c r="H13178" s="5">
        <f>HYPERLINK("https://api.qogita.com/variants/link/9347108007779/", "View Product")</f>
        <v/>
      </c>
    </row>
    <row r="13179">
      <c r="A13179" t="inlineStr">
        <is>
          <t>9347108049144</t>
        </is>
      </c>
      <c r="B13179" t="inlineStr">
        <is>
          <t>Minetan Illuminating Selftanning Drops 40 Ml</t>
        </is>
      </c>
      <c r="C13179" t="inlineStr">
        <is>
          <t>Body Self-Tanner</t>
        </is>
      </c>
      <c r="D13179" t="inlineStr">
        <is>
          <t>Minetan</t>
        </is>
      </c>
      <c r="E13179" t="n">
        <v>28.8</v>
      </c>
      <c r="F13179" t="n">
        <v>1</v>
      </c>
      <c r="G13179" t="n">
        <v>2</v>
      </c>
      <c r="H13179" s="5">
        <f>HYPERLINK("https://api.qogita.com/variants/link/9347108049144/", "View Product")</f>
        <v/>
      </c>
    </row>
    <row r="13180">
      <c r="A13180" t="inlineStr">
        <is>
          <t>0000085959057</t>
        </is>
      </c>
      <c r="B13180" t="inlineStr">
        <is>
          <t>Dermacol True Colour Lipliner 436 No.1</t>
        </is>
      </c>
      <c r="C13180" t="inlineStr">
        <is>
          <t>Lip Liner</t>
        </is>
      </c>
      <c r="D13180" t="inlineStr">
        <is>
          <t>Dermacol</t>
        </is>
      </c>
      <c r="E13180" t="n">
        <v>3.06</v>
      </c>
      <c r="F13180" t="n">
        <v>1</v>
      </c>
      <c r="G13180" t="n">
        <v>7</v>
      </c>
      <c r="H13180" s="5">
        <f>HYPERLINK("https://api.qogita.com/variants/link/0000085959057/", "View Product")</f>
        <v/>
      </c>
    </row>
    <row r="13181">
      <c r="A13181" t="inlineStr">
        <is>
          <t>0000085959132</t>
        </is>
      </c>
      <c r="B13181" t="inlineStr">
        <is>
          <t>Eyeliner 12h True Colour N05 Green</t>
        </is>
      </c>
      <c r="C13181" t="inlineStr">
        <is>
          <t>Eyeliner</t>
        </is>
      </c>
      <c r="D13181" t="inlineStr">
        <is>
          <t>Dermacol</t>
        </is>
      </c>
      <c r="E13181" t="n">
        <v>3.35</v>
      </c>
      <c r="F13181" t="n">
        <v>1</v>
      </c>
      <c r="G13181" t="n">
        <v>4</v>
      </c>
      <c r="H13181" s="5">
        <f>HYPERLINK("https://api.qogita.com/variants/link/0000085959132/", "View Product")</f>
        <v/>
      </c>
    </row>
    <row r="13182">
      <c r="A13182" t="inlineStr">
        <is>
          <t>0000085960145</t>
        </is>
      </c>
      <c r="B13182" t="inlineStr">
        <is>
          <t>Dermacol Transparent Fixing Powder 13g White</t>
        </is>
      </c>
      <c r="C13182" t="inlineStr">
        <is>
          <t>Powder</t>
        </is>
      </c>
      <c r="D13182" t="inlineStr">
        <is>
          <t>Dermacol</t>
        </is>
      </c>
      <c r="E13182" t="n">
        <v>10.87</v>
      </c>
      <c r="F13182" t="n">
        <v>1</v>
      </c>
      <c r="G13182" t="n">
        <v>2</v>
      </c>
      <c r="H13182" s="5">
        <f>HYPERLINK("https://api.qogita.com/variants/link/0000085960145/", "View Product")</f>
        <v/>
      </c>
    </row>
    <row r="13183">
      <c r="A13183" t="inlineStr">
        <is>
          <t>0000085960473</t>
        </is>
      </c>
      <c r="B13183" t="inlineStr">
        <is>
          <t>Matte Mania Liquid Lip Colour No.55</t>
        </is>
      </c>
      <c r="C13183" t="inlineStr">
        <is>
          <t>Lipstick</t>
        </is>
      </c>
      <c r="D13183" t="inlineStr">
        <is>
          <t>Dermacol</t>
        </is>
      </c>
      <c r="E13183" t="n">
        <v>5.19</v>
      </c>
      <c r="F13183" t="n">
        <v>1</v>
      </c>
      <c r="G13183" t="n">
        <v>9</v>
      </c>
      <c r="H13183" s="5">
        <f>HYPERLINK("https://api.qogita.com/variants/link/0000085960473/", "View Product")</f>
        <v/>
      </c>
    </row>
    <row r="13184">
      <c r="A13184" t="inlineStr">
        <is>
          <t>0000085966734</t>
        </is>
      </c>
      <c r="B13184" t="inlineStr">
        <is>
          <t>24H Control Make-up No. 70</t>
        </is>
      </c>
      <c r="C13184" t="inlineStr">
        <is>
          <t>Foundation</t>
        </is>
      </c>
      <c r="D13184" t="inlineStr">
        <is>
          <t>Dermacol</t>
        </is>
      </c>
      <c r="E13184" t="n">
        <v>8.130000000000001</v>
      </c>
      <c r="F13184" t="n">
        <v>1</v>
      </c>
      <c r="G13184" t="n">
        <v>17</v>
      </c>
      <c r="H13184" s="5">
        <f>HYPERLINK("https://api.qogita.com/variants/link/0000085966734/", "View Product")</f>
        <v/>
      </c>
    </row>
    <row r="13185">
      <c r="A13185" t="inlineStr">
        <is>
          <t>0000085967007</t>
        </is>
      </c>
      <c r="B13185" t="inlineStr">
        <is>
          <t>Dermacol 16H Matic Eyeliner no.5 Anthracite</t>
        </is>
      </c>
      <c r="C13185" t="inlineStr">
        <is>
          <t>Eyeliner</t>
        </is>
      </c>
      <c r="D13185" t="inlineStr">
        <is>
          <t>Dermacol</t>
        </is>
      </c>
      <c r="E13185" t="n">
        <v>3.85</v>
      </c>
      <c r="F13185" t="n">
        <v>1</v>
      </c>
      <c r="G13185" t="n">
        <v>12</v>
      </c>
      <c r="H13185" s="5">
        <f>HYPERLINK("https://api.qogita.com/variants/link/0000085967007/", "View Product")</f>
        <v/>
      </c>
    </row>
    <row r="13186">
      <c r="A13186" t="inlineStr">
        <is>
          <t>0000085971394</t>
        </is>
      </c>
      <c r="B13186" t="inlineStr">
        <is>
          <t>Dermacol Acne Cover Makeup 30ml</t>
        </is>
      </c>
      <c r="C13186" t="inlineStr">
        <is>
          <t>Camouflage Makeup</t>
        </is>
      </c>
      <c r="D13186" t="inlineStr">
        <is>
          <t>Dermacol</t>
        </is>
      </c>
      <c r="E13186" t="n">
        <v>4.43</v>
      </c>
      <c r="F13186" t="n">
        <v>1</v>
      </c>
      <c r="G13186" t="n">
        <v>13</v>
      </c>
      <c r="H13186" s="5">
        <f>HYPERLINK("https://api.qogita.com/variants/link/0000085971394/", "View Product")</f>
        <v/>
      </c>
    </row>
    <row r="13187">
      <c r="A13187" t="inlineStr">
        <is>
          <t>0000085971905</t>
        </is>
      </c>
      <c r="B13187" t="inlineStr">
        <is>
          <t>Dermacol Eyebrow Pencil Perfector 3</t>
        </is>
      </c>
      <c r="C13187" t="inlineStr">
        <is>
          <t>Eyebrow Pencil</t>
        </is>
      </c>
      <c r="D13187" t="inlineStr">
        <is>
          <t>Dermacol</t>
        </is>
      </c>
      <c r="E13187" t="n">
        <v>4.83</v>
      </c>
      <c r="F13187" t="n">
        <v>1</v>
      </c>
      <c r="G13187" t="n">
        <v>4</v>
      </c>
      <c r="H13187" s="5">
        <f>HYPERLINK("https://api.qogita.com/variants/link/0000085971905/", "View Product")</f>
        <v/>
      </c>
    </row>
    <row r="13188">
      <c r="A13188" t="inlineStr">
        <is>
          <t>0000085972728</t>
        </is>
      </c>
      <c r="B13188" t="inlineStr">
        <is>
          <t>3D Mono Eyeshadows 2g Shade 01 Matt Panna Cotta</t>
        </is>
      </c>
      <c r="C13188" t="inlineStr">
        <is>
          <t>Eyeshadow</t>
        </is>
      </c>
      <c r="D13188" t="inlineStr">
        <is>
          <t>Dermacol</t>
        </is>
      </c>
      <c r="E13188" t="n">
        <v>5.23</v>
      </c>
      <c r="F13188" t="n">
        <v>1</v>
      </c>
      <c r="G13188" t="n">
        <v>4</v>
      </c>
      <c r="H13188" s="5">
        <f>HYPERLINK("https://api.qogita.com/variants/link/0000085972728/", "View Product")</f>
        <v/>
      </c>
    </row>
    <row r="13189">
      <c r="A13189" t="inlineStr">
        <is>
          <t>0000085972766</t>
        </is>
      </c>
      <c r="B13189" t="inlineStr">
        <is>
          <t>3D Mono Eyeshadows 2g Shade 05 Matt Chocobons</t>
        </is>
      </c>
      <c r="C13189" t="inlineStr">
        <is>
          <t>Eyeshadow</t>
        </is>
      </c>
      <c r="D13189" t="inlineStr">
        <is>
          <t>Dermacol</t>
        </is>
      </c>
      <c r="E13189" t="n">
        <v>6.33</v>
      </c>
      <c r="F13189" t="n">
        <v>1</v>
      </c>
      <c r="G13189" t="n">
        <v>4</v>
      </c>
      <c r="H13189" s="5">
        <f>HYPERLINK("https://api.qogita.com/variants/link/0000085972766/", "View Product")</f>
        <v/>
      </c>
    </row>
    <row r="13190">
      <c r="A13190" t="inlineStr">
        <is>
          <t>0000085972834</t>
        </is>
      </c>
      <c r="B13190" t="inlineStr">
        <is>
          <t>Dermacol 24H Long-Lasting Powder and Foundation</t>
        </is>
      </c>
      <c r="C13190" t="inlineStr">
        <is>
          <t>Foundation</t>
        </is>
      </c>
      <c r="D13190" t="inlineStr">
        <is>
          <t>Dermacol</t>
        </is>
      </c>
      <c r="E13190" t="n">
        <v>7.89</v>
      </c>
      <c r="F13190" t="n">
        <v>1</v>
      </c>
      <c r="G13190" t="n">
        <v>5</v>
      </c>
      <c r="H13190" s="5">
        <f>HYPERLINK("https://api.qogita.com/variants/link/0000085972834/", "View Product")</f>
        <v/>
      </c>
    </row>
    <row r="13191">
      <c r="A13191" t="inlineStr">
        <is>
          <t>0000085972858</t>
        </is>
      </c>
      <c r="B13191" t="inlineStr">
        <is>
          <t>Dermacol 24H Long-Lasting Powder and Foundation</t>
        </is>
      </c>
      <c r="C13191" t="inlineStr">
        <is>
          <t>Foundation</t>
        </is>
      </c>
      <c r="D13191" t="inlineStr">
        <is>
          <t>Dermacol</t>
        </is>
      </c>
      <c r="E13191" t="n">
        <v>7.89</v>
      </c>
      <c r="F13191" t="n">
        <v>1</v>
      </c>
      <c r="G13191" t="n">
        <v>9</v>
      </c>
      <c r="H13191" s="5">
        <f>HYPERLINK("https://api.qogita.com/variants/link/0000085972858/", "View Product")</f>
        <v/>
      </c>
    </row>
    <row r="13192">
      <c r="A13192" t="inlineStr">
        <is>
          <t>0000085973046</t>
        </is>
      </c>
      <c r="B13192" t="inlineStr">
        <is>
          <t>Xtreme Hardener Base Coat 11ml</t>
        </is>
      </c>
      <c r="C13192" t="inlineStr">
        <is>
          <t>Base Coat</t>
        </is>
      </c>
      <c r="D13192" t="inlineStr">
        <is>
          <t>Dermacol</t>
        </is>
      </c>
      <c r="E13192" t="n">
        <v>3.5</v>
      </c>
      <c r="F13192" t="n">
        <v>1</v>
      </c>
      <c r="G13192" t="n">
        <v>5</v>
      </c>
      <c r="H13192" s="5">
        <f>HYPERLINK("https://api.qogita.com/variants/link/0000085973046/", "View Product")</f>
        <v/>
      </c>
    </row>
    <row r="13193">
      <c r="A13193" t="inlineStr">
        <is>
          <t>0000085973145</t>
        </is>
      </c>
      <c r="B13193" t="inlineStr">
        <is>
          <t>Dermacol Cover Xtreme Corrector Contour Stick SPF30 High Coverage Lightweight Formula for Correcting Dark Circles for Acne-Prone Skin No. 4 (218)</t>
        </is>
      </c>
      <c r="C13193" t="inlineStr">
        <is>
          <t>Concealer</t>
        </is>
      </c>
      <c r="D13193" t="inlineStr">
        <is>
          <t>Dermacol</t>
        </is>
      </c>
      <c r="E13193" t="n">
        <v>7.07</v>
      </c>
      <c r="F13193" t="n">
        <v>1</v>
      </c>
      <c r="G13193" t="n">
        <v>6</v>
      </c>
      <c r="H13193" s="5">
        <f>HYPERLINK("https://api.qogita.com/variants/link/0000085973145/", "View Product")</f>
        <v/>
      </c>
    </row>
    <row r="13194">
      <c r="A13194" t="inlineStr">
        <is>
          <t>0000085974203</t>
        </is>
      </c>
      <c r="B13194" t="inlineStr">
        <is>
          <t>Tea Tree Oil AcneCover Bleaching Concealer Shade 1</t>
        </is>
      </c>
      <c r="C13194" t="inlineStr">
        <is>
          <t>Concealer</t>
        </is>
      </c>
      <c r="D13194" t="inlineStr">
        <is>
          <t>Dermacol</t>
        </is>
      </c>
      <c r="E13194" t="n">
        <v>3.96</v>
      </c>
      <c r="F13194" t="n">
        <v>1</v>
      </c>
      <c r="G13194" t="n">
        <v>12</v>
      </c>
      <c r="H13194" s="5">
        <f>HYPERLINK("https://api.qogita.com/variants/link/0000085974203/", "View Product")</f>
        <v/>
      </c>
    </row>
    <row r="13195">
      <c r="A13195" t="inlineStr">
        <is>
          <t>0000085974272</t>
        </is>
      </c>
      <c r="B13195" t="inlineStr">
        <is>
          <t>BB Hyaluronic Cream All in One SPF 30 (Hyaluronic Cream) 30 ml Shade Sand</t>
        </is>
      </c>
      <c r="C13195" t="inlineStr">
        <is>
          <t>Tinted Day Cream</t>
        </is>
      </c>
      <c r="D13195" t="inlineStr">
        <is>
          <t>Dermacol</t>
        </is>
      </c>
      <c r="E13195" t="n">
        <v>6.66</v>
      </c>
      <c r="F13195" t="n">
        <v>1</v>
      </c>
      <c r="G13195" t="n">
        <v>8</v>
      </c>
      <c r="H13195" s="5">
        <f>HYPERLINK("https://api.qogita.com/variants/link/0000085974272/", "View Product")</f>
        <v/>
      </c>
    </row>
    <row r="13196">
      <c r="A13196" t="inlineStr">
        <is>
          <t>0000085974302</t>
        </is>
      </c>
      <c r="B13196" t="inlineStr">
        <is>
          <t>Dermacol BB Beauty Balance Cream 8 IN 1 krem bb 2 Nude SPF15 30ml W</t>
        </is>
      </c>
      <c r="C13196" t="inlineStr">
        <is>
          <t>Tinted Day Cream</t>
        </is>
      </c>
      <c r="D13196" t="inlineStr">
        <is>
          <t>Dermacol</t>
        </is>
      </c>
      <c r="E13196" t="n">
        <v>5.55</v>
      </c>
      <c r="F13196" t="n">
        <v>1</v>
      </c>
      <c r="G13196" t="n">
        <v>13</v>
      </c>
      <c r="H13196" s="5">
        <f>HYPERLINK("https://api.qogita.com/variants/link/0000085974302/", "View Product")</f>
        <v/>
      </c>
    </row>
    <row r="13197">
      <c r="A13197" t="inlineStr">
        <is>
          <t>0000085974319</t>
        </is>
      </c>
      <c r="B13197" t="inlineStr">
        <is>
          <t>Dermacol BB Beauty Balance Cream 8 IN 1 krem bb 3 Shell SPF 15 30ml W</t>
        </is>
      </c>
      <c r="C13197" t="inlineStr">
        <is>
          <t>Tinted Day Cream</t>
        </is>
      </c>
      <c r="D13197" t="inlineStr">
        <is>
          <t>Dermacol</t>
        </is>
      </c>
      <c r="E13197" t="n">
        <v>5.34</v>
      </c>
      <c r="F13197" t="n">
        <v>1</v>
      </c>
      <c r="G13197" t="n">
        <v>3</v>
      </c>
      <c r="H13197" s="5">
        <f>HYPERLINK("https://api.qogita.com/variants/link/0000085974319/", "View Product")</f>
        <v/>
      </c>
    </row>
    <row r="13198">
      <c r="A13198" t="inlineStr">
        <is>
          <t>0000085974661</t>
        </is>
      </c>
      <c r="B13198" t="inlineStr">
        <is>
          <t>Dermacol Waterproof Micro Eyeliner Brown No. 02</t>
        </is>
      </c>
      <c r="C13198" t="inlineStr">
        <is>
          <t>Eyeliner</t>
        </is>
      </c>
      <c r="D13198" t="inlineStr">
        <is>
          <t>Dermacol</t>
        </is>
      </c>
      <c r="E13198" t="n">
        <v>3.2</v>
      </c>
      <c r="F13198" t="n">
        <v>1</v>
      </c>
      <c r="G13198" t="n">
        <v>5</v>
      </c>
      <c r="H13198" s="5">
        <f>HYPERLINK("https://api.qogita.com/variants/link/0000085974661/", "View Product")</f>
        <v/>
      </c>
    </row>
    <row r="13199">
      <c r="A13199" t="inlineStr">
        <is>
          <t>0000085975026</t>
        </is>
      </c>
      <c r="B13199" t="inlineStr">
        <is>
          <t>Dermacol Eyebrow Lifting Gel Color No. 01 Transparent Fixing Gel</t>
        </is>
      </c>
      <c r="C13199" t="inlineStr">
        <is>
          <t>Eyebrow Gel</t>
        </is>
      </c>
      <c r="D13199" t="inlineStr">
        <is>
          <t>Dermacol</t>
        </is>
      </c>
      <c r="E13199" t="n">
        <v>4.83</v>
      </c>
      <c r="F13199" t="n">
        <v>1</v>
      </c>
      <c r="G13199" t="n">
        <v>16</v>
      </c>
      <c r="H13199" s="5">
        <f>HYPERLINK("https://api.qogita.com/variants/link/0000085975026/", "View Product")</f>
        <v/>
      </c>
    </row>
    <row r="13200">
      <c r="A13200" t="inlineStr">
        <is>
          <t>0000085975040</t>
        </is>
      </c>
      <c r="B13200" t="inlineStr">
        <is>
          <t>Eyebrow Lifting Liquid Wax (Eyebrow Fixing Mascara) 5 ml Shade 03</t>
        </is>
      </c>
      <c r="C13200" t="inlineStr">
        <is>
          <t>Eyebrow Gel</t>
        </is>
      </c>
      <c r="D13200" t="inlineStr">
        <is>
          <t>Dermacol</t>
        </is>
      </c>
      <c r="E13200" t="n">
        <v>4.83</v>
      </c>
      <c r="F13200" t="n">
        <v>1</v>
      </c>
      <c r="G13200" t="n">
        <v>7</v>
      </c>
      <c r="H13200" s="5">
        <f>HYPERLINK("https://api.qogita.com/variants/link/0000085975040/", "View Product")</f>
        <v/>
      </c>
    </row>
    <row r="13201">
      <c r="A13201" t="inlineStr">
        <is>
          <t>0000085975286</t>
        </is>
      </c>
      <c r="B13201" t="inlineStr">
        <is>
          <t>Matte Liquid Lipstick Hyaluron Hysteria Shade 07</t>
        </is>
      </c>
      <c r="C13201" t="inlineStr">
        <is>
          <t>Lipstick</t>
        </is>
      </c>
      <c r="D13201" t="inlineStr">
        <is>
          <t>Dermacol</t>
        </is>
      </c>
      <c r="E13201" t="n">
        <v>5.18</v>
      </c>
      <c r="F13201" t="n">
        <v>1</v>
      </c>
      <c r="G13201" t="n">
        <v>3</v>
      </c>
      <c r="H13201" s="5">
        <f>HYPERLINK("https://api.qogita.com/variants/link/0000085975286/", "View Product")</f>
        <v/>
      </c>
    </row>
    <row r="13202">
      <c r="A13202" t="inlineStr">
        <is>
          <t>0000085975491</t>
        </is>
      </c>
      <c r="B13202" t="inlineStr">
        <is>
          <t>Pure 3D Nail Polish 11 ml - Shade 02 Absolute White by Natural</t>
        </is>
      </c>
      <c r="C13202" t="inlineStr">
        <is>
          <t>Nail Polish</t>
        </is>
      </c>
      <c r="D13202" t="inlineStr">
        <is>
          <t>Pure</t>
        </is>
      </c>
      <c r="E13202" t="n">
        <v>4.62</v>
      </c>
      <c r="F13202" t="n">
        <v>1</v>
      </c>
      <c r="G13202" t="n">
        <v>5</v>
      </c>
      <c r="H13202" s="5">
        <f>HYPERLINK("https://api.qogita.com/variants/link/0000085975491/", "View Product")</f>
        <v/>
      </c>
    </row>
    <row r="13203">
      <c r="A13203" t="inlineStr">
        <is>
          <t>0000085975569</t>
        </is>
      </c>
      <c r="B13203" t="inlineStr">
        <is>
          <t>Long-lasting Two-Phase Lip Color and Gloss 16H Lip Color (Extreme Long-Lasting Lipstick) 4 + 4 ml Shade 3</t>
        </is>
      </c>
      <c r="C13203" t="inlineStr">
        <is>
          <t>Lipstick</t>
        </is>
      </c>
      <c r="D13203" t="inlineStr">
        <is>
          <t>Dermacol</t>
        </is>
      </c>
      <c r="E13203" t="n">
        <v>8.210000000000001</v>
      </c>
      <c r="F13203" t="n">
        <v>1</v>
      </c>
      <c r="G13203" t="n">
        <v>2</v>
      </c>
      <c r="H13203" s="5">
        <f>HYPERLINK("https://api.qogita.com/variants/link/0000085975569/", "View Product")</f>
        <v/>
      </c>
    </row>
    <row r="13204">
      <c r="A13204" t="inlineStr">
        <is>
          <t>0000085975620</t>
        </is>
      </c>
      <c r="B13204" t="inlineStr">
        <is>
          <t>Long-lasting Two-Phase Lip Color and Gloss 16H Lip Color (Extreme Long-Lasting Lipstick) 4 + 4 ml Shade 12</t>
        </is>
      </c>
      <c r="C13204" t="inlineStr">
        <is>
          <t>Lipstick</t>
        </is>
      </c>
      <c r="D13204" t="inlineStr">
        <is>
          <t>Dermacol</t>
        </is>
      </c>
      <c r="E13204" t="n">
        <v>9.31</v>
      </c>
      <c r="F13204" t="n">
        <v>1</v>
      </c>
      <c r="G13204" t="n">
        <v>5</v>
      </c>
      <c r="H13204" s="5">
        <f>HYPERLINK("https://api.qogita.com/variants/link/0000085975620/", "View Product")</f>
        <v/>
      </c>
    </row>
    <row r="13205">
      <c r="A13205" t="inlineStr">
        <is>
          <t>0000085975712</t>
        </is>
      </c>
      <c r="B13205" t="inlineStr">
        <is>
          <t>Long-lasting Two-Phase Lip Color and Gloss 16H Lip Color (Extreme Long-Lasting Lipstick) 4 + 4 ml Shade 33</t>
        </is>
      </c>
      <c r="C13205" t="inlineStr">
        <is>
          <t>Lipstick</t>
        </is>
      </c>
      <c r="D13205" t="inlineStr">
        <is>
          <t>Dermacol</t>
        </is>
      </c>
      <c r="E13205" t="n">
        <v>6.16</v>
      </c>
      <c r="F13205" t="n">
        <v>1</v>
      </c>
      <c r="G13205" t="n">
        <v>2</v>
      </c>
      <c r="H13205" s="5">
        <f>HYPERLINK("https://api.qogita.com/variants/link/0000085975712/", "View Product")</f>
        <v/>
      </c>
    </row>
    <row r="13206">
      <c r="A13206" t="inlineStr">
        <is>
          <t>0000085975743</t>
        </is>
      </c>
      <c r="B13206" t="inlineStr">
        <is>
          <t>Long-lasting Two-Phase Lip Color and Gloss 16H Lip Color (Extreme Long-Lasting Lipstick) 4 + 4 ml Shade 36</t>
        </is>
      </c>
      <c r="C13206" t="inlineStr">
        <is>
          <t>Lipstick</t>
        </is>
      </c>
      <c r="D13206" t="inlineStr">
        <is>
          <t>Dermacol</t>
        </is>
      </c>
      <c r="E13206" t="n">
        <v>8.99</v>
      </c>
      <c r="F13206" t="n">
        <v>1</v>
      </c>
      <c r="G13206" t="n">
        <v>9</v>
      </c>
      <c r="H13206" s="5">
        <f>HYPERLINK("https://api.qogita.com/variants/link/0000085975743/", "View Product")</f>
        <v/>
      </c>
    </row>
    <row r="13207">
      <c r="A13207" t="inlineStr">
        <is>
          <t>0000085977860</t>
        </is>
      </c>
      <c r="B13207" t="inlineStr">
        <is>
          <t>Dermacol Pretty Matte Lipstick - 45 Grams</t>
        </is>
      </c>
      <c r="C13207" t="inlineStr">
        <is>
          <t>Lipstick</t>
        </is>
      </c>
      <c r="D13207" t="inlineStr">
        <is>
          <t>Dermacol</t>
        </is>
      </c>
      <c r="E13207" t="n">
        <v>5.8</v>
      </c>
      <c r="F13207" t="n">
        <v>1</v>
      </c>
      <c r="G13207" t="n">
        <v>8</v>
      </c>
      <c r="H13207" s="5">
        <f>HYPERLINK("https://api.qogita.com/variants/link/0000085977860/", "View Product")</f>
        <v/>
      </c>
    </row>
    <row r="13208">
      <c r="A13208" t="inlineStr">
        <is>
          <t>0000085977976</t>
        </is>
      </c>
      <c r="B13208" t="inlineStr">
        <is>
          <t>New Generation Lip Liner (Lip Liner) 1 gram Shade 04</t>
        </is>
      </c>
      <c r="C13208" t="inlineStr">
        <is>
          <t>Lip Liner</t>
        </is>
      </c>
      <c r="D13208" t="inlineStr">
        <is>
          <t>Dermacol</t>
        </is>
      </c>
      <c r="E13208" t="n">
        <v>3.41</v>
      </c>
      <c r="F13208" t="n">
        <v>1</v>
      </c>
      <c r="G13208" t="n">
        <v>8</v>
      </c>
      <c r="H13208" s="5">
        <f>HYPERLINK("https://api.qogita.com/variants/link/0000085977976/", "View Product")</f>
        <v/>
      </c>
    </row>
    <row r="13209">
      <c r="A13209" t="inlineStr">
        <is>
          <t>0000085978058</t>
        </is>
      </c>
      <c r="B13209" t="inlineStr">
        <is>
          <t>Dermacol Cbd Magic Colour Changing Lipstick 35g - Shade 06</t>
        </is>
      </c>
      <c r="C13209" t="inlineStr">
        <is>
          <t>Lipstick</t>
        </is>
      </c>
      <c r="D13209" t="inlineStr">
        <is>
          <t>Dermacol</t>
        </is>
      </c>
      <c r="E13209" t="n">
        <v>7.8</v>
      </c>
      <c r="F13209" t="n">
        <v>1</v>
      </c>
      <c r="G13209" t="n">
        <v>4</v>
      </c>
      <c r="H13209" s="5">
        <f>HYPERLINK("https://api.qogita.com/variants/link/0000085978058/", "View Product")</f>
        <v/>
      </c>
    </row>
    <row r="13210">
      <c r="A13210" t="inlineStr">
        <is>
          <t>0000085978072</t>
        </is>
      </c>
      <c r="B13210" t="inlineStr">
        <is>
          <t>Dermacol Cbd Magic Colour Changing Lipstick 35g 08</t>
        </is>
      </c>
      <c r="C13210" t="inlineStr">
        <is>
          <t>Lipstick</t>
        </is>
      </c>
      <c r="D13210" t="inlineStr">
        <is>
          <t>Dermacol</t>
        </is>
      </c>
      <c r="E13210" t="n">
        <v>7.8</v>
      </c>
      <c r="F13210" t="n">
        <v>1</v>
      </c>
      <c r="G13210" t="n">
        <v>6</v>
      </c>
      <c r="H13210" s="5">
        <f>HYPERLINK("https://api.qogita.com/variants/link/0000085978072/", "View Product")</f>
        <v/>
      </c>
    </row>
    <row r="13211">
      <c r="A13211" t="inlineStr">
        <is>
          <t>0000085978225</t>
        </is>
      </c>
      <c r="B13211" t="inlineStr">
        <is>
          <t>Waterproof Eye and Lip Pencil Neon Mania 1.1g Shade 02</t>
        </is>
      </c>
      <c r="C13211" t="inlineStr">
        <is>
          <t>Eye Pencil</t>
        </is>
      </c>
      <c r="D13211" t="inlineStr">
        <is>
          <t>Dermacol</t>
        </is>
      </c>
      <c r="E13211" t="n">
        <v>3.52</v>
      </c>
      <c r="F13211" t="n">
        <v>1</v>
      </c>
      <c r="G13211" t="n">
        <v>3</v>
      </c>
      <c r="H13211" s="5">
        <f>HYPERLINK("https://api.qogita.com/variants/link/0000085978225/", "View Product")</f>
        <v/>
      </c>
    </row>
    <row r="13212">
      <c r="A13212" t="inlineStr">
        <is>
          <t>0000085978287</t>
        </is>
      </c>
      <c r="B13212" t="inlineStr">
        <is>
          <t>Hyaluronic Acid Make-up and Serum 2 in 1 (25g) Shade 02 Nude</t>
        </is>
      </c>
      <c r="C13212" t="inlineStr">
        <is>
          <t>Foundation</t>
        </is>
      </c>
      <c r="D13212" t="inlineStr">
        <is>
          <t>Dermacol</t>
        </is>
      </c>
      <c r="E13212" t="n">
        <v>7.88</v>
      </c>
      <c r="F13212" t="n">
        <v>1</v>
      </c>
      <c r="G13212" t="n">
        <v>22</v>
      </c>
      <c r="H13212" s="5">
        <f>HYPERLINK("https://api.qogita.com/variants/link/0000085978287/", "View Product")</f>
        <v/>
      </c>
    </row>
    <row r="13213">
      <c r="A13213" t="inlineStr">
        <is>
          <t>0000085978423</t>
        </is>
      </c>
      <c r="B13213" t="inlineStr">
        <is>
          <t>Dermacol Think Pink Glow Toning Cream 30 Ml</t>
        </is>
      </c>
      <c r="C13213" t="inlineStr">
        <is>
          <t>Tinted Day Cream</t>
        </is>
      </c>
      <c r="D13213" t="inlineStr">
        <is>
          <t>Dermacol</t>
        </is>
      </c>
      <c r="E13213" t="n">
        <v>5.34</v>
      </c>
      <c r="F13213" t="n">
        <v>1</v>
      </c>
      <c r="G13213" t="n">
        <v>4</v>
      </c>
      <c r="H13213" s="5">
        <f>HYPERLINK("https://api.qogita.com/variants/link/0000085978423/", "View Product")</f>
        <v/>
      </c>
    </row>
    <row r="13214">
      <c r="A13214" t="inlineStr">
        <is>
          <t>0000085978577</t>
        </is>
      </c>
      <c r="B13214" t="inlineStr">
        <is>
          <t>Long-lasting Two-Phase Lip Color and Gloss 16H Lip Color (Extreme Long-Lasting Lipstick) 4 + 4 ml Shade 39</t>
        </is>
      </c>
      <c r="C13214" t="inlineStr">
        <is>
          <t>Lipstick</t>
        </is>
      </c>
      <c r="D13214" t="inlineStr">
        <is>
          <t>Dermacol</t>
        </is>
      </c>
      <c r="E13214" t="n">
        <v>6.16</v>
      </c>
      <c r="F13214" t="n">
        <v>1</v>
      </c>
      <c r="G13214" t="n">
        <v>16</v>
      </c>
      <c r="H13214" s="5">
        <f>HYPERLINK("https://api.qogita.com/variants/link/0000085978577/", "View Product")</f>
        <v/>
      </c>
    </row>
    <row r="13215">
      <c r="A13215" t="inlineStr">
        <is>
          <t>0000085979222</t>
        </is>
      </c>
      <c r="B13215" t="inlineStr">
        <is>
          <t>Dermacol Longlasting Magic Wash-Off Mascara 12.6 Ml</t>
        </is>
      </c>
      <c r="C13215" t="inlineStr">
        <is>
          <t>Mascara</t>
        </is>
      </c>
      <c r="D13215" t="inlineStr">
        <is>
          <t>Dermacol</t>
        </is>
      </c>
      <c r="E13215" t="n">
        <v>6.84</v>
      </c>
      <c r="F13215" t="n">
        <v>1</v>
      </c>
      <c r="G13215" t="n">
        <v>4</v>
      </c>
      <c r="H13215" s="5">
        <f>HYPERLINK("https://api.qogita.com/variants/link/0000085979222/", "View Product")</f>
        <v/>
      </c>
    </row>
    <row r="13216">
      <c r="A13216" t="inlineStr">
        <is>
          <t>0000085979390</t>
        </is>
      </c>
      <c r="B13216" t="inlineStr">
        <is>
          <t>Dermacol Magic Glow Cream Highlighter - 3 Ml</t>
        </is>
      </c>
      <c r="C13216" t="inlineStr">
        <is>
          <t>Highlighter</t>
        </is>
      </c>
      <c r="D13216" t="inlineStr">
        <is>
          <t>Dermacol</t>
        </is>
      </c>
      <c r="E13216" t="n">
        <v>6.33</v>
      </c>
      <c r="F13216" t="n">
        <v>1</v>
      </c>
      <c r="G13216" t="n">
        <v>2</v>
      </c>
      <c r="H13216" s="5">
        <f>HYPERLINK("https://api.qogita.com/variants/link/0000085979390/", "View Product")</f>
        <v/>
      </c>
    </row>
    <row r="13217">
      <c r="A13217" t="inlineStr">
        <is>
          <t>0000085979406</t>
        </is>
      </c>
      <c r="B13217" t="inlineStr">
        <is>
          <t>Dermacol Magic Lip Oil - 58 Ml</t>
        </is>
      </c>
      <c r="C13217" t="inlineStr">
        <is>
          <t>Lip Oil</t>
        </is>
      </c>
      <c r="D13217" t="inlineStr">
        <is>
          <t>Dermacol</t>
        </is>
      </c>
      <c r="E13217" t="n">
        <v>5.57</v>
      </c>
      <c r="F13217" t="n">
        <v>1</v>
      </c>
      <c r="G13217" t="n">
        <v>2</v>
      </c>
      <c r="H13217" s="5">
        <f>HYPERLINK("https://api.qogita.com/variants/link/0000085979406/", "View Product")</f>
        <v/>
      </c>
    </row>
    <row r="13218">
      <c r="A13218" t="inlineStr">
        <is>
          <t>0000085979895</t>
        </is>
      </c>
      <c r="B13218" t="inlineStr">
        <is>
          <t>Dermacol Lipstick D Lady 4.4 G</t>
        </is>
      </c>
      <c r="C13218" t="inlineStr">
        <is>
          <t>Lipstick</t>
        </is>
      </c>
      <c r="D13218" t="inlineStr">
        <is>
          <t>Dermacol</t>
        </is>
      </c>
      <c r="E13218" t="n">
        <v>5.92</v>
      </c>
      <c r="F13218" t="n">
        <v>1</v>
      </c>
      <c r="G13218" t="n">
        <v>11</v>
      </c>
      <c r="H13218" s="5">
        <f>HYPERLINK("https://api.qogita.com/variants/link/0000085979895/", "View Product")</f>
        <v/>
      </c>
    </row>
    <row r="13219">
      <c r="A13219" t="inlineStr">
        <is>
          <t>0000085979918</t>
        </is>
      </c>
      <c r="B13219" t="inlineStr">
        <is>
          <t>Dermacol Lipstick D Lady 4.4 G</t>
        </is>
      </c>
      <c r="C13219" t="inlineStr">
        <is>
          <t>Lipstick</t>
        </is>
      </c>
      <c r="D13219" t="inlineStr">
        <is>
          <t>Dermacol</t>
        </is>
      </c>
      <c r="E13219" t="n">
        <v>5.92</v>
      </c>
      <c r="F13219" t="n">
        <v>1</v>
      </c>
      <c r="G13219" t="n">
        <v>14</v>
      </c>
      <c r="H13219" s="5">
        <f>HYPERLINK("https://api.qogita.com/variants/link/0000085979918/", "View Product")</f>
        <v/>
      </c>
    </row>
    <row r="13220">
      <c r="A13220" t="inlineStr">
        <is>
          <t>0000096099292</t>
        </is>
      </c>
      <c r="B13220" t="inlineStr">
        <is>
          <t>Max Factor Crème Puff Blusher Seductive Pink 15 1 Count</t>
        </is>
      </c>
      <c r="C13220" t="inlineStr">
        <is>
          <t>Blush</t>
        </is>
      </c>
      <c r="D13220" t="inlineStr">
        <is>
          <t>Max Factor</t>
        </is>
      </c>
      <c r="E13220" t="n">
        <v>5.85</v>
      </c>
      <c r="F13220" t="n">
        <v>1</v>
      </c>
      <c r="G13220" t="n">
        <v>3</v>
      </c>
      <c r="H13220" s="5">
        <f>HYPERLINK("https://api.qogita.com/variants/link/0000096099292/", "View Product")</f>
        <v/>
      </c>
    </row>
    <row r="13221">
      <c r="A13221" t="inlineStr">
        <is>
          <t>0000096099315</t>
        </is>
      </c>
      <c r="B13221" t="inlineStr">
        <is>
          <t>Max Factor Facefinity Blush 25 Alluring Rose - New Sealed - Free Post UK</t>
        </is>
      </c>
      <c r="C13221" t="inlineStr">
        <is>
          <t>Blush</t>
        </is>
      </c>
      <c r="D13221" t="inlineStr">
        <is>
          <t>Max Factor</t>
        </is>
      </c>
      <c r="E13221" t="n">
        <v>5.81</v>
      </c>
      <c r="F13221" t="n">
        <v>1</v>
      </c>
      <c r="G13221" t="n">
        <v>5</v>
      </c>
      <c r="H13221" s="5">
        <f>HYPERLINK("https://api.qogita.com/variants/link/0000096099315/", "View Product")</f>
        <v/>
      </c>
    </row>
    <row r="13222">
      <c r="A13222" t="inlineStr">
        <is>
          <t>0000096137215</t>
        </is>
      </c>
      <c r="B13222" t="inlineStr">
        <is>
          <t>Max Factor False Lash Epic Mascara Black 13.1ml</t>
        </is>
      </c>
      <c r="C13222" t="inlineStr">
        <is>
          <t>Mascara</t>
        </is>
      </c>
      <c r="D13222" t="inlineStr">
        <is>
          <t>Max Factor</t>
        </is>
      </c>
      <c r="E13222" t="n">
        <v>5.76</v>
      </c>
      <c r="F13222" t="n">
        <v>1</v>
      </c>
      <c r="G13222" t="n">
        <v>11</v>
      </c>
      <c r="H13222" s="5">
        <f>HYPERLINK("https://api.qogita.com/variants/link/0000096137215/", "View Product")</f>
        <v/>
      </c>
    </row>
    <row r="13223">
      <c r="A13223" t="inlineStr">
        <is>
          <t>0008080138637</t>
        </is>
      </c>
      <c r="B13223" t="inlineStr">
        <is>
          <t>Molton Brown Neon Amber Body Lotion 300ml</t>
        </is>
      </c>
      <c r="C13223" t="inlineStr">
        <is>
          <t>Body Lotion</t>
        </is>
      </c>
      <c r="D13223" t="inlineStr">
        <is>
          <t>Molton Brown</t>
        </is>
      </c>
      <c r="E13223" t="n">
        <v>22.5</v>
      </c>
      <c r="F13223" t="n">
        <v>1</v>
      </c>
      <c r="G13223" t="n">
        <v>14</v>
      </c>
      <c r="H13223" s="5">
        <f>HYPERLINK("https://api.qogita.com/variants/link/0008080138637/", "View Product")</f>
        <v/>
      </c>
    </row>
    <row r="13224">
      <c r="A13224" t="inlineStr">
        <is>
          <t>0008080150073</t>
        </is>
      </c>
      <c r="B13224" t="inlineStr">
        <is>
          <t>Molton Brown Re-Charge Black Pepper Body Lotion 300ml</t>
        </is>
      </c>
      <c r="C13224" t="inlineStr">
        <is>
          <t>Body Lotion</t>
        </is>
      </c>
      <c r="D13224" t="inlineStr">
        <is>
          <t>Molton Brown</t>
        </is>
      </c>
      <c r="E13224" t="n">
        <v>22.76</v>
      </c>
      <c r="F13224" t="n">
        <v>1</v>
      </c>
      <c r="G13224" t="n">
        <v>40</v>
      </c>
      <c r="H13224" s="5">
        <f>HYPERLINK("https://api.qogita.com/variants/link/0008080150073/", "View Product")</f>
        <v/>
      </c>
    </row>
    <row r="13225">
      <c r="A13225" t="inlineStr">
        <is>
          <t>0008080156679</t>
        </is>
      </c>
      <c r="B13225" t="inlineStr">
        <is>
          <t>Orange &amp; Bergamot Body Lotion (300 ml)</t>
        </is>
      </c>
      <c r="C13225" t="inlineStr">
        <is>
          <t>Body Lotion</t>
        </is>
      </c>
      <c r="D13225" t="inlineStr">
        <is>
          <t>Molton Brown</t>
        </is>
      </c>
      <c r="E13225" t="n">
        <v>22.23</v>
      </c>
      <c r="F13225" t="n">
        <v>1</v>
      </c>
      <c r="G13225" t="n">
        <v>19</v>
      </c>
      <c r="H13225" s="5">
        <f>HYPERLINK("https://api.qogita.com/variants/link/0008080156679/", "View Product")</f>
        <v/>
      </c>
    </row>
    <row r="13226">
      <c r="A13226" t="inlineStr">
        <is>
          <t>0008952160100</t>
        </is>
      </c>
      <c r="B13226" t="inlineStr">
        <is>
          <t>Amouroud Dark Orchid Unisex Eau De Parfum Spray 100ml</t>
        </is>
      </c>
      <c r="C13226" t="inlineStr">
        <is>
          <t>Eau De Parfum</t>
        </is>
      </c>
      <c r="D13226" t="inlineStr">
        <is>
          <t>Amouroud</t>
        </is>
      </c>
      <c r="E13226" t="n">
        <v>81.27</v>
      </c>
      <c r="F13226" t="n">
        <v>1</v>
      </c>
      <c r="G13226" t="n">
        <v>8</v>
      </c>
      <c r="H13226" s="5">
        <f>HYPERLINK("https://api.qogita.com/variants/link/0008952160100/", "View Product")</f>
        <v/>
      </c>
    </row>
    <row r="13227">
      <c r="A13227" t="inlineStr">
        <is>
          <t>0008952161107</t>
        </is>
      </c>
      <c r="B13227" t="inlineStr">
        <is>
          <t>Amouroud Safran Rare Unisex Eau De Parfum Spray 100ml</t>
        </is>
      </c>
      <c r="C13227" t="inlineStr">
        <is>
          <t>Eau De Parfum</t>
        </is>
      </c>
      <c r="D13227" t="inlineStr">
        <is>
          <t>Amouroud</t>
        </is>
      </c>
      <c r="E13227" t="n">
        <v>85.27</v>
      </c>
      <c r="F13227" t="n">
        <v>1</v>
      </c>
      <c r="G13227" t="n">
        <v>2</v>
      </c>
      <c r="H13227" s="5">
        <f>HYPERLINK("https://api.qogita.com/variants/link/0008952161107/", "View Product")</f>
        <v/>
      </c>
    </row>
    <row r="13228">
      <c r="A13228" t="inlineStr">
        <is>
          <t>0008952162104</t>
        </is>
      </c>
      <c r="B13228" t="inlineStr">
        <is>
          <t>Amouroud Santal des Indes Eau de Parfum 100ml Spray</t>
        </is>
      </c>
      <c r="C13228" t="inlineStr">
        <is>
          <t>Eau De Parfum</t>
        </is>
      </c>
      <c r="D13228" t="inlineStr">
        <is>
          <t>Amouroud</t>
        </is>
      </c>
      <c r="E13228" t="n">
        <v>82.81999999999999</v>
      </c>
      <c r="F13228" t="n">
        <v>1</v>
      </c>
      <c r="G13228" t="n">
        <v>3</v>
      </c>
      <c r="H13228" s="5">
        <f>HYPERLINK("https://api.qogita.com/variants/link/0008952162104/", "View Product")</f>
        <v/>
      </c>
    </row>
    <row r="13229">
      <c r="A13229" t="inlineStr">
        <is>
          <t>0017854104754</t>
        </is>
      </c>
      <c r="B13229" t="inlineStr">
        <is>
          <t>Baylis And Harding Pink Blossom &amp; Lotus Flower Hand Wash 500ml</t>
        </is>
      </c>
      <c r="C13229" t="inlineStr">
        <is>
          <t>Hand Soap</t>
        </is>
      </c>
      <c r="D13229" t="inlineStr">
        <is>
          <t>Baylis &amp; Harding</t>
        </is>
      </c>
      <c r="E13229" t="n">
        <v>4.63</v>
      </c>
      <c r="F13229" t="n">
        <v>1</v>
      </c>
      <c r="G13229" t="n">
        <v>2</v>
      </c>
      <c r="H13229" s="5">
        <f>HYPERLINK("https://api.qogita.com/variants/link/0017854104754/", "View Product")</f>
        <v/>
      </c>
    </row>
    <row r="13230">
      <c r="A13230" t="inlineStr">
        <is>
          <t>0017854113459</t>
        </is>
      </c>
      <c r="B13230" t="inlineStr">
        <is>
          <t>Baylis &amp; Harding The Fuzzy Duck Cotswold Spa Luxury Body Care Gift Set</t>
        </is>
      </c>
      <c r="C13230" t="inlineStr">
        <is>
          <t>Body Care Sets</t>
        </is>
      </c>
      <c r="D13230" t="inlineStr">
        <is>
          <t>Baylis &amp; Harding</t>
        </is>
      </c>
      <c r="E13230" t="n">
        <v>15.26</v>
      </c>
      <c r="F13230" t="n">
        <v>1</v>
      </c>
      <c r="G13230" t="n">
        <v>5</v>
      </c>
      <c r="H13230" s="5">
        <f>HYPERLINK("https://api.qogita.com/variants/link/0017854113459/", "View Product")</f>
        <v/>
      </c>
    </row>
    <row r="13231">
      <c r="A13231" t="inlineStr">
        <is>
          <t>0017854114999</t>
        </is>
      </c>
      <c r="B13231" t="inlineStr">
        <is>
          <t>Baylis &amp; Harding The Fuzzy Duck Cotswold Spa Bath Soak Crystals Gift Set</t>
        </is>
      </c>
      <c r="C13231" t="inlineStr">
        <is>
          <t>Toiletries Bags</t>
        </is>
      </c>
      <c r="D13231" t="inlineStr">
        <is>
          <t>Baylis &amp; Harding</t>
        </is>
      </c>
      <c r="E13231" t="n">
        <v>8.130000000000001</v>
      </c>
      <c r="F13231" t="n">
        <v>1</v>
      </c>
      <c r="G13231" t="n">
        <v>6</v>
      </c>
      <c r="H13231" s="5">
        <f>HYPERLINK("https://api.qogita.com/variants/link/0017854114999/", "View Product")</f>
        <v/>
      </c>
    </row>
    <row r="13232">
      <c r="A13232" t="inlineStr">
        <is>
          <t>0017854115057</t>
        </is>
      </c>
      <c r="B13232" t="inlineStr">
        <is>
          <t>Baylis &amp; Harding Dinosaur Bath Salts Gift Set</t>
        </is>
      </c>
      <c r="C13232" t="inlineStr">
        <is>
          <t>Bath Salts &amp; Bath Bombs</t>
        </is>
      </c>
      <c r="D13232" t="inlineStr">
        <is>
          <t>Baylis &amp; Harding</t>
        </is>
      </c>
      <c r="E13232" t="n">
        <v>5.63</v>
      </c>
      <c r="F13232" t="n">
        <v>1</v>
      </c>
      <c r="G13232" t="n">
        <v>11</v>
      </c>
      <c r="H13232" s="5">
        <f>HYPERLINK("https://api.qogita.com/variants/link/0017854115057/", "View Product")</f>
        <v/>
      </c>
    </row>
    <row r="13233">
      <c r="A13233" t="inlineStr">
        <is>
          <t>0017854117556</t>
        </is>
      </c>
      <c r="B13233" t="inlineStr">
        <is>
          <t>Baylis &amp; Harding Gift Set Of Body Soap And Cosmetic Headbands With Jojoba Vanilla And Almond Oil - 2 Pieces</t>
        </is>
      </c>
      <c r="C13233" t="inlineStr">
        <is>
          <t>Shower &amp; Bath Sets</t>
        </is>
      </c>
      <c r="D13233" t="inlineStr">
        <is>
          <t>Baylis &amp; Harding</t>
        </is>
      </c>
      <c r="E13233" t="n">
        <v>13.71</v>
      </c>
      <c r="F13233" t="n">
        <v>1</v>
      </c>
      <c r="G13233" t="n">
        <v>14</v>
      </c>
      <c r="H13233" s="5">
        <f>HYPERLINK("https://api.qogita.com/variants/link/0017854117556/", "View Product")</f>
        <v/>
      </c>
    </row>
    <row r="13234">
      <c r="A13234" t="inlineStr">
        <is>
          <t>0017854117907</t>
        </is>
      </c>
      <c r="B13234" t="inlineStr">
        <is>
          <t>Baylis &amp; Harding The Fuzzy Duck Winter Wonderland Luxury Bath Bombs Gift Set - Vegan Friendly</t>
        </is>
      </c>
      <c r="C13234" t="inlineStr">
        <is>
          <t>Bath Salts &amp; Bath Bombs</t>
        </is>
      </c>
      <c r="D13234" t="inlineStr">
        <is>
          <t>Baylis &amp; Harding</t>
        </is>
      </c>
      <c r="E13234" t="n">
        <v>10.08</v>
      </c>
      <c r="F13234" t="n">
        <v>1</v>
      </c>
      <c r="G13234" t="n">
        <v>13</v>
      </c>
      <c r="H13234" s="5">
        <f>HYPERLINK("https://api.qogita.com/variants/link/0017854117907/", "View Product")</f>
        <v/>
      </c>
    </row>
    <row r="13235">
      <c r="A13235" t="inlineStr">
        <is>
          <t>0017854118157</t>
        </is>
      </c>
      <c r="B13235" t="inlineStr">
        <is>
          <t>Baylis &amp; Harding Gift Set With Solid Soap Fig And Pomegranate - 3 Pieces</t>
        </is>
      </c>
      <c r="C13235" t="inlineStr">
        <is>
          <t>Shower &amp; Bath Sets</t>
        </is>
      </c>
      <c r="D13235" t="inlineStr">
        <is>
          <t>Baylis &amp; Harding</t>
        </is>
      </c>
      <c r="E13235" t="n">
        <v>9.68</v>
      </c>
      <c r="F13235" t="n">
        <v>1</v>
      </c>
      <c r="G13235" t="n">
        <v>16</v>
      </c>
      <c r="H13235" s="5">
        <f>HYPERLINK("https://api.qogita.com/variants/link/0017854118157/", "View Product")</f>
        <v/>
      </c>
    </row>
    <row r="13236">
      <c r="A13236" t="inlineStr">
        <is>
          <t>0017854118164</t>
        </is>
      </c>
      <c r="B13236" t="inlineStr">
        <is>
          <t>Baylis &amp; Harding Tropical Paradise Gift Set - 3 X 50 Ml</t>
        </is>
      </c>
      <c r="C13236" t="inlineStr">
        <is>
          <t>Body Care Sets</t>
        </is>
      </c>
      <c r="D13236" t="inlineStr">
        <is>
          <t>Baylis &amp; Harding</t>
        </is>
      </c>
      <c r="E13236" t="n">
        <v>8.699999999999999</v>
      </c>
      <c r="F13236" t="n">
        <v>1</v>
      </c>
      <c r="G13236" t="n">
        <v>2</v>
      </c>
      <c r="H13236" s="5">
        <f>HYPERLINK("https://api.qogita.com/variants/link/0017854118164/", "View Product")</f>
        <v/>
      </c>
    </row>
    <row r="13237">
      <c r="A13237" t="inlineStr">
        <is>
          <t>0017854118515</t>
        </is>
      </c>
      <c r="B13237" t="inlineStr">
        <is>
          <t>Baylis &amp; Harding Beauticology Unicorn Skin Care Set</t>
        </is>
      </c>
      <c r="C13237" t="inlineStr">
        <is>
          <t>Body Care Sets</t>
        </is>
      </c>
      <c r="D13237" t="inlineStr">
        <is>
          <t>Baylis &amp; Harding</t>
        </is>
      </c>
      <c r="E13237" t="n">
        <v>12.74</v>
      </c>
      <c r="F13237" t="n">
        <v>1</v>
      </c>
      <c r="G13237" t="n">
        <v>14</v>
      </c>
      <c r="H13237" s="5">
        <f>HYPERLINK("https://api.qogita.com/variants/link/0017854118515/", "View Product")</f>
        <v/>
      </c>
    </row>
    <row r="13238">
      <c r="A13238" t="inlineStr">
        <is>
          <t>0017854118522</t>
        </is>
      </c>
      <c r="B13238" t="inlineStr">
        <is>
          <t>Baylis &amp; Harding Unicorn Body Care Gift Set 10 Pieces</t>
        </is>
      </c>
      <c r="C13238" t="inlineStr">
        <is>
          <t>Body Care Sets</t>
        </is>
      </c>
      <c r="D13238" t="inlineStr">
        <is>
          <t>Baylis &amp; Harding</t>
        </is>
      </c>
      <c r="E13238" t="n">
        <v>24.77</v>
      </c>
      <c r="F13238" t="n">
        <v>1</v>
      </c>
      <c r="G13238" t="n">
        <v>16</v>
      </c>
      <c r="H13238" s="5">
        <f>HYPERLINK("https://api.qogita.com/variants/link/0017854118522/", "View Product")</f>
        <v/>
      </c>
    </row>
    <row r="13239">
      <c r="A13239" t="inlineStr">
        <is>
          <t>0017854118720</t>
        </is>
      </c>
      <c r="B13239" t="inlineStr">
        <is>
          <t>Baylis &amp; Harding Royale Garden Eau De Toilette Gift Set - 5 X 15 Ml</t>
        </is>
      </c>
      <c r="C13239" t="inlineStr">
        <is>
          <t>Fragrance Sets</t>
        </is>
      </c>
      <c r="D13239" t="inlineStr">
        <is>
          <t>Baylis &amp; Harding</t>
        </is>
      </c>
      <c r="E13239" t="n">
        <v>17.43</v>
      </c>
      <c r="F13239" t="n">
        <v>1</v>
      </c>
      <c r="G13239" t="n">
        <v>16</v>
      </c>
      <c r="H13239" s="5">
        <f>HYPERLINK("https://api.qogita.com/variants/link/0017854118720/", "View Product")</f>
        <v/>
      </c>
    </row>
    <row r="13240">
      <c r="A13240" t="inlineStr">
        <is>
          <t>0018084014486</t>
        </is>
      </c>
      <c r="B13240" t="inlineStr">
        <is>
          <t>AVEDA Nutriplenish Hydrating Conditioner Deep Moisture 1000ml</t>
        </is>
      </c>
      <c r="C13240" t="inlineStr">
        <is>
          <t>Conditioner</t>
        </is>
      </c>
      <c r="D13240" t="inlineStr">
        <is>
          <t>Aveda</t>
        </is>
      </c>
      <c r="E13240" t="n">
        <v>90.34</v>
      </c>
      <c r="F13240" t="n">
        <v>1</v>
      </c>
      <c r="G13240" t="n">
        <v>5</v>
      </c>
      <c r="H13240" s="5">
        <f>HYPERLINK("https://api.qogita.com/variants/link/0018084014486/", "View Product")</f>
        <v/>
      </c>
    </row>
    <row r="13241">
      <c r="A13241" t="inlineStr">
        <is>
          <t>0615908431483</t>
        </is>
      </c>
      <c r="B13241" t="inlineStr">
        <is>
          <t>Bed Head by Tigi Wanna Glow Hydrating Jelly Hair Oil for Shiny Smooth Hair</t>
        </is>
      </c>
      <c r="C13241" t="inlineStr">
        <is>
          <t>Hair Oil &amp; Hair Serum</t>
        </is>
      </c>
      <c r="D13241" t="inlineStr">
        <is>
          <t>Tigi</t>
        </is>
      </c>
      <c r="E13241" t="n">
        <v>8.6</v>
      </c>
      <c r="F13241" t="n">
        <v>1</v>
      </c>
      <c r="G13241" t="n">
        <v>4</v>
      </c>
      <c r="H13241" s="5">
        <f>HYPERLINK("https://api.qogita.com/variants/link/0615908431483/", "View Product")</f>
        <v/>
      </c>
    </row>
    <row r="13242">
      <c r="A13242" t="inlineStr">
        <is>
          <t>0615908431520</t>
        </is>
      </c>
      <c r="B13242" t="inlineStr">
        <is>
          <t>Gimme Grip Shampoo 400ml</t>
        </is>
      </c>
      <c r="C13242" t="inlineStr">
        <is>
          <t>Shampoo</t>
        </is>
      </c>
      <c r="D13242" t="inlineStr">
        <is>
          <t>Tigi</t>
        </is>
      </c>
      <c r="E13242" t="n">
        <v>6.39</v>
      </c>
      <c r="F13242" t="n">
        <v>1</v>
      </c>
      <c r="G13242" t="n">
        <v>13</v>
      </c>
      <c r="H13242" s="5">
        <f>HYPERLINK("https://api.qogita.com/variants/link/0615908431520/", "View Product")</f>
        <v/>
      </c>
    </row>
    <row r="13243">
      <c r="A13243" t="inlineStr">
        <is>
          <t>0615908431582</t>
        </is>
      </c>
      <c r="B13243" t="inlineStr">
        <is>
          <t>Bed Head by Tigi Manipulator Texturizing Hair Putty Firm Hold</t>
        </is>
      </c>
      <c r="C13243" t="inlineStr">
        <is>
          <t>Wax</t>
        </is>
      </c>
      <c r="D13243" t="inlineStr">
        <is>
          <t>Tigi</t>
        </is>
      </c>
      <c r="E13243" t="n">
        <v>5.98</v>
      </c>
      <c r="F13243" t="n">
        <v>1</v>
      </c>
      <c r="G13243" t="n">
        <v>4</v>
      </c>
      <c r="H13243" s="5">
        <f>HYPERLINK("https://api.qogita.com/variants/link/0615908431582/", "View Product")</f>
        <v/>
      </c>
    </row>
    <row r="13244">
      <c r="A13244" t="inlineStr">
        <is>
          <t>0615908432046</t>
        </is>
      </c>
      <c r="B13244" t="inlineStr">
        <is>
          <t>Tigi Bed Head Oh Bee Hive Dry Shampoo for Volume and Matte Finish</t>
        </is>
      </c>
      <c r="C13244" t="inlineStr">
        <is>
          <t>Dry Shampoo</t>
        </is>
      </c>
      <c r="D13244" t="inlineStr">
        <is>
          <t>Tigi</t>
        </is>
      </c>
      <c r="E13244" t="n">
        <v>15.79</v>
      </c>
      <c r="F13244" t="n">
        <v>1</v>
      </c>
      <c r="G13244" t="n">
        <v>37</v>
      </c>
      <c r="H13244" s="5">
        <f>HYPERLINK("https://api.qogita.com/variants/link/0615908432046/", "View Product")</f>
        <v/>
      </c>
    </row>
    <row r="13245">
      <c r="A13245" t="inlineStr">
        <is>
          <t>0615908432091</t>
        </is>
      </c>
      <c r="B13245" t="inlineStr">
        <is>
          <t>Bed Head Remix Resurrection Conditioner by Tigi for Unisex 32.8 Oz</t>
        </is>
      </c>
      <c r="C13245" t="inlineStr">
        <is>
          <t>Conditioner</t>
        </is>
      </c>
      <c r="D13245" t="inlineStr">
        <is>
          <t>Tigi</t>
        </is>
      </c>
      <c r="E13245" t="n">
        <v>14.97</v>
      </c>
      <c r="F13245" t="n">
        <v>1</v>
      </c>
      <c r="G13245" t="n">
        <v>42</v>
      </c>
      <c r="H13245" s="5">
        <f>HYPERLINK("https://api.qogita.com/variants/link/0615908432091/", "View Product")</f>
        <v/>
      </c>
    </row>
    <row r="13246">
      <c r="A13246" t="inlineStr">
        <is>
          <t>0615908432398</t>
        </is>
      </c>
      <c r="B13246" t="inlineStr">
        <is>
          <t>Bed Head Remix Colour Goddess Conditioner by Tigi for Unisex 32.8 Oz</t>
        </is>
      </c>
      <c r="C13246" t="inlineStr">
        <is>
          <t>Conditioner</t>
        </is>
      </c>
      <c r="D13246" t="inlineStr">
        <is>
          <t>Tigi</t>
        </is>
      </c>
      <c r="E13246" t="n">
        <v>7.88</v>
      </c>
      <c r="F13246" t="n">
        <v>1</v>
      </c>
      <c r="G13246" t="n">
        <v>2</v>
      </c>
      <c r="H13246" s="5">
        <f>HYPERLINK("https://api.qogita.com/variants/link/0615908432398/", "View Product")</f>
        <v/>
      </c>
    </row>
    <row r="13247">
      <c r="A13247" t="inlineStr">
        <is>
          <t>0615908432442</t>
        </is>
      </c>
      <c r="B13247" t="inlineStr">
        <is>
          <t>TIGI BH21 Color Goddess Conditioner 400ml</t>
        </is>
      </c>
      <c r="C13247" t="inlineStr">
        <is>
          <t>Conditioner</t>
        </is>
      </c>
      <c r="D13247" t="inlineStr">
        <is>
          <t>Tigi</t>
        </is>
      </c>
      <c r="E13247" t="n">
        <v>6.61</v>
      </c>
      <c r="F13247" t="n">
        <v>1</v>
      </c>
      <c r="G13247" t="n">
        <v>4</v>
      </c>
      <c r="H13247" s="5">
        <f>HYPERLINK("https://api.qogita.com/variants/link/0615908432442/", "View Product")</f>
        <v/>
      </c>
    </row>
    <row r="13248">
      <c r="A13248" t="inlineStr">
        <is>
          <t>0615908432893</t>
        </is>
      </c>
      <c r="B13248" t="inlineStr">
        <is>
          <t>BedHead Artistic Edit Wave Rider Versatile Styling Cream 3.38 Fl Oz</t>
        </is>
      </c>
      <c r="C13248" t="inlineStr">
        <is>
          <t>Styling Creams</t>
        </is>
      </c>
      <c r="D13248" t="inlineStr">
        <is>
          <t>Tigi Bed Head</t>
        </is>
      </c>
      <c r="E13248" t="n">
        <v>7.78</v>
      </c>
      <c r="F13248" t="n">
        <v>1</v>
      </c>
      <c r="G13248" t="n">
        <v>4</v>
      </c>
      <c r="H13248" s="5">
        <f>HYPERLINK("https://api.qogita.com/variants/link/0615908432893/", "View Product")</f>
        <v/>
      </c>
    </row>
    <row r="13249">
      <c r="A13249" t="inlineStr">
        <is>
          <t>0615908433500</t>
        </is>
      </c>
      <c r="B13249" t="inlineStr">
        <is>
          <t>Tigi Self Absorbed Mega Nutrient Shampoo 400ml</t>
        </is>
      </c>
      <c r="C13249" t="inlineStr">
        <is>
          <t>Shampoo</t>
        </is>
      </c>
      <c r="D13249" t="inlineStr">
        <is>
          <t>Tigi</t>
        </is>
      </c>
      <c r="E13249" t="n">
        <v>7.72</v>
      </c>
      <c r="F13249" t="n">
        <v>1</v>
      </c>
      <c r="G13249" t="n">
        <v>5</v>
      </c>
      <c r="H13249" s="5">
        <f>HYPERLINK("https://api.qogita.com/variants/link/0615908433500/", "View Product")</f>
        <v/>
      </c>
    </row>
    <row r="13250">
      <c r="A13250" t="inlineStr">
        <is>
          <t>0615908950991</t>
        </is>
      </c>
      <c r="B13250" t="inlineStr">
        <is>
          <t>Bed Head by TIGI Re-Energize Shampoo and Conditioner Set 2x750ml</t>
        </is>
      </c>
      <c r="C13250" t="inlineStr">
        <is>
          <t>Hair Care Sets</t>
        </is>
      </c>
      <c r="D13250" t="inlineStr">
        <is>
          <t>Tigi</t>
        </is>
      </c>
      <c r="E13250" t="n">
        <v>18.59</v>
      </c>
      <c r="F13250" t="n">
        <v>1</v>
      </c>
      <c r="G13250" t="n">
        <v>24</v>
      </c>
      <c r="H13250" s="5">
        <f>HYPERLINK("https://api.qogita.com/variants/link/0615908950991/", "View Product")</f>
        <v/>
      </c>
    </row>
    <row r="13251">
      <c r="A13251" t="inlineStr">
        <is>
          <t>0633911616307</t>
        </is>
      </c>
      <c r="B13251" t="inlineStr">
        <is>
          <t>Farouk CHI Infra Thermoprotective Treatment Multicolor 946ml</t>
        </is>
      </c>
      <c r="C13251" t="inlineStr">
        <is>
          <t>Uv Protection</t>
        </is>
      </c>
      <c r="D13251" t="inlineStr">
        <is>
          <t>Chi</t>
        </is>
      </c>
      <c r="E13251" t="n">
        <v>21.12</v>
      </c>
      <c r="F13251" t="n">
        <v>1</v>
      </c>
      <c r="G13251" t="n">
        <v>3</v>
      </c>
      <c r="H13251" s="5">
        <f>HYPERLINK("https://api.qogita.com/variants/link/0633911616307/", "View Product")</f>
        <v/>
      </c>
    </row>
    <row r="13252">
      <c r="A13252" t="inlineStr">
        <is>
          <t>0633911631256</t>
        </is>
      </c>
      <c r="B13252" t="inlineStr">
        <is>
          <t>Chi Infra Texture Hairspray 284ml</t>
        </is>
      </c>
      <c r="C13252" t="inlineStr">
        <is>
          <t>Hairspray</t>
        </is>
      </c>
      <c r="D13252" t="inlineStr">
        <is>
          <t>Chi</t>
        </is>
      </c>
      <c r="E13252" t="n">
        <v>10.56</v>
      </c>
      <c r="F13252" t="n">
        <v>1</v>
      </c>
      <c r="G13252" t="n">
        <v>5</v>
      </c>
      <c r="H13252" s="5">
        <f>HYPERLINK("https://api.qogita.com/variants/link/0633911631256/", "View Product")</f>
        <v/>
      </c>
    </row>
    <row r="13253">
      <c r="A13253" t="inlineStr">
        <is>
          <t>0633911674864</t>
        </is>
      </c>
      <c r="B13253" t="inlineStr">
        <is>
          <t>CHI Infra Shampoo for Unisex 6 oz</t>
        </is>
      </c>
      <c r="C13253" t="inlineStr">
        <is>
          <t>Shampoo</t>
        </is>
      </c>
      <c r="D13253" t="inlineStr">
        <is>
          <t>Chi</t>
        </is>
      </c>
      <c r="E13253" t="n">
        <v>7.08</v>
      </c>
      <c r="F13253" t="n">
        <v>1</v>
      </c>
      <c r="G13253" t="n">
        <v>16</v>
      </c>
      <c r="H13253" s="5">
        <f>HYPERLINK("https://api.qogita.com/variants/link/0633911674864/", "View Product")</f>
        <v/>
      </c>
    </row>
    <row r="13254">
      <c r="A13254" t="inlineStr">
        <is>
          <t>0633911689363</t>
        </is>
      </c>
      <c r="B13254" t="inlineStr">
        <is>
          <t>Farouk CHI Magnified Volume Conditioner 355ml</t>
        </is>
      </c>
      <c r="C13254" t="inlineStr">
        <is>
          <t>Conditioner</t>
        </is>
      </c>
      <c r="D13254" t="inlineStr">
        <is>
          <t>Chi</t>
        </is>
      </c>
      <c r="E13254" t="n">
        <v>9.859999999999999</v>
      </c>
      <c r="F13254" t="n">
        <v>1</v>
      </c>
      <c r="G13254" t="n">
        <v>5</v>
      </c>
      <c r="H13254" s="5">
        <f>HYPERLINK("https://api.qogita.com/variants/link/0633911689363/", "View Product")</f>
        <v/>
      </c>
    </row>
    <row r="13255">
      <c r="A13255" t="inlineStr">
        <is>
          <t>0633911728932</t>
        </is>
      </c>
      <c r="B13255" t="inlineStr">
        <is>
          <t>CHI Keratin leave in conditioner - 177 ml</t>
        </is>
      </c>
      <c r="C13255" t="inlineStr">
        <is>
          <t>Leave-In Conditioner</t>
        </is>
      </c>
      <c r="D13255" t="inlineStr">
        <is>
          <t>Chi</t>
        </is>
      </c>
      <c r="E13255" t="n">
        <v>9.119999999999999</v>
      </c>
      <c r="F13255" t="n">
        <v>1</v>
      </c>
      <c r="G13255" t="n">
        <v>9</v>
      </c>
      <c r="H13255" s="5">
        <f>HYPERLINK("https://api.qogita.com/variants/link/0633911728932/", "View Product")</f>
        <v/>
      </c>
    </row>
    <row r="13256">
      <c r="A13256" t="inlineStr">
        <is>
          <t>0633911730539</t>
        </is>
      </c>
      <c r="B13256" t="inlineStr">
        <is>
          <t>Farouk Biosilk Color Shampoo 355ml</t>
        </is>
      </c>
      <c r="C13256" t="inlineStr">
        <is>
          <t>Shampoo</t>
        </is>
      </c>
      <c r="D13256" t="inlineStr">
        <is>
          <t>Biosilk</t>
        </is>
      </c>
      <c r="E13256" t="n">
        <v>10.04</v>
      </c>
      <c r="F13256" t="n">
        <v>1</v>
      </c>
      <c r="G13256" t="n">
        <v>3</v>
      </c>
      <c r="H13256" s="5">
        <f>HYPERLINK("https://api.qogita.com/variants/link/0633911730539/", "View Product")</f>
        <v/>
      </c>
    </row>
    <row r="13257">
      <c r="A13257" t="inlineStr">
        <is>
          <t>0633911741658</t>
        </is>
      </c>
      <c r="B13257" t="inlineStr">
        <is>
          <t>Farouk Biosilk Moisturizing Shampoo 1000ml</t>
        </is>
      </c>
      <c r="C13257" t="inlineStr">
        <is>
          <t>Shampoo</t>
        </is>
      </c>
      <c r="D13257" t="inlineStr">
        <is>
          <t>Farouk Systems</t>
        </is>
      </c>
      <c r="E13257" t="n">
        <v>26.95</v>
      </c>
      <c r="F13257" t="n">
        <v>1</v>
      </c>
      <c r="G13257" t="n">
        <v>2</v>
      </c>
      <c r="H13257" s="5">
        <f>HYPERLINK("https://api.qogita.com/variants/link/0633911741658/", "View Product")</f>
        <v/>
      </c>
    </row>
    <row r="13258">
      <c r="A13258" t="inlineStr">
        <is>
          <t>0633911743850</t>
        </is>
      </c>
      <c r="B13258" t="inlineStr">
        <is>
          <t>Chi 44 Iron Guard Fixation Style and Stay 296ml</t>
        </is>
      </c>
      <c r="C13258" t="inlineStr">
        <is>
          <t>Heat Protection</t>
        </is>
      </c>
      <c r="D13258" t="inlineStr">
        <is>
          <t>Chi</t>
        </is>
      </c>
      <c r="E13258" t="n">
        <v>10.04</v>
      </c>
      <c r="F13258" t="n">
        <v>1</v>
      </c>
      <c r="G13258" t="n">
        <v>4</v>
      </c>
      <c r="H13258" s="5">
        <f>HYPERLINK("https://api.qogita.com/variants/link/0633911743850/", "View Product")</f>
        <v/>
      </c>
    </row>
    <row r="13259">
      <c r="A13259" t="inlineStr">
        <is>
          <t>0633911744208</t>
        </is>
      </c>
      <c r="B13259" t="inlineStr">
        <is>
          <t>Biosilk Silk Therapy Shine On Hair Spray 150ml</t>
        </is>
      </c>
      <c r="C13259" t="inlineStr">
        <is>
          <t>Hairspray</t>
        </is>
      </c>
      <c r="D13259" t="inlineStr">
        <is>
          <t>Biosilk</t>
        </is>
      </c>
      <c r="E13259" t="n">
        <v>9.69</v>
      </c>
      <c r="F13259" t="n">
        <v>1</v>
      </c>
      <c r="G13259" t="n">
        <v>11</v>
      </c>
      <c r="H13259" s="5">
        <f>HYPERLINK("https://api.qogita.com/variants/link/0633911744208/", "View Product")</f>
        <v/>
      </c>
    </row>
    <row r="13260">
      <c r="A13260" t="inlineStr">
        <is>
          <t>0633911744222</t>
        </is>
      </c>
      <c r="B13260" t="inlineStr">
        <is>
          <t>Biosilk Silk Therapy Finishing Spray Firm Hold 296ml</t>
        </is>
      </c>
      <c r="C13260" t="inlineStr">
        <is>
          <t>Hairspray</t>
        </is>
      </c>
      <c r="D13260" t="inlineStr">
        <is>
          <t>Biosilk</t>
        </is>
      </c>
      <c r="E13260" t="n">
        <v>9.640000000000001</v>
      </c>
      <c r="F13260" t="n">
        <v>1</v>
      </c>
      <c r="G13260" t="n">
        <v>3</v>
      </c>
      <c r="H13260" s="5">
        <f>HYPERLINK("https://api.qogita.com/variants/link/0633911744222/", "View Product")</f>
        <v/>
      </c>
    </row>
    <row r="13261">
      <c r="A13261" t="inlineStr">
        <is>
          <t>0633911744833</t>
        </is>
      </c>
      <c r="B13261" t="inlineStr">
        <is>
          <t>Farouk Biosilk Cleanse Silk Therapy Conditioner 355ml</t>
        </is>
      </c>
      <c r="C13261" t="inlineStr">
        <is>
          <t>Conditioner</t>
        </is>
      </c>
      <c r="D13261" t="inlineStr">
        <is>
          <t>Biosilk</t>
        </is>
      </c>
      <c r="E13261" t="n">
        <v>9.1</v>
      </c>
      <c r="F13261" t="n">
        <v>1</v>
      </c>
      <c r="G13261" t="n">
        <v>4</v>
      </c>
      <c r="H13261" s="5">
        <f>HYPERLINK("https://api.qogita.com/variants/link/0633911744833/", "View Product")</f>
        <v/>
      </c>
    </row>
    <row r="13262">
      <c r="A13262" t="inlineStr">
        <is>
          <t>0633911747186</t>
        </is>
      </c>
      <c r="B13262" t="inlineStr">
        <is>
          <t>Biosilk Silk Therapy Lite 167ml</t>
        </is>
      </c>
      <c r="C13262" t="inlineStr">
        <is>
          <t>Hair Oil &amp; Hair Serum</t>
        </is>
      </c>
      <c r="D13262" t="inlineStr">
        <is>
          <t>Biosilk</t>
        </is>
      </c>
      <c r="E13262" t="n">
        <v>15.62</v>
      </c>
      <c r="F13262" t="n">
        <v>1</v>
      </c>
      <c r="G13262" t="n">
        <v>11</v>
      </c>
      <c r="H13262" s="5">
        <f>HYPERLINK("https://api.qogita.com/variants/link/0633911747186/", "View Product")</f>
        <v/>
      </c>
    </row>
    <row r="13263">
      <c r="A13263" t="inlineStr">
        <is>
          <t>0633911774083</t>
        </is>
      </c>
      <c r="B13263" t="inlineStr">
        <is>
          <t>CHI Ionic Color Illuminate Conditioner #Red Auburn 251ml</t>
        </is>
      </c>
      <c r="C13263" t="inlineStr">
        <is>
          <t>Conditioner</t>
        </is>
      </c>
      <c r="D13263" t="inlineStr">
        <is>
          <t>Chi</t>
        </is>
      </c>
      <c r="E13263" t="n">
        <v>10.2</v>
      </c>
      <c r="F13263" t="n">
        <v>1</v>
      </c>
      <c r="G13263" t="n">
        <v>7</v>
      </c>
      <c r="H13263" s="5">
        <f>HYPERLINK("https://api.qogita.com/variants/link/0633911774083/", "View Product")</f>
        <v/>
      </c>
    </row>
    <row r="13264">
      <c r="A13264" t="inlineStr">
        <is>
          <t>0633911778784</t>
        </is>
      </c>
      <c r="B13264" t="inlineStr">
        <is>
          <t>CHI Deep Brilliance Optimum Moisture Conditioner 12 Fl Oz</t>
        </is>
      </c>
      <c r="C13264" t="inlineStr">
        <is>
          <t>Conditioner</t>
        </is>
      </c>
      <c r="D13264" t="inlineStr">
        <is>
          <t>Chi</t>
        </is>
      </c>
      <c r="E13264" t="n">
        <v>8.960000000000001</v>
      </c>
      <c r="F13264" t="n">
        <v>1</v>
      </c>
      <c r="G13264" t="n">
        <v>2</v>
      </c>
      <c r="H13264" s="5">
        <f>HYPERLINK("https://api.qogita.com/variants/link/0633911778784/", "View Product")</f>
        <v/>
      </c>
    </row>
    <row r="13265">
      <c r="A13265" t="inlineStr">
        <is>
          <t>0633911788349</t>
        </is>
      </c>
      <c r="B13265" t="inlineStr">
        <is>
          <t>CHI Luxury Black Seed Oil Gentle Cleansing Shampoo for Unisex 25oz  739ml.</t>
        </is>
      </c>
      <c r="C13265" t="inlineStr">
        <is>
          <t>Shampoo</t>
        </is>
      </c>
      <c r="D13265" t="inlineStr">
        <is>
          <t>Chi</t>
        </is>
      </c>
      <c r="E13265" t="n">
        <v>16.17</v>
      </c>
      <c r="F13265" t="n">
        <v>1</v>
      </c>
      <c r="G13265" t="n">
        <v>7</v>
      </c>
      <c r="H13265" s="5">
        <f>HYPERLINK("https://api.qogita.com/variants/link/0633911788349/", "View Product")</f>
        <v/>
      </c>
    </row>
    <row r="13266">
      <c r="A13266" t="inlineStr">
        <is>
          <t>0633911788486</t>
        </is>
      </c>
      <c r="B13266" t="inlineStr">
        <is>
          <t>CHI Luxury Black Seed Intense Repair Hot Oil Treatment 50ml</t>
        </is>
      </c>
      <c r="C13266" t="inlineStr">
        <is>
          <t>Hair Oil &amp; Hair Serum</t>
        </is>
      </c>
      <c r="D13266" t="inlineStr">
        <is>
          <t>Chi</t>
        </is>
      </c>
      <c r="E13266" t="n">
        <v>12.31</v>
      </c>
      <c r="F13266" t="n">
        <v>1</v>
      </c>
      <c r="G13266" t="n">
        <v>7</v>
      </c>
      <c r="H13266" s="5">
        <f>HYPERLINK("https://api.qogita.com/variants/link/0633911788486/", "View Product")</f>
        <v/>
      </c>
    </row>
    <row r="13267">
      <c r="A13267" t="inlineStr">
        <is>
          <t>0633911789223</t>
        </is>
      </c>
      <c r="B13267" t="inlineStr">
        <is>
          <t>Chi Powerplus Nourish Conditioner 355ml</t>
        </is>
      </c>
      <c r="C13267" t="inlineStr">
        <is>
          <t>Conditioner</t>
        </is>
      </c>
      <c r="D13267" t="inlineStr">
        <is>
          <t>Chi</t>
        </is>
      </c>
      <c r="E13267" t="n">
        <v>12.44</v>
      </c>
      <c r="F13267" t="n">
        <v>1</v>
      </c>
      <c r="G13267" t="n">
        <v>9</v>
      </c>
      <c r="H13267" s="5">
        <f>HYPERLINK("https://api.qogita.com/variants/link/0633911789223/", "View Product")</f>
        <v/>
      </c>
    </row>
    <row r="13268">
      <c r="A13268" t="inlineStr">
        <is>
          <t>0633911811535</t>
        </is>
      </c>
      <c r="B13268" t="inlineStr">
        <is>
          <t>CHI Aloe Vera Moisturizing Curl Cream 147ml</t>
        </is>
      </c>
      <c r="C13268" t="inlineStr">
        <is>
          <t>Conditioner</t>
        </is>
      </c>
      <c r="D13268" t="inlineStr">
        <is>
          <t>Chi</t>
        </is>
      </c>
      <c r="E13268" t="n">
        <v>14.54</v>
      </c>
      <c r="F13268" t="n">
        <v>1</v>
      </c>
      <c r="G13268" t="n">
        <v>12</v>
      </c>
      <c r="H13268" s="5">
        <f>HYPERLINK("https://api.qogita.com/variants/link/0633911811535/", "View Product")</f>
        <v/>
      </c>
    </row>
    <row r="13269">
      <c r="A13269" t="inlineStr">
        <is>
          <t>0633911844229</t>
        </is>
      </c>
      <c r="B13269" t="inlineStr">
        <is>
          <t>BioSilk Irresistible Collection Silk Therapy Leave-in Treatment 5.64oz Jasmine &amp; Honey Scent</t>
        </is>
      </c>
      <c r="C13269" t="inlineStr">
        <is>
          <t>Leave-In Conditioner</t>
        </is>
      </c>
      <c r="D13269" t="inlineStr">
        <is>
          <t>Biosilk</t>
        </is>
      </c>
      <c r="E13269" t="n">
        <v>15.45</v>
      </c>
      <c r="F13269" t="n">
        <v>1</v>
      </c>
      <c r="G13269" t="n">
        <v>5</v>
      </c>
      <c r="H13269" s="5">
        <f>HYPERLINK("https://api.qogita.com/variants/link/0633911844229/", "View Product")</f>
        <v/>
      </c>
    </row>
    <row r="13270">
      <c r="A13270" t="inlineStr">
        <is>
          <t>0633911847046</t>
        </is>
      </c>
      <c r="B13270" t="inlineStr">
        <is>
          <t>CHI Naturals with Aloe Vera Hydrating Conditioner 12oz</t>
        </is>
      </c>
      <c r="C13270" t="inlineStr">
        <is>
          <t>Conditioner</t>
        </is>
      </c>
      <c r="D13270" t="inlineStr">
        <is>
          <t>Chi</t>
        </is>
      </c>
      <c r="E13270" t="n">
        <v>8.949999999999999</v>
      </c>
      <c r="F13270" t="n">
        <v>1</v>
      </c>
      <c r="G13270" t="n">
        <v>4</v>
      </c>
      <c r="H13270" s="5">
        <f>HYPERLINK("https://api.qogita.com/variants/link/0633911847046/", "View Product")</f>
        <v/>
      </c>
    </row>
    <row r="13271">
      <c r="A13271" t="inlineStr">
        <is>
          <t>0633911850268</t>
        </is>
      </c>
      <c r="B13271" t="inlineStr">
        <is>
          <t>CHI Naturals Intensive Hydrating Hair Masque 177ml</t>
        </is>
      </c>
      <c r="C13271" t="inlineStr">
        <is>
          <t>Hair Masks</t>
        </is>
      </c>
      <c r="D13271" t="inlineStr">
        <is>
          <t>Chi</t>
        </is>
      </c>
      <c r="E13271" t="n">
        <v>8.550000000000001</v>
      </c>
      <c r="F13271" t="n">
        <v>1</v>
      </c>
      <c r="G13271" t="n">
        <v>4</v>
      </c>
      <c r="H13271" s="5">
        <f>HYPERLINK("https://api.qogita.com/variants/link/0633911850268/", "View Product")</f>
        <v/>
      </c>
    </row>
    <row r="13272">
      <c r="A13272" t="inlineStr">
        <is>
          <t>0633911853504</t>
        </is>
      </c>
      <c r="B13272" t="inlineStr">
        <is>
          <t>CHI CurlyCare Curl Conditioner 12 fl oz</t>
        </is>
      </c>
      <c r="C13272" t="inlineStr">
        <is>
          <t>Conditioner</t>
        </is>
      </c>
      <c r="D13272" t="inlineStr">
        <is>
          <t>Chi</t>
        </is>
      </c>
      <c r="E13272" t="n">
        <v>9.68</v>
      </c>
      <c r="F13272" t="n">
        <v>1</v>
      </c>
      <c r="G13272" t="n">
        <v>2</v>
      </c>
      <c r="H13272" s="5">
        <f>HYPERLINK("https://api.qogita.com/variants/link/0633911853504/", "View Product")</f>
        <v/>
      </c>
    </row>
    <row r="13273">
      <c r="A13273" t="inlineStr">
        <is>
          <t>0641628408023</t>
        </is>
      </c>
      <c r="B13273" t="inlineStr">
        <is>
          <t>ELEMIS Mayfair No.9 Hand and Body Wash 1.0ml</t>
        </is>
      </c>
      <c r="C13273" t="inlineStr">
        <is>
          <t>Soap</t>
        </is>
      </c>
      <c r="D13273" t="inlineStr">
        <is>
          <t>Elemis</t>
        </is>
      </c>
      <c r="E13273" t="n">
        <v>21.29</v>
      </c>
      <c r="F13273" t="n">
        <v>1</v>
      </c>
      <c r="G13273" t="n">
        <v>5</v>
      </c>
      <c r="H13273" s="5">
        <f>HYPERLINK("https://api.qogita.com/variants/link/0641628408023/", "View Product")</f>
        <v/>
      </c>
    </row>
    <row r="13274">
      <c r="A13274" t="inlineStr">
        <is>
          <t>0641628501304</t>
        </is>
      </c>
      <c r="B13274" t="inlineStr">
        <is>
          <t>ELEMIS Herbal Lavender Repair Mask Soothing Clay Mask 75ml</t>
        </is>
      </c>
      <c r="C13274" t="inlineStr">
        <is>
          <t>Clay Mask</t>
        </is>
      </c>
      <c r="D13274" t="inlineStr">
        <is>
          <t>Elemis</t>
        </is>
      </c>
      <c r="E13274" t="n">
        <v>20.9</v>
      </c>
      <c r="F13274" t="n">
        <v>1</v>
      </c>
      <c r="G13274" t="n">
        <v>9</v>
      </c>
      <c r="H13274" s="5">
        <f>HYPERLINK("https://api.qogita.com/variants/link/0641628501304/", "View Product")</f>
        <v/>
      </c>
    </row>
    <row r="13275">
      <c r="A13275" t="inlineStr">
        <is>
          <t>0641628602834</t>
        </is>
      </c>
      <c r="B13275" t="inlineStr">
        <is>
          <t>ELEMIS Pro-Collagen Cleansing Balm 3in1 Melting Facial Cleanser with 9 Nourishing Essential Oils 100g</t>
        </is>
      </c>
      <c r="C13275" t="inlineStr">
        <is>
          <t>Cleansing Oil</t>
        </is>
      </c>
      <c r="D13275" t="inlineStr">
        <is>
          <t>Elemis</t>
        </is>
      </c>
      <c r="E13275" t="n">
        <v>52.13</v>
      </c>
      <c r="F13275" t="n">
        <v>1</v>
      </c>
      <c r="G13275" t="n">
        <v>4</v>
      </c>
      <c r="H13275" s="5">
        <f>HYPERLINK("https://api.qogita.com/variants/link/0641628602834/", "View Product")</f>
        <v/>
      </c>
    </row>
    <row r="13276">
      <c r="A13276" t="inlineStr">
        <is>
          <t>0646875431527</t>
        </is>
      </c>
      <c r="B13276" t="inlineStr">
        <is>
          <t>Salvatore Ferragamo for Men 100ml EDT Spray</t>
        </is>
      </c>
      <c r="C13276" t="inlineStr">
        <is>
          <t>Eau De Toilette</t>
        </is>
      </c>
      <c r="D13276" t="inlineStr">
        <is>
          <t>Salvatore Ferragamo</t>
        </is>
      </c>
      <c r="E13276" t="n">
        <v>21.59</v>
      </c>
      <c r="F13276" t="n">
        <v>1</v>
      </c>
      <c r="G13276" t="n">
        <v>2</v>
      </c>
      <c r="H13276" s="5">
        <f>HYPERLINK("https://api.qogita.com/variants/link/0646875431527/", "View Product")</f>
        <v/>
      </c>
    </row>
    <row r="13277">
      <c r="A13277" t="inlineStr">
        <is>
          <t>0652012818267</t>
        </is>
      </c>
      <c r="B13277" t="inlineStr">
        <is>
          <t>Renier Perfumes Kisses Rain Eau De Parfum 50ml Unisex</t>
        </is>
      </c>
      <c r="C13277" t="inlineStr">
        <is>
          <t>Eau De Parfum</t>
        </is>
      </c>
      <c r="D13277" t="inlineStr">
        <is>
          <t>René Caovilla</t>
        </is>
      </c>
      <c r="E13277" t="n">
        <v>82.55</v>
      </c>
      <c r="F13277" t="n">
        <v>1</v>
      </c>
      <c r="G13277" t="n">
        <v>2</v>
      </c>
      <c r="H13277" s="5">
        <f>HYPERLINK("https://api.qogita.com/variants/link/0652012818267/", "View Product")</f>
        <v/>
      </c>
    </row>
    <row r="13278">
      <c r="A13278" t="inlineStr">
        <is>
          <t>0652685682103</t>
        </is>
      </c>
      <c r="B13278" t="inlineStr">
        <is>
          <t>ALYSSA ASHLEY Essence de Patchouli EDP Vapo 100ml</t>
        </is>
      </c>
      <c r="C13278" t="inlineStr">
        <is>
          <t>Eau De Parfum</t>
        </is>
      </c>
      <c r="D13278" t="inlineStr">
        <is>
          <t>Alyssa Ashley</t>
        </is>
      </c>
      <c r="E13278" t="n">
        <v>31.91</v>
      </c>
      <c r="F13278" t="n">
        <v>1</v>
      </c>
      <c r="G13278" t="n">
        <v>8</v>
      </c>
      <c r="H13278" s="5">
        <f>HYPERLINK("https://api.qogita.com/variants/link/0652685682103/", "View Product")</f>
        <v/>
      </c>
    </row>
    <row r="13279">
      <c r="A13279" t="inlineStr">
        <is>
          <t>0652685785507</t>
        </is>
      </c>
      <c r="B13279" t="inlineStr">
        <is>
          <t>Coco Vanilla Body Spray 100ml</t>
        </is>
      </c>
      <c r="C13279" t="inlineStr">
        <is>
          <t>Eau De Toilette</t>
        </is>
      </c>
      <c r="D13279" t="inlineStr">
        <is>
          <t>Alyssa Ashley</t>
        </is>
      </c>
      <c r="E13279" t="n">
        <v>3.05</v>
      </c>
      <c r="F13279" t="n">
        <v>1</v>
      </c>
      <c r="G13279" t="n">
        <v>10</v>
      </c>
      <c r="H13279" s="5">
        <f>HYPERLINK("https://api.qogita.com/variants/link/0652685785507/", "View Product")</f>
        <v/>
      </c>
    </row>
    <row r="13280">
      <c r="A13280" t="inlineStr">
        <is>
          <t>0654050129039</t>
        </is>
      </c>
      <c r="B13280" t="inlineStr">
        <is>
          <t>Lanza Ultimate Treatment Strength Power Booster 100ml</t>
        </is>
      </c>
      <c r="C13280" t="inlineStr">
        <is>
          <t>Hair Masks</t>
        </is>
      </c>
      <c r="D13280" t="inlineStr">
        <is>
          <t>L'Anza</t>
        </is>
      </c>
      <c r="E13280" t="n">
        <v>12.91</v>
      </c>
      <c r="F13280" t="n">
        <v>1</v>
      </c>
      <c r="G13280" t="n">
        <v>7</v>
      </c>
      <c r="H13280" s="5">
        <f>HYPERLINK("https://api.qogita.com/variants/link/0654050129039/", "View Product")</f>
        <v/>
      </c>
    </row>
    <row r="13281">
      <c r="A13281" t="inlineStr">
        <is>
          <t>0663350052374</t>
        </is>
      </c>
      <c r="B13281" t="inlineStr">
        <is>
          <t>Barbie Body Cologne for Women Body Spray 6.8 Ounces New</t>
        </is>
      </c>
      <c r="C13281" t="inlineStr">
        <is>
          <t>Eau De Cologne</t>
        </is>
      </c>
      <c r="D13281" t="inlineStr">
        <is>
          <t>Barbie</t>
        </is>
      </c>
      <c r="E13281" t="n">
        <v>5.88</v>
      </c>
      <c r="F13281" t="n">
        <v>1</v>
      </c>
      <c r="G13281" t="n">
        <v>14</v>
      </c>
      <c r="H13281" s="5">
        <f>HYPERLINK("https://api.qogita.com/variants/link/0663350052374/", "View Product")</f>
        <v/>
      </c>
    </row>
    <row r="13282">
      <c r="A13282" t="inlineStr">
        <is>
          <t>0666151010710</t>
        </is>
      </c>
      <c r="B13282" t="inlineStr">
        <is>
          <t>Age Smart Skin Resurfacing Cleanser 150ml</t>
        </is>
      </c>
      <c r="C13282" t="inlineStr">
        <is>
          <t>Cleansing Cream</t>
        </is>
      </c>
      <c r="D13282" t="inlineStr">
        <is>
          <t>Dermalogica</t>
        </is>
      </c>
      <c r="E13282" t="n">
        <v>37.68</v>
      </c>
      <c r="F13282" t="n">
        <v>1</v>
      </c>
      <c r="G13282" t="n">
        <v>6</v>
      </c>
      <c r="H13282" s="5">
        <f>HYPERLINK("https://api.qogita.com/variants/link/0666151010710/", "View Product")</f>
        <v/>
      </c>
    </row>
    <row r="13283">
      <c r="A13283" t="inlineStr">
        <is>
          <t>0666151030855</t>
        </is>
      </c>
      <c r="B13283" t="inlineStr">
        <is>
          <t>Dermalogica Active Moist Oil-Free Lightweight Face Moisturizer 1.7 Fl Oz</t>
        </is>
      </c>
      <c r="C13283" t="inlineStr">
        <is>
          <t>Face Cream</t>
        </is>
      </c>
      <c r="D13283" t="inlineStr">
        <is>
          <t>Dermalogica</t>
        </is>
      </c>
      <c r="E13283" t="n">
        <v>47.56</v>
      </c>
      <c r="F13283" t="n">
        <v>1</v>
      </c>
      <c r="G13283" t="n">
        <v>16</v>
      </c>
      <c r="H13283" s="5">
        <f>HYPERLINK("https://api.qogita.com/variants/link/0666151030855/", "View Product")</f>
        <v/>
      </c>
    </row>
    <row r="13284">
      <c r="A13284" t="inlineStr">
        <is>
          <t>0666151032156</t>
        </is>
      </c>
      <c r="B13284" t="inlineStr">
        <is>
          <t>Dermalogica Skin Smoothing Cream 15ml</t>
        </is>
      </c>
      <c r="C13284" t="inlineStr">
        <is>
          <t>Face Cream</t>
        </is>
      </c>
      <c r="D13284" t="inlineStr">
        <is>
          <t>Dermalogica</t>
        </is>
      </c>
      <c r="E13284" t="n">
        <v>13.03</v>
      </c>
      <c r="F13284" t="n">
        <v>1</v>
      </c>
      <c r="G13284" t="n">
        <v>8</v>
      </c>
      <c r="H13284" s="5">
        <f>HYPERLINK("https://api.qogita.com/variants/link/0666151032156/", "View Product")</f>
        <v/>
      </c>
    </row>
    <row r="13285">
      <c r="A13285" t="inlineStr">
        <is>
          <t>0666151033030</t>
        </is>
      </c>
      <c r="B13285" t="inlineStr">
        <is>
          <t>Dermalogica Intensive Moisture Balance Face Moisturizer with Hyaluronic Acid 0.5 Fl Oz</t>
        </is>
      </c>
      <c r="C13285" t="inlineStr">
        <is>
          <t>Face Cream</t>
        </is>
      </c>
      <c r="D13285" t="inlineStr">
        <is>
          <t>Dermalogica</t>
        </is>
      </c>
      <c r="E13285" t="n">
        <v>13.74</v>
      </c>
      <c r="F13285" t="n">
        <v>1</v>
      </c>
      <c r="G13285" t="n">
        <v>15</v>
      </c>
      <c r="H13285" s="5">
        <f>HYPERLINK("https://api.qogita.com/variants/link/0666151033030/", "View Product")</f>
        <v/>
      </c>
    </row>
    <row r="13286">
      <c r="A13286" t="inlineStr">
        <is>
          <t>0666151062252</t>
        </is>
      </c>
      <c r="B13286" t="inlineStr">
        <is>
          <t>Dermalogica Phyto-Nature Firming Serum Anti-Aging Face Serum with Hyaluronic Acid 1.3 Fl Oz</t>
        </is>
      </c>
      <c r="C13286" t="inlineStr">
        <is>
          <t>Anti-Aging Serum</t>
        </is>
      </c>
      <c r="D13286" t="inlineStr">
        <is>
          <t>Dermalogica</t>
        </is>
      </c>
      <c r="E13286" t="n">
        <v>125.19</v>
      </c>
      <c r="F13286" t="n">
        <v>1</v>
      </c>
      <c r="G13286" t="n">
        <v>2</v>
      </c>
      <c r="H13286" s="5">
        <f>HYPERLINK("https://api.qogita.com/variants/link/0666151062252/", "View Product")</f>
        <v/>
      </c>
    </row>
    <row r="13287">
      <c r="A13287" t="inlineStr">
        <is>
          <t>0666151062313</t>
        </is>
      </c>
      <c r="B13287" t="inlineStr">
        <is>
          <t>Dermalogica Retinol Clearing Oil 30ml</t>
        </is>
      </c>
      <c r="C13287" t="inlineStr">
        <is>
          <t>Facial Oil</t>
        </is>
      </c>
      <c r="D13287" t="inlineStr">
        <is>
          <t>Dermalogica</t>
        </is>
      </c>
      <c r="E13287" t="n">
        <v>62.95</v>
      </c>
      <c r="F13287" t="n">
        <v>1</v>
      </c>
      <c r="G13287" t="n">
        <v>2</v>
      </c>
      <c r="H13287" s="5">
        <f>HYPERLINK("https://api.qogita.com/variants/link/0666151062313/", "View Product")</f>
        <v/>
      </c>
    </row>
    <row r="13288">
      <c r="A13288" t="inlineStr">
        <is>
          <t>0666151111325</t>
        </is>
      </c>
      <c r="B13288" t="inlineStr">
        <is>
          <t>Dermalogica Invisible Physical Defense SPF30 50ml</t>
        </is>
      </c>
      <c r="C13288" t="inlineStr">
        <is>
          <t>Face Sun Protection</t>
        </is>
      </c>
      <c r="D13288" t="inlineStr">
        <is>
          <t>Dermalogica</t>
        </is>
      </c>
      <c r="E13288" t="n">
        <v>40.67</v>
      </c>
      <c r="F13288" t="n">
        <v>1</v>
      </c>
      <c r="G13288" t="n">
        <v>11</v>
      </c>
      <c r="H13288" s="5">
        <f>HYPERLINK("https://api.qogita.com/variants/link/0666151111325/", "View Product")</f>
        <v/>
      </c>
    </row>
    <row r="13289">
      <c r="A13289" t="inlineStr">
        <is>
          <t>0666151112643</t>
        </is>
      </c>
      <c r="B13289" t="inlineStr">
        <is>
          <t>Dermalogica Clear Start Post-break Out Fix 15ml</t>
        </is>
      </c>
      <c r="C13289" t="inlineStr">
        <is>
          <t>Pimple &amp; Blackhead Treatments</t>
        </is>
      </c>
      <c r="D13289" t="inlineStr">
        <is>
          <t>Dermalogica</t>
        </is>
      </c>
      <c r="E13289" t="n">
        <v>19.65</v>
      </c>
      <c r="F13289" t="n">
        <v>1</v>
      </c>
      <c r="G13289" t="n">
        <v>5</v>
      </c>
      <c r="H13289" s="5">
        <f>HYPERLINK("https://api.qogita.com/variants/link/0666151112643/", "View Product")</f>
        <v/>
      </c>
    </row>
    <row r="13290">
      <c r="A13290" t="inlineStr">
        <is>
          <t>0666151113428</t>
        </is>
      </c>
      <c r="B13290" t="inlineStr">
        <is>
          <t>Porescreen SPF 40</t>
        </is>
      </c>
      <c r="C13290" t="inlineStr">
        <is>
          <t>Face Sun Protection</t>
        </is>
      </c>
      <c r="D13290" t="inlineStr">
        <is>
          <t>Dermalogica</t>
        </is>
      </c>
      <c r="E13290" t="n">
        <v>50.87</v>
      </c>
      <c r="F13290" t="n">
        <v>1</v>
      </c>
      <c r="G13290" t="n">
        <v>14</v>
      </c>
      <c r="H13290" s="5">
        <f>HYPERLINK("https://api.qogita.com/variants/link/0666151113428/", "View Product")</f>
        <v/>
      </c>
    </row>
    <row r="13291">
      <c r="A13291" t="inlineStr">
        <is>
          <t>0666151115002</t>
        </is>
      </c>
      <c r="B13291" t="inlineStr">
        <is>
          <t>Dermalogica Biolumin C Night Restore 25ml</t>
        </is>
      </c>
      <c r="C13291" t="inlineStr">
        <is>
          <t>Vitamin Serum</t>
        </is>
      </c>
      <c r="D13291" t="inlineStr">
        <is>
          <t>Dermalogica</t>
        </is>
      </c>
      <c r="E13291" t="n">
        <v>84.23</v>
      </c>
      <c r="F13291" t="n">
        <v>1</v>
      </c>
      <c r="G13291" t="n">
        <v>10</v>
      </c>
      <c r="H13291" s="5">
        <f>HYPERLINK("https://api.qogita.com/variants/link/0666151115002/", "View Product")</f>
        <v/>
      </c>
    </row>
    <row r="13292">
      <c r="A13292" t="inlineStr">
        <is>
          <t>0666151115224</t>
        </is>
      </c>
      <c r="B13292" t="inlineStr">
        <is>
          <t>Dermalogica Stressed Skin System with Multivitamin Power Recovery Cream 50ml</t>
        </is>
      </c>
      <c r="C13292" t="inlineStr">
        <is>
          <t>Face Cream</t>
        </is>
      </c>
      <c r="D13292" t="inlineStr">
        <is>
          <t>Dermalogica</t>
        </is>
      </c>
      <c r="E13292" t="n">
        <v>112.68</v>
      </c>
      <c r="F13292" t="n">
        <v>1</v>
      </c>
      <c r="G13292" t="n">
        <v>7</v>
      </c>
      <c r="H13292" s="5">
        <f>HYPERLINK("https://api.qogita.com/variants/link/0666151115224/", "View Product")</f>
        <v/>
      </c>
    </row>
    <row r="13293">
      <c r="A13293" t="inlineStr">
        <is>
          <t>0667547645042</t>
        </is>
      </c>
      <c r="B13293" t="inlineStr">
        <is>
          <t>Victoria's Secret Charcoal Coconut Face Sheet Masks Moisturizing Detox</t>
        </is>
      </c>
      <c r="C13293" t="inlineStr">
        <is>
          <t>Sheet Mask</t>
        </is>
      </c>
      <c r="D13293" t="inlineStr">
        <is>
          <t>Victoria's Secret</t>
        </is>
      </c>
      <c r="E13293" t="n">
        <v>3.77</v>
      </c>
      <c r="F13293" t="n">
        <v>1</v>
      </c>
      <c r="G13293" t="n">
        <v>8</v>
      </c>
      <c r="H13293" s="5">
        <f>HYPERLINK("https://api.qogita.com/variants/link/0667547645042/", "View Product")</f>
        <v/>
      </c>
    </row>
    <row r="13294">
      <c r="A13294" t="inlineStr">
        <is>
          <t>0667548823357</t>
        </is>
      </c>
      <c r="B13294" t="inlineStr">
        <is>
          <t>Victoria's Secret Tease Dreamer Eau de Parfum 100ml</t>
        </is>
      </c>
      <c r="C13294" t="inlineStr">
        <is>
          <t>Eau De Parfum</t>
        </is>
      </c>
      <c r="D13294" t="inlineStr">
        <is>
          <t>Victoria's Secret</t>
        </is>
      </c>
      <c r="E13294" t="n">
        <v>51.88</v>
      </c>
      <c r="F13294" t="n">
        <v>1</v>
      </c>
      <c r="G13294" t="n">
        <v>5</v>
      </c>
      <c r="H13294" s="5">
        <f>HYPERLINK("https://api.qogita.com/variants/link/0667548823357/", "View Product")</f>
        <v/>
      </c>
    </row>
    <row r="13295">
      <c r="A13295" t="inlineStr">
        <is>
          <t>0667548823395</t>
        </is>
      </c>
      <c r="B13295" t="inlineStr">
        <is>
          <t>Victoria's Secret Tease Dreamer Fragrance Mist 8.4 fl oz</t>
        </is>
      </c>
      <c r="C13295" t="inlineStr">
        <is>
          <t>Eau De Toilette</t>
        </is>
      </c>
      <c r="D13295" t="inlineStr">
        <is>
          <t>Victoria's Secret</t>
        </is>
      </c>
      <c r="E13295" t="n">
        <v>16.44</v>
      </c>
      <c r="F13295" t="n">
        <v>1</v>
      </c>
      <c r="G13295" t="n">
        <v>4</v>
      </c>
      <c r="H13295" s="5">
        <f>HYPERLINK("https://api.qogita.com/variants/link/0667548823395/", "View Product")</f>
        <v/>
      </c>
    </row>
    <row r="13296">
      <c r="A13296" t="inlineStr">
        <is>
          <t>0667551441944</t>
        </is>
      </c>
      <c r="B13296" t="inlineStr">
        <is>
          <t>Victoria's Secret First Love Eau De Parfum Spray 3.4 oz Women Floral</t>
        </is>
      </c>
      <c r="C13296" t="inlineStr">
        <is>
          <t>Eau De Parfum</t>
        </is>
      </c>
      <c r="D13296" t="inlineStr">
        <is>
          <t>Victoria's Secret</t>
        </is>
      </c>
      <c r="E13296" t="n">
        <v>55.77</v>
      </c>
      <c r="F13296" t="n">
        <v>1</v>
      </c>
      <c r="G13296" t="n">
        <v>20</v>
      </c>
      <c r="H13296" s="5">
        <f>HYPERLINK("https://api.qogita.com/variants/link/0667551441944/", "View Product")</f>
        <v/>
      </c>
    </row>
    <row r="13297">
      <c r="A13297" t="inlineStr">
        <is>
          <t>0667552691010</t>
        </is>
      </c>
      <c r="B13297" t="inlineStr">
        <is>
          <t>Victoria's Secret Tease Candy Noir Fine Fragrance 8.4oz Mist 8.4 Fl Oz</t>
        </is>
      </c>
      <c r="C13297" t="inlineStr">
        <is>
          <t>Eau De Parfum</t>
        </is>
      </c>
      <c r="D13297" t="inlineStr">
        <is>
          <t>Victoria's Secret</t>
        </is>
      </c>
      <c r="E13297" t="n">
        <v>16.44</v>
      </c>
      <c r="F13297" t="n">
        <v>1</v>
      </c>
      <c r="G13297" t="n">
        <v>17</v>
      </c>
      <c r="H13297" s="5">
        <f>HYPERLINK("https://api.qogita.com/variants/link/0667552691010/", "View Product")</f>
        <v/>
      </c>
    </row>
    <row r="13298">
      <c r="A13298" t="inlineStr">
        <is>
          <t>0667552691171</t>
        </is>
      </c>
      <c r="B13298" t="inlineStr">
        <is>
          <t>Victoria's Secret Bombshell Passion Eau de Parfum 3.4oz</t>
        </is>
      </c>
      <c r="C13298" t="inlineStr">
        <is>
          <t>Eau De Parfum</t>
        </is>
      </c>
      <c r="D13298" t="inlineStr">
        <is>
          <t>Victoria's Secret</t>
        </is>
      </c>
      <c r="E13298" t="n">
        <v>64.37</v>
      </c>
      <c r="F13298" t="n">
        <v>1</v>
      </c>
      <c r="G13298" t="n">
        <v>14</v>
      </c>
      <c r="H13298" s="5">
        <f>HYPERLINK("https://api.qogita.com/variants/link/0667552691171/", "View Product")</f>
        <v/>
      </c>
    </row>
    <row r="13299">
      <c r="A13299" t="inlineStr">
        <is>
          <t>0667554992665</t>
        </is>
      </c>
      <c r="B13299" t="inlineStr">
        <is>
          <t>Victoria's Secret Tease Crème Cloud Eau de Parfum 100ml for Women</t>
        </is>
      </c>
      <c r="C13299" t="inlineStr">
        <is>
          <t>Eau De Parfum</t>
        </is>
      </c>
      <c r="D13299" t="inlineStr">
        <is>
          <t>Victoria's Secret</t>
        </is>
      </c>
      <c r="E13299" t="n">
        <v>51.39</v>
      </c>
      <c r="F13299" t="n">
        <v>1</v>
      </c>
      <c r="G13299" t="n">
        <v>15</v>
      </c>
      <c r="H13299" s="5">
        <f>HYPERLINK("https://api.qogita.com/variants/link/0667554992665/", "View Product")</f>
        <v/>
      </c>
    </row>
    <row r="13300">
      <c r="A13300" t="inlineStr">
        <is>
          <t>0667555248396</t>
        </is>
      </c>
      <c r="B13300" t="inlineStr">
        <is>
          <t>Victoria's Secret Cactus Water Fragrance Mist 250ml</t>
        </is>
      </c>
      <c r="C13300" t="inlineStr">
        <is>
          <t>Eau De Toilette</t>
        </is>
      </c>
      <c r="D13300" t="inlineStr">
        <is>
          <t>Victoria's Secret</t>
        </is>
      </c>
      <c r="E13300" t="n">
        <v>15.97</v>
      </c>
      <c r="F13300" t="n">
        <v>1</v>
      </c>
      <c r="G13300" t="n">
        <v>12</v>
      </c>
      <c r="H13300" s="5">
        <f>HYPERLINK("https://api.qogita.com/variants/link/0667555248396/", "View Product")</f>
        <v/>
      </c>
    </row>
    <row r="13301">
      <c r="A13301" t="inlineStr">
        <is>
          <t>0667556407082</t>
        </is>
      </c>
      <c r="B13301" t="inlineStr">
        <is>
          <t>Victoria's Secret Rose Hardcore Eau De Parfum Spray for Women 3.4 oz</t>
        </is>
      </c>
      <c r="C13301" t="inlineStr">
        <is>
          <t>Eau De Parfum</t>
        </is>
      </c>
      <c r="D13301" t="inlineStr">
        <is>
          <t>Victoria's Secret</t>
        </is>
      </c>
      <c r="E13301" t="n">
        <v>45.84</v>
      </c>
      <c r="F13301" t="n">
        <v>1</v>
      </c>
      <c r="G13301" t="n">
        <v>5</v>
      </c>
      <c r="H13301" s="5">
        <f>HYPERLINK("https://api.qogita.com/variants/link/0667556407082/", "View Product")</f>
        <v/>
      </c>
    </row>
    <row r="13302">
      <c r="A13302" t="inlineStr">
        <is>
          <t>0667556407174</t>
        </is>
      </c>
      <c r="B13302" t="inlineStr">
        <is>
          <t>Victoria's Secret Very Sexy Now Eau De Parfum Women Spray 100ml</t>
        </is>
      </c>
      <c r="C13302" t="inlineStr">
        <is>
          <t>Eau De Parfum</t>
        </is>
      </c>
      <c r="D13302" t="inlineStr">
        <is>
          <t>Victoria's Secret</t>
        </is>
      </c>
      <c r="E13302" t="n">
        <v>51.82</v>
      </c>
      <c r="F13302" t="n">
        <v>1</v>
      </c>
      <c r="G13302" t="n">
        <v>6</v>
      </c>
      <c r="H13302" s="5">
        <f>HYPERLINK("https://api.qogita.com/variants/link/0667556407174/", "View Product")</f>
        <v/>
      </c>
    </row>
    <row r="13303">
      <c r="A13303" t="inlineStr">
        <is>
          <t>0667556407181</t>
        </is>
      </c>
      <c r="B13303" t="inlineStr">
        <is>
          <t>Victoria's Secret Very Sexy Now Mist 8.4</t>
        </is>
      </c>
      <c r="C13303" t="inlineStr">
        <is>
          <t>Eau De Toilette</t>
        </is>
      </c>
      <c r="D13303" t="inlineStr">
        <is>
          <t>Victoria's Secret</t>
        </is>
      </c>
      <c r="E13303" t="n">
        <v>14.63</v>
      </c>
      <c r="F13303" t="n">
        <v>1</v>
      </c>
      <c r="G13303" t="n">
        <v>14</v>
      </c>
      <c r="H13303" s="5">
        <f>HYPERLINK("https://api.qogita.com/variants/link/0667556407181/", "View Product")</f>
        <v/>
      </c>
    </row>
    <row r="13304">
      <c r="A13304" t="inlineStr">
        <is>
          <t>0667556489989</t>
        </is>
      </c>
      <c r="B13304" t="inlineStr">
        <is>
          <t>Victoria's Secret Velvet Petals Fragrance Mist Spray for Women 8.4 fl. oz.</t>
        </is>
      </c>
      <c r="C13304" t="inlineStr">
        <is>
          <t>Fragrance Sets</t>
        </is>
      </c>
      <c r="D13304" t="inlineStr">
        <is>
          <t>Victoria's Secret</t>
        </is>
      </c>
      <c r="E13304" t="n">
        <v>14.87</v>
      </c>
      <c r="F13304" t="n">
        <v>1</v>
      </c>
      <c r="G13304" t="n">
        <v>119</v>
      </c>
      <c r="H13304" s="5">
        <f>HYPERLINK("https://api.qogita.com/variants/link/0667556489989/", "View Product")</f>
        <v/>
      </c>
    </row>
    <row r="13305">
      <c r="A13305" t="inlineStr">
        <is>
          <t>0667556605037</t>
        </is>
      </c>
      <c r="B13305" t="inlineStr">
        <is>
          <t>Victoria's Secret Midnight Bloom Body Mist 250ml</t>
        </is>
      </c>
      <c r="C13305" t="inlineStr">
        <is>
          <t>Body Care Sets</t>
        </is>
      </c>
      <c r="D13305" t="inlineStr">
        <is>
          <t>Victoria's Secret</t>
        </is>
      </c>
      <c r="E13305" t="n">
        <v>14.82</v>
      </c>
      <c r="F13305" t="n">
        <v>1</v>
      </c>
      <c r="G13305" t="n">
        <v>58</v>
      </c>
      <c r="H13305" s="5">
        <f>HYPERLINK("https://api.qogita.com/variants/link/0667556605037/", "View Product")</f>
        <v/>
      </c>
    </row>
    <row r="13306">
      <c r="A13306" t="inlineStr">
        <is>
          <t>0667556605044</t>
        </is>
      </c>
      <c r="B13306" t="inlineStr">
        <is>
          <t>Victoria's Secret Temptation Fragrance Mist Bodyspray 250ml</t>
        </is>
      </c>
      <c r="C13306" t="inlineStr">
        <is>
          <t>Fragrance Sets</t>
        </is>
      </c>
      <c r="D13306" t="inlineStr">
        <is>
          <t>Victoria's Secret</t>
        </is>
      </c>
      <c r="E13306" t="n">
        <v>17.74</v>
      </c>
      <c r="F13306" t="n">
        <v>1</v>
      </c>
      <c r="G13306" t="n">
        <v>403</v>
      </c>
      <c r="H13306" s="5">
        <f>HYPERLINK("https://api.qogita.com/variants/link/0667556605044/", "View Product")</f>
        <v/>
      </c>
    </row>
    <row r="13307">
      <c r="A13307" t="inlineStr">
        <is>
          <t>0667557109541</t>
        </is>
      </c>
      <c r="B13307" t="inlineStr">
        <is>
          <t>Victoria's Secret Pomegranate Lotus Balance 250ml Body Wash</t>
        </is>
      </c>
      <c r="C13307" t="inlineStr">
        <is>
          <t>Shower Gel</t>
        </is>
      </c>
      <c r="D13307" t="inlineStr">
        <is>
          <t>Victoria's Secret</t>
        </is>
      </c>
      <c r="E13307" t="n">
        <v>12.72</v>
      </c>
      <c r="F13307" t="n">
        <v>1</v>
      </c>
      <c r="G13307" t="n">
        <v>85</v>
      </c>
      <c r="H13307" s="5">
        <f>HYPERLINK("https://api.qogita.com/variants/link/0667557109541/", "View Product")</f>
        <v/>
      </c>
    </row>
    <row r="13308">
      <c r="A13308" t="inlineStr">
        <is>
          <t>0667557894638</t>
        </is>
      </c>
      <c r="B13308" t="inlineStr">
        <is>
          <t>Victoria's Secret Love Spell Fragrance Body Lotion 8 fl oz</t>
        </is>
      </c>
      <c r="C13308" t="inlineStr">
        <is>
          <t>Body Lotion</t>
        </is>
      </c>
      <c r="D13308" t="inlineStr">
        <is>
          <t>Victoria's Secret</t>
        </is>
      </c>
      <c r="E13308" t="n">
        <v>14.87</v>
      </c>
      <c r="F13308" t="n">
        <v>1</v>
      </c>
      <c r="G13308" t="n">
        <v>50</v>
      </c>
      <c r="H13308" s="5">
        <f>HYPERLINK("https://api.qogita.com/variants/link/0667557894638/", "View Product")</f>
        <v/>
      </c>
    </row>
    <row r="13309">
      <c r="A13309" t="inlineStr">
        <is>
          <t>0667557894645</t>
        </is>
      </c>
      <c r="B13309" t="inlineStr">
        <is>
          <t>Victoria's Secret Pure Seduction Fragrance Body Lotion 8 oz - Limited Edition</t>
        </is>
      </c>
      <c r="C13309" t="inlineStr">
        <is>
          <t>Body Lotion</t>
        </is>
      </c>
      <c r="D13309" t="inlineStr">
        <is>
          <t>Victoria's Secret</t>
        </is>
      </c>
      <c r="E13309" t="n">
        <v>14.92</v>
      </c>
      <c r="F13309" t="n">
        <v>1</v>
      </c>
      <c r="G13309" t="n">
        <v>35</v>
      </c>
      <c r="H13309" s="5">
        <f>HYPERLINK("https://api.qogita.com/variants/link/0667557894645/", "View Product")</f>
        <v/>
      </c>
    </row>
    <row r="13310">
      <c r="A13310" t="inlineStr">
        <is>
          <t>0667557895444</t>
        </is>
      </c>
      <c r="B13310" t="inlineStr">
        <is>
          <t>Victoria's Secret Romantic Body Lotion</t>
        </is>
      </c>
      <c r="C13310" t="inlineStr">
        <is>
          <t>Body Lotion</t>
        </is>
      </c>
      <c r="D13310" t="inlineStr">
        <is>
          <t>Victoria's Secret</t>
        </is>
      </c>
      <c r="E13310" t="n">
        <v>17.07</v>
      </c>
      <c r="F13310" t="n">
        <v>1</v>
      </c>
      <c r="G13310" t="n">
        <v>16</v>
      </c>
      <c r="H13310" s="5">
        <f>HYPERLINK("https://api.qogita.com/variants/link/0667557895444/", "View Product")</f>
        <v/>
      </c>
    </row>
    <row r="13311">
      <c r="A13311" t="inlineStr">
        <is>
          <t>0667557971377</t>
        </is>
      </c>
      <c r="B13311" t="inlineStr">
        <is>
          <t>Victoria's Secret Tease Candy Noir Eau de Parfum 100ml</t>
        </is>
      </c>
      <c r="C13311" t="inlineStr">
        <is>
          <t>Eau De Parfum</t>
        </is>
      </c>
      <c r="D13311" t="inlineStr">
        <is>
          <t>Victoria's Secret</t>
        </is>
      </c>
      <c r="E13311" t="n">
        <v>58.44</v>
      </c>
      <c r="F13311" t="n">
        <v>1</v>
      </c>
      <c r="G13311" t="n">
        <v>6</v>
      </c>
      <c r="H13311" s="5">
        <f>HYPERLINK("https://api.qogita.com/variants/link/0667557971377/", "View Product")</f>
        <v/>
      </c>
    </row>
    <row r="13312">
      <c r="A13312" t="inlineStr">
        <is>
          <t>0667558215067</t>
        </is>
      </c>
      <c r="B13312" t="inlineStr">
        <is>
          <t>Victoria's Secret Fearless Eau de Parfum 50ml</t>
        </is>
      </c>
      <c r="C13312" t="inlineStr">
        <is>
          <t>Eau De Parfum</t>
        </is>
      </c>
      <c r="D13312" t="inlineStr">
        <is>
          <t>Secret</t>
        </is>
      </c>
      <c r="E13312" t="n">
        <v>28.58</v>
      </c>
      <c r="F13312" t="n">
        <v>1</v>
      </c>
      <c r="G13312" t="n">
        <v>4</v>
      </c>
      <c r="H13312" s="5">
        <f>HYPERLINK("https://api.qogita.com/variants/link/0667558215067/", "View Product")</f>
        <v/>
      </c>
    </row>
    <row r="13313">
      <c r="A13313" t="inlineStr">
        <is>
          <t>0667558220962</t>
        </is>
      </c>
      <c r="B13313" t="inlineStr">
        <is>
          <t>Victoria's Secret Fragrance Body Mist Perfume Spray Splash 8.4 oz</t>
        </is>
      </c>
      <c r="C13313" t="inlineStr">
        <is>
          <t>Eau De Toilette</t>
        </is>
      </c>
      <c r="D13313" t="inlineStr">
        <is>
          <t>Victoria's Secret</t>
        </is>
      </c>
      <c r="E13313" t="n">
        <v>13.96</v>
      </c>
      <c r="F13313" t="n">
        <v>1</v>
      </c>
      <c r="G13313" t="n">
        <v>10</v>
      </c>
      <c r="H13313" s="5">
        <f>HYPERLINK("https://api.qogita.com/variants/link/0667558220962/", "View Product")</f>
        <v/>
      </c>
    </row>
    <row r="13314">
      <c r="A13314" t="inlineStr">
        <is>
          <t>0667558220979</t>
        </is>
      </c>
      <c r="B13314" t="inlineStr">
        <is>
          <t>Victoria's Secret Fragrance Body Mist Perfume Spray Full Size 8.4 Oz</t>
        </is>
      </c>
      <c r="C13314" t="inlineStr">
        <is>
          <t>Fragrance Sets</t>
        </is>
      </c>
      <c r="D13314" t="inlineStr">
        <is>
          <t>Victoria's Secret</t>
        </is>
      </c>
      <c r="E13314" t="n">
        <v>14</v>
      </c>
      <c r="F13314" t="n">
        <v>1</v>
      </c>
      <c r="G13314" t="n">
        <v>2</v>
      </c>
      <c r="H13314" s="5">
        <f>HYPERLINK("https://api.qogita.com/variants/link/0667558220979/", "View Product")</f>
        <v/>
      </c>
    </row>
    <row r="13315">
      <c r="A13315" t="inlineStr">
        <is>
          <t>0667558227121</t>
        </is>
      </c>
      <c r="B13315" t="inlineStr">
        <is>
          <t>Victoria's Secret Berry Spill Fragrance Mist 250ml</t>
        </is>
      </c>
      <c r="C13315" t="inlineStr">
        <is>
          <t>Eau De Toilette</t>
        </is>
      </c>
      <c r="D13315" t="inlineStr">
        <is>
          <t>Victoria's Secret</t>
        </is>
      </c>
      <c r="E13315" t="n">
        <v>14.42</v>
      </c>
      <c r="F13315" t="n">
        <v>1</v>
      </c>
      <c r="G13315" t="n">
        <v>43</v>
      </c>
      <c r="H13315" s="5">
        <f>HYPERLINK("https://api.qogita.com/variants/link/0667558227121/", "View Product")</f>
        <v/>
      </c>
    </row>
    <row r="13316">
      <c r="A13316" t="inlineStr">
        <is>
          <t>0667558426937</t>
        </is>
      </c>
      <c r="B13316" t="inlineStr">
        <is>
          <t>Victoria's Secret Body Mist Sunslope 250ml 8.4oz</t>
        </is>
      </c>
      <c r="C13316" t="inlineStr">
        <is>
          <t>Body Mist</t>
        </is>
      </c>
      <c r="D13316" t="inlineStr">
        <is>
          <t>Victoria's Secret</t>
        </is>
      </c>
      <c r="E13316" t="n">
        <v>12.36</v>
      </c>
      <c r="F13316" t="n">
        <v>1</v>
      </c>
      <c r="G13316" t="n">
        <v>17</v>
      </c>
      <c r="H13316" s="5">
        <f>HYPERLINK("https://api.qogita.com/variants/link/0667558426937/", "View Product")</f>
        <v/>
      </c>
    </row>
    <row r="13317">
      <c r="A13317" t="inlineStr">
        <is>
          <t>0667558437445</t>
        </is>
      </c>
      <c r="B13317" t="inlineStr">
        <is>
          <t>Victoria's Secret Love Spell Candied Body Mist Spray 250ml</t>
        </is>
      </c>
      <c r="C13317" t="inlineStr">
        <is>
          <t>Body Mist</t>
        </is>
      </c>
      <c r="D13317" t="inlineStr">
        <is>
          <t>Victoria's Secret</t>
        </is>
      </c>
      <c r="E13317" t="n">
        <v>13.72</v>
      </c>
      <c r="F13317" t="n">
        <v>1</v>
      </c>
      <c r="G13317" t="n">
        <v>6</v>
      </c>
      <c r="H13317" s="5">
        <f>HYPERLINK("https://api.qogita.com/variants/link/0667558437445/", "View Product")</f>
        <v/>
      </c>
    </row>
    <row r="13318">
      <c r="A13318" t="inlineStr">
        <is>
          <t>0667558437636</t>
        </is>
      </c>
      <c r="B13318" t="inlineStr">
        <is>
          <t>Victoria's Secret Velvet Petals Shimmer 250ml</t>
        </is>
      </c>
      <c r="C13318" t="inlineStr">
        <is>
          <t>Body Mist</t>
        </is>
      </c>
      <c r="D13318" t="inlineStr">
        <is>
          <t>Victoria's Secret</t>
        </is>
      </c>
      <c r="E13318" t="n">
        <v>16.81</v>
      </c>
      <c r="F13318" t="n">
        <v>1</v>
      </c>
      <c r="G13318" t="n">
        <v>124</v>
      </c>
      <c r="H13318" s="5">
        <f>HYPERLINK("https://api.qogita.com/variants/link/0667558437636/", "View Product")</f>
        <v/>
      </c>
    </row>
    <row r="13319">
      <c r="A13319" t="inlineStr">
        <is>
          <t>0667558713396</t>
        </is>
      </c>
      <c r="B13319" t="inlineStr">
        <is>
          <t>Bombshell Paris by Victoria's Secret 3.4 Oz Eau De Parfum Spray for Women</t>
        </is>
      </c>
      <c r="C13319" t="inlineStr">
        <is>
          <t>Eau De Parfum</t>
        </is>
      </c>
      <c r="D13319" t="inlineStr">
        <is>
          <t>Victoria's Secret</t>
        </is>
      </c>
      <c r="E13319" t="n">
        <v>61.03</v>
      </c>
      <c r="F13319" t="n">
        <v>1</v>
      </c>
      <c r="G13319" t="n">
        <v>4</v>
      </c>
      <c r="H13319" s="5">
        <f>HYPERLINK("https://api.qogita.com/variants/link/0667558713396/", "View Product")</f>
        <v/>
      </c>
    </row>
    <row r="13320">
      <c r="A13320" t="inlineStr">
        <is>
          <t>0667559737261</t>
        </is>
      </c>
      <c r="B13320" t="inlineStr">
        <is>
          <t>Victoria's Secret Platinum Berries Body Mist 250ml</t>
        </is>
      </c>
      <c r="C13320" t="inlineStr">
        <is>
          <t>Body Care Sets</t>
        </is>
      </c>
      <c r="D13320" t="inlineStr">
        <is>
          <t>Victoria's Secret</t>
        </is>
      </c>
      <c r="E13320" t="n">
        <v>14.82</v>
      </c>
      <c r="F13320" t="n">
        <v>1</v>
      </c>
      <c r="G13320" t="n">
        <v>9</v>
      </c>
      <c r="H13320" s="5">
        <f>HYPERLINK("https://api.qogita.com/variants/link/0667559737261/", "View Product")</f>
        <v/>
      </c>
    </row>
    <row r="13321">
      <c r="A13321" t="inlineStr">
        <is>
          <t>0667559817215</t>
        </is>
      </c>
      <c r="B13321" t="inlineStr">
        <is>
          <t>Victoria's Secret Velvet Petals Starlit Body Mist 250ml</t>
        </is>
      </c>
      <c r="C13321" t="inlineStr">
        <is>
          <t>Body Mist</t>
        </is>
      </c>
      <c r="D13321" t="inlineStr">
        <is>
          <t>Victoria's Secret</t>
        </is>
      </c>
      <c r="E13321" t="n">
        <v>16.44</v>
      </c>
      <c r="F13321" t="n">
        <v>1</v>
      </c>
      <c r="G13321" t="n">
        <v>13</v>
      </c>
      <c r="H13321" s="5">
        <f>HYPERLINK("https://api.qogita.com/variants/link/0667559817215/", "View Product")</f>
        <v/>
      </c>
    </row>
    <row r="13322">
      <c r="A13322" t="inlineStr">
        <is>
          <t>0667560239303</t>
        </is>
      </c>
      <c r="B13322" t="inlineStr">
        <is>
          <t>Victoria's Secret Sparkling Blooms Fragrance Mist 8.4 Fl Oz</t>
        </is>
      </c>
      <c r="C13322" t="inlineStr">
        <is>
          <t>Fragrance Sets</t>
        </is>
      </c>
      <c r="D13322" t="inlineStr">
        <is>
          <t>Victoria's Secret</t>
        </is>
      </c>
      <c r="E13322" t="n">
        <v>13.29</v>
      </c>
      <c r="F13322" t="n">
        <v>1</v>
      </c>
      <c r="G13322" t="n">
        <v>5</v>
      </c>
      <c r="H13322" s="5">
        <f>HYPERLINK("https://api.qogita.com/variants/link/0667560239303/", "View Product")</f>
        <v/>
      </c>
    </row>
    <row r="13323">
      <c r="A13323" t="inlineStr">
        <is>
          <t>0669259001024</t>
        </is>
      </c>
      <c r="B13323" t="inlineStr">
        <is>
          <t>Little Green Baby Shampoo &amp; Body Wash 240ml</t>
        </is>
      </c>
      <c r="C13323" t="inlineStr">
        <is>
          <t>Baby Bath</t>
        </is>
      </c>
      <c r="D13323" t="inlineStr">
        <is>
          <t>Little Green</t>
        </is>
      </c>
      <c r="E13323" t="n">
        <v>6.6</v>
      </c>
      <c r="F13323" t="n">
        <v>1</v>
      </c>
      <c r="G13323" t="n">
        <v>14</v>
      </c>
      <c r="H13323" s="5">
        <f>HYPERLINK("https://api.qogita.com/variants/link/0669259001024/", "View Product")</f>
        <v/>
      </c>
    </row>
    <row r="13324">
      <c r="A13324" t="inlineStr">
        <is>
          <t>0669259003479</t>
        </is>
      </c>
      <c r="B13324" t="inlineStr">
        <is>
          <t>Ecru New York Curl Perfect Hydrating Shampoo for Wavy and Curly Hair</t>
        </is>
      </c>
      <c r="C13324" t="inlineStr">
        <is>
          <t>Shampoo</t>
        </is>
      </c>
      <c r="D13324" t="inlineStr">
        <is>
          <t>Ecru New York</t>
        </is>
      </c>
      <c r="E13324" t="n">
        <v>24.8</v>
      </c>
      <c r="F13324" t="n">
        <v>1</v>
      </c>
      <c r="G13324" t="n">
        <v>4</v>
      </c>
      <c r="H13324" s="5">
        <f>HYPERLINK("https://api.qogita.com/variants/link/0669259003479/", "View Product")</f>
        <v/>
      </c>
    </row>
    <row r="13325">
      <c r="A13325" t="inlineStr">
        <is>
          <t>0669259003721</t>
        </is>
      </c>
      <c r="B13325" t="inlineStr">
        <is>
          <t>Ecru New York Rejuvenating Shampoo 24 Fl Oz</t>
        </is>
      </c>
      <c r="C13325" t="inlineStr">
        <is>
          <t>Shampoo</t>
        </is>
      </c>
      <c r="D13325" t="inlineStr">
        <is>
          <t>Ecru New York</t>
        </is>
      </c>
      <c r="E13325" t="n">
        <v>24.39</v>
      </c>
      <c r="F13325" t="n">
        <v>1</v>
      </c>
      <c r="G13325" t="n">
        <v>8</v>
      </c>
      <c r="H13325" s="5">
        <f>HYPERLINK("https://api.qogita.com/variants/link/0669259003721/", "View Product")</f>
        <v/>
      </c>
    </row>
    <row r="13326">
      <c r="A13326" t="inlineStr">
        <is>
          <t>0669259003882</t>
        </is>
      </c>
      <c r="B13326" t="inlineStr">
        <is>
          <t>Ecru New York Curl Perfect Ultra Hydrating Masque 7oz</t>
        </is>
      </c>
      <c r="C13326" t="inlineStr">
        <is>
          <t>Hair Masks</t>
        </is>
      </c>
      <c r="D13326" t="inlineStr">
        <is>
          <t>Ecru New York</t>
        </is>
      </c>
      <c r="E13326" t="n">
        <v>16.22</v>
      </c>
      <c r="F13326" t="n">
        <v>1</v>
      </c>
      <c r="G13326" t="n">
        <v>5</v>
      </c>
      <c r="H13326" s="5">
        <f>HYPERLINK("https://api.qogita.com/variants/link/0669259003882/", "View Product")</f>
        <v/>
      </c>
    </row>
    <row r="13327">
      <c r="A13327" t="inlineStr">
        <is>
          <t>0669259005954</t>
        </is>
      </c>
      <c r="B13327" t="inlineStr">
        <is>
          <t>Ecru New York Body Building Fiber Mousse 200ml</t>
        </is>
      </c>
      <c r="C13327" t="inlineStr">
        <is>
          <t>Mousse</t>
        </is>
      </c>
      <c r="D13327" t="inlineStr">
        <is>
          <t>Ecru New York</t>
        </is>
      </c>
      <c r="E13327" t="n">
        <v>15.46</v>
      </c>
      <c r="F13327" t="n">
        <v>1</v>
      </c>
      <c r="G13327" t="n">
        <v>5</v>
      </c>
      <c r="H13327" s="5">
        <f>HYPERLINK("https://api.qogita.com/variants/link/0669259005954/", "View Product")</f>
        <v/>
      </c>
    </row>
    <row r="13328">
      <c r="A13328" t="inlineStr">
        <is>
          <t>0669316058510</t>
        </is>
      </c>
      <c r="B13328" t="inlineStr">
        <is>
          <t>American Crew Classic 3-In-1 Black 1000ml 1L</t>
        </is>
      </c>
      <c r="C13328" t="inlineStr">
        <is>
          <t>Shampoo</t>
        </is>
      </c>
      <c r="D13328" t="inlineStr">
        <is>
          <t>American Crew</t>
        </is>
      </c>
      <c r="E13328" t="n">
        <v>14.75</v>
      </c>
      <c r="F13328" t="n">
        <v>1</v>
      </c>
      <c r="G13328" t="n">
        <v>3</v>
      </c>
      <c r="H13328" s="5">
        <f>HYPERLINK("https://api.qogita.com/variants/link/0669316058510/", "View Product")</f>
        <v/>
      </c>
    </row>
    <row r="13329">
      <c r="A13329" t="inlineStr">
        <is>
          <t>0669316069134</t>
        </is>
      </c>
      <c r="B13329" t="inlineStr">
        <is>
          <t>D:FI Deep Conditioners &amp; Treatments 75g</t>
        </is>
      </c>
      <c r="C13329" t="inlineStr">
        <is>
          <t>Conditioner</t>
        </is>
      </c>
      <c r="D13329" t="inlineStr">
        <is>
          <t>D:Fi</t>
        </is>
      </c>
      <c r="E13329" t="n">
        <v>4.61</v>
      </c>
      <c r="F13329" t="n">
        <v>1</v>
      </c>
      <c r="G13329" t="n">
        <v>10</v>
      </c>
      <c r="H13329" s="5">
        <f>HYPERLINK("https://api.qogita.com/variants/link/0669316069134/", "View Product")</f>
        <v/>
      </c>
    </row>
    <row r="13330">
      <c r="A13330" t="inlineStr">
        <is>
          <t>0669316076040</t>
        </is>
      </c>
      <c r="B13330" t="inlineStr">
        <is>
          <t>American Crew Light Hold Gel Tube 390ml</t>
        </is>
      </c>
      <c r="C13330" t="inlineStr">
        <is>
          <t>Gel</t>
        </is>
      </c>
      <c r="D13330" t="inlineStr">
        <is>
          <t>American Crew</t>
        </is>
      </c>
      <c r="E13330" t="n">
        <v>7.04</v>
      </c>
      <c r="F13330" t="n">
        <v>1</v>
      </c>
      <c r="G13330" t="n">
        <v>10</v>
      </c>
      <c r="H13330" s="5">
        <f>HYPERLINK("https://api.qogita.com/variants/link/0669316076040/", "View Product")</f>
        <v/>
      </c>
    </row>
    <row r="13331">
      <c r="A13331" t="inlineStr">
        <is>
          <t>0669316076057</t>
        </is>
      </c>
      <c r="B13331" t="inlineStr">
        <is>
          <t>American Crew Classic Light Hold Styling Gel 250ml</t>
        </is>
      </c>
      <c r="C13331" t="inlineStr">
        <is>
          <t>Gel</t>
        </is>
      </c>
      <c r="D13331" t="inlineStr">
        <is>
          <t>American Crew</t>
        </is>
      </c>
      <c r="E13331" t="n">
        <v>9.73</v>
      </c>
      <c r="F13331" t="n">
        <v>1</v>
      </c>
      <c r="G13331" t="n">
        <v>5</v>
      </c>
      <c r="H13331" s="5">
        <f>HYPERLINK("https://api.qogita.com/variants/link/0669316076057/", "View Product")</f>
        <v/>
      </c>
    </row>
    <row r="13332">
      <c r="A13332" t="inlineStr">
        <is>
          <t>0669316078860</t>
        </is>
      </c>
      <c r="B13332" t="inlineStr">
        <is>
          <t>American Crew 24H Deodorant Body Wash 450ml Shower Gel for Men</t>
        </is>
      </c>
      <c r="C13332" t="inlineStr">
        <is>
          <t>Shower Gel</t>
        </is>
      </c>
      <c r="D13332" t="inlineStr">
        <is>
          <t>American Crew</t>
        </is>
      </c>
      <c r="E13332" t="n">
        <v>6.95</v>
      </c>
      <c r="F13332" t="n">
        <v>1</v>
      </c>
      <c r="G13332" t="n">
        <v>23</v>
      </c>
      <c r="H13332" s="5">
        <f>HYPERLINK("https://api.qogita.com/variants/link/0669316078860/", "View Product")</f>
        <v/>
      </c>
    </row>
    <row r="13333">
      <c r="A13333" t="inlineStr">
        <is>
          <t>0669316199411</t>
        </is>
      </c>
      <c r="B13333" t="inlineStr">
        <is>
          <t>d:fi Volume Cream 6.76 Fluid Ounce</t>
        </is>
      </c>
      <c r="C13333" t="inlineStr">
        <is>
          <t>Styling Creams</t>
        </is>
      </c>
      <c r="D13333" t="inlineStr">
        <is>
          <t>D:Fi</t>
        </is>
      </c>
      <c r="E13333" t="n">
        <v>5.34</v>
      </c>
      <c r="F13333" t="n">
        <v>1</v>
      </c>
      <c r="G13333" t="n">
        <v>8</v>
      </c>
      <c r="H13333" s="5">
        <f>HYPERLINK("https://api.qogita.com/variants/link/0669316199411/", "View Product")</f>
        <v/>
      </c>
    </row>
    <row r="13334">
      <c r="A13334" t="inlineStr">
        <is>
          <t>0669316406144</t>
        </is>
      </c>
      <c r="B13334" t="inlineStr">
        <is>
          <t>American Crew Revitalizing Toner 150ml</t>
        </is>
      </c>
      <c r="C13334" t="inlineStr">
        <is>
          <t>Hair Tonic</t>
        </is>
      </c>
      <c r="D13334" t="inlineStr">
        <is>
          <t>American Crew</t>
        </is>
      </c>
      <c r="E13334" t="n">
        <v>8.94</v>
      </c>
      <c r="F13334" t="n">
        <v>1</v>
      </c>
      <c r="G13334" t="n">
        <v>9</v>
      </c>
      <c r="H13334" s="5">
        <f>HYPERLINK("https://api.qogita.com/variants/link/0669316406144/", "View Product")</f>
        <v/>
      </c>
    </row>
    <row r="13335">
      <c r="A13335" t="inlineStr">
        <is>
          <t>0669316408063</t>
        </is>
      </c>
      <c r="B13335" t="inlineStr">
        <is>
          <t>American Crew Fiber Cream with Medium Hold &amp; Shine for Flexibility and Control</t>
        </is>
      </c>
      <c r="C13335" t="inlineStr">
        <is>
          <t>Styling Creams</t>
        </is>
      </c>
      <c r="D13335" t="inlineStr">
        <is>
          <t>American Crew</t>
        </is>
      </c>
      <c r="E13335" t="n">
        <v>7.06</v>
      </c>
      <c r="F13335" t="n">
        <v>1</v>
      </c>
      <c r="G13335" t="n">
        <v>76</v>
      </c>
      <c r="H13335" s="5">
        <f>HYPERLINK("https://api.qogita.com/variants/link/0669316408063/", "View Product")</f>
        <v/>
      </c>
    </row>
    <row r="13336">
      <c r="A13336" t="inlineStr">
        <is>
          <t>0669316414347</t>
        </is>
      </c>
      <c r="B13336" t="inlineStr">
        <is>
          <t>D:FI Hair Spray 300ml</t>
        </is>
      </c>
      <c r="C13336" t="inlineStr">
        <is>
          <t>Hairspray</t>
        </is>
      </c>
      <c r="D13336" t="inlineStr">
        <is>
          <t>Revlon Professional</t>
        </is>
      </c>
      <c r="E13336" t="n">
        <v>5.39</v>
      </c>
      <c r="F13336" t="n">
        <v>1</v>
      </c>
      <c r="G13336" t="n">
        <v>51</v>
      </c>
      <c r="H13336" s="5">
        <f>HYPERLINK("https://api.qogita.com/variants/link/0669316414347/", "View Product")</f>
        <v/>
      </c>
    </row>
    <row r="13337">
      <c r="A13337" t="inlineStr">
        <is>
          <t>0679602133111</t>
        </is>
      </c>
      <c r="B13337" t="inlineStr">
        <is>
          <t>Police To Be My Avatar Women's Perfume 125ml</t>
        </is>
      </c>
      <c r="C13337" t="inlineStr">
        <is>
          <t>Eau De Parfum</t>
        </is>
      </c>
      <c r="D13337" t="inlineStr">
        <is>
          <t>Police</t>
        </is>
      </c>
      <c r="E13337" t="n">
        <v>16.33</v>
      </c>
      <c r="F13337" t="n">
        <v>1</v>
      </c>
      <c r="G13337" t="n">
        <v>21</v>
      </c>
      <c r="H13337" s="5">
        <f>HYPERLINK("https://api.qogita.com/variants/link/0679602133111/", "View Product")</f>
        <v/>
      </c>
    </row>
    <row r="13338">
      <c r="A13338" t="inlineStr">
        <is>
          <t>0679602133128</t>
        </is>
      </c>
      <c r="B13338" t="inlineStr">
        <is>
          <t>Police To Be My Avatar For Woman Eau De Parfum 40ml</t>
        </is>
      </c>
      <c r="C13338" t="inlineStr">
        <is>
          <t>Eau De Parfum</t>
        </is>
      </c>
      <c r="D13338" t="inlineStr">
        <is>
          <t>Police</t>
        </is>
      </c>
      <c r="E13338" t="n">
        <v>8.699999999999999</v>
      </c>
      <c r="F13338" t="n">
        <v>1</v>
      </c>
      <c r="G13338" t="n">
        <v>5</v>
      </c>
      <c r="H13338" s="5">
        <f>HYPERLINK("https://api.qogita.com/variants/link/0679602133128/", "View Product")</f>
        <v/>
      </c>
    </row>
    <row r="13339">
      <c r="A13339" t="inlineStr">
        <is>
          <t>0679602141116</t>
        </is>
      </c>
      <c r="B13339" t="inlineStr">
        <is>
          <t>Police Potion For Him Eau De Parfum 100ml Spray</t>
        </is>
      </c>
      <c r="C13339" t="inlineStr">
        <is>
          <t>Eau De Parfum</t>
        </is>
      </c>
      <c r="D13339" t="inlineStr">
        <is>
          <t>Police</t>
        </is>
      </c>
      <c r="E13339" t="n">
        <v>15.55</v>
      </c>
      <c r="F13339" t="n">
        <v>1</v>
      </c>
      <c r="G13339" t="n">
        <v>5</v>
      </c>
      <c r="H13339" s="5">
        <f>HYPERLINK("https://api.qogita.com/variants/link/0679602141116/", "View Product")</f>
        <v/>
      </c>
    </row>
    <row r="13340">
      <c r="A13340" t="inlineStr">
        <is>
          <t>0679602143127</t>
        </is>
      </c>
      <c r="B13340" t="inlineStr">
        <is>
          <t>Police Potion Absinthe for Him Eau de Parfum 30ml</t>
        </is>
      </c>
      <c r="C13340" t="inlineStr">
        <is>
          <t>Eau De Parfum</t>
        </is>
      </c>
      <c r="D13340" t="inlineStr">
        <is>
          <t>Police</t>
        </is>
      </c>
      <c r="E13340" t="n">
        <v>8.4</v>
      </c>
      <c r="F13340" t="n">
        <v>1</v>
      </c>
      <c r="G13340" t="n">
        <v>3</v>
      </c>
      <c r="H13340" s="5">
        <f>HYPERLINK("https://api.qogita.com/variants/link/0679602143127/", "View Product")</f>
        <v/>
      </c>
    </row>
    <row r="13341">
      <c r="A13341" t="inlineStr">
        <is>
          <t>0679602156141</t>
        </is>
      </c>
      <c r="B13341" t="inlineStr">
        <is>
          <t>Police To Be Super [Pure] Eau De Toilette 40ml</t>
        </is>
      </c>
      <c r="C13341" t="inlineStr">
        <is>
          <t>Eau De Toilette</t>
        </is>
      </c>
      <c r="D13341" t="inlineStr">
        <is>
          <t>Police</t>
        </is>
      </c>
      <c r="E13341" t="n">
        <v>8.51</v>
      </c>
      <c r="F13341" t="n">
        <v>1</v>
      </c>
      <c r="G13341" t="n">
        <v>5</v>
      </c>
      <c r="H13341" s="5">
        <f>HYPERLINK("https://api.qogita.com/variants/link/0679602156141/", "View Product")</f>
        <v/>
      </c>
    </row>
    <row r="13342">
      <c r="A13342" t="inlineStr">
        <is>
          <t>0679602157100</t>
        </is>
      </c>
      <c r="B13342" t="inlineStr">
        <is>
          <t>Police To Be Super Natural Eau de Toilette 75ml</t>
        </is>
      </c>
      <c r="C13342" t="inlineStr">
        <is>
          <t>Eau De Toilette</t>
        </is>
      </c>
      <c r="D13342" t="inlineStr">
        <is>
          <t>Police</t>
        </is>
      </c>
      <c r="E13342" t="n">
        <v>10.4</v>
      </c>
      <c r="F13342" t="n">
        <v>1</v>
      </c>
      <c r="G13342" t="n">
        <v>3</v>
      </c>
      <c r="H13342" s="5">
        <f>HYPERLINK("https://api.qogita.com/variants/link/0679602157100/", "View Product")</f>
        <v/>
      </c>
    </row>
    <row r="13343">
      <c r="A13343" t="inlineStr">
        <is>
          <t>0679602157117</t>
        </is>
      </c>
      <c r="B13343" t="inlineStr">
        <is>
          <t>Police To Be Supernatural by Police Unisex 4.22 Oz EDT Spray 124.8ml</t>
        </is>
      </c>
      <c r="C13343" t="inlineStr">
        <is>
          <t>Eau De Toilette</t>
        </is>
      </c>
      <c r="D13343" t="inlineStr">
        <is>
          <t>Police</t>
        </is>
      </c>
      <c r="E13343" t="n">
        <v>13.15</v>
      </c>
      <c r="F13343" t="n">
        <v>1</v>
      </c>
      <c r="G13343" t="n">
        <v>6</v>
      </c>
      <c r="H13343" s="5">
        <f>HYPERLINK("https://api.qogita.com/variants/link/0679602157117/", "View Product")</f>
        <v/>
      </c>
    </row>
    <row r="13344">
      <c r="A13344" t="inlineStr">
        <is>
          <t>0679602157124</t>
        </is>
      </c>
      <c r="B13344" t="inlineStr">
        <is>
          <t>Police To Be Supernatural Eau De Toilette 40ml</t>
        </is>
      </c>
      <c r="C13344" t="inlineStr">
        <is>
          <t>Eau De Toilette</t>
        </is>
      </c>
      <c r="D13344" t="inlineStr">
        <is>
          <t>Police</t>
        </is>
      </c>
      <c r="E13344" t="n">
        <v>9.289999999999999</v>
      </c>
      <c r="F13344" t="n">
        <v>1</v>
      </c>
      <c r="G13344" t="n">
        <v>2</v>
      </c>
      <c r="H13344" s="5">
        <f>HYPERLINK("https://api.qogita.com/variants/link/0679602157124/", "View Product")</f>
        <v/>
      </c>
    </row>
    <row r="13345">
      <c r="A13345" t="inlineStr">
        <is>
          <t>0679602158114</t>
        </is>
      </c>
      <c r="B13345" t="inlineStr">
        <is>
          <t>POLICE To Be Born Shine Eau De Toilette 125ml</t>
        </is>
      </c>
      <c r="C13345" t="inlineStr">
        <is>
          <t>Eau De Toilette</t>
        </is>
      </c>
      <c r="D13345" t="inlineStr">
        <is>
          <t>Police</t>
        </is>
      </c>
      <c r="E13345" t="n">
        <v>14.85</v>
      </c>
      <c r="F13345" t="n">
        <v>1</v>
      </c>
      <c r="G13345" t="n">
        <v>7</v>
      </c>
      <c r="H13345" s="5">
        <f>HYPERLINK("https://api.qogita.com/variants/link/0679602158114/", "View Product")</f>
        <v/>
      </c>
    </row>
    <row r="13346">
      <c r="A13346" t="inlineStr">
        <is>
          <t>0679602158121</t>
        </is>
      </c>
      <c r="B13346" t="inlineStr">
        <is>
          <t>Police New To Be Born to Shine Eau de Toilette for Men 40ml</t>
        </is>
      </c>
      <c r="C13346" t="inlineStr">
        <is>
          <t>Eau De Toilette</t>
        </is>
      </c>
      <c r="D13346" t="inlineStr">
        <is>
          <t>Police</t>
        </is>
      </c>
      <c r="E13346" t="n">
        <v>9.609999999999999</v>
      </c>
      <c r="F13346" t="n">
        <v>1</v>
      </c>
      <c r="G13346" t="n">
        <v>2</v>
      </c>
      <c r="H13346" s="5">
        <f>HYPERLINK("https://api.qogita.com/variants/link/0679602158121/", "View Product")</f>
        <v/>
      </c>
    </row>
    <row r="13347">
      <c r="A13347" t="inlineStr">
        <is>
          <t>0679602173100</t>
        </is>
      </c>
      <c r="B13347" t="inlineStr">
        <is>
          <t>Police To Be Exotic Jungle For Men 2.5 Oz EDT Spray</t>
        </is>
      </c>
      <c r="C13347" t="inlineStr">
        <is>
          <t>Eau De Toilette</t>
        </is>
      </c>
      <c r="D13347" t="inlineStr">
        <is>
          <t>Police</t>
        </is>
      </c>
      <c r="E13347" t="n">
        <v>14.63</v>
      </c>
      <c r="F13347" t="n">
        <v>1</v>
      </c>
      <c r="G13347" t="n">
        <v>3</v>
      </c>
      <c r="H13347" s="5">
        <f>HYPERLINK("https://api.qogita.com/variants/link/0679602173100/", "View Product")</f>
        <v/>
      </c>
    </row>
    <row r="13348">
      <c r="A13348" t="inlineStr">
        <is>
          <t>0679602174107</t>
        </is>
      </c>
      <c r="B13348" t="inlineStr">
        <is>
          <t>Police to Be Exotic Jungle Woman Eau De Perfume Spray 75ml</t>
        </is>
      </c>
      <c r="C13348" t="inlineStr">
        <is>
          <t>Eau De Parfum</t>
        </is>
      </c>
      <c r="D13348" t="inlineStr">
        <is>
          <t>Police</t>
        </is>
      </c>
      <c r="E13348" t="n">
        <v>13.71</v>
      </c>
      <c r="F13348" t="n">
        <v>1</v>
      </c>
      <c r="G13348" t="n">
        <v>13</v>
      </c>
      <c r="H13348" s="5">
        <f>HYPERLINK("https://api.qogita.com/variants/link/0679602174107/", "View Product")</f>
        <v/>
      </c>
    </row>
    <row r="13349">
      <c r="A13349" t="inlineStr">
        <is>
          <t>0679602180115</t>
        </is>
      </c>
      <c r="B13349" t="inlineStr">
        <is>
          <t>Police To Be Bad Guy 125ml EDT Spray</t>
        </is>
      </c>
      <c r="C13349" t="inlineStr">
        <is>
          <t>Eau De Toilette</t>
        </is>
      </c>
      <c r="D13349" t="inlineStr">
        <is>
          <t>Police</t>
        </is>
      </c>
      <c r="E13349" t="n">
        <v>14.58</v>
      </c>
      <c r="F13349" t="n">
        <v>1</v>
      </c>
      <c r="G13349" t="n">
        <v>44</v>
      </c>
      <c r="H13349" s="5">
        <f>HYPERLINK("https://api.qogita.com/variants/link/0679602180115/", "View Product")</f>
        <v/>
      </c>
    </row>
    <row r="13350">
      <c r="A13350" t="inlineStr">
        <is>
          <t>0679602181105</t>
        </is>
      </c>
      <c r="B13350" t="inlineStr">
        <is>
          <t>Police To Be Sweet Girl Eau De Parfum 75ml</t>
        </is>
      </c>
      <c r="C13350" t="inlineStr">
        <is>
          <t>Eau De Parfum</t>
        </is>
      </c>
      <c r="D13350" t="inlineStr">
        <is>
          <t>Police</t>
        </is>
      </c>
      <c r="E13350" t="n">
        <v>15.9</v>
      </c>
      <c r="F13350" t="n">
        <v>1</v>
      </c>
      <c r="G13350" t="n">
        <v>4</v>
      </c>
      <c r="H13350" s="5">
        <f>HYPERLINK("https://api.qogita.com/variants/link/0679602181105/", "View Product")</f>
        <v/>
      </c>
    </row>
    <row r="13351">
      <c r="A13351" t="inlineStr">
        <is>
          <t>0679602181211</t>
        </is>
      </c>
      <c r="B13351" t="inlineStr">
        <is>
          <t>Police To Be Goodvibes Eau De Toilette 125ml</t>
        </is>
      </c>
      <c r="C13351" t="inlineStr">
        <is>
          <t>Eau De Toilette</t>
        </is>
      </c>
      <c r="D13351" t="inlineStr">
        <is>
          <t>Police</t>
        </is>
      </c>
      <c r="E13351" t="n">
        <v>14.13</v>
      </c>
      <c r="F13351" t="n">
        <v>1</v>
      </c>
      <c r="G13351" t="n">
        <v>3</v>
      </c>
      <c r="H13351" s="5">
        <f>HYPERLINK("https://api.qogita.com/variants/link/0679602181211/", "View Product")</f>
        <v/>
      </c>
    </row>
    <row r="13352">
      <c r="A13352" t="inlineStr">
        <is>
          <t>0679602186124</t>
        </is>
      </c>
      <c r="B13352" t="inlineStr">
        <is>
          <t>Police To Be Goodvibes for Woman Eau de Parfum 125ml</t>
        </is>
      </c>
      <c r="C13352" t="inlineStr">
        <is>
          <t>Eau De Parfum</t>
        </is>
      </c>
      <c r="D13352" t="inlineStr">
        <is>
          <t>Police</t>
        </is>
      </c>
      <c r="E13352" t="n">
        <v>13.99</v>
      </c>
      <c r="F13352" t="n">
        <v>1</v>
      </c>
      <c r="G13352" t="n">
        <v>2</v>
      </c>
      <c r="H13352" s="5">
        <f>HYPERLINK("https://api.qogita.com/variants/link/0679602186124/", "View Product")</f>
        <v/>
      </c>
    </row>
    <row r="13353">
      <c r="A13353" t="inlineStr">
        <is>
          <t>0679602221108</t>
        </is>
      </c>
      <c r="B13353" t="inlineStr">
        <is>
          <t>Police Deep Blue Homme EDT Spray 100ml</t>
        </is>
      </c>
      <c r="C13353" t="inlineStr">
        <is>
          <t>Eau De Toilette</t>
        </is>
      </c>
      <c r="D13353" t="inlineStr">
        <is>
          <t>Police</t>
        </is>
      </c>
      <c r="E13353" t="n">
        <v>8.85</v>
      </c>
      <c r="F13353" t="n">
        <v>1</v>
      </c>
      <c r="G13353" t="n">
        <v>2</v>
      </c>
      <c r="H13353" s="5">
        <f>HYPERLINK("https://api.qogita.com/variants/link/0679602221108/", "View Product")</f>
        <v/>
      </c>
    </row>
    <row r="13354">
      <c r="A13354" t="inlineStr">
        <is>
          <t>0679602231626</t>
        </is>
      </c>
      <c r="B13354" t="inlineStr">
        <is>
          <t>Pino Silvestre Original Deodorant Spray 200ml</t>
        </is>
      </c>
      <c r="C13354" t="inlineStr">
        <is>
          <t>Deodorant &amp; Anti-Perspirant</t>
        </is>
      </c>
      <c r="D13354" t="inlineStr">
        <is>
          <t>Pino Silvestre</t>
        </is>
      </c>
      <c r="E13354" t="n">
        <v>5.27</v>
      </c>
      <c r="F13354" t="n">
        <v>1</v>
      </c>
      <c r="G13354" t="n">
        <v>20</v>
      </c>
      <c r="H13354" s="5">
        <f>HYPERLINK("https://api.qogita.com/variants/link/0679602231626/", "View Product")</f>
        <v/>
      </c>
    </row>
    <row r="13355">
      <c r="A13355" t="inlineStr">
        <is>
          <t>0679602300216</t>
        </is>
      </c>
      <c r="B13355" t="inlineStr">
        <is>
          <t>FURLA Romantica Eau de Parfum 100ml</t>
        </is>
      </c>
      <c r="C13355" t="inlineStr">
        <is>
          <t>Eau De Parfum</t>
        </is>
      </c>
      <c r="D13355" t="inlineStr">
        <is>
          <t>Furla</t>
        </is>
      </c>
      <c r="E13355" t="n">
        <v>34.99</v>
      </c>
      <c r="F13355" t="n">
        <v>1</v>
      </c>
      <c r="G13355" t="n">
        <v>5</v>
      </c>
      <c r="H13355" s="5">
        <f>HYPERLINK("https://api.qogita.com/variants/link/0679602300216/", "View Product")</f>
        <v/>
      </c>
    </row>
    <row r="13356">
      <c r="A13356" t="inlineStr">
        <is>
          <t>0679602300414</t>
        </is>
      </c>
      <c r="B13356" t="inlineStr">
        <is>
          <t>Furla Irresistibile Eau De Parfum 100ml</t>
        </is>
      </c>
      <c r="C13356" t="inlineStr">
        <is>
          <t>Eau De Parfum</t>
        </is>
      </c>
      <c r="D13356" t="inlineStr">
        <is>
          <t>Furla</t>
        </is>
      </c>
      <c r="E13356" t="n">
        <v>33.54</v>
      </c>
      <c r="F13356" t="n">
        <v>1</v>
      </c>
      <c r="G13356" t="n">
        <v>2</v>
      </c>
      <c r="H13356" s="5">
        <f>HYPERLINK("https://api.qogita.com/variants/link/0679602300414/", "View Product")</f>
        <v/>
      </c>
    </row>
    <row r="13357">
      <c r="A13357" t="inlineStr">
        <is>
          <t>0679602331104</t>
        </is>
      </c>
      <c r="B13357" t="inlineStr">
        <is>
          <t>Sport For Man Eau De Toilette 100ml</t>
        </is>
      </c>
      <c r="C13357" t="inlineStr">
        <is>
          <t>Eau De Toilette</t>
        </is>
      </c>
      <c r="D13357" t="inlineStr">
        <is>
          <t>Police</t>
        </is>
      </c>
      <c r="E13357" t="n">
        <v>8.210000000000001</v>
      </c>
      <c r="F13357" t="n">
        <v>1</v>
      </c>
      <c r="G13357" t="n">
        <v>2</v>
      </c>
      <c r="H13357" s="5">
        <f>HYPERLINK("https://api.qogita.com/variants/link/0679602331104/", "View Product")</f>
        <v/>
      </c>
    </row>
    <row r="13358">
      <c r="A13358" t="inlineStr">
        <is>
          <t>0679602381109</t>
        </is>
      </c>
      <c r="B13358" t="inlineStr">
        <is>
          <t>Police Contemporary Cologne 100ml</t>
        </is>
      </c>
      <c r="C13358" t="inlineStr">
        <is>
          <t>Eau De Cologne</t>
        </is>
      </c>
      <c r="D13358" t="inlineStr">
        <is>
          <t>Police</t>
        </is>
      </c>
      <c r="E13358" t="n">
        <v>9.779999999999999</v>
      </c>
      <c r="F13358" t="n">
        <v>1</v>
      </c>
      <c r="G13358" t="n">
        <v>4</v>
      </c>
      <c r="H13358" s="5">
        <f>HYPERLINK("https://api.qogita.com/variants/link/0679602381109/", "View Product")</f>
        <v/>
      </c>
    </row>
    <row r="13359">
      <c r="A13359" t="inlineStr">
        <is>
          <t>0679602451055</t>
        </is>
      </c>
      <c r="B13359" t="inlineStr">
        <is>
          <t>Monotheme Black Label Rouge Eau de Parfum Spray 100ml</t>
        </is>
      </c>
      <c r="C13359" t="inlineStr">
        <is>
          <t>Eau De Parfum</t>
        </is>
      </c>
      <c r="D13359" t="inlineStr">
        <is>
          <t>Monotheme</t>
        </is>
      </c>
      <c r="E13359" t="n">
        <v>12.16</v>
      </c>
      <c r="F13359" t="n">
        <v>1</v>
      </c>
      <c r="G13359" t="n">
        <v>5</v>
      </c>
      <c r="H13359" s="5">
        <f>HYPERLINK("https://api.qogita.com/variants/link/0679602451055/", "View Product")</f>
        <v/>
      </c>
    </row>
    <row r="13360">
      <c r="A13360" t="inlineStr">
        <is>
          <t>0679602463164</t>
        </is>
      </c>
      <c r="B13360" t="inlineStr">
        <is>
          <t>Police Passion Body Deodorant Spray for Women 200ml</t>
        </is>
      </c>
      <c r="C13360" t="inlineStr">
        <is>
          <t>Deodorant &amp; Anti-Perspirant</t>
        </is>
      </c>
      <c r="D13360" t="inlineStr">
        <is>
          <t>Police</t>
        </is>
      </c>
      <c r="E13360" t="n">
        <v>4.12</v>
      </c>
      <c r="F13360" t="n">
        <v>1</v>
      </c>
      <c r="G13360" t="n">
        <v>5</v>
      </c>
      <c r="H13360" s="5">
        <f>HYPERLINK("https://api.qogita.com/variants/link/0679602463164/", "View Product")</f>
        <v/>
      </c>
    </row>
    <row r="13361">
      <c r="A13361" t="inlineStr">
        <is>
          <t>0679602480116</t>
        </is>
      </c>
      <c r="B13361" t="inlineStr">
        <is>
          <t>Tmov Rococo Eau de Parfum Vaporisateur 100ml</t>
        </is>
      </c>
      <c r="C13361" t="inlineStr">
        <is>
          <t>Eau De Parfum</t>
        </is>
      </c>
      <c r="D13361" t="inlineStr">
        <is>
          <t>The Merchant Of Venice</t>
        </is>
      </c>
      <c r="E13361" t="n">
        <v>105.42</v>
      </c>
      <c r="F13361" t="n">
        <v>1</v>
      </c>
      <c r="G13361" t="n">
        <v>7</v>
      </c>
      <c r="H13361" s="5">
        <f>HYPERLINK("https://api.qogita.com/variants/link/0679602480116/", "View Product")</f>
        <v/>
      </c>
    </row>
    <row r="13362">
      <c r="A13362" t="inlineStr">
        <is>
          <t>0679602480123</t>
        </is>
      </c>
      <c r="B13362" t="inlineStr">
        <is>
          <t>The Merchant Of Venice Liberty Eau De Parfum 100ml</t>
        </is>
      </c>
      <c r="C13362" t="inlineStr">
        <is>
          <t>Eau De Parfum</t>
        </is>
      </c>
      <c r="D13362" t="inlineStr">
        <is>
          <t>The Merchant Of Venice</t>
        </is>
      </c>
      <c r="E13362" t="n">
        <v>104.16</v>
      </c>
      <c r="F13362" t="n">
        <v>1</v>
      </c>
      <c r="G13362" t="n">
        <v>10</v>
      </c>
      <c r="H13362" s="5">
        <f>HYPERLINK("https://api.qogita.com/variants/link/0679602480123/", "View Product")</f>
        <v/>
      </c>
    </row>
    <row r="13363">
      <c r="A13363" t="inlineStr">
        <is>
          <t>0679602481106</t>
        </is>
      </c>
      <c r="B13363" t="inlineStr">
        <is>
          <t>Tmov Fenicia Eau de Parfum Spray 100ml</t>
        </is>
      </c>
      <c r="C13363" t="inlineStr">
        <is>
          <t>Eau De Parfum</t>
        </is>
      </c>
      <c r="D13363" t="inlineStr">
        <is>
          <t>The Merchant Of Venice</t>
        </is>
      </c>
      <c r="E13363" t="n">
        <v>101.8</v>
      </c>
      <c r="F13363" t="n">
        <v>1</v>
      </c>
      <c r="G13363" t="n">
        <v>5</v>
      </c>
      <c r="H13363" s="5">
        <f>HYPERLINK("https://api.qogita.com/variants/link/0679602481106/", "View Product")</f>
        <v/>
      </c>
    </row>
    <row r="13364">
      <c r="A13364" t="inlineStr">
        <is>
          <t>0679602481915</t>
        </is>
      </c>
      <c r="B13364" t="inlineStr">
        <is>
          <t>The Merchant Of Venice Red Potion Eau De Parfum 100ml</t>
        </is>
      </c>
      <c r="C13364" t="inlineStr">
        <is>
          <t>Eau De Parfum</t>
        </is>
      </c>
      <c r="D13364" t="inlineStr">
        <is>
          <t>The Merchant Of Venice</t>
        </is>
      </c>
      <c r="E13364" t="n">
        <v>87.84999999999999</v>
      </c>
      <c r="F13364" t="n">
        <v>1</v>
      </c>
      <c r="G13364" t="n">
        <v>8</v>
      </c>
      <c r="H13364" s="5">
        <f>HYPERLINK("https://api.qogita.com/variants/link/0679602481915/", "View Product")</f>
        <v/>
      </c>
    </row>
    <row r="13365">
      <c r="A13365" t="inlineStr">
        <is>
          <t>0679602487092</t>
        </is>
      </c>
      <c r="B13365" t="inlineStr">
        <is>
          <t>The Merchant of Venice Unisex Accordi Di Profumo Petitgrain Paraguay EDP 1.0 oz</t>
        </is>
      </c>
      <c r="C13365" t="inlineStr">
        <is>
          <t>Eau De Parfum</t>
        </is>
      </c>
      <c r="D13365" t="inlineStr">
        <is>
          <t>The Merchant Of Venice</t>
        </is>
      </c>
      <c r="E13365" t="n">
        <v>32.8</v>
      </c>
      <c r="F13365" t="n">
        <v>1</v>
      </c>
      <c r="G13365" t="n">
        <v>2</v>
      </c>
      <c r="H13365" s="5">
        <f>HYPERLINK("https://api.qogita.com/variants/link/0679602487092/", "View Product")</f>
        <v/>
      </c>
    </row>
    <row r="13366">
      <c r="A13366" t="inlineStr">
        <is>
          <t>0679602512428</t>
        </is>
      </c>
      <c r="B13366" t="inlineStr">
        <is>
          <t>Police To Be Queen Eau De Parfum Spray 40ml</t>
        </is>
      </c>
      <c r="C13366" t="inlineStr">
        <is>
          <t>Eau De Parfum</t>
        </is>
      </c>
      <c r="D13366" t="inlineStr">
        <is>
          <t>Police</t>
        </is>
      </c>
      <c r="E13366" t="n">
        <v>9.619999999999999</v>
      </c>
      <c r="F13366" t="n">
        <v>1</v>
      </c>
      <c r="G13366" t="n">
        <v>2</v>
      </c>
      <c r="H13366" s="5">
        <f>HYPERLINK("https://api.qogita.com/variants/link/0679602512428/", "View Product")</f>
        <v/>
      </c>
    </row>
    <row r="13367">
      <c r="A13367" t="inlineStr">
        <is>
          <t>0679602551120</t>
        </is>
      </c>
      <c r="B13367" t="inlineStr">
        <is>
          <t>Pino Silvestre Acqua di Pino Fougere Eau de Toilette 125ml</t>
        </is>
      </c>
      <c r="C13367" t="inlineStr">
        <is>
          <t>Eau De Toilette</t>
        </is>
      </c>
      <c r="D13367" t="inlineStr">
        <is>
          <t>Pino Silvestre</t>
        </is>
      </c>
      <c r="E13367" t="n">
        <v>13.4</v>
      </c>
      <c r="F13367" t="n">
        <v>1</v>
      </c>
      <c r="G13367" t="n">
        <v>9</v>
      </c>
      <c r="H13367" s="5">
        <f>HYPERLINK("https://api.qogita.com/variants/link/0679602551120/", "View Product")</f>
        <v/>
      </c>
    </row>
    <row r="13368">
      <c r="A13368" t="inlineStr">
        <is>
          <t>0679602681162</t>
        </is>
      </c>
      <c r="B13368" t="inlineStr">
        <is>
          <t>Monotheme Scented Water Spray Lemon Buds - 300 Milliliters</t>
        </is>
      </c>
      <c r="C13368" t="inlineStr">
        <is>
          <t>Eau De Cologne</t>
        </is>
      </c>
      <c r="D13368" t="inlineStr">
        <is>
          <t>Monotheme</t>
        </is>
      </c>
      <c r="E13368" t="n">
        <v>3.94</v>
      </c>
      <c r="F13368" t="n">
        <v>1</v>
      </c>
      <c r="G13368" t="n">
        <v>10</v>
      </c>
      <c r="H13368" s="5">
        <f>HYPERLINK("https://api.qogita.com/variants/link/0679602681162/", "View Product")</f>
        <v/>
      </c>
    </row>
    <row r="13369">
      <c r="A13369" t="inlineStr">
        <is>
          <t>0679602851084</t>
        </is>
      </c>
      <c r="B13369" t="inlineStr">
        <is>
          <t>Police To Be Goodvibes Eau De Toilette 75ml EDT Spray</t>
        </is>
      </c>
      <c r="C13369" t="inlineStr">
        <is>
          <t>Eau De Toilette</t>
        </is>
      </c>
      <c r="D13369" t="inlineStr">
        <is>
          <t>Police</t>
        </is>
      </c>
      <c r="E13369" t="n">
        <v>14.26</v>
      </c>
      <c r="F13369" t="n">
        <v>1</v>
      </c>
      <c r="G13369" t="n">
        <v>10</v>
      </c>
      <c r="H13369" s="5">
        <f>HYPERLINK("https://api.qogita.com/variants/link/0679602851084/", "View Product")</f>
        <v/>
      </c>
    </row>
    <row r="13370">
      <c r="A13370" t="inlineStr">
        <is>
          <t>0679602911368</t>
        </is>
      </c>
      <c r="B13370" t="inlineStr">
        <is>
          <t>Woman Perfume Monotheme Venezia Nymphaea Edt 100ml+Samples Gift</t>
        </is>
      </c>
      <c r="C13370" t="inlineStr">
        <is>
          <t>Eau De Toilette</t>
        </is>
      </c>
      <c r="D13370" t="inlineStr">
        <is>
          <t>Monotheme</t>
        </is>
      </c>
      <c r="E13370" t="n">
        <v>10.79</v>
      </c>
      <c r="F13370" t="n">
        <v>1</v>
      </c>
      <c r="G13370" t="n">
        <v>4</v>
      </c>
      <c r="H13370" s="5">
        <f>HYPERLINK("https://api.qogita.com/variants/link/0679602911368/", "View Product")</f>
        <v/>
      </c>
    </row>
    <row r="13371">
      <c r="A13371" t="inlineStr">
        <is>
          <t>0681619814488</t>
        </is>
      </c>
      <c r="B13371" t="inlineStr">
        <is>
          <t>Thebalm Priming Is Everything Black Eyeshadow Primer</t>
        </is>
      </c>
      <c r="C13371" t="inlineStr">
        <is>
          <t>Eyeshadow Primer</t>
        </is>
      </c>
      <c r="D13371" t="inlineStr">
        <is>
          <t>Thebalm</t>
        </is>
      </c>
      <c r="E13371" t="n">
        <v>4.32</v>
      </c>
      <c r="F13371" t="n">
        <v>1</v>
      </c>
      <c r="G13371" t="n">
        <v>7</v>
      </c>
      <c r="H13371" s="5">
        <f>HYPERLINK("https://api.qogita.com/variants/link/0681619814488/", "View Product")</f>
        <v/>
      </c>
    </row>
    <row r="13372">
      <c r="A13372" t="inlineStr">
        <is>
          <t>0685428003224</t>
        </is>
      </c>
      <c r="B13372" t="inlineStr">
        <is>
          <t>Bumble and Bumble Super Rich Conditioner 250ml 8 fl.oz.</t>
        </is>
      </c>
      <c r="C13372" t="inlineStr">
        <is>
          <t>Conditioner</t>
        </is>
      </c>
      <c r="D13372" t="inlineStr">
        <is>
          <t>Bumble And Bumble</t>
        </is>
      </c>
      <c r="E13372" t="n">
        <v>23.48</v>
      </c>
      <c r="F13372" t="n">
        <v>1</v>
      </c>
      <c r="G13372" t="n">
        <v>6</v>
      </c>
      <c r="H13372" s="5">
        <f>HYPERLINK("https://api.qogita.com/variants/link/0685428003224/", "View Product")</f>
        <v/>
      </c>
    </row>
    <row r="13373">
      <c r="A13373" t="inlineStr">
        <is>
          <t>0685428007420</t>
        </is>
      </c>
      <c r="B13373" t="inlineStr">
        <is>
          <t>Bumble &amp; Bumble Brilliantine 50ml</t>
        </is>
      </c>
      <c r="C13373" t="inlineStr">
        <is>
          <t>Styling Creams</t>
        </is>
      </c>
      <c r="D13373" t="inlineStr">
        <is>
          <t>Bumble And Bumble</t>
        </is>
      </c>
      <c r="E13373" t="n">
        <v>23.74</v>
      </c>
      <c r="F13373" t="n">
        <v>1</v>
      </c>
      <c r="G13373" t="n">
        <v>11</v>
      </c>
      <c r="H13373" s="5">
        <f>HYPERLINK("https://api.qogita.com/variants/link/0685428007420/", "View Product")</f>
        <v/>
      </c>
    </row>
    <row r="13374">
      <c r="A13374" t="inlineStr">
        <is>
          <t>0685428007925</t>
        </is>
      </c>
      <c r="B13374" t="inlineStr">
        <is>
          <t>Bumble and Bumble Holding Spray 250ml 8 fl.oz.</t>
        </is>
      </c>
      <c r="C13374" t="inlineStr">
        <is>
          <t>Hairspray</t>
        </is>
      </c>
      <c r="D13374" t="inlineStr">
        <is>
          <t>Bumble And Bumble</t>
        </is>
      </c>
      <c r="E13374" t="n">
        <v>20.77</v>
      </c>
      <c r="F13374" t="n">
        <v>1</v>
      </c>
      <c r="G13374" t="n">
        <v>2</v>
      </c>
      <c r="H13374" s="5">
        <f>HYPERLINK("https://api.qogita.com/variants/link/0685428007925/", "View Product")</f>
        <v/>
      </c>
    </row>
    <row r="13375">
      <c r="A13375" t="inlineStr">
        <is>
          <t>0685428012530</t>
        </is>
      </c>
      <c r="B13375" t="inlineStr">
        <is>
          <t>Bumble and Bumble Straight Blow Dry 150ml</t>
        </is>
      </c>
      <c r="C13375" t="inlineStr">
        <is>
          <t>Hair Care Sets</t>
        </is>
      </c>
      <c r="D13375" t="inlineStr">
        <is>
          <t>Bumble And Bumble</t>
        </is>
      </c>
      <c r="E13375" t="n">
        <v>22.7</v>
      </c>
      <c r="F13375" t="n">
        <v>1</v>
      </c>
      <c r="G13375" t="n">
        <v>3</v>
      </c>
      <c r="H13375" s="5">
        <f>HYPERLINK("https://api.qogita.com/variants/link/0685428012530/", "View Product")</f>
        <v/>
      </c>
    </row>
    <row r="13376">
      <c r="A13376" t="inlineStr">
        <is>
          <t>0685428016552</t>
        </is>
      </c>
      <c r="B13376" t="inlineStr">
        <is>
          <t>Bumble &amp; Bumble Shampoo 250ml</t>
        </is>
      </c>
      <c r="C13376" t="inlineStr">
        <is>
          <t>Shampoo</t>
        </is>
      </c>
      <c r="D13376" t="inlineStr">
        <is>
          <t>Bumble And Bumble</t>
        </is>
      </c>
      <c r="E13376" t="n">
        <v>24.92</v>
      </c>
      <c r="F13376" t="n">
        <v>1</v>
      </c>
      <c r="G13376" t="n">
        <v>3</v>
      </c>
      <c r="H13376" s="5">
        <f>HYPERLINK("https://api.qogita.com/variants/link/0685428016552/", "View Product")</f>
        <v/>
      </c>
    </row>
    <row r="13377">
      <c r="A13377" t="inlineStr">
        <is>
          <t>0685428016569</t>
        </is>
      </c>
      <c r="B13377" t="inlineStr">
        <is>
          <t>Bumble And Bumble Surf Conditioner 250ml</t>
        </is>
      </c>
      <c r="C13377" t="inlineStr">
        <is>
          <t>Conditioner</t>
        </is>
      </c>
      <c r="D13377" t="inlineStr">
        <is>
          <t>Bumble And Bumble</t>
        </is>
      </c>
      <c r="E13377" t="n">
        <v>27.07</v>
      </c>
      <c r="F13377" t="n">
        <v>1</v>
      </c>
      <c r="G13377" t="n">
        <v>3</v>
      </c>
      <c r="H13377" s="5">
        <f>HYPERLINK("https://api.qogita.com/variants/link/0685428016569/", "View Product")</f>
        <v/>
      </c>
    </row>
    <row r="13378">
      <c r="A13378" t="inlineStr">
        <is>
          <t>0685428017078</t>
        </is>
      </c>
      <c r="B13378" t="inlineStr">
        <is>
          <t>Bumble &amp; Bumble Surf Creme Rinse Conditioner 1000ml</t>
        </is>
      </c>
      <c r="C13378" t="inlineStr">
        <is>
          <t>Conditioner</t>
        </is>
      </c>
      <c r="D13378" t="inlineStr">
        <is>
          <t>Bumble And Bumble</t>
        </is>
      </c>
      <c r="E13378" t="n">
        <v>57.93</v>
      </c>
      <c r="F13378" t="n">
        <v>1</v>
      </c>
      <c r="G13378" t="n">
        <v>2</v>
      </c>
      <c r="H13378" s="5">
        <f>HYPERLINK("https://api.qogita.com/variants/link/0685428017078/", "View Product")</f>
        <v/>
      </c>
    </row>
    <row r="13379">
      <c r="A13379" t="inlineStr">
        <is>
          <t>0685428017597</t>
        </is>
      </c>
      <c r="B13379" t="inlineStr">
        <is>
          <t>Bumble and bumble Hairdresser's Invisible Oil Conditioner 200ml</t>
        </is>
      </c>
      <c r="C13379" t="inlineStr">
        <is>
          <t>Conditioner</t>
        </is>
      </c>
      <c r="D13379" t="inlineStr">
        <is>
          <t>Bumble And Bumble</t>
        </is>
      </c>
      <c r="E13379" t="n">
        <v>27.91</v>
      </c>
      <c r="F13379" t="n">
        <v>1</v>
      </c>
      <c r="G13379" t="n">
        <v>8</v>
      </c>
      <c r="H13379" s="5">
        <f>HYPERLINK("https://api.qogita.com/variants/link/0685428017597/", "View Product")</f>
        <v/>
      </c>
    </row>
    <row r="13380">
      <c r="A13380" t="inlineStr">
        <is>
          <t>0685428019102</t>
        </is>
      </c>
      <c r="B13380" t="inlineStr">
        <is>
          <t>Bumble and bumble Surf Infusion Spray 100ml</t>
        </is>
      </c>
      <c r="C13380" t="inlineStr">
        <is>
          <t>Styling Sprays</t>
        </is>
      </c>
      <c r="D13380" t="inlineStr">
        <is>
          <t>Bumble And Bumble</t>
        </is>
      </c>
      <c r="E13380" t="n">
        <v>24.52</v>
      </c>
      <c r="F13380" t="n">
        <v>1</v>
      </c>
      <c r="G13380" t="n">
        <v>6</v>
      </c>
      <c r="H13380" s="5">
        <f>HYPERLINK("https://api.qogita.com/variants/link/0685428019102/", "View Product")</f>
        <v/>
      </c>
    </row>
    <row r="13381">
      <c r="A13381" t="inlineStr">
        <is>
          <t>0685428027770</t>
        </is>
      </c>
      <c r="B13381" t="inlineStr">
        <is>
          <t>Bumble and Bumble Curl Moisturizing Shampoo 8.5oz 250 mL</t>
        </is>
      </c>
      <c r="C13381" t="inlineStr">
        <is>
          <t>Shampoo</t>
        </is>
      </c>
      <c r="D13381" t="inlineStr">
        <is>
          <t>Bumble And Bumble</t>
        </is>
      </c>
      <c r="E13381" t="n">
        <v>23.66</v>
      </c>
      <c r="F13381" t="n">
        <v>1</v>
      </c>
      <c r="G13381" t="n">
        <v>17</v>
      </c>
      <c r="H13381" s="5">
        <f>HYPERLINK("https://api.qogita.com/variants/link/0685428027770/", "View Product")</f>
        <v/>
      </c>
    </row>
    <row r="13382">
      <c r="A13382" t="inlineStr">
        <is>
          <t>0685428027794</t>
        </is>
      </c>
      <c r="B13382" t="inlineStr">
        <is>
          <t>Bumble and Bumble Bb Curl 3-in-1 Conditioner 200ml</t>
        </is>
      </c>
      <c r="C13382" t="inlineStr">
        <is>
          <t>Conditioner</t>
        </is>
      </c>
      <c r="D13382" t="inlineStr">
        <is>
          <t>Bumble And Bumble</t>
        </is>
      </c>
      <c r="E13382" t="n">
        <v>26.76</v>
      </c>
      <c r="F13382" t="n">
        <v>1</v>
      </c>
      <c r="G13382" t="n">
        <v>21</v>
      </c>
      <c r="H13382" s="5">
        <f>HYPERLINK("https://api.qogita.com/variants/link/0685428027794/", "View Product")</f>
        <v/>
      </c>
    </row>
    <row r="13383">
      <c r="A13383" t="inlineStr">
        <is>
          <t>0685428028685</t>
        </is>
      </c>
      <c r="B13383" t="inlineStr">
        <is>
          <t>Bumble and Bumble Hairdressers Invisible Oil Mask 200ml</t>
        </is>
      </c>
      <c r="C13383" t="inlineStr">
        <is>
          <t>Hair Masks</t>
        </is>
      </c>
      <c r="D13383" t="inlineStr">
        <is>
          <t>Bumble And Bumble</t>
        </is>
      </c>
      <c r="E13383" t="n">
        <v>32.24</v>
      </c>
      <c r="F13383" t="n">
        <v>1</v>
      </c>
      <c r="G13383" t="n">
        <v>12</v>
      </c>
      <c r="H13383" s="5">
        <f>HYPERLINK("https://api.qogita.com/variants/link/0685428028685/", "View Product")</f>
        <v/>
      </c>
    </row>
    <row r="13384">
      <c r="A13384" t="inlineStr">
        <is>
          <t>0685428029507</t>
        </is>
      </c>
      <c r="B13384" t="inlineStr">
        <is>
          <t>BB Bond-Building Repair Styling Cream 150ml</t>
        </is>
      </c>
      <c r="C13384" t="inlineStr">
        <is>
          <t>Styling Creams</t>
        </is>
      </c>
      <c r="D13384" t="inlineStr">
        <is>
          <t>Bumble And Bumble</t>
        </is>
      </c>
      <c r="E13384" t="n">
        <v>26.27</v>
      </c>
      <c r="F13384" t="n">
        <v>1</v>
      </c>
      <c r="G13384" t="n">
        <v>6</v>
      </c>
      <c r="H13384" s="5">
        <f>HYPERLINK("https://api.qogita.com/variants/link/0685428029507/", "View Product")</f>
        <v/>
      </c>
    </row>
    <row r="13385">
      <c r="A13385" t="inlineStr">
        <is>
          <t>0685428029668</t>
        </is>
      </c>
      <c r="B13385" t="inlineStr">
        <is>
          <t>Bumble and Bumble Invisible Oil Ultra Rich Conditioner 200ml Moisturizing Conditioner for Dry Hair</t>
        </is>
      </c>
      <c r="C13385" t="inlineStr">
        <is>
          <t>Conditioner</t>
        </is>
      </c>
      <c r="D13385" t="inlineStr">
        <is>
          <t>Bumble And Bumble</t>
        </is>
      </c>
      <c r="E13385" t="n">
        <v>23.23</v>
      </c>
      <c r="F13385" t="n">
        <v>1</v>
      </c>
      <c r="G13385" t="n">
        <v>3</v>
      </c>
      <c r="H13385" s="5">
        <f>HYPERLINK("https://api.qogita.com/variants/link/0685428029668/", "View Product")</f>
        <v/>
      </c>
    </row>
    <row r="13386">
      <c r="A13386" t="inlineStr">
        <is>
          <t>0685428032705</t>
        </is>
      </c>
      <c r="B13386" t="inlineStr">
        <is>
          <t>Bumble and Bumble Team Volume Thickening Gift Set</t>
        </is>
      </c>
      <c r="C13386" t="inlineStr">
        <is>
          <t>Hair Care Sets</t>
        </is>
      </c>
      <c r="D13386" t="inlineStr">
        <is>
          <t>Bumble And Bumble</t>
        </is>
      </c>
      <c r="E13386" t="n">
        <v>41.07</v>
      </c>
      <c r="F13386" t="n">
        <v>1</v>
      </c>
      <c r="G13386" t="n">
        <v>41</v>
      </c>
      <c r="H13386" s="5">
        <f>HYPERLINK("https://api.qogita.com/variants/link/0685428032705/", "View Product")</f>
        <v/>
      </c>
    </row>
    <row r="13387">
      <c r="A13387" t="inlineStr">
        <is>
          <t>0688575001778</t>
        </is>
      </c>
      <c r="B13387" t="inlineStr">
        <is>
          <t>Vera Wang Eau De Parfum Spray for Women 3.4 Ounces 100ml</t>
        </is>
      </c>
      <c r="C13387" t="inlineStr">
        <is>
          <t>Eau De Parfum</t>
        </is>
      </c>
      <c r="D13387" t="inlineStr">
        <is>
          <t>Vera Wang</t>
        </is>
      </c>
      <c r="E13387" t="n">
        <v>16.75</v>
      </c>
      <c r="F13387" t="n">
        <v>1</v>
      </c>
      <c r="G13387" t="n">
        <v>6</v>
      </c>
      <c r="H13387" s="5">
        <f>HYPERLINK("https://api.qogita.com/variants/link/0688575001778/", "View Product")</f>
        <v/>
      </c>
    </row>
    <row r="13388">
      <c r="A13388" t="inlineStr">
        <is>
          <t>0688575179415</t>
        </is>
      </c>
      <c r="B13388" t="inlineStr">
        <is>
          <t>Vera Wang Princess Eau De Toilette for Her Fruity &amp; Floral Fragrance</t>
        </is>
      </c>
      <c r="C13388" t="inlineStr">
        <is>
          <t>Eau De Toilette</t>
        </is>
      </c>
      <c r="D13388" t="inlineStr">
        <is>
          <t>Vera Wang</t>
        </is>
      </c>
      <c r="E13388" t="n">
        <v>18.6</v>
      </c>
      <c r="F13388" t="n">
        <v>1</v>
      </c>
      <c r="G13388" t="n">
        <v>23</v>
      </c>
      <c r="H13388" s="5">
        <f>HYPERLINK("https://api.qogita.com/variants/link/0688575179415/", "View Product")</f>
        <v/>
      </c>
    </row>
    <row r="13389">
      <c r="A13389" t="inlineStr">
        <is>
          <t>0688575201956</t>
        </is>
      </c>
      <c r="B13389" t="inlineStr">
        <is>
          <t>Chloe Eau de Parfumee Shower Gel for Women 200ml</t>
        </is>
      </c>
      <c r="C13389" t="inlineStr">
        <is>
          <t>Shower Gel</t>
        </is>
      </c>
      <c r="D13389" t="inlineStr">
        <is>
          <t>Chloé</t>
        </is>
      </c>
      <c r="E13389" t="n">
        <v>30.16</v>
      </c>
      <c r="F13389" t="n">
        <v>1</v>
      </c>
      <c r="G13389" t="n">
        <v>3</v>
      </c>
      <c r="H13389" s="5">
        <f>HYPERLINK("https://api.qogita.com/variants/link/0688575201956/", "View Product")</f>
        <v/>
      </c>
    </row>
    <row r="13390">
      <c r="A13390" t="inlineStr">
        <is>
          <t>0688756249548</t>
        </is>
      </c>
      <c r="B13390" t="inlineStr">
        <is>
          <t>Myrurgia Yatch Man Red Eau De Toilette 100ml Vaporizer</t>
        </is>
      </c>
      <c r="C13390" t="inlineStr">
        <is>
          <t>Eau De Toilette</t>
        </is>
      </c>
      <c r="D13390" t="inlineStr">
        <is>
          <t>Myrurgia</t>
        </is>
      </c>
      <c r="E13390" t="n">
        <v>7.09</v>
      </c>
      <c r="F13390" t="n">
        <v>1</v>
      </c>
      <c r="G13390" t="n">
        <v>8</v>
      </c>
      <c r="H13390" s="5">
        <f>HYPERLINK("https://api.qogita.com/variants/link/0688756249548/", "View Product")</f>
        <v/>
      </c>
    </row>
    <row r="13391">
      <c r="A13391" t="inlineStr">
        <is>
          <t>0689304040228</t>
        </is>
      </c>
      <c r="B13391" t="inlineStr">
        <is>
          <t>Anastasia Beverly Hills Brow Pen Caramel</t>
        </is>
      </c>
      <c r="C13391" t="inlineStr">
        <is>
          <t>Other</t>
        </is>
      </c>
      <c r="D13391" t="inlineStr">
        <is>
          <t>Anastasia Beverly Hills</t>
        </is>
      </c>
      <c r="E13391" t="n">
        <v>28.72</v>
      </c>
      <c r="F13391" t="n">
        <v>1</v>
      </c>
      <c r="G13391" t="n">
        <v>5</v>
      </c>
      <c r="H13391" s="5">
        <f>HYPERLINK("https://api.qogita.com/variants/link/0689304040228/", "View Product")</f>
        <v/>
      </c>
    </row>
    <row r="13392">
      <c r="A13392" t="inlineStr">
        <is>
          <t>0689304044080</t>
        </is>
      </c>
      <c r="B13392" t="inlineStr">
        <is>
          <t>Anastasia Beverly Hills Brow Definer Chocolate 1 Count</t>
        </is>
      </c>
      <c r="C13392" t="inlineStr">
        <is>
          <t>Eyebrow Pencil</t>
        </is>
      </c>
      <c r="D13392" t="inlineStr">
        <is>
          <t>Anastasia Beverly Hills</t>
        </is>
      </c>
      <c r="E13392" t="n">
        <v>18.67</v>
      </c>
      <c r="F13392" t="n">
        <v>1</v>
      </c>
      <c r="G13392" t="n">
        <v>5</v>
      </c>
      <c r="H13392" s="5">
        <f>HYPERLINK("https://api.qogita.com/variants/link/0689304044080/", "View Product")</f>
        <v/>
      </c>
    </row>
    <row r="13393">
      <c r="A13393" t="inlineStr">
        <is>
          <t>0689304055666</t>
        </is>
      </c>
      <c r="B13393" t="inlineStr">
        <is>
          <t>Perfect Eyebrow pencil - blonde (0.95g)</t>
        </is>
      </c>
      <c r="C13393" t="inlineStr">
        <is>
          <t>Eyebrow Pencil</t>
        </is>
      </c>
      <c r="D13393" t="inlineStr">
        <is>
          <t>Anastasia Beverly Hills</t>
        </is>
      </c>
      <c r="E13393" t="n">
        <v>24.59</v>
      </c>
      <c r="F13393" t="n">
        <v>1</v>
      </c>
      <c r="G13393" t="n">
        <v>2</v>
      </c>
      <c r="H13393" s="5">
        <f>HYPERLINK("https://api.qogita.com/variants/link/0689304055666/", "View Product")</f>
        <v/>
      </c>
    </row>
    <row r="13394">
      <c r="A13394" t="inlineStr">
        <is>
          <t>0689304182317</t>
        </is>
      </c>
      <c r="B13394" t="inlineStr">
        <is>
          <t>Anastasia Beverly Hills Honey Diamond Gloss</t>
        </is>
      </c>
      <c r="C13394" t="inlineStr">
        <is>
          <t>Lip Gloss</t>
        </is>
      </c>
      <c r="D13394" t="inlineStr">
        <is>
          <t>Anastasia Beverly Hills</t>
        </is>
      </c>
      <c r="E13394" t="n">
        <v>19.46</v>
      </c>
      <c r="F13394" t="n">
        <v>1</v>
      </c>
      <c r="G13394" t="n">
        <v>2</v>
      </c>
      <c r="H13394" s="5">
        <f>HYPERLINK("https://api.qogita.com/variants/link/0689304182317/", "View Product")</f>
        <v/>
      </c>
    </row>
    <row r="13395">
      <c r="A13395" t="inlineStr">
        <is>
          <t>0689304354028</t>
        </is>
      </c>
      <c r="B13395" t="inlineStr">
        <is>
          <t>Anastasia Beverly Hills Stick Foundation Mink</t>
        </is>
      </c>
      <c r="C13395" t="inlineStr">
        <is>
          <t>Foundation</t>
        </is>
      </c>
      <c r="D13395" t="inlineStr">
        <is>
          <t>Anastasia Beverly Hills</t>
        </is>
      </c>
      <c r="E13395" t="n">
        <v>29.77</v>
      </c>
      <c r="F13395" t="n">
        <v>1</v>
      </c>
      <c r="G13395" t="n">
        <v>3</v>
      </c>
      <c r="H13395" s="5">
        <f>HYPERLINK("https://api.qogita.com/variants/link/0689304354028/", "View Product")</f>
        <v/>
      </c>
    </row>
    <row r="13396">
      <c r="A13396" t="inlineStr">
        <is>
          <t>0689304360166</t>
        </is>
      </c>
      <c r="B13396" t="inlineStr">
        <is>
          <t>Anastasia Beverly Hills Luminous Foundation 305N 5ml</t>
        </is>
      </c>
      <c r="C13396" t="inlineStr">
        <is>
          <t>Foundation</t>
        </is>
      </c>
      <c r="D13396" t="inlineStr">
        <is>
          <t>Anastasia Beverly Hills</t>
        </is>
      </c>
      <c r="E13396" t="n">
        <v>33.36</v>
      </c>
      <c r="F13396" t="n">
        <v>1</v>
      </c>
      <c r="G13396" t="n">
        <v>3</v>
      </c>
      <c r="H13396" s="5">
        <f>HYPERLINK("https://api.qogita.com/variants/link/0689304360166/", "View Product")</f>
        <v/>
      </c>
    </row>
    <row r="13397">
      <c r="A13397" t="inlineStr">
        <is>
          <t>0689304860079</t>
        </is>
      </c>
      <c r="B13397" t="inlineStr">
        <is>
          <t>Anastasia Beverly Hills Brow Wiz Skinny Brow Pencil</t>
        </is>
      </c>
      <c r="C13397" t="inlineStr">
        <is>
          <t>Eyebrow Pencil</t>
        </is>
      </c>
      <c r="D13397" t="inlineStr">
        <is>
          <t>Anastasia Beverly Hills</t>
        </is>
      </c>
      <c r="E13397" t="n">
        <v>23.85</v>
      </c>
      <c r="F13397" t="n">
        <v>1</v>
      </c>
      <c r="G13397" t="n">
        <v>5</v>
      </c>
      <c r="H13397" s="5">
        <f>HYPERLINK("https://api.qogita.com/variants/link/0689304860079/", "View Product")</f>
        <v/>
      </c>
    </row>
    <row r="13398">
      <c r="A13398" t="inlineStr">
        <is>
          <t>0690251009015</t>
        </is>
      </c>
      <c r="B13398" t="inlineStr">
        <is>
          <t>Jo Malone Eau De Toilette 100ml</t>
        </is>
      </c>
      <c r="C13398" t="inlineStr">
        <is>
          <t>Eau De Toilette</t>
        </is>
      </c>
      <c r="D13398" t="inlineStr">
        <is>
          <t>Jo Malone London</t>
        </is>
      </c>
      <c r="E13398" t="n">
        <v>101.54</v>
      </c>
      <c r="F13398" t="n">
        <v>1</v>
      </c>
      <c r="G13398" t="n">
        <v>10</v>
      </c>
      <c r="H13398" s="5">
        <f>HYPERLINK("https://api.qogita.com/variants/link/0690251009015/", "View Product")</f>
        <v/>
      </c>
    </row>
    <row r="13399">
      <c r="A13399" t="inlineStr">
        <is>
          <t>0690251009459</t>
        </is>
      </c>
      <c r="B13399" t="inlineStr">
        <is>
          <t>Jo Malone Pomegranate Noir Cologne 100ml</t>
        </is>
      </c>
      <c r="C13399" t="inlineStr">
        <is>
          <t>Eau De Cologne</t>
        </is>
      </c>
      <c r="D13399" t="inlineStr">
        <is>
          <t>Jo Malone London</t>
        </is>
      </c>
      <c r="E13399" t="n">
        <v>106.11</v>
      </c>
      <c r="F13399" t="n">
        <v>1</v>
      </c>
      <c r="G13399" t="n">
        <v>5</v>
      </c>
      <c r="H13399" s="5">
        <f>HYPERLINK("https://api.qogita.com/variants/link/0690251009459/", "View Product")</f>
        <v/>
      </c>
    </row>
    <row r="13400">
      <c r="A13400" t="inlineStr">
        <is>
          <t>0690251026098</t>
        </is>
      </c>
      <c r="B13400" t="inlineStr">
        <is>
          <t>Jo Malone Women's Cologne Water 30ml</t>
        </is>
      </c>
      <c r="C13400" t="inlineStr">
        <is>
          <t>Eau De Cologne</t>
        </is>
      </c>
      <c r="D13400" t="inlineStr">
        <is>
          <t>Jo Malone London</t>
        </is>
      </c>
      <c r="E13400" t="n">
        <v>43.59</v>
      </c>
      <c r="F13400" t="n">
        <v>1</v>
      </c>
      <c r="G13400" t="n">
        <v>5</v>
      </c>
      <c r="H13400" s="5">
        <f>HYPERLINK("https://api.qogita.com/variants/link/0690251026098/", "View Product")</f>
        <v/>
      </c>
    </row>
    <row r="13401">
      <c r="A13401" t="inlineStr">
        <is>
          <t>0690251040285</t>
        </is>
      </c>
      <c r="B13401" t="inlineStr">
        <is>
          <t>Jo Malone Peony &amp; Blush Suede Body Cream 175ml</t>
        </is>
      </c>
      <c r="C13401" t="inlineStr">
        <is>
          <t>Body Lotion</t>
        </is>
      </c>
      <c r="D13401" t="inlineStr">
        <is>
          <t>Jo Malone London</t>
        </is>
      </c>
      <c r="E13401" t="n">
        <v>64.48</v>
      </c>
      <c r="F13401" t="n">
        <v>1</v>
      </c>
      <c r="G13401" t="n">
        <v>5</v>
      </c>
      <c r="H13401" s="5">
        <f>HYPERLINK("https://api.qogita.com/variants/link/0690251040285/", "View Product")</f>
        <v/>
      </c>
    </row>
    <row r="13402">
      <c r="A13402" t="inlineStr">
        <is>
          <t>0690251056217</t>
        </is>
      </c>
      <c r="B13402" t="inlineStr">
        <is>
          <t>Jo Malone Rose and White Musk Absolu for Women 3.4 Oz Cologne Spray</t>
        </is>
      </c>
      <c r="C13402" t="inlineStr">
        <is>
          <t>Eau De Cologne</t>
        </is>
      </c>
      <c r="D13402" t="inlineStr">
        <is>
          <t>Jo Malone London</t>
        </is>
      </c>
      <c r="E13402" t="n">
        <v>216.45</v>
      </c>
      <c r="F13402" t="n">
        <v>1</v>
      </c>
      <c r="G13402" t="n">
        <v>2</v>
      </c>
      <c r="H13402" s="5">
        <f>HYPERLINK("https://api.qogita.com/variants/link/0690251056217/", "View Product")</f>
        <v/>
      </c>
    </row>
    <row r="13403">
      <c r="A13403" t="inlineStr">
        <is>
          <t>0690251056231</t>
        </is>
      </c>
      <c r="B13403" t="inlineStr">
        <is>
          <t>Gardenia and Oud Absolu by Jo Malone Unisex Cologne Spray 3.4 Oz</t>
        </is>
      </c>
      <c r="C13403" t="inlineStr">
        <is>
          <t>Eau De Cologne</t>
        </is>
      </c>
      <c r="D13403" t="inlineStr">
        <is>
          <t>Jo Malone London</t>
        </is>
      </c>
      <c r="E13403" t="n">
        <v>192.92</v>
      </c>
      <c r="F13403" t="n">
        <v>1</v>
      </c>
      <c r="G13403" t="n">
        <v>5</v>
      </c>
      <c r="H13403" s="5">
        <f>HYPERLINK("https://api.qogita.com/variants/link/0690251056231/", "View Product")</f>
        <v/>
      </c>
    </row>
    <row r="13404">
      <c r="A13404" t="inlineStr">
        <is>
          <t>0690251082780</t>
        </is>
      </c>
      <c r="B13404" t="inlineStr">
        <is>
          <t>Jo Malone Poppy and Barley Unisex 3.4 oz Cologne Spray</t>
        </is>
      </c>
      <c r="C13404" t="inlineStr">
        <is>
          <t>Eau De Cologne</t>
        </is>
      </c>
      <c r="D13404" t="inlineStr">
        <is>
          <t>Jo Malone London</t>
        </is>
      </c>
      <c r="E13404" t="n">
        <v>103.01</v>
      </c>
      <c r="F13404" t="n">
        <v>1</v>
      </c>
      <c r="G13404" t="n">
        <v>9</v>
      </c>
      <c r="H13404" s="5">
        <f>HYPERLINK("https://api.qogita.com/variants/link/0690251082780/", "View Product")</f>
        <v/>
      </c>
    </row>
    <row r="13405">
      <c r="A13405" t="inlineStr">
        <is>
          <t>0690251087969</t>
        </is>
      </c>
      <c r="B13405" t="inlineStr">
        <is>
          <t>Jo Malone Blackberry &amp; Bay Cologne 50ml</t>
        </is>
      </c>
      <c r="C13405" t="inlineStr">
        <is>
          <t>Eau De Cologne</t>
        </is>
      </c>
      <c r="D13405" t="inlineStr">
        <is>
          <t>Jo Malone London</t>
        </is>
      </c>
      <c r="E13405" t="n">
        <v>61.91</v>
      </c>
      <c r="F13405" t="n">
        <v>1</v>
      </c>
      <c r="G13405" t="n">
        <v>2</v>
      </c>
      <c r="H13405" s="5">
        <f>HYPERLINK("https://api.qogita.com/variants/link/0690251087969/", "View Product")</f>
        <v/>
      </c>
    </row>
    <row r="13406">
      <c r="A13406" t="inlineStr">
        <is>
          <t>0697045003884</t>
        </is>
      </c>
      <c r="B13406" t="inlineStr">
        <is>
          <t>AHAVA CLINERAL SEBO Facial Balm Cream 50ml</t>
        </is>
      </c>
      <c r="C13406" t="inlineStr">
        <is>
          <t>Face Cream</t>
        </is>
      </c>
      <c r="D13406" t="inlineStr">
        <is>
          <t>Ahava</t>
        </is>
      </c>
      <c r="E13406" t="n">
        <v>10.58</v>
      </c>
      <c r="F13406" t="n">
        <v>1</v>
      </c>
      <c r="G13406" t="n">
        <v>2</v>
      </c>
      <c r="H13406" s="5">
        <f>HYPERLINK("https://api.qogita.com/variants/link/0697045003884/", "View Product")</f>
        <v/>
      </c>
    </row>
    <row r="13407">
      <c r="A13407" t="inlineStr">
        <is>
          <t>0697045150175</t>
        </is>
      </c>
      <c r="B13407" t="inlineStr">
        <is>
          <t>AHAVA All In One Toning Cleanser Toner and Makeup Remover 3 in 1 Cleanser 250ml</t>
        </is>
      </c>
      <c r="C13407" t="inlineStr">
        <is>
          <t>Makeup Remover</t>
        </is>
      </c>
      <c r="D13407" t="inlineStr">
        <is>
          <t>Ahava</t>
        </is>
      </c>
      <c r="E13407" t="n">
        <v>17.47</v>
      </c>
      <c r="F13407" t="n">
        <v>1</v>
      </c>
      <c r="G13407" t="n">
        <v>2</v>
      </c>
      <c r="H13407" s="5">
        <f>HYPERLINK("https://api.qogita.com/variants/link/0697045150175/", "View Product")</f>
        <v/>
      </c>
    </row>
    <row r="13408">
      <c r="A13408" t="inlineStr">
        <is>
          <t>0697045155217</t>
        </is>
      </c>
      <c r="B13408" t="inlineStr">
        <is>
          <t>AHAVA Extreme Firming Eye Cream Firms Hydrates Smoothes and Reduces Wrinkles of Eye Area Enriched with Extreme Complex Exclusive Dead Sea Osmoter Peptides Hyaluronic Acid and Shea Butter 0.5 Fl.Oz</t>
        </is>
      </c>
      <c r="C13408" t="inlineStr">
        <is>
          <t>Eye Cream</t>
        </is>
      </c>
      <c r="D13408" t="inlineStr">
        <is>
          <t>Ahava</t>
        </is>
      </c>
      <c r="E13408" t="n">
        <v>35.43</v>
      </c>
      <c r="F13408" t="n">
        <v>1</v>
      </c>
      <c r="G13408" t="n">
        <v>2</v>
      </c>
      <c r="H13408" s="5">
        <f>HYPERLINK("https://api.qogita.com/variants/link/0697045155217/", "View Product")</f>
        <v/>
      </c>
    </row>
    <row r="13409">
      <c r="A13409" t="inlineStr">
        <is>
          <t>0697045155743</t>
        </is>
      </c>
      <c r="B13409" t="inlineStr">
        <is>
          <t>Ahava Brightening and Hydrating Facial Treatment Mask 50ml</t>
        </is>
      </c>
      <c r="C13409" t="inlineStr">
        <is>
          <t>Glow Mask</t>
        </is>
      </c>
      <c r="D13409" t="inlineStr">
        <is>
          <t>Ahava</t>
        </is>
      </c>
      <c r="E13409" t="n">
        <v>22.13</v>
      </c>
      <c r="F13409" t="n">
        <v>1</v>
      </c>
      <c r="G13409" t="n">
        <v>3</v>
      </c>
      <c r="H13409" s="5">
        <f>HYPERLINK("https://api.qogita.com/variants/link/0697045155743/", "View Product")</f>
        <v/>
      </c>
    </row>
    <row r="13410">
      <c r="A13410" t="inlineStr">
        <is>
          <t>0697045157549</t>
        </is>
      </c>
      <c r="B13410" t="inlineStr">
        <is>
          <t>AHAVA Age Control Even Tone Essence 100ml</t>
        </is>
      </c>
      <c r="C13410" t="inlineStr">
        <is>
          <t>Anti-Aging Serum</t>
        </is>
      </c>
      <c r="D13410" t="inlineStr">
        <is>
          <t>Ahava</t>
        </is>
      </c>
      <c r="E13410" t="n">
        <v>32.16</v>
      </c>
      <c r="F13410" t="n">
        <v>1</v>
      </c>
      <c r="G13410" t="n">
        <v>5</v>
      </c>
      <c r="H13410" s="5">
        <f>HYPERLINK("https://api.qogita.com/variants/link/0697045157549/", "View Product")</f>
        <v/>
      </c>
    </row>
    <row r="13411">
      <c r="A13411" t="inlineStr">
        <is>
          <t>0697045159727</t>
        </is>
      </c>
      <c r="B13411" t="inlineStr">
        <is>
          <t>AHAVA Beauty before Age Dark Circles &amp; Uplift Eye Cream 15ml</t>
        </is>
      </c>
      <c r="C13411" t="inlineStr">
        <is>
          <t>Eye Cream</t>
        </is>
      </c>
      <c r="D13411" t="inlineStr">
        <is>
          <t>Ahava</t>
        </is>
      </c>
      <c r="E13411" t="n">
        <v>37.88</v>
      </c>
      <c r="F13411" t="n">
        <v>1</v>
      </c>
      <c r="G13411" t="n">
        <v>2</v>
      </c>
      <c r="H13411" s="5">
        <f>HYPERLINK("https://api.qogita.com/variants/link/0697045159727/", "View Product")</f>
        <v/>
      </c>
    </row>
    <row r="13412">
      <c r="A13412" t="inlineStr">
        <is>
          <t>0697045160259</t>
        </is>
      </c>
      <c r="B13412" t="inlineStr">
        <is>
          <t>AHAVA Safe Retinol Sheet Mask</t>
        </is>
      </c>
      <c r="C13412" t="inlineStr">
        <is>
          <t>Sheet Mask</t>
        </is>
      </c>
      <c r="D13412" t="inlineStr">
        <is>
          <t>Ahava</t>
        </is>
      </c>
      <c r="E13412" t="n">
        <v>6.68</v>
      </c>
      <c r="F13412" t="n">
        <v>1</v>
      </c>
      <c r="G13412" t="n">
        <v>3</v>
      </c>
      <c r="H13412" s="5">
        <f>HYPERLINK("https://api.qogita.com/variants/link/0697045160259/", "View Product")</f>
        <v/>
      </c>
    </row>
    <row r="13413">
      <c r="A13413" t="inlineStr">
        <is>
          <t>0697045160280</t>
        </is>
      </c>
      <c r="B13413" t="inlineStr">
        <is>
          <t>AHAVA Safe Retinol Eye Cream 15ml</t>
        </is>
      </c>
      <c r="C13413" t="inlineStr">
        <is>
          <t>Eye Cream</t>
        </is>
      </c>
      <c r="D13413" t="inlineStr">
        <is>
          <t>Ahava</t>
        </is>
      </c>
      <c r="E13413" t="n">
        <v>41.66</v>
      </c>
      <c r="F13413" t="n">
        <v>1</v>
      </c>
      <c r="G13413" t="n">
        <v>3</v>
      </c>
      <c r="H13413" s="5">
        <f>HYPERLINK("https://api.qogita.com/variants/link/0697045160280/", "View Product")</f>
        <v/>
      </c>
    </row>
    <row r="13414">
      <c r="A13414" t="inlineStr">
        <is>
          <t>0697045162017</t>
        </is>
      </c>
      <c r="B13414" t="inlineStr">
        <is>
          <t>AHAVA Hyaluronic Acid 24/7 Cream for Day Care 50ml</t>
        </is>
      </c>
      <c r="C13414" t="inlineStr">
        <is>
          <t>Day Cream</t>
        </is>
      </c>
      <c r="D13414" t="inlineStr">
        <is>
          <t>Ahava</t>
        </is>
      </c>
      <c r="E13414" t="n">
        <v>30.28</v>
      </c>
      <c r="F13414" t="n">
        <v>1</v>
      </c>
      <c r="G13414" t="n">
        <v>2</v>
      </c>
      <c r="H13414" s="5">
        <f>HYPERLINK("https://api.qogita.com/variants/link/0697045162017/", "View Product")</f>
        <v/>
      </c>
    </row>
    <row r="13415">
      <c r="A13415" t="inlineStr">
        <is>
          <t>0697045162048</t>
        </is>
      </c>
      <c r="B13415" t="inlineStr">
        <is>
          <t>AHAVA Hyaluronic Acid Leave-On Mask Ultra-Hydrating Skin-Renewing Mask 100ml</t>
        </is>
      </c>
      <c r="C13415" t="inlineStr">
        <is>
          <t>Hydrating Mask</t>
        </is>
      </c>
      <c r="D13415" t="inlineStr">
        <is>
          <t>Ahava</t>
        </is>
      </c>
      <c r="E13415" t="n">
        <v>30.28</v>
      </c>
      <c r="F13415" t="n">
        <v>1</v>
      </c>
      <c r="G13415" t="n">
        <v>3</v>
      </c>
      <c r="H13415" s="5">
        <f>HYPERLINK("https://api.qogita.com/variants/link/0697045162048/", "View Product")</f>
        <v/>
      </c>
    </row>
    <row r="13416">
      <c r="A13416" t="inlineStr">
        <is>
          <t>0697045163403</t>
        </is>
      </c>
      <c r="B13416" t="inlineStr">
        <is>
          <t>AHAVA Halobacteria Restoring Elasticity Serum</t>
        </is>
      </c>
      <c r="C13416" t="inlineStr">
        <is>
          <t>Anti-Aging Serum</t>
        </is>
      </c>
      <c r="D13416" t="inlineStr">
        <is>
          <t>Ahava</t>
        </is>
      </c>
      <c r="E13416" t="n">
        <v>36.05</v>
      </c>
      <c r="F13416" t="n">
        <v>1</v>
      </c>
      <c r="G13416" t="n">
        <v>7</v>
      </c>
      <c r="H13416" s="5">
        <f>HYPERLINK("https://api.qogita.com/variants/link/0697045163403/", "View Product")</f>
        <v/>
      </c>
    </row>
    <row r="13417">
      <c r="A13417" t="inlineStr">
        <is>
          <t>0701666410126</t>
        </is>
      </c>
      <c r="B13417" t="inlineStr">
        <is>
          <t>Amouage Epic Woman EPV 100ml</t>
        </is>
      </c>
      <c r="C13417" t="inlineStr">
        <is>
          <t>Eau De Parfum</t>
        </is>
      </c>
      <c r="D13417" t="inlineStr">
        <is>
          <t>Amouage</t>
        </is>
      </c>
      <c r="E13417" t="n">
        <v>181.17</v>
      </c>
      <c r="F13417" t="n">
        <v>1</v>
      </c>
      <c r="G13417" t="n">
        <v>23</v>
      </c>
      <c r="H13417" s="5">
        <f>HYPERLINK("https://api.qogita.com/variants/link/0701666410126/", "View Product")</f>
        <v/>
      </c>
    </row>
    <row r="13418">
      <c r="A13418" t="inlineStr">
        <is>
          <t>0701666410164</t>
        </is>
      </c>
      <c r="B13418" t="inlineStr">
        <is>
          <t>Amouage Honour Woman Eau De Parfum 100ml</t>
        </is>
      </c>
      <c r="C13418" t="inlineStr">
        <is>
          <t>Eau De Parfum</t>
        </is>
      </c>
      <c r="D13418" t="inlineStr">
        <is>
          <t>Amouage</t>
        </is>
      </c>
      <c r="E13418" t="n">
        <v>211.31</v>
      </c>
      <c r="F13418" t="n">
        <v>1</v>
      </c>
      <c r="G13418" t="n">
        <v>3</v>
      </c>
      <c r="H13418" s="5">
        <f>HYPERLINK("https://api.qogita.com/variants/link/0701666410164/", "View Product")</f>
        <v/>
      </c>
    </row>
    <row r="13419">
      <c r="A13419" t="inlineStr">
        <is>
          <t>0701666410294</t>
        </is>
      </c>
      <c r="B13419" t="inlineStr">
        <is>
          <t>Amouage EDP Overture Women's Perfume 100ml</t>
        </is>
      </c>
      <c r="C13419" t="inlineStr">
        <is>
          <t>Eau De Parfum</t>
        </is>
      </c>
      <c r="D13419" t="inlineStr">
        <is>
          <t>Amouage</t>
        </is>
      </c>
      <c r="E13419" t="n">
        <v>238.89</v>
      </c>
      <c r="F13419" t="n">
        <v>1</v>
      </c>
      <c r="G13419" t="n">
        <v>3</v>
      </c>
      <c r="H13419" s="5">
        <f>HYPERLINK("https://api.qogita.com/variants/link/0701666410294/", "View Product")</f>
        <v/>
      </c>
    </row>
    <row r="13420">
      <c r="A13420" t="inlineStr">
        <is>
          <t>0701666410362</t>
        </is>
      </c>
      <c r="B13420" t="inlineStr">
        <is>
          <t>Amouage Enclave Eau de Parfum Spray 100ml</t>
        </is>
      </c>
      <c r="C13420" t="inlineStr">
        <is>
          <t>Eau De Parfum</t>
        </is>
      </c>
      <c r="D13420" t="inlineStr">
        <is>
          <t>Amouage</t>
        </is>
      </c>
      <c r="E13420" t="n">
        <v>191.04</v>
      </c>
      <c r="F13420" t="n">
        <v>1</v>
      </c>
      <c r="G13420" t="n">
        <v>8</v>
      </c>
      <c r="H13420" s="5">
        <f>HYPERLINK("https://api.qogita.com/variants/link/0701666410362/", "View Product")</f>
        <v/>
      </c>
    </row>
    <row r="13421">
      <c r="A13421" t="inlineStr">
        <is>
          <t>0701666410560</t>
        </is>
      </c>
      <c r="B13421" t="inlineStr">
        <is>
          <t>Amouage Library Collection Opus XIII Silver Oud Eau de Parfum</t>
        </is>
      </c>
      <c r="C13421" t="inlineStr">
        <is>
          <t>Eau De Parfum</t>
        </is>
      </c>
      <c r="D13421" t="inlineStr">
        <is>
          <t>Amouage</t>
        </is>
      </c>
      <c r="E13421" t="n">
        <v>274.7</v>
      </c>
      <c r="F13421" t="n">
        <v>1</v>
      </c>
      <c r="G13421" t="n">
        <v>4</v>
      </c>
      <c r="H13421" s="5">
        <f>HYPERLINK("https://api.qogita.com/variants/link/0701666410560/", "View Product")</f>
        <v/>
      </c>
    </row>
    <row r="13422">
      <c r="A13422" t="inlineStr">
        <is>
          <t>0711367107447</t>
        </is>
      </c>
      <c r="B13422" t="inlineStr">
        <is>
          <t>Annick Goutal Chat Perché Unisex Eau de Toilette 100ml</t>
        </is>
      </c>
      <c r="C13422" t="inlineStr">
        <is>
          <t>Eau De Toilette</t>
        </is>
      </c>
      <c r="D13422" t="inlineStr">
        <is>
          <t>Annick Goutal</t>
        </is>
      </c>
      <c r="E13422" t="n">
        <v>65.69</v>
      </c>
      <c r="F13422" t="n">
        <v>1</v>
      </c>
      <c r="G13422" t="n">
        <v>24</v>
      </c>
      <c r="H13422" s="5">
        <f>HYPERLINK("https://api.qogita.com/variants/link/0711367107447/", "View Product")</f>
        <v/>
      </c>
    </row>
    <row r="13423">
      <c r="A13423" t="inlineStr">
        <is>
          <t>0711367108123</t>
        </is>
      </c>
      <c r="B13423" t="inlineStr">
        <is>
          <t>Étoile D'une Nuit Eau de Parfum 50ml 1.7 Fl. Oz.</t>
        </is>
      </c>
      <c r="C13423" t="inlineStr">
        <is>
          <t>Eau De Parfum</t>
        </is>
      </c>
      <c r="D13423" t="inlineStr">
        <is>
          <t>Annick Goutal</t>
        </is>
      </c>
      <c r="E13423" t="n">
        <v>45.6</v>
      </c>
      <c r="F13423" t="n">
        <v>1</v>
      </c>
      <c r="G13423" t="n">
        <v>57</v>
      </c>
      <c r="H13423" s="5">
        <f>HYPERLINK("https://api.qogita.com/variants/link/0711367108123/", "View Product")</f>
        <v/>
      </c>
    </row>
    <row r="13424">
      <c r="A13424" t="inlineStr">
        <is>
          <t>0711367109311</t>
        </is>
      </c>
      <c r="B13424" t="inlineStr">
        <is>
          <t>Goutal Eau De Charlotte Eau De Toilette 100 Vaporizer</t>
        </is>
      </c>
      <c r="C13424" t="inlineStr">
        <is>
          <t>Eau De Toilette</t>
        </is>
      </c>
      <c r="D13424" t="inlineStr">
        <is>
          <t>Annick Goutal</t>
        </is>
      </c>
      <c r="E13424" t="n">
        <v>74.63</v>
      </c>
      <c r="F13424" t="n">
        <v>1</v>
      </c>
      <c r="G13424" t="n">
        <v>2</v>
      </c>
      <c r="H13424" s="5">
        <f>HYPERLINK("https://api.qogita.com/variants/link/0711367109311/", "View Product")</f>
        <v/>
      </c>
    </row>
    <row r="13425">
      <c r="A13425" t="inlineStr">
        <is>
          <t>0711367109373</t>
        </is>
      </c>
      <c r="B13425" t="inlineStr">
        <is>
          <t>UN Matin D'ORAGE EDT Spray 100ml</t>
        </is>
      </c>
      <c r="C13425" t="inlineStr">
        <is>
          <t>Eau De Toilette</t>
        </is>
      </c>
      <c r="D13425" t="inlineStr">
        <is>
          <t>Annick Goutal</t>
        </is>
      </c>
      <c r="E13425" t="n">
        <v>55.57</v>
      </c>
      <c r="F13425" t="n">
        <v>1</v>
      </c>
      <c r="G13425" t="n">
        <v>4</v>
      </c>
      <c r="H13425" s="5">
        <f>HYPERLINK("https://api.qogita.com/variants/link/0711367109373/", "View Product")</f>
        <v/>
      </c>
    </row>
    <row r="13426">
      <c r="A13426" t="inlineStr">
        <is>
          <t>0711367109519</t>
        </is>
      </c>
      <c r="B13426" t="inlineStr">
        <is>
          <t>Rose Pompon Eau de Parfum Spray 100ml</t>
        </is>
      </c>
      <c r="C13426" t="inlineStr">
        <is>
          <t>Eau De Parfum</t>
        </is>
      </c>
      <c r="D13426" t="inlineStr">
        <is>
          <t>Annick Goutal</t>
        </is>
      </c>
      <c r="E13426" t="n">
        <v>53.74</v>
      </c>
      <c r="F13426" t="n">
        <v>1</v>
      </c>
      <c r="G13426" t="n">
        <v>69</v>
      </c>
      <c r="H13426" s="5">
        <f>HYPERLINK("https://api.qogita.com/variants/link/0711367109519/", "View Product")</f>
        <v/>
      </c>
    </row>
    <row r="13427">
      <c r="A13427" t="inlineStr">
        <is>
          <t>0711367109755</t>
        </is>
      </c>
      <c r="B13427" t="inlineStr">
        <is>
          <t>NINFEO MIO EDT Vapo 100ml</t>
        </is>
      </c>
      <c r="C13427" t="inlineStr">
        <is>
          <t>Eau De Toilette</t>
        </is>
      </c>
      <c r="D13427" t="inlineStr">
        <is>
          <t>Annick Goutal</t>
        </is>
      </c>
      <c r="E13427" t="n">
        <v>45.28</v>
      </c>
      <c r="F13427" t="n">
        <v>1</v>
      </c>
      <c r="G13427" t="n">
        <v>34</v>
      </c>
      <c r="H13427" s="5">
        <f>HYPERLINK("https://api.qogita.com/variants/link/0711367109755/", "View Product")</f>
        <v/>
      </c>
    </row>
    <row r="13428">
      <c r="A13428" t="inlineStr">
        <is>
          <t>0711367113752</t>
        </is>
      </c>
      <c r="B13428" t="inlineStr">
        <is>
          <t>Goutal Tenue De Soiree 100ml Eau De Parfum Spray And 75ml Body Cream</t>
        </is>
      </c>
      <c r="C13428" t="inlineStr">
        <is>
          <t>Eau De Parfum</t>
        </is>
      </c>
      <c r="D13428" t="inlineStr">
        <is>
          <t>Annick Goutal</t>
        </is>
      </c>
      <c r="E13428" t="n">
        <v>63.37</v>
      </c>
      <c r="F13428" t="n">
        <v>1</v>
      </c>
      <c r="G13428" t="n">
        <v>29</v>
      </c>
      <c r="H13428" s="5">
        <f>HYPERLINK("https://api.qogita.com/variants/link/0711367113752/", "View Product")</f>
        <v/>
      </c>
    </row>
    <row r="13429">
      <c r="A13429" t="inlineStr">
        <is>
          <t>0711367120019</t>
        </is>
      </c>
      <c r="B13429" t="inlineStr">
        <is>
          <t>Annick Goutal Eau D'Hadrien EDP 1.7 Ounce</t>
        </is>
      </c>
      <c r="C13429" t="inlineStr">
        <is>
          <t>Eau De Parfum</t>
        </is>
      </c>
      <c r="D13429" t="inlineStr">
        <is>
          <t>Annick Goutal</t>
        </is>
      </c>
      <c r="E13429" t="n">
        <v>80.75</v>
      </c>
      <c r="F13429" t="n">
        <v>1</v>
      </c>
      <c r="G13429" t="n">
        <v>3</v>
      </c>
      <c r="H13429" s="5">
        <f>HYPERLINK("https://api.qogita.com/variants/link/0711367120019/", "View Product")</f>
        <v/>
      </c>
    </row>
    <row r="13430">
      <c r="A13430" t="inlineStr">
        <is>
          <t>0716170053158</t>
        </is>
      </c>
      <c r="B13430" t="inlineStr">
        <is>
          <t>Bobbi Brown Concealer Brush Eye Shadow Brush</t>
        </is>
      </c>
      <c r="C13430" t="inlineStr">
        <is>
          <t>Concealer Brushes</t>
        </is>
      </c>
      <c r="D13430" t="inlineStr">
        <is>
          <t>Bobbi Brown</t>
        </is>
      </c>
      <c r="E13430" t="n">
        <v>28.56</v>
      </c>
      <c r="F13430" t="n">
        <v>1</v>
      </c>
      <c r="G13430" t="n">
        <v>5</v>
      </c>
      <c r="H13430" s="5">
        <f>HYPERLINK("https://api.qogita.com/variants/link/0716170053158/", "View Product")</f>
        <v/>
      </c>
    </row>
    <row r="13431">
      <c r="A13431" t="inlineStr">
        <is>
          <t>0716170067674</t>
        </is>
      </c>
      <c r="B13431" t="inlineStr">
        <is>
          <t>Bobbi Brown Powder Brush</t>
        </is>
      </c>
      <c r="C13431" t="inlineStr">
        <is>
          <t>Powder Brushes</t>
        </is>
      </c>
      <c r="D13431" t="inlineStr">
        <is>
          <t>Bobbi Brown</t>
        </is>
      </c>
      <c r="E13431" t="n">
        <v>42.06</v>
      </c>
      <c r="F13431" t="n">
        <v>1</v>
      </c>
      <c r="G13431" t="n">
        <v>4</v>
      </c>
      <c r="H13431" s="5">
        <f>HYPERLINK("https://api.qogita.com/variants/link/0716170067674/", "View Product")</f>
        <v/>
      </c>
    </row>
    <row r="13432">
      <c r="A13432" t="inlineStr">
        <is>
          <t>0716170067698</t>
        </is>
      </c>
      <c r="B13432" t="inlineStr">
        <is>
          <t>Bobbi Brown Face Blender Brush</t>
        </is>
      </c>
      <c r="C13432" t="inlineStr">
        <is>
          <t>Foundation Brushes</t>
        </is>
      </c>
      <c r="D13432" t="inlineStr">
        <is>
          <t>Bobbi Brown</t>
        </is>
      </c>
      <c r="E13432" t="n">
        <v>39.37</v>
      </c>
      <c r="F13432" t="n">
        <v>1</v>
      </c>
      <c r="G13432" t="n">
        <v>7</v>
      </c>
      <c r="H13432" s="5">
        <f>HYPERLINK("https://api.qogita.com/variants/link/0716170067698/", "View Product")</f>
        <v/>
      </c>
    </row>
    <row r="13433">
      <c r="A13433" t="inlineStr">
        <is>
          <t>0716170086675</t>
        </is>
      </c>
      <c r="B13433" t="inlineStr">
        <is>
          <t>BBr Corr 03 Light Med Bisque Light to Medium Bisque 1 Count</t>
        </is>
      </c>
      <c r="C13433" t="inlineStr">
        <is>
          <t>Foundation</t>
        </is>
      </c>
      <c r="D13433" t="inlineStr">
        <is>
          <t>Bobbi Brown</t>
        </is>
      </c>
      <c r="E13433" t="n">
        <v>30.31</v>
      </c>
      <c r="F13433" t="n">
        <v>1</v>
      </c>
      <c r="G13433" t="n">
        <v>10</v>
      </c>
      <c r="H13433" s="5">
        <f>HYPERLINK("https://api.qogita.com/variants/link/0716170086675/", "View Product")</f>
        <v/>
      </c>
    </row>
    <row r="13434">
      <c r="A13434" t="inlineStr">
        <is>
          <t>0716170086750</t>
        </is>
      </c>
      <c r="B13434" t="inlineStr">
        <is>
          <t>Bobbi Brown Creamy Corrector 1g Peach Concealer</t>
        </is>
      </c>
      <c r="C13434" t="inlineStr">
        <is>
          <t>Concealer</t>
        </is>
      </c>
      <c r="D13434" t="inlineStr">
        <is>
          <t>Bobbi Brown</t>
        </is>
      </c>
      <c r="E13434" t="n">
        <v>28.04</v>
      </c>
      <c r="F13434" t="n">
        <v>1</v>
      </c>
      <c r="G13434" t="n">
        <v>5</v>
      </c>
      <c r="H13434" s="5">
        <f>HYPERLINK("https://api.qogita.com/variants/link/0716170086750/", "View Product")</f>
        <v/>
      </c>
    </row>
    <row r="13435">
      <c r="A13435" t="inlineStr">
        <is>
          <t>0716170109480</t>
        </is>
      </c>
      <c r="B13435" t="inlineStr">
        <is>
          <t>Bobbi Brown Long Wear Cream Shadow Stick No. 01 Vanilla 0.05 Ounce</t>
        </is>
      </c>
      <c r="C13435" t="inlineStr">
        <is>
          <t>Eyeshadow</t>
        </is>
      </c>
      <c r="D13435" t="inlineStr">
        <is>
          <t>Bobbi Brown</t>
        </is>
      </c>
      <c r="E13435" t="n">
        <v>30.16</v>
      </c>
      <c r="F13435" t="n">
        <v>1</v>
      </c>
      <c r="G13435" t="n">
        <v>3</v>
      </c>
      <c r="H13435" s="5">
        <f>HYPERLINK("https://api.qogita.com/variants/link/0716170109480/", "View Product")</f>
        <v/>
      </c>
    </row>
    <row r="13436">
      <c r="A13436" t="inlineStr">
        <is>
          <t>0716170115092</t>
        </is>
      </c>
      <c r="B13436" t="inlineStr">
        <is>
          <t>Bobbi Brown Long-Wear Cream Shadow Stick Golden Bronze 1.6g</t>
        </is>
      </c>
      <c r="C13436" t="inlineStr">
        <is>
          <t>Eyeshadow</t>
        </is>
      </c>
      <c r="D13436" t="inlineStr">
        <is>
          <t>Bobbi Brown</t>
        </is>
      </c>
      <c r="E13436" t="n">
        <v>30.16</v>
      </c>
      <c r="F13436" t="n">
        <v>1</v>
      </c>
      <c r="G13436" t="n">
        <v>10</v>
      </c>
      <c r="H13436" s="5">
        <f>HYPERLINK("https://api.qogita.com/variants/link/0716170115092/", "View Product")</f>
        <v/>
      </c>
    </row>
    <row r="13437">
      <c r="A13437" t="inlineStr">
        <is>
          <t>0716170124339</t>
        </is>
      </c>
      <c r="B13437" t="inlineStr">
        <is>
          <t>Bobbi Brown Skin Foundation Stick 5.0 Honey 9g</t>
        </is>
      </c>
      <c r="C13437" t="inlineStr">
        <is>
          <t>Foundation</t>
        </is>
      </c>
      <c r="D13437" t="inlineStr">
        <is>
          <t>Bobbi Brown</t>
        </is>
      </c>
      <c r="E13437" t="n">
        <v>39.63</v>
      </c>
      <c r="F13437" t="n">
        <v>1</v>
      </c>
      <c r="G13437" t="n">
        <v>5</v>
      </c>
      <c r="H13437" s="5">
        <f>HYPERLINK("https://api.qogita.com/variants/link/0716170124339/", "View Product")</f>
        <v/>
      </c>
    </row>
    <row r="13438">
      <c r="A13438" t="inlineStr">
        <is>
          <t>0716170141381</t>
        </is>
      </c>
      <c r="B13438" t="inlineStr">
        <is>
          <t>Bobbi Brown Lip Pencil 12 Rum Raisin 1g</t>
        </is>
      </c>
      <c r="C13438" t="inlineStr">
        <is>
          <t>Lip Liner</t>
        </is>
      </c>
      <c r="D13438" t="inlineStr">
        <is>
          <t>Bobbi Brown</t>
        </is>
      </c>
      <c r="E13438" t="n">
        <v>23.92</v>
      </c>
      <c r="F13438" t="n">
        <v>1</v>
      </c>
      <c r="G13438" t="n">
        <v>4</v>
      </c>
      <c r="H13438" s="5">
        <f>HYPERLINK("https://api.qogita.com/variants/link/0716170141381/", "View Product")</f>
        <v/>
      </c>
    </row>
    <row r="13439">
      <c r="A13439" t="inlineStr">
        <is>
          <t>0716170158150</t>
        </is>
      </c>
      <c r="B13439" t="inlineStr">
        <is>
          <t>Bobbi Brown Nude Finish Illuminating Powder No.04 Buff</t>
        </is>
      </c>
      <c r="C13439" t="inlineStr">
        <is>
          <t>Powder</t>
        </is>
      </c>
      <c r="D13439" t="inlineStr">
        <is>
          <t>Bobbi Brown</t>
        </is>
      </c>
      <c r="E13439" t="n">
        <v>45.34</v>
      </c>
      <c r="F13439" t="n">
        <v>1</v>
      </c>
      <c r="G13439" t="n">
        <v>4</v>
      </c>
      <c r="H13439" s="5">
        <f>HYPERLINK("https://api.qogita.com/variants/link/0716170158150/", "View Product")</f>
        <v/>
      </c>
    </row>
    <row r="13440">
      <c r="A13440" t="inlineStr">
        <is>
          <t>0716170165875</t>
        </is>
      </c>
      <c r="B13440" t="inlineStr">
        <is>
          <t>Bobbi Brown Highlighting Powder Pink Glow</t>
        </is>
      </c>
      <c r="C13440" t="inlineStr">
        <is>
          <t>Highlighter</t>
        </is>
      </c>
      <c r="D13440" t="inlineStr">
        <is>
          <t>Bobbi Brown</t>
        </is>
      </c>
      <c r="E13440" t="n">
        <v>44.23</v>
      </c>
      <c r="F13440" t="n">
        <v>1</v>
      </c>
      <c r="G13440" t="n">
        <v>5</v>
      </c>
      <c r="H13440" s="5">
        <f>HYPERLINK("https://api.qogita.com/variants/link/0716170165875/", "View Product")</f>
        <v/>
      </c>
    </row>
    <row r="13441">
      <c r="A13441" t="inlineStr">
        <is>
          <t>0716170186252</t>
        </is>
      </c>
      <c r="B13441" t="inlineStr">
        <is>
          <t>Bobbi Brown Crushed Lip Color Blackberry 3.4g</t>
        </is>
      </c>
      <c r="C13441" t="inlineStr">
        <is>
          <t>Lipstick</t>
        </is>
      </c>
      <c r="D13441" t="inlineStr">
        <is>
          <t>Bobbi Brown</t>
        </is>
      </c>
      <c r="E13441" t="n">
        <v>28.71</v>
      </c>
      <c r="F13441" t="n">
        <v>1</v>
      </c>
      <c r="G13441" t="n">
        <v>5</v>
      </c>
      <c r="H13441" s="5">
        <f>HYPERLINK("https://api.qogita.com/variants/link/0716170186252/", "View Product")</f>
        <v/>
      </c>
    </row>
    <row r="13442">
      <c r="A13442" t="inlineStr">
        <is>
          <t>0716170189819</t>
        </is>
      </c>
      <c r="B13442" t="inlineStr">
        <is>
          <t>Bobbi Brown Instant Full Cover Concealer Honey 6ml</t>
        </is>
      </c>
      <c r="C13442" t="inlineStr">
        <is>
          <t>Concealer</t>
        </is>
      </c>
      <c r="D13442" t="inlineStr">
        <is>
          <t>Bobbi Brown</t>
        </is>
      </c>
      <c r="E13442" t="n">
        <v>23.93</v>
      </c>
      <c r="F13442" t="n">
        <v>1</v>
      </c>
      <c r="G13442" t="n">
        <v>13</v>
      </c>
      <c r="H13442" s="5">
        <f>HYPERLINK("https://api.qogita.com/variants/link/0716170189819/", "View Product")</f>
        <v/>
      </c>
    </row>
    <row r="13443">
      <c r="A13443" t="inlineStr">
        <is>
          <t>0716170196619</t>
        </is>
      </c>
      <c r="B13443" t="inlineStr">
        <is>
          <t>Luxe Eye Shadow Rich Metal Heat Ray 2g</t>
        </is>
      </c>
      <c r="C13443" t="inlineStr">
        <is>
          <t>Eyeshadow</t>
        </is>
      </c>
      <c r="D13443" t="inlineStr">
        <is>
          <t>Bobbi Brown</t>
        </is>
      </c>
      <c r="E13443" t="n">
        <v>30.59</v>
      </c>
      <c r="F13443" t="n">
        <v>1</v>
      </c>
      <c r="G13443" t="n">
        <v>3</v>
      </c>
      <c r="H13443" s="5">
        <f>HYPERLINK("https://api.qogita.com/variants/link/0716170196619/", "View Product")</f>
        <v/>
      </c>
    </row>
    <row r="13444">
      <c r="A13444" t="inlineStr">
        <is>
          <t>0716170225470</t>
        </is>
      </c>
      <c r="B13444" t="inlineStr">
        <is>
          <t>Bobbi Brown Luxe Shine Intense Lipstick Bold Honey</t>
        </is>
      </c>
      <c r="C13444" t="inlineStr">
        <is>
          <t>Lipstick</t>
        </is>
      </c>
      <c r="D13444" t="inlineStr">
        <is>
          <t>Bobbi Brown</t>
        </is>
      </c>
      <c r="E13444" t="n">
        <v>31.44</v>
      </c>
      <c r="F13444" t="n">
        <v>1</v>
      </c>
      <c r="G13444" t="n">
        <v>5</v>
      </c>
      <c r="H13444" s="5">
        <f>HYPERLINK("https://api.qogita.com/variants/link/0716170225470/", "View Product")</f>
        <v/>
      </c>
    </row>
    <row r="13445">
      <c r="A13445" t="inlineStr">
        <is>
          <t>0716170225531</t>
        </is>
      </c>
      <c r="B13445" t="inlineStr">
        <is>
          <t>Bobbi Brown Luxe Shine Intense Lipstick Red Stiletto 3.4g</t>
        </is>
      </c>
      <c r="C13445" t="inlineStr">
        <is>
          <t>Lipstick</t>
        </is>
      </c>
      <c r="D13445" t="inlineStr">
        <is>
          <t>Bobbi Brown</t>
        </is>
      </c>
      <c r="E13445" t="n">
        <v>29.32</v>
      </c>
      <c r="F13445" t="n">
        <v>1</v>
      </c>
      <c r="G13445" t="n">
        <v>2</v>
      </c>
      <c r="H13445" s="5">
        <f>HYPERLINK("https://api.qogita.com/variants/link/0716170225531/", "View Product")</f>
        <v/>
      </c>
    </row>
    <row r="13446">
      <c r="A13446" t="inlineStr">
        <is>
          <t>0716170228945</t>
        </is>
      </c>
      <c r="B13446" t="inlineStr">
        <is>
          <t>Bobbi Brown Crushed Oil-infused Gloss Shade in The Buff 6ml</t>
        </is>
      </c>
      <c r="C13446" t="inlineStr">
        <is>
          <t>Lip Gloss</t>
        </is>
      </c>
      <c r="D13446" t="inlineStr">
        <is>
          <t>Bobbi Brown</t>
        </is>
      </c>
      <c r="E13446" t="n">
        <v>24.87</v>
      </c>
      <c r="F13446" t="n">
        <v>1</v>
      </c>
      <c r="G13446" t="n">
        <v>3</v>
      </c>
      <c r="H13446" s="5">
        <f>HYPERLINK("https://api.qogita.com/variants/link/0716170228945/", "View Product")</f>
        <v/>
      </c>
    </row>
    <row r="13447">
      <c r="A13447" t="inlineStr">
        <is>
          <t>0716170229256</t>
        </is>
      </c>
      <c r="B13447" t="inlineStr">
        <is>
          <t>Bobbi Brown Intensive Serum Foundation SPF40 W-016 Warm Porcelain 30ml</t>
        </is>
      </c>
      <c r="C13447" t="inlineStr">
        <is>
          <t>Foundation</t>
        </is>
      </c>
      <c r="D13447" t="inlineStr">
        <is>
          <t>Bobbi Brown</t>
        </is>
      </c>
      <c r="E13447" t="n">
        <v>52.91</v>
      </c>
      <c r="F13447" t="n">
        <v>1</v>
      </c>
      <c r="G13447" t="n">
        <v>4</v>
      </c>
      <c r="H13447" s="5">
        <f>HYPERLINK("https://api.qogita.com/variants/link/0716170229256/", "View Product")</f>
        <v/>
      </c>
    </row>
    <row r="13448">
      <c r="A13448" t="inlineStr">
        <is>
          <t>0716170229294</t>
        </is>
      </c>
      <c r="B13448" t="inlineStr">
        <is>
          <t>Bobbi Brown Intensive Skin Serum Foundation SPF 40 Ivory for Women 1 oz</t>
        </is>
      </c>
      <c r="C13448" t="inlineStr">
        <is>
          <t>Foundation</t>
        </is>
      </c>
      <c r="D13448" t="inlineStr">
        <is>
          <t>Bobbi Brown</t>
        </is>
      </c>
      <c r="E13448" t="n">
        <v>52.91</v>
      </c>
      <c r="F13448" t="n">
        <v>1</v>
      </c>
      <c r="G13448" t="n">
        <v>2</v>
      </c>
      <c r="H13448" s="5">
        <f>HYPERLINK("https://api.qogita.com/variants/link/0716170229294/", "View Product")</f>
        <v/>
      </c>
    </row>
    <row r="13449">
      <c r="A13449" t="inlineStr">
        <is>
          <t>0716170229300</t>
        </is>
      </c>
      <c r="B13449" t="inlineStr">
        <is>
          <t>Bobbi Brown Intensive Skin Serum Foundation SPF 40 Cool Ivory for Women 1 oz</t>
        </is>
      </c>
      <c r="C13449" t="inlineStr">
        <is>
          <t>Foundation</t>
        </is>
      </c>
      <c r="D13449" t="inlineStr">
        <is>
          <t>Bobbi Brown</t>
        </is>
      </c>
      <c r="E13449" t="n">
        <v>52.91</v>
      </c>
      <c r="F13449" t="n">
        <v>1</v>
      </c>
      <c r="G13449" t="n">
        <v>5</v>
      </c>
      <c r="H13449" s="5">
        <f>HYPERLINK("https://api.qogita.com/variants/link/0716170229300/", "View Product")</f>
        <v/>
      </c>
    </row>
    <row r="13450">
      <c r="A13450" t="inlineStr">
        <is>
          <t>0716170229324</t>
        </is>
      </c>
      <c r="B13450" t="inlineStr">
        <is>
          <t>Bobbi Brown Intensive Serum Foundation SPF 40 Almond</t>
        </is>
      </c>
      <c r="C13450" t="inlineStr">
        <is>
          <t>Foundation</t>
        </is>
      </c>
      <c r="D13450" t="inlineStr">
        <is>
          <t>Bobbi Brown</t>
        </is>
      </c>
      <c r="E13450" t="n">
        <v>52.91</v>
      </c>
      <c r="F13450" t="n">
        <v>1</v>
      </c>
      <c r="G13450" t="n">
        <v>5</v>
      </c>
      <c r="H13450" s="5">
        <f>HYPERLINK("https://api.qogita.com/variants/link/0716170229324/", "View Product")</f>
        <v/>
      </c>
    </row>
    <row r="13451">
      <c r="A13451" t="inlineStr">
        <is>
          <t>0716170235462</t>
        </is>
      </c>
      <c r="B13451" t="inlineStr">
        <is>
          <t>Bobbi Brown Crushed Oil-infused Gloss Force of Nature Medium Pink Brown 1 Count</t>
        </is>
      </c>
      <c r="C13451" t="inlineStr">
        <is>
          <t>Lip Gloss</t>
        </is>
      </c>
      <c r="D13451" t="inlineStr">
        <is>
          <t>Bobbi Brown</t>
        </is>
      </c>
      <c r="E13451" t="n">
        <v>25.17</v>
      </c>
      <c r="F13451" t="n">
        <v>1</v>
      </c>
      <c r="G13451" t="n">
        <v>5</v>
      </c>
      <c r="H13451" s="5">
        <f>HYPERLINK("https://api.qogita.com/variants/link/0716170235462/", "View Product")</f>
        <v/>
      </c>
    </row>
    <row r="13452">
      <c r="A13452" t="inlineStr">
        <is>
          <t>0716170237855</t>
        </is>
      </c>
      <c r="B13452" t="inlineStr">
        <is>
          <t>Bobbi Brown Crushed Lip Color Blush 3.4g</t>
        </is>
      </c>
      <c r="C13452" t="inlineStr">
        <is>
          <t>Lipstick</t>
        </is>
      </c>
      <c r="D13452" t="inlineStr">
        <is>
          <t>Bobbi Brown</t>
        </is>
      </c>
      <c r="E13452" t="n">
        <v>25.08</v>
      </c>
      <c r="F13452" t="n">
        <v>1</v>
      </c>
      <c r="G13452" t="n">
        <v>5</v>
      </c>
      <c r="H13452" s="5">
        <f>HYPERLINK("https://api.qogita.com/variants/link/0716170237855/", "View Product")</f>
        <v/>
      </c>
    </row>
    <row r="13453">
      <c r="A13453" t="inlineStr">
        <is>
          <t>0716170252674</t>
        </is>
      </c>
      <c r="B13453" t="inlineStr">
        <is>
          <t>Bobbi Brown Micro Brow Honey Brown</t>
        </is>
      </c>
      <c r="C13453" t="inlineStr">
        <is>
          <t>Eyebrow Pencil</t>
        </is>
      </c>
      <c r="D13453" t="inlineStr">
        <is>
          <t>Bobbi Brown</t>
        </is>
      </c>
      <c r="E13453" t="n">
        <v>22.97</v>
      </c>
      <c r="F13453" t="n">
        <v>1</v>
      </c>
      <c r="G13453" t="n">
        <v>4</v>
      </c>
      <c r="H13453" s="5">
        <f>HYPERLINK("https://api.qogita.com/variants/link/0716170252674/", "View Product")</f>
        <v/>
      </c>
    </row>
    <row r="13454">
      <c r="A13454" t="inlineStr">
        <is>
          <t>0716170257174</t>
        </is>
      </c>
      <c r="B13454" t="inlineStr">
        <is>
          <t>Bobbi Brown Crushed Oil-Infused Gloss Shimmer Bellini</t>
        </is>
      </c>
      <c r="C13454" t="inlineStr">
        <is>
          <t>Lip Gloss</t>
        </is>
      </c>
      <c r="D13454" t="inlineStr">
        <is>
          <t>Bobbi Brown</t>
        </is>
      </c>
      <c r="E13454" t="n">
        <v>29.47</v>
      </c>
      <c r="F13454" t="n">
        <v>1</v>
      </c>
      <c r="G13454" t="n">
        <v>5</v>
      </c>
      <c r="H13454" s="5">
        <f>HYPERLINK("https://api.qogita.com/variants/link/0716170257174/", "View Product")</f>
        <v/>
      </c>
    </row>
    <row r="13455">
      <c r="A13455" t="inlineStr">
        <is>
          <t>0716170257181</t>
        </is>
      </c>
      <c r="B13455" t="inlineStr">
        <is>
          <t>Bobbi Brown Crushed Oil-Infused Gloss Shimmer Kir Sugar 0.2 Fl Oz</t>
        </is>
      </c>
      <c r="C13455" t="inlineStr">
        <is>
          <t>Lip Gloss</t>
        </is>
      </c>
      <c r="D13455" t="inlineStr">
        <is>
          <t>Bobbi Brown</t>
        </is>
      </c>
      <c r="E13455" t="n">
        <v>28.71</v>
      </c>
      <c r="F13455" t="n">
        <v>1</v>
      </c>
      <c r="G13455" t="n">
        <v>5</v>
      </c>
      <c r="H13455" s="5">
        <f>HYPERLINK("https://api.qogita.com/variants/link/0716170257181/", "View Product")</f>
        <v/>
      </c>
    </row>
    <row r="13456">
      <c r="A13456" t="inlineStr">
        <is>
          <t>0716170259055</t>
        </is>
      </c>
      <c r="B13456" t="inlineStr">
        <is>
          <t>Skin Corrector Stick 3g Shade Deep Peach</t>
        </is>
      </c>
      <c r="C13456" t="inlineStr">
        <is>
          <t>Color Corrector</t>
        </is>
      </c>
      <c r="D13456" t="inlineStr">
        <is>
          <t>Bobbi Brown</t>
        </is>
      </c>
      <c r="E13456" t="n">
        <v>27.42</v>
      </c>
      <c r="F13456" t="n">
        <v>1</v>
      </c>
      <c r="G13456" t="n">
        <v>3</v>
      </c>
      <c r="H13456" s="5">
        <f>HYPERLINK("https://api.qogita.com/variants/link/0716170259055/", "View Product")</f>
        <v/>
      </c>
    </row>
    <row r="13457">
      <c r="A13457" t="inlineStr">
        <is>
          <t>0716170260327</t>
        </is>
      </c>
      <c r="B13457" t="inlineStr">
        <is>
          <t>Bobbi Brown Luxe Lipstick Parisian Red</t>
        </is>
      </c>
      <c r="C13457" t="inlineStr">
        <is>
          <t>Lipstick</t>
        </is>
      </c>
      <c r="D13457" t="inlineStr">
        <is>
          <t>Bobbi Brown</t>
        </is>
      </c>
      <c r="E13457" t="n">
        <v>29.32</v>
      </c>
      <c r="F13457" t="n">
        <v>1</v>
      </c>
      <c r="G13457" t="n">
        <v>3</v>
      </c>
      <c r="H13457" s="5">
        <f>HYPERLINK("https://api.qogita.com/variants/link/0716170260327/", "View Product")</f>
        <v/>
      </c>
    </row>
    <row r="13458">
      <c r="A13458" t="inlineStr">
        <is>
          <t>0716170260471</t>
        </is>
      </c>
      <c r="B13458" t="inlineStr">
        <is>
          <t>Bobbi Brown Luxe Lipstick Pink Nude</t>
        </is>
      </c>
      <c r="C13458" t="inlineStr">
        <is>
          <t>Lipstick</t>
        </is>
      </c>
      <c r="D13458" t="inlineStr">
        <is>
          <t>Bobbi Brown</t>
        </is>
      </c>
      <c r="E13458" t="n">
        <v>29.32</v>
      </c>
      <c r="F13458" t="n">
        <v>1</v>
      </c>
      <c r="G13458" t="n">
        <v>2</v>
      </c>
      <c r="H13458" s="5">
        <f>HYPERLINK("https://api.qogita.com/variants/link/0716170260471/", "View Product")</f>
        <v/>
      </c>
    </row>
    <row r="13459">
      <c r="A13459" t="inlineStr">
        <is>
          <t>0716170283272</t>
        </is>
      </c>
      <c r="B13459" t="inlineStr">
        <is>
          <t>Bobbi Brown Crushed Lip Color Parisian Red 3.4g</t>
        </is>
      </c>
      <c r="C13459" t="inlineStr">
        <is>
          <t>Lipstick</t>
        </is>
      </c>
      <c r="D13459" t="inlineStr">
        <is>
          <t>Bobbi Brown</t>
        </is>
      </c>
      <c r="E13459" t="n">
        <v>24.87</v>
      </c>
      <c r="F13459" t="n">
        <v>1</v>
      </c>
      <c r="G13459" t="n">
        <v>5</v>
      </c>
      <c r="H13459" s="5">
        <f>HYPERLINK("https://api.qogita.com/variants/link/0716170283272/", "View Product")</f>
        <v/>
      </c>
    </row>
    <row r="13460">
      <c r="A13460" t="inlineStr">
        <is>
          <t>0716170284712</t>
        </is>
      </c>
      <c r="B13460" t="inlineStr">
        <is>
          <t>Bobbi Brown Vitamin Enriched Hydrating Skin Tint SPF 15 with Hyaluronic Acid Light 3</t>
        </is>
      </c>
      <c r="C13460" t="inlineStr">
        <is>
          <t>Bb Cream &amp; Cc Cream</t>
        </is>
      </c>
      <c r="D13460" t="inlineStr">
        <is>
          <t>Bobbi Brown</t>
        </is>
      </c>
      <c r="E13460" t="n">
        <v>35.91</v>
      </c>
      <c r="F13460" t="n">
        <v>1</v>
      </c>
      <c r="G13460" t="n">
        <v>5</v>
      </c>
      <c r="H13460" s="5">
        <f>HYPERLINK("https://api.qogita.com/variants/link/0716170284712/", "View Product")</f>
        <v/>
      </c>
    </row>
    <row r="13461">
      <c r="A13461" t="inlineStr">
        <is>
          <t>0716170284729</t>
        </is>
      </c>
      <c r="B13461" t="inlineStr">
        <is>
          <t>Bobbi Brown Vitamin Enriched Skin Tinted Moisturizer SPF 15 Light to Medium Warm for Women 1.7 oz</t>
        </is>
      </c>
      <c r="C13461" t="inlineStr">
        <is>
          <t>Tinted Day Cream</t>
        </is>
      </c>
      <c r="D13461" t="inlineStr">
        <is>
          <t>Bobbi Brown</t>
        </is>
      </c>
      <c r="E13461" t="n">
        <v>31.63</v>
      </c>
      <c r="F13461" t="n">
        <v>1</v>
      </c>
      <c r="G13461" t="n">
        <v>5</v>
      </c>
      <c r="H13461" s="5">
        <f>HYPERLINK("https://api.qogita.com/variants/link/0716170284729/", "View Product")</f>
        <v/>
      </c>
    </row>
    <row r="13462">
      <c r="A13462" t="inlineStr">
        <is>
          <t>0716170284743</t>
        </is>
      </c>
      <c r="B13462" t="inlineStr">
        <is>
          <t>Bobbi Brown Vitamin Enriched Hydrating Skin Tint SPF 15 with Hyaluronic Acid Golden 1</t>
        </is>
      </c>
      <c r="C13462" t="inlineStr">
        <is>
          <t>Bb Cream &amp; Cc Cream</t>
        </is>
      </c>
      <c r="D13462" t="inlineStr">
        <is>
          <t>Bobbi Brown</t>
        </is>
      </c>
      <c r="E13462" t="n">
        <v>31.88</v>
      </c>
      <c r="F13462" t="n">
        <v>1</v>
      </c>
      <c r="G13462" t="n">
        <v>5</v>
      </c>
      <c r="H13462" s="5">
        <f>HYPERLINK("https://api.qogita.com/variants/link/0716170284743/", "View Product")</f>
        <v/>
      </c>
    </row>
    <row r="13463">
      <c r="A13463" t="inlineStr">
        <is>
          <t>0716170284767</t>
        </is>
      </c>
      <c r="B13463" t="inlineStr">
        <is>
          <t>Bobbi Brown Vitamin Enriched Hydrating Skin Tint SPF 15 with Hyaluronic Acid Golden 3</t>
        </is>
      </c>
      <c r="C13463" t="inlineStr">
        <is>
          <t>Bb Cream &amp; Cc Cream</t>
        </is>
      </c>
      <c r="D13463" t="inlineStr">
        <is>
          <t>Bobbi Brown</t>
        </is>
      </c>
      <c r="E13463" t="n">
        <v>31.88</v>
      </c>
      <c r="F13463" t="n">
        <v>1</v>
      </c>
      <c r="G13463" t="n">
        <v>5</v>
      </c>
      <c r="H13463" s="5">
        <f>HYPERLINK("https://api.qogita.com/variants/link/0716170284767/", "View Product")</f>
        <v/>
      </c>
    </row>
    <row r="13464">
      <c r="A13464" t="inlineStr">
        <is>
          <t>0716170287034</t>
        </is>
      </c>
      <c r="B13464" t="inlineStr">
        <is>
          <t>Bobbi Brown Smokey Eye Mini Mascara Black for Women 0.1oz</t>
        </is>
      </c>
      <c r="C13464" t="inlineStr">
        <is>
          <t>Mascara</t>
        </is>
      </c>
      <c r="D13464" t="inlineStr">
        <is>
          <t>Bobbi Brown</t>
        </is>
      </c>
      <c r="E13464" t="n">
        <v>16.14</v>
      </c>
      <c r="F13464" t="n">
        <v>1</v>
      </c>
      <c r="G13464" t="n">
        <v>5</v>
      </c>
      <c r="H13464" s="5">
        <f>HYPERLINK("https://api.qogita.com/variants/link/0716170287034/", "View Product")</f>
        <v/>
      </c>
    </row>
    <row r="13465">
      <c r="A13465" t="inlineStr">
        <is>
          <t>0716170292298</t>
        </is>
      </c>
      <c r="B13465" t="inlineStr">
        <is>
          <t>Bobbi Brown Natural Brow Shaper Clear 4.4ml</t>
        </is>
      </c>
      <c r="C13465" t="inlineStr">
        <is>
          <t>Eyebrow Gel</t>
        </is>
      </c>
      <c r="D13465" t="inlineStr">
        <is>
          <t>Bobbi Brown</t>
        </is>
      </c>
      <c r="E13465" t="n">
        <v>22.41</v>
      </c>
      <c r="F13465" t="n">
        <v>1</v>
      </c>
      <c r="G13465" t="n">
        <v>5</v>
      </c>
      <c r="H13465" s="5">
        <f>HYPERLINK("https://api.qogita.com/variants/link/0716170292298/", "View Product")</f>
        <v/>
      </c>
    </row>
    <row r="13466">
      <c r="A13466" t="inlineStr">
        <is>
          <t>0716170294322</t>
        </is>
      </c>
      <c r="B13466" t="inlineStr">
        <is>
          <t>Bobbi Brown Sheer Finish Pressed Powder</t>
        </is>
      </c>
      <c r="C13466" t="inlineStr">
        <is>
          <t>Powder</t>
        </is>
      </c>
      <c r="D13466" t="inlineStr">
        <is>
          <t>Bobbi Brown</t>
        </is>
      </c>
      <c r="E13466" t="n">
        <v>38.6</v>
      </c>
      <c r="F13466" t="n">
        <v>1</v>
      </c>
      <c r="G13466" t="n">
        <v>5</v>
      </c>
      <c r="H13466" s="5">
        <f>HYPERLINK("https://api.qogita.com/variants/link/0716170294322/", "View Product")</f>
        <v/>
      </c>
    </row>
    <row r="13467">
      <c r="A13467" t="inlineStr">
        <is>
          <t>0716170294346</t>
        </is>
      </c>
      <c r="B13467" t="inlineStr">
        <is>
          <t>Bobbi Brown Sheer Finish Pressed Powder - Compact Powder 11 G Soft Honey</t>
        </is>
      </c>
      <c r="C13467" t="inlineStr">
        <is>
          <t>Powder</t>
        </is>
      </c>
      <c r="D13467" t="inlineStr">
        <is>
          <t>Bobbi Brown</t>
        </is>
      </c>
      <c r="E13467" t="n">
        <v>33.13</v>
      </c>
      <c r="F13467" t="n">
        <v>1</v>
      </c>
      <c r="G13467" t="n">
        <v>5</v>
      </c>
      <c r="H13467" s="5">
        <f>HYPERLINK("https://api.qogita.com/variants/link/0716170294346/", "View Product")</f>
        <v/>
      </c>
    </row>
    <row r="13468">
      <c r="A13468" t="inlineStr">
        <is>
          <t>0716170296296</t>
        </is>
      </c>
      <c r="B13468" t="inlineStr">
        <is>
          <t>Bobbi Brown Skin Full Cover Concealer Warm Sand 8ml</t>
        </is>
      </c>
      <c r="C13468" t="inlineStr">
        <is>
          <t>Concealer</t>
        </is>
      </c>
      <c r="D13468" t="inlineStr">
        <is>
          <t>Bobbi Brown</t>
        </is>
      </c>
      <c r="E13468" t="n">
        <v>29.38</v>
      </c>
      <c r="F13468" t="n">
        <v>1</v>
      </c>
      <c r="G13468" t="n">
        <v>2</v>
      </c>
      <c r="H13468" s="5">
        <f>HYPERLINK("https://api.qogita.com/variants/link/0716170296296/", "View Product")</f>
        <v/>
      </c>
    </row>
    <row r="13469">
      <c r="A13469" t="inlineStr">
        <is>
          <t>0716170298924</t>
        </is>
      </c>
      <c r="B13469" t="inlineStr">
        <is>
          <t>Bobbi Brown Extra Lip Tint 04 Bare Claret for Women 0.08 oz Lipstick</t>
        </is>
      </c>
      <c r="C13469" t="inlineStr">
        <is>
          <t>Lipstick</t>
        </is>
      </c>
      <c r="D13469" t="inlineStr">
        <is>
          <t>Bobbi Brown</t>
        </is>
      </c>
      <c r="E13469" t="n">
        <v>30.05</v>
      </c>
      <c r="F13469" t="n">
        <v>1</v>
      </c>
      <c r="G13469" t="n">
        <v>8</v>
      </c>
      <c r="H13469" s="5">
        <f>HYPERLINK("https://api.qogita.com/variants/link/0716170298924/", "View Product")</f>
        <v/>
      </c>
    </row>
    <row r="13470">
      <c r="A13470" t="inlineStr">
        <is>
          <t>0716170302553</t>
        </is>
      </c>
      <c r="B13470" t="inlineStr">
        <is>
          <t>Bobbi Brown Long Wear Cream Shadow Stick Bronze Pink Espresso for Women 0.05 oz Eye Shadow</t>
        </is>
      </c>
      <c r="C13470" t="inlineStr">
        <is>
          <t>Eyeshadow</t>
        </is>
      </c>
      <c r="D13470" t="inlineStr">
        <is>
          <t>Bobbi Brown</t>
        </is>
      </c>
      <c r="E13470" t="n">
        <v>35.47</v>
      </c>
      <c r="F13470" t="n">
        <v>1</v>
      </c>
      <c r="G13470" t="n">
        <v>3</v>
      </c>
      <c r="H13470" s="5">
        <f>HYPERLINK("https://api.qogita.com/variants/link/0716170302553/", "View Product")</f>
        <v/>
      </c>
    </row>
    <row r="13471">
      <c r="A13471" t="inlineStr">
        <is>
          <t>0716170303840</t>
        </is>
      </c>
      <c r="B13471" t="inlineStr">
        <is>
          <t>Bobbi Brown Nudes Eyeshadow Palette Rosey Nudes - 85g</t>
        </is>
      </c>
      <c r="C13471" t="inlineStr">
        <is>
          <t>Eye Sets &amp; Pallets</t>
        </is>
      </c>
      <c r="D13471" t="inlineStr">
        <is>
          <t>Bobbi Brown</t>
        </is>
      </c>
      <c r="E13471" t="n">
        <v>44.42</v>
      </c>
      <c r="F13471" t="n">
        <v>1</v>
      </c>
      <c r="G13471" t="n">
        <v>3</v>
      </c>
      <c r="H13471" s="5">
        <f>HYPERLINK("https://api.qogita.com/variants/link/0716170303840/", "View Product")</f>
        <v/>
      </c>
    </row>
    <row r="13472">
      <c r="A13472" t="inlineStr">
        <is>
          <t>0716170307763</t>
        </is>
      </c>
      <c r="B13472" t="inlineStr">
        <is>
          <t>Bobbi Brown 24 Hour Waterproof Kajal Eye Liner</t>
        </is>
      </c>
      <c r="C13472" t="inlineStr">
        <is>
          <t>Eyeliner</t>
        </is>
      </c>
      <c r="D13472" t="inlineStr">
        <is>
          <t>Bobbi Brown</t>
        </is>
      </c>
      <c r="E13472" t="n">
        <v>21.1</v>
      </c>
      <c r="F13472" t="n">
        <v>1</v>
      </c>
      <c r="G13472" t="n">
        <v>3</v>
      </c>
      <c r="H13472" s="5">
        <f>HYPERLINK("https://api.qogita.com/variants/link/0716170307763/", "View Product")</f>
        <v/>
      </c>
    </row>
    <row r="13473">
      <c r="A13473" t="inlineStr">
        <is>
          <t>0716170308876</t>
        </is>
      </c>
      <c r="B13473" t="inlineStr">
        <is>
          <t>Luxe Matte Lipstick 3.5 g Shade Power Play</t>
        </is>
      </c>
      <c r="C13473" t="inlineStr">
        <is>
          <t>Lipstick</t>
        </is>
      </c>
      <c r="D13473" t="inlineStr">
        <is>
          <t>Bobbi Brown</t>
        </is>
      </c>
      <c r="E13473" t="n">
        <v>32.28</v>
      </c>
      <c r="F13473" t="n">
        <v>1</v>
      </c>
      <c r="G13473" t="n">
        <v>3</v>
      </c>
      <c r="H13473" s="5">
        <f>HYPERLINK("https://api.qogita.com/variants/link/0716170308876/", "View Product")</f>
        <v/>
      </c>
    </row>
    <row r="13474">
      <c r="A13474" t="inlineStr">
        <is>
          <t>0716170308913</t>
        </is>
      </c>
      <c r="B13474" t="inlineStr">
        <is>
          <t>Luxe Matte Lipstick 3.5 g Shade Traffic Stopper</t>
        </is>
      </c>
      <c r="C13474" t="inlineStr">
        <is>
          <t>Lipstick</t>
        </is>
      </c>
      <c r="D13474" t="inlineStr">
        <is>
          <t>Bobbi Brown</t>
        </is>
      </c>
      <c r="E13474" t="n">
        <v>29.32</v>
      </c>
      <c r="F13474" t="n">
        <v>1</v>
      </c>
      <c r="G13474" t="n">
        <v>5</v>
      </c>
      <c r="H13474" s="5">
        <f>HYPERLINK("https://api.qogita.com/variants/link/0716170308913/", "View Product")</f>
        <v/>
      </c>
    </row>
    <row r="13475">
      <c r="A13475" t="inlineStr">
        <is>
          <t>0716170308944</t>
        </is>
      </c>
      <c r="B13475" t="inlineStr">
        <is>
          <t>Bobbi Brown Luxe Matte Lipstick - 3.5 G</t>
        </is>
      </c>
      <c r="C13475" t="inlineStr">
        <is>
          <t>Lipstick</t>
        </is>
      </c>
      <c r="D13475" t="inlineStr">
        <is>
          <t>Bobbi Brown</t>
        </is>
      </c>
      <c r="E13475" t="n">
        <v>31.44</v>
      </c>
      <c r="F13475" t="n">
        <v>1</v>
      </c>
      <c r="G13475" t="n">
        <v>3</v>
      </c>
      <c r="H13475" s="5">
        <f>HYPERLINK("https://api.qogita.com/variants/link/0716170308944/", "View Product")</f>
        <v/>
      </c>
    </row>
    <row r="13476">
      <c r="A13476" t="inlineStr">
        <is>
          <t>0716170311166</t>
        </is>
      </c>
      <c r="B13476" t="inlineStr">
        <is>
          <t>Bobbi Brown Cream Shadow Stick Ruby Shimmer</t>
        </is>
      </c>
      <c r="C13476" t="inlineStr">
        <is>
          <t>Eyeshadow</t>
        </is>
      </c>
      <c r="D13476" t="inlineStr">
        <is>
          <t>Bobbi Brown</t>
        </is>
      </c>
      <c r="E13476" t="n">
        <v>25.48</v>
      </c>
      <c r="F13476" t="n">
        <v>1</v>
      </c>
      <c r="G13476" t="n">
        <v>2</v>
      </c>
      <c r="H13476" s="5">
        <f>HYPERLINK("https://api.qogita.com/variants/link/0716170311166/", "View Product")</f>
        <v/>
      </c>
    </row>
    <row r="13477">
      <c r="A13477" t="inlineStr">
        <is>
          <t>0716170318561</t>
        </is>
      </c>
      <c r="B13477" t="inlineStr">
        <is>
          <t>Bobbi Brown Skin Concealer Stick - Korektor V Tycince 3 G Porcelain</t>
        </is>
      </c>
      <c r="C13477" t="inlineStr">
        <is>
          <t>Concealer</t>
        </is>
      </c>
      <c r="D13477" t="inlineStr">
        <is>
          <t>Bobbi Brown</t>
        </is>
      </c>
      <c r="E13477" t="n">
        <v>27.42</v>
      </c>
      <c r="F13477" t="n">
        <v>1</v>
      </c>
      <c r="G13477" t="n">
        <v>4</v>
      </c>
      <c r="H13477" s="5">
        <f>HYPERLINK("https://api.qogita.com/variants/link/0716170318561/", "View Product")</f>
        <v/>
      </c>
    </row>
    <row r="13478">
      <c r="A13478" t="inlineStr">
        <is>
          <t>0716170318585</t>
        </is>
      </c>
      <c r="B13478" t="inlineStr">
        <is>
          <t>Bobbi Brown Skin Concealer Stick 3 G Warm Ivory</t>
        </is>
      </c>
      <c r="C13478" t="inlineStr">
        <is>
          <t>Concealer</t>
        </is>
      </c>
      <c r="D13478" t="inlineStr">
        <is>
          <t>Bobbi Brown</t>
        </is>
      </c>
      <c r="E13478" t="n">
        <v>30.11</v>
      </c>
      <c r="F13478" t="n">
        <v>1</v>
      </c>
      <c r="G13478" t="n">
        <v>3</v>
      </c>
      <c r="H13478" s="5">
        <f>HYPERLINK("https://api.qogita.com/variants/link/0716170318585/", "View Product")</f>
        <v/>
      </c>
    </row>
    <row r="13479">
      <c r="A13479" t="inlineStr">
        <is>
          <t>0716170319810</t>
        </is>
      </c>
      <c r="B13479" t="inlineStr">
        <is>
          <t>Bobbi Brown Blush</t>
        </is>
      </c>
      <c r="C13479" t="inlineStr">
        <is>
          <t>Blush</t>
        </is>
      </c>
      <c r="D13479" t="inlineStr">
        <is>
          <t>Bobbi Brown</t>
        </is>
      </c>
      <c r="E13479" t="n">
        <v>27.42</v>
      </c>
      <c r="F13479" t="n">
        <v>1</v>
      </c>
      <c r="G13479" t="n">
        <v>3</v>
      </c>
      <c r="H13479" s="5">
        <f>HYPERLINK("https://api.qogita.com/variants/link/0716170319810/", "View Product")</f>
        <v/>
      </c>
    </row>
    <row r="13480">
      <c r="A13480" t="inlineStr">
        <is>
          <t>0716170319919</t>
        </is>
      </c>
      <c r="B13480" t="inlineStr">
        <is>
          <t>Bobbi Brown Bronzing Powder</t>
        </is>
      </c>
      <c r="C13480" t="inlineStr">
        <is>
          <t>Bronzer</t>
        </is>
      </c>
      <c r="D13480" t="inlineStr">
        <is>
          <t>Bobbi Brown</t>
        </is>
      </c>
      <c r="E13480" t="n">
        <v>39.29</v>
      </c>
      <c r="F13480" t="n">
        <v>1</v>
      </c>
      <c r="G13480" t="n">
        <v>3</v>
      </c>
      <c r="H13480" s="5">
        <f>HYPERLINK("https://api.qogita.com/variants/link/0716170319919/", "View Product")</f>
        <v/>
      </c>
    </row>
    <row r="13481">
      <c r="A13481" t="inlineStr">
        <is>
          <t>0716170319926</t>
        </is>
      </c>
      <c r="B13481" t="inlineStr">
        <is>
          <t>Bobbi Brown Bronzing Powder</t>
        </is>
      </c>
      <c r="C13481" t="inlineStr">
        <is>
          <t>Bronzer</t>
        </is>
      </c>
      <c r="D13481" t="inlineStr">
        <is>
          <t>Bobbi Brown</t>
        </is>
      </c>
      <c r="E13481" t="n">
        <v>39.29</v>
      </c>
      <c r="F13481" t="n">
        <v>1</v>
      </c>
      <c r="G13481" t="n">
        <v>5</v>
      </c>
      <c r="H13481" s="5">
        <f>HYPERLINK("https://api.qogita.com/variants/link/0716170319926/", "View Product")</f>
        <v/>
      </c>
    </row>
    <row r="13482">
      <c r="A13482" t="inlineStr">
        <is>
          <t>0716393000854</t>
        </is>
      </c>
      <c r="B13482" t="inlineStr">
        <is>
          <t>Halston Z EDT 7ml Mini</t>
        </is>
      </c>
      <c r="C13482" t="inlineStr">
        <is>
          <t>Eau De Toilette</t>
        </is>
      </c>
      <c r="D13482" t="inlineStr">
        <is>
          <t>Halston</t>
        </is>
      </c>
      <c r="E13482" t="n">
        <v>2.18</v>
      </c>
      <c r="F13482" t="n">
        <v>1</v>
      </c>
      <c r="G13482" t="n">
        <v>5</v>
      </c>
      <c r="H13482" s="5">
        <f>HYPERLINK("https://api.qogita.com/variants/link/0716393000854/", "View Product")</f>
        <v/>
      </c>
    </row>
    <row r="13483">
      <c r="A13483" t="inlineStr">
        <is>
          <t>0716393009581</t>
        </is>
      </c>
      <c r="B13483" t="inlineStr">
        <is>
          <t>Giorgio Beverly Hills Eau De Toilette Spray 90ml Floral Oriental Fragrance</t>
        </is>
      </c>
      <c r="C13483" t="inlineStr">
        <is>
          <t>Eau De Toilette</t>
        </is>
      </c>
      <c r="D13483" t="inlineStr">
        <is>
          <t>Giorgio Beverly Hills</t>
        </is>
      </c>
      <c r="E13483" t="n">
        <v>15.96</v>
      </c>
      <c r="F13483" t="n">
        <v>1</v>
      </c>
      <c r="G13483" t="n">
        <v>84</v>
      </c>
      <c r="H13483" s="5">
        <f>HYPERLINK("https://api.qogita.com/variants/link/0716393009581/", "View Product")</f>
        <v/>
      </c>
    </row>
    <row r="13484">
      <c r="A13484" t="inlineStr">
        <is>
          <t>0717334229631</t>
        </is>
      </c>
      <c r="B13484" t="inlineStr">
        <is>
          <t>Dr. Andrew Weil by Origins Mega-Mushroom Relief &amp; Resilience Advanced Face Serum 30ml</t>
        </is>
      </c>
      <c r="C13484" t="inlineStr">
        <is>
          <t>Hydrating Serum</t>
        </is>
      </c>
      <c r="D13484" t="inlineStr">
        <is>
          <t>Origins</t>
        </is>
      </c>
      <c r="E13484" t="n">
        <v>42.3</v>
      </c>
      <c r="F13484" t="n">
        <v>1</v>
      </c>
      <c r="G13484" t="n">
        <v>4</v>
      </c>
      <c r="H13484" s="5">
        <f>HYPERLINK("https://api.qogita.com/variants/link/0717334229631/", "View Product")</f>
        <v/>
      </c>
    </row>
    <row r="13485">
      <c r="A13485" t="inlineStr">
        <is>
          <t>0717334264670</t>
        </is>
      </c>
      <c r="B13485" t="inlineStr">
        <is>
          <t>Origins Dr. Andrew Weil For Origins Mega-Mushroom Fortifying Emulsion 100ml</t>
        </is>
      </c>
      <c r="C13485" t="inlineStr">
        <is>
          <t>Face Cream</t>
        </is>
      </c>
      <c r="D13485" t="inlineStr">
        <is>
          <t>Origins</t>
        </is>
      </c>
      <c r="E13485" t="n">
        <v>28.65</v>
      </c>
      <c r="F13485" t="n">
        <v>1</v>
      </c>
      <c r="G13485" t="n">
        <v>3</v>
      </c>
      <c r="H13485" s="5">
        <f>HYPERLINK("https://api.qogita.com/variants/link/0717334264670/", "View Product")</f>
        <v/>
      </c>
    </row>
    <row r="13486">
      <c r="A13486" t="inlineStr">
        <is>
          <t>0717334265875</t>
        </is>
      </c>
      <c r="B13486" t="inlineStr">
        <is>
          <t>ORIGINS Clear Improvement Blemish Clearing Hydrating Lotion 50ml</t>
        </is>
      </c>
      <c r="C13486" t="inlineStr">
        <is>
          <t>Pimple &amp; Blackhead Treatments</t>
        </is>
      </c>
      <c r="D13486" t="inlineStr">
        <is>
          <t>Origins</t>
        </is>
      </c>
      <c r="E13486" t="n">
        <v>24.87</v>
      </c>
      <c r="F13486" t="n">
        <v>1</v>
      </c>
      <c r="G13486" t="n">
        <v>5</v>
      </c>
      <c r="H13486" s="5">
        <f>HYPERLINK("https://api.qogita.com/variants/link/0717334265875/", "View Product")</f>
        <v/>
      </c>
    </row>
    <row r="13487">
      <c r="A13487" t="inlineStr">
        <is>
          <t>0717334266674</t>
        </is>
      </c>
      <c r="B13487" t="inlineStr">
        <is>
          <t>Origins GinZing SPF30 Daily Moisturizer 50ml</t>
        </is>
      </c>
      <c r="C13487" t="inlineStr">
        <is>
          <t>Day Cream</t>
        </is>
      </c>
      <c r="D13487" t="inlineStr">
        <is>
          <t>Origins</t>
        </is>
      </c>
      <c r="E13487" t="n">
        <v>25.74</v>
      </c>
      <c r="F13487" t="n">
        <v>1</v>
      </c>
      <c r="G13487" t="n">
        <v>4</v>
      </c>
      <c r="H13487" s="5">
        <f>HYPERLINK("https://api.qogita.com/variants/link/0717334266674/", "View Product")</f>
        <v/>
      </c>
    </row>
    <row r="13488">
      <c r="A13488" t="inlineStr">
        <is>
          <t>0717334267381</t>
        </is>
      </c>
      <c r="B13488" t="inlineStr">
        <is>
          <t>Origins Ginzing Vitamin C Eye Cream to Brighten and Depuff Warm</t>
        </is>
      </c>
      <c r="C13488" t="inlineStr">
        <is>
          <t>Eye Cream</t>
        </is>
      </c>
      <c r="D13488" t="inlineStr">
        <is>
          <t>Origins</t>
        </is>
      </c>
      <c r="E13488" t="n">
        <v>27.29</v>
      </c>
      <c r="F13488" t="n">
        <v>1</v>
      </c>
      <c r="G13488" t="n">
        <v>3</v>
      </c>
      <c r="H13488" s="5">
        <f>HYPERLINK("https://api.qogita.com/variants/link/0717334267381/", "View Product")</f>
        <v/>
      </c>
    </row>
    <row r="13489">
      <c r="A13489" t="inlineStr">
        <is>
          <t>0719346034425</t>
        </is>
      </c>
      <c r="B13489" t="inlineStr">
        <is>
          <t>Britney Spears Curious Eau De Parfum 100ml</t>
        </is>
      </c>
      <c r="C13489" t="inlineStr">
        <is>
          <t>Eau De Parfum</t>
        </is>
      </c>
      <c r="D13489" t="inlineStr">
        <is>
          <t>Britney Spears</t>
        </is>
      </c>
      <c r="E13489" t="n">
        <v>13.78</v>
      </c>
      <c r="F13489" t="n">
        <v>1</v>
      </c>
      <c r="G13489" t="n">
        <v>42</v>
      </c>
      <c r="H13489" s="5">
        <f>HYPERLINK("https://api.qogita.com/variants/link/0719346034425/", "View Product")</f>
        <v/>
      </c>
    </row>
    <row r="13490">
      <c r="A13490" t="inlineStr">
        <is>
          <t>0719346107297</t>
        </is>
      </c>
      <c r="B13490" t="inlineStr">
        <is>
          <t>Britney Spears Midnight Fantasy Eau De Perfume Spray 30ml</t>
        </is>
      </c>
      <c r="C13490" t="inlineStr">
        <is>
          <t>Eau De Parfum</t>
        </is>
      </c>
      <c r="D13490" t="inlineStr">
        <is>
          <t>Britney Spears</t>
        </is>
      </c>
      <c r="E13490" t="n">
        <v>9.27</v>
      </c>
      <c r="F13490" t="n">
        <v>1</v>
      </c>
      <c r="G13490" t="n">
        <v>9</v>
      </c>
      <c r="H13490" s="5">
        <f>HYPERLINK("https://api.qogita.com/variants/link/0719346107297/", "View Product")</f>
        <v/>
      </c>
    </row>
    <row r="13491">
      <c r="A13491" t="inlineStr">
        <is>
          <t>0719346117722</t>
        </is>
      </c>
      <c r="B13491" t="inlineStr">
        <is>
          <t>Britney Spears Believe Eau De Parfum 100ml</t>
        </is>
      </c>
      <c r="C13491" t="inlineStr">
        <is>
          <t>Eau De Parfum</t>
        </is>
      </c>
      <c r="D13491" t="inlineStr">
        <is>
          <t>Britney Spears</t>
        </is>
      </c>
      <c r="E13491" t="n">
        <v>13.53</v>
      </c>
      <c r="F13491" t="n">
        <v>1</v>
      </c>
      <c r="G13491" t="n">
        <v>33</v>
      </c>
      <c r="H13491" s="5">
        <f>HYPERLINK("https://api.qogita.com/variants/link/0719346117722/", "View Product")</f>
        <v/>
      </c>
    </row>
    <row r="13492">
      <c r="A13492" t="inlineStr">
        <is>
          <t>0719346125536</t>
        </is>
      </c>
      <c r="B13492" t="inlineStr">
        <is>
          <t>Passion Cologne Spray 118ml 4oz by Elizabeth Taylor</t>
        </is>
      </c>
      <c r="C13492" t="inlineStr">
        <is>
          <t>Eau De Toilette</t>
        </is>
      </c>
      <c r="D13492" t="inlineStr">
        <is>
          <t>Elizabeth Taylor</t>
        </is>
      </c>
      <c r="E13492" t="n">
        <v>13.91</v>
      </c>
      <c r="F13492" t="n">
        <v>1</v>
      </c>
      <c r="G13492" t="n">
        <v>19</v>
      </c>
      <c r="H13492" s="5">
        <f>HYPERLINK("https://api.qogita.com/variants/link/0719346125536/", "View Product")</f>
        <v/>
      </c>
    </row>
    <row r="13493">
      <c r="A13493" t="inlineStr">
        <is>
          <t>0719346158046</t>
        </is>
      </c>
      <c r="B13493" t="inlineStr">
        <is>
          <t>Elizabeth Taylor Violet Eyes Vaporisateur Eau de Parfum 100ml</t>
        </is>
      </c>
      <c r="C13493" t="inlineStr">
        <is>
          <t>Eau De Parfum</t>
        </is>
      </c>
      <c r="D13493" t="inlineStr">
        <is>
          <t>Elizabeth Taylor</t>
        </is>
      </c>
      <c r="E13493" t="n">
        <v>23.6</v>
      </c>
      <c r="F13493" t="n">
        <v>1</v>
      </c>
      <c r="G13493" t="n">
        <v>6</v>
      </c>
      <c r="H13493" s="5">
        <f>HYPERLINK("https://api.qogita.com/variants/link/0719346158046/", "View Product")</f>
        <v/>
      </c>
    </row>
    <row r="13494">
      <c r="A13494" t="inlineStr">
        <is>
          <t>0719346167062</t>
        </is>
      </c>
      <c r="B13494" t="inlineStr">
        <is>
          <t>Juicy Couture Viva La Juicy Noir Eau de Parfum Spray 100ml</t>
        </is>
      </c>
      <c r="C13494" t="inlineStr">
        <is>
          <t>Eau De Parfum</t>
        </is>
      </c>
      <c r="D13494" t="inlineStr">
        <is>
          <t>Juicy Couture</t>
        </is>
      </c>
      <c r="E13494" t="n">
        <v>30.92</v>
      </c>
      <c r="F13494" t="n">
        <v>1</v>
      </c>
      <c r="G13494" t="n">
        <v>2</v>
      </c>
      <c r="H13494" s="5">
        <f>HYPERLINK("https://api.qogita.com/variants/link/0719346167062/", "View Product")</f>
        <v/>
      </c>
    </row>
    <row r="13495">
      <c r="A13495" t="inlineStr">
        <is>
          <t>0719346212915</t>
        </is>
      </c>
      <c r="B13495" t="inlineStr">
        <is>
          <t>Juicy Couture I Love Juicy Couture Eau de Parfum Spray 100ml</t>
        </is>
      </c>
      <c r="C13495" t="inlineStr">
        <is>
          <t>Eau De Parfum</t>
        </is>
      </c>
      <c r="D13495" t="inlineStr">
        <is>
          <t>Juicy Couture</t>
        </is>
      </c>
      <c r="E13495" t="n">
        <v>28.47</v>
      </c>
      <c r="F13495" t="n">
        <v>1</v>
      </c>
      <c r="G13495" t="n">
        <v>8</v>
      </c>
      <c r="H13495" s="5">
        <f>HYPERLINK("https://api.qogita.com/variants/link/0719346212915/", "View Product")</f>
        <v/>
      </c>
    </row>
    <row r="13496">
      <c r="A13496" t="inlineStr">
        <is>
          <t>0719346217378</t>
        </is>
      </c>
      <c r="B13496" t="inlineStr">
        <is>
          <t>Juicy Couture Royal Rose Eau De Parfum Spray 100ml</t>
        </is>
      </c>
      <c r="C13496" t="inlineStr">
        <is>
          <t>Eau De Parfum</t>
        </is>
      </c>
      <c r="D13496" t="inlineStr">
        <is>
          <t>Juicy Couture</t>
        </is>
      </c>
      <c r="E13496" t="n">
        <v>39.73</v>
      </c>
      <c r="F13496" t="n">
        <v>1</v>
      </c>
      <c r="G13496" t="n">
        <v>2</v>
      </c>
      <c r="H13496" s="5">
        <f>HYPERLINK("https://api.qogita.com/variants/link/0719346217378/", "View Product")</f>
        <v/>
      </c>
    </row>
    <row r="13497">
      <c r="A13497" t="inlineStr">
        <is>
          <t>0719346218559</t>
        </is>
      </c>
      <c r="B13497" t="inlineStr">
        <is>
          <t>Christina Aguilera By Night Eau De Parfum 50ml</t>
        </is>
      </c>
      <c r="C13497" t="inlineStr">
        <is>
          <t>Eau De Parfum</t>
        </is>
      </c>
      <c r="D13497" t="inlineStr">
        <is>
          <t>Christina Aguilera</t>
        </is>
      </c>
      <c r="E13497" t="n">
        <v>12.08</v>
      </c>
      <c r="F13497" t="n">
        <v>1</v>
      </c>
      <c r="G13497" t="n">
        <v>48</v>
      </c>
      <c r="H13497" s="5">
        <f>HYPERLINK("https://api.qogita.com/variants/link/0719346218559/", "View Product")</f>
        <v/>
      </c>
    </row>
    <row r="13498">
      <c r="A13498" t="inlineStr">
        <is>
          <t>0719346220798</t>
        </is>
      </c>
      <c r="B13498" t="inlineStr">
        <is>
          <t>Hearts &amp; Daggers by Ed Hardy Fragrance Mist Spray 236ml</t>
        </is>
      </c>
      <c r="C13498" t="inlineStr">
        <is>
          <t>Fragrance Sets</t>
        </is>
      </c>
      <c r="D13498" t="inlineStr">
        <is>
          <t>Ed Hardy</t>
        </is>
      </c>
      <c r="E13498" t="n">
        <v>3.29</v>
      </c>
      <c r="F13498" t="n">
        <v>1</v>
      </c>
      <c r="G13498" t="n">
        <v>22</v>
      </c>
      <c r="H13498" s="5">
        <f>HYPERLINK("https://api.qogita.com/variants/link/0719346220798/", "View Product")</f>
        <v/>
      </c>
    </row>
    <row r="13499">
      <c r="A13499" t="inlineStr">
        <is>
          <t>0719346232913</t>
        </is>
      </c>
      <c r="B13499" t="inlineStr">
        <is>
          <t>Juicy Couture Oui Juicy Couture Eau De Parfum Spray 30ml</t>
        </is>
      </c>
      <c r="C13499" t="inlineStr">
        <is>
          <t>Eau De Parfum</t>
        </is>
      </c>
      <c r="D13499" t="inlineStr">
        <is>
          <t>Juicy Couture</t>
        </is>
      </c>
      <c r="E13499" t="n">
        <v>21.87</v>
      </c>
      <c r="F13499" t="n">
        <v>1</v>
      </c>
      <c r="G13499" t="n">
        <v>5</v>
      </c>
      <c r="H13499" s="5">
        <f>HYPERLINK("https://api.qogita.com/variants/link/0719346232913/", "View Product")</f>
        <v/>
      </c>
    </row>
    <row r="13500">
      <c r="A13500" t="inlineStr">
        <is>
          <t>0719346235297</t>
        </is>
      </c>
      <c r="B13500" t="inlineStr">
        <is>
          <t>Christina Aguilera Violet Noir Eau de Parfum 30ml</t>
        </is>
      </c>
      <c r="C13500" t="inlineStr">
        <is>
          <t>Eau De Parfum</t>
        </is>
      </c>
      <c r="D13500" t="inlineStr">
        <is>
          <t>Christina Aguilera</t>
        </is>
      </c>
      <c r="E13500" t="n">
        <v>12.23</v>
      </c>
      <c r="F13500" t="n">
        <v>1</v>
      </c>
      <c r="G13500" t="n">
        <v>2</v>
      </c>
      <c r="H13500" s="5">
        <f>HYPERLINK("https://api.qogita.com/variants/link/0719346235297/", "View Product")</f>
        <v/>
      </c>
    </row>
    <row r="13501">
      <c r="A13501" t="inlineStr">
        <is>
          <t>0719346256346</t>
        </is>
      </c>
      <c r="B13501" t="inlineStr">
        <is>
          <t>Britney Spears Fantasy Sheer Eau de Toilette Spray for Women</t>
        </is>
      </c>
      <c r="C13501" t="inlineStr">
        <is>
          <t>Eau De Toilette</t>
        </is>
      </c>
      <c r="D13501" t="inlineStr">
        <is>
          <t>Britney Spears</t>
        </is>
      </c>
      <c r="E13501" t="n">
        <v>14.27</v>
      </c>
      <c r="F13501" t="n">
        <v>1</v>
      </c>
      <c r="G13501" t="n">
        <v>14</v>
      </c>
      <c r="H13501" s="5">
        <f>HYPERLINK("https://api.qogita.com/variants/link/0719346256346/", "View Product")</f>
        <v/>
      </c>
    </row>
    <row r="13502">
      <c r="A13502" t="inlineStr">
        <is>
          <t>0719346256520</t>
        </is>
      </c>
      <c r="B13502" t="inlineStr">
        <is>
          <t>Christina Aguilera By Night Eau De Parfum 75ml 50ml</t>
        </is>
      </c>
      <c r="C13502" t="inlineStr">
        <is>
          <t>Eau De Parfum</t>
        </is>
      </c>
      <c r="D13502" t="inlineStr">
        <is>
          <t>Christina Aguilera</t>
        </is>
      </c>
      <c r="E13502" t="n">
        <v>19.63</v>
      </c>
      <c r="F13502" t="n">
        <v>1</v>
      </c>
      <c r="G13502" t="n">
        <v>38</v>
      </c>
      <c r="H13502" s="5">
        <f>HYPERLINK("https://api.qogita.com/variants/link/0719346256520/", "View Product")</f>
        <v/>
      </c>
    </row>
    <row r="13503">
      <c r="A13503" t="inlineStr">
        <is>
          <t>0719346258128</t>
        </is>
      </c>
      <c r="B13503" t="inlineStr">
        <is>
          <t>Britney Spears Blissful Fantasy Eau de Toilette Spray Fragrance for Women 1oz</t>
        </is>
      </c>
      <c r="C13503" t="inlineStr">
        <is>
          <t>Eau De Toilette</t>
        </is>
      </c>
      <c r="D13503" t="inlineStr">
        <is>
          <t>Britney Spears</t>
        </is>
      </c>
      <c r="E13503" t="n">
        <v>9.58</v>
      </c>
      <c r="F13503" t="n">
        <v>1</v>
      </c>
      <c r="G13503" t="n">
        <v>6</v>
      </c>
      <c r="H13503" s="5">
        <f>HYPERLINK("https://api.qogita.com/variants/link/0719346258128/", "View Product")</f>
        <v/>
      </c>
    </row>
    <row r="13504">
      <c r="A13504" t="inlineStr">
        <is>
          <t>0719346261548</t>
        </is>
      </c>
      <c r="B13504" t="inlineStr">
        <is>
          <t>Glistening Amber by Juicy Couture for Women 3.4oz EDP Spray New in Box</t>
        </is>
      </c>
      <c r="C13504" t="inlineStr">
        <is>
          <t>Eau De Parfum</t>
        </is>
      </c>
      <c r="D13504" t="inlineStr">
        <is>
          <t>Juicy Couture</t>
        </is>
      </c>
      <c r="E13504" t="n">
        <v>30.36</v>
      </c>
      <c r="F13504" t="n">
        <v>1</v>
      </c>
      <c r="G13504" t="n">
        <v>6</v>
      </c>
      <c r="H13504" s="5">
        <f>HYPERLINK("https://api.qogita.com/variants/link/0719346261548/", "View Product")</f>
        <v/>
      </c>
    </row>
    <row r="13505">
      <c r="A13505" t="inlineStr">
        <is>
          <t>0719346265997</t>
        </is>
      </c>
      <c r="B13505" t="inlineStr">
        <is>
          <t>Christina Aguilera Violet Noir 75ml Eau de Parfum for Women</t>
        </is>
      </c>
      <c r="C13505" t="inlineStr">
        <is>
          <t>Eau De Parfum</t>
        </is>
      </c>
      <c r="D13505" t="inlineStr">
        <is>
          <t>Christina Aguilera</t>
        </is>
      </c>
      <c r="E13505" t="n">
        <v>16.03</v>
      </c>
      <c r="F13505" t="n">
        <v>1</v>
      </c>
      <c r="G13505" t="n">
        <v>14</v>
      </c>
      <c r="H13505" s="5">
        <f>HYPERLINK("https://api.qogita.com/variants/link/0719346265997/", "View Product")</f>
        <v/>
      </c>
    </row>
    <row r="13506">
      <c r="A13506" t="inlineStr">
        <is>
          <t>0719346266055</t>
        </is>
      </c>
      <c r="B13506" t="inlineStr">
        <is>
          <t>Elizabeth Taylor Diamonds and Emeralds EDT Spray 1.7 oz</t>
        </is>
      </c>
      <c r="C13506" t="inlineStr">
        <is>
          <t>Eau De Toilette</t>
        </is>
      </c>
      <c r="D13506" t="inlineStr">
        <is>
          <t>Elizabeth Taylor</t>
        </is>
      </c>
      <c r="E13506" t="n">
        <v>9.77</v>
      </c>
      <c r="F13506" t="n">
        <v>1</v>
      </c>
      <c r="G13506" t="n">
        <v>6</v>
      </c>
      <c r="H13506" s="5">
        <f>HYPERLINK("https://api.qogita.com/variants/link/0719346266055/", "View Product")</f>
        <v/>
      </c>
    </row>
    <row r="13507">
      <c r="A13507" t="inlineStr">
        <is>
          <t>0719346295970</t>
        </is>
      </c>
      <c r="B13507" t="inlineStr">
        <is>
          <t>Juicy Couture Viva La Juicy Sucre Eau de Parfum 100ml Floral Fragrance Luxury Perfume for Women</t>
        </is>
      </c>
      <c r="C13507" t="inlineStr">
        <is>
          <t>Eau De Parfum</t>
        </is>
      </c>
      <c r="D13507" t="inlineStr">
        <is>
          <t>Juicy Couture</t>
        </is>
      </c>
      <c r="E13507" t="n">
        <v>31.1</v>
      </c>
      <c r="F13507" t="n">
        <v>1</v>
      </c>
      <c r="G13507" t="n">
        <v>24</v>
      </c>
      <c r="H13507" s="5">
        <f>HYPERLINK("https://api.qogita.com/variants/link/0719346295970/", "View Product")</f>
        <v/>
      </c>
    </row>
    <row r="13508">
      <c r="A13508" t="inlineStr">
        <is>
          <t>0719346373906</t>
        </is>
      </c>
      <c r="B13508" t="inlineStr">
        <is>
          <t>Elizabeth Arden True Love Eau de Toilette 100ml</t>
        </is>
      </c>
      <c r="C13508" t="inlineStr">
        <is>
          <t>Eau De Toilette</t>
        </is>
      </c>
      <c r="D13508" t="inlineStr">
        <is>
          <t>Elizabeth Arden</t>
        </is>
      </c>
      <c r="E13508" t="n">
        <v>11.1</v>
      </c>
      <c r="F13508" t="n">
        <v>1</v>
      </c>
      <c r="G13508" t="n">
        <v>6</v>
      </c>
      <c r="H13508" s="5">
        <f>HYPERLINK("https://api.qogita.com/variants/link/0719346373906/", "View Product")</f>
        <v/>
      </c>
    </row>
    <row r="13509">
      <c r="A13509" t="inlineStr">
        <is>
          <t>0719346536325</t>
        </is>
      </c>
      <c r="B13509" t="inlineStr">
        <is>
          <t>Giorgio Men Eau De Toilette Spray 118ml</t>
        </is>
      </c>
      <c r="C13509" t="inlineStr">
        <is>
          <t>Eau De Toilette</t>
        </is>
      </c>
      <c r="D13509" t="inlineStr">
        <is>
          <t>Giorgio Beverly Hills</t>
        </is>
      </c>
      <c r="E13509" t="n">
        <v>15.21</v>
      </c>
      <c r="F13509" t="n">
        <v>1</v>
      </c>
      <c r="G13509" t="n">
        <v>2</v>
      </c>
      <c r="H13509" s="5">
        <f>HYPERLINK("https://api.qogita.com/variants/link/0719346536325/", "View Product")</f>
        <v/>
      </c>
    </row>
    <row r="13510">
      <c r="A13510" t="inlineStr">
        <is>
          <t>0719346536349</t>
        </is>
      </c>
      <c r="B13510" t="inlineStr">
        <is>
          <t>Giorgio Beverly Hills Red Homme Eau De Toilette 100ml</t>
        </is>
      </c>
      <c r="C13510" t="inlineStr">
        <is>
          <t>Eau De Toilette</t>
        </is>
      </c>
      <c r="D13510" t="inlineStr">
        <is>
          <t>Giorgio Beverly Hills</t>
        </is>
      </c>
      <c r="E13510" t="n">
        <v>12.42</v>
      </c>
      <c r="F13510" t="n">
        <v>1</v>
      </c>
      <c r="G13510" t="n">
        <v>14</v>
      </c>
      <c r="H13510" s="5">
        <f>HYPERLINK("https://api.qogita.com/variants/link/0719346536349/", "View Product")</f>
        <v/>
      </c>
    </row>
    <row r="13511">
      <c r="A13511" t="inlineStr">
        <is>
          <t>0719346552875</t>
        </is>
      </c>
      <c r="B13511" t="inlineStr">
        <is>
          <t>Britney Spears Hidden Fantasy Women's Perfume EDP</t>
        </is>
      </c>
      <c r="C13511" t="inlineStr">
        <is>
          <t>Eau De Parfum</t>
        </is>
      </c>
      <c r="D13511" t="inlineStr">
        <is>
          <t>Britney Spears</t>
        </is>
      </c>
      <c r="E13511" t="n">
        <v>13.15</v>
      </c>
      <c r="F13511" t="n">
        <v>1</v>
      </c>
      <c r="G13511" t="n">
        <v>6</v>
      </c>
      <c r="H13511" s="5">
        <f>HYPERLINK("https://api.qogita.com/variants/link/0719346552875/", "View Product")</f>
        <v/>
      </c>
    </row>
    <row r="13512">
      <c r="A13512" t="inlineStr">
        <is>
          <t>0719346568944</t>
        </is>
      </c>
      <c r="B13512" t="inlineStr">
        <is>
          <t>Ed Hardy Eau De Parfum Women's Perfume 1.7 Fl Oz</t>
        </is>
      </c>
      <c r="C13512" t="inlineStr">
        <is>
          <t>Eau De Parfum</t>
        </is>
      </c>
      <c r="D13512" t="inlineStr">
        <is>
          <t>Ed Hardy</t>
        </is>
      </c>
      <c r="E13512" t="n">
        <v>14.8</v>
      </c>
      <c r="F13512" t="n">
        <v>1</v>
      </c>
      <c r="G13512" t="n">
        <v>14</v>
      </c>
      <c r="H13512" s="5">
        <f>HYPERLINK("https://api.qogita.com/variants/link/0719346568944/", "View Product")</f>
        <v/>
      </c>
    </row>
    <row r="13513">
      <c r="A13513" t="inlineStr">
        <is>
          <t>0719346593946</t>
        </is>
      </c>
      <c r="B13513" t="inlineStr">
        <is>
          <t>Viva La Juicy La Fleur Eau De Toilette 150ml</t>
        </is>
      </c>
      <c r="C13513" t="inlineStr">
        <is>
          <t>Eau De Toilette</t>
        </is>
      </c>
      <c r="D13513" t="inlineStr">
        <is>
          <t>Juicy Couture</t>
        </is>
      </c>
      <c r="E13513" t="n">
        <v>31.88</v>
      </c>
      <c r="F13513" t="n">
        <v>1</v>
      </c>
      <c r="G13513" t="n">
        <v>13</v>
      </c>
      <c r="H13513" s="5">
        <f>HYPERLINK("https://api.qogita.com/variants/link/0719346593946/", "View Product")</f>
        <v/>
      </c>
    </row>
    <row r="13514">
      <c r="A13514" t="inlineStr">
        <is>
          <t>0719346621236</t>
        </is>
      </c>
      <c r="B13514" t="inlineStr">
        <is>
          <t>Britney Spears Curious Body Spray for Women</t>
        </is>
      </c>
      <c r="C13514" t="inlineStr">
        <is>
          <t>Eau De Toilette</t>
        </is>
      </c>
      <c r="D13514" t="inlineStr">
        <is>
          <t>Britney Spears</t>
        </is>
      </c>
      <c r="E13514" t="n">
        <v>4.32</v>
      </c>
      <c r="F13514" t="n">
        <v>1</v>
      </c>
      <c r="G13514" t="n">
        <v>3</v>
      </c>
      <c r="H13514" s="5">
        <f>HYPERLINK("https://api.qogita.com/variants/link/0719346621236/", "View Product")</f>
        <v/>
      </c>
    </row>
    <row r="13515">
      <c r="A13515" t="inlineStr">
        <is>
          <t>0719346628365</t>
        </is>
      </c>
      <c r="B13515" t="inlineStr">
        <is>
          <t>Juicy Couture Viva La Juicy Rosé Eau de Parfum Spray 100ml</t>
        </is>
      </c>
      <c r="C13515" t="inlineStr">
        <is>
          <t>Eau De Parfum</t>
        </is>
      </c>
      <c r="D13515" t="inlineStr">
        <is>
          <t>Juicy Couture</t>
        </is>
      </c>
      <c r="E13515" t="n">
        <v>29.97</v>
      </c>
      <c r="F13515" t="n">
        <v>1</v>
      </c>
      <c r="G13515" t="n">
        <v>32</v>
      </c>
      <c r="H13515" s="5">
        <f>HYPERLINK("https://api.qogita.com/variants/link/0719346628365/", "View Product")</f>
        <v/>
      </c>
    </row>
    <row r="13516">
      <c r="A13516" t="inlineStr">
        <is>
          <t>0719346629379</t>
        </is>
      </c>
      <c r="B13516" t="inlineStr">
        <is>
          <t>John Varvatos Artisan Blu Eau de Toilette Spray 125ml</t>
        </is>
      </c>
      <c r="C13516" t="inlineStr">
        <is>
          <t>Eau De Toilette</t>
        </is>
      </c>
      <c r="D13516" t="inlineStr">
        <is>
          <t>John Varvatos</t>
        </is>
      </c>
      <c r="E13516" t="n">
        <v>26.98</v>
      </c>
      <c r="F13516" t="n">
        <v>1</v>
      </c>
      <c r="G13516" t="n">
        <v>45</v>
      </c>
      <c r="H13516" s="5">
        <f>HYPERLINK("https://api.qogita.com/variants/link/0719346629379/", "View Product")</f>
        <v/>
      </c>
    </row>
    <row r="13517">
      <c r="A13517" t="inlineStr">
        <is>
          <t>0719346630856</t>
        </is>
      </c>
      <c r="B13517" t="inlineStr">
        <is>
          <t>Britney Spears Island Fantasy Body Mist for Her 235ml</t>
        </is>
      </c>
      <c r="C13517" t="inlineStr">
        <is>
          <t>Eau De Toilette</t>
        </is>
      </c>
      <c r="D13517" t="inlineStr">
        <is>
          <t>Britney Spears</t>
        </is>
      </c>
      <c r="E13517" t="n">
        <v>6.01</v>
      </c>
      <c r="F13517" t="n">
        <v>1</v>
      </c>
      <c r="G13517" t="n">
        <v>5</v>
      </c>
      <c r="H13517" s="5">
        <f>HYPERLINK("https://api.qogita.com/variants/link/0719346630856/", "View Product")</f>
        <v/>
      </c>
    </row>
    <row r="13518">
      <c r="A13518" t="inlineStr">
        <is>
          <t>0719346630887</t>
        </is>
      </c>
      <c r="B13518" t="inlineStr">
        <is>
          <t>Jennifer Aniston For Women Fine Fragrance Mist 8oz</t>
        </is>
      </c>
      <c r="C13518" t="inlineStr">
        <is>
          <t>Eau De Toilette</t>
        </is>
      </c>
      <c r="D13518" t="inlineStr">
        <is>
          <t>Jennifer Aniston</t>
        </is>
      </c>
      <c r="E13518" t="n">
        <v>6.13</v>
      </c>
      <c r="F13518" t="n">
        <v>1</v>
      </c>
      <c r="G13518" t="n">
        <v>5</v>
      </c>
      <c r="H13518" s="5">
        <f>HYPERLINK("https://api.qogita.com/variants/link/0719346630887/", "View Product")</f>
        <v/>
      </c>
    </row>
    <row r="13519">
      <c r="A13519" t="inlineStr">
        <is>
          <t>0719346632867</t>
        </is>
      </c>
      <c r="B13519" t="inlineStr">
        <is>
          <t>Geoffrey Beene Grey Flannel Eau de Toilette with Bag 240ml</t>
        </is>
      </c>
      <c r="C13519" t="inlineStr">
        <is>
          <t>Eau De Toilette</t>
        </is>
      </c>
      <c r="D13519" t="inlineStr">
        <is>
          <t>Geoffrey Beene</t>
        </is>
      </c>
      <c r="E13519" t="n">
        <v>16.8</v>
      </c>
      <c r="F13519" t="n">
        <v>1</v>
      </c>
      <c r="G13519" t="n">
        <v>4</v>
      </c>
      <c r="H13519" s="5">
        <f>HYPERLINK("https://api.qogita.com/variants/link/0719346632867/", "View Product")</f>
        <v/>
      </c>
    </row>
    <row r="13520">
      <c r="A13520" t="inlineStr">
        <is>
          <t>0719346636957</t>
        </is>
      </c>
      <c r="B13520" t="inlineStr">
        <is>
          <t>Elizabeth Taylor White Diamonds Lustre Fragrance Mist 236ml</t>
        </is>
      </c>
      <c r="C13520" t="inlineStr">
        <is>
          <t>Eau De Toilette</t>
        </is>
      </c>
      <c r="D13520" t="inlineStr">
        <is>
          <t>Elizabeth Taylor</t>
        </is>
      </c>
      <c r="E13520" t="n">
        <v>6.58</v>
      </c>
      <c r="F13520" t="n">
        <v>1</v>
      </c>
      <c r="G13520" t="n">
        <v>3</v>
      </c>
      <c r="H13520" s="5">
        <f>HYPERLINK("https://api.qogita.com/variants/link/0719346636957/", "View Product")</f>
        <v/>
      </c>
    </row>
    <row r="13521">
      <c r="A13521" t="inlineStr">
        <is>
          <t>0719346654500</t>
        </is>
      </c>
      <c r="B13521" t="inlineStr">
        <is>
          <t>John Varvatos XX EDT Vaporizer 75ml</t>
        </is>
      </c>
      <c r="C13521" t="inlineStr">
        <is>
          <t>Eau De Toilette</t>
        </is>
      </c>
      <c r="D13521" t="inlineStr">
        <is>
          <t>John Varvatos</t>
        </is>
      </c>
      <c r="E13521" t="n">
        <v>24.02</v>
      </c>
      <c r="F13521" t="n">
        <v>1</v>
      </c>
      <c r="G13521" t="n">
        <v>6</v>
      </c>
      <c r="H13521" s="5">
        <f>HYPERLINK("https://api.qogita.com/variants/link/0719346654500/", "View Product")</f>
        <v/>
      </c>
    </row>
    <row r="13522">
      <c r="A13522" t="inlineStr">
        <is>
          <t>0724120095660</t>
        </is>
      </c>
      <c r="B13522" t="inlineStr">
        <is>
          <t>Thameen Noorolain Taif Eau De Parfum 50ml Spray</t>
        </is>
      </c>
      <c r="C13522" t="inlineStr">
        <is>
          <t>Eau De Parfum</t>
        </is>
      </c>
      <c r="D13522" t="inlineStr">
        <is>
          <t>Thameen</t>
        </is>
      </c>
      <c r="E13522" t="n">
        <v>119.38</v>
      </c>
      <c r="F13522" t="n">
        <v>1</v>
      </c>
      <c r="G13522" t="n">
        <v>5</v>
      </c>
      <c r="H13522" s="5">
        <f>HYPERLINK("https://api.qogita.com/variants/link/0724120095660/", "View Product")</f>
        <v/>
      </c>
    </row>
    <row r="13523">
      <c r="A13523" t="inlineStr">
        <is>
          <t>0724120129228</t>
        </is>
      </c>
      <c r="B13523" t="inlineStr">
        <is>
          <t>Thameen The Hope Extrait De Parfum 50ml</t>
        </is>
      </c>
      <c r="C13523" t="inlineStr">
        <is>
          <t>Extrait De Parfum</t>
        </is>
      </c>
      <c r="D13523" t="inlineStr">
        <is>
          <t>Thameen</t>
        </is>
      </c>
      <c r="E13523" t="n">
        <v>97.48999999999999</v>
      </c>
      <c r="F13523" t="n">
        <v>1</v>
      </c>
      <c r="G13523" t="n">
        <v>3</v>
      </c>
      <c r="H13523" s="5">
        <f>HYPERLINK("https://api.qogita.com/variants/link/0724120129228/", "View Product")</f>
        <v/>
      </c>
    </row>
    <row r="13524">
      <c r="A13524" t="inlineStr">
        <is>
          <t>0724120140230</t>
        </is>
      </c>
      <c r="B13524" t="inlineStr">
        <is>
          <t>Thameen Riviere Extrait De Parfum 50ml</t>
        </is>
      </c>
      <c r="C13524" t="inlineStr">
        <is>
          <t>Extrait De Parfum</t>
        </is>
      </c>
      <c r="D13524" t="inlineStr">
        <is>
          <t>Thameen</t>
        </is>
      </c>
      <c r="E13524" t="n">
        <v>118.29</v>
      </c>
      <c r="F13524" t="n">
        <v>1</v>
      </c>
      <c r="G13524" t="n">
        <v>5</v>
      </c>
      <c r="H13524" s="5">
        <f>HYPERLINK("https://api.qogita.com/variants/link/0724120140230/", "View Product")</f>
        <v/>
      </c>
    </row>
    <row r="13525">
      <c r="A13525" t="inlineStr">
        <is>
          <t>0728899973983</t>
        </is>
      </c>
      <c r="B13525" t="inlineStr">
        <is>
          <t>Coriander 50ml Eau De Parfum Spray for Women</t>
        </is>
      </c>
      <c r="C13525" t="inlineStr">
        <is>
          <t>Eau De Parfum</t>
        </is>
      </c>
      <c r="D13525" t="inlineStr">
        <is>
          <t>D.S. &amp; Durga</t>
        </is>
      </c>
      <c r="E13525" t="n">
        <v>112.54</v>
      </c>
      <c r="F13525" t="n">
        <v>1</v>
      </c>
      <c r="G13525" t="n">
        <v>8</v>
      </c>
      <c r="H13525" s="5">
        <f>HYPERLINK("https://api.qogita.com/variants/link/0728899973983/", "View Product")</f>
        <v/>
      </c>
    </row>
    <row r="13526">
      <c r="A13526" t="inlineStr">
        <is>
          <t>0728899974027</t>
        </is>
      </c>
      <c r="B13526" t="inlineStr">
        <is>
          <t>D.S. &amp; Durga Durga Eau De Parfum Spray 50ml</t>
        </is>
      </c>
      <c r="C13526" t="inlineStr">
        <is>
          <t>Eau De Parfum</t>
        </is>
      </c>
      <c r="D13526" t="inlineStr">
        <is>
          <t>D.S. &amp; Durga</t>
        </is>
      </c>
      <c r="E13526" t="n">
        <v>203.42</v>
      </c>
      <c r="F13526" t="n">
        <v>1</v>
      </c>
      <c r="G13526" t="n">
        <v>5</v>
      </c>
      <c r="H13526" s="5">
        <f>HYPERLINK("https://api.qogita.com/variants/link/0728899974027/", "View Product")</f>
        <v/>
      </c>
    </row>
    <row r="13527">
      <c r="A13527" t="inlineStr">
        <is>
          <t>0731509213614</t>
        </is>
      </c>
      <c r="B13527" t="inlineStr">
        <is>
          <t>Kiss Falscara Multi Wisps Mocha - 24 Pieces</t>
        </is>
      </c>
      <c r="C13527" t="inlineStr">
        <is>
          <t>False Eyelashes</t>
        </is>
      </c>
      <c r="D13527" t="inlineStr">
        <is>
          <t>Kiss</t>
        </is>
      </c>
      <c r="E13527" t="n">
        <v>10.66</v>
      </c>
      <c r="F13527" t="n">
        <v>1</v>
      </c>
      <c r="G13527" t="n">
        <v>14</v>
      </c>
      <c r="H13527" s="5">
        <f>HYPERLINK("https://api.qogita.com/variants/link/0731509213614/", "View Product")</f>
        <v/>
      </c>
    </row>
    <row r="13528">
      <c r="A13528" t="inlineStr">
        <is>
          <t>0731509523638</t>
        </is>
      </c>
      <c r="B13528" t="inlineStr">
        <is>
          <t>Kiss Colors Quick Cover Grey Hair Touch Up Medium Brown</t>
        </is>
      </c>
      <c r="C13528" t="inlineStr">
        <is>
          <t>Hair Dye</t>
        </is>
      </c>
      <c r="D13528" t="inlineStr">
        <is>
          <t>Kiss</t>
        </is>
      </c>
      <c r="E13528" t="n">
        <v>7.68</v>
      </c>
      <c r="F13528" t="n">
        <v>1</v>
      </c>
      <c r="G13528" t="n">
        <v>16</v>
      </c>
      <c r="H13528" s="5">
        <f>HYPERLINK("https://api.qogita.com/variants/link/0731509523638/", "View Product")</f>
        <v/>
      </c>
    </row>
    <row r="13529">
      <c r="A13529" t="inlineStr">
        <is>
          <t>0731509616521</t>
        </is>
      </c>
      <c r="B13529" t="inlineStr">
        <is>
          <t>KISS Looks So Natural False Eyelashes Lightweight and Comfortable Natural-Looking Tapered End Technology Reusable Cruelty-Free Contact Lens Friendly Style Shy</t>
        </is>
      </c>
      <c r="C13529" t="inlineStr">
        <is>
          <t>False Eyelashes</t>
        </is>
      </c>
      <c r="D13529" t="inlineStr">
        <is>
          <t>Kiss</t>
        </is>
      </c>
      <c r="E13529" t="n">
        <v>5.99</v>
      </c>
      <c r="F13529" t="n">
        <v>1</v>
      </c>
      <c r="G13529" t="n">
        <v>11</v>
      </c>
      <c r="H13529" s="5">
        <f>HYPERLINK("https://api.qogita.com/variants/link/0731509616521/", "View Product")</f>
        <v/>
      </c>
    </row>
    <row r="13530">
      <c r="A13530" t="inlineStr">
        <is>
          <t>0731509659900</t>
        </is>
      </c>
      <c r="B13530" t="inlineStr">
        <is>
          <t>Kiss KBGL01 Maximum Speed Glue 3g</t>
        </is>
      </c>
      <c r="C13530" t="inlineStr">
        <is>
          <t>Care Accessories</t>
        </is>
      </c>
      <c r="D13530" t="inlineStr">
        <is>
          <t>Kiss</t>
        </is>
      </c>
      <c r="E13530" t="n">
        <v>3.98</v>
      </c>
      <c r="F13530" t="n">
        <v>1</v>
      </c>
      <c r="G13530" t="n">
        <v>23</v>
      </c>
      <c r="H13530" s="5">
        <f>HYPERLINK("https://api.qogita.com/variants/link/0731509659900/", "View Product")</f>
        <v/>
      </c>
    </row>
    <row r="13531">
      <c r="A13531" t="inlineStr">
        <is>
          <t>0731509798463</t>
        </is>
      </c>
      <c r="B13531" t="inlineStr">
        <is>
          <t>KISS Falscara Eyelash Applicator</t>
        </is>
      </c>
      <c r="C13531" t="inlineStr">
        <is>
          <t>Eyelash Extension Accessories</t>
        </is>
      </c>
      <c r="D13531" t="inlineStr">
        <is>
          <t>Kiss</t>
        </is>
      </c>
      <c r="E13531" t="n">
        <v>7.15</v>
      </c>
      <c r="F13531" t="n">
        <v>1</v>
      </c>
      <c r="G13531" t="n">
        <v>11</v>
      </c>
      <c r="H13531" s="5">
        <f>HYPERLINK("https://api.qogita.com/variants/link/0731509798463/", "View Product")</f>
        <v/>
      </c>
    </row>
    <row r="13532">
      <c r="A13532" t="inlineStr">
        <is>
          <t>0731509804652</t>
        </is>
      </c>
      <c r="B13532" t="inlineStr">
        <is>
          <t>KISS Magnetic Lash Collection Crowd Pleaser False Eyelashes with 5 Double Strength Magnets</t>
        </is>
      </c>
      <c r="C13532" t="inlineStr">
        <is>
          <t>False Eyelashes</t>
        </is>
      </c>
      <c r="D13532" t="inlineStr">
        <is>
          <t>Kiss</t>
        </is>
      </c>
      <c r="E13532" t="n">
        <v>7.75</v>
      </c>
      <c r="F13532" t="n">
        <v>1</v>
      </c>
      <c r="G13532" t="n">
        <v>32</v>
      </c>
      <c r="H13532" s="5">
        <f>HYPERLINK("https://api.qogita.com/variants/link/0731509804652/", "View Product")</f>
        <v/>
      </c>
    </row>
    <row r="13533">
      <c r="A13533" t="inlineStr">
        <is>
          <t>0731509836530</t>
        </is>
      </c>
      <c r="B13533" t="inlineStr">
        <is>
          <t>KISS imPRESS Press-On Manicure One More Chance Short Length Square with PureFit Technology - 30 Fake Nails</t>
        </is>
      </c>
      <c r="C13533" t="inlineStr">
        <is>
          <t>Artificial Nails &amp; Nail Decoration</t>
        </is>
      </c>
      <c r="D13533" t="inlineStr">
        <is>
          <t>Kiss</t>
        </is>
      </c>
      <c r="E13533" t="n">
        <v>8.460000000000001</v>
      </c>
      <c r="F13533" t="n">
        <v>1</v>
      </c>
      <c r="G13533" t="n">
        <v>2</v>
      </c>
      <c r="H13533" s="5">
        <f>HYPERLINK("https://api.qogita.com/variants/link/0731509836530/", "View Product")</f>
        <v/>
      </c>
    </row>
    <row r="13534">
      <c r="A13534" t="inlineStr">
        <is>
          <t>0731509836547</t>
        </is>
      </c>
      <c r="B13534" t="inlineStr">
        <is>
          <t>KISS imPRESS Press-On Manicure Evanesis Short Square with PureFit Technology - 30 False Nails</t>
        </is>
      </c>
      <c r="C13534" t="inlineStr">
        <is>
          <t>Artificial Nails &amp; Nail Decoration</t>
        </is>
      </c>
      <c r="D13534" t="inlineStr">
        <is>
          <t>Kiss</t>
        </is>
      </c>
      <c r="E13534" t="n">
        <v>8.460000000000001</v>
      </c>
      <c r="F13534" t="n">
        <v>1</v>
      </c>
      <c r="G13534" t="n">
        <v>6</v>
      </c>
      <c r="H13534" s="5">
        <f>HYPERLINK("https://api.qogita.com/variants/link/0731509836547/", "View Product")</f>
        <v/>
      </c>
    </row>
    <row r="13535">
      <c r="A13535" t="inlineStr">
        <is>
          <t>0731509837407</t>
        </is>
      </c>
      <c r="B13535" t="inlineStr">
        <is>
          <t>KISS Impress Color Point Pink</t>
        </is>
      </c>
      <c r="C13535" t="inlineStr">
        <is>
          <t>Artificial Nails &amp; Nail Decoration</t>
        </is>
      </c>
      <c r="D13535" t="inlineStr">
        <is>
          <t>Kiss</t>
        </is>
      </c>
      <c r="E13535" t="n">
        <v>8.460000000000001</v>
      </c>
      <c r="F13535" t="n">
        <v>1</v>
      </c>
      <c r="G13535" t="n">
        <v>8</v>
      </c>
      <c r="H13535" s="5">
        <f>HYPERLINK("https://api.qogita.com/variants/link/0731509837407/", "View Product")</f>
        <v/>
      </c>
    </row>
    <row r="13536">
      <c r="A13536" t="inlineStr">
        <is>
          <t>0731509837469</t>
        </is>
      </c>
      <c r="B13536" t="inlineStr">
        <is>
          <t>KISS imPRESS Color Press-On Nails PureFit Technology Short Length Picture Purplect Manicure</t>
        </is>
      </c>
      <c r="C13536" t="inlineStr">
        <is>
          <t>Artificial Nails &amp; Nail Decoration</t>
        </is>
      </c>
      <c r="D13536" t="inlineStr">
        <is>
          <t>Impress</t>
        </is>
      </c>
      <c r="E13536" t="n">
        <v>8.460000000000001</v>
      </c>
      <c r="F13536" t="n">
        <v>1</v>
      </c>
      <c r="G13536" t="n">
        <v>19</v>
      </c>
      <c r="H13536" s="5">
        <f>HYPERLINK("https://api.qogita.com/variants/link/0731509837469/", "View Product")</f>
        <v/>
      </c>
    </row>
    <row r="13537">
      <c r="A13537" t="inlineStr">
        <is>
          <t>0731509837490</t>
        </is>
      </c>
      <c r="B13537" t="inlineStr">
        <is>
          <t>KISS imPRESS Color Gel Nail Kit Sandbox with PureFit Technology - Includes Prep Pad Mini File Cuticle Stick and 30 Fake Nails</t>
        </is>
      </c>
      <c r="C13537" t="inlineStr">
        <is>
          <t>Artificial Nails &amp; Nail Decoration</t>
        </is>
      </c>
      <c r="D13537" t="inlineStr">
        <is>
          <t>Kiss</t>
        </is>
      </c>
      <c r="E13537" t="n">
        <v>8.460000000000001</v>
      </c>
      <c r="F13537" t="n">
        <v>1</v>
      </c>
      <c r="G13537" t="n">
        <v>16</v>
      </c>
      <c r="H13537" s="5">
        <f>HYPERLINK("https://api.qogita.com/variants/link/0731509837490/", "View Product")</f>
        <v/>
      </c>
    </row>
    <row r="13538">
      <c r="A13538" t="inlineStr">
        <is>
          <t>0731509837636</t>
        </is>
      </c>
      <c r="B13538" t="inlineStr">
        <is>
          <t>KISS imPRESS Color Press-On Nails Gel Nail Kit Short Length Taupe Prize</t>
        </is>
      </c>
      <c r="C13538" t="inlineStr">
        <is>
          <t>Artificial Nails &amp; Nail Decoration</t>
        </is>
      </c>
      <c r="D13538" t="inlineStr">
        <is>
          <t>Impress</t>
        </is>
      </c>
      <c r="E13538" t="n">
        <v>8.460000000000001</v>
      </c>
      <c r="F13538" t="n">
        <v>1</v>
      </c>
      <c r="G13538" t="n">
        <v>10</v>
      </c>
      <c r="H13538" s="5">
        <f>HYPERLINK("https://api.qogita.com/variants/link/0731509837636/", "View Product")</f>
        <v/>
      </c>
    </row>
    <row r="13539">
      <c r="A13539" t="inlineStr">
        <is>
          <t>0731509837711</t>
        </is>
      </c>
      <c r="B13539" t="inlineStr">
        <is>
          <t>Kiss Impress Knock Out</t>
        </is>
      </c>
      <c r="C13539" t="inlineStr">
        <is>
          <t>Artificial Nails &amp; Nail Decoration</t>
        </is>
      </c>
      <c r="D13539" t="inlineStr">
        <is>
          <t>Kiss</t>
        </is>
      </c>
      <c r="E13539" t="n">
        <v>8.460000000000001</v>
      </c>
      <c r="F13539" t="n">
        <v>1</v>
      </c>
      <c r="G13539" t="n">
        <v>7</v>
      </c>
      <c r="H13539" s="5">
        <f>HYPERLINK("https://api.qogita.com/variants/link/0731509837711/", "View Product")</f>
        <v/>
      </c>
    </row>
    <row r="13540">
      <c r="A13540" t="inlineStr">
        <is>
          <t>0731509837803</t>
        </is>
      </c>
      <c r="B13540" t="inlineStr">
        <is>
          <t>KISS imPRESS Press-On Manicure Kill Heels Short Square Nails with PureFit Technology - 30 Fake Nails</t>
        </is>
      </c>
      <c r="C13540" t="inlineStr">
        <is>
          <t>Artificial Nails &amp; Nail Decoration</t>
        </is>
      </c>
      <c r="D13540" t="inlineStr">
        <is>
          <t>Kiss</t>
        </is>
      </c>
      <c r="E13540" t="n">
        <v>8.460000000000001</v>
      </c>
      <c r="F13540" t="n">
        <v>1</v>
      </c>
      <c r="G13540" t="n">
        <v>14</v>
      </c>
      <c r="H13540" s="5">
        <f>HYPERLINK("https://api.qogita.com/variants/link/0731509837803/", "View Product")</f>
        <v/>
      </c>
    </row>
    <row r="13541">
      <c r="A13541" t="inlineStr">
        <is>
          <t>0731509838343</t>
        </is>
      </c>
      <c r="B13541" t="inlineStr">
        <is>
          <t>Kiss Falscara Wisps False Eyelashes</t>
        </is>
      </c>
      <c r="C13541" t="inlineStr">
        <is>
          <t>False Eyelashes</t>
        </is>
      </c>
      <c r="D13541" t="inlineStr">
        <is>
          <t>Kiss</t>
        </is>
      </c>
      <c r="E13541" t="n">
        <v>9.83</v>
      </c>
      <c r="F13541" t="n">
        <v>1</v>
      </c>
      <c r="G13541" t="n">
        <v>32</v>
      </c>
      <c r="H13541" s="5">
        <f>HYPERLINK("https://api.qogita.com/variants/link/0731509838343/", "View Product")</f>
        <v/>
      </c>
    </row>
    <row r="13542">
      <c r="A13542" t="inlineStr">
        <is>
          <t>0731509865721</t>
        </is>
      </c>
      <c r="B13542" t="inlineStr">
        <is>
          <t>KISS Bare But Better TruNude Fake Nails Nude Nail Shades Manicure Set 28 Chip Proof Smudge Proof Glue-On Nails</t>
        </is>
      </c>
      <c r="C13542" t="inlineStr">
        <is>
          <t>Artificial Nails &amp; Nail Decoration</t>
        </is>
      </c>
      <c r="D13542" t="inlineStr">
        <is>
          <t>Kiss</t>
        </is>
      </c>
      <c r="E13542" t="n">
        <v>9.289999999999999</v>
      </c>
      <c r="F13542" t="n">
        <v>1</v>
      </c>
      <c r="G13542" t="n">
        <v>20</v>
      </c>
      <c r="H13542" s="5">
        <f>HYPERLINK("https://api.qogita.com/variants/link/0731509865721/", "View Product")</f>
        <v/>
      </c>
    </row>
    <row r="13543">
      <c r="A13543" t="inlineStr">
        <is>
          <t>0731509865745</t>
        </is>
      </c>
      <c r="B13543" t="inlineStr">
        <is>
          <t>KISS Bare But Better TruNude Fake Nails Nude Nail Shades Manicure Set 28 Split-Resistant, Smudge-Proof Nails for Gluing</t>
        </is>
      </c>
      <c r="C13543" t="inlineStr">
        <is>
          <t>Artificial Nails &amp; Nail Decoration</t>
        </is>
      </c>
      <c r="D13543" t="inlineStr">
        <is>
          <t>Kiss</t>
        </is>
      </c>
      <c r="E13543" t="n">
        <v>9.289999999999999</v>
      </c>
      <c r="F13543" t="n">
        <v>1</v>
      </c>
      <c r="G13543" t="n">
        <v>6</v>
      </c>
      <c r="H13543" s="5">
        <f>HYPERLINK("https://api.qogita.com/variants/link/0731509865745/", "View Product")</f>
        <v/>
      </c>
    </row>
    <row r="13544">
      <c r="A13544" t="inlineStr">
        <is>
          <t>0731509867244</t>
        </is>
      </c>
      <c r="B13544" t="inlineStr">
        <is>
          <t>KISS imPRESS Press-On Nails Bare But Better Manicure Set Nude False Nails Effortless Finish 30 Nails</t>
        </is>
      </c>
      <c r="C13544" t="inlineStr">
        <is>
          <t>Artificial Nails &amp; Nail Decoration</t>
        </is>
      </c>
      <c r="D13544" t="inlineStr">
        <is>
          <t>Impress</t>
        </is>
      </c>
      <c r="E13544" t="n">
        <v>8.720000000000001</v>
      </c>
      <c r="F13544" t="n">
        <v>1</v>
      </c>
      <c r="G13544" t="n">
        <v>9</v>
      </c>
      <c r="H13544" s="5">
        <f>HYPERLINK("https://api.qogita.com/variants/link/0731509867244/", "View Product")</f>
        <v/>
      </c>
    </row>
    <row r="13545">
      <c r="A13545" t="inlineStr">
        <is>
          <t>0731509867305</t>
        </is>
      </c>
      <c r="B13545" t="inlineStr">
        <is>
          <t>Kiss Bare But Better Short Simple Pleasure Nails 30 Count - Pack of 3</t>
        </is>
      </c>
      <c r="C13545" t="inlineStr">
        <is>
          <t>Artificial Nails &amp; Nail Decoration</t>
        </is>
      </c>
      <c r="D13545" t="inlineStr">
        <is>
          <t>Kiss</t>
        </is>
      </c>
      <c r="E13545" t="n">
        <v>8.720000000000001</v>
      </c>
      <c r="F13545" t="n">
        <v>1</v>
      </c>
      <c r="G13545" t="n">
        <v>9</v>
      </c>
      <c r="H13545" s="5">
        <f>HYPERLINK("https://api.qogita.com/variants/link/0731509867305/", "View Product")</f>
        <v/>
      </c>
    </row>
    <row r="13546">
      <c r="A13546" t="inlineStr">
        <is>
          <t>0731509867343</t>
        </is>
      </c>
      <c r="B13546" t="inlineStr">
        <is>
          <t>KISS imPRESS Color Press-On Nails Polish-Free Manicure Set Frosting 30 Fake Nails</t>
        </is>
      </c>
      <c r="C13546" t="inlineStr">
        <is>
          <t>Artificial Nails &amp; Nail Decoration</t>
        </is>
      </c>
      <c r="D13546" t="inlineStr">
        <is>
          <t>Impress</t>
        </is>
      </c>
      <c r="E13546" t="n">
        <v>8.460000000000001</v>
      </c>
      <c r="F13546" t="n">
        <v>1</v>
      </c>
      <c r="G13546" t="n">
        <v>16</v>
      </c>
      <c r="H13546" s="5">
        <f>HYPERLINK("https://api.qogita.com/variants/link/0731509867343/", "View Product")</f>
        <v/>
      </c>
    </row>
    <row r="13547">
      <c r="A13547" t="inlineStr">
        <is>
          <t>0731509867398</t>
        </is>
      </c>
      <c r="B13547" t="inlineStr">
        <is>
          <t>Kiss ImPress Press-On Manicure Color Nails Pure Fit - Multiple Colors Available</t>
        </is>
      </c>
      <c r="C13547" t="inlineStr">
        <is>
          <t>Artificial Nails &amp; Nail Decoration</t>
        </is>
      </c>
      <c r="D13547" t="inlineStr">
        <is>
          <t>Kiss</t>
        </is>
      </c>
      <c r="E13547" t="n">
        <v>8.460000000000001</v>
      </c>
      <c r="F13547" t="n">
        <v>1</v>
      </c>
      <c r="G13547" t="n">
        <v>4</v>
      </c>
      <c r="H13547" s="5">
        <f>HYPERLINK("https://api.qogita.com/variants/link/0731509867398/", "View Product")</f>
        <v/>
      </c>
    </row>
    <row r="13548">
      <c r="A13548" t="inlineStr">
        <is>
          <t>0731509867428</t>
        </is>
      </c>
      <c r="B13548" t="inlineStr">
        <is>
          <t>Kiss Impress Color Medium Coffin Press-On Nails, Cloudless, 30 Count</t>
        </is>
      </c>
      <c r="C13548" t="inlineStr">
        <is>
          <t>Artificial Nails &amp; Nail Decoration</t>
        </is>
      </c>
      <c r="D13548" t="inlineStr">
        <is>
          <t>Impress</t>
        </is>
      </c>
      <c r="E13548" t="n">
        <v>8.460000000000001</v>
      </c>
      <c r="F13548" t="n">
        <v>1</v>
      </c>
      <c r="G13548" t="n">
        <v>16</v>
      </c>
      <c r="H13548" s="5">
        <f>HYPERLINK("https://api.qogita.com/variants/link/0731509867428/", "View Product")</f>
        <v/>
      </c>
    </row>
    <row r="13549">
      <c r="A13549" t="inlineStr">
        <is>
          <t>0731509867961</t>
        </is>
      </c>
      <c r="B13549" t="inlineStr">
        <is>
          <t>KISS Gel Fantasy Collection Sculpted Fake Nails Manicure Set with Nail File Nail Glue and 28 Glue-On Nails</t>
        </is>
      </c>
      <c r="C13549" t="inlineStr">
        <is>
          <t>Artificial Nails &amp; Nail Decoration</t>
        </is>
      </c>
      <c r="D13549" t="inlineStr">
        <is>
          <t>Kiss</t>
        </is>
      </c>
      <c r="E13549" t="n">
        <v>9.56</v>
      </c>
      <c r="F13549" t="n">
        <v>1</v>
      </c>
      <c r="G13549" t="n">
        <v>4</v>
      </c>
      <c r="H13549" s="5">
        <f>HYPERLINK("https://api.qogita.com/variants/link/0731509867961/", "View Product")</f>
        <v/>
      </c>
    </row>
    <row r="13550">
      <c r="A13550" t="inlineStr">
        <is>
          <t>0731509872972</t>
        </is>
      </c>
      <c r="B13550" t="inlineStr">
        <is>
          <t>imPRESS Nails All to Myself 30 pieces</t>
        </is>
      </c>
      <c r="C13550" t="inlineStr">
        <is>
          <t>Artificial Nails &amp; Nail Decoration</t>
        </is>
      </c>
      <c r="D13550" t="inlineStr">
        <is>
          <t>Kiss</t>
        </is>
      </c>
      <c r="E13550" t="n">
        <v>8.460000000000001</v>
      </c>
      <c r="F13550" t="n">
        <v>1</v>
      </c>
      <c r="G13550" t="n">
        <v>14</v>
      </c>
      <c r="H13550" s="5">
        <f>HYPERLINK("https://api.qogita.com/variants/link/0731509872972/", "View Product")</f>
        <v/>
      </c>
    </row>
    <row r="13551">
      <c r="A13551" t="inlineStr">
        <is>
          <t>0731509887402</t>
        </is>
      </c>
      <c r="B13551" t="inlineStr">
        <is>
          <t>KISS Gel Fantasy Press On Nails Jelly Gelée Black Long Square Shape 28 Nails 2g Glue 1 Manicure Stick 1 Mini File Pink Medium</t>
        </is>
      </c>
      <c r="C13551" t="inlineStr">
        <is>
          <t>Artificial Nails &amp; Nail Decoration</t>
        </is>
      </c>
      <c r="D13551" t="inlineStr">
        <is>
          <t>Kiss</t>
        </is>
      </c>
      <c r="E13551" t="n">
        <v>9.01</v>
      </c>
      <c r="F13551" t="n">
        <v>1</v>
      </c>
      <c r="G13551" t="n">
        <v>7</v>
      </c>
      <c r="H13551" s="5">
        <f>HYPERLINK("https://api.qogita.com/variants/link/0731509887402/", "View Product")</f>
        <v/>
      </c>
    </row>
    <row r="13552">
      <c r="A13552" t="inlineStr">
        <is>
          <t>0731509903430</t>
        </is>
      </c>
      <c r="B13552" t="inlineStr">
        <is>
          <t>Kiss Gel Fantasy Magnetic Gel Nails Chameleon - 28 Pieces</t>
        </is>
      </c>
      <c r="C13552" t="inlineStr">
        <is>
          <t>Artificial Nails &amp; Nail Decoration</t>
        </is>
      </c>
      <c r="D13552" t="inlineStr">
        <is>
          <t>Kiss</t>
        </is>
      </c>
      <c r="E13552" t="n">
        <v>10.4</v>
      </c>
      <c r="F13552" t="n">
        <v>1</v>
      </c>
      <c r="G13552" t="n">
        <v>9</v>
      </c>
      <c r="H13552" s="5">
        <f>HYPERLINK("https://api.qogita.com/variants/link/0731509903430/", "View Product")</f>
        <v/>
      </c>
    </row>
    <row r="13553">
      <c r="A13553" t="inlineStr">
        <is>
          <t>0731509908886</t>
        </is>
      </c>
      <c r="B13553" t="inlineStr">
        <is>
          <t>KISS imPRESS Press-On Falsies Eyelash Clusters Kit Spiky Black</t>
        </is>
      </c>
      <c r="C13553" t="inlineStr">
        <is>
          <t>False Eyelashes</t>
        </is>
      </c>
      <c r="D13553" t="inlineStr">
        <is>
          <t>Kiss</t>
        </is>
      </c>
      <c r="E13553" t="n">
        <v>16.05</v>
      </c>
      <c r="F13553" t="n">
        <v>1</v>
      </c>
      <c r="G13553" t="n">
        <v>43</v>
      </c>
      <c r="H13553" s="5">
        <f>HYPERLINK("https://api.qogita.com/variants/link/0731509908886/", "View Product")</f>
        <v/>
      </c>
    </row>
    <row r="13554">
      <c r="A13554" t="inlineStr">
        <is>
          <t>0731509908893</t>
        </is>
      </c>
      <c r="B13554" t="inlineStr">
        <is>
          <t>Kiss 3D Lash DIY Eyelash Semi-Permanent Mapping Kit with Glue Remover Accessories</t>
        </is>
      </c>
      <c r="C13554" t="inlineStr">
        <is>
          <t>False Eyelashes</t>
        </is>
      </c>
      <c r="D13554" t="inlineStr">
        <is>
          <t>Kiss</t>
        </is>
      </c>
      <c r="E13554" t="n">
        <v>16.05</v>
      </c>
      <c r="F13554" t="n">
        <v>1</v>
      </c>
      <c r="G13554" t="n">
        <v>7</v>
      </c>
      <c r="H13554" s="5">
        <f>HYPERLINK("https://api.qogita.com/variants/link/0731509908893/", "View Product")</f>
        <v/>
      </c>
    </row>
    <row r="13555">
      <c r="A13555" t="inlineStr">
        <is>
          <t>0731509913835</t>
        </is>
      </c>
      <c r="B13555" t="inlineStr">
        <is>
          <t>Kiss Impress Nails - Everlasting, 30 Self-Adhesive Nails</t>
        </is>
      </c>
      <c r="C13555" t="inlineStr">
        <is>
          <t>Artificial Nails &amp; Nail Decoration</t>
        </is>
      </c>
      <c r="D13555" t="inlineStr">
        <is>
          <t>Kiss</t>
        </is>
      </c>
      <c r="E13555" t="n">
        <v>8.460000000000001</v>
      </c>
      <c r="F13555" t="n">
        <v>1</v>
      </c>
      <c r="G13555" t="n">
        <v>27</v>
      </c>
      <c r="H13555" s="5">
        <f>HYPERLINK("https://api.qogita.com/variants/link/0731509913835/", "View Product")</f>
        <v/>
      </c>
    </row>
    <row r="13556">
      <c r="A13556" t="inlineStr">
        <is>
          <t>0731509914047</t>
        </is>
      </c>
      <c r="B13556" t="inlineStr">
        <is>
          <t>KISS imPRESS No Glue Mani Press-On Nails Color FX Starstruck Medium Neutral Short Size Squoval Shape Includes 30 Nails Prep Pad Instructions Sheet 1 Manicure Stick 1 Mini File</t>
        </is>
      </c>
      <c r="C13556" t="inlineStr">
        <is>
          <t>Artificial Nails &amp; Nail Decoration</t>
        </is>
      </c>
      <c r="D13556" t="inlineStr">
        <is>
          <t>Impress</t>
        </is>
      </c>
      <c r="E13556" t="n">
        <v>11.85</v>
      </c>
      <c r="F13556" t="n">
        <v>1</v>
      </c>
      <c r="G13556" t="n">
        <v>8</v>
      </c>
      <c r="H13556" s="5">
        <f>HYPERLINK("https://api.qogita.com/variants/link/0731509914047/", "View Product")</f>
        <v/>
      </c>
    </row>
    <row r="13557">
      <c r="A13557" t="inlineStr">
        <is>
          <t>0731509914054</t>
        </is>
      </c>
      <c r="B13557" t="inlineStr">
        <is>
          <t>KISS imPRESS No Glue Mani Press-On Nails Color FX After Hours Medium Green Short Size Squoval Shape Includes 30 Nails Prep Pad Instructions Sheet 1 Manicure Stick 1 Mini File</t>
        </is>
      </c>
      <c r="C13557" t="inlineStr">
        <is>
          <t>Artificial Nails &amp; Nail Decoration</t>
        </is>
      </c>
      <c r="D13557" t="inlineStr">
        <is>
          <t>Impress</t>
        </is>
      </c>
      <c r="E13557" t="n">
        <v>11.85</v>
      </c>
      <c r="F13557" t="n">
        <v>1</v>
      </c>
      <c r="G13557" t="n">
        <v>9</v>
      </c>
      <c r="H13557" s="5">
        <f>HYPERLINK("https://api.qogita.com/variants/link/0731509914054/", "View Product")</f>
        <v/>
      </c>
    </row>
    <row r="13558">
      <c r="A13558" t="inlineStr">
        <is>
          <t>0731509915495</t>
        </is>
      </c>
      <c r="B13558" t="inlineStr">
        <is>
          <t>KISS imPRESS No Glue Mani Press-On Nails Color FX Pop Star Light Pink Short Size Squoval Shape Includes 30 Nails Prep Pad Instructions Sheet 1 Manicure Stick 1 Mini File</t>
        </is>
      </c>
      <c r="C13558" t="inlineStr">
        <is>
          <t>Artificial Nails &amp; Nail Decoration</t>
        </is>
      </c>
      <c r="D13558" t="inlineStr">
        <is>
          <t>Impress</t>
        </is>
      </c>
      <c r="E13558" t="n">
        <v>11.85</v>
      </c>
      <c r="F13558" t="n">
        <v>1</v>
      </c>
      <c r="G13558" t="n">
        <v>5</v>
      </c>
      <c r="H13558" s="5">
        <f>HYPERLINK("https://api.qogita.com/variants/link/0731509915495/", "View Product")</f>
        <v/>
      </c>
    </row>
    <row r="13559">
      <c r="A13559" t="inlineStr">
        <is>
          <t>0731509926910</t>
        </is>
      </c>
      <c r="B13559" t="inlineStr">
        <is>
          <t>Lash Couture Rebel Collection False Eyelashes Variant 01 Downtown Girl</t>
        </is>
      </c>
      <c r="C13559" t="inlineStr">
        <is>
          <t>False Eyelashes</t>
        </is>
      </c>
      <c r="D13559" t="inlineStr">
        <is>
          <t>Kiss</t>
        </is>
      </c>
      <c r="E13559" t="n">
        <v>8.529999999999999</v>
      </c>
      <c r="F13559" t="n">
        <v>1</v>
      </c>
      <c r="G13559" t="n">
        <v>7</v>
      </c>
      <c r="H13559" s="5">
        <f>HYPERLINK("https://api.qogita.com/variants/link/0731509926910/", "View Product")</f>
        <v/>
      </c>
    </row>
    <row r="13560">
      <c r="A13560" t="inlineStr">
        <is>
          <t>0731509933888</t>
        </is>
      </c>
      <c r="B13560" t="inlineStr">
        <is>
          <t>Kiss Self-Adhesive Nails Impress Color Fx Sour Love - 30 Pieces</t>
        </is>
      </c>
      <c r="C13560" t="inlineStr">
        <is>
          <t>Artificial Nails &amp; Nail Decoration</t>
        </is>
      </c>
      <c r="D13560" t="inlineStr">
        <is>
          <t>Kiss</t>
        </is>
      </c>
      <c r="E13560" t="n">
        <v>11.85</v>
      </c>
      <c r="F13560" t="n">
        <v>1</v>
      </c>
      <c r="G13560" t="n">
        <v>4</v>
      </c>
      <c r="H13560" s="5">
        <f>HYPERLINK("https://api.qogita.com/variants/link/0731509933888/", "View Product")</f>
        <v/>
      </c>
    </row>
    <row r="13561">
      <c r="A13561" t="inlineStr">
        <is>
          <t>0731509934250</t>
        </is>
      </c>
      <c r="B13561" t="inlineStr">
        <is>
          <t>Kiss Gel Fantasy Allure Change Chance - 28 Pieces</t>
        </is>
      </c>
      <c r="C13561" t="inlineStr">
        <is>
          <t>Nail Sets</t>
        </is>
      </c>
      <c r="D13561" t="inlineStr">
        <is>
          <t>Kiss</t>
        </is>
      </c>
      <c r="E13561" t="n">
        <v>11.85</v>
      </c>
      <c r="F13561" t="n">
        <v>1</v>
      </c>
      <c r="G13561" t="n">
        <v>8</v>
      </c>
      <c r="H13561" s="5">
        <f>HYPERLINK("https://api.qogita.com/variants/link/0731509934250/", "View Product")</f>
        <v/>
      </c>
    </row>
    <row r="13562">
      <c r="A13562" t="inlineStr">
        <is>
          <t>0731509966152</t>
        </is>
      </c>
      <c r="B13562" t="inlineStr">
        <is>
          <t>Magnetic Lash 1 pair Variant 01</t>
        </is>
      </c>
      <c r="C13562" t="inlineStr">
        <is>
          <t>False Eyelashes</t>
        </is>
      </c>
      <c r="D13562" t="inlineStr">
        <is>
          <t>Kiss</t>
        </is>
      </c>
      <c r="E13562" t="n">
        <v>9.859999999999999</v>
      </c>
      <c r="F13562" t="n">
        <v>1</v>
      </c>
      <c r="G13562" t="n">
        <v>18</v>
      </c>
      <c r="H13562" s="5">
        <f>HYPERLINK("https://api.qogita.com/variants/link/0731509966152/", "View Product")</f>
        <v/>
      </c>
    </row>
    <row r="13563">
      <c r="A13563" t="inlineStr">
        <is>
          <t>0731509966176</t>
        </is>
      </c>
      <c r="B13563" t="inlineStr">
        <is>
          <t>KISS Magnetic Lash Artificial Eyelashes with Applicator, Mirror and More</t>
        </is>
      </c>
      <c r="C13563" t="inlineStr">
        <is>
          <t>False Eyelashes</t>
        </is>
      </c>
      <c r="D13563" t="inlineStr">
        <is>
          <t>Kiss</t>
        </is>
      </c>
      <c r="E13563" t="n">
        <v>9.859999999999999</v>
      </c>
      <c r="F13563" t="n">
        <v>1</v>
      </c>
      <c r="G13563" t="n">
        <v>71</v>
      </c>
      <c r="H13563" s="5">
        <f>HYPERLINK("https://api.qogita.com/variants/link/0731509966176/", "View Product")</f>
        <v/>
      </c>
    </row>
    <row r="13564">
      <c r="A13564" t="inlineStr">
        <is>
          <t>0731509966893</t>
        </is>
      </c>
      <c r="B13564" t="inlineStr">
        <is>
          <t>Kiss False Lash - Stunning By Kiss</t>
        </is>
      </c>
      <c r="C13564" t="inlineStr">
        <is>
          <t>False Eyelashes</t>
        </is>
      </c>
      <c r="D13564" t="inlineStr">
        <is>
          <t>Kiss</t>
        </is>
      </c>
      <c r="E13564" t="n">
        <v>4.53</v>
      </c>
      <c r="F13564" t="n">
        <v>1</v>
      </c>
      <c r="G13564" t="n">
        <v>14</v>
      </c>
      <c r="H13564" s="5">
        <f>HYPERLINK("https://api.qogita.com/variants/link/0731509966893/", "View Product")</f>
        <v/>
      </c>
    </row>
    <row r="13565">
      <c r="A13565" t="inlineStr">
        <is>
          <t>0731509966909</t>
        </is>
      </c>
      <c r="B13565" t="inlineStr">
        <is>
          <t>Kiss Natural Gorgeous Lashes - Perfect For A Natural Look</t>
        </is>
      </c>
      <c r="C13565" t="inlineStr">
        <is>
          <t>False Eyelashes</t>
        </is>
      </c>
      <c r="D13565" t="inlineStr">
        <is>
          <t>Kiss</t>
        </is>
      </c>
      <c r="E13565" t="n">
        <v>4.59</v>
      </c>
      <c r="F13565" t="n">
        <v>1</v>
      </c>
      <c r="G13565" t="n">
        <v>5</v>
      </c>
      <c r="H13565" s="5">
        <f>HYPERLINK("https://api.qogita.com/variants/link/0731509966909/", "View Product")</f>
        <v/>
      </c>
    </row>
    <row r="13566">
      <c r="A13566" t="inlineStr">
        <is>
          <t>0736150068255</t>
        </is>
      </c>
      <c r="B13566" t="inlineStr">
        <is>
          <t>Laura Mercier Eye Basics Wheat Eyeshadow 5g</t>
        </is>
      </c>
      <c r="C13566" t="inlineStr">
        <is>
          <t>Eyeshadow</t>
        </is>
      </c>
      <c r="D13566" t="inlineStr">
        <is>
          <t>Laura Mercier</t>
        </is>
      </c>
      <c r="E13566" t="n">
        <v>21.69</v>
      </c>
      <c r="F13566" t="n">
        <v>1</v>
      </c>
      <c r="G13566" t="n">
        <v>4</v>
      </c>
      <c r="H13566" s="5">
        <f>HYPERLINK("https://api.qogita.com/variants/link/0736150068255/", "View Product")</f>
        <v/>
      </c>
    </row>
    <row r="13567">
      <c r="A13567" t="inlineStr">
        <is>
          <t>0736150069252</t>
        </is>
      </c>
      <c r="B13567" t="inlineStr">
        <is>
          <t>Laura Mercier Matte Eye Colour Buttercream Eyeshadow 3g</t>
        </is>
      </c>
      <c r="C13567" t="inlineStr">
        <is>
          <t>Eyeshadow</t>
        </is>
      </c>
      <c r="D13567" t="inlineStr">
        <is>
          <t>Laura Mercier</t>
        </is>
      </c>
      <c r="E13567" t="n">
        <v>20.62</v>
      </c>
      <c r="F13567" t="n">
        <v>1</v>
      </c>
      <c r="G13567" t="n">
        <v>3</v>
      </c>
      <c r="H13567" s="5">
        <f>HYPERLINK("https://api.qogita.com/variants/link/0736150069252/", "View Product")</f>
        <v/>
      </c>
    </row>
    <row r="13568">
      <c r="A13568" t="inlineStr">
        <is>
          <t>0736150069313</t>
        </is>
      </c>
      <c r="B13568" t="inlineStr">
        <is>
          <t>Laura Mercier Matte Eye Colour Morning Dew Eyeshadow 3g</t>
        </is>
      </c>
      <c r="C13568" t="inlineStr">
        <is>
          <t>Eyeshadow</t>
        </is>
      </c>
      <c r="D13568" t="inlineStr">
        <is>
          <t>Laura Mercier</t>
        </is>
      </c>
      <c r="E13568" t="n">
        <v>22.27</v>
      </c>
      <c r="F13568" t="n">
        <v>1</v>
      </c>
      <c r="G13568" t="n">
        <v>5</v>
      </c>
      <c r="H13568" s="5">
        <f>HYPERLINK("https://api.qogita.com/variants/link/0736150069313/", "View Product")</f>
        <v/>
      </c>
    </row>
    <row r="13569">
      <c r="A13569" t="inlineStr">
        <is>
          <t>0736150069344</t>
        </is>
      </c>
      <c r="B13569" t="inlineStr">
        <is>
          <t>Laura Mercier Matte Vanilla Nuts Eye Colour 2.6g</t>
        </is>
      </c>
      <c r="C13569" t="inlineStr">
        <is>
          <t>Eyeshadow</t>
        </is>
      </c>
      <c r="D13569" t="inlineStr">
        <is>
          <t>Laura Mercier</t>
        </is>
      </c>
      <c r="E13569" t="n">
        <v>21.18</v>
      </c>
      <c r="F13569" t="n">
        <v>1</v>
      </c>
      <c r="G13569" t="n">
        <v>8</v>
      </c>
      <c r="H13569" s="5">
        <f>HYPERLINK("https://api.qogita.com/variants/link/0736150069344/", "View Product")</f>
        <v/>
      </c>
    </row>
    <row r="13570">
      <c r="A13570" t="inlineStr">
        <is>
          <t>0736150069467</t>
        </is>
      </c>
      <c r="B13570" t="inlineStr">
        <is>
          <t>Laura Mercier Sateen Stellar Eye Colour 2.6g</t>
        </is>
      </c>
      <c r="C13570" t="inlineStr">
        <is>
          <t>Eyeshadow</t>
        </is>
      </c>
      <c r="D13570" t="inlineStr">
        <is>
          <t>Laura Mercier</t>
        </is>
      </c>
      <c r="E13570" t="n">
        <v>18.31</v>
      </c>
      <c r="F13570" t="n">
        <v>1</v>
      </c>
      <c r="G13570" t="n">
        <v>7</v>
      </c>
      <c r="H13570" s="5">
        <f>HYPERLINK("https://api.qogita.com/variants/link/0736150069467/", "View Product")</f>
        <v/>
      </c>
    </row>
    <row r="13571">
      <c r="A13571" t="inlineStr">
        <is>
          <t>0736150069702</t>
        </is>
      </c>
      <c r="B13571" t="inlineStr">
        <is>
          <t>Laura Mercier Matte Eye Colour Fresco Brown 2.60g</t>
        </is>
      </c>
      <c r="C13571" t="inlineStr">
        <is>
          <t>Eyeshadow</t>
        </is>
      </c>
      <c r="D13571" t="inlineStr">
        <is>
          <t>Laura Mercier</t>
        </is>
      </c>
      <c r="E13571" t="n">
        <v>22.29</v>
      </c>
      <c r="F13571" t="n">
        <v>1</v>
      </c>
      <c r="G13571" t="n">
        <v>5</v>
      </c>
      <c r="H13571" s="5">
        <f>HYPERLINK("https://api.qogita.com/variants/link/0736150069702/", "View Product")</f>
        <v/>
      </c>
    </row>
    <row r="13572">
      <c r="A13572" t="inlineStr">
        <is>
          <t>0736150117878</t>
        </is>
      </c>
      <c r="B13572" t="inlineStr">
        <is>
          <t>Laura Mercier Smooth Finish Foundation Powder Foundation SPF 20 30g 1N2 02</t>
        </is>
      </c>
      <c r="C13572" t="inlineStr">
        <is>
          <t>Foundation</t>
        </is>
      </c>
      <c r="D13572" t="inlineStr">
        <is>
          <t>Laura Mercier</t>
        </is>
      </c>
      <c r="E13572" t="n">
        <v>35.21</v>
      </c>
      <c r="F13572" t="n">
        <v>1</v>
      </c>
      <c r="G13572" t="n">
        <v>4</v>
      </c>
      <c r="H13572" s="5">
        <f>HYPERLINK("https://api.qogita.com/variants/link/0736150117878/", "View Product")</f>
        <v/>
      </c>
    </row>
    <row r="13573">
      <c r="A13573" t="inlineStr">
        <is>
          <t>0736150160539</t>
        </is>
      </c>
      <c r="B13573" t="inlineStr">
        <is>
          <t>Laura Mercier All Over Eye Colour Large Flat Head Smooth Brush</t>
        </is>
      </c>
      <c r="C13573" t="inlineStr">
        <is>
          <t>Eyeshadow Brushes</t>
        </is>
      </c>
      <c r="D13573" t="inlineStr">
        <is>
          <t>Laura Mercier</t>
        </is>
      </c>
      <c r="E13573" t="n">
        <v>23.3</v>
      </c>
      <c r="F13573" t="n">
        <v>1</v>
      </c>
      <c r="G13573" t="n">
        <v>5</v>
      </c>
      <c r="H13573" s="5">
        <f>HYPERLINK("https://api.qogita.com/variants/link/0736150160539/", "View Product")</f>
        <v/>
      </c>
    </row>
    <row r="13574">
      <c r="A13574" t="inlineStr">
        <is>
          <t>0736150160805</t>
        </is>
      </c>
      <c r="B13574" t="inlineStr">
        <is>
          <t>Laura Mercier Finishing Brush Powder Brush 100g</t>
        </is>
      </c>
      <c r="C13574" t="inlineStr">
        <is>
          <t>Powder Brushes</t>
        </is>
      </c>
      <c r="D13574" t="inlineStr">
        <is>
          <t>Laura Mercier</t>
        </is>
      </c>
      <c r="E13574" t="n">
        <v>28.92</v>
      </c>
      <c r="F13574" t="n">
        <v>1</v>
      </c>
      <c r="G13574" t="n">
        <v>6</v>
      </c>
      <c r="H13574" s="5">
        <f>HYPERLINK("https://api.qogita.com/variants/link/0736150160805/", "View Product")</f>
        <v/>
      </c>
    </row>
    <row r="13575">
      <c r="A13575" t="inlineStr">
        <is>
          <t>0736150160867</t>
        </is>
      </c>
      <c r="B13575" t="inlineStr">
        <is>
          <t>Laura Mercier Camouflage Powder Brush Concealer Brush 100g</t>
        </is>
      </c>
      <c r="C13575" t="inlineStr">
        <is>
          <t>Concealer Brushes</t>
        </is>
      </c>
      <c r="D13575" t="inlineStr">
        <is>
          <t>Laura Mercier</t>
        </is>
      </c>
      <c r="E13575" t="n">
        <v>18.31</v>
      </c>
      <c r="F13575" t="n">
        <v>1</v>
      </c>
      <c r="G13575" t="n">
        <v>3</v>
      </c>
      <c r="H13575" s="5">
        <f>HYPERLINK("https://api.qogita.com/variants/link/0736150160867/", "View Product")</f>
        <v/>
      </c>
    </row>
    <row r="13576">
      <c r="A13576" t="inlineStr">
        <is>
          <t>0736150162014</t>
        </is>
      </c>
      <c r="B13576" t="inlineStr">
        <is>
          <t>Laura Mercier Flawless Fusion 5N Concealer 7ml</t>
        </is>
      </c>
      <c r="C13576" t="inlineStr">
        <is>
          <t>Concealer</t>
        </is>
      </c>
      <c r="D13576" t="inlineStr">
        <is>
          <t>Laura Mercier</t>
        </is>
      </c>
      <c r="E13576" t="n">
        <v>25.28</v>
      </c>
      <c r="F13576" t="n">
        <v>1</v>
      </c>
      <c r="G13576" t="n">
        <v>5</v>
      </c>
      <c r="H13576" s="5">
        <f>HYPERLINK("https://api.qogita.com/variants/link/0736150162014/", "View Product")</f>
        <v/>
      </c>
    </row>
    <row r="13577">
      <c r="A13577" t="inlineStr">
        <is>
          <t>0736150164292</t>
        </is>
      </c>
      <c r="B13577" t="inlineStr">
        <is>
          <t>Laura Mercier Brightening Powder For Under Eyes 2 4g</t>
        </is>
      </c>
      <c r="C13577" t="inlineStr">
        <is>
          <t>Powder</t>
        </is>
      </c>
      <c r="D13577" t="inlineStr">
        <is>
          <t>Laura Mercier</t>
        </is>
      </c>
      <c r="E13577" t="n">
        <v>26.49</v>
      </c>
      <c r="F13577" t="n">
        <v>1</v>
      </c>
      <c r="G13577" t="n">
        <v>10</v>
      </c>
      <c r="H13577" s="5">
        <f>HYPERLINK("https://api.qogita.com/variants/link/0736150164292/", "View Product")</f>
        <v/>
      </c>
    </row>
    <row r="13578">
      <c r="A13578" t="inlineStr">
        <is>
          <t>0736150165077</t>
        </is>
      </c>
      <c r="B13578" t="inlineStr">
        <is>
          <t>Laura Mercier Glow Powder Brush Powder Brush 100g</t>
        </is>
      </c>
      <c r="C13578" t="inlineStr">
        <is>
          <t>Powder Brushes</t>
        </is>
      </c>
      <c r="D13578" t="inlineStr">
        <is>
          <t>Laura Mercier</t>
        </is>
      </c>
      <c r="E13578" t="n">
        <v>30.89</v>
      </c>
      <c r="F13578" t="n">
        <v>1</v>
      </c>
      <c r="G13578" t="n">
        <v>3</v>
      </c>
      <c r="H13578" s="5">
        <f>HYPERLINK("https://api.qogita.com/variants/link/0736150165077/", "View Product")</f>
        <v/>
      </c>
    </row>
    <row r="13579">
      <c r="A13579" t="inlineStr">
        <is>
          <t>0736150166562</t>
        </is>
      </c>
      <c r="B13579" t="inlineStr">
        <is>
          <t>Laura Mercier Flawless Lumiere Foundation 1C1 Shell</t>
        </is>
      </c>
      <c r="C13579" t="inlineStr">
        <is>
          <t>Foundation</t>
        </is>
      </c>
      <c r="D13579" t="inlineStr">
        <is>
          <t>Laura Mercier</t>
        </is>
      </c>
      <c r="E13579" t="n">
        <v>34.52</v>
      </c>
      <c r="F13579" t="n">
        <v>1</v>
      </c>
      <c r="G13579" t="n">
        <v>5</v>
      </c>
      <c r="H13579" s="5">
        <f>HYPERLINK("https://api.qogita.com/variants/link/0736150166562/", "View Product")</f>
        <v/>
      </c>
    </row>
    <row r="13580">
      <c r="A13580" t="inlineStr">
        <is>
          <t>0736150166685</t>
        </is>
      </c>
      <c r="B13580" t="inlineStr">
        <is>
          <t>Laura Mercier Flawless Lumiere Radiance-Perfecting Foundation 2N1.5 Beige 1oz</t>
        </is>
      </c>
      <c r="C13580" t="inlineStr">
        <is>
          <t>Foundation</t>
        </is>
      </c>
      <c r="D13580" t="inlineStr">
        <is>
          <t>Laura Mercier</t>
        </is>
      </c>
      <c r="E13580" t="n">
        <v>39.98</v>
      </c>
      <c r="F13580" t="n">
        <v>1</v>
      </c>
      <c r="G13580" t="n">
        <v>7</v>
      </c>
      <c r="H13580" s="5">
        <f>HYPERLINK("https://api.qogita.com/variants/link/0736150166685/", "View Product")</f>
        <v/>
      </c>
    </row>
    <row r="13581">
      <c r="A13581" t="inlineStr">
        <is>
          <t>0736150166708</t>
        </is>
      </c>
      <c r="B13581" t="inlineStr">
        <is>
          <t>Laura Mercier Flawless Lumière Radiance Perfecting Foundation Liquid Foundation 2N2 Linen 30ml</t>
        </is>
      </c>
      <c r="C13581" t="inlineStr">
        <is>
          <t>Foundation</t>
        </is>
      </c>
      <c r="D13581" t="inlineStr">
        <is>
          <t>Laura Mercier</t>
        </is>
      </c>
      <c r="E13581" t="n">
        <v>39.95</v>
      </c>
      <c r="F13581" t="n">
        <v>1</v>
      </c>
      <c r="G13581" t="n">
        <v>5</v>
      </c>
      <c r="H13581" s="5">
        <f>HYPERLINK("https://api.qogita.com/variants/link/0736150166708/", "View Product")</f>
        <v/>
      </c>
    </row>
    <row r="13582">
      <c r="A13582" t="inlineStr">
        <is>
          <t>0736150166784</t>
        </is>
      </c>
      <c r="B13582" t="inlineStr">
        <is>
          <t>Laura Mercier Flawless Lumiere Radiance-Perfecting Foundation 3C1 Dune 30ml</t>
        </is>
      </c>
      <c r="C13582" t="inlineStr">
        <is>
          <t>Foundation</t>
        </is>
      </c>
      <c r="D13582" t="inlineStr">
        <is>
          <t>Laura Mercier</t>
        </is>
      </c>
      <c r="E13582" t="n">
        <v>32.77</v>
      </c>
      <c r="F13582" t="n">
        <v>1</v>
      </c>
      <c r="G13582" t="n">
        <v>5</v>
      </c>
      <c r="H13582" s="5">
        <f>HYPERLINK("https://api.qogita.com/variants/link/0736150166784/", "View Product")</f>
        <v/>
      </c>
    </row>
    <row r="13583">
      <c r="A13583" t="inlineStr">
        <is>
          <t>0736150166869</t>
        </is>
      </c>
      <c r="B13583" t="inlineStr">
        <is>
          <t>Laura Mercier Flawless Lumière Radiance Perfecting Liquid Foundation 30ml 3W1 Dusk</t>
        </is>
      </c>
      <c r="C13583" t="inlineStr">
        <is>
          <t>Foundation</t>
        </is>
      </c>
      <c r="D13583" t="inlineStr">
        <is>
          <t>Laura Mercier</t>
        </is>
      </c>
      <c r="E13583" t="n">
        <v>34.52</v>
      </c>
      <c r="F13583" t="n">
        <v>1</v>
      </c>
      <c r="G13583" t="n">
        <v>11</v>
      </c>
      <c r="H13583" s="5">
        <f>HYPERLINK("https://api.qogita.com/variants/link/0736150166869/", "View Product")</f>
        <v/>
      </c>
    </row>
    <row r="13584">
      <c r="A13584" t="inlineStr">
        <is>
          <t>0736150168306</t>
        </is>
      </c>
      <c r="B13584" t="inlineStr">
        <is>
          <t>Laura Mercier Rouge Essentiel Silky Creme Lipstick Mauve Merveilleux 3.5g</t>
        </is>
      </c>
      <c r="C13584" t="inlineStr">
        <is>
          <t>Lipstick</t>
        </is>
      </c>
      <c r="D13584" t="inlineStr">
        <is>
          <t>Laura Mercier</t>
        </is>
      </c>
      <c r="E13584" t="n">
        <v>29.41</v>
      </c>
      <c r="F13584" t="n">
        <v>1</v>
      </c>
      <c r="G13584" t="n">
        <v>3</v>
      </c>
      <c r="H13584" s="5">
        <f>HYPERLINK("https://api.qogita.com/variants/link/0736150168306/", "View Product")</f>
        <v/>
      </c>
    </row>
    <row r="13585">
      <c r="A13585" t="inlineStr">
        <is>
          <t>0736150180117</t>
        </is>
      </c>
      <c r="B13585" t="inlineStr">
        <is>
          <t>Laura Mercier Balancing Foaming Cleanser 125ml</t>
        </is>
      </c>
      <c r="C13585" t="inlineStr">
        <is>
          <t>Cleansing Foam</t>
        </is>
      </c>
      <c r="D13585" t="inlineStr">
        <is>
          <t>Laura Mercier</t>
        </is>
      </c>
      <c r="E13585" t="n">
        <v>19.49</v>
      </c>
      <c r="F13585" t="n">
        <v>1</v>
      </c>
      <c r="G13585" t="n">
        <v>4</v>
      </c>
      <c r="H13585" s="5">
        <f>HYPERLINK("https://api.qogita.com/variants/link/0736150180117/", "View Product")</f>
        <v/>
      </c>
    </row>
    <row r="13586">
      <c r="A13586" t="inlineStr">
        <is>
          <t>0736150183507</t>
        </is>
      </c>
      <c r="B13586" t="inlineStr">
        <is>
          <t>Laura Mercier Petal Soft Lipstick Crayon - Matte Lipstick In Pencil 2 G</t>
        </is>
      </c>
      <c r="C13586" t="inlineStr">
        <is>
          <t>Lipstick</t>
        </is>
      </c>
      <c r="D13586" t="inlineStr">
        <is>
          <t>Laura Mercier</t>
        </is>
      </c>
      <c r="E13586" t="n">
        <v>23.99</v>
      </c>
      <c r="F13586" t="n">
        <v>1</v>
      </c>
      <c r="G13586" t="n">
        <v>6</v>
      </c>
      <c r="H13586" s="5">
        <f>HYPERLINK("https://api.qogita.com/variants/link/0736150183507/", "View Product")</f>
        <v/>
      </c>
    </row>
    <row r="13587">
      <c r="A13587" t="inlineStr">
        <is>
          <t>0736150183521</t>
        </is>
      </c>
      <c r="B13587" t="inlineStr">
        <is>
          <t>Laura Mercier Petal Soft Lipstick Crayon Augustine Deep Coral Nude 0.06oz</t>
        </is>
      </c>
      <c r="C13587" t="inlineStr">
        <is>
          <t>Lipstick</t>
        </is>
      </c>
      <c r="D13587" t="inlineStr">
        <is>
          <t>Laura Mercier</t>
        </is>
      </c>
      <c r="E13587" t="n">
        <v>21.23</v>
      </c>
      <c r="F13587" t="n">
        <v>1</v>
      </c>
      <c r="G13587" t="n">
        <v>7</v>
      </c>
      <c r="H13587" s="5">
        <f>HYPERLINK("https://api.qogita.com/variants/link/0736150183521/", "View Product")</f>
        <v/>
      </c>
    </row>
    <row r="13588">
      <c r="A13588" t="inlineStr">
        <is>
          <t>0736150183620</t>
        </is>
      </c>
      <c r="B13588" t="inlineStr">
        <is>
          <t>Laura Mercier Ophelie Lipstick Crayon 2g</t>
        </is>
      </c>
      <c r="C13588" t="inlineStr">
        <is>
          <t>Lipstick</t>
        </is>
      </c>
      <c r="D13588" t="inlineStr">
        <is>
          <t>Laura Mercier</t>
        </is>
      </c>
      <c r="E13588" t="n">
        <v>21.28</v>
      </c>
      <c r="F13588" t="n">
        <v>1</v>
      </c>
      <c r="G13588" t="n">
        <v>4</v>
      </c>
      <c r="H13588" s="5">
        <f>HYPERLINK("https://api.qogita.com/variants/link/0736150183620/", "View Product")</f>
        <v/>
      </c>
    </row>
    <row r="13589">
      <c r="A13589" t="inlineStr">
        <is>
          <t>0736150183668</t>
        </is>
      </c>
      <c r="B13589" t="inlineStr">
        <is>
          <t>Laura Mercier Maia Lipstick Crayon 2g</t>
        </is>
      </c>
      <c r="C13589" t="inlineStr">
        <is>
          <t>Lipstick</t>
        </is>
      </c>
      <c r="D13589" t="inlineStr">
        <is>
          <t>Laura Mercier</t>
        </is>
      </c>
      <c r="E13589" t="n">
        <v>24.15</v>
      </c>
      <c r="F13589" t="n">
        <v>1</v>
      </c>
      <c r="G13589" t="n">
        <v>4</v>
      </c>
      <c r="H13589" s="5">
        <f>HYPERLINK("https://api.qogita.com/variants/link/0736150183668/", "View Product")</f>
        <v/>
      </c>
    </row>
    <row r="13590">
      <c r="A13590" t="inlineStr">
        <is>
          <t>0736150183842</t>
        </is>
      </c>
      <c r="B13590" t="inlineStr">
        <is>
          <t>Laura Mercier Petal Soft Lipstick Crayon Elodie Dusty Mauve 0.06oz 1.6g</t>
        </is>
      </c>
      <c r="C13590" t="inlineStr">
        <is>
          <t>Lipstick</t>
        </is>
      </c>
      <c r="D13590" t="inlineStr">
        <is>
          <t>Laura Mercier</t>
        </is>
      </c>
      <c r="E13590" t="n">
        <v>21.23</v>
      </c>
      <c r="F13590" t="n">
        <v>1</v>
      </c>
      <c r="G13590" t="n">
        <v>6</v>
      </c>
      <c r="H13590" s="5">
        <f>HYPERLINK("https://api.qogita.com/variants/link/0736150183842/", "View Product")</f>
        <v/>
      </c>
    </row>
    <row r="13591">
      <c r="A13591" t="inlineStr">
        <is>
          <t>0736658480764</t>
        </is>
      </c>
      <c r="B13591" t="inlineStr">
        <is>
          <t>WetBrush Paddle Detangler with HeatFlex Bristles and Aquavents - Feel Good Ombre Green and Blue</t>
        </is>
      </c>
      <c r="C13591" t="inlineStr">
        <is>
          <t>Detanglers</t>
        </is>
      </c>
      <c r="D13591" t="inlineStr">
        <is>
          <t>Wet Brush</t>
        </is>
      </c>
      <c r="E13591" t="n">
        <v>8.779999999999999</v>
      </c>
      <c r="F13591" t="n">
        <v>1</v>
      </c>
      <c r="G13591" t="n">
        <v>58</v>
      </c>
      <c r="H13591" s="5">
        <f>HYPERLINK("https://api.qogita.com/variants/link/0736658480764/", "View Product")</f>
        <v/>
      </c>
    </row>
    <row r="13592">
      <c r="A13592" t="inlineStr">
        <is>
          <t>0736658543933</t>
        </is>
      </c>
      <c r="B13592" t="inlineStr">
        <is>
          <t>WetBrush Original Detangler Hair Brush with Ultra Soft Intelliflex Bristles for All Hair Types Disney Ultimate Princess Collection Jasmine Purple</t>
        </is>
      </c>
      <c r="C13592" t="inlineStr">
        <is>
          <t>Detanglers</t>
        </is>
      </c>
      <c r="D13592" t="inlineStr">
        <is>
          <t>Wet Brush</t>
        </is>
      </c>
      <c r="E13592" t="n">
        <v>8.23</v>
      </c>
      <c r="F13592" t="n">
        <v>1</v>
      </c>
      <c r="G13592" t="n">
        <v>89</v>
      </c>
      <c r="H13592" s="5">
        <f>HYPERLINK("https://api.qogita.com/variants/link/0736658543933/", "View Product")</f>
        <v/>
      </c>
    </row>
    <row r="13593">
      <c r="A13593" t="inlineStr">
        <is>
          <t>0736658543964</t>
        </is>
      </c>
      <c r="B13593" t="inlineStr">
        <is>
          <t>WetBrush Disney Original Detangler Hair Brush Ultra Soft Intelliflex Bristles - Disney Ultimate Princess Collection Tiana</t>
        </is>
      </c>
      <c r="C13593" t="inlineStr">
        <is>
          <t>Detanglers</t>
        </is>
      </c>
      <c r="D13593" t="inlineStr">
        <is>
          <t>Wet Brush</t>
        </is>
      </c>
      <c r="E13593" t="n">
        <v>8.23</v>
      </c>
      <c r="F13593" t="n">
        <v>1</v>
      </c>
      <c r="G13593" t="n">
        <v>92</v>
      </c>
      <c r="H13593" s="5">
        <f>HYPERLINK("https://api.qogita.com/variants/link/0736658543964/", "View Product")</f>
        <v/>
      </c>
    </row>
    <row r="13594">
      <c r="A13594" t="inlineStr">
        <is>
          <t>0736658585667</t>
        </is>
      </c>
      <c r="B13594" t="inlineStr">
        <is>
          <t>WetBrush Original Happy Hair Detangler Hair Brush with Ultra Soft Intelliflex Bristles - Llama Design</t>
        </is>
      </c>
      <c r="C13594" t="inlineStr">
        <is>
          <t>Detanglers</t>
        </is>
      </c>
      <c r="D13594" t="inlineStr">
        <is>
          <t>Wet Brush</t>
        </is>
      </c>
      <c r="E13594" t="n">
        <v>8.23</v>
      </c>
      <c r="F13594" t="n">
        <v>1</v>
      </c>
      <c r="G13594" t="n">
        <v>61</v>
      </c>
      <c r="H13594" s="5">
        <f>HYPERLINK("https://api.qogita.com/variants/link/0736658585667/", "View Product")</f>
        <v/>
      </c>
    </row>
    <row r="13595">
      <c r="A13595" t="inlineStr">
        <is>
          <t>0736658585698</t>
        </is>
      </c>
      <c r="B13595" t="inlineStr">
        <is>
          <t>BL Wet Brush Detangler Smiley Pineapple Intelliflex Bristles</t>
        </is>
      </c>
      <c r="C13595" t="inlineStr">
        <is>
          <t>Detanglers</t>
        </is>
      </c>
      <c r="D13595" t="inlineStr">
        <is>
          <t>Wet Brush</t>
        </is>
      </c>
      <c r="E13595" t="n">
        <v>8.23</v>
      </c>
      <c r="F13595" t="n">
        <v>1</v>
      </c>
      <c r="G13595" t="n">
        <v>6</v>
      </c>
      <c r="H13595" s="5">
        <f>HYPERLINK("https://api.qogita.com/variants/link/0736658585698/", "View Product")</f>
        <v/>
      </c>
    </row>
    <row r="13596">
      <c r="A13596" t="inlineStr">
        <is>
          <t>0736658588798</t>
        </is>
      </c>
      <c r="B13596" t="inlineStr">
        <is>
          <t>Wet Brush Hair Brush Checker Print Original Detangler with Ultra-soft IntelliFlex Bristles</t>
        </is>
      </c>
      <c r="C13596" t="inlineStr">
        <is>
          <t>Detanglers</t>
        </is>
      </c>
      <c r="D13596" t="inlineStr">
        <is>
          <t>Wet Brush</t>
        </is>
      </c>
      <c r="E13596" t="n">
        <v>8.23</v>
      </c>
      <c r="F13596" t="n">
        <v>1</v>
      </c>
      <c r="G13596" t="n">
        <v>34</v>
      </c>
      <c r="H13596" s="5">
        <f>HYPERLINK("https://api.qogita.com/variants/link/0736658588798/", "View Product")</f>
        <v/>
      </c>
    </row>
    <row r="13597">
      <c r="A13597" t="inlineStr">
        <is>
          <t>0736658599534</t>
        </is>
      </c>
      <c r="B13597" t="inlineStr">
        <is>
          <t>Wet Brush Go Green Detangling Brush Unisex 1 Piece Lavender</t>
        </is>
      </c>
      <c r="C13597" t="inlineStr">
        <is>
          <t>Detanglers</t>
        </is>
      </c>
      <c r="D13597" t="inlineStr">
        <is>
          <t>Wet Brush-Pro</t>
        </is>
      </c>
      <c r="E13597" t="n">
        <v>9.66</v>
      </c>
      <c r="F13597" t="n">
        <v>1</v>
      </c>
      <c r="G13597" t="n">
        <v>5</v>
      </c>
      <c r="H13597" s="5">
        <f>HYPERLINK("https://api.qogita.com/variants/link/0736658599534/", "View Product")</f>
        <v/>
      </c>
    </row>
    <row r="13598">
      <c r="A13598" t="inlineStr">
        <is>
          <t>0736658795615</t>
        </is>
      </c>
      <c r="B13598" t="inlineStr">
        <is>
          <t>Wetbrush Safari Detangler Tiger 100g</t>
        </is>
      </c>
      <c r="C13598" t="inlineStr">
        <is>
          <t>Detanglers</t>
        </is>
      </c>
      <c r="D13598" t="inlineStr">
        <is>
          <t>Wetbrush</t>
        </is>
      </c>
      <c r="E13598" t="n">
        <v>9.57</v>
      </c>
      <c r="F13598" t="n">
        <v>1</v>
      </c>
      <c r="G13598" t="n">
        <v>64</v>
      </c>
      <c r="H13598" s="5">
        <f>HYPERLINK("https://api.qogita.com/variants/link/0736658795615/", "View Product")</f>
        <v/>
      </c>
    </row>
    <row r="13599">
      <c r="A13599" t="inlineStr">
        <is>
          <t>0736658954173</t>
        </is>
      </c>
      <c r="B13599" t="inlineStr">
        <is>
          <t>WetBrush Pro Detangle Professional Detangling Hair Brush Punchy Pink</t>
        </is>
      </c>
      <c r="C13599" t="inlineStr">
        <is>
          <t>Detanglers</t>
        </is>
      </c>
      <c r="D13599" t="inlineStr">
        <is>
          <t>Wetbrush</t>
        </is>
      </c>
      <c r="E13599" t="n">
        <v>7.71</v>
      </c>
      <c r="F13599" t="n">
        <v>1</v>
      </c>
      <c r="G13599" t="n">
        <v>50</v>
      </c>
      <c r="H13599" s="5">
        <f>HYPERLINK("https://api.qogita.com/variants/link/0736658954173/", "View Product")</f>
        <v/>
      </c>
    </row>
    <row r="13600">
      <c r="A13600" t="inlineStr">
        <is>
          <t>0736658979855</t>
        </is>
      </c>
      <c r="B13600" t="inlineStr">
        <is>
          <t>WetBrush Speed Dry Detangle Hairbrush Purple</t>
        </is>
      </c>
      <c r="C13600" t="inlineStr">
        <is>
          <t>Detanglers</t>
        </is>
      </c>
      <c r="D13600" t="inlineStr">
        <is>
          <t>Wet Brush</t>
        </is>
      </c>
      <c r="E13600" t="n">
        <v>5.89</v>
      </c>
      <c r="F13600" t="n">
        <v>1</v>
      </c>
      <c r="G13600" t="n">
        <v>5</v>
      </c>
      <c r="H13600" s="5">
        <f>HYPERLINK("https://api.qogita.com/variants/link/0736658979855/", "View Product")</f>
        <v/>
      </c>
    </row>
    <row r="13601">
      <c r="A13601" t="inlineStr">
        <is>
          <t>0737052056852</t>
        </is>
      </c>
      <c r="B13601" t="inlineStr">
        <is>
          <t>Bruno Banani Pure Woman Eau De Toilette Spray 20ml</t>
        </is>
      </c>
      <c r="C13601" t="inlineStr">
        <is>
          <t>Eau De Toilette</t>
        </is>
      </c>
      <c r="D13601" t="inlineStr">
        <is>
          <t>Bruno Banani</t>
        </is>
      </c>
      <c r="E13601" t="n">
        <v>5.13</v>
      </c>
      <c r="F13601" t="n">
        <v>1</v>
      </c>
      <c r="G13601" t="n">
        <v>12</v>
      </c>
      <c r="H13601" s="5">
        <f>HYPERLINK("https://api.qogita.com/variants/link/0737052056852/", "View Product")</f>
        <v/>
      </c>
    </row>
    <row r="13602">
      <c r="A13602" t="inlineStr">
        <is>
          <t>0737052130729</t>
        </is>
      </c>
      <c r="B13602" t="inlineStr">
        <is>
          <t>Eau De Toilette Spray</t>
        </is>
      </c>
      <c r="C13602" t="inlineStr">
        <is>
          <t>Eau De Toilette</t>
        </is>
      </c>
      <c r="D13602" t="inlineStr">
        <is>
          <t>Hugo Boss</t>
        </is>
      </c>
      <c r="E13602" t="n">
        <v>23.33</v>
      </c>
      <c r="F13602" t="n">
        <v>1</v>
      </c>
      <c r="G13602" t="n">
        <v>23</v>
      </c>
      <c r="H13602" s="5">
        <f>HYPERLINK("https://api.qogita.com/variants/link/0737052130729/", "View Product")</f>
        <v/>
      </c>
    </row>
    <row r="13603">
      <c r="A13603" t="inlineStr">
        <is>
          <t>0737052238128</t>
        </is>
      </c>
      <c r="B13603" t="inlineStr">
        <is>
          <t>Hugo Boss Orange Eau de Toilette 75ml Spray For her</t>
        </is>
      </c>
      <c r="C13603" t="inlineStr">
        <is>
          <t>Eau De Toilette</t>
        </is>
      </c>
      <c r="D13603" t="inlineStr">
        <is>
          <t>Hugo Boss</t>
        </is>
      </c>
      <c r="E13603" t="n">
        <v>22.42</v>
      </c>
      <c r="F13603" t="n">
        <v>1</v>
      </c>
      <c r="G13603" t="n">
        <v>15</v>
      </c>
      <c r="H13603" s="5">
        <f>HYPERLINK("https://api.qogita.com/variants/link/0737052238128/", "View Product")</f>
        <v/>
      </c>
    </row>
    <row r="13604">
      <c r="A13604" t="inlineStr">
        <is>
          <t>0737052355054</t>
        </is>
      </c>
      <c r="B13604" t="inlineStr">
        <is>
          <t>Hugo Boss Bottled Deodorant Spray</t>
        </is>
      </c>
      <c r="C13604" t="inlineStr">
        <is>
          <t>Deodorant &amp; Anti-Perspirant</t>
        </is>
      </c>
      <c r="D13604" t="inlineStr">
        <is>
          <t>Hugo Boss</t>
        </is>
      </c>
      <c r="E13604" t="n">
        <v>9.130000000000001</v>
      </c>
      <c r="F13604" t="n">
        <v>1</v>
      </c>
      <c r="G13604" t="n">
        <v>224</v>
      </c>
      <c r="H13604" s="5">
        <f>HYPERLINK("https://api.qogita.com/variants/link/0737052355054/", "View Product")</f>
        <v/>
      </c>
    </row>
    <row r="13605">
      <c r="A13605" t="inlineStr">
        <is>
          <t>0737052432922</t>
        </is>
      </c>
      <c r="B13605" t="inlineStr">
        <is>
          <t>Avril Lavigne Wild Rose Body Lotion 150ml</t>
        </is>
      </c>
      <c r="C13605" t="inlineStr">
        <is>
          <t>Body Lotion</t>
        </is>
      </c>
      <c r="D13605" t="inlineStr">
        <is>
          <t>Avril Lavigne</t>
        </is>
      </c>
      <c r="E13605" t="n">
        <v>3.66</v>
      </c>
      <c r="F13605" t="n">
        <v>1</v>
      </c>
      <c r="G13605" t="n">
        <v>14</v>
      </c>
      <c r="H13605" s="5">
        <f>HYPERLINK("https://api.qogita.com/variants/link/0737052432922/", "View Product")</f>
        <v/>
      </c>
    </row>
    <row r="13606">
      <c r="A13606" t="inlineStr">
        <is>
          <t>0737052456133</t>
        </is>
      </c>
      <c r="B13606" t="inlineStr">
        <is>
          <t>Christina Aguilera Secret Potion Shower Gel 150ml</t>
        </is>
      </c>
      <c r="C13606" t="inlineStr">
        <is>
          <t>Shower Gel</t>
        </is>
      </c>
      <c r="D13606" t="inlineStr">
        <is>
          <t>Christina Aguilera</t>
        </is>
      </c>
      <c r="E13606" t="n">
        <v>4.45</v>
      </c>
      <c r="F13606" t="n">
        <v>1</v>
      </c>
      <c r="G13606" t="n">
        <v>14</v>
      </c>
      <c r="H13606" s="5">
        <f>HYPERLINK("https://api.qogita.com/variants/link/0737052456133/", "View Product")</f>
        <v/>
      </c>
    </row>
    <row r="13607">
      <c r="A13607" t="inlineStr">
        <is>
          <t>0737052626345</t>
        </is>
      </c>
      <c r="B13607" t="inlineStr">
        <is>
          <t>Gucci Guilty Pour Homme Black Eau de Toilette 50ml</t>
        </is>
      </c>
      <c r="C13607" t="inlineStr">
        <is>
          <t>Eau De Toilette</t>
        </is>
      </c>
      <c r="D13607" t="inlineStr">
        <is>
          <t>Gucci</t>
        </is>
      </c>
      <c r="E13607" t="n">
        <v>38.33</v>
      </c>
      <c r="F13607" t="n">
        <v>1</v>
      </c>
      <c r="G13607" t="n">
        <v>5</v>
      </c>
      <c r="H13607" s="5">
        <f>HYPERLINK("https://api.qogita.com/variants/link/0737052626345/", "View Product")</f>
        <v/>
      </c>
    </row>
    <row r="13608">
      <c r="A13608" t="inlineStr">
        <is>
          <t>0737052682433</t>
        </is>
      </c>
      <c r="B13608" t="inlineStr">
        <is>
          <t>Mexx Woman EDT 40ml</t>
        </is>
      </c>
      <c r="C13608" t="inlineStr">
        <is>
          <t>Eau De Toilette</t>
        </is>
      </c>
      <c r="D13608" t="inlineStr">
        <is>
          <t>Mexx</t>
        </is>
      </c>
      <c r="E13608" t="n">
        <v>8.640000000000001</v>
      </c>
      <c r="F13608" t="n">
        <v>1</v>
      </c>
      <c r="G13608" t="n">
        <v>8</v>
      </c>
      <c r="H13608" s="5">
        <f>HYPERLINK("https://api.qogita.com/variants/link/0737052682433/", "View Product")</f>
        <v/>
      </c>
    </row>
    <row r="13609">
      <c r="A13609" t="inlineStr">
        <is>
          <t>0737052802749</t>
        </is>
      </c>
      <c r="B13609" t="inlineStr">
        <is>
          <t>Hugo Boss Ma Vie Pour Femme Eau De Parfum for Women 30ml</t>
        </is>
      </c>
      <c r="C13609" t="inlineStr">
        <is>
          <t>Eau De Parfum</t>
        </is>
      </c>
      <c r="D13609" t="inlineStr">
        <is>
          <t>Hugo Boss</t>
        </is>
      </c>
      <c r="E13609" t="n">
        <v>22.79</v>
      </c>
      <c r="F13609" t="n">
        <v>1</v>
      </c>
      <c r="G13609" t="n">
        <v>81</v>
      </c>
      <c r="H13609" s="5">
        <f>HYPERLINK("https://api.qogita.com/variants/link/0737052802749/", "View Product")</f>
        <v/>
      </c>
    </row>
    <row r="13610">
      <c r="A13610" t="inlineStr">
        <is>
          <t>0737052802800</t>
        </is>
      </c>
      <c r="B13610" t="inlineStr">
        <is>
          <t>Hugo Boss Boss Ma Vie Pour Femme Eau de Parfum 75ml</t>
        </is>
      </c>
      <c r="C13610" t="inlineStr">
        <is>
          <t>Eau De Parfum</t>
        </is>
      </c>
      <c r="D13610" t="inlineStr">
        <is>
          <t>Hugo Boss</t>
        </is>
      </c>
      <c r="E13610" t="n">
        <v>27.68</v>
      </c>
      <c r="F13610" t="n">
        <v>1</v>
      </c>
      <c r="G13610" t="n">
        <v>939</v>
      </c>
      <c r="H13610" s="5">
        <f>HYPERLINK("https://api.qogita.com/variants/link/0737052802800/", "View Product")</f>
        <v/>
      </c>
    </row>
    <row r="13611">
      <c r="A13611" t="inlineStr">
        <is>
          <t>0737052904177</t>
        </is>
      </c>
      <c r="B13611" t="inlineStr">
        <is>
          <t>bruno banani Absolute Woman Eau de Toilette Natural Spray 20ml</t>
        </is>
      </c>
      <c r="C13611" t="inlineStr">
        <is>
          <t>Eau De Toilette</t>
        </is>
      </c>
      <c r="D13611" t="inlineStr">
        <is>
          <t>Bruno Banani</t>
        </is>
      </c>
      <c r="E13611" t="n">
        <v>4.71</v>
      </c>
      <c r="F13611" t="n">
        <v>1</v>
      </c>
      <c r="G13611" t="n">
        <v>6</v>
      </c>
      <c r="H13611" s="5">
        <f>HYPERLINK("https://api.qogita.com/variants/link/0737052904177/", "View Product")</f>
        <v/>
      </c>
    </row>
    <row r="13612">
      <c r="A13612" t="inlineStr">
        <is>
          <t>0737052972466</t>
        </is>
      </c>
      <c r="B13612" t="inlineStr">
        <is>
          <t>Hugo Boss The Scent After Shave Lotion 100ml</t>
        </is>
      </c>
      <c r="C13612" t="inlineStr">
        <is>
          <t>Aftershave</t>
        </is>
      </c>
      <c r="D13612" t="inlineStr">
        <is>
          <t>Hugo Boss</t>
        </is>
      </c>
      <c r="E13612" t="n">
        <v>33.93</v>
      </c>
      <c r="F13612" t="n">
        <v>1</v>
      </c>
      <c r="G13612" t="n">
        <v>5</v>
      </c>
      <c r="H13612" s="5">
        <f>HYPERLINK("https://api.qogita.com/variants/link/0737052972466/", "View Product")</f>
        <v/>
      </c>
    </row>
    <row r="13613">
      <c r="A13613" t="inlineStr">
        <is>
          <t>0737052993546</t>
        </is>
      </c>
      <c r="B13613" t="inlineStr">
        <is>
          <t>Hugo Boss Boss The Scent Deodorant Stick 75ml</t>
        </is>
      </c>
      <c r="C13613" t="inlineStr">
        <is>
          <t>Deodorant &amp; Anti-Perspirant</t>
        </is>
      </c>
      <c r="D13613" t="inlineStr">
        <is>
          <t>Hugo Boss</t>
        </is>
      </c>
      <c r="E13613" t="n">
        <v>9.99</v>
      </c>
      <c r="F13613" t="n">
        <v>1</v>
      </c>
      <c r="G13613" t="n">
        <v>1036</v>
      </c>
      <c r="H13613" s="5">
        <f>HYPERLINK("https://api.qogita.com/variants/link/0737052993546/", "View Product")</f>
        <v/>
      </c>
    </row>
    <row r="13614">
      <c r="A13614" t="inlineStr">
        <is>
          <t>0738623003749</t>
        </is>
      </c>
      <c r="B13614" t="inlineStr">
        <is>
          <t>Denman DC01 Large Dressing Comb with Carbon Additive for Improved Strength</t>
        </is>
      </c>
      <c r="C13614" t="inlineStr">
        <is>
          <t>Combs</t>
        </is>
      </c>
      <c r="D13614" t="inlineStr">
        <is>
          <t>Denman</t>
        </is>
      </c>
      <c r="E13614" t="n">
        <v>8.539999999999999</v>
      </c>
      <c r="F13614" t="n">
        <v>1</v>
      </c>
      <c r="G13614" t="n">
        <v>2</v>
      </c>
      <c r="H13614" s="5">
        <f>HYPERLINK("https://api.qogita.com/variants/link/0738623003749/", "View Product")</f>
        <v/>
      </c>
    </row>
    <row r="13615">
      <c r="A13615" t="inlineStr">
        <is>
          <t>0738678001004</t>
        </is>
      </c>
      <c r="B13615" t="inlineStr">
        <is>
          <t>American Crew Daily Cleansing Shampoo for Men 33.8 Oz</t>
        </is>
      </c>
      <c r="C13615" t="inlineStr">
        <is>
          <t>Shampoo</t>
        </is>
      </c>
      <c r="D13615" t="inlineStr">
        <is>
          <t>American Crew</t>
        </is>
      </c>
      <c r="E13615" t="n">
        <v>12.68</v>
      </c>
      <c r="F13615" t="n">
        <v>1</v>
      </c>
      <c r="G13615" t="n">
        <v>13</v>
      </c>
      <c r="H13615" s="5">
        <f>HYPERLINK("https://api.qogita.com/variants/link/0738678001004/", "View Product")</f>
        <v/>
      </c>
    </row>
    <row r="13616">
      <c r="A13616" t="inlineStr">
        <is>
          <t>0738678001042</t>
        </is>
      </c>
      <c r="B13616" t="inlineStr">
        <is>
          <t>American Crew Daily Moisturizing Conditioner for Soft, Managed Hair 1000ml</t>
        </is>
      </c>
      <c r="C13616" t="inlineStr">
        <is>
          <t>Conditioner</t>
        </is>
      </c>
      <c r="D13616" t="inlineStr">
        <is>
          <t>American Crew</t>
        </is>
      </c>
      <c r="E13616" t="n">
        <v>14.38</v>
      </c>
      <c r="F13616" t="n">
        <v>1</v>
      </c>
      <c r="G13616" t="n">
        <v>24</v>
      </c>
      <c r="H13616" s="5">
        <f>HYPERLINK("https://api.qogita.com/variants/link/0738678001042/", "View Product")</f>
        <v/>
      </c>
    </row>
    <row r="13617">
      <c r="A13617" t="inlineStr">
        <is>
          <t>0738678001530</t>
        </is>
      </c>
      <c r="B13617" t="inlineStr">
        <is>
          <t>American Crew Prep and Prime Tonic for Men 8.4oz</t>
        </is>
      </c>
      <c r="C13617" t="inlineStr">
        <is>
          <t>Hair Tonic</t>
        </is>
      </c>
      <c r="D13617" t="inlineStr">
        <is>
          <t>American Crew</t>
        </is>
      </c>
      <c r="E13617" t="n">
        <v>7.34</v>
      </c>
      <c r="F13617" t="n">
        <v>1</v>
      </c>
      <c r="G13617" t="n">
        <v>2</v>
      </c>
      <c r="H13617" s="5">
        <f>HYPERLINK("https://api.qogita.com/variants/link/0738678001530/", "View Product")</f>
        <v/>
      </c>
    </row>
    <row r="13618">
      <c r="A13618" t="inlineStr">
        <is>
          <t>0738678002681</t>
        </is>
      </c>
      <c r="B13618" t="inlineStr">
        <is>
          <t>American Crew Cream Pomade 85g</t>
        </is>
      </c>
      <c r="C13618" t="inlineStr">
        <is>
          <t>Styling Creams</t>
        </is>
      </c>
      <c r="D13618" t="inlineStr">
        <is>
          <t>American Crew</t>
        </is>
      </c>
      <c r="E13618" t="n">
        <v>8.23</v>
      </c>
      <c r="F13618" t="n">
        <v>1</v>
      </c>
      <c r="G13618" t="n">
        <v>7</v>
      </c>
      <c r="H13618" s="5">
        <f>HYPERLINK("https://api.qogita.com/variants/link/0738678002681/", "View Product")</f>
        <v/>
      </c>
    </row>
    <row r="13619">
      <c r="A13619" t="inlineStr">
        <is>
          <t>0738678002698</t>
        </is>
      </c>
      <c r="B13619" t="inlineStr">
        <is>
          <t>American Crew Men's Hair Fiber 3oz - High Hold Low Shine</t>
        </is>
      </c>
      <c r="C13619" t="inlineStr">
        <is>
          <t>Wax</t>
        </is>
      </c>
      <c r="D13619" t="inlineStr">
        <is>
          <t>American Crew</t>
        </is>
      </c>
      <c r="E13619" t="n">
        <v>9.07</v>
      </c>
      <c r="F13619" t="n">
        <v>1</v>
      </c>
      <c r="G13619" t="n">
        <v>15</v>
      </c>
      <c r="H13619" s="5">
        <f>HYPERLINK("https://api.qogita.com/variants/link/0738678002698/", "View Product")</f>
        <v/>
      </c>
    </row>
    <row r="13620">
      <c r="A13620" t="inlineStr">
        <is>
          <t>0738678002711</t>
        </is>
      </c>
      <c r="B13620" t="inlineStr">
        <is>
          <t>American Crew Men's Hair Forming Cream Medium Hold Medium Shine 3oz</t>
        </is>
      </c>
      <c r="C13620" t="inlineStr">
        <is>
          <t>Styling Creams</t>
        </is>
      </c>
      <c r="D13620" t="inlineStr">
        <is>
          <t>American Crew</t>
        </is>
      </c>
      <c r="E13620" t="n">
        <v>9.65</v>
      </c>
      <c r="F13620" t="n">
        <v>1</v>
      </c>
      <c r="G13620" t="n">
        <v>12</v>
      </c>
      <c r="H13620" s="5">
        <f>HYPERLINK("https://api.qogita.com/variants/link/0738678002711/", "View Product")</f>
        <v/>
      </c>
    </row>
    <row r="13621">
      <c r="A13621" t="inlineStr">
        <is>
          <t>0738678002773</t>
        </is>
      </c>
      <c r="B13621" t="inlineStr">
        <is>
          <t>American Crew Fiber 50g</t>
        </is>
      </c>
      <c r="C13621" t="inlineStr">
        <is>
          <t>Styling Creams</t>
        </is>
      </c>
      <c r="D13621" t="inlineStr">
        <is>
          <t>American Crew</t>
        </is>
      </c>
      <c r="E13621" t="n">
        <v>5.51</v>
      </c>
      <c r="F13621" t="n">
        <v>1</v>
      </c>
      <c r="G13621" t="n">
        <v>60</v>
      </c>
      <c r="H13621" s="5">
        <f>HYPERLINK("https://api.qogita.com/variants/link/0738678002773/", "View Product")</f>
        <v/>
      </c>
    </row>
    <row r="13622">
      <c r="A13622" t="inlineStr">
        <is>
          <t>0738678002780</t>
        </is>
      </c>
      <c r="B13622" t="inlineStr">
        <is>
          <t>American Crew Forming Cream 50g</t>
        </is>
      </c>
      <c r="C13622" t="inlineStr">
        <is>
          <t>Styling Creams</t>
        </is>
      </c>
      <c r="D13622" t="inlineStr">
        <is>
          <t>American Crew</t>
        </is>
      </c>
      <c r="E13622" t="n">
        <v>6</v>
      </c>
      <c r="F13622" t="n">
        <v>1</v>
      </c>
      <c r="G13622" t="n">
        <v>32</v>
      </c>
      <c r="H13622" s="5">
        <f>HYPERLINK("https://api.qogita.com/variants/link/0738678002780/", "View Product")</f>
        <v/>
      </c>
    </row>
    <row r="13623">
      <c r="A13623" t="inlineStr">
        <is>
          <t>0738678003312</t>
        </is>
      </c>
      <c r="B13623" t="inlineStr">
        <is>
          <t>American Crew 3-in-1 Shampoo, Conditioner and Body Wash Ginger and Tea 450ml</t>
        </is>
      </c>
      <c r="C13623" t="inlineStr">
        <is>
          <t>Shower Gel</t>
        </is>
      </c>
      <c r="D13623" t="inlineStr">
        <is>
          <t>American Crew</t>
        </is>
      </c>
      <c r="E13623" t="n">
        <v>9.41</v>
      </c>
      <c r="F13623" t="n">
        <v>1</v>
      </c>
      <c r="G13623" t="n">
        <v>5</v>
      </c>
      <c r="H13623" s="5">
        <f>HYPERLINK("https://api.qogita.com/variants/link/0738678003312/", "View Product")</f>
        <v/>
      </c>
    </row>
    <row r="13624">
      <c r="A13624" t="inlineStr">
        <is>
          <t>0738678216231</t>
        </is>
      </c>
      <c r="B13624" t="inlineStr">
        <is>
          <t>American Crew Classic Firm Hold Styling Gel 1L</t>
        </is>
      </c>
      <c r="C13624" t="inlineStr">
        <is>
          <t>Gel</t>
        </is>
      </c>
      <c r="D13624" t="inlineStr">
        <is>
          <t>American Crew</t>
        </is>
      </c>
      <c r="E13624" t="n">
        <v>16.19</v>
      </c>
      <c r="F13624" t="n">
        <v>1</v>
      </c>
      <c r="G13624" t="n">
        <v>15</v>
      </c>
      <c r="H13624" s="5">
        <f>HYPERLINK("https://api.qogita.com/variants/link/0738678216231/", "View Product")</f>
        <v/>
      </c>
    </row>
    <row r="13625">
      <c r="A13625" t="inlineStr">
        <is>
          <t>0738678247778</t>
        </is>
      </c>
      <c r="B13625" t="inlineStr">
        <is>
          <t>American Crew Gray Hair Coloring Developer for Men 15.2 fl oz</t>
        </is>
      </c>
      <c r="C13625" t="inlineStr">
        <is>
          <t>Hair Dye</t>
        </is>
      </c>
      <c r="D13625" t="inlineStr">
        <is>
          <t>American Crew</t>
        </is>
      </c>
      <c r="E13625" t="n">
        <v>8.67</v>
      </c>
      <c r="F13625" t="n">
        <v>1</v>
      </c>
      <c r="G13625" t="n">
        <v>27</v>
      </c>
      <c r="H13625" s="5">
        <f>HYPERLINK("https://api.qogita.com/variants/link/0738678247778/", "View Product")</f>
        <v/>
      </c>
    </row>
    <row r="13626">
      <c r="A13626" t="inlineStr">
        <is>
          <t>0738678248331</t>
        </is>
      </c>
      <c r="B13626" t="inlineStr">
        <is>
          <t>American Crew Precision Colour 5-6 Medium Ash</t>
        </is>
      </c>
      <c r="C13626" t="inlineStr">
        <is>
          <t>Hair Dye</t>
        </is>
      </c>
      <c r="D13626" t="inlineStr">
        <is>
          <t>American Crew</t>
        </is>
      </c>
      <c r="E13626" t="n">
        <v>8.99</v>
      </c>
      <c r="F13626" t="n">
        <v>1</v>
      </c>
      <c r="G13626" t="n">
        <v>12</v>
      </c>
      <c r="H13626" s="5">
        <f>HYPERLINK("https://api.qogita.com/variants/link/0738678248331/", "View Product")</f>
        <v/>
      </c>
    </row>
    <row r="13627">
      <c r="A13627" t="inlineStr">
        <is>
          <t>0738678251416</t>
        </is>
      </c>
      <c r="B13627" t="inlineStr">
        <is>
          <t>American Crew 3-In-1 Shampoo Conditioner Body Wash with Long Lasting Scent 450ml</t>
        </is>
      </c>
      <c r="C13627" t="inlineStr">
        <is>
          <t>Shampoo</t>
        </is>
      </c>
      <c r="D13627" t="inlineStr">
        <is>
          <t>American Crew</t>
        </is>
      </c>
      <c r="E13627" t="n">
        <v>8.300000000000001</v>
      </c>
      <c r="F13627" t="n">
        <v>1</v>
      </c>
      <c r="G13627" t="n">
        <v>6</v>
      </c>
      <c r="H13627" s="5">
        <f>HYPERLINK("https://api.qogita.com/variants/link/0738678251416/", "View Product")</f>
        <v/>
      </c>
    </row>
    <row r="13628">
      <c r="A13628" t="inlineStr">
        <is>
          <t>0741021004553</t>
        </is>
      </c>
      <c r="B13628" t="inlineStr">
        <is>
          <t>Daily Concepts Daily Baby Fish Konjac Sponge Pure for Cleaning and Cleansing Your Baby's Skin 23g</t>
        </is>
      </c>
      <c r="C13628" t="inlineStr">
        <is>
          <t>Baby Bath</t>
        </is>
      </c>
      <c r="D13628" t="inlineStr">
        <is>
          <t>Daily Concepts</t>
        </is>
      </c>
      <c r="E13628" t="n">
        <v>4.75</v>
      </c>
      <c r="F13628" t="n">
        <v>1</v>
      </c>
      <c r="G13628" t="n">
        <v>11</v>
      </c>
      <c r="H13628" s="5">
        <f>HYPERLINK("https://api.qogita.com/variants/link/0741021004553/", "View Product")</f>
        <v/>
      </c>
    </row>
    <row r="13629">
      <c r="A13629" t="inlineStr">
        <is>
          <t>0741021007219</t>
        </is>
      </c>
      <c r="B13629" t="inlineStr">
        <is>
          <t>Daily Concepts Daily Obsidian Facial Roller Helps Flush Lymphatic System, Increase Circulation, Reduce Puffiness and Relieve Tension Vegan 150g</t>
        </is>
      </c>
      <c r="C13629" t="inlineStr">
        <is>
          <t>Facial Massage</t>
        </is>
      </c>
      <c r="D13629" t="inlineStr">
        <is>
          <t>Daily Concepts</t>
        </is>
      </c>
      <c r="E13629" t="n">
        <v>14.96</v>
      </c>
      <c r="F13629" t="n">
        <v>1</v>
      </c>
      <c r="G13629" t="n">
        <v>16</v>
      </c>
      <c r="H13629" s="5">
        <f>HYPERLINK("https://api.qogita.com/variants/link/0741021007219/", "View Product")</f>
        <v/>
      </c>
    </row>
    <row r="13630">
      <c r="A13630" t="inlineStr">
        <is>
          <t>0741021007226</t>
        </is>
      </c>
      <c r="B13630" t="inlineStr">
        <is>
          <t>Daily Concepts Daily Rose Quartz Facial Roller Helps Flush Lymphatic System Increase Circulation Reduce Puffiness and Purify Face Vegan 150g</t>
        </is>
      </c>
      <c r="C13630" t="inlineStr">
        <is>
          <t>Facial Massage</t>
        </is>
      </c>
      <c r="D13630" t="inlineStr">
        <is>
          <t>Daily Concepts</t>
        </is>
      </c>
      <c r="E13630" t="n">
        <v>14.96</v>
      </c>
      <c r="F13630" t="n">
        <v>1</v>
      </c>
      <c r="G13630" t="n">
        <v>11</v>
      </c>
      <c r="H13630" s="5">
        <f>HYPERLINK("https://api.qogita.com/variants/link/0741021007226/", "View Product")</f>
        <v/>
      </c>
    </row>
    <row r="13631">
      <c r="A13631" t="inlineStr">
        <is>
          <t>0746935243760</t>
        </is>
      </c>
      <c r="B13631" t="inlineStr">
        <is>
          <t>Moon Moisture Drops Night Facial Oil 40 ml</t>
        </is>
      </c>
      <c r="C13631" t="inlineStr">
        <is>
          <t>Facial Oil</t>
        </is>
      </c>
      <c r="D13631" t="inlineStr">
        <is>
          <t>Delhicious</t>
        </is>
      </c>
      <c r="E13631" t="n">
        <v>14.63</v>
      </c>
      <c r="F13631" t="n">
        <v>1</v>
      </c>
      <c r="G13631" t="n">
        <v>2</v>
      </c>
      <c r="H13631" s="5">
        <f>HYPERLINK("https://api.qogita.com/variants/link/0746935243760/", "View Product")</f>
        <v/>
      </c>
    </row>
    <row r="13632">
      <c r="A13632" t="inlineStr">
        <is>
          <t>0747930059561</t>
        </is>
      </c>
      <c r="B13632" t="inlineStr">
        <is>
          <t>LA MER The Revitalizing Hydrating Serum 30ml</t>
        </is>
      </c>
      <c r="C13632" t="inlineStr">
        <is>
          <t>Hydrating Serum</t>
        </is>
      </c>
      <c r="D13632" t="inlineStr">
        <is>
          <t>La Mer</t>
        </is>
      </c>
      <c r="E13632" t="n">
        <v>183.26</v>
      </c>
      <c r="F13632" t="n">
        <v>1</v>
      </c>
      <c r="G13632" t="n">
        <v>6</v>
      </c>
      <c r="H13632" s="5">
        <f>HYPERLINK("https://api.qogita.com/variants/link/0747930059561/", "View Product")</f>
        <v/>
      </c>
    </row>
    <row r="13633">
      <c r="A13633" t="inlineStr">
        <is>
          <t>0747930107743</t>
        </is>
      </c>
      <c r="B13633" t="inlineStr">
        <is>
          <t>La Mer The Essential Tonic</t>
        </is>
      </c>
      <c r="C13633" t="inlineStr">
        <is>
          <t>Facial Spray</t>
        </is>
      </c>
      <c r="D13633" t="inlineStr">
        <is>
          <t>La Mer</t>
        </is>
      </c>
      <c r="E13633" t="n">
        <v>87.79000000000001</v>
      </c>
      <c r="F13633" t="n">
        <v>1</v>
      </c>
      <c r="G13633" t="n">
        <v>4</v>
      </c>
      <c r="H13633" s="5">
        <f>HYPERLINK("https://api.qogita.com/variants/link/0747930107743/", "View Product")</f>
        <v/>
      </c>
    </row>
    <row r="13634">
      <c r="A13634" t="inlineStr">
        <is>
          <t>0747930115656</t>
        </is>
      </c>
      <c r="B13634" t="inlineStr">
        <is>
          <t>La Mer The Hydrating Infused Emulsion 125ml</t>
        </is>
      </c>
      <c r="C13634" t="inlineStr">
        <is>
          <t>Hydrating Serum</t>
        </is>
      </c>
      <c r="D13634" t="inlineStr">
        <is>
          <t>La Mer</t>
        </is>
      </c>
      <c r="E13634" t="n">
        <v>210.23</v>
      </c>
      <c r="F13634" t="n">
        <v>1</v>
      </c>
      <c r="G13634" t="n">
        <v>3</v>
      </c>
      <c r="H13634" s="5">
        <f>HYPERLINK("https://api.qogita.com/variants/link/0747930115656/", "View Product")</f>
        <v/>
      </c>
    </row>
    <row r="13635">
      <c r="A13635" t="inlineStr">
        <is>
          <t>0747930140054</t>
        </is>
      </c>
      <c r="B13635" t="inlineStr">
        <is>
          <t>La Mer Renewal Oil 30ml</t>
        </is>
      </c>
      <c r="C13635" t="inlineStr">
        <is>
          <t>Facial Oil</t>
        </is>
      </c>
      <c r="D13635" t="inlineStr">
        <is>
          <t>La Mer</t>
        </is>
      </c>
      <c r="E13635" t="n">
        <v>187.01</v>
      </c>
      <c r="F13635" t="n">
        <v>1</v>
      </c>
      <c r="G13635" t="n">
        <v>3</v>
      </c>
      <c r="H13635" s="5">
        <f>HYPERLINK("https://api.qogita.com/variants/link/0747930140054/", "View Product")</f>
        <v/>
      </c>
    </row>
    <row r="13636">
      <c r="A13636" t="inlineStr">
        <is>
          <t>0747930158967</t>
        </is>
      </c>
      <c r="B13636" t="inlineStr">
        <is>
          <t>La Mer The Lip Volumizer Sheer Coral</t>
        </is>
      </c>
      <c r="C13636" t="inlineStr">
        <is>
          <t>Lip Plumper</t>
        </is>
      </c>
      <c r="D13636" t="inlineStr">
        <is>
          <t>La Mer</t>
        </is>
      </c>
      <c r="E13636" t="n">
        <v>67.18000000000001</v>
      </c>
      <c r="F13636" t="n">
        <v>1</v>
      </c>
      <c r="G13636" t="n">
        <v>5</v>
      </c>
      <c r="H13636" s="5">
        <f>HYPERLINK("https://api.qogita.com/variants/link/0747930158967/", "View Product")</f>
        <v/>
      </c>
    </row>
    <row r="13637">
      <c r="A13637" t="inlineStr">
        <is>
          <t>0750258322569</t>
        </is>
      </c>
      <c r="B13637" t="inlineStr">
        <is>
          <t>THE BASE Foundation Fresh 35ml</t>
        </is>
      </c>
      <c r="C13637" t="inlineStr">
        <is>
          <t>Foundation</t>
        </is>
      </c>
      <c r="D13637" t="inlineStr">
        <is>
          <t>Base Of Sweden</t>
        </is>
      </c>
      <c r="E13637" t="n">
        <v>21.6</v>
      </c>
      <c r="F13637" t="n">
        <v>1</v>
      </c>
      <c r="G13637" t="n">
        <v>3</v>
      </c>
      <c r="H13637" s="5">
        <f>HYPERLINK("https://api.qogita.com/variants/link/0750258322569/", "View Product")</f>
        <v/>
      </c>
    </row>
    <row r="13638">
      <c r="A13638" t="inlineStr">
        <is>
          <t>0752110715137</t>
        </is>
      </c>
      <c r="B13638" t="inlineStr">
        <is>
          <t>Olivia Garden Ceramic + Ion Round Thermal Hair Brush CI-80 4 1/4 inches</t>
        </is>
      </c>
      <c r="C13638" t="inlineStr">
        <is>
          <t>Round Brushes</t>
        </is>
      </c>
      <c r="D13638" t="inlineStr">
        <is>
          <t>Olivia Garden</t>
        </is>
      </c>
      <c r="E13638" t="n">
        <v>21.14</v>
      </c>
      <c r="F13638" t="n">
        <v>1</v>
      </c>
      <c r="G13638" t="n">
        <v>19</v>
      </c>
      <c r="H13638" s="5">
        <f>HYPERLINK("https://api.qogita.com/variants/link/0752110715137/", "View Product")</f>
        <v/>
      </c>
    </row>
    <row r="13639">
      <c r="A13639" t="inlineStr">
        <is>
          <t>0752110716028</t>
        </is>
      </c>
      <c r="B13639" t="inlineStr">
        <is>
          <t>Olivia Garden Hairbrushes 50g Brown</t>
        </is>
      </c>
      <c r="C13639" t="inlineStr">
        <is>
          <t>Wooden Brushes</t>
        </is>
      </c>
      <c r="D13639" t="inlineStr">
        <is>
          <t>Olivia Garden</t>
        </is>
      </c>
      <c r="E13639" t="n">
        <v>11.29</v>
      </c>
      <c r="F13639" t="n">
        <v>1</v>
      </c>
      <c r="G13639" t="n">
        <v>3</v>
      </c>
      <c r="H13639" s="5">
        <f>HYPERLINK("https://api.qogita.com/variants/link/0752110716028/", "View Product")</f>
        <v/>
      </c>
    </row>
    <row r="13640">
      <c r="A13640" t="inlineStr">
        <is>
          <t>0752110716196</t>
        </is>
      </c>
      <c r="B13640" t="inlineStr">
        <is>
          <t>Olivia Garden NanoThermic Ceramic + Ion Round Thermal Hair Brush NT-12 1/2 inch</t>
        </is>
      </c>
      <c r="C13640" t="inlineStr">
        <is>
          <t>Round Brushes</t>
        </is>
      </c>
      <c r="D13640" t="inlineStr">
        <is>
          <t>Olivia Garden</t>
        </is>
      </c>
      <c r="E13640" t="n">
        <v>8.18</v>
      </c>
      <c r="F13640" t="n">
        <v>1</v>
      </c>
      <c r="G13640" t="n">
        <v>5</v>
      </c>
      <c r="H13640" s="5">
        <f>HYPERLINK("https://api.qogita.com/variants/link/0752110716196/", "View Product")</f>
        <v/>
      </c>
    </row>
    <row r="13641">
      <c r="A13641" t="inlineStr">
        <is>
          <t>0752110716264</t>
        </is>
      </c>
      <c r="B13641" t="inlineStr">
        <is>
          <t>Olivia Garden NanoThermic Ceramic + Ion SQUARE Shaper Hairbrush 1.125 Inch</t>
        </is>
      </c>
      <c r="C13641" t="inlineStr">
        <is>
          <t>Round Brushes</t>
        </is>
      </c>
      <c r="D13641" t="inlineStr">
        <is>
          <t>Olivia Garden</t>
        </is>
      </c>
      <c r="E13641" t="n">
        <v>8.84</v>
      </c>
      <c r="F13641" t="n">
        <v>1</v>
      </c>
      <c r="G13641" t="n">
        <v>14</v>
      </c>
      <c r="H13641" s="5">
        <f>HYPERLINK("https://api.qogita.com/variants/link/0752110716264/", "View Product")</f>
        <v/>
      </c>
    </row>
    <row r="13642">
      <c r="A13642" t="inlineStr">
        <is>
          <t>0752110716981</t>
        </is>
      </c>
      <c r="B13642" t="inlineStr">
        <is>
          <t>Olivia Garden Nanothermic Ceramic Ion Flex Scalp-Hugging Vented Hair Brush</t>
        </is>
      </c>
      <c r="C13642" t="inlineStr">
        <is>
          <t>Round Brushes</t>
        </is>
      </c>
      <c r="D13642" t="inlineStr">
        <is>
          <t>Olivia Garden</t>
        </is>
      </c>
      <c r="E13642" t="n">
        <v>10.59</v>
      </c>
      <c r="F13642" t="n">
        <v>1</v>
      </c>
      <c r="G13642" t="n">
        <v>8</v>
      </c>
      <c r="H13642" s="5">
        <f>HYPERLINK("https://api.qogita.com/variants/link/0752110716981/", "View Product")</f>
        <v/>
      </c>
    </row>
    <row r="13643">
      <c r="A13643" t="inlineStr">
        <is>
          <t>0752110720049</t>
        </is>
      </c>
      <c r="B13643" t="inlineStr">
        <is>
          <t>Olivia Garden Healthy Hair Bamboo Ionic Massage Hair Brush 1 Count</t>
        </is>
      </c>
      <c r="C13643" t="inlineStr">
        <is>
          <t>Wooden Brushes</t>
        </is>
      </c>
      <c r="D13643" t="inlineStr">
        <is>
          <t>Olivia Garden</t>
        </is>
      </c>
      <c r="E13643" t="n">
        <v>7.94</v>
      </c>
      <c r="F13643" t="n">
        <v>1</v>
      </c>
      <c r="G13643" t="n">
        <v>5</v>
      </c>
      <c r="H13643" s="5">
        <f>HYPERLINK("https://api.qogita.com/variants/link/0752110720049/", "View Product")</f>
        <v/>
      </c>
    </row>
    <row r="13644">
      <c r="A13644" t="inlineStr">
        <is>
          <t>0752110723088</t>
        </is>
      </c>
      <c r="B13644" t="inlineStr">
        <is>
          <t>Olivia Garden Newcycle Professional Hair Brush Made from 100% Recycled Materials</t>
        </is>
      </c>
      <c r="C13644" t="inlineStr">
        <is>
          <t>Round Brushes</t>
        </is>
      </c>
      <c r="D13644" t="inlineStr">
        <is>
          <t>Olivia Garden</t>
        </is>
      </c>
      <c r="E13644" t="n">
        <v>8.130000000000001</v>
      </c>
      <c r="F13644" t="n">
        <v>1</v>
      </c>
      <c r="G13644" t="n">
        <v>5</v>
      </c>
      <c r="H13644" s="5">
        <f>HYPERLINK("https://api.qogita.com/variants/link/0752110723088/", "View Product")</f>
        <v/>
      </c>
    </row>
    <row r="13645">
      <c r="A13645" t="inlineStr">
        <is>
          <t>0752110725020</t>
        </is>
      </c>
      <c r="B13645" t="inlineStr">
        <is>
          <t>Olivia Garden OG Barber Brushes with Comfortable Ball Point Tips Ergonomic</t>
        </is>
      </c>
      <c r="C13645" t="inlineStr">
        <is>
          <t>Round Brushes</t>
        </is>
      </c>
      <c r="D13645" t="inlineStr">
        <is>
          <t>Olivia Garden</t>
        </is>
      </c>
      <c r="E13645" t="n">
        <v>7.46</v>
      </c>
      <c r="F13645" t="n">
        <v>1</v>
      </c>
      <c r="G13645" t="n">
        <v>5</v>
      </c>
      <c r="H13645" s="5">
        <f>HYPERLINK("https://api.qogita.com/variants/link/0752110725020/", "View Product")</f>
        <v/>
      </c>
    </row>
    <row r="13646">
      <c r="A13646" t="inlineStr">
        <is>
          <t>0761828009841</t>
        </is>
      </c>
      <c r="B13646" t="inlineStr">
        <is>
          <t>Umbro Power Eau de Toilette 100ml</t>
        </is>
      </c>
      <c r="C13646" t="inlineStr">
        <is>
          <t>Eau De Toilette</t>
        </is>
      </c>
      <c r="D13646" t="inlineStr">
        <is>
          <t>Umbro</t>
        </is>
      </c>
      <c r="E13646" t="n">
        <v>3.29</v>
      </c>
      <c r="F13646" t="n">
        <v>1</v>
      </c>
      <c r="G13646" t="n">
        <v>25</v>
      </c>
      <c r="H13646" s="5">
        <f>HYPERLINK("https://api.qogita.com/variants/link/0761828009841/", "View Product")</f>
        <v/>
      </c>
    </row>
    <row r="13647">
      <c r="A13647" t="inlineStr">
        <is>
          <t>0763511100019</t>
        </is>
      </c>
      <c r="B13647" t="inlineStr">
        <is>
          <t>Donna Karan DKNY Woman Eau De Parfum Spray 100ml</t>
        </is>
      </c>
      <c r="C13647" t="inlineStr">
        <is>
          <t>Eau De Parfum</t>
        </is>
      </c>
      <c r="D13647" t="inlineStr">
        <is>
          <t>DKNY</t>
        </is>
      </c>
      <c r="E13647" t="n">
        <v>21.09</v>
      </c>
      <c r="F13647" t="n">
        <v>1</v>
      </c>
      <c r="G13647" t="n">
        <v>2722</v>
      </c>
      <c r="H13647" s="5">
        <f>HYPERLINK("https://api.qogita.com/variants/link/0763511100019/", "View Product")</f>
        <v/>
      </c>
    </row>
    <row r="13648">
      <c r="A13648" t="inlineStr">
        <is>
          <t>0768114470934</t>
        </is>
      </c>
      <c r="B13648" t="inlineStr">
        <is>
          <t>Dapper Dan Original Beard Balm 50ml</t>
        </is>
      </c>
      <c r="C13648" t="inlineStr">
        <is>
          <t>Beard Care Accessories</t>
        </is>
      </c>
      <c r="D13648" t="inlineStr">
        <is>
          <t>Dapper Dan</t>
        </is>
      </c>
      <c r="E13648" t="n">
        <v>8.890000000000001</v>
      </c>
      <c r="F13648" t="n">
        <v>1</v>
      </c>
      <c r="G13648" t="n">
        <v>8</v>
      </c>
      <c r="H13648" s="5">
        <f>HYPERLINK("https://api.qogita.com/variants/link/0768114470934/", "View Product")</f>
        <v/>
      </c>
    </row>
    <row r="13649">
      <c r="A13649" t="inlineStr">
        <is>
          <t>0768114470958</t>
        </is>
      </c>
      <c r="B13649" t="inlineStr">
        <is>
          <t>Dapper Dan Ultra Matt Texture Dust Styling Powder 20g</t>
        </is>
      </c>
      <c r="C13649" t="inlineStr">
        <is>
          <t>Volume Powder</t>
        </is>
      </c>
      <c r="D13649" t="inlineStr">
        <is>
          <t>Dapper Dan</t>
        </is>
      </c>
      <c r="E13649" t="n">
        <v>8.640000000000001</v>
      </c>
      <c r="F13649" t="n">
        <v>1</v>
      </c>
      <c r="G13649" t="n">
        <v>14</v>
      </c>
      <c r="H13649" s="5">
        <f>HYPERLINK("https://api.qogita.com/variants/link/0768114470958/", "View Product")</f>
        <v/>
      </c>
    </row>
    <row r="13650">
      <c r="A13650" t="inlineStr">
        <is>
          <t>0773602000906</t>
        </is>
      </c>
      <c r="B13650" t="inlineStr">
        <is>
          <t>Mac Eyeshadow Care Amber Lights Frost 1.5g</t>
        </is>
      </c>
      <c r="C13650" t="inlineStr">
        <is>
          <t>Eyeshadow</t>
        </is>
      </c>
      <c r="D13650" t="inlineStr">
        <is>
          <t>Mac</t>
        </is>
      </c>
      <c r="E13650" t="n">
        <v>14.54</v>
      </c>
      <c r="F13650" t="n">
        <v>1</v>
      </c>
      <c r="G13650" t="n">
        <v>4</v>
      </c>
      <c r="H13650" s="5">
        <f>HYPERLINK("https://api.qogita.com/variants/link/0773602000906/", "View Product")</f>
        <v/>
      </c>
    </row>
    <row r="13651">
      <c r="A13651" t="inlineStr">
        <is>
          <t>0773602001828</t>
        </is>
      </c>
      <c r="B13651" t="inlineStr">
        <is>
          <t>MAC Eyeshadow Swiss Chocolate</t>
        </is>
      </c>
      <c r="C13651" t="inlineStr">
        <is>
          <t>Eyeshadow</t>
        </is>
      </c>
      <c r="D13651" t="inlineStr">
        <is>
          <t>MAC Cosmetics</t>
        </is>
      </c>
      <c r="E13651" t="n">
        <v>15.44</v>
      </c>
      <c r="F13651" t="n">
        <v>1</v>
      </c>
      <c r="G13651" t="n">
        <v>8</v>
      </c>
      <c r="H13651" s="5">
        <f>HYPERLINK("https://api.qogita.com/variants/link/0773602001828/", "View Product")</f>
        <v/>
      </c>
    </row>
    <row r="13652">
      <c r="A13652" t="inlineStr">
        <is>
          <t>0773602001859</t>
        </is>
      </c>
      <c r="B13652" t="inlineStr">
        <is>
          <t>MAC Eye Shadow Brand New In Box 100% Authentic - Choose Your Shade</t>
        </is>
      </c>
      <c r="C13652" t="inlineStr">
        <is>
          <t>Eyeshadow</t>
        </is>
      </c>
      <c r="D13652" t="inlineStr">
        <is>
          <t>Mac</t>
        </is>
      </c>
      <c r="E13652" t="n">
        <v>16.17</v>
      </c>
      <c r="F13652" t="n">
        <v>1</v>
      </c>
      <c r="G13652" t="n">
        <v>5</v>
      </c>
      <c r="H13652" s="5">
        <f>HYPERLINK("https://api.qogita.com/variants/link/0773602001859/", "View Product")</f>
        <v/>
      </c>
    </row>
    <row r="13653">
      <c r="A13653" t="inlineStr">
        <is>
          <t>0773602001903</t>
        </is>
      </c>
      <c r="B13653" t="inlineStr">
        <is>
          <t>Mac Eye Shadow Wedge 1.5g</t>
        </is>
      </c>
      <c r="C13653" t="inlineStr">
        <is>
          <t>Eyeshadow</t>
        </is>
      </c>
      <c r="D13653" t="inlineStr">
        <is>
          <t>Mac</t>
        </is>
      </c>
      <c r="E13653" t="n">
        <v>15.65</v>
      </c>
      <c r="F13653" t="n">
        <v>1</v>
      </c>
      <c r="G13653" t="n">
        <v>3</v>
      </c>
      <c r="H13653" s="5">
        <f>HYPERLINK("https://api.qogita.com/variants/link/0773602001903/", "View Product")</f>
        <v/>
      </c>
    </row>
    <row r="13654">
      <c r="A13654" t="inlineStr">
        <is>
          <t>0773602034857</t>
        </is>
      </c>
      <c r="B13654" t="inlineStr">
        <is>
          <t>MAC Eye Kohl Pencil Minted</t>
        </is>
      </c>
      <c r="C13654" t="inlineStr">
        <is>
          <t>Eye Pencil</t>
        </is>
      </c>
      <c r="D13654" t="inlineStr">
        <is>
          <t>Mac</t>
        </is>
      </c>
      <c r="E13654" t="n">
        <v>14.22</v>
      </c>
      <c r="F13654" t="n">
        <v>1</v>
      </c>
      <c r="G13654" t="n">
        <v>6</v>
      </c>
      <c r="H13654" s="5">
        <f>HYPERLINK("https://api.qogita.com/variants/link/0773602034857/", "View Product")</f>
        <v/>
      </c>
    </row>
    <row r="13655">
      <c r="A13655" t="inlineStr">
        <is>
          <t>0773602035083</t>
        </is>
      </c>
      <c r="B13655" t="inlineStr">
        <is>
          <t>Mac Eye Shadow Satin Grain Sombra 1.5g</t>
        </is>
      </c>
      <c r="C13655" t="inlineStr">
        <is>
          <t>Eyeshadow</t>
        </is>
      </c>
      <c r="D13655" t="inlineStr">
        <is>
          <t>MAC Cosmetics</t>
        </is>
      </c>
      <c r="E13655" t="n">
        <v>14.93</v>
      </c>
      <c r="F13655" t="n">
        <v>1</v>
      </c>
      <c r="G13655" t="n">
        <v>5</v>
      </c>
      <c r="H13655" s="5">
        <f>HYPERLINK("https://api.qogita.com/variants/link/0773602035083/", "View Product")</f>
        <v/>
      </c>
    </row>
    <row r="13656">
      <c r="A13656" t="inlineStr">
        <is>
          <t>0773602043798</t>
        </is>
      </c>
      <c r="B13656" t="inlineStr">
        <is>
          <t>Mac Eye Shadow Mulch Velvet 1.5g</t>
        </is>
      </c>
      <c r="C13656" t="inlineStr">
        <is>
          <t>Eyeshadow</t>
        </is>
      </c>
      <c r="D13656" t="inlineStr">
        <is>
          <t>Mac</t>
        </is>
      </c>
      <c r="E13656" t="n">
        <v>15.3</v>
      </c>
      <c r="F13656" t="n">
        <v>1</v>
      </c>
      <c r="G13656" t="n">
        <v>6</v>
      </c>
      <c r="H13656" s="5">
        <f>HYPERLINK("https://api.qogita.com/variants/link/0773602043798/", "View Product")</f>
        <v/>
      </c>
    </row>
    <row r="13657">
      <c r="A13657" t="inlineStr">
        <is>
          <t>0773602058822</t>
        </is>
      </c>
      <c r="B13657" t="inlineStr">
        <is>
          <t>Mac Powder Blush Pinch Me Sheertone 6g</t>
        </is>
      </c>
      <c r="C13657" t="inlineStr">
        <is>
          <t>Blush</t>
        </is>
      </c>
      <c r="D13657" t="inlineStr">
        <is>
          <t>Mac</t>
        </is>
      </c>
      <c r="E13657" t="n">
        <v>21.57</v>
      </c>
      <c r="F13657" t="n">
        <v>1</v>
      </c>
      <c r="G13657" t="n">
        <v>6</v>
      </c>
      <c r="H13657" s="5">
        <f>HYPERLINK("https://api.qogita.com/variants/link/0773602058822/", "View Product")</f>
        <v/>
      </c>
    </row>
    <row r="13658">
      <c r="A13658" t="inlineStr">
        <is>
          <t>0773602059973</t>
        </is>
      </c>
      <c r="B13658" t="inlineStr">
        <is>
          <t>Mac Eye Shadow Lustre Tempting Lustre</t>
        </is>
      </c>
      <c r="C13658" t="inlineStr">
        <is>
          <t>Eyeshadow</t>
        </is>
      </c>
      <c r="D13658" t="inlineStr">
        <is>
          <t>Mac</t>
        </is>
      </c>
      <c r="E13658" t="n">
        <v>13.46</v>
      </c>
      <c r="F13658" t="n">
        <v>1</v>
      </c>
      <c r="G13658" t="n">
        <v>15</v>
      </c>
      <c r="H13658" s="5">
        <f>HYPERLINK("https://api.qogita.com/variants/link/0773602059973/", "View Product")</f>
        <v/>
      </c>
    </row>
    <row r="13659">
      <c r="A13659" t="inlineStr">
        <is>
          <t>0773602066148</t>
        </is>
      </c>
      <c r="B13659" t="inlineStr">
        <is>
          <t>MAC Eyeshadow Naked Lunch 1.5ml</t>
        </is>
      </c>
      <c r="C13659" t="inlineStr">
        <is>
          <t>Eyeshadow</t>
        </is>
      </c>
      <c r="D13659" t="inlineStr">
        <is>
          <t>Mac</t>
        </is>
      </c>
      <c r="E13659" t="n">
        <v>18.61</v>
      </c>
      <c r="F13659" t="n">
        <v>1</v>
      </c>
      <c r="G13659" t="n">
        <v>2</v>
      </c>
      <c r="H13659" s="5">
        <f>HYPERLINK("https://api.qogita.com/variants/link/0773602066148/", "View Product")</f>
        <v/>
      </c>
    </row>
    <row r="13660">
      <c r="A13660" t="inlineStr">
        <is>
          <t>0773602066414</t>
        </is>
      </c>
      <c r="B13660" t="inlineStr">
        <is>
          <t>Mac Lip Pencil Plum 0.05 Ounce</t>
        </is>
      </c>
      <c r="C13660" t="inlineStr">
        <is>
          <t>Lip Liner</t>
        </is>
      </c>
      <c r="D13660" t="inlineStr">
        <is>
          <t>MAC Cosmetics</t>
        </is>
      </c>
      <c r="E13660" t="n">
        <v>16.53</v>
      </c>
      <c r="F13660" t="n">
        <v>1</v>
      </c>
      <c r="G13660" t="n">
        <v>16</v>
      </c>
      <c r="H13660" s="5">
        <f>HYPERLINK("https://api.qogita.com/variants/link/0773602066414/", "View Product")</f>
        <v/>
      </c>
    </row>
    <row r="13661">
      <c r="A13661" t="inlineStr">
        <is>
          <t>0773602077120</t>
        </is>
      </c>
      <c r="B13661" t="inlineStr">
        <is>
          <t>MAC Expensive Pink Eyeshadow</t>
        </is>
      </c>
      <c r="C13661" t="inlineStr">
        <is>
          <t>Eyeshadow</t>
        </is>
      </c>
      <c r="D13661" t="inlineStr">
        <is>
          <t>Mac</t>
        </is>
      </c>
      <c r="E13661" t="n">
        <v>13.41</v>
      </c>
      <c r="F13661" t="n">
        <v>1</v>
      </c>
      <c r="G13661" t="n">
        <v>7</v>
      </c>
      <c r="H13661" s="5">
        <f>HYPERLINK("https://api.qogita.com/variants/link/0773602077120/", "View Product")</f>
        <v/>
      </c>
    </row>
    <row r="13662">
      <c r="A13662" t="inlineStr">
        <is>
          <t>0773602084937</t>
        </is>
      </c>
      <c r="B13662" t="inlineStr">
        <is>
          <t>Mac Cosmetics Lip Pencil Soar</t>
        </is>
      </c>
      <c r="C13662" t="inlineStr">
        <is>
          <t>Lip Liner</t>
        </is>
      </c>
      <c r="D13662" t="inlineStr">
        <is>
          <t>Mac</t>
        </is>
      </c>
      <c r="E13662" t="n">
        <v>16.8</v>
      </c>
      <c r="F13662" t="n">
        <v>1</v>
      </c>
      <c r="G13662" t="n">
        <v>28</v>
      </c>
      <c r="H13662" s="5">
        <f>HYPERLINK("https://api.qogita.com/variants/link/0773602084937/", "View Product")</f>
        <v/>
      </c>
    </row>
    <row r="13663">
      <c r="A13663" t="inlineStr">
        <is>
          <t>0773602089734</t>
        </is>
      </c>
      <c r="B13663" t="inlineStr">
        <is>
          <t>Mac Eye Kohl Costa Riche by MAC</t>
        </is>
      </c>
      <c r="C13663" t="inlineStr">
        <is>
          <t>Eye Pencil</t>
        </is>
      </c>
      <c r="D13663" t="inlineStr">
        <is>
          <t>Mac</t>
        </is>
      </c>
      <c r="E13663" t="n">
        <v>17.13</v>
      </c>
      <c r="F13663" t="n">
        <v>1</v>
      </c>
      <c r="G13663" t="n">
        <v>7</v>
      </c>
      <c r="H13663" s="5">
        <f>HYPERLINK("https://api.qogita.com/variants/link/0773602089734/", "View Product")</f>
        <v/>
      </c>
    </row>
    <row r="13664">
      <c r="A13664" t="inlineStr">
        <is>
          <t>0773602125180</t>
        </is>
      </c>
      <c r="B13664" t="inlineStr">
        <is>
          <t>Mac Cosmetics Eyebrow Tweezers With A Slanted Tip</t>
        </is>
      </c>
      <c r="C13664" t="inlineStr">
        <is>
          <t>Other</t>
        </is>
      </c>
      <c r="D13664" t="inlineStr">
        <is>
          <t>MAC Cosmetics</t>
        </is>
      </c>
      <c r="E13664" t="n">
        <v>26.24</v>
      </c>
      <c r="F13664" t="n">
        <v>1</v>
      </c>
      <c r="G13664" t="n">
        <v>5</v>
      </c>
      <c r="H13664" s="5">
        <f>HYPERLINK("https://api.qogita.com/variants/link/0773602125180/", "View Product")</f>
        <v/>
      </c>
    </row>
    <row r="13665">
      <c r="A13665" t="inlineStr">
        <is>
          <t>0773602187270</t>
        </is>
      </c>
      <c r="B13665" t="inlineStr">
        <is>
          <t>MAC Pigment Kitchmas</t>
        </is>
      </c>
      <c r="C13665" t="inlineStr">
        <is>
          <t>Eyeshadow</t>
        </is>
      </c>
      <c r="D13665" t="inlineStr">
        <is>
          <t>MAC Cosmetics</t>
        </is>
      </c>
      <c r="E13665" t="n">
        <v>16.99</v>
      </c>
      <c r="F13665" t="n">
        <v>1</v>
      </c>
      <c r="G13665" t="n">
        <v>3</v>
      </c>
      <c r="H13665" s="5">
        <f>HYPERLINK("https://api.qogita.com/variants/link/0773602187270/", "View Product")</f>
        <v/>
      </c>
    </row>
    <row r="13666">
      <c r="A13666" t="inlineStr">
        <is>
          <t>0773602204144</t>
        </is>
      </c>
      <c r="B13666" t="inlineStr">
        <is>
          <t>MAC AcM Small Eye Shadow Red Brick 0.05 Oz</t>
        </is>
      </c>
      <c r="C13666" t="inlineStr">
        <is>
          <t>Eyeshadow</t>
        </is>
      </c>
      <c r="D13666" t="inlineStr">
        <is>
          <t>Mac</t>
        </is>
      </c>
      <c r="E13666" t="n">
        <v>13.74</v>
      </c>
      <c r="F13666" t="n">
        <v>1</v>
      </c>
      <c r="G13666" t="n">
        <v>6</v>
      </c>
      <c r="H13666" s="5">
        <f>HYPERLINK("https://api.qogita.com/variants/link/0773602204144/", "View Product")</f>
        <v/>
      </c>
    </row>
    <row r="13667">
      <c r="A13667" t="inlineStr">
        <is>
          <t>0773602207213</t>
        </is>
      </c>
      <c r="B13667" t="inlineStr">
        <is>
          <t>Mac Pro Longwear Concealer NW30 9ml</t>
        </is>
      </c>
      <c r="C13667" t="inlineStr">
        <is>
          <t>Concealer</t>
        </is>
      </c>
      <c r="D13667" t="inlineStr">
        <is>
          <t>Mac</t>
        </is>
      </c>
      <c r="E13667" t="n">
        <v>18.05</v>
      </c>
      <c r="F13667" t="n">
        <v>1</v>
      </c>
      <c r="G13667" t="n">
        <v>25</v>
      </c>
      <c r="H13667" s="5">
        <f>HYPERLINK("https://api.qogita.com/variants/link/0773602207213/", "View Product")</f>
        <v/>
      </c>
    </row>
    <row r="13668">
      <c r="A13668" t="inlineStr">
        <is>
          <t>0773602207251</t>
        </is>
      </c>
      <c r="B13668" t="inlineStr">
        <is>
          <t>MAC Pro Longwear Concealer NW50</t>
        </is>
      </c>
      <c r="C13668" t="inlineStr">
        <is>
          <t>Concealer</t>
        </is>
      </c>
      <c r="D13668" t="inlineStr">
        <is>
          <t>Mac</t>
        </is>
      </c>
      <c r="E13668" t="n">
        <v>18.52</v>
      </c>
      <c r="F13668" t="n">
        <v>1</v>
      </c>
      <c r="G13668" t="n">
        <v>7</v>
      </c>
      <c r="H13668" s="5">
        <f>HYPERLINK("https://api.qogita.com/variants/link/0773602207251/", "View Product")</f>
        <v/>
      </c>
    </row>
    <row r="13669">
      <c r="A13669" t="inlineStr">
        <is>
          <t>0773602323012</t>
        </is>
      </c>
      <c r="B13669" t="inlineStr">
        <is>
          <t>Extra Dimension Skinfinish</t>
        </is>
      </c>
      <c r="C13669" t="inlineStr">
        <is>
          <t>Highlighter</t>
        </is>
      </c>
      <c r="D13669" t="inlineStr">
        <is>
          <t>Mac</t>
        </is>
      </c>
      <c r="E13669" t="n">
        <v>24.64</v>
      </c>
      <c r="F13669" t="n">
        <v>1</v>
      </c>
      <c r="G13669" t="n">
        <v>9</v>
      </c>
      <c r="H13669" s="5">
        <f>HYPERLINK("https://api.qogita.com/variants/link/0773602323012/", "View Product")</f>
        <v/>
      </c>
    </row>
    <row r="13670">
      <c r="A13670" t="inlineStr">
        <is>
          <t>0773602336166</t>
        </is>
      </c>
      <c r="B13670" t="inlineStr">
        <is>
          <t>MAC Mineralize Concealer NW35</t>
        </is>
      </c>
      <c r="C13670" t="inlineStr">
        <is>
          <t>Concealer</t>
        </is>
      </c>
      <c r="D13670" t="inlineStr">
        <is>
          <t>Mac</t>
        </is>
      </c>
      <c r="E13670" t="n">
        <v>13.61</v>
      </c>
      <c r="F13670" t="n">
        <v>1</v>
      </c>
      <c r="G13670" t="n">
        <v>6</v>
      </c>
      <c r="H13670" s="5">
        <f>HYPERLINK("https://api.qogita.com/variants/link/0773602336166/", "View Product")</f>
        <v/>
      </c>
    </row>
    <row r="13671">
      <c r="A13671" t="inlineStr">
        <is>
          <t>0773602336432</t>
        </is>
      </c>
      <c r="B13671" t="inlineStr">
        <is>
          <t>MAC Cosmetics 'Cream Colour Base' pearl eye shadow 3.2g</t>
        </is>
      </c>
      <c r="C13671" t="inlineStr">
        <is>
          <t>Eyeshadow</t>
        </is>
      </c>
      <c r="D13671" t="inlineStr">
        <is>
          <t>Mac</t>
        </is>
      </c>
      <c r="E13671" t="n">
        <v>17.66</v>
      </c>
      <c r="F13671" t="n">
        <v>1</v>
      </c>
      <c r="G13671" t="n">
        <v>11</v>
      </c>
      <c r="H13671" s="5">
        <f>HYPERLINK("https://api.qogita.com/variants/link/0773602336432/", "View Product")</f>
        <v/>
      </c>
    </row>
    <row r="13672">
      <c r="A13672" t="inlineStr">
        <is>
          <t>0773602336470</t>
        </is>
      </c>
      <c r="B13672" t="inlineStr">
        <is>
          <t>Mac Cream Colour Base</t>
        </is>
      </c>
      <c r="C13672" t="inlineStr">
        <is>
          <t>Foundation</t>
        </is>
      </c>
      <c r="D13672" t="inlineStr">
        <is>
          <t>Mac</t>
        </is>
      </c>
      <c r="E13672" t="n">
        <v>18.87</v>
      </c>
      <c r="F13672" t="n">
        <v>1</v>
      </c>
      <c r="G13672" t="n">
        <v>4</v>
      </c>
      <c r="H13672" s="5">
        <f>HYPERLINK("https://api.qogita.com/variants/link/0773602336470/", "View Product")</f>
        <v/>
      </c>
    </row>
    <row r="13673">
      <c r="A13673" t="inlineStr">
        <is>
          <t>0773602337187</t>
        </is>
      </c>
      <c r="B13673" t="inlineStr">
        <is>
          <t>MAC Mineralize Skinfinish Natural Please Me</t>
        </is>
      </c>
      <c r="C13673" t="inlineStr">
        <is>
          <t>Powder</t>
        </is>
      </c>
      <c r="D13673" t="inlineStr">
        <is>
          <t>Mac</t>
        </is>
      </c>
      <c r="E13673" t="n">
        <v>30.47</v>
      </c>
      <c r="F13673" t="n">
        <v>1</v>
      </c>
      <c r="G13673" t="n">
        <v>6</v>
      </c>
      <c r="H13673" s="5">
        <f>HYPERLINK("https://api.qogita.com/variants/link/0773602337187/", "View Product")</f>
        <v/>
      </c>
    </row>
    <row r="13674">
      <c r="A13674" t="inlineStr">
        <is>
          <t>0773602341368</t>
        </is>
      </c>
      <c r="B13674" t="inlineStr">
        <is>
          <t>M.A.C Matte Lipstick Sin 1 Count</t>
        </is>
      </c>
      <c r="C13674" t="inlineStr">
        <is>
          <t>Lipstick</t>
        </is>
      </c>
      <c r="D13674" t="inlineStr">
        <is>
          <t>L'Oréal Professionnel</t>
        </is>
      </c>
      <c r="E13674" t="n">
        <v>15.71</v>
      </c>
      <c r="F13674" t="n">
        <v>1</v>
      </c>
      <c r="G13674" t="n">
        <v>4</v>
      </c>
      <c r="H13674" s="5">
        <f>HYPERLINK("https://api.qogita.com/variants/link/0773602341368/", "View Product")</f>
        <v/>
      </c>
    </row>
    <row r="13675">
      <c r="A13675" t="inlineStr">
        <is>
          <t>0773602358038</t>
        </is>
      </c>
      <c r="B13675" t="inlineStr">
        <is>
          <t>MAC Powder Blush 6g Burnt Pepper</t>
        </is>
      </c>
      <c r="C13675" t="inlineStr">
        <is>
          <t>Blush</t>
        </is>
      </c>
      <c r="D13675" t="inlineStr">
        <is>
          <t>Mac</t>
        </is>
      </c>
      <c r="E13675" t="n">
        <v>22.37</v>
      </c>
      <c r="F13675" t="n">
        <v>1</v>
      </c>
      <c r="G13675" t="n">
        <v>10</v>
      </c>
      <c r="H13675" s="5">
        <f>HYPERLINK("https://api.qogita.com/variants/link/0773602358038/", "View Product")</f>
        <v/>
      </c>
    </row>
    <row r="13676">
      <c r="A13676" t="inlineStr">
        <is>
          <t>0773602362301</t>
        </is>
      </c>
      <c r="B13676" t="inlineStr">
        <is>
          <t>MAC Lip Pencil Edge To Edge 1 Count</t>
        </is>
      </c>
      <c r="C13676" t="inlineStr">
        <is>
          <t>Lip Liner</t>
        </is>
      </c>
      <c r="D13676" t="inlineStr">
        <is>
          <t>Mac</t>
        </is>
      </c>
      <c r="E13676" t="n">
        <v>16.24</v>
      </c>
      <c r="F13676" t="n">
        <v>1</v>
      </c>
      <c r="G13676" t="n">
        <v>3</v>
      </c>
      <c r="H13676" s="5">
        <f>HYPERLINK("https://api.qogita.com/variants/link/0773602362301/", "View Product")</f>
        <v/>
      </c>
    </row>
    <row r="13677">
      <c r="A13677" t="inlineStr">
        <is>
          <t>0773602373192</t>
        </is>
      </c>
      <c r="B13677" t="inlineStr">
        <is>
          <t>M.A.C Studio Waterweight SPF 30 Foundation 30ml NW50</t>
        </is>
      </c>
      <c r="C13677" t="inlineStr">
        <is>
          <t>Foundation</t>
        </is>
      </c>
      <c r="D13677" t="inlineStr">
        <is>
          <t>Mac</t>
        </is>
      </c>
      <c r="E13677" t="n">
        <v>25.69</v>
      </c>
      <c r="F13677" t="n">
        <v>1</v>
      </c>
      <c r="G13677" t="n">
        <v>11</v>
      </c>
      <c r="H13677" s="5">
        <f>HYPERLINK("https://api.qogita.com/variants/link/0773602373192/", "View Product")</f>
        <v/>
      </c>
    </row>
    <row r="13678">
      <c r="A13678" t="inlineStr">
        <is>
          <t>0773602378906</t>
        </is>
      </c>
      <c r="B13678" t="inlineStr">
        <is>
          <t>MAC Extra Dimension Eye Shadow Fathom Deep</t>
        </is>
      </c>
      <c r="C13678" t="inlineStr">
        <is>
          <t>Eyeshadow</t>
        </is>
      </c>
      <c r="D13678" t="inlineStr">
        <is>
          <t>MAC Cosmetics</t>
        </is>
      </c>
      <c r="E13678" t="n">
        <v>18.79</v>
      </c>
      <c r="F13678" t="n">
        <v>1</v>
      </c>
      <c r="G13678" t="n">
        <v>4</v>
      </c>
      <c r="H13678" s="5">
        <f>HYPERLINK("https://api.qogita.com/variants/link/0773602378906/", "View Product")</f>
        <v/>
      </c>
    </row>
    <row r="13679">
      <c r="A13679" t="inlineStr">
        <is>
          <t>0773602378951</t>
        </is>
      </c>
      <c r="B13679" t="inlineStr">
        <is>
          <t>Extra Dimension Eye Shadow</t>
        </is>
      </c>
      <c r="C13679" t="inlineStr">
        <is>
          <t>Eyeshadow</t>
        </is>
      </c>
      <c r="D13679" t="inlineStr">
        <is>
          <t>MAC Cosmetics</t>
        </is>
      </c>
      <c r="E13679" t="n">
        <v>18.25</v>
      </c>
      <c r="F13679" t="n">
        <v>1</v>
      </c>
      <c r="G13679" t="n">
        <v>4</v>
      </c>
      <c r="H13679" s="5">
        <f>HYPERLINK("https://api.qogita.com/variants/link/0773602378951/", "View Product")</f>
        <v/>
      </c>
    </row>
    <row r="13680">
      <c r="A13680" t="inlineStr">
        <is>
          <t>0773602426768</t>
        </is>
      </c>
      <c r="B13680" t="inlineStr">
        <is>
          <t>MAC Power Kiss Lipstick A Little Tamed</t>
        </is>
      </c>
      <c r="C13680" t="inlineStr">
        <is>
          <t>Lipstick</t>
        </is>
      </c>
      <c r="D13680" t="inlineStr">
        <is>
          <t>Mac</t>
        </is>
      </c>
      <c r="E13680" t="n">
        <v>16.82</v>
      </c>
      <c r="F13680" t="n">
        <v>1</v>
      </c>
      <c r="G13680" t="n">
        <v>5</v>
      </c>
      <c r="H13680" s="5">
        <f>HYPERLINK("https://api.qogita.com/variants/link/0773602426768/", "View Product")</f>
        <v/>
      </c>
    </row>
    <row r="13681">
      <c r="A13681" t="inlineStr">
        <is>
          <t>0773602429905</t>
        </is>
      </c>
      <c r="B13681" t="inlineStr">
        <is>
          <t>MAC Extra Dimension Skinfinish Liquid Powder Beaming Blush Highlighter 0.31 Oz</t>
        </is>
      </c>
      <c r="C13681" t="inlineStr">
        <is>
          <t>Highlighter</t>
        </is>
      </c>
      <c r="D13681" t="inlineStr">
        <is>
          <t>Mac</t>
        </is>
      </c>
      <c r="E13681" t="n">
        <v>25.77</v>
      </c>
      <c r="F13681" t="n">
        <v>1</v>
      </c>
      <c r="G13681" t="n">
        <v>5</v>
      </c>
      <c r="H13681" s="5">
        <f>HYPERLINK("https://api.qogita.com/variants/link/0773602429905/", "View Product")</f>
        <v/>
      </c>
    </row>
    <row r="13682">
      <c r="A13682" t="inlineStr">
        <is>
          <t>0773602430017</t>
        </is>
      </c>
      <c r="B13682" t="inlineStr">
        <is>
          <t>MAC Lip Pencil Auburn 1.45g</t>
        </is>
      </c>
      <c r="C13682" t="inlineStr">
        <is>
          <t>Lip Liner</t>
        </is>
      </c>
      <c r="D13682" t="inlineStr">
        <is>
          <t>Mac</t>
        </is>
      </c>
      <c r="E13682" t="n">
        <v>16.2</v>
      </c>
      <c r="F13682" t="n">
        <v>1</v>
      </c>
      <c r="G13682" t="n">
        <v>3</v>
      </c>
      <c r="H13682" s="5">
        <f>HYPERLINK("https://api.qogita.com/variants/link/0773602430017/", "View Product")</f>
        <v/>
      </c>
    </row>
    <row r="13683">
      <c r="A13683" t="inlineStr">
        <is>
          <t>0773602430055</t>
        </is>
      </c>
      <c r="B13683" t="inlineStr">
        <is>
          <t>Mac Magenta Lip Pencil</t>
        </is>
      </c>
      <c r="C13683" t="inlineStr">
        <is>
          <t>Lip Liner</t>
        </is>
      </c>
      <c r="D13683" t="inlineStr">
        <is>
          <t>Mac</t>
        </is>
      </c>
      <c r="E13683" t="n">
        <v>16.2</v>
      </c>
      <c r="F13683" t="n">
        <v>1</v>
      </c>
      <c r="G13683" t="n">
        <v>3</v>
      </c>
      <c r="H13683" s="5">
        <f>HYPERLINK("https://api.qogita.com/variants/link/0773602430055/", "View Product")</f>
        <v/>
      </c>
    </row>
    <row r="13684">
      <c r="A13684" t="inlineStr">
        <is>
          <t>0773602430086</t>
        </is>
      </c>
      <c r="B13684" t="inlineStr">
        <is>
          <t>MAC Lip Pencil Oak</t>
        </is>
      </c>
      <c r="C13684" t="inlineStr">
        <is>
          <t>Lip Liner</t>
        </is>
      </c>
      <c r="D13684" t="inlineStr">
        <is>
          <t>Mac</t>
        </is>
      </c>
      <c r="E13684" t="n">
        <v>16.2</v>
      </c>
      <c r="F13684" t="n">
        <v>1</v>
      </c>
      <c r="G13684" t="n">
        <v>6</v>
      </c>
      <c r="H13684" s="5">
        <f>HYPERLINK("https://api.qogita.com/variants/link/0773602430086/", "View Product")</f>
        <v/>
      </c>
    </row>
    <row r="13685">
      <c r="A13685" t="inlineStr">
        <is>
          <t>0773602431342</t>
        </is>
      </c>
      <c r="B13685" t="inlineStr">
        <is>
          <t>M.A.C Powder Kiss Lipstick Shocking Revelation 3g</t>
        </is>
      </c>
      <c r="C13685" t="inlineStr">
        <is>
          <t>Lipstick</t>
        </is>
      </c>
      <c r="D13685" t="inlineStr">
        <is>
          <t>Mac</t>
        </is>
      </c>
      <c r="E13685" t="n">
        <v>19.09</v>
      </c>
      <c r="F13685" t="n">
        <v>1</v>
      </c>
      <c r="G13685" t="n">
        <v>5</v>
      </c>
      <c r="H13685" s="5">
        <f>HYPERLINK("https://api.qogita.com/variants/link/0773602431342/", "View Product")</f>
        <v/>
      </c>
    </row>
    <row r="13686">
      <c r="A13686" t="inlineStr">
        <is>
          <t>0773602458233</t>
        </is>
      </c>
      <c r="B13686" t="inlineStr">
        <is>
          <t>Mac Mineralize Blush 4g</t>
        </is>
      </c>
      <c r="C13686" t="inlineStr">
        <is>
          <t>Blush</t>
        </is>
      </c>
      <c r="D13686" t="inlineStr">
        <is>
          <t>Mac</t>
        </is>
      </c>
      <c r="E13686" t="n">
        <v>21.91</v>
      </c>
      <c r="F13686" t="n">
        <v>1</v>
      </c>
      <c r="G13686" t="n">
        <v>10</v>
      </c>
      <c r="H13686" s="5">
        <f>HYPERLINK("https://api.qogita.com/variants/link/0773602458233/", "View Product")</f>
        <v/>
      </c>
    </row>
    <row r="13687">
      <c r="A13687" t="inlineStr">
        <is>
          <t>0773602458264</t>
        </is>
      </c>
      <c r="B13687" t="inlineStr">
        <is>
          <t>M.A.C Mineralize Blush Humour Me 3.2g</t>
        </is>
      </c>
      <c r="C13687" t="inlineStr">
        <is>
          <t>Blush</t>
        </is>
      </c>
      <c r="D13687" t="inlineStr">
        <is>
          <t>MAC Cosmetics</t>
        </is>
      </c>
      <c r="E13687" t="n">
        <v>24.76</v>
      </c>
      <c r="F13687" t="n">
        <v>1</v>
      </c>
      <c r="G13687" t="n">
        <v>22</v>
      </c>
      <c r="H13687" s="5">
        <f>HYPERLINK("https://api.qogita.com/variants/link/0773602458264/", "View Product")</f>
        <v/>
      </c>
    </row>
    <row r="13688">
      <c r="A13688" t="inlineStr">
        <is>
          <t>0773602470754</t>
        </is>
      </c>
      <c r="B13688" t="inlineStr">
        <is>
          <t>135 Large Flat Synthetic Powder Brush</t>
        </is>
      </c>
      <c r="C13688" t="inlineStr">
        <is>
          <t>Powder Brushes</t>
        </is>
      </c>
      <c r="D13688" t="inlineStr">
        <is>
          <t>MAC Cosmetics</t>
        </is>
      </c>
      <c r="E13688" t="n">
        <v>32.84</v>
      </c>
      <c r="F13688" t="n">
        <v>1</v>
      </c>
      <c r="G13688" t="n">
        <v>5</v>
      </c>
      <c r="H13688" s="5">
        <f>HYPERLINK("https://api.qogita.com/variants/link/0773602470754/", "View Product")</f>
        <v/>
      </c>
    </row>
    <row r="13689">
      <c r="A13689" t="inlineStr">
        <is>
          <t>0773602470945</t>
        </is>
      </c>
      <c r="B13689" t="inlineStr">
        <is>
          <t>MAC 128S Split Fibre Cheek Brush</t>
        </is>
      </c>
      <c r="C13689" t="inlineStr">
        <is>
          <t>Blush Brushes</t>
        </is>
      </c>
      <c r="D13689" t="inlineStr">
        <is>
          <t>Mac</t>
        </is>
      </c>
      <c r="E13689" t="n">
        <v>31.75</v>
      </c>
      <c r="F13689" t="n">
        <v>1</v>
      </c>
      <c r="G13689" t="n">
        <v>3</v>
      </c>
      <c r="H13689" s="5">
        <f>HYPERLINK("https://api.qogita.com/variants/link/0773602470945/", "View Product")</f>
        <v/>
      </c>
    </row>
    <row r="13690">
      <c r="A13690" t="inlineStr">
        <is>
          <t>0773602473250</t>
        </is>
      </c>
      <c r="B13690" t="inlineStr">
        <is>
          <t>Mac Mineralize Reset &amp; Revive Charcoal Mask 100ml</t>
        </is>
      </c>
      <c r="C13690" t="inlineStr">
        <is>
          <t>Charcoal Mask</t>
        </is>
      </c>
      <c r="D13690" t="inlineStr">
        <is>
          <t>Mac</t>
        </is>
      </c>
      <c r="E13690" t="n">
        <v>19.34</v>
      </c>
      <c r="F13690" t="n">
        <v>1</v>
      </c>
      <c r="G13690" t="n">
        <v>13</v>
      </c>
      <c r="H13690" s="5">
        <f>HYPERLINK("https://api.qogita.com/variants/link/0773602473250/", "View Product")</f>
        <v/>
      </c>
    </row>
    <row r="13691">
      <c r="A13691" t="inlineStr">
        <is>
          <t>0773602479535</t>
        </is>
      </c>
      <c r="B13691" t="inlineStr">
        <is>
          <t>MAC Hyper Glow Palette Get It Glowin Makeup Women 0.15 oz</t>
        </is>
      </c>
      <c r="C13691" t="inlineStr">
        <is>
          <t>Complexion Sets &amp; Pallets</t>
        </is>
      </c>
      <c r="D13691" t="inlineStr">
        <is>
          <t>Mac</t>
        </is>
      </c>
      <c r="E13691" t="n">
        <v>31.41</v>
      </c>
      <c r="F13691" t="n">
        <v>1</v>
      </c>
      <c r="G13691" t="n">
        <v>10</v>
      </c>
      <c r="H13691" s="5">
        <f>HYPERLINK("https://api.qogita.com/variants/link/0773602479535/", "View Product")</f>
        <v/>
      </c>
    </row>
    <row r="13692">
      <c r="A13692" t="inlineStr">
        <is>
          <t>0773602525706</t>
        </is>
      </c>
      <c r="B13692" t="inlineStr">
        <is>
          <t>Mac Lipglass Very Go Light Lip Gloss 3.1ml Very Go Lightly</t>
        </is>
      </c>
      <c r="C13692" t="inlineStr">
        <is>
          <t>Lip Gloss</t>
        </is>
      </c>
      <c r="D13692" t="inlineStr">
        <is>
          <t>Mac</t>
        </is>
      </c>
      <c r="E13692" t="n">
        <v>15.35</v>
      </c>
      <c r="F13692" t="n">
        <v>1</v>
      </c>
      <c r="G13692" t="n">
        <v>3</v>
      </c>
      <c r="H13692" s="5">
        <f>HYPERLINK("https://api.qogita.com/variants/link/0773602525706/", "View Product")</f>
        <v/>
      </c>
    </row>
    <row r="13693">
      <c r="A13693" t="inlineStr">
        <is>
          <t>0773602526789</t>
        </is>
      </c>
      <c r="B13693" t="inlineStr">
        <is>
          <t>MAC Studio Fix 24 Hour Smooth Wear Concealer NC25 7ml</t>
        </is>
      </c>
      <c r="C13693" t="inlineStr">
        <is>
          <t>Concealer</t>
        </is>
      </c>
      <c r="D13693" t="inlineStr">
        <is>
          <t>Mac</t>
        </is>
      </c>
      <c r="E13693" t="n">
        <v>19.04</v>
      </c>
      <c r="F13693" t="n">
        <v>1</v>
      </c>
      <c r="G13693" t="n">
        <v>2</v>
      </c>
      <c r="H13693" s="5">
        <f>HYPERLINK("https://api.qogita.com/variants/link/0773602526789/", "View Product")</f>
        <v/>
      </c>
    </row>
    <row r="13694">
      <c r="A13694" t="inlineStr">
        <is>
          <t>0773602526888</t>
        </is>
      </c>
      <c r="B13694" t="inlineStr">
        <is>
          <t>MAC Studio Fix 24 Hour Smooth Wear Concealer NW35</t>
        </is>
      </c>
      <c r="C13694" t="inlineStr">
        <is>
          <t>Concealer</t>
        </is>
      </c>
      <c r="D13694" t="inlineStr">
        <is>
          <t>Mac</t>
        </is>
      </c>
      <c r="E13694" t="n">
        <v>15.69</v>
      </c>
      <c r="F13694" t="n">
        <v>1</v>
      </c>
      <c r="G13694" t="n">
        <v>5</v>
      </c>
      <c r="H13694" s="5">
        <f>HYPERLINK("https://api.qogita.com/variants/link/0773602526888/", "View Product")</f>
        <v/>
      </c>
    </row>
    <row r="13695">
      <c r="A13695" t="inlineStr">
        <is>
          <t>0773602531547</t>
        </is>
      </c>
      <c r="B13695" t="inlineStr">
        <is>
          <t>MAC Hyper Real Glow Palette Shimmy Peach</t>
        </is>
      </c>
      <c r="C13695" t="inlineStr">
        <is>
          <t>Highlighter</t>
        </is>
      </c>
      <c r="D13695" t="inlineStr">
        <is>
          <t>Mac</t>
        </is>
      </c>
      <c r="E13695" t="n">
        <v>28.92</v>
      </c>
      <c r="F13695" t="n">
        <v>1</v>
      </c>
      <c r="G13695" t="n">
        <v>6</v>
      </c>
      <c r="H13695" s="5">
        <f>HYPERLINK("https://api.qogita.com/variants/link/0773602531547/", "View Product")</f>
        <v/>
      </c>
    </row>
    <row r="13696">
      <c r="A13696" t="inlineStr">
        <is>
          <t>0773602550333</t>
        </is>
      </c>
      <c r="B13696" t="inlineStr">
        <is>
          <t>MAC Eye Shadow If It Ain't Baroque Frost</t>
        </is>
      </c>
      <c r="C13696" t="inlineStr">
        <is>
          <t>Eyeshadow</t>
        </is>
      </c>
      <c r="D13696" t="inlineStr">
        <is>
          <t>Mac</t>
        </is>
      </c>
      <c r="E13696" t="n">
        <v>14.18</v>
      </c>
      <c r="F13696" t="n">
        <v>1</v>
      </c>
      <c r="G13696" t="n">
        <v>2</v>
      </c>
      <c r="H13696" s="5">
        <f>HYPERLINK("https://api.qogita.com/variants/link/0773602550333/", "View Product")</f>
        <v/>
      </c>
    </row>
    <row r="13697">
      <c r="A13697" t="inlineStr">
        <is>
          <t>0773602567812</t>
        </is>
      </c>
      <c r="B13697" t="inlineStr">
        <is>
          <t>MAC Powder Kiss Liquid Lipcolour Shade 984 Billion $ Smile 5ml 0.17oz - New In Box</t>
        </is>
      </c>
      <c r="C13697" t="inlineStr">
        <is>
          <t>Lipstick</t>
        </is>
      </c>
      <c r="D13697" t="inlineStr">
        <is>
          <t>Mac</t>
        </is>
      </c>
      <c r="E13697" t="n">
        <v>18.2</v>
      </c>
      <c r="F13697" t="n">
        <v>1</v>
      </c>
      <c r="G13697" t="n">
        <v>5</v>
      </c>
      <c r="H13697" s="5">
        <f>HYPERLINK("https://api.qogita.com/variants/link/0773602567812/", "View Product")</f>
        <v/>
      </c>
    </row>
    <row r="13698">
      <c r="A13698" t="inlineStr">
        <is>
          <t>0773602567836</t>
        </is>
      </c>
      <c r="B13698" t="inlineStr">
        <is>
          <t>MAC Powder Kiss Liquid Lipcolour Shade 986 Make It Fashun! 5ml/.17oz</t>
        </is>
      </c>
      <c r="C13698" t="inlineStr">
        <is>
          <t>Lipstick</t>
        </is>
      </c>
      <c r="D13698" t="inlineStr">
        <is>
          <t>Mac</t>
        </is>
      </c>
      <c r="E13698" t="n">
        <v>18.28</v>
      </c>
      <c r="F13698" t="n">
        <v>1</v>
      </c>
      <c r="G13698" t="n">
        <v>5</v>
      </c>
      <c r="H13698" s="5">
        <f>HYPERLINK("https://api.qogita.com/variants/link/0773602567836/", "View Product")</f>
        <v/>
      </c>
    </row>
    <row r="13699">
      <c r="A13699" t="inlineStr">
        <is>
          <t>0773602567973</t>
        </is>
      </c>
      <c r="B13699" t="inlineStr">
        <is>
          <t>New Authentic MAC Powder Kiss Liquid Lipcolour 985 Got A Callback</t>
        </is>
      </c>
      <c r="C13699" t="inlineStr">
        <is>
          <t>Lipstick</t>
        </is>
      </c>
      <c r="D13699" t="inlineStr">
        <is>
          <t>MAC Cosmetics</t>
        </is>
      </c>
      <c r="E13699" t="n">
        <v>16.81</v>
      </c>
      <c r="F13699" t="n">
        <v>1</v>
      </c>
      <c r="G13699" t="n">
        <v>7</v>
      </c>
      <c r="H13699" s="5">
        <f>HYPERLINK("https://api.qogita.com/variants/link/0773602567973/", "View Product")</f>
        <v/>
      </c>
    </row>
    <row r="13700">
      <c r="A13700" t="inlineStr">
        <is>
          <t>0773602568543</t>
        </is>
      </c>
      <c r="B13700" t="inlineStr">
        <is>
          <t>Mac Cosmetics Pro Longwear Paint Pot Eyeshadow - 5 Grams</t>
        </is>
      </c>
      <c r="C13700" t="inlineStr">
        <is>
          <t>Eyeshadow</t>
        </is>
      </c>
      <c r="D13700" t="inlineStr">
        <is>
          <t>MAC Cosmetics</t>
        </is>
      </c>
      <c r="E13700" t="n">
        <v>16.59</v>
      </c>
      <c r="F13700" t="n">
        <v>1</v>
      </c>
      <c r="G13700" t="n">
        <v>5</v>
      </c>
      <c r="H13700" s="5">
        <f>HYPERLINK("https://api.qogita.com/variants/link/0773602568543/", "View Product")</f>
        <v/>
      </c>
    </row>
    <row r="13701">
      <c r="A13701" t="inlineStr">
        <is>
          <t>0773602568574</t>
        </is>
      </c>
      <c r="B13701" t="inlineStr">
        <is>
          <t>MAC Pro Longwear Fluidline Eye Liner Gel Paint Pot Liquidlast NIB - You Pick</t>
        </is>
      </c>
      <c r="C13701" t="inlineStr">
        <is>
          <t>Eyeliner</t>
        </is>
      </c>
      <c r="D13701" t="inlineStr">
        <is>
          <t>Mac</t>
        </is>
      </c>
      <c r="E13701" t="n">
        <v>16.64</v>
      </c>
      <c r="F13701" t="n">
        <v>1</v>
      </c>
      <c r="G13701" t="n">
        <v>5</v>
      </c>
      <c r="H13701" s="5">
        <f>HYPERLINK("https://api.qogita.com/variants/link/0773602568574/", "View Product")</f>
        <v/>
      </c>
    </row>
    <row r="13702">
      <c r="A13702" t="inlineStr">
        <is>
          <t>0773602569281</t>
        </is>
      </c>
      <c r="B13702" t="inlineStr">
        <is>
          <t>Mac Cosmetics Matte Lipstick 3 G</t>
        </is>
      </c>
      <c r="C13702" t="inlineStr">
        <is>
          <t>Lipstick</t>
        </is>
      </c>
      <c r="D13702" t="inlineStr">
        <is>
          <t>MAC Cosmetics</t>
        </is>
      </c>
      <c r="E13702" t="n">
        <v>17.5</v>
      </c>
      <c r="F13702" t="n">
        <v>1</v>
      </c>
      <c r="G13702" t="n">
        <v>2</v>
      </c>
      <c r="H13702" s="5">
        <f>HYPERLINK("https://api.qogita.com/variants/link/0773602569281/", "View Product")</f>
        <v/>
      </c>
    </row>
    <row r="13703">
      <c r="A13703" t="inlineStr">
        <is>
          <t>0773602572465</t>
        </is>
      </c>
      <c r="B13703" t="inlineStr">
        <is>
          <t>MAC Studio Fix Conceal &amp; Correct Palette Medium Full Size 0.21 oz - New In Box!</t>
        </is>
      </c>
      <c r="C13703" t="inlineStr">
        <is>
          <t>Camouflage Makeup</t>
        </is>
      </c>
      <c r="D13703" t="inlineStr">
        <is>
          <t>Mac</t>
        </is>
      </c>
      <c r="E13703" t="n">
        <v>31.1</v>
      </c>
      <c r="F13703" t="n">
        <v>1</v>
      </c>
      <c r="G13703" t="n">
        <v>4</v>
      </c>
      <c r="H13703" s="5">
        <f>HYPERLINK("https://api.qogita.com/variants/link/0773602572465/", "View Product")</f>
        <v/>
      </c>
    </row>
    <row r="13704">
      <c r="A13704" t="inlineStr">
        <is>
          <t>0773602572519</t>
        </is>
      </c>
      <c r="B13704" t="inlineStr">
        <is>
          <t>MAC Studio Fix Conceal &amp; Correct Palette Extra Deep 6g/0.21oz</t>
        </is>
      </c>
      <c r="C13704" t="inlineStr">
        <is>
          <t>Concealer</t>
        </is>
      </c>
      <c r="D13704" t="inlineStr">
        <is>
          <t>Mac</t>
        </is>
      </c>
      <c r="E13704" t="n">
        <v>26.55</v>
      </c>
      <c r="F13704" t="n">
        <v>1</v>
      </c>
      <c r="G13704" t="n">
        <v>4</v>
      </c>
      <c r="H13704" s="5">
        <f>HYPERLINK("https://api.qogita.com/variants/link/0773602572519/", "View Product")</f>
        <v/>
      </c>
    </row>
    <row r="13705">
      <c r="A13705" t="inlineStr">
        <is>
          <t>0773602574896</t>
        </is>
      </c>
      <c r="B13705" t="inlineStr">
        <is>
          <t>MAC Eye Shadow Dazzle Powder Extra 100% Authentic</t>
        </is>
      </c>
      <c r="C13705" t="inlineStr">
        <is>
          <t>Eyeshadow</t>
        </is>
      </c>
      <c r="D13705" t="inlineStr">
        <is>
          <t>Revolution</t>
        </is>
      </c>
      <c r="E13705" t="n">
        <v>15.88</v>
      </c>
      <c r="F13705" t="n">
        <v>1</v>
      </c>
      <c r="G13705" t="n">
        <v>5</v>
      </c>
      <c r="H13705" s="5">
        <f>HYPERLINK("https://api.qogita.com/variants/link/0773602574896/", "View Product")</f>
        <v/>
      </c>
    </row>
    <row r="13706">
      <c r="A13706" t="inlineStr">
        <is>
          <t>0773602576296</t>
        </is>
      </c>
      <c r="B13706" t="inlineStr">
        <is>
          <t>MAC Felt Cute Powder Kiss Soft Matte Eye Shadow - New in Box</t>
        </is>
      </c>
      <c r="C13706" t="inlineStr">
        <is>
          <t>Eyeshadow</t>
        </is>
      </c>
      <c r="D13706" t="inlineStr">
        <is>
          <t>Mac</t>
        </is>
      </c>
      <c r="E13706" t="n">
        <v>17.04</v>
      </c>
      <c r="F13706" t="n">
        <v>1</v>
      </c>
      <c r="G13706" t="n">
        <v>3</v>
      </c>
      <c r="H13706" s="5">
        <f>HYPERLINK("https://api.qogita.com/variants/link/0773602576296/", "View Product")</f>
        <v/>
      </c>
    </row>
    <row r="13707">
      <c r="A13707" t="inlineStr">
        <is>
          <t>0773602576319</t>
        </is>
      </c>
      <c r="B13707" t="inlineStr">
        <is>
          <t>MAC Powder Kiss Soft Matte EyeShadow RIPENED Midtone Mauve 0.05oz/1.5g Full Size</t>
        </is>
      </c>
      <c r="C13707" t="inlineStr">
        <is>
          <t>Eyeshadow</t>
        </is>
      </c>
      <c r="D13707" t="inlineStr">
        <is>
          <t>Mac</t>
        </is>
      </c>
      <c r="E13707" t="n">
        <v>13.61</v>
      </c>
      <c r="F13707" t="n">
        <v>1</v>
      </c>
      <c r="G13707" t="n">
        <v>3</v>
      </c>
      <c r="H13707" s="5">
        <f>HYPERLINK("https://api.qogita.com/variants/link/0773602576319/", "View Product")</f>
        <v/>
      </c>
    </row>
    <row r="13708">
      <c r="A13708" t="inlineStr">
        <is>
          <t>0773602576333</t>
        </is>
      </c>
      <c r="B13708" t="inlineStr">
        <is>
          <t>MAC Powder Kiss Eyeshadow Devoted To Chili 0.05 oz</t>
        </is>
      </c>
      <c r="C13708" t="inlineStr">
        <is>
          <t>Eyeshadow</t>
        </is>
      </c>
      <c r="D13708" t="inlineStr">
        <is>
          <t>Mac</t>
        </is>
      </c>
      <c r="E13708" t="n">
        <v>14.47</v>
      </c>
      <c r="F13708" t="n">
        <v>1</v>
      </c>
      <c r="G13708" t="n">
        <v>10</v>
      </c>
      <c r="H13708" s="5">
        <f>HYPERLINK("https://api.qogita.com/variants/link/0773602576333/", "View Product")</f>
        <v/>
      </c>
    </row>
    <row r="13709">
      <c r="A13709" t="inlineStr">
        <is>
          <t>0773602576371</t>
        </is>
      </c>
      <c r="B13709" t="inlineStr">
        <is>
          <t>Authentic MAC Cosmetics Eye Shadow Pro Palette Refill Pan - Choose Your Shade</t>
        </is>
      </c>
      <c r="C13709" t="inlineStr">
        <is>
          <t>Eyeshadow</t>
        </is>
      </c>
      <c r="D13709" t="inlineStr">
        <is>
          <t>Mac</t>
        </is>
      </c>
      <c r="E13709" t="n">
        <v>10.78</v>
      </c>
      <c r="F13709" t="n">
        <v>1</v>
      </c>
      <c r="G13709" t="n">
        <v>9</v>
      </c>
      <c r="H13709" s="5">
        <f>HYPERLINK("https://api.qogita.com/variants/link/0773602576371/", "View Product")</f>
        <v/>
      </c>
    </row>
    <row r="13710">
      <c r="A13710" t="inlineStr">
        <is>
          <t>0773602577897</t>
        </is>
      </c>
      <c r="B13710" t="inlineStr">
        <is>
          <t>MAC Mini In Extreme Dimension Lash 3D Black Mascara 4g</t>
        </is>
      </c>
      <c r="C13710" t="inlineStr">
        <is>
          <t>Mascara</t>
        </is>
      </c>
      <c r="D13710" t="inlineStr">
        <is>
          <t>Mac</t>
        </is>
      </c>
      <c r="E13710" t="n">
        <v>12.06</v>
      </c>
      <c r="F13710" t="n">
        <v>1</v>
      </c>
      <c r="G13710" t="n">
        <v>13</v>
      </c>
      <c r="H13710" s="5">
        <f>HYPERLINK("https://api.qogita.com/variants/link/0773602577897/", "View Product")</f>
        <v/>
      </c>
    </row>
    <row r="13711">
      <c r="A13711" t="inlineStr">
        <is>
          <t>0773602581092</t>
        </is>
      </c>
      <c r="B13711" t="inlineStr">
        <is>
          <t>MAC Powder Kiss Soft Matte Eye Shadow Fall In Love</t>
        </is>
      </c>
      <c r="C13711" t="inlineStr">
        <is>
          <t>Eyeshadow</t>
        </is>
      </c>
      <c r="D13711" t="inlineStr">
        <is>
          <t>Mac</t>
        </is>
      </c>
      <c r="E13711" t="n">
        <v>14.47</v>
      </c>
      <c r="F13711" t="n">
        <v>1</v>
      </c>
      <c r="G13711" t="n">
        <v>10</v>
      </c>
      <c r="H13711" s="5">
        <f>HYPERLINK("https://api.qogita.com/variants/link/0773602581092/", "View Product")</f>
        <v/>
      </c>
    </row>
    <row r="13712">
      <c r="A13712" t="inlineStr">
        <is>
          <t>0773602582976</t>
        </is>
      </c>
      <c r="B13712" t="inlineStr">
        <is>
          <t>Mac Cosmetics Studio Fix Tech Cream-To-Powder Foundation - 10 G</t>
        </is>
      </c>
      <c r="C13712" t="inlineStr">
        <is>
          <t>Foundation</t>
        </is>
      </c>
      <c r="D13712" t="inlineStr">
        <is>
          <t>MAC Cosmetics</t>
        </is>
      </c>
      <c r="E13712" t="n">
        <v>28.56</v>
      </c>
      <c r="F13712" t="n">
        <v>1</v>
      </c>
      <c r="G13712" t="n">
        <v>11</v>
      </c>
      <c r="H13712" s="5">
        <f>HYPERLINK("https://api.qogita.com/variants/link/0773602582976/", "View Product")</f>
        <v/>
      </c>
    </row>
    <row r="13713">
      <c r="A13713" t="inlineStr">
        <is>
          <t>0773602583096</t>
        </is>
      </c>
      <c r="B13713" t="inlineStr">
        <is>
          <t>MAC Studio Fix Tech Cream-To-Powder Foundation NW13 10g</t>
        </is>
      </c>
      <c r="C13713" t="inlineStr">
        <is>
          <t>Foundation</t>
        </is>
      </c>
      <c r="D13713" t="inlineStr">
        <is>
          <t>Mac</t>
        </is>
      </c>
      <c r="E13713" t="n">
        <v>27.47</v>
      </c>
      <c r="F13713" t="n">
        <v>1</v>
      </c>
      <c r="G13713" t="n">
        <v>4</v>
      </c>
      <c r="H13713" s="5">
        <f>HYPERLINK("https://api.qogita.com/variants/link/0773602583096/", "View Product")</f>
        <v/>
      </c>
    </row>
    <row r="13714">
      <c r="A13714" t="inlineStr">
        <is>
          <t>0773602583225</t>
        </is>
      </c>
      <c r="B13714" t="inlineStr">
        <is>
          <t>Mac Cosmetics Studio Fix Tech Cream-To-Powder Foundation - 10 Grams</t>
        </is>
      </c>
      <c r="C13714" t="inlineStr">
        <is>
          <t>Foundation</t>
        </is>
      </c>
      <c r="D13714" t="inlineStr">
        <is>
          <t>MAC Cosmetics</t>
        </is>
      </c>
      <c r="E13714" t="n">
        <v>22.83</v>
      </c>
      <c r="F13714" t="n">
        <v>1</v>
      </c>
      <c r="G13714" t="n">
        <v>3</v>
      </c>
      <c r="H13714" s="5">
        <f>HYPERLINK("https://api.qogita.com/variants/link/0773602583225/", "View Product")</f>
        <v/>
      </c>
    </row>
    <row r="13715">
      <c r="A13715" t="inlineStr">
        <is>
          <t>0773602583256</t>
        </is>
      </c>
      <c r="B13715" t="inlineStr">
        <is>
          <t>MAC Studio Fix Tech Cream-To-Powder Foundation C3.5 10g</t>
        </is>
      </c>
      <c r="C13715" t="inlineStr">
        <is>
          <t>Foundation</t>
        </is>
      </c>
      <c r="D13715" t="inlineStr">
        <is>
          <t>Mac</t>
        </is>
      </c>
      <c r="E13715" t="n">
        <v>22.56</v>
      </c>
      <c r="F13715" t="n">
        <v>1</v>
      </c>
      <c r="G13715" t="n">
        <v>4</v>
      </c>
      <c r="H13715" s="5">
        <f>HYPERLINK("https://api.qogita.com/variants/link/0773602583256/", "View Product")</f>
        <v/>
      </c>
    </row>
    <row r="13716">
      <c r="A13716" t="inlineStr">
        <is>
          <t>0773602583287</t>
        </is>
      </c>
      <c r="B13716" t="inlineStr">
        <is>
          <t>MAC Cosmetics Studio Fix Tech Cream to Powder Foundation N5 Full Size 0.35oz</t>
        </is>
      </c>
      <c r="C13716" t="inlineStr">
        <is>
          <t>Foundation</t>
        </is>
      </c>
      <c r="D13716" t="inlineStr">
        <is>
          <t>Mac</t>
        </is>
      </c>
      <c r="E13716" t="n">
        <v>22.56</v>
      </c>
      <c r="F13716" t="n">
        <v>1</v>
      </c>
      <c r="G13716" t="n">
        <v>3</v>
      </c>
      <c r="H13716" s="5">
        <f>HYPERLINK("https://api.qogita.com/variants/link/0773602583287/", "View Product")</f>
        <v/>
      </c>
    </row>
    <row r="13717">
      <c r="A13717" t="inlineStr">
        <is>
          <t>0773602588763</t>
        </is>
      </c>
      <c r="B13717" t="inlineStr">
        <is>
          <t>MAC Powder Kiss Lipstick Full Size - Choose Your Shade</t>
        </is>
      </c>
      <c r="C13717" t="inlineStr">
        <is>
          <t>Lipstick</t>
        </is>
      </c>
      <c r="D13717" t="inlineStr">
        <is>
          <t>Mac</t>
        </is>
      </c>
      <c r="E13717" t="n">
        <v>16.21</v>
      </c>
      <c r="F13717" t="n">
        <v>1</v>
      </c>
      <c r="G13717" t="n">
        <v>5</v>
      </c>
      <c r="H13717" s="5">
        <f>HYPERLINK("https://api.qogita.com/variants/link/0773602588763/", "View Product")</f>
        <v/>
      </c>
    </row>
    <row r="13718">
      <c r="A13718" t="inlineStr">
        <is>
          <t>0773602606139</t>
        </is>
      </c>
      <c r="B13718" t="inlineStr">
        <is>
          <t>MAC Megastar Lash #89</t>
        </is>
      </c>
      <c r="C13718" t="inlineStr">
        <is>
          <t>Mascara</t>
        </is>
      </c>
      <c r="D13718" t="inlineStr">
        <is>
          <t>Mac</t>
        </is>
      </c>
      <c r="E13718" t="n">
        <v>12.7</v>
      </c>
      <c r="F13718" t="n">
        <v>1</v>
      </c>
      <c r="G13718" t="n">
        <v>5</v>
      </c>
      <c r="H13718" s="5">
        <f>HYPERLINK("https://api.qogita.com/variants/link/0773602606139/", "View Product")</f>
        <v/>
      </c>
    </row>
    <row r="13719">
      <c r="A13719" t="inlineStr">
        <is>
          <t>0773602607624</t>
        </is>
      </c>
      <c r="B13719" t="inlineStr">
        <is>
          <t>MAC Pro Longwear Paint Pot Tailor Grey Full Size 0.17oz</t>
        </is>
      </c>
      <c r="C13719" t="inlineStr">
        <is>
          <t>Eyeshadow</t>
        </is>
      </c>
      <c r="D13719" t="inlineStr">
        <is>
          <t>Mac</t>
        </is>
      </c>
      <c r="E13719" t="n">
        <v>20.31</v>
      </c>
      <c r="F13719" t="n">
        <v>1</v>
      </c>
      <c r="G13719" t="n">
        <v>2</v>
      </c>
      <c r="H13719" s="5">
        <f>HYPERLINK("https://api.qogita.com/variants/link/0773602607624/", "View Product")</f>
        <v/>
      </c>
    </row>
    <row r="13720">
      <c r="A13720" t="inlineStr">
        <is>
          <t>0773602609833</t>
        </is>
      </c>
      <c r="B13720" t="inlineStr">
        <is>
          <t>MAC Cosmetics Lipstick #544 Business Casual 0.10oz/3g</t>
        </is>
      </c>
      <c r="C13720" t="inlineStr">
        <is>
          <t>Lipstick</t>
        </is>
      </c>
      <c r="D13720" t="inlineStr">
        <is>
          <t>Mac</t>
        </is>
      </c>
      <c r="E13720" t="n">
        <v>19.04</v>
      </c>
      <c r="F13720" t="n">
        <v>1</v>
      </c>
      <c r="G13720" t="n">
        <v>2</v>
      </c>
      <c r="H13720" s="5">
        <f>HYPERLINK("https://api.qogita.com/variants/link/0773602609833/", "View Product")</f>
        <v/>
      </c>
    </row>
    <row r="13721">
      <c r="A13721" t="inlineStr">
        <is>
          <t>0773602610068</t>
        </is>
      </c>
      <c r="B13721" t="inlineStr">
        <is>
          <t>MAC Lustreglass Lipstick #522 Spice It Up! Brown Berry 3g/0.1oz</t>
        </is>
      </c>
      <c r="C13721" t="inlineStr">
        <is>
          <t>Lipstick</t>
        </is>
      </c>
      <c r="D13721" t="inlineStr">
        <is>
          <t>Mac</t>
        </is>
      </c>
      <c r="E13721" t="n">
        <v>19.04</v>
      </c>
      <c r="F13721" t="n">
        <v>1</v>
      </c>
      <c r="G13721" t="n">
        <v>5</v>
      </c>
      <c r="H13721" s="5">
        <f>HYPERLINK("https://api.qogita.com/variants/link/0773602610068/", "View Product")</f>
        <v/>
      </c>
    </row>
    <row r="13722">
      <c r="A13722" t="inlineStr">
        <is>
          <t>0773602610563</t>
        </is>
      </c>
      <c r="B13722" t="inlineStr">
        <is>
          <t>MAC Studio Radiance Face and Body Radiant Sheer Foundation N7 50ml</t>
        </is>
      </c>
      <c r="C13722" t="inlineStr">
        <is>
          <t>Foundation</t>
        </is>
      </c>
      <c r="D13722" t="inlineStr">
        <is>
          <t>MAC Cosmetics</t>
        </is>
      </c>
      <c r="E13722" t="n">
        <v>19.23</v>
      </c>
      <c r="F13722" t="n">
        <v>1</v>
      </c>
      <c r="G13722" t="n">
        <v>13</v>
      </c>
      <c r="H13722" s="5">
        <f>HYPERLINK("https://api.qogita.com/variants/link/0773602610563/", "View Product")</f>
        <v/>
      </c>
    </row>
    <row r="13723">
      <c r="A13723" t="inlineStr">
        <is>
          <t>0773602610570</t>
        </is>
      </c>
      <c r="B13723" t="inlineStr">
        <is>
          <t>MAC Studio Radiance Face and Body Radiant Sheer Foundation N8 50ml</t>
        </is>
      </c>
      <c r="C13723" t="inlineStr">
        <is>
          <t>Foundation</t>
        </is>
      </c>
      <c r="D13723" t="inlineStr">
        <is>
          <t>Mac</t>
        </is>
      </c>
      <c r="E13723" t="n">
        <v>28.64</v>
      </c>
      <c r="F13723" t="n">
        <v>1</v>
      </c>
      <c r="G13723" t="n">
        <v>8</v>
      </c>
      <c r="H13723" s="5">
        <f>HYPERLINK("https://api.qogita.com/variants/link/0773602610570/", "View Product")</f>
        <v/>
      </c>
    </row>
    <row r="13724">
      <c r="A13724" t="inlineStr">
        <is>
          <t>0773602610631</t>
        </is>
      </c>
      <c r="B13724" t="inlineStr">
        <is>
          <t>MAC Cosmetics Studio Radiance Face and Body Radiant Sheer Foundation - Color: C4, Size: 50 ml</t>
        </is>
      </c>
      <c r="C13724" t="inlineStr">
        <is>
          <t>Foundation</t>
        </is>
      </c>
      <c r="D13724" t="inlineStr">
        <is>
          <t>Mac</t>
        </is>
      </c>
      <c r="E13724" t="n">
        <v>31.1</v>
      </c>
      <c r="F13724" t="n">
        <v>1</v>
      </c>
      <c r="G13724" t="n">
        <v>4</v>
      </c>
      <c r="H13724" s="5">
        <f>HYPERLINK("https://api.qogita.com/variants/link/0773602610631/", "View Product")</f>
        <v/>
      </c>
    </row>
    <row r="13725">
      <c r="A13725" t="inlineStr">
        <is>
          <t>0773602610747</t>
        </is>
      </c>
      <c r="B13725" t="inlineStr">
        <is>
          <t>Authentic MAC Studio Radiance Face and Body Transparent Foundation 1.7 fl oz</t>
        </is>
      </c>
      <c r="C13725" t="inlineStr">
        <is>
          <t>Foundation</t>
        </is>
      </c>
      <c r="D13725" t="inlineStr">
        <is>
          <t>MAC Cosmetics</t>
        </is>
      </c>
      <c r="E13725" t="n">
        <v>19.61</v>
      </c>
      <c r="F13725" t="n">
        <v>1</v>
      </c>
      <c r="G13725" t="n">
        <v>11</v>
      </c>
      <c r="H13725" s="5">
        <f>HYPERLINK("https://api.qogita.com/variants/link/0773602610747/", "View Product")</f>
        <v/>
      </c>
    </row>
    <row r="13726">
      <c r="A13726" t="inlineStr">
        <is>
          <t>0773602610778</t>
        </is>
      </c>
      <c r="B13726" t="inlineStr">
        <is>
          <t>MAC Studio Radiance Face and Body Radiant Sheer Foundation W8 50ml</t>
        </is>
      </c>
      <c r="C13726" t="inlineStr">
        <is>
          <t>Foundation</t>
        </is>
      </c>
      <c r="D13726" t="inlineStr">
        <is>
          <t>Mac</t>
        </is>
      </c>
      <c r="E13726" t="n">
        <v>28.64</v>
      </c>
      <c r="F13726" t="n">
        <v>1</v>
      </c>
      <c r="G13726" t="n">
        <v>8</v>
      </c>
      <c r="H13726" s="5">
        <f>HYPERLINK("https://api.qogita.com/variants/link/0773602610778/", "View Product")</f>
        <v/>
      </c>
    </row>
    <row r="13727">
      <c r="A13727" t="inlineStr">
        <is>
          <t>0773602620036</t>
        </is>
      </c>
      <c r="B13727" t="inlineStr">
        <is>
          <t>M.A.C Cosmetics Brush Cleanser 235ml</t>
        </is>
      </c>
      <c r="C13727" t="inlineStr">
        <is>
          <t>Brush Cleaner</t>
        </is>
      </c>
      <c r="D13727" t="inlineStr">
        <is>
          <t>MAC Cosmetics</t>
        </is>
      </c>
      <c r="E13727" t="n">
        <v>15.88</v>
      </c>
      <c r="F13727" t="n">
        <v>1</v>
      </c>
      <c r="G13727" t="n">
        <v>5</v>
      </c>
      <c r="H13727" s="5">
        <f>HYPERLINK("https://api.qogita.com/variants/link/0773602620036/", "View Product")</f>
        <v/>
      </c>
    </row>
    <row r="13728">
      <c r="A13728" t="inlineStr">
        <is>
          <t>0773602624034</t>
        </is>
      </c>
      <c r="B13728" t="inlineStr">
        <is>
          <t>M.A.C Thunder Eye Brows Big Boost 4.1g</t>
        </is>
      </c>
      <c r="C13728" t="inlineStr">
        <is>
          <t>Other</t>
        </is>
      </c>
      <c r="D13728" t="inlineStr">
        <is>
          <t>MAC Cosmetics</t>
        </is>
      </c>
      <c r="E13728" t="n">
        <v>20.81</v>
      </c>
      <c r="F13728" t="n">
        <v>1</v>
      </c>
      <c r="G13728" t="n">
        <v>3</v>
      </c>
      <c r="H13728" s="5">
        <f>HYPERLINK("https://api.qogita.com/variants/link/0773602624034/", "View Product")</f>
        <v/>
      </c>
    </row>
    <row r="13729">
      <c r="A13729" t="inlineStr">
        <is>
          <t>0773602624058</t>
        </is>
      </c>
      <c r="B13729" t="inlineStr">
        <is>
          <t>Mac Eye Brows Big Boost Wenkbrauwgel - Penny</t>
        </is>
      </c>
      <c r="C13729" t="inlineStr">
        <is>
          <t>Eyebrow Gel</t>
        </is>
      </c>
      <c r="D13729" t="inlineStr">
        <is>
          <t>Mac</t>
        </is>
      </c>
      <c r="E13729" t="n">
        <v>17.68</v>
      </c>
      <c r="F13729" t="n">
        <v>1</v>
      </c>
      <c r="G13729" t="n">
        <v>8</v>
      </c>
      <c r="H13729" s="5">
        <f>HYPERLINK("https://api.qogita.com/variants/link/0773602624058/", "View Product")</f>
        <v/>
      </c>
    </row>
    <row r="13730">
      <c r="A13730" t="inlineStr">
        <is>
          <t>0773602624089</t>
        </is>
      </c>
      <c r="B13730" t="inlineStr">
        <is>
          <t>Mac Eyebrows Big Boost Fiber Gel Eyebrow Gel - 4g</t>
        </is>
      </c>
      <c r="C13730" t="inlineStr">
        <is>
          <t>Eyebrow Gel</t>
        </is>
      </c>
      <c r="D13730" t="inlineStr">
        <is>
          <t>MAC Cosmetics</t>
        </is>
      </c>
      <c r="E13730" t="n">
        <v>20.95</v>
      </c>
      <c r="F13730" t="n">
        <v>1</v>
      </c>
      <c r="G13730" t="n">
        <v>5</v>
      </c>
      <c r="H13730" s="5">
        <f>HYPERLINK("https://api.qogita.com/variants/link/0773602624089/", "View Product")</f>
        <v/>
      </c>
    </row>
    <row r="13731">
      <c r="A13731" t="inlineStr">
        <is>
          <t>0773602642199</t>
        </is>
      </c>
      <c r="B13731" t="inlineStr">
        <is>
          <t>MAC Fix+ Stay Over 16HR Alcohol-Free Setting Spray 100ml</t>
        </is>
      </c>
      <c r="C13731" t="inlineStr">
        <is>
          <t>Setting Spray</t>
        </is>
      </c>
      <c r="D13731" t="inlineStr">
        <is>
          <t>Mac</t>
        </is>
      </c>
      <c r="E13731" t="n">
        <v>22.86</v>
      </c>
      <c r="F13731" t="n">
        <v>1</v>
      </c>
      <c r="G13731" t="n">
        <v>24</v>
      </c>
      <c r="H13731" s="5">
        <f>HYPERLINK("https://api.qogita.com/variants/link/0773602642199/", "View Product")</f>
        <v/>
      </c>
    </row>
    <row r="13732">
      <c r="A13732" t="inlineStr">
        <is>
          <t>0773602642885</t>
        </is>
      </c>
      <c r="B13732" t="inlineStr">
        <is>
          <t>MAC Studio Fix Fluid SPF 15 24Hr Matte Foundation Plus Oil Control NC25 for Women 1 oz</t>
        </is>
      </c>
      <c r="C13732" t="inlineStr">
        <is>
          <t>Foundation</t>
        </is>
      </c>
      <c r="D13732" t="inlineStr">
        <is>
          <t>Mac</t>
        </is>
      </c>
      <c r="E13732" t="n">
        <v>29.63</v>
      </c>
      <c r="F13732" t="n">
        <v>1</v>
      </c>
      <c r="G13732" t="n">
        <v>5</v>
      </c>
      <c r="H13732" s="5">
        <f>HYPERLINK("https://api.qogita.com/variants/link/0773602642885/", "View Product")</f>
        <v/>
      </c>
    </row>
    <row r="13733">
      <c r="A13733" t="inlineStr">
        <is>
          <t>0773602643059</t>
        </is>
      </c>
      <c r="B13733" t="inlineStr">
        <is>
          <t>MAC Studio Fix Fluid SPF 15 24Hr Matte Foundation Plus Oil Control NW45 for Women 1 oz</t>
        </is>
      </c>
      <c r="C13733" t="inlineStr">
        <is>
          <t>Foundation</t>
        </is>
      </c>
      <c r="D13733" t="inlineStr">
        <is>
          <t>Mac</t>
        </is>
      </c>
      <c r="E13733" t="n">
        <v>25.11</v>
      </c>
      <c r="F13733" t="n">
        <v>1</v>
      </c>
      <c r="G13733" t="n">
        <v>7</v>
      </c>
      <c r="H13733" s="5">
        <f>HYPERLINK("https://api.qogita.com/variants/link/0773602643059/", "View Product")</f>
        <v/>
      </c>
    </row>
    <row r="13734">
      <c r="A13734" t="inlineStr">
        <is>
          <t>0773602643240</t>
        </is>
      </c>
      <c r="B13734" t="inlineStr">
        <is>
          <t>MAC Studio Radiance Serum-Driven Foundation 1.0 fl oz - New in Box</t>
        </is>
      </c>
      <c r="C13734" t="inlineStr">
        <is>
          <t>Foundation</t>
        </is>
      </c>
      <c r="D13734" t="inlineStr">
        <is>
          <t>Mac</t>
        </is>
      </c>
      <c r="E13734" t="n">
        <v>24.8</v>
      </c>
      <c r="F13734" t="n">
        <v>1</v>
      </c>
      <c r="G13734" t="n">
        <v>5</v>
      </c>
      <c r="H13734" s="5">
        <f>HYPERLINK("https://api.qogita.com/variants/link/0773602643240/", "View Product")</f>
        <v/>
      </c>
    </row>
    <row r="13735">
      <c r="A13735" t="inlineStr">
        <is>
          <t>0773602643264</t>
        </is>
      </c>
      <c r="B13735" t="inlineStr">
        <is>
          <t>Mac Studio Fix Fluid Spf 15 24hr Matte Foundation Oil Control - 30 Ml</t>
        </is>
      </c>
      <c r="C13735" t="inlineStr">
        <is>
          <t>Foundation</t>
        </is>
      </c>
      <c r="D13735" t="inlineStr">
        <is>
          <t>Mac</t>
        </is>
      </c>
      <c r="E13735" t="n">
        <v>28.56</v>
      </c>
      <c r="F13735" t="n">
        <v>1</v>
      </c>
      <c r="G13735" t="n">
        <v>26</v>
      </c>
      <c r="H13735" s="5">
        <f>HYPERLINK("https://api.qogita.com/variants/link/0773602643264/", "View Product")</f>
        <v/>
      </c>
    </row>
    <row r="13736">
      <c r="A13736" t="inlineStr">
        <is>
          <t>0773602643271</t>
        </is>
      </c>
      <c r="B13736" t="inlineStr">
        <is>
          <t>Mac Studio Fix Fluid Spf 15 24hr Matte Foundation Oil Control - 30 Ml</t>
        </is>
      </c>
      <c r="C13736" t="inlineStr">
        <is>
          <t>Foundation</t>
        </is>
      </c>
      <c r="D13736" t="inlineStr">
        <is>
          <t>Mac</t>
        </is>
      </c>
      <c r="E13736" t="n">
        <v>23.16</v>
      </c>
      <c r="F13736" t="n">
        <v>1</v>
      </c>
      <c r="G13736" t="n">
        <v>5</v>
      </c>
      <c r="H13736" s="5">
        <f>HYPERLINK("https://api.qogita.com/variants/link/0773602643271/", "View Product")</f>
        <v/>
      </c>
    </row>
    <row r="13737">
      <c r="A13737" t="inlineStr">
        <is>
          <t>0773602643349</t>
        </is>
      </c>
      <c r="B13737" t="inlineStr">
        <is>
          <t>MAC Studio Radiance Serum-Driven Foundation 1.0 fl oz - New in Box</t>
        </is>
      </c>
      <c r="C13737" t="inlineStr">
        <is>
          <t>Foundation</t>
        </is>
      </c>
      <c r="D13737" t="inlineStr">
        <is>
          <t>Mac</t>
        </is>
      </c>
      <c r="E13737" t="n">
        <v>23.16</v>
      </c>
      <c r="F13737" t="n">
        <v>1</v>
      </c>
      <c r="G13737" t="n">
        <v>5</v>
      </c>
      <c r="H13737" s="5">
        <f>HYPERLINK("https://api.qogita.com/variants/link/0773602643349/", "View Product")</f>
        <v/>
      </c>
    </row>
    <row r="13738">
      <c r="A13738" t="inlineStr">
        <is>
          <t>0773602646005</t>
        </is>
      </c>
      <c r="B13738" t="inlineStr">
        <is>
          <t>M•A•C Locked Kiss Tint 24 Hour Lip Color - 67 Meticulous 0.14 oz</t>
        </is>
      </c>
      <c r="C13738" t="inlineStr">
        <is>
          <t>Lipstick</t>
        </is>
      </c>
      <c r="D13738" t="inlineStr">
        <is>
          <t>Mac</t>
        </is>
      </c>
      <c r="E13738" t="n">
        <v>19.74</v>
      </c>
      <c r="F13738" t="n">
        <v>1</v>
      </c>
      <c r="G13738" t="n">
        <v>2</v>
      </c>
      <c r="H13738" s="5">
        <f>HYPERLINK("https://api.qogita.com/variants/link/0773602646005/", "View Product")</f>
        <v/>
      </c>
    </row>
    <row r="13739">
      <c r="A13739" t="inlineStr">
        <is>
          <t>0773602646135</t>
        </is>
      </c>
      <c r="B13739" t="inlineStr">
        <is>
          <t>MAC Cosmetics Locked Kiss Ink Liquid Lipcolor - Carnivore, 4 ml</t>
        </is>
      </c>
      <c r="C13739" t="inlineStr">
        <is>
          <t>Lipstick</t>
        </is>
      </c>
      <c r="D13739" t="inlineStr">
        <is>
          <t>Mac</t>
        </is>
      </c>
      <c r="E13739" t="n">
        <v>19.51</v>
      </c>
      <c r="F13739" t="n">
        <v>1</v>
      </c>
      <c r="G13739" t="n">
        <v>4</v>
      </c>
      <c r="H13739" s="5">
        <f>HYPERLINK("https://api.qogita.com/variants/link/0773602646135/", "View Product")</f>
        <v/>
      </c>
    </row>
    <row r="13740">
      <c r="A13740" t="inlineStr">
        <is>
          <t>0773602646746</t>
        </is>
      </c>
      <c r="B13740" t="inlineStr">
        <is>
          <t>MAC Lash Dry Shampoo Mascara Refresher 9ml</t>
        </is>
      </c>
      <c r="C13740" t="inlineStr">
        <is>
          <t>Mascara</t>
        </is>
      </c>
      <c r="D13740" t="inlineStr">
        <is>
          <t>Mac</t>
        </is>
      </c>
      <c r="E13740" t="n">
        <v>20.95</v>
      </c>
      <c r="F13740" t="n">
        <v>1</v>
      </c>
      <c r="G13740" t="n">
        <v>8</v>
      </c>
      <c r="H13740" s="5">
        <f>HYPERLINK("https://api.qogita.com/variants/link/0773602646746/", "View Product")</f>
        <v/>
      </c>
    </row>
    <row r="13741">
      <c r="A13741" t="inlineStr">
        <is>
          <t>0773602648702</t>
        </is>
      </c>
      <c r="B13741" t="inlineStr">
        <is>
          <t>Mac Connect In Colour X6 - Bronze Influence Eyeshadow</t>
        </is>
      </c>
      <c r="C13741" t="inlineStr">
        <is>
          <t>Eyeshadow</t>
        </is>
      </c>
      <c r="D13741" t="inlineStr">
        <is>
          <t>Mac</t>
        </is>
      </c>
      <c r="E13741" t="n">
        <v>26.78</v>
      </c>
      <c r="F13741" t="n">
        <v>1</v>
      </c>
      <c r="G13741" t="n">
        <v>3</v>
      </c>
      <c r="H13741" s="5">
        <f>HYPERLINK("https://api.qogita.com/variants/link/0773602648702/", "View Product")</f>
        <v/>
      </c>
    </row>
    <row r="13742">
      <c r="A13742" t="inlineStr">
        <is>
          <t>0773602648757</t>
        </is>
      </c>
      <c r="B13742" t="inlineStr">
        <is>
          <t>M.A.C. Limited Edition Connect In Colour Eyeshadow Palette: Future Flame 0.43oz 12.2g</t>
        </is>
      </c>
      <c r="C13742" t="inlineStr">
        <is>
          <t>Eye Sets &amp; Pallets</t>
        </is>
      </c>
      <c r="D13742" t="inlineStr">
        <is>
          <t>MAC Cosmetics</t>
        </is>
      </c>
      <c r="E13742" t="n">
        <v>38.09</v>
      </c>
      <c r="F13742" t="n">
        <v>1</v>
      </c>
      <c r="G13742" t="n">
        <v>20</v>
      </c>
      <c r="H13742" s="5">
        <f>HYPERLINK("https://api.qogita.com/variants/link/0773602648757/", "View Product")</f>
        <v/>
      </c>
    </row>
    <row r="13743">
      <c r="A13743" t="inlineStr">
        <is>
          <t>0773602655878</t>
        </is>
      </c>
      <c r="B13743" t="inlineStr">
        <is>
          <t>MAC Hyper Real Serumizer Skin Balancing Hydration Serum 0.50 fl oz 15 mL</t>
        </is>
      </c>
      <c r="C13743" t="inlineStr">
        <is>
          <t>Hydrating Serum</t>
        </is>
      </c>
      <c r="D13743" t="inlineStr">
        <is>
          <t>Mac</t>
        </is>
      </c>
      <c r="E13743" t="n">
        <v>24.76</v>
      </c>
      <c r="F13743" t="n">
        <v>1</v>
      </c>
      <c r="G13743" t="n">
        <v>10</v>
      </c>
      <c r="H13743" s="5">
        <f>HYPERLINK("https://api.qogita.com/variants/link/0773602655878/", "View Product")</f>
        <v/>
      </c>
    </row>
    <row r="13744">
      <c r="A13744" t="inlineStr">
        <is>
          <t>0773602656714</t>
        </is>
      </c>
      <c r="B13744" t="inlineStr">
        <is>
          <t>MAC Studio Radiance Serum Powered Foundation NC27</t>
        </is>
      </c>
      <c r="C13744" t="inlineStr">
        <is>
          <t>Foundation</t>
        </is>
      </c>
      <c r="D13744" t="inlineStr">
        <is>
          <t>Mac</t>
        </is>
      </c>
      <c r="E13744" t="n">
        <v>30.55</v>
      </c>
      <c r="F13744" t="n">
        <v>1</v>
      </c>
      <c r="G13744" t="n">
        <v>5</v>
      </c>
      <c r="H13744" s="5">
        <f>HYPERLINK("https://api.qogita.com/variants/link/0773602656714/", "View Product")</f>
        <v/>
      </c>
    </row>
    <row r="13745">
      <c r="A13745" t="inlineStr">
        <is>
          <t>0773602672165</t>
        </is>
      </c>
      <c r="B13745" t="inlineStr">
        <is>
          <t>Brightening Tinted Cream Strobe Dewy Skin Tint 30 ml Shade Medium 1</t>
        </is>
      </c>
      <c r="C13745" t="inlineStr">
        <is>
          <t>Bb Cream &amp; Cc Cream</t>
        </is>
      </c>
      <c r="D13745" t="inlineStr">
        <is>
          <t>Mac</t>
        </is>
      </c>
      <c r="E13745" t="n">
        <v>23.8</v>
      </c>
      <c r="F13745" t="n">
        <v>1</v>
      </c>
      <c r="G13745" t="n">
        <v>5</v>
      </c>
      <c r="H13745" s="5">
        <f>HYPERLINK("https://api.qogita.com/variants/link/0773602672165/", "View Product")</f>
        <v/>
      </c>
    </row>
    <row r="13746">
      <c r="A13746" t="inlineStr">
        <is>
          <t>0773602672196</t>
        </is>
      </c>
      <c r="B13746" t="inlineStr">
        <is>
          <t>M.A.C. Strobe Dewy Skin Tint 30ml - Choose Shade</t>
        </is>
      </c>
      <c r="C13746" t="inlineStr">
        <is>
          <t>Foundation</t>
        </is>
      </c>
      <c r="D13746" t="inlineStr">
        <is>
          <t>MAC Cosmetics</t>
        </is>
      </c>
      <c r="E13746" t="n">
        <v>21.14</v>
      </c>
      <c r="F13746" t="n">
        <v>1</v>
      </c>
      <c r="G13746" t="n">
        <v>10</v>
      </c>
      <c r="H13746" s="5">
        <f>HYPERLINK("https://api.qogita.com/variants/link/0773602672196/", "View Product")</f>
        <v/>
      </c>
    </row>
    <row r="13747">
      <c r="A13747" t="inlineStr">
        <is>
          <t>0773602672554</t>
        </is>
      </c>
      <c r="B13747" t="inlineStr">
        <is>
          <t>MAC Powder Kiss Velvet Blur Slim Stick Lipstick</t>
        </is>
      </c>
      <c r="C13747" t="inlineStr">
        <is>
          <t>Lipstick</t>
        </is>
      </c>
      <c r="D13747" t="inlineStr">
        <is>
          <t>Mac</t>
        </is>
      </c>
      <c r="E13747" t="n">
        <v>18.42</v>
      </c>
      <c r="F13747" t="n">
        <v>1</v>
      </c>
      <c r="G13747" t="n">
        <v>2</v>
      </c>
      <c r="H13747" s="5">
        <f>HYPERLINK("https://api.qogita.com/variants/link/0773602672554/", "View Product")</f>
        <v/>
      </c>
    </row>
    <row r="13748">
      <c r="A13748" t="inlineStr">
        <is>
          <t>0773602679409</t>
        </is>
      </c>
      <c r="B13748" t="inlineStr">
        <is>
          <t>MAC Locked Kiss 24HR Lipstick Connoisseur</t>
        </is>
      </c>
      <c r="C13748" t="inlineStr">
        <is>
          <t>Lipstick</t>
        </is>
      </c>
      <c r="D13748" t="inlineStr">
        <is>
          <t>Mac</t>
        </is>
      </c>
      <c r="E13748" t="n">
        <v>23.48</v>
      </c>
      <c r="F13748" t="n">
        <v>1</v>
      </c>
      <c r="G13748" t="n">
        <v>5</v>
      </c>
      <c r="H13748" s="5">
        <f>HYPERLINK("https://api.qogita.com/variants/link/0773602679409/", "View Product")</f>
        <v/>
      </c>
    </row>
    <row r="13749">
      <c r="A13749" t="inlineStr">
        <is>
          <t>0773602679461</t>
        </is>
      </c>
      <c r="B13749" t="inlineStr">
        <is>
          <t>MAC Locked Kiss 24HR Lipstick Poncy</t>
        </is>
      </c>
      <c r="C13749" t="inlineStr">
        <is>
          <t>Lipstick</t>
        </is>
      </c>
      <c r="D13749" t="inlineStr">
        <is>
          <t>Mac</t>
        </is>
      </c>
      <c r="E13749" t="n">
        <v>19.69</v>
      </c>
      <c r="F13749" t="n">
        <v>1</v>
      </c>
      <c r="G13749" t="n">
        <v>5</v>
      </c>
      <c r="H13749" s="5">
        <f>HYPERLINK("https://api.qogita.com/variants/link/0773602679461/", "View Product")</f>
        <v/>
      </c>
    </row>
    <row r="13750">
      <c r="A13750" t="inlineStr">
        <is>
          <t>0773602679478</t>
        </is>
      </c>
      <c r="B13750" t="inlineStr">
        <is>
          <t>MAC Locked Kiss 24HR Lipstick Gutsy</t>
        </is>
      </c>
      <c r="C13750" t="inlineStr">
        <is>
          <t>Lipstick</t>
        </is>
      </c>
      <c r="D13750" t="inlineStr">
        <is>
          <t>Mac</t>
        </is>
      </c>
      <c r="E13750" t="n">
        <v>22.95</v>
      </c>
      <c r="F13750" t="n">
        <v>1</v>
      </c>
      <c r="G13750" t="n">
        <v>10</v>
      </c>
      <c r="H13750" s="5">
        <f>HYPERLINK("https://api.qogita.com/variants/link/0773602679478/", "View Product")</f>
        <v/>
      </c>
    </row>
    <row r="13751">
      <c r="A13751" t="inlineStr">
        <is>
          <t>0773602679539</t>
        </is>
      </c>
      <c r="B13751" t="inlineStr">
        <is>
          <t>MAC Lipstick for Adults Unisex</t>
        </is>
      </c>
      <c r="C13751" t="inlineStr">
        <is>
          <t>Lipstick</t>
        </is>
      </c>
      <c r="D13751" t="inlineStr">
        <is>
          <t>Mac</t>
        </is>
      </c>
      <c r="E13751" t="n">
        <v>19.69</v>
      </c>
      <c r="F13751" t="n">
        <v>1</v>
      </c>
      <c r="G13751" t="n">
        <v>4</v>
      </c>
      <c r="H13751" s="5">
        <f>HYPERLINK("https://api.qogita.com/variants/link/0773602679539/", "View Product")</f>
        <v/>
      </c>
    </row>
    <row r="13752">
      <c r="A13752" t="inlineStr">
        <is>
          <t>0773602684458</t>
        </is>
      </c>
      <c r="B13752" t="inlineStr">
        <is>
          <t>Mac Studio Fix Every Wear All Over Face Pen NC15</t>
        </is>
      </c>
      <c r="C13752" t="inlineStr">
        <is>
          <t>Foundation</t>
        </is>
      </c>
      <c r="D13752" t="inlineStr">
        <is>
          <t>Mac</t>
        </is>
      </c>
      <c r="E13752" t="n">
        <v>21.21</v>
      </c>
      <c r="F13752" t="n">
        <v>1</v>
      </c>
      <c r="G13752" t="n">
        <v>11</v>
      </c>
      <c r="H13752" s="5">
        <f>HYPERLINK("https://api.qogita.com/variants/link/0773602684458/", "View Product")</f>
        <v/>
      </c>
    </row>
    <row r="13753">
      <c r="A13753" t="inlineStr">
        <is>
          <t>0773602684564</t>
        </is>
      </c>
      <c r="B13753" t="inlineStr">
        <is>
          <t>Mac Studio Fix Every Wear All Over Face Pen NC55 0.41oz</t>
        </is>
      </c>
      <c r="C13753" t="inlineStr">
        <is>
          <t>Concealer</t>
        </is>
      </c>
      <c r="D13753" t="inlineStr">
        <is>
          <t>MAC Cosmetics</t>
        </is>
      </c>
      <c r="E13753" t="n">
        <v>20.71</v>
      </c>
      <c r="F13753" t="n">
        <v>1</v>
      </c>
      <c r="G13753" t="n">
        <v>5</v>
      </c>
      <c r="H13753" s="5">
        <f>HYPERLINK("https://api.qogita.com/variants/link/0773602684564/", "View Product")</f>
        <v/>
      </c>
    </row>
    <row r="13754">
      <c r="A13754" t="inlineStr">
        <is>
          <t>0773602684939</t>
        </is>
      </c>
      <c r="B13754" t="inlineStr">
        <is>
          <t>MAC Macximal Silky Matte Lipstick Overstatement 0.12 Ounce Orange</t>
        </is>
      </c>
      <c r="C13754" t="inlineStr">
        <is>
          <t>Lipstick</t>
        </is>
      </c>
      <c r="D13754" t="inlineStr">
        <is>
          <t>Mac</t>
        </is>
      </c>
      <c r="E13754" t="n">
        <v>15.23</v>
      </c>
      <c r="F13754" t="n">
        <v>1</v>
      </c>
      <c r="G13754" t="n">
        <v>4</v>
      </c>
      <c r="H13754" s="5">
        <f>HYPERLINK("https://api.qogita.com/variants/link/0773602684939/", "View Product")</f>
        <v/>
      </c>
    </row>
    <row r="13755">
      <c r="A13755" t="inlineStr">
        <is>
          <t>0773602685172</t>
        </is>
      </c>
      <c r="B13755" t="inlineStr">
        <is>
          <t>Macximal Silky Matte Lipstick Velvet Teddy</t>
        </is>
      </c>
      <c r="C13755" t="inlineStr">
        <is>
          <t>Lipstick</t>
        </is>
      </c>
      <c r="D13755" t="inlineStr">
        <is>
          <t>Mac</t>
        </is>
      </c>
      <c r="E13755" t="n">
        <v>17.79</v>
      </c>
      <c r="F13755" t="n">
        <v>1</v>
      </c>
      <c r="G13755" t="n">
        <v>43</v>
      </c>
      <c r="H13755" s="5">
        <f>HYPERLINK("https://api.qogita.com/variants/link/0773602685172/", "View Product")</f>
        <v/>
      </c>
    </row>
    <row r="13756">
      <c r="A13756" t="inlineStr">
        <is>
          <t>0773602685608</t>
        </is>
      </c>
      <c r="B13756" t="inlineStr">
        <is>
          <t>MAC Cosmetics Cximal Silky Matte Lipstick 648 YOU WOULDN'T GET IT 3.5g</t>
        </is>
      </c>
      <c r="C13756" t="inlineStr">
        <is>
          <t>Lipstick</t>
        </is>
      </c>
      <c r="D13756" t="inlineStr">
        <is>
          <t>Mac</t>
        </is>
      </c>
      <c r="E13756" t="n">
        <v>17.79</v>
      </c>
      <c r="F13756" t="n">
        <v>1</v>
      </c>
      <c r="G13756" t="n">
        <v>13</v>
      </c>
      <c r="H13756" s="5">
        <f>HYPERLINK("https://api.qogita.com/variants/link/0773602685608/", "View Product")</f>
        <v/>
      </c>
    </row>
    <row r="13757">
      <c r="A13757" t="inlineStr">
        <is>
          <t>0773602689477</t>
        </is>
      </c>
      <c r="B13757" t="inlineStr">
        <is>
          <t>Mac Studio Fix Pro Set with Blur Weightless Loose Powder Translucent</t>
        </is>
      </c>
      <c r="C13757" t="inlineStr">
        <is>
          <t>Powder</t>
        </is>
      </c>
      <c r="D13757" t="inlineStr">
        <is>
          <t>MAC Cosmetics</t>
        </is>
      </c>
      <c r="E13757" t="n">
        <v>26.66</v>
      </c>
      <c r="F13757" t="n">
        <v>1</v>
      </c>
      <c r="G13757" t="n">
        <v>28</v>
      </c>
      <c r="H13757" s="5">
        <f>HYPERLINK("https://api.qogita.com/variants/link/0773602689477/", "View Product")</f>
        <v/>
      </c>
    </row>
    <row r="13758">
      <c r="A13758" t="inlineStr">
        <is>
          <t>0773602690176</t>
        </is>
      </c>
      <c r="B13758" t="inlineStr">
        <is>
          <t>Mac Skinfinish Sunstruck Matte Bronzer Matte Light Rosy</t>
        </is>
      </c>
      <c r="C13758" t="inlineStr">
        <is>
          <t>Bronzer</t>
        </is>
      </c>
      <c r="D13758" t="inlineStr">
        <is>
          <t>MAC Cosmetics</t>
        </is>
      </c>
      <c r="E13758" t="n">
        <v>25.48</v>
      </c>
      <c r="F13758" t="n">
        <v>1</v>
      </c>
      <c r="G13758" t="n">
        <v>2</v>
      </c>
      <c r="H13758" s="5">
        <f>HYPERLINK("https://api.qogita.com/variants/link/0773602690176/", "View Product")</f>
        <v/>
      </c>
    </row>
    <row r="13759">
      <c r="A13759" t="inlineStr">
        <is>
          <t>0773602690244</t>
        </is>
      </c>
      <c r="B13759" t="inlineStr">
        <is>
          <t>MAC Skinfinish Sunstruck Radiant Bronzer</t>
        </is>
      </c>
      <c r="C13759" t="inlineStr">
        <is>
          <t>Bronzer</t>
        </is>
      </c>
      <c r="D13759" t="inlineStr">
        <is>
          <t>Mac</t>
        </is>
      </c>
      <c r="E13759" t="n">
        <v>28.56</v>
      </c>
      <c r="F13759" t="n">
        <v>1</v>
      </c>
      <c r="G13759" t="n">
        <v>3</v>
      </c>
      <c r="H13759" s="5">
        <f>HYPERLINK("https://api.qogita.com/variants/link/0773602690244/", "View Product")</f>
        <v/>
      </c>
    </row>
    <row r="13760">
      <c r="A13760" t="inlineStr">
        <is>
          <t>0773602691647</t>
        </is>
      </c>
      <c r="B13760" t="inlineStr">
        <is>
          <t>Mac Glow Play Cushiony Blush - 7 Grams</t>
        </is>
      </c>
      <c r="C13760" t="inlineStr">
        <is>
          <t>Blush</t>
        </is>
      </c>
      <c r="D13760" t="inlineStr">
        <is>
          <t>Mac</t>
        </is>
      </c>
      <c r="E13760" t="n">
        <v>24.76</v>
      </c>
      <c r="F13760" t="n">
        <v>1</v>
      </c>
      <c r="G13760" t="n">
        <v>3</v>
      </c>
      <c r="H13760" s="5">
        <f>HYPERLINK("https://api.qogita.com/variants/link/0773602691647/", "View Product")</f>
        <v/>
      </c>
    </row>
    <row r="13761">
      <c r="A13761" t="inlineStr">
        <is>
          <t>0773602691654</t>
        </is>
      </c>
      <c r="B13761" t="inlineStr">
        <is>
          <t>Mac Glow Play Blush Cream Rouge 7 G</t>
        </is>
      </c>
      <c r="C13761" t="inlineStr">
        <is>
          <t>Blush</t>
        </is>
      </c>
      <c r="D13761" t="inlineStr">
        <is>
          <t>Mac</t>
        </is>
      </c>
      <c r="E13761" t="n">
        <v>24.76</v>
      </c>
      <c r="F13761" t="n">
        <v>1</v>
      </c>
      <c r="G13761" t="n">
        <v>10</v>
      </c>
      <c r="H13761" s="5">
        <f>HYPERLINK("https://api.qogita.com/variants/link/0773602691654/", "View Product")</f>
        <v/>
      </c>
    </row>
    <row r="13762">
      <c r="A13762" t="inlineStr">
        <is>
          <t>0773602692187</t>
        </is>
      </c>
      <c r="B13762" t="inlineStr">
        <is>
          <t>MAC Lip Squirt Gloss Heat Sensor</t>
        </is>
      </c>
      <c r="C13762" t="inlineStr">
        <is>
          <t>Lip Gloss</t>
        </is>
      </c>
      <c r="D13762" t="inlineStr">
        <is>
          <t>Mac</t>
        </is>
      </c>
      <c r="E13762" t="n">
        <v>14.51</v>
      </c>
      <c r="F13762" t="n">
        <v>1</v>
      </c>
      <c r="G13762" t="n">
        <v>61</v>
      </c>
      <c r="H13762" s="5">
        <f>HYPERLINK("https://api.qogita.com/variants/link/0773602692187/", "View Product")</f>
        <v/>
      </c>
    </row>
    <row r="13763">
      <c r="A13763" t="inlineStr">
        <is>
          <t>0773602707935</t>
        </is>
      </c>
      <c r="B13763" t="inlineStr">
        <is>
          <t>M.A.C Ximal Viva Glam Matte Lipstick VG9 Viva Equality 0.12 oz 3.5g</t>
        </is>
      </c>
      <c r="C13763" t="inlineStr">
        <is>
          <t>Lipstick</t>
        </is>
      </c>
      <c r="D13763" t="inlineStr">
        <is>
          <t>MAC Cosmetics</t>
        </is>
      </c>
      <c r="E13763" t="n">
        <v>15.52</v>
      </c>
      <c r="F13763" t="n">
        <v>1</v>
      </c>
      <c r="G13763" t="n">
        <v>5</v>
      </c>
      <c r="H13763" s="5">
        <f>HYPERLINK("https://api.qogita.com/variants/link/0773602707935/", "View Product")</f>
        <v/>
      </c>
    </row>
    <row r="13764">
      <c r="A13764" t="inlineStr">
        <is>
          <t>0773602710683</t>
        </is>
      </c>
      <c r="B13764" t="inlineStr">
        <is>
          <t>MAC Cosmetics Fixt ORIGINAL Alcohol-Free Multitasking Fixing Spray 100ml</t>
        </is>
      </c>
      <c r="C13764" t="inlineStr">
        <is>
          <t>Setting Spray</t>
        </is>
      </c>
      <c r="D13764" t="inlineStr">
        <is>
          <t>Mac</t>
        </is>
      </c>
      <c r="E13764" t="n">
        <v>21.05</v>
      </c>
      <c r="F13764" t="n">
        <v>1</v>
      </c>
      <c r="G13764" t="n">
        <v>41</v>
      </c>
      <c r="H13764" s="5">
        <f>HYPERLINK("https://api.qogita.com/variants/link/0773602710683/", "View Product")</f>
        <v/>
      </c>
    </row>
    <row r="13765">
      <c r="A13765" t="inlineStr">
        <is>
          <t>0773602726165</t>
        </is>
      </c>
      <c r="B13765" t="inlineStr">
        <is>
          <t>Mac Frost Lipstick in Brushed In Bronze 0.1 Ounces</t>
        </is>
      </c>
      <c r="C13765" t="inlineStr">
        <is>
          <t>Lipstick</t>
        </is>
      </c>
      <c r="D13765" t="inlineStr">
        <is>
          <t>Mac</t>
        </is>
      </c>
      <c r="E13765" t="n">
        <v>19.36</v>
      </c>
      <c r="F13765" t="n">
        <v>1</v>
      </c>
      <c r="G13765" t="n">
        <v>7</v>
      </c>
      <c r="H13765" s="5">
        <f>HYPERLINK("https://api.qogita.com/variants/link/0773602726165/", "View Product")</f>
        <v/>
      </c>
    </row>
    <row r="13766">
      <c r="A13766" t="inlineStr">
        <is>
          <t>0773602740291</t>
        </is>
      </c>
      <c r="B13766" t="inlineStr">
        <is>
          <t>Mac Chromacrayon Eye Shadow Stick Flirty Martini 0.05 Ounces</t>
        </is>
      </c>
      <c r="C13766" t="inlineStr">
        <is>
          <t>Eyeshadow</t>
        </is>
      </c>
      <c r="D13766" t="inlineStr">
        <is>
          <t>Mac</t>
        </is>
      </c>
      <c r="E13766" t="n">
        <v>23.59</v>
      </c>
      <c r="F13766" t="n">
        <v>1</v>
      </c>
      <c r="G13766" t="n">
        <v>25</v>
      </c>
      <c r="H13766" s="5">
        <f>HYPERLINK("https://api.qogita.com/variants/link/0773602740291/", "View Product")</f>
        <v/>
      </c>
    </row>
    <row r="13767">
      <c r="A13767" t="inlineStr">
        <is>
          <t>0783320402647</t>
        </is>
      </c>
      <c r="B13767" t="inlineStr">
        <is>
          <t>Bvlgari Omnia Amethyste Eau De Toilette 25ml Spray</t>
        </is>
      </c>
      <c r="C13767" t="inlineStr">
        <is>
          <t>Eau De Toilette</t>
        </is>
      </c>
      <c r="D13767" t="inlineStr">
        <is>
          <t>Bvlgari</t>
        </is>
      </c>
      <c r="E13767" t="n">
        <v>35.28</v>
      </c>
      <c r="F13767" t="n">
        <v>1</v>
      </c>
      <c r="G13767" t="n">
        <v>5</v>
      </c>
      <c r="H13767" s="5">
        <f>HYPERLINK("https://api.qogita.com/variants/link/0783320402647/", "View Product")</f>
        <v/>
      </c>
    </row>
    <row r="13768">
      <c r="A13768" t="inlineStr">
        <is>
          <t>0783320402746</t>
        </is>
      </c>
      <c r="B13768" t="inlineStr">
        <is>
          <t>Bvlgari Omnia Coral Eau De Toilette Spray for Women 1.35 Ounce</t>
        </is>
      </c>
      <c r="C13768" t="inlineStr">
        <is>
          <t>Eau De Toilette</t>
        </is>
      </c>
      <c r="D13768" t="inlineStr">
        <is>
          <t>Bvlgari</t>
        </is>
      </c>
      <c r="E13768" t="n">
        <v>57.33</v>
      </c>
      <c r="F13768" t="n">
        <v>1</v>
      </c>
      <c r="G13768" t="n">
        <v>398</v>
      </c>
      <c r="H13768" s="5">
        <f>HYPERLINK("https://api.qogita.com/variants/link/0783320402746/", "View Product")</f>
        <v/>
      </c>
    </row>
    <row r="13769">
      <c r="A13769" t="inlineStr">
        <is>
          <t>0783320402913</t>
        </is>
      </c>
      <c r="B13769" t="inlineStr">
        <is>
          <t>Bulgari Women's Omnia Crystalline Eau de Toilette Spray 1.35 fl. oz.</t>
        </is>
      </c>
      <c r="C13769" t="inlineStr">
        <is>
          <t>Eau De Toilette</t>
        </is>
      </c>
      <c r="D13769" t="inlineStr">
        <is>
          <t>Bvlgari</t>
        </is>
      </c>
      <c r="E13769" t="n">
        <v>56.87</v>
      </c>
      <c r="F13769" t="n">
        <v>1</v>
      </c>
      <c r="G13769" t="n">
        <v>2336</v>
      </c>
      <c r="H13769" s="5">
        <f>HYPERLINK("https://api.qogita.com/variants/link/0783320402913/", "View Product")</f>
        <v/>
      </c>
    </row>
    <row r="13770">
      <c r="A13770" t="inlineStr">
        <is>
          <t>0783320403897</t>
        </is>
      </c>
      <c r="B13770" t="inlineStr">
        <is>
          <t>Bvlgari Man Wood Neroli Eau De Perfume Spray 100ml</t>
        </is>
      </c>
      <c r="C13770" t="inlineStr">
        <is>
          <t>Eau De Parfum</t>
        </is>
      </c>
      <c r="D13770" t="inlineStr">
        <is>
          <t>BULGARI</t>
        </is>
      </c>
      <c r="E13770" t="n">
        <v>48.27</v>
      </c>
      <c r="F13770" t="n">
        <v>1</v>
      </c>
      <c r="G13770" t="n">
        <v>37</v>
      </c>
      <c r="H13770" s="5">
        <f>HYPERLINK("https://api.qogita.com/variants/link/0783320403897/", "View Product")</f>
        <v/>
      </c>
    </row>
    <row r="13771">
      <c r="A13771" t="inlineStr">
        <is>
          <t>0783320411168</t>
        </is>
      </c>
      <c r="B13771" t="inlineStr">
        <is>
          <t>Bvlgari Splendida Eau de parfum spray 100ml</t>
        </is>
      </c>
      <c r="C13771" t="inlineStr">
        <is>
          <t>Eau De Parfum</t>
        </is>
      </c>
      <c r="D13771" t="inlineStr">
        <is>
          <t>BULGARI</t>
        </is>
      </c>
      <c r="E13771" t="n">
        <v>54.65</v>
      </c>
      <c r="F13771" t="n">
        <v>1</v>
      </c>
      <c r="G13771" t="n">
        <v>36</v>
      </c>
      <c r="H13771" s="5">
        <f>HYPERLINK("https://api.qogita.com/variants/link/0783320411168/", "View Product")</f>
        <v/>
      </c>
    </row>
    <row r="13772">
      <c r="A13772" t="inlineStr">
        <is>
          <t>0783320412431</t>
        </is>
      </c>
      <c r="B13772" t="inlineStr">
        <is>
          <t>Bvlgari Allegra Fantasia Veneta by Bvlgari 3.4 oz</t>
        </is>
      </c>
      <c r="C13772" t="inlineStr">
        <is>
          <t>Eau De Parfum</t>
        </is>
      </c>
      <c r="D13772" t="inlineStr">
        <is>
          <t>Bvlgari</t>
        </is>
      </c>
      <c r="E13772" t="n">
        <v>188.49</v>
      </c>
      <c r="F13772" t="n">
        <v>1</v>
      </c>
      <c r="G13772" t="n">
        <v>3</v>
      </c>
      <c r="H13772" s="5">
        <f>HYPERLINK("https://api.qogita.com/variants/link/0783320412431/", "View Product")</f>
        <v/>
      </c>
    </row>
    <row r="13773">
      <c r="A13773" t="inlineStr">
        <is>
          <t>0783320414947</t>
        </is>
      </c>
      <c r="B13773" t="inlineStr">
        <is>
          <t>Bvlgari Azaran - Eau De Parfum</t>
        </is>
      </c>
      <c r="C13773" t="inlineStr">
        <is>
          <t>Eau De Parfum</t>
        </is>
      </c>
      <c r="D13773" t="inlineStr">
        <is>
          <t>Bvlgari</t>
        </is>
      </c>
      <c r="E13773" t="n">
        <v>257.5</v>
      </c>
      <c r="F13773" t="n">
        <v>1</v>
      </c>
      <c r="G13773" t="n">
        <v>3</v>
      </c>
      <c r="H13773" s="5">
        <f>HYPERLINK("https://api.qogita.com/variants/link/0783320414947/", "View Product")</f>
        <v/>
      </c>
    </row>
    <row r="13774">
      <c r="A13774" t="inlineStr">
        <is>
          <t>0783320416118</t>
        </is>
      </c>
      <c r="B13774" t="inlineStr">
        <is>
          <t>BVLGARI Man Terrae Essence Eau de Parfum 60ml</t>
        </is>
      </c>
      <c r="C13774" t="inlineStr">
        <is>
          <t>Eau De Parfum</t>
        </is>
      </c>
      <c r="D13774" t="inlineStr">
        <is>
          <t>Bvlgari</t>
        </is>
      </c>
      <c r="E13774" t="n">
        <v>41.29</v>
      </c>
      <c r="F13774" t="n">
        <v>1</v>
      </c>
      <c r="G13774" t="n">
        <v>10</v>
      </c>
      <c r="H13774" s="5">
        <f>HYPERLINK("https://api.qogita.com/variants/link/0783320416118/", "View Product")</f>
        <v/>
      </c>
    </row>
    <row r="13775">
      <c r="A13775" t="inlineStr">
        <is>
          <t>0783320417009</t>
        </is>
      </c>
      <c r="B13775" t="inlineStr">
        <is>
          <t>Bvlgari Rose Goldea Blossom Delight EDT Spray 50ml</t>
        </is>
      </c>
      <c r="C13775" t="inlineStr">
        <is>
          <t>Eau De Toilette</t>
        </is>
      </c>
      <c r="D13775" t="inlineStr">
        <is>
          <t>Bvlgari</t>
        </is>
      </c>
      <c r="E13775" t="n">
        <v>49.05</v>
      </c>
      <c r="F13775" t="n">
        <v>1</v>
      </c>
      <c r="G13775" t="n">
        <v>5</v>
      </c>
      <c r="H13775" s="5">
        <f>HYPERLINK("https://api.qogita.com/variants/link/0783320417009/", "View Product")</f>
        <v/>
      </c>
    </row>
    <row r="13776">
      <c r="A13776" t="inlineStr">
        <is>
          <t>0783320417726</t>
        </is>
      </c>
      <c r="B13776" t="inlineStr">
        <is>
          <t>Bulgari Bvlgari Man Terrae Essence Gift Set</t>
        </is>
      </c>
      <c r="C13776" t="inlineStr">
        <is>
          <t>Fragrance Sets</t>
        </is>
      </c>
      <c r="D13776" t="inlineStr">
        <is>
          <t>Bvlgari</t>
        </is>
      </c>
      <c r="E13776" t="n">
        <v>87.11</v>
      </c>
      <c r="F13776" t="n">
        <v>1</v>
      </c>
      <c r="G13776" t="n">
        <v>25</v>
      </c>
      <c r="H13776" s="5">
        <f>HYPERLINK("https://api.qogita.com/variants/link/0783320417726/", "View Product")</f>
        <v/>
      </c>
    </row>
    <row r="13777">
      <c r="A13777" t="inlineStr">
        <is>
          <t>0783320420610</t>
        </is>
      </c>
      <c r="B13777" t="inlineStr">
        <is>
          <t>Bvlgari Omnia Amethyste Women's Perfume 100ml</t>
        </is>
      </c>
      <c r="C13777" t="inlineStr">
        <is>
          <t>Eau De Parfum</t>
        </is>
      </c>
      <c r="D13777" t="inlineStr">
        <is>
          <t>Bvlgari</t>
        </is>
      </c>
      <c r="E13777" t="n">
        <v>84.23999999999999</v>
      </c>
      <c r="F13777" t="n">
        <v>1</v>
      </c>
      <c r="G13777" t="n">
        <v>13</v>
      </c>
      <c r="H13777" s="5">
        <f>HYPERLINK("https://api.qogita.com/variants/link/0783320420610/", "View Product")</f>
        <v/>
      </c>
    </row>
    <row r="13778">
      <c r="A13778" t="inlineStr">
        <is>
          <t>0783320421532</t>
        </is>
      </c>
      <c r="B13778" t="inlineStr">
        <is>
          <t>Bulgari Man In Black Eau de Parfum Spray 100ml</t>
        </is>
      </c>
      <c r="C13778" t="inlineStr">
        <is>
          <t>Eau De Parfum</t>
        </is>
      </c>
      <c r="D13778" t="inlineStr">
        <is>
          <t>Bvlgari</t>
        </is>
      </c>
      <c r="E13778" t="n">
        <v>80.95</v>
      </c>
      <c r="F13778" t="n">
        <v>1</v>
      </c>
      <c r="G13778" t="n">
        <v>27</v>
      </c>
      <c r="H13778" s="5">
        <f>HYPERLINK("https://api.qogita.com/variants/link/0783320421532/", "View Product")</f>
        <v/>
      </c>
    </row>
    <row r="13779">
      <c r="A13779" t="inlineStr">
        <is>
          <t>0783320422317</t>
        </is>
      </c>
      <c r="B13779" t="inlineStr">
        <is>
          <t>Bvlgari Man In Black Giftset - Men's Fragrances</t>
        </is>
      </c>
      <c r="C13779" t="inlineStr">
        <is>
          <t>Fragrance Sets</t>
        </is>
      </c>
      <c r="D13779" t="inlineStr">
        <is>
          <t>Bvlgari</t>
        </is>
      </c>
      <c r="E13779" t="n">
        <v>97.05</v>
      </c>
      <c r="F13779" t="n">
        <v>1</v>
      </c>
      <c r="G13779" t="n">
        <v>35</v>
      </c>
      <c r="H13779" s="5">
        <f>HYPERLINK("https://api.qogita.com/variants/link/0783320422317/", "View Product")</f>
        <v/>
      </c>
    </row>
    <row r="13780">
      <c r="A13780" t="inlineStr">
        <is>
          <t>0783320521041</t>
        </is>
      </c>
      <c r="B13780" t="inlineStr">
        <is>
          <t>Bvlgari Le Gemme Ambero Eau De Parfum 100ml</t>
        </is>
      </c>
      <c r="C13780" t="inlineStr">
        <is>
          <t>Eau De Parfum</t>
        </is>
      </c>
      <c r="D13780" t="inlineStr">
        <is>
          <t>Paul Smith</t>
        </is>
      </c>
      <c r="E13780" t="n">
        <v>231.19</v>
      </c>
      <c r="F13780" t="n">
        <v>1</v>
      </c>
      <c r="G13780" t="n">
        <v>5</v>
      </c>
      <c r="H13780" s="5">
        <f>HYPERLINK("https://api.qogita.com/variants/link/0783320521041/", "View Product")</f>
        <v/>
      </c>
    </row>
    <row r="13781">
      <c r="A13781" t="inlineStr">
        <is>
          <t>0785364134553</t>
        </is>
      </c>
      <c r="B13781" t="inlineStr">
        <is>
          <t>Facial Spray with Aloe, Adaptogens and Coconut Water 59ml</t>
        </is>
      </c>
      <c r="C13781" t="inlineStr">
        <is>
          <t>Facial Spray</t>
        </is>
      </c>
      <c r="D13781" t="inlineStr">
        <is>
          <t>Mario Badescu</t>
        </is>
      </c>
      <c r="E13781" t="n">
        <v>3.88</v>
      </c>
      <c r="F13781" t="n">
        <v>1</v>
      </c>
      <c r="G13781" t="n">
        <v>4</v>
      </c>
      <c r="H13781" s="5">
        <f>HYPERLINK("https://api.qogita.com/variants/link/0785364134553/", "View Product")</f>
        <v/>
      </c>
    </row>
    <row r="13782">
      <c r="A13782" t="inlineStr">
        <is>
          <t>0790490181241</t>
        </is>
      </c>
      <c r="B13782" t="inlineStr">
        <is>
          <t>Coconut Black Tea Body Scrub 100g</t>
        </is>
      </c>
      <c r="C13782" t="inlineStr">
        <is>
          <t>Body Scrub &amp; Peeling</t>
        </is>
      </c>
      <c r="D13782" t="inlineStr">
        <is>
          <t>Delhicious</t>
        </is>
      </c>
      <c r="E13782" t="n">
        <v>8.98</v>
      </c>
      <c r="F13782" t="n">
        <v>1</v>
      </c>
      <c r="G13782" t="n">
        <v>7</v>
      </c>
      <c r="H13782" s="5">
        <f>HYPERLINK("https://api.qogita.com/variants/link/0790490181241/", "View Product")</f>
        <v/>
      </c>
    </row>
    <row r="13783">
      <c r="A13783" t="inlineStr">
        <is>
          <t>0790490181258</t>
        </is>
      </c>
      <c r="B13783" t="inlineStr">
        <is>
          <t>Body Scrub You &amp; Me Are Mint To Be (Mint Black Tea Body Scrub) 100 g</t>
        </is>
      </c>
      <c r="C13783" t="inlineStr">
        <is>
          <t>Body Scrub &amp; Peeling</t>
        </is>
      </c>
      <c r="D13783" t="inlineStr">
        <is>
          <t>Delhicious</t>
        </is>
      </c>
      <c r="E13783" t="n">
        <v>8.98</v>
      </c>
      <c r="F13783" t="n">
        <v>1</v>
      </c>
      <c r="G13783" t="n">
        <v>5</v>
      </c>
      <c r="H13783" s="5">
        <f>HYPERLINK("https://api.qogita.com/variants/link/0790490181258/", "View Product")</f>
        <v/>
      </c>
    </row>
    <row r="13784">
      <c r="A13784" t="inlineStr">
        <is>
          <t>0791511878157</t>
        </is>
      </c>
      <c r="B13784" t="inlineStr">
        <is>
          <t>D.S. &amp; Durga Mississippi Medicine Eau De Parfum for Men 1.7oz/50ml</t>
        </is>
      </c>
      <c r="C13784" t="inlineStr">
        <is>
          <t>Eau De Parfum</t>
        </is>
      </c>
      <c r="D13784" t="inlineStr">
        <is>
          <t>D.S. &amp; Durga</t>
        </is>
      </c>
      <c r="E13784" t="n">
        <v>112.54</v>
      </c>
      <c r="F13784" t="n">
        <v>1</v>
      </c>
      <c r="G13784" t="n">
        <v>5</v>
      </c>
      <c r="H13784" s="5">
        <f>HYPERLINK("https://api.qogita.com/variants/link/0791511878157/", "View Product")</f>
        <v/>
      </c>
    </row>
    <row r="13785">
      <c r="A13785" t="inlineStr">
        <is>
          <t>0793675005622</t>
        </is>
      </c>
      <c r="B13785" t="inlineStr">
        <is>
          <t>Juniper Sling by Penhaligon's 3.4oz EDT Spray for Men</t>
        </is>
      </c>
      <c r="C13785" t="inlineStr">
        <is>
          <t>Eau De Toilette</t>
        </is>
      </c>
      <c r="D13785" t="inlineStr">
        <is>
          <t>Penhaligon's London</t>
        </is>
      </c>
      <c r="E13785" t="n">
        <v>140.96</v>
      </c>
      <c r="F13785" t="n">
        <v>1</v>
      </c>
      <c r="G13785" t="n">
        <v>12</v>
      </c>
      <c r="H13785" s="5">
        <f>HYPERLINK("https://api.qogita.com/variants/link/0793675005622/", "View Product")</f>
        <v/>
      </c>
    </row>
    <row r="13786">
      <c r="A13786" t="inlineStr">
        <is>
          <t>0794995028094</t>
        </is>
      </c>
      <c r="B13786" t="inlineStr">
        <is>
          <t>Carbon Theory Supacylic Skin Serum Zap Serum - 30 Ml</t>
        </is>
      </c>
      <c r="C13786" t="inlineStr">
        <is>
          <t>Glow Serum</t>
        </is>
      </c>
      <c r="D13786" t="inlineStr">
        <is>
          <t>Carbon Theory</t>
        </is>
      </c>
      <c r="E13786" t="n">
        <v>8.199999999999999</v>
      </c>
      <c r="F13786" t="n">
        <v>1</v>
      </c>
      <c r="G13786" t="n">
        <v>6</v>
      </c>
      <c r="H13786" s="5">
        <f>HYPERLINK("https://api.qogita.com/variants/link/0794995028094/", "View Product")</f>
        <v/>
      </c>
    </row>
    <row r="13787">
      <c r="A13787" t="inlineStr">
        <is>
          <t>0794995028117</t>
        </is>
      </c>
      <c r="B13787" t="inlineStr">
        <is>
          <t>Carbon Theory Supacylic Zap Pen Salicylic Acid Direct Treatment 5 Ml</t>
        </is>
      </c>
      <c r="C13787" t="inlineStr">
        <is>
          <t>Pimple &amp; Blackhead Treatments</t>
        </is>
      </c>
      <c r="D13787" t="inlineStr">
        <is>
          <t>Carbon Theory</t>
        </is>
      </c>
      <c r="E13787" t="n">
        <v>6.64</v>
      </c>
      <c r="F13787" t="n">
        <v>1</v>
      </c>
      <c r="G13787" t="n">
        <v>6</v>
      </c>
      <c r="H13787" s="5">
        <f>HYPERLINK("https://api.qogita.com/variants/link/0794995028117/", "View Product")</f>
        <v/>
      </c>
    </row>
    <row r="13788">
      <c r="A13788" t="inlineStr">
        <is>
          <t>0800897216818</t>
        </is>
      </c>
      <c r="B13788" t="inlineStr">
        <is>
          <t>NYX Professional Makeup Epic Smoke Liner Vegan Smokey Eyeliner Rose Dust Soft Rosy Lavender</t>
        </is>
      </c>
      <c r="C13788" t="inlineStr">
        <is>
          <t>Eyeliner</t>
        </is>
      </c>
      <c r="D13788" t="inlineStr">
        <is>
          <t>NYX Professional Makeup</t>
        </is>
      </c>
      <c r="E13788" t="n">
        <v>6.58</v>
      </c>
      <c r="F13788" t="n">
        <v>1</v>
      </c>
      <c r="G13788" t="n">
        <v>3</v>
      </c>
      <c r="H13788" s="5">
        <f>HYPERLINK("https://api.qogita.com/variants/link/0800897216818/", "View Product")</f>
        <v/>
      </c>
    </row>
    <row r="13789">
      <c r="A13789" t="inlineStr">
        <is>
          <t>0800897221614</t>
        </is>
      </c>
      <c r="B13789" t="inlineStr">
        <is>
          <t>NYX PROFESSIONAL MAKEUP Line Loud Lip Liner with Jojoba Oil and Vitamin E 01 Gimme Drama</t>
        </is>
      </c>
      <c r="C13789" t="inlineStr">
        <is>
          <t>Lip Liner</t>
        </is>
      </c>
      <c r="D13789" t="inlineStr">
        <is>
          <t>NYX Professional Makeup</t>
        </is>
      </c>
      <c r="E13789" t="n">
        <v>5.9</v>
      </c>
      <c r="F13789" t="n">
        <v>1</v>
      </c>
      <c r="G13789" t="n">
        <v>2</v>
      </c>
      <c r="H13789" s="5">
        <f>HYPERLINK("https://api.qogita.com/variants/link/0800897221614/", "View Product")</f>
        <v/>
      </c>
    </row>
    <row r="13790">
      <c r="A13790" t="inlineStr">
        <is>
          <t>0800897221652</t>
        </is>
      </c>
      <c r="B13790" t="inlineStr">
        <is>
          <t>NYX Professional Makeup Line Loud Lip Liner with Jojoba Oil and Vitamin E Medium Neutral Nude 05 Global Citizen</t>
        </is>
      </c>
      <c r="C13790" t="inlineStr">
        <is>
          <t>Lip Liner</t>
        </is>
      </c>
      <c r="D13790" t="inlineStr">
        <is>
          <t>NYX Professional Makeup</t>
        </is>
      </c>
      <c r="E13790" t="n">
        <v>7.69</v>
      </c>
      <c r="F13790" t="n">
        <v>1</v>
      </c>
      <c r="G13790" t="n">
        <v>4</v>
      </c>
      <c r="H13790" s="5">
        <f>HYPERLINK("https://api.qogita.com/variants/link/0800897221652/", "View Product")</f>
        <v/>
      </c>
    </row>
    <row r="13791">
      <c r="A13791" t="inlineStr">
        <is>
          <t>0800897221720</t>
        </is>
      </c>
      <c r="B13791" t="inlineStr">
        <is>
          <t>NYX Professional Makeup Matte Finish Lipliner Line Loud 12 On A Mission</t>
        </is>
      </c>
      <c r="C13791" t="inlineStr">
        <is>
          <t>Lip Liner</t>
        </is>
      </c>
      <c r="D13791" t="inlineStr">
        <is>
          <t>NYX Professional Makeup</t>
        </is>
      </c>
      <c r="E13791" t="n">
        <v>5.04</v>
      </c>
      <c r="F13791" t="n">
        <v>1</v>
      </c>
      <c r="G13791" t="n">
        <v>3</v>
      </c>
      <c r="H13791" s="5">
        <f>HYPERLINK("https://api.qogita.com/variants/link/0800897221720/", "View Product")</f>
        <v/>
      </c>
    </row>
    <row r="13792">
      <c r="A13792" t="inlineStr">
        <is>
          <t>0800897221768</t>
        </is>
      </c>
      <c r="B13792" t="inlineStr">
        <is>
          <t>Nyx Professional  Line Loud lip pencil stick 16-magic maker 1.2 gr</t>
        </is>
      </c>
      <c r="C13792" t="inlineStr">
        <is>
          <t>Lip Liner</t>
        </is>
      </c>
      <c r="D13792" t="inlineStr">
        <is>
          <t>NYX Professional Makeup</t>
        </is>
      </c>
      <c r="E13792" t="n">
        <v>7.32</v>
      </c>
      <c r="F13792" t="n">
        <v>1</v>
      </c>
      <c r="G13792" t="n">
        <v>2</v>
      </c>
      <c r="H13792" s="5">
        <f>HYPERLINK("https://api.qogita.com/variants/link/0800897221768/", "View Product")</f>
        <v/>
      </c>
    </row>
    <row r="13793">
      <c r="A13793" t="inlineStr">
        <is>
          <t>0800897247805</t>
        </is>
      </c>
      <c r="B13793" t="inlineStr">
        <is>
          <t>Nyx Sfx Glitter Face &amp; Eye Paint - 8 Ml</t>
        </is>
      </c>
      <c r="C13793" t="inlineStr">
        <is>
          <t>Body Makeup</t>
        </is>
      </c>
      <c r="D13793" t="inlineStr">
        <is>
          <t>NYX</t>
        </is>
      </c>
      <c r="E13793" t="n">
        <v>5.78</v>
      </c>
      <c r="F13793" t="n">
        <v>1</v>
      </c>
      <c r="G13793" t="n">
        <v>2</v>
      </c>
      <c r="H13793" s="5">
        <f>HYPERLINK("https://api.qogita.com/variants/link/0800897247805/", "View Product")</f>
        <v/>
      </c>
    </row>
    <row r="13794">
      <c r="A13794" t="inlineStr">
        <is>
          <t>0800897250027</t>
        </is>
      </c>
      <c r="B13794" t="inlineStr">
        <is>
          <t>NYX Professional Makeup Line Loud Lip Pencil Waterproof Infused with Jojoba Oil Smooth Comfy Lips Soft Matte Finish Vegan Formula 34 Make a Statement</t>
        </is>
      </c>
      <c r="C13794" t="inlineStr">
        <is>
          <t>Lip Liner</t>
        </is>
      </c>
      <c r="D13794" t="inlineStr">
        <is>
          <t>NYX Professional Makeup</t>
        </is>
      </c>
      <c r="E13794" t="n">
        <v>4.88</v>
      </c>
      <c r="F13794" t="n">
        <v>1</v>
      </c>
      <c r="G13794" t="n">
        <v>2</v>
      </c>
      <c r="H13794" s="5">
        <f>HYPERLINK("https://api.qogita.com/variants/link/0800897250027/", "View Product")</f>
        <v/>
      </c>
    </row>
    <row r="13795">
      <c r="A13795" t="inlineStr">
        <is>
          <t>0800897250089</t>
        </is>
      </c>
      <c r="B13795" t="inlineStr">
        <is>
          <t>NYX Professional Makeup Fat Oil Slick Click Lightweight Buildable Pigmented Vegan Lip Balm Trending Topic 12</t>
        </is>
      </c>
      <c r="C13795" t="inlineStr">
        <is>
          <t>Lip Balm</t>
        </is>
      </c>
      <c r="D13795" t="inlineStr">
        <is>
          <t>NYX Professional Makeup</t>
        </is>
      </c>
      <c r="E13795" t="n">
        <v>8.279999999999999</v>
      </c>
      <c r="F13795" t="n">
        <v>1</v>
      </c>
      <c r="G13795" t="n">
        <v>5</v>
      </c>
      <c r="H13795" s="5">
        <f>HYPERLINK("https://api.qogita.com/variants/link/0800897250089/", "View Product")</f>
        <v/>
      </c>
    </row>
    <row r="13796">
      <c r="A13796" t="inlineStr">
        <is>
          <t>0800897266677</t>
        </is>
      </c>
      <c r="B13796" t="inlineStr">
        <is>
          <t>Nyx Professional Makeup Plumping Lip Liner - Up to 10 Hr Wear Matte</t>
        </is>
      </c>
      <c r="C13796" t="inlineStr">
        <is>
          <t>Lip Liner</t>
        </is>
      </c>
      <c r="D13796" t="inlineStr">
        <is>
          <t>NYX Professional Makeup</t>
        </is>
      </c>
      <c r="E13796" t="n">
        <v>7.62</v>
      </c>
      <c r="F13796" t="n">
        <v>1</v>
      </c>
      <c r="G13796" t="n">
        <v>2</v>
      </c>
      <c r="H13796" s="5">
        <f>HYPERLINK("https://api.qogita.com/variants/link/0800897266677/", "View Product")</f>
        <v/>
      </c>
    </row>
    <row r="13797">
      <c r="A13797" t="inlineStr">
        <is>
          <t>0810014323015</t>
        </is>
      </c>
      <c r="B13797" t="inlineStr">
        <is>
          <t>StriVectin Advanced Retinol Intensive Night Moisturizer 1.1 oz.</t>
        </is>
      </c>
      <c r="C13797" t="inlineStr">
        <is>
          <t>Night Cream</t>
        </is>
      </c>
      <c r="D13797" t="inlineStr">
        <is>
          <t>Strivectin</t>
        </is>
      </c>
      <c r="E13797" t="n">
        <v>27.73</v>
      </c>
      <c r="F13797" t="n">
        <v>1</v>
      </c>
      <c r="G13797" t="n">
        <v>13</v>
      </c>
      <c r="H13797" s="5">
        <f>HYPERLINK("https://api.qogita.com/variants/link/0810014323015/", "View Product")</f>
        <v/>
      </c>
    </row>
    <row r="13798">
      <c r="A13798" t="inlineStr">
        <is>
          <t>0810014324968</t>
        </is>
      </c>
      <c r="B13798" t="inlineStr">
        <is>
          <t>StriVectin Super Shrink Pore Minimizing Serum for Clogged Pores and Blackheads Tightening and Brightening Skin Texture</t>
        </is>
      </c>
      <c r="C13798" t="inlineStr">
        <is>
          <t>Glow Serum</t>
        </is>
      </c>
      <c r="D13798" t="inlineStr">
        <is>
          <t>Strivectin</t>
        </is>
      </c>
      <c r="E13798" t="n">
        <v>57.31</v>
      </c>
      <c r="F13798" t="n">
        <v>1</v>
      </c>
      <c r="G13798" t="n">
        <v>2</v>
      </c>
      <c r="H13798" s="5">
        <f>HYPERLINK("https://api.qogita.com/variants/link/0810014324968/", "View Product")</f>
        <v/>
      </c>
    </row>
    <row r="13799">
      <c r="A13799" t="inlineStr">
        <is>
          <t>0810014324999</t>
        </is>
      </c>
      <c r="B13799" t="inlineStr">
        <is>
          <t>Advanced Retinol Multi-Correct Eye Cream for Reducing Deep Wrinkles and Restoring Firm Elasticity</t>
        </is>
      </c>
      <c r="C13799" t="inlineStr">
        <is>
          <t>Eye Cream</t>
        </is>
      </c>
      <c r="D13799" t="inlineStr">
        <is>
          <t>Strivectin</t>
        </is>
      </c>
      <c r="E13799" t="n">
        <v>29.11</v>
      </c>
      <c r="F13799" t="n">
        <v>1</v>
      </c>
      <c r="G13799" t="n">
        <v>9</v>
      </c>
      <c r="H13799" s="5">
        <f>HYPERLINK("https://api.qogita.com/variants/link/0810014324999/", "View Product")</f>
        <v/>
      </c>
    </row>
    <row r="13800">
      <c r="A13800" t="inlineStr">
        <is>
          <t>0810014326368</t>
        </is>
      </c>
      <c r="B13800" t="inlineStr">
        <is>
          <t>StriVectin Peptide Plump Line Filling Bounce Serum with Alpha 3 Peptides to Hydrate and Plump Skin</t>
        </is>
      </c>
      <c r="C13800" t="inlineStr">
        <is>
          <t>Anti-Aging Serum</t>
        </is>
      </c>
      <c r="D13800" t="inlineStr">
        <is>
          <t>Strivectin</t>
        </is>
      </c>
      <c r="E13800" t="n">
        <v>31.32</v>
      </c>
      <c r="F13800" t="n">
        <v>1</v>
      </c>
      <c r="G13800" t="n">
        <v>12</v>
      </c>
      <c r="H13800" s="5">
        <f>HYPERLINK("https://api.qogita.com/variants/link/0810014326368/", "View Product")</f>
        <v/>
      </c>
    </row>
    <row r="13801">
      <c r="A13801" t="inlineStr">
        <is>
          <t>0810014327198</t>
        </is>
      </c>
      <c r="B13801" t="inlineStr">
        <is>
          <t>StriVectin Tighten &amp; Lift Advanced Neck Cream PLUS with Alpha-3 Peptides for Neck &amp; Décolleté 1.7 Fl Oz</t>
        </is>
      </c>
      <c r="C13801" t="inlineStr">
        <is>
          <t>Neck &amp; Decollete</t>
        </is>
      </c>
      <c r="D13801" t="inlineStr">
        <is>
          <t>Strivectin</t>
        </is>
      </c>
      <c r="E13801" t="n">
        <v>40.24</v>
      </c>
      <c r="F13801" t="n">
        <v>1</v>
      </c>
      <c r="G13801" t="n">
        <v>61</v>
      </c>
      <c r="H13801" s="5">
        <f>HYPERLINK("https://api.qogita.com/variants/link/0810014327198/", "View Product")</f>
        <v/>
      </c>
    </row>
    <row r="13802">
      <c r="A13802" t="inlineStr">
        <is>
          <t>0810014327228</t>
        </is>
      </c>
      <c r="B13802" t="inlineStr">
        <is>
          <t>StriVectin TL Advanced Tightening Neck Cream Plus 1.0oz</t>
        </is>
      </c>
      <c r="C13802" t="inlineStr">
        <is>
          <t>Neck &amp; Decollete</t>
        </is>
      </c>
      <c r="D13802" t="inlineStr">
        <is>
          <t>Strivectin</t>
        </is>
      </c>
      <c r="E13802" t="n">
        <v>24.49</v>
      </c>
      <c r="F13802" t="n">
        <v>1</v>
      </c>
      <c r="G13802" t="n">
        <v>20</v>
      </c>
      <c r="H13802" s="5">
        <f>HYPERLINK("https://api.qogita.com/variants/link/0810014327228/", "View Product")</f>
        <v/>
      </c>
    </row>
    <row r="13803">
      <c r="A13803" t="inlineStr">
        <is>
          <t>0810014328621</t>
        </is>
      </c>
      <c r="B13803" t="inlineStr">
        <is>
          <t>StriVectin SD Advanced Plus Intensive Moisturizer for Wrinkles &amp; Stretchmarks, For Face &amp; Body, Collagen Boosting with Peptides &amp; Hyaluronic Acid 120ml</t>
        </is>
      </c>
      <c r="C13803" t="inlineStr">
        <is>
          <t>Anti-Aging Facial Care</t>
        </is>
      </c>
      <c r="D13803" t="inlineStr">
        <is>
          <t>Strivectin</t>
        </is>
      </c>
      <c r="E13803" t="n">
        <v>51.05</v>
      </c>
      <c r="F13803" t="n">
        <v>1</v>
      </c>
      <c r="G13803" t="n">
        <v>29</v>
      </c>
      <c r="H13803" s="5">
        <f>HYPERLINK("https://api.qogita.com/variants/link/0810014328621/", "View Product")</f>
        <v/>
      </c>
    </row>
    <row r="13804">
      <c r="A13804" t="inlineStr">
        <is>
          <t>0810101501715</t>
        </is>
      </c>
      <c r="B13804" t="inlineStr">
        <is>
          <t>Ariana Grande God Is A Woman Body Spray</t>
        </is>
      </c>
      <c r="C13804" t="inlineStr">
        <is>
          <t>Eau De Toilette</t>
        </is>
      </c>
      <c r="D13804" t="inlineStr">
        <is>
          <t>Ariana Grande</t>
        </is>
      </c>
      <c r="E13804" t="n">
        <v>8.6</v>
      </c>
      <c r="F13804" t="n">
        <v>1</v>
      </c>
      <c r="G13804" t="n">
        <v>143</v>
      </c>
      <c r="H13804" s="5">
        <f>HYPERLINK("https://api.qogita.com/variants/link/0810101501715/", "View Product")</f>
        <v/>
      </c>
    </row>
    <row r="13805">
      <c r="A13805" t="inlineStr">
        <is>
          <t>0810763033036</t>
        </is>
      </c>
      <c r="B13805" t="inlineStr">
        <is>
          <t>Fenty Beauty Pro Filt'r Instant Retouch Setting Powder Honey 0.98oz - NEW</t>
        </is>
      </c>
      <c r="C13805" t="inlineStr">
        <is>
          <t>Powder</t>
        </is>
      </c>
      <c r="D13805" t="inlineStr">
        <is>
          <t>Fenty Beauty by Rihanna</t>
        </is>
      </c>
      <c r="E13805" t="n">
        <v>30.44</v>
      </c>
      <c r="F13805" t="n">
        <v>1</v>
      </c>
      <c r="G13805" t="n">
        <v>8</v>
      </c>
      <c r="H13805" s="5">
        <f>HYPERLINK("https://api.qogita.com/variants/link/0810763033036/", "View Product")</f>
        <v/>
      </c>
    </row>
    <row r="13806">
      <c r="A13806" t="inlineStr">
        <is>
          <t>0810876032650</t>
        </is>
      </c>
      <c r="B13806" t="inlineStr">
        <is>
          <t>Sergio Tacchini I Love Italy EDT Eau De Toilette for Men 30ml/50ml/100ml New</t>
        </is>
      </c>
      <c r="C13806" t="inlineStr">
        <is>
          <t>Eau De Toilette</t>
        </is>
      </c>
      <c r="D13806" t="inlineStr">
        <is>
          <t>Sergio Tacchini</t>
        </is>
      </c>
      <c r="E13806" t="n">
        <v>5.22</v>
      </c>
      <c r="F13806" t="n">
        <v>1</v>
      </c>
      <c r="G13806" t="n">
        <v>30</v>
      </c>
      <c r="H13806" s="5">
        <f>HYPERLINK("https://api.qogita.com/variants/link/0810876032650/", "View Product")</f>
        <v/>
      </c>
    </row>
    <row r="13807">
      <c r="A13807" t="inlineStr">
        <is>
          <t>0810876033107</t>
        </is>
      </c>
      <c r="B13807" t="inlineStr">
        <is>
          <t>Sweet Carnation Liu Jo 200ml</t>
        </is>
      </c>
      <c r="C13807" t="inlineStr">
        <is>
          <t>Eau De Parfum</t>
        </is>
      </c>
      <c r="D13807" t="inlineStr">
        <is>
          <t>Liu Jo</t>
        </is>
      </c>
      <c r="E13807" t="n">
        <v>10.2</v>
      </c>
      <c r="F13807" t="n">
        <v>1</v>
      </c>
      <c r="G13807" t="n">
        <v>5</v>
      </c>
      <c r="H13807" s="5">
        <f>HYPERLINK("https://api.qogita.com/variants/link/0810876033107/", "View Product")</f>
        <v/>
      </c>
    </row>
    <row r="13808">
      <c r="A13808" t="inlineStr">
        <is>
          <t>0810876033596</t>
        </is>
      </c>
      <c r="B13808" t="inlineStr">
        <is>
          <t>Sergio Tacchini Ocean's Club Eau De Toilette 100ml Blue</t>
        </is>
      </c>
      <c r="C13808" t="inlineStr">
        <is>
          <t>Eau De Toilette</t>
        </is>
      </c>
      <c r="D13808" t="inlineStr">
        <is>
          <t>Sergio Tacchini</t>
        </is>
      </c>
      <c r="E13808" t="n">
        <v>8.869999999999999</v>
      </c>
      <c r="F13808" t="n">
        <v>1</v>
      </c>
      <c r="G13808" t="n">
        <v>12</v>
      </c>
      <c r="H13808" s="5">
        <f>HYPERLINK("https://api.qogita.com/variants/link/0810876033596/", "View Product")</f>
        <v/>
      </c>
    </row>
    <row r="13809">
      <c r="A13809" t="inlineStr">
        <is>
          <t>0810876033701</t>
        </is>
      </c>
      <c r="B13809" t="inlineStr">
        <is>
          <t>Sergio Tacchini The Essence Eau de Toilette 100ml</t>
        </is>
      </c>
      <c r="C13809" t="inlineStr">
        <is>
          <t>Eau De Toilette</t>
        </is>
      </c>
      <c r="D13809" t="inlineStr">
        <is>
          <t>Sergio Tacchini</t>
        </is>
      </c>
      <c r="E13809" t="n">
        <v>8.17</v>
      </c>
      <c r="F13809" t="n">
        <v>1</v>
      </c>
      <c r="G13809" t="n">
        <v>26</v>
      </c>
      <c r="H13809" s="5">
        <f>HYPERLINK("https://api.qogita.com/variants/link/0810876033701/", "View Product")</f>
        <v/>
      </c>
    </row>
    <row r="13810">
      <c r="A13810" t="inlineStr">
        <is>
          <t>0810876037068</t>
        </is>
      </c>
      <c r="B13810" t="inlineStr">
        <is>
          <t>Man Eau De Toilette 125ml 4.2oz</t>
        </is>
      </c>
      <c r="C13810" t="inlineStr">
        <is>
          <t>Eau De Toilette</t>
        </is>
      </c>
      <c r="D13810" t="inlineStr">
        <is>
          <t>Lamborghini</t>
        </is>
      </c>
      <c r="E13810" t="n">
        <v>8.1</v>
      </c>
      <c r="F13810" t="n">
        <v>1</v>
      </c>
      <c r="G13810" t="n">
        <v>181</v>
      </c>
      <c r="H13810" s="5">
        <f>HYPERLINK("https://api.qogita.com/variants/link/0810876037068/", "View Product")</f>
        <v/>
      </c>
    </row>
    <row r="13811">
      <c r="A13811" t="inlineStr">
        <is>
          <t>0810876037129</t>
        </is>
      </c>
      <c r="B13811" t="inlineStr">
        <is>
          <t>Eau De Toilette Man 125ml</t>
        </is>
      </c>
      <c r="C13811" t="inlineStr">
        <is>
          <t>Eau De Toilette</t>
        </is>
      </c>
      <c r="D13811" t="inlineStr">
        <is>
          <t>Tonino Lamborghini</t>
        </is>
      </c>
      <c r="E13811" t="n">
        <v>7.66</v>
      </c>
      <c r="F13811" t="n">
        <v>1</v>
      </c>
      <c r="G13811" t="n">
        <v>10</v>
      </c>
      <c r="H13811" s="5">
        <f>HYPERLINK("https://api.qogita.com/variants/link/0810876037129/", "View Product")</f>
        <v/>
      </c>
    </row>
    <row r="13812">
      <c r="A13812" t="inlineStr">
        <is>
          <t>0810876037242</t>
        </is>
      </c>
      <c r="B13812" t="inlineStr">
        <is>
          <t>Lamborghini Eau De Toilette for Men 125ml Multicoloured</t>
        </is>
      </c>
      <c r="C13812" t="inlineStr">
        <is>
          <t>Eau De Toilette</t>
        </is>
      </c>
      <c r="D13812" t="inlineStr">
        <is>
          <t>Lamborghini</t>
        </is>
      </c>
      <c r="E13812" t="n">
        <v>7.63</v>
      </c>
      <c r="F13812" t="n">
        <v>1</v>
      </c>
      <c r="G13812" t="n">
        <v>26</v>
      </c>
      <c r="H13812" s="5">
        <f>HYPERLINK("https://api.qogita.com/variants/link/0810876037242/", "View Product")</f>
        <v/>
      </c>
    </row>
    <row r="13813">
      <c r="A13813" t="inlineStr">
        <is>
          <t>0810876037310</t>
        </is>
      </c>
      <c r="B13813" t="inlineStr">
        <is>
          <t>Tonino Lamborghini Acqua Eau De Toilette 75ml</t>
        </is>
      </c>
      <c r="C13813" t="inlineStr">
        <is>
          <t>Eau De Toilette</t>
        </is>
      </c>
      <c r="D13813" t="inlineStr">
        <is>
          <t>Tonino Lamborghini</t>
        </is>
      </c>
      <c r="E13813" t="n">
        <v>6.99</v>
      </c>
      <c r="F13813" t="n">
        <v>1</v>
      </c>
      <c r="G13813" t="n">
        <v>21</v>
      </c>
      <c r="H13813" s="5">
        <f>HYPERLINK("https://api.qogita.com/variants/link/0810876037310/", "View Product")</f>
        <v/>
      </c>
    </row>
    <row r="13814">
      <c r="A13814" t="inlineStr">
        <is>
          <t>0810876038119</t>
        </is>
      </c>
      <c r="B13814" t="inlineStr">
        <is>
          <t>Tonino Lamborghini Millennials Dinamico EDT 75ml</t>
        </is>
      </c>
      <c r="C13814" t="inlineStr">
        <is>
          <t>Eau De Toilette</t>
        </is>
      </c>
      <c r="D13814" t="inlineStr">
        <is>
          <t>Tonino Lamborghini</t>
        </is>
      </c>
      <c r="E13814" t="n">
        <v>8.949999999999999</v>
      </c>
      <c r="F13814" t="n">
        <v>1</v>
      </c>
      <c r="G13814" t="n">
        <v>8</v>
      </c>
      <c r="H13814" s="5">
        <f>HYPERLINK("https://api.qogita.com/variants/link/0810876038119/", "View Product")</f>
        <v/>
      </c>
    </row>
    <row r="13815">
      <c r="A13815" t="inlineStr">
        <is>
          <t>0810876038348</t>
        </is>
      </c>
      <c r="B13815" t="inlineStr">
        <is>
          <t>Lamborghini Millennials Dinamico Shower Gel 400ml</t>
        </is>
      </c>
      <c r="C13815" t="inlineStr">
        <is>
          <t>Shower Gel</t>
        </is>
      </c>
      <c r="D13815" t="inlineStr">
        <is>
          <t>Lamborghini</t>
        </is>
      </c>
      <c r="E13815" t="n">
        <v>2.71</v>
      </c>
      <c r="F13815" t="n">
        <v>1</v>
      </c>
      <c r="G13815" t="n">
        <v>68</v>
      </c>
      <c r="H13815" s="5">
        <f>HYPERLINK("https://api.qogita.com/variants/link/0810876038348/", "View Product")</f>
        <v/>
      </c>
    </row>
    <row r="13816">
      <c r="A13816" t="inlineStr">
        <is>
          <t>0810876038584</t>
        </is>
      </c>
      <c r="B13816" t="inlineStr">
        <is>
          <t>Liu Jo Lovely Me Edp</t>
        </is>
      </c>
      <c r="C13816" t="inlineStr">
        <is>
          <t>Eau De Parfum</t>
        </is>
      </c>
      <c r="D13816" t="inlineStr">
        <is>
          <t>Liu Jo</t>
        </is>
      </c>
      <c r="E13816" t="n">
        <v>12.61</v>
      </c>
      <c r="F13816" t="n">
        <v>1</v>
      </c>
      <c r="G13816" t="n">
        <v>2</v>
      </c>
      <c r="H13816" s="5">
        <f>HYPERLINK("https://api.qogita.com/variants/link/0810876038584/", "View Product")</f>
        <v/>
      </c>
    </row>
    <row r="13817">
      <c r="A13817" t="inlineStr">
        <is>
          <t>0810876038737</t>
        </is>
      </c>
      <c r="B13817" t="inlineStr">
        <is>
          <t>Liu Jo Glam 50ml Eau de Parfum</t>
        </is>
      </c>
      <c r="C13817" t="inlineStr">
        <is>
          <t>Eau De Parfum</t>
        </is>
      </c>
      <c r="D13817" t="inlineStr">
        <is>
          <t>Liu Jo</t>
        </is>
      </c>
      <c r="E13817" t="n">
        <v>10.99</v>
      </c>
      <c r="F13817" t="n">
        <v>1</v>
      </c>
      <c r="G13817" t="n">
        <v>5</v>
      </c>
      <c r="H13817" s="5">
        <f>HYPERLINK("https://api.qogita.com/variants/link/0810876038737/", "View Product")</f>
        <v/>
      </c>
    </row>
    <row r="13818">
      <c r="A13818" t="inlineStr">
        <is>
          <t>0810907026627</t>
        </is>
      </c>
      <c r="B13818" t="inlineStr">
        <is>
          <t>StriVectin Line BlurFector Instant Wrinkle Blurring Primer</t>
        </is>
      </c>
      <c r="C13818" t="inlineStr">
        <is>
          <t>Anti-Aging Facial Care</t>
        </is>
      </c>
      <c r="D13818" t="inlineStr">
        <is>
          <t>Strivectin</t>
        </is>
      </c>
      <c r="E13818" t="n">
        <v>13.02</v>
      </c>
      <c r="F13818" t="n">
        <v>1</v>
      </c>
      <c r="G13818" t="n">
        <v>9</v>
      </c>
      <c r="H13818" s="5">
        <f>HYPERLINK("https://api.qogita.com/variants/link/0810907026627/", "View Product")</f>
        <v/>
      </c>
    </row>
    <row r="13819">
      <c r="A13819" t="inlineStr">
        <is>
          <t>0810912032224</t>
        </is>
      </c>
      <c r="B13819" t="inlineStr">
        <is>
          <t>Sol de Janeiro Beija Flor Collagen Cream 75ml</t>
        </is>
      </c>
      <c r="C13819" t="inlineStr">
        <is>
          <t>Body Butter</t>
        </is>
      </c>
      <c r="D13819" t="inlineStr">
        <is>
          <t>Sol De Janeiro</t>
        </is>
      </c>
      <c r="E13819" t="n">
        <v>21.12</v>
      </c>
      <c r="F13819" t="n">
        <v>1</v>
      </c>
      <c r="G13819" t="n">
        <v>14</v>
      </c>
      <c r="H13819" s="5">
        <f>HYPERLINK("https://api.qogita.com/variants/link/0810912032224/", "View Product")</f>
        <v/>
      </c>
    </row>
    <row r="13820">
      <c r="A13820" t="inlineStr">
        <is>
          <t>0810912033467</t>
        </is>
      </c>
      <c r="B13820" t="inlineStr">
        <is>
          <t>Sol de Janeiro 4 Play Moisturizing Shower Cream Gel Body Wash 385ml Coconut</t>
        </is>
      </c>
      <c r="C13820" t="inlineStr">
        <is>
          <t>Shower Gel</t>
        </is>
      </c>
      <c r="D13820" t="inlineStr">
        <is>
          <t>Sol De Janeiro</t>
        </is>
      </c>
      <c r="E13820" t="n">
        <v>23.55</v>
      </c>
      <c r="F13820" t="n">
        <v>1</v>
      </c>
      <c r="G13820" t="n">
        <v>22</v>
      </c>
      <c r="H13820" s="5">
        <f>HYPERLINK("https://api.qogita.com/variants/link/0810912033467/", "View Product")</f>
        <v/>
      </c>
    </row>
    <row r="13821">
      <c r="A13821" t="inlineStr">
        <is>
          <t>0810912034853</t>
        </is>
      </c>
      <c r="B13821" t="inlineStr">
        <is>
          <t>Sol de Janeiro Delicia Drench Body Butter 8.10 Ounce</t>
        </is>
      </c>
      <c r="C13821" t="inlineStr">
        <is>
          <t>Body Butter</t>
        </is>
      </c>
      <c r="D13821" t="inlineStr">
        <is>
          <t>Sol De Janeiro</t>
        </is>
      </c>
      <c r="E13821" t="n">
        <v>38.81</v>
      </c>
      <c r="F13821" t="n">
        <v>1</v>
      </c>
      <c r="G13821" t="n">
        <v>10</v>
      </c>
      <c r="H13821" s="5">
        <f>HYPERLINK("https://api.qogita.com/variants/link/0810912034853/", "View Product")</f>
        <v/>
      </c>
    </row>
    <row r="13822">
      <c r="A13822" t="inlineStr">
        <is>
          <t>0811913017975</t>
        </is>
      </c>
      <c r="B13822" t="inlineStr">
        <is>
          <t>Moisture and Control Deep Treatment Masque Nourishing 250ml</t>
        </is>
      </c>
      <c r="C13822" t="inlineStr">
        <is>
          <t>Hair Masks</t>
        </is>
      </c>
      <c r="D13822" t="inlineStr">
        <is>
          <t>Oribe</t>
        </is>
      </c>
      <c r="E13822" t="n">
        <v>64.45999999999999</v>
      </c>
      <c r="F13822" t="n">
        <v>1</v>
      </c>
      <c r="G13822" t="n">
        <v>6</v>
      </c>
      <c r="H13822" s="5">
        <f>HYPERLINK("https://api.qogita.com/variants/link/0811913017975/", "View Product")</f>
        <v/>
      </c>
    </row>
    <row r="13823">
      <c r="A13823" t="inlineStr">
        <is>
          <t>0811913019788</t>
        </is>
      </c>
      <c r="B13823" t="inlineStr">
        <is>
          <t>Oribe Gold Lust Transformative Masque 5 fl oz.</t>
        </is>
      </c>
      <c r="C13823" t="inlineStr">
        <is>
          <t>Hair Masks</t>
        </is>
      </c>
      <c r="D13823" t="inlineStr">
        <is>
          <t>Oribe</t>
        </is>
      </c>
      <c r="E13823" t="n">
        <v>68.08</v>
      </c>
      <c r="F13823" t="n">
        <v>1</v>
      </c>
      <c r="G13823" t="n">
        <v>2</v>
      </c>
      <c r="H13823" s="5">
        <f>HYPERLINK("https://api.qogita.com/variants/link/0811913019788/", "View Product")</f>
        <v/>
      </c>
    </row>
    <row r="13824">
      <c r="A13824" t="inlineStr">
        <is>
          <t>0812256020318</t>
        </is>
      </c>
      <c r="B13824" t="inlineStr">
        <is>
          <t>Ariana Grande Ari Eau de Parfum 50ml Spray</t>
        </is>
      </c>
      <c r="C13824" t="inlineStr">
        <is>
          <t>Eau De Parfum</t>
        </is>
      </c>
      <c r="D13824" t="inlineStr">
        <is>
          <t>Ariana Grande</t>
        </is>
      </c>
      <c r="E13824" t="n">
        <v>23.62</v>
      </c>
      <c r="F13824" t="n">
        <v>1</v>
      </c>
      <c r="G13824" t="n">
        <v>79</v>
      </c>
      <c r="H13824" s="5">
        <f>HYPERLINK("https://api.qogita.com/variants/link/0812256020318/", "View Product")</f>
        <v/>
      </c>
    </row>
    <row r="13825">
      <c r="A13825" t="inlineStr">
        <is>
          <t>0812256022480</t>
        </is>
      </c>
      <c r="B13825" t="inlineStr">
        <is>
          <t>Ariana Grande Moonlight Women's Perfume 100ml</t>
        </is>
      </c>
      <c r="C13825" t="inlineStr">
        <is>
          <t>Eau De Parfum</t>
        </is>
      </c>
      <c r="D13825" t="inlineStr">
        <is>
          <t>Ariana Grande</t>
        </is>
      </c>
      <c r="E13825" t="n">
        <v>31.9</v>
      </c>
      <c r="F13825" t="n">
        <v>1</v>
      </c>
      <c r="G13825" t="n">
        <v>80</v>
      </c>
      <c r="H13825" s="5">
        <f>HYPERLINK("https://api.qogita.com/variants/link/0812256022480/", "View Product")</f>
        <v/>
      </c>
    </row>
    <row r="13826">
      <c r="A13826" t="inlineStr">
        <is>
          <t>0812256023289</t>
        </is>
      </c>
      <c r="B13826" t="inlineStr">
        <is>
          <t>Ariana Grande Cloud Eau de Parfum 100ml Spray</t>
        </is>
      </c>
      <c r="C13826" t="inlineStr">
        <is>
          <t>Eau De Parfum</t>
        </is>
      </c>
      <c r="D13826" t="inlineStr">
        <is>
          <t>Ariana Grande</t>
        </is>
      </c>
      <c r="E13826" t="n">
        <v>40.33</v>
      </c>
      <c r="F13826" t="n">
        <v>1</v>
      </c>
      <c r="G13826" t="n">
        <v>190</v>
      </c>
      <c r="H13826" s="5">
        <f>HYPERLINK("https://api.qogita.com/variants/link/0812256023289/", "View Product")</f>
        <v/>
      </c>
    </row>
    <row r="13827">
      <c r="A13827" t="inlineStr">
        <is>
          <t>0812256024279</t>
        </is>
      </c>
      <c r="B13827" t="inlineStr">
        <is>
          <t>Ariana Grande Thank U, Next Eau De Parfum 100ml</t>
        </is>
      </c>
      <c r="C13827" t="inlineStr">
        <is>
          <t>Eau De Parfum</t>
        </is>
      </c>
      <c r="D13827" t="inlineStr">
        <is>
          <t>Ariana Grande</t>
        </is>
      </c>
      <c r="E13827" t="n">
        <v>35.51</v>
      </c>
      <c r="F13827" t="n">
        <v>1</v>
      </c>
      <c r="G13827" t="n">
        <v>81</v>
      </c>
      <c r="H13827" s="5">
        <f>HYPERLINK("https://api.qogita.com/variants/link/0812256024279/", "View Product")</f>
        <v/>
      </c>
    </row>
    <row r="13828">
      <c r="A13828" t="inlineStr">
        <is>
          <t>0812256025467</t>
        </is>
      </c>
      <c r="B13828" t="inlineStr">
        <is>
          <t>Ariana Grande R.E.M Eau De Parfum 100ml</t>
        </is>
      </c>
      <c r="C13828" t="inlineStr">
        <is>
          <t>Eau De Parfum</t>
        </is>
      </c>
      <c r="D13828" t="inlineStr">
        <is>
          <t>Ariana Grande</t>
        </is>
      </c>
      <c r="E13828" t="n">
        <v>34.28</v>
      </c>
      <c r="F13828" t="n">
        <v>1</v>
      </c>
      <c r="G13828" t="n">
        <v>32</v>
      </c>
      <c r="H13828" s="5">
        <f>HYPERLINK("https://api.qogita.com/variants/link/0812256025467/", "View Product")</f>
        <v/>
      </c>
    </row>
    <row r="13829">
      <c r="A13829" t="inlineStr">
        <is>
          <t>0812256027591</t>
        </is>
      </c>
      <c r="B13829" t="inlineStr">
        <is>
          <t>Thank You Next 2.0 by Ariana Grande Women's Body Mist 8.0 Oz 236ml</t>
        </is>
      </c>
      <c r="C13829" t="inlineStr">
        <is>
          <t>Eau De Toilette</t>
        </is>
      </c>
      <c r="D13829" t="inlineStr">
        <is>
          <t>Ariana Grande</t>
        </is>
      </c>
      <c r="E13829" t="n">
        <v>8.6</v>
      </c>
      <c r="F13829" t="n">
        <v>1</v>
      </c>
      <c r="G13829" t="n">
        <v>40</v>
      </c>
      <c r="H13829" s="5">
        <f>HYPERLINK("https://api.qogita.com/variants/link/0812256027591/", "View Product")</f>
        <v/>
      </c>
    </row>
    <row r="13830">
      <c r="A13830" t="inlineStr">
        <is>
          <t>0812256028475</t>
        </is>
      </c>
      <c r="B13830" t="inlineStr">
        <is>
          <t>God Is A Woman Eau De Parfum Spray By Ariana Grande 100ml</t>
        </is>
      </c>
      <c r="C13830" t="inlineStr">
        <is>
          <t>Eau De Parfum</t>
        </is>
      </c>
      <c r="D13830" t="inlineStr">
        <is>
          <t>Ariana Grande</t>
        </is>
      </c>
      <c r="E13830" t="n">
        <v>33.2</v>
      </c>
      <c r="F13830" t="n">
        <v>1</v>
      </c>
      <c r="G13830" t="n">
        <v>44</v>
      </c>
      <c r="H13830" s="5">
        <f>HYPERLINK("https://api.qogita.com/variants/link/0812256028475/", "View Product")</f>
        <v/>
      </c>
    </row>
    <row r="13831">
      <c r="A13831" t="inlineStr">
        <is>
          <t>0815305020758</t>
        </is>
      </c>
      <c r="B13831" t="inlineStr">
        <is>
          <t>Living Proof Restore Perfect Spray 50ml</t>
        </is>
      </c>
      <c r="C13831" t="inlineStr">
        <is>
          <t>Leave-In Conditioner</t>
        </is>
      </c>
      <c r="D13831" t="inlineStr">
        <is>
          <t>Living Proof</t>
        </is>
      </c>
      <c r="E13831" t="n">
        <v>15.32</v>
      </c>
      <c r="F13831" t="n">
        <v>1</v>
      </c>
      <c r="G13831" t="n">
        <v>5</v>
      </c>
      <c r="H13831" s="5">
        <f>HYPERLINK("https://api.qogita.com/variants/link/0815305020758/", "View Product")</f>
        <v/>
      </c>
    </row>
    <row r="13832">
      <c r="A13832" t="inlineStr">
        <is>
          <t>0815305029492</t>
        </is>
      </c>
      <c r="B13832" t="inlineStr">
        <is>
          <t>Living Proof Perfect Hair Day Advanced Clean Dry Shampoo 198ml</t>
        </is>
      </c>
      <c r="C13832" t="inlineStr">
        <is>
          <t>Dry Shampoo</t>
        </is>
      </c>
      <c r="D13832" t="inlineStr">
        <is>
          <t>Living Proof</t>
        </is>
      </c>
      <c r="E13832" t="n">
        <v>27.9</v>
      </c>
      <c r="F13832" t="n">
        <v>1</v>
      </c>
      <c r="G13832" t="n">
        <v>5</v>
      </c>
      <c r="H13832" s="5">
        <f>HYPERLINK("https://api.qogita.com/variants/link/0815305029492/", "View Product")</f>
        <v/>
      </c>
    </row>
    <row r="13833">
      <c r="A13833" t="inlineStr">
        <is>
          <t>0815857010207</t>
        </is>
      </c>
      <c r="B13833" t="inlineStr">
        <is>
          <t>Macadamia Natural Oil No Tangle Brush</t>
        </is>
      </c>
      <c r="C13833" t="inlineStr">
        <is>
          <t>Detanglers</t>
        </is>
      </c>
      <c r="D13833" t="inlineStr">
        <is>
          <t>Macadamia Natural Oil</t>
        </is>
      </c>
      <c r="E13833" t="n">
        <v>6.96</v>
      </c>
      <c r="F13833" t="n">
        <v>1</v>
      </c>
      <c r="G13833" t="n">
        <v>43</v>
      </c>
      <c r="H13833" s="5">
        <f>HYPERLINK("https://api.qogita.com/variants/link/0815857010207/", "View Product")</f>
        <v/>
      </c>
    </row>
    <row r="13834">
      <c r="A13834" t="inlineStr">
        <is>
          <t>0815857010627</t>
        </is>
      </c>
      <c r="B13834" t="inlineStr">
        <is>
          <t>Macadamia Professional Weightless Moisture Shampoo 1000ml</t>
        </is>
      </c>
      <c r="C13834" t="inlineStr">
        <is>
          <t>Shampoo</t>
        </is>
      </c>
      <c r="D13834" t="inlineStr">
        <is>
          <t>Macadamia</t>
        </is>
      </c>
      <c r="E13834" t="n">
        <v>25.8</v>
      </c>
      <c r="F13834" t="n">
        <v>1</v>
      </c>
      <c r="G13834" t="n">
        <v>22</v>
      </c>
      <c r="H13834" s="5">
        <f>HYPERLINK("https://api.qogita.com/variants/link/0815857010627/", "View Product")</f>
        <v/>
      </c>
    </row>
    <row r="13835">
      <c r="A13835" t="inlineStr">
        <is>
          <t>0817891023151</t>
        </is>
      </c>
      <c r="B13835" t="inlineStr">
        <is>
          <t>Uppercut Deluxe Featherweight Hair Styling Paste 70g</t>
        </is>
      </c>
      <c r="C13835" t="inlineStr">
        <is>
          <t>Wax</t>
        </is>
      </c>
      <c r="D13835" t="inlineStr">
        <is>
          <t>Uppercut Deluxe</t>
        </is>
      </c>
      <c r="E13835" t="n">
        <v>10.11</v>
      </c>
      <c r="F13835" t="n">
        <v>1</v>
      </c>
      <c r="G13835" t="n">
        <v>30</v>
      </c>
      <c r="H13835" s="5">
        <f>HYPERLINK("https://api.qogita.com/variants/link/0817891023151/", "View Product")</f>
        <v/>
      </c>
    </row>
    <row r="13836">
      <c r="A13836" t="inlineStr">
        <is>
          <t>0817891024967</t>
        </is>
      </c>
      <c r="B13836" t="inlineStr">
        <is>
          <t>Uppercut Deluxe Aftershave Cologne Woody Base Notes with Hints of Mandarin Patchouli and Spice Suitable for Sensitive Skin North Fragrance 100ml</t>
        </is>
      </c>
      <c r="C13836" t="inlineStr">
        <is>
          <t>Aftershave</t>
        </is>
      </c>
      <c r="D13836" t="inlineStr">
        <is>
          <t>Uppercut Deluxe</t>
        </is>
      </c>
      <c r="E13836" t="n">
        <v>12.93</v>
      </c>
      <c r="F13836" t="n">
        <v>1</v>
      </c>
      <c r="G13836" t="n">
        <v>7</v>
      </c>
      <c r="H13836" s="5">
        <f>HYPERLINK("https://api.qogita.com/variants/link/0817891024967/", "View Product")</f>
        <v/>
      </c>
    </row>
    <row r="13837">
      <c r="A13837" t="inlineStr">
        <is>
          <t>0818625022402</t>
        </is>
      </c>
      <c r="B13837" t="inlineStr">
        <is>
          <t>Medik8 Press &amp; Glow 200ml</t>
        </is>
      </c>
      <c r="C13837" t="inlineStr">
        <is>
          <t>Facial Spray</t>
        </is>
      </c>
      <c r="D13837" t="inlineStr">
        <is>
          <t>Medik8</t>
        </is>
      </c>
      <c r="E13837" t="n">
        <v>32.26</v>
      </c>
      <c r="F13837" t="n">
        <v>1</v>
      </c>
      <c r="G13837" t="n">
        <v>9</v>
      </c>
      <c r="H13837" s="5">
        <f>HYPERLINK("https://api.qogita.com/variants/link/0818625022402/", "View Product")</f>
        <v/>
      </c>
    </row>
    <row r="13838">
      <c r="A13838" t="inlineStr">
        <is>
          <t>0818625023720</t>
        </is>
      </c>
      <c r="B13838" t="inlineStr">
        <is>
          <t>Medik8 Pore Cleanse Gel Intense 150ml</t>
        </is>
      </c>
      <c r="C13838" t="inlineStr">
        <is>
          <t>Cleansing Gel</t>
        </is>
      </c>
      <c r="D13838" t="inlineStr">
        <is>
          <t>Medik8</t>
        </is>
      </c>
      <c r="E13838" t="n">
        <v>25.56</v>
      </c>
      <c r="F13838" t="n">
        <v>1</v>
      </c>
      <c r="G13838" t="n">
        <v>2</v>
      </c>
      <c r="H13838" s="5">
        <f>HYPERLINK("https://api.qogita.com/variants/link/0818625023720/", "View Product")</f>
        <v/>
      </c>
    </row>
    <row r="13839">
      <c r="A13839" t="inlineStr">
        <is>
          <t>0818625024307</t>
        </is>
      </c>
      <c r="B13839" t="inlineStr">
        <is>
          <t>Medik8 Intelligent Retinol 3TR 15ml</t>
        </is>
      </c>
      <c r="C13839" t="inlineStr">
        <is>
          <t>Anti-Aging Serum</t>
        </is>
      </c>
      <c r="D13839" t="inlineStr">
        <is>
          <t>Medik8</t>
        </is>
      </c>
      <c r="E13839" t="n">
        <v>37.62</v>
      </c>
      <c r="F13839" t="n">
        <v>1</v>
      </c>
      <c r="G13839" t="n">
        <v>16</v>
      </c>
      <c r="H13839" s="5">
        <f>HYPERLINK("https://api.qogita.com/variants/link/0818625024307/", "View Product")</f>
        <v/>
      </c>
    </row>
    <row r="13840">
      <c r="A13840" t="inlineStr">
        <is>
          <t>0818625024345</t>
        </is>
      </c>
      <c r="B13840" t="inlineStr">
        <is>
          <t>Medik8 C-Tetra Luxe Vitamin C Skin Serum Antioxidant and Anti-Ageing 30ml</t>
        </is>
      </c>
      <c r="C13840" t="inlineStr">
        <is>
          <t>Vitamin Serum</t>
        </is>
      </c>
      <c r="D13840" t="inlineStr">
        <is>
          <t>Medik8</t>
        </is>
      </c>
      <c r="E13840" t="n">
        <v>66.2</v>
      </c>
      <c r="F13840" t="n">
        <v>1</v>
      </c>
      <c r="G13840" t="n">
        <v>6</v>
      </c>
      <c r="H13840" s="5">
        <f>HYPERLINK("https://api.qogita.com/variants/link/0818625024345/", "View Product")</f>
        <v/>
      </c>
    </row>
    <row r="13841">
      <c r="A13841" t="inlineStr">
        <is>
          <t>0818625024369</t>
        </is>
      </c>
      <c r="B13841" t="inlineStr">
        <is>
          <t>Medik8 C-Tetra Eye</t>
        </is>
      </c>
      <c r="C13841" t="inlineStr">
        <is>
          <t>Eye Serum</t>
        </is>
      </c>
      <c r="D13841" t="inlineStr">
        <is>
          <t>Medik8</t>
        </is>
      </c>
      <c r="E13841" t="n">
        <v>21.65</v>
      </c>
      <c r="F13841" t="n">
        <v>1</v>
      </c>
      <c r="G13841" t="n">
        <v>5</v>
      </c>
      <c r="H13841" s="5">
        <f>HYPERLINK("https://api.qogita.com/variants/link/0818625024369/", "View Product")</f>
        <v/>
      </c>
    </row>
    <row r="13842">
      <c r="A13842" t="inlineStr">
        <is>
          <t>0818625024475</t>
        </is>
      </c>
      <c r="B13842" t="inlineStr">
        <is>
          <t>Medik8 Calmwise Color Correct 50ml</t>
        </is>
      </c>
      <c r="C13842" t="inlineStr">
        <is>
          <t>Tinted Day Cream</t>
        </is>
      </c>
      <c r="D13842" t="inlineStr">
        <is>
          <t>Medik8</t>
        </is>
      </c>
      <c r="E13842" t="n">
        <v>50.79</v>
      </c>
      <c r="F13842" t="n">
        <v>1</v>
      </c>
      <c r="G13842" t="n">
        <v>4</v>
      </c>
      <c r="H13842" s="5">
        <f>HYPERLINK("https://api.qogita.com/variants/link/0818625024475/", "View Product")</f>
        <v/>
      </c>
    </row>
    <row r="13843">
      <c r="A13843" t="inlineStr">
        <is>
          <t>0818625024581</t>
        </is>
      </c>
      <c r="B13843" t="inlineStr">
        <is>
          <t>Medik8 Retinol 3 TR Advanced Night Serum 15ml</t>
        </is>
      </c>
      <c r="C13843" t="inlineStr">
        <is>
          <t>Anti-Aging Serum</t>
        </is>
      </c>
      <c r="D13843" t="inlineStr">
        <is>
          <t>Medik8</t>
        </is>
      </c>
      <c r="E13843" t="n">
        <v>42.81</v>
      </c>
      <c r="F13843" t="n">
        <v>1</v>
      </c>
      <c r="G13843" t="n">
        <v>4</v>
      </c>
      <c r="H13843" s="5">
        <f>HYPERLINK("https://api.qogita.com/variants/link/0818625024581/", "View Product")</f>
        <v/>
      </c>
    </row>
    <row r="13844">
      <c r="A13844" t="inlineStr">
        <is>
          <t>0818625026806</t>
        </is>
      </c>
      <c r="B13844" t="inlineStr">
        <is>
          <t>Medik8 Total Moisture Daily Facial Cream Refill - 50 Ml</t>
        </is>
      </c>
      <c r="C13844" t="inlineStr">
        <is>
          <t>Day Cream</t>
        </is>
      </c>
      <c r="D13844" t="inlineStr">
        <is>
          <t>Medik8</t>
        </is>
      </c>
      <c r="E13844" t="n">
        <v>44.91</v>
      </c>
      <c r="F13844" t="n">
        <v>1</v>
      </c>
      <c r="G13844" t="n">
        <v>19</v>
      </c>
      <c r="H13844" s="5">
        <f>HYPERLINK("https://api.qogita.com/variants/link/0818625026806/", "View Product")</f>
        <v/>
      </c>
    </row>
    <row r="13845">
      <c r="A13845" t="inlineStr">
        <is>
          <t>0818625026905</t>
        </is>
      </c>
      <c r="B13845" t="inlineStr">
        <is>
          <t>Medik8 Liquid Peptides 30% Multi-Peptide Age-Defying Serum - Drone-Targeted</t>
        </is>
      </c>
      <c r="C13845" t="inlineStr">
        <is>
          <t>Anti-Aging Serum</t>
        </is>
      </c>
      <c r="D13845" t="inlineStr">
        <is>
          <t>Medik8</t>
        </is>
      </c>
      <c r="E13845" t="n">
        <v>51.29</v>
      </c>
      <c r="F13845" t="n">
        <v>1</v>
      </c>
      <c r="G13845" t="n">
        <v>10</v>
      </c>
      <c r="H13845" s="5">
        <f>HYPERLINK("https://api.qogita.com/variants/link/0818625026905/", "View Product")</f>
        <v/>
      </c>
    </row>
    <row r="13846">
      <c r="A13846" t="inlineStr">
        <is>
          <t>0819174011114</t>
        </is>
      </c>
      <c r="B13846" t="inlineStr">
        <is>
          <t>Lancer Skincare The Method Cleanser for Normal to Combination Skin 120ml</t>
        </is>
      </c>
      <c r="C13846" t="inlineStr">
        <is>
          <t>Cleansing Cream</t>
        </is>
      </c>
      <c r="D13846" t="inlineStr">
        <is>
          <t>Lancer Skincare</t>
        </is>
      </c>
      <c r="E13846" t="n">
        <v>55.73</v>
      </c>
      <c r="F13846" t="n">
        <v>1</v>
      </c>
      <c r="G13846" t="n">
        <v>2</v>
      </c>
      <c r="H13846" s="5">
        <f>HYPERLINK("https://api.qogita.com/variants/link/0819174011114/", "View Product")</f>
        <v/>
      </c>
    </row>
    <row r="13847">
      <c r="A13847" t="inlineStr">
        <is>
          <t>0819174011176</t>
        </is>
      </c>
      <c r="B13847" t="inlineStr">
        <is>
          <t>Lancer Skincare The Method Body Cleanse Daily Foaming Body Cleanser 8.1 Fl Oz C104A</t>
        </is>
      </c>
      <c r="C13847" t="inlineStr">
        <is>
          <t>Shower Foam</t>
        </is>
      </c>
      <c r="D13847" t="inlineStr">
        <is>
          <t>Lancer Skincare</t>
        </is>
      </c>
      <c r="E13847" t="n">
        <v>29.82</v>
      </c>
      <c r="F13847" t="n">
        <v>1</v>
      </c>
      <c r="G13847" t="n">
        <v>3</v>
      </c>
      <c r="H13847" s="5">
        <f>HYPERLINK("https://api.qogita.com/variants/link/0819174011176/", "View Product")</f>
        <v/>
      </c>
    </row>
    <row r="13848">
      <c r="A13848" t="inlineStr">
        <is>
          <t>0837015001353</t>
        </is>
      </c>
      <c r="B13848" t="inlineStr">
        <is>
          <t>Fred Hayman Hollywood Star EDP Spray 3.4 oz</t>
        </is>
      </c>
      <c r="C13848" t="inlineStr">
        <is>
          <t>Eau De Parfum</t>
        </is>
      </c>
      <c r="D13848" t="inlineStr">
        <is>
          <t>Fred Hayman</t>
        </is>
      </c>
      <c r="E13848" t="n">
        <v>10.46</v>
      </c>
      <c r="F13848" t="n">
        <v>1</v>
      </c>
      <c r="G13848" t="n">
        <v>10</v>
      </c>
      <c r="H13848" s="5">
        <f>HYPERLINK("https://api.qogita.com/variants/link/0837015001353/", "View Product")</f>
        <v/>
      </c>
    </row>
    <row r="13849">
      <c r="A13849" t="inlineStr">
        <is>
          <t>0837524000151</t>
        </is>
      </c>
      <c r="B13849" t="inlineStr">
        <is>
          <t>Nesti Dante Dei Colli Fiorentini Triple Milled Vegetal Soap - Broom</t>
        </is>
      </c>
      <c r="C13849" t="inlineStr">
        <is>
          <t>Soap</t>
        </is>
      </c>
      <c r="D13849" t="inlineStr">
        <is>
          <t>Nesti Dante</t>
        </is>
      </c>
      <c r="E13849" t="n">
        <v>3.38</v>
      </c>
      <c r="F13849" t="n">
        <v>1</v>
      </c>
      <c r="G13849" t="n">
        <v>5</v>
      </c>
      <c r="H13849" s="5">
        <f>HYPERLINK("https://api.qogita.com/variants/link/0837524000151/", "View Product")</f>
        <v/>
      </c>
    </row>
    <row r="13850">
      <c r="A13850" t="inlineStr">
        <is>
          <t>0837524000717</t>
        </is>
      </c>
      <c r="B13850" t="inlineStr">
        <is>
          <t>Nesti Dante Emozioni Di Toscana Mediterranean Touch Soap 250g - Blooming Gardens</t>
        </is>
      </c>
      <c r="C13850" t="inlineStr">
        <is>
          <t>Soap</t>
        </is>
      </c>
      <c r="D13850" t="inlineStr">
        <is>
          <t>Nesti Dante</t>
        </is>
      </c>
      <c r="E13850" t="n">
        <v>3.39</v>
      </c>
      <c r="F13850" t="n">
        <v>1</v>
      </c>
      <c r="G13850" t="n">
        <v>2</v>
      </c>
      <c r="H13850" s="5">
        <f>HYPERLINK("https://api.qogita.com/variants/link/0837524000717/", "View Product")</f>
        <v/>
      </c>
    </row>
    <row r="13851">
      <c r="A13851" t="inlineStr">
        <is>
          <t>0837524001158</t>
        </is>
      </c>
      <c r="B13851" t="inlineStr">
        <is>
          <t>Nesti Dante Chic Animalier Bronze Soap 250g</t>
        </is>
      </c>
      <c r="C13851" t="inlineStr">
        <is>
          <t>Soap</t>
        </is>
      </c>
      <c r="D13851" t="inlineStr">
        <is>
          <t>Nesti Dante</t>
        </is>
      </c>
      <c r="E13851" t="n">
        <v>3.68</v>
      </c>
      <c r="F13851" t="n">
        <v>1</v>
      </c>
      <c r="G13851" t="n">
        <v>3</v>
      </c>
      <c r="H13851" s="5">
        <f>HYPERLINK("https://api.qogita.com/variants/link/0837524001158/", "View Product")</f>
        <v/>
      </c>
    </row>
    <row r="13852">
      <c r="A13852" t="inlineStr">
        <is>
          <t>0838810026565</t>
        </is>
      </c>
      <c r="B13852" t="inlineStr">
        <is>
          <t>Simplehuman Cosmetic Mirror Sensor Touch</t>
        </is>
      </c>
      <c r="C13852" t="inlineStr">
        <is>
          <t>Facial Cleansing Tools</t>
        </is>
      </c>
      <c r="D13852" t="inlineStr">
        <is>
          <t>Simplehuman</t>
        </is>
      </c>
      <c r="E13852" t="n">
        <v>243.39</v>
      </c>
      <c r="F13852" t="n">
        <v>1</v>
      </c>
      <c r="G13852" t="n">
        <v>2</v>
      </c>
      <c r="H13852" s="5">
        <f>HYPERLINK("https://api.qogita.com/variants/link/0838810026565/", "View Product")</f>
        <v/>
      </c>
    </row>
    <row r="13853">
      <c r="A13853" t="inlineStr">
        <is>
          <t>0839174001366</t>
        </is>
      </c>
      <c r="B13853" t="inlineStr">
        <is>
          <t>NudeStix Lip Glace Shade 04 Nude Brand New 10ml</t>
        </is>
      </c>
      <c r="C13853" t="inlineStr">
        <is>
          <t>Lip Gloss</t>
        </is>
      </c>
      <c r="D13853" t="inlineStr">
        <is>
          <t>Nudestix</t>
        </is>
      </c>
      <c r="E13853" t="n">
        <v>14.79</v>
      </c>
      <c r="F13853" t="n">
        <v>1</v>
      </c>
      <c r="G13853" t="n">
        <v>6</v>
      </c>
      <c r="H13853" s="5">
        <f>HYPERLINK("https://api.qogita.com/variants/link/0839174001366/", "View Product")</f>
        <v/>
      </c>
    </row>
    <row r="13854">
      <c r="A13854" t="inlineStr">
        <is>
          <t>0839174001373</t>
        </is>
      </c>
      <c r="B13854" t="inlineStr">
        <is>
          <t>Lip Glace Nude 10ml</t>
        </is>
      </c>
      <c r="C13854" t="inlineStr">
        <is>
          <t>Lip Gloss</t>
        </is>
      </c>
      <c r="D13854" t="inlineStr">
        <is>
          <t>Nudestix</t>
        </is>
      </c>
      <c r="E13854" t="n">
        <v>15.07</v>
      </c>
      <c r="F13854" t="n">
        <v>1</v>
      </c>
      <c r="G13854" t="n">
        <v>15</v>
      </c>
      <c r="H13854" s="5">
        <f>HYPERLINK("https://api.qogita.com/variants/link/0839174001373/", "View Product")</f>
        <v/>
      </c>
    </row>
    <row r="13855">
      <c r="A13855" t="inlineStr">
        <is>
          <t>0839174001755</t>
        </is>
      </c>
      <c r="B13855" t="inlineStr">
        <is>
          <t>Nudestix Nudies Tinted Blur Stick Medium 5 6.1g</t>
        </is>
      </c>
      <c r="C13855" t="inlineStr">
        <is>
          <t>Foundation</t>
        </is>
      </c>
      <c r="D13855" t="inlineStr">
        <is>
          <t>Nudestix</t>
        </is>
      </c>
      <c r="E13855" t="n">
        <v>16.81</v>
      </c>
      <c r="F13855" t="n">
        <v>1</v>
      </c>
      <c r="G13855" t="n">
        <v>5</v>
      </c>
      <c r="H13855" s="5">
        <f>HYPERLINK("https://api.qogita.com/variants/link/0839174001755/", "View Product")</f>
        <v/>
      </c>
    </row>
    <row r="13856">
      <c r="A13856" t="inlineStr">
        <is>
          <t>0839174001793</t>
        </is>
      </c>
      <c r="B13856" t="inlineStr">
        <is>
          <t>Nudies Tinted Blur Stick</t>
        </is>
      </c>
      <c r="C13856" t="inlineStr">
        <is>
          <t>Foundation</t>
        </is>
      </c>
      <c r="D13856" t="inlineStr">
        <is>
          <t>Nudestix</t>
        </is>
      </c>
      <c r="E13856" t="n">
        <v>16.81</v>
      </c>
      <c r="F13856" t="n">
        <v>1</v>
      </c>
      <c r="G13856" t="n">
        <v>13</v>
      </c>
      <c r="H13856" s="5">
        <f>HYPERLINK("https://api.qogita.com/variants/link/0839174001793/", "View Product")</f>
        <v/>
      </c>
    </row>
    <row r="13857">
      <c r="A13857" t="inlineStr">
        <is>
          <t>0839174001809</t>
        </is>
      </c>
      <c r="B13857" t="inlineStr">
        <is>
          <t>Nudestix Nudies Tinted Blur Stick 6.1g Deep 10</t>
        </is>
      </c>
      <c r="C13857" t="inlineStr">
        <is>
          <t>Foundation</t>
        </is>
      </c>
      <c r="D13857" t="inlineStr">
        <is>
          <t>Nudestix</t>
        </is>
      </c>
      <c r="E13857" t="n">
        <v>16.81</v>
      </c>
      <c r="F13857" t="n">
        <v>1</v>
      </c>
      <c r="G13857" t="n">
        <v>12</v>
      </c>
      <c r="H13857" s="5">
        <f>HYPERLINK("https://api.qogita.com/variants/link/0839174001809/", "View Product")</f>
        <v/>
      </c>
    </row>
    <row r="13858">
      <c r="A13858" t="inlineStr">
        <is>
          <t>0839174001816</t>
        </is>
      </c>
      <c r="B13858" t="inlineStr">
        <is>
          <t>Nudestix Tinted Cover Foundation Nude 1 - NIB</t>
        </is>
      </c>
      <c r="C13858" t="inlineStr">
        <is>
          <t>Foundation</t>
        </is>
      </c>
      <c r="D13858" t="inlineStr">
        <is>
          <t>Nudestix</t>
        </is>
      </c>
      <c r="E13858" t="n">
        <v>19.65</v>
      </c>
      <c r="F13858" t="n">
        <v>1</v>
      </c>
      <c r="G13858" t="n">
        <v>15</v>
      </c>
      <c r="H13858" s="5">
        <f>HYPERLINK("https://api.qogita.com/variants/link/0839174001816/", "View Product")</f>
        <v/>
      </c>
    </row>
    <row r="13859">
      <c r="A13859" t="inlineStr">
        <is>
          <t>0839174005357</t>
        </is>
      </c>
      <c r="B13859" t="inlineStr">
        <is>
          <t>Nudestix Nudies Bloom All Over Face Dewy Color Rusty Rouge 0.25oz Full Size - New in Box</t>
        </is>
      </c>
      <c r="C13859" t="inlineStr">
        <is>
          <t>Blush</t>
        </is>
      </c>
      <c r="D13859" t="inlineStr">
        <is>
          <t>Nudestix</t>
        </is>
      </c>
      <c r="E13859" t="n">
        <v>17.94</v>
      </c>
      <c r="F13859" t="n">
        <v>1</v>
      </c>
      <c r="G13859" t="n">
        <v>4</v>
      </c>
      <c r="H13859" s="5">
        <f>HYPERLINK("https://api.qogita.com/variants/link/0839174005357/", "View Product")</f>
        <v/>
      </c>
    </row>
    <row r="13860">
      <c r="A13860" t="inlineStr">
        <is>
          <t>0839174008228</t>
        </is>
      </c>
      <c r="B13860" t="inlineStr">
        <is>
          <t>Gift set of decorative cosmetics Trendy Blush Mini 3 pieces</t>
        </is>
      </c>
      <c r="C13860" t="inlineStr">
        <is>
          <t>Complexion Sets &amp; Pallets</t>
        </is>
      </c>
      <c r="D13860" t="inlineStr">
        <is>
          <t>Nudestix</t>
        </is>
      </c>
      <c r="E13860" t="n">
        <v>16.53</v>
      </c>
      <c r="F13860" t="n">
        <v>1</v>
      </c>
      <c r="G13860" t="n">
        <v>8</v>
      </c>
      <c r="H13860" s="5">
        <f>HYPERLINK("https://api.qogita.com/variants/link/0839174008228/", "View Product")</f>
        <v/>
      </c>
    </row>
    <row r="13861">
      <c r="A13861" t="inlineStr">
        <is>
          <t>0839174010054</t>
        </is>
      </c>
      <c r="B13861" t="inlineStr">
        <is>
          <t>Nudestix Magnetic Matte Lip Color Lipstick Lip Liner Lip Stain 3-in-1 Multi Use Makeup Pencil Long Lasting Pigment Kiss Proof Smudge Proof Waterproof Bold Nude Looks Vino</t>
        </is>
      </c>
      <c r="C13861" t="inlineStr">
        <is>
          <t>Lipstick</t>
        </is>
      </c>
      <c r="D13861" t="inlineStr">
        <is>
          <t>Nudestix</t>
        </is>
      </c>
      <c r="E13861" t="n">
        <v>16.32</v>
      </c>
      <c r="F13861" t="n">
        <v>1</v>
      </c>
      <c r="G13861" t="n">
        <v>4</v>
      </c>
      <c r="H13861" s="5">
        <f>HYPERLINK("https://api.qogita.com/variants/link/0839174010054/", "View Product")</f>
        <v/>
      </c>
    </row>
    <row r="13862">
      <c r="A13862" t="inlineStr">
        <is>
          <t>0839174011402</t>
        </is>
      </c>
      <c r="B13862" t="inlineStr">
        <is>
          <t>NUDESTI x Intense Matte Lip + Cheek Pencil Belle</t>
        </is>
      </c>
      <c r="C13862" t="inlineStr">
        <is>
          <t>Lipstick</t>
        </is>
      </c>
      <c r="D13862" t="inlineStr">
        <is>
          <t>Nudestix</t>
        </is>
      </c>
      <c r="E13862" t="n">
        <v>13.94</v>
      </c>
      <c r="F13862" t="n">
        <v>1</v>
      </c>
      <c r="G13862" t="n">
        <v>6</v>
      </c>
      <c r="H13862" s="5">
        <f>HYPERLINK("https://api.qogita.com/variants/link/0839174011402/", "View Product")</f>
        <v/>
      </c>
    </row>
    <row r="13863">
      <c r="A13863" t="inlineStr">
        <is>
          <t>0839174011754</t>
        </is>
      </c>
      <c r="B13863" t="inlineStr">
        <is>
          <t>Intense Matte Lip + Cheek Pencil Retro</t>
        </is>
      </c>
      <c r="C13863" t="inlineStr">
        <is>
          <t>Lipstick</t>
        </is>
      </c>
      <c r="D13863" t="inlineStr">
        <is>
          <t>Nudestix</t>
        </is>
      </c>
      <c r="E13863" t="n">
        <v>13.94</v>
      </c>
      <c r="F13863" t="n">
        <v>1</v>
      </c>
      <c r="G13863" t="n">
        <v>13</v>
      </c>
      <c r="H13863" s="5">
        <f>HYPERLINK("https://api.qogita.com/variants/link/0839174011754/", "View Product")</f>
        <v/>
      </c>
    </row>
    <row r="13864">
      <c r="A13864" t="inlineStr">
        <is>
          <t>0839174012508</t>
        </is>
      </c>
      <c r="B13864" t="inlineStr">
        <is>
          <t>Nudestix Gel Color Lip + Cheek Balm Creamy Sheer Tinted Lip Gloss Lip Liner Cheek Blush Multi Use Makeup Pencil Stick Hydrating High Shine Tint Shade Wicked 0.10 oz 2.8g</t>
        </is>
      </c>
      <c r="C13864" t="inlineStr">
        <is>
          <t>Lip Balm</t>
        </is>
      </c>
      <c r="D13864" t="inlineStr">
        <is>
          <t>Nudestix</t>
        </is>
      </c>
      <c r="E13864" t="n">
        <v>14.53</v>
      </c>
      <c r="F13864" t="n">
        <v>1</v>
      </c>
      <c r="G13864" t="n">
        <v>2</v>
      </c>
      <c r="H13864" s="5">
        <f>HYPERLINK("https://api.qogita.com/variants/link/0839174012508/", "View Product")</f>
        <v/>
      </c>
    </row>
    <row r="13865">
      <c r="A13865" t="inlineStr">
        <is>
          <t>0839174012751</t>
        </is>
      </c>
      <c r="B13865" t="inlineStr">
        <is>
          <t>Nudestix NudeFix Cream Concealer Lightweight Liquid Natural Finish Makeup Hydrating Brightening Under Eye Dark Circle Corrector Reduces Redness and Blemishes Shade Nude 4 0.34 fl oz 10 ml</t>
        </is>
      </c>
      <c r="C13865" t="inlineStr">
        <is>
          <t>Concealer</t>
        </is>
      </c>
      <c r="D13865" t="inlineStr">
        <is>
          <t>Nudestix</t>
        </is>
      </c>
      <c r="E13865" t="n">
        <v>15.07</v>
      </c>
      <c r="F13865" t="n">
        <v>1</v>
      </c>
      <c r="G13865" t="n">
        <v>13</v>
      </c>
      <c r="H13865" s="5">
        <f>HYPERLINK("https://api.qogita.com/variants/link/0839174012751/", "View Product")</f>
        <v/>
      </c>
    </row>
    <row r="13866">
      <c r="A13866" t="inlineStr">
        <is>
          <t>0840026645133</t>
        </is>
      </c>
      <c r="B13866" t="inlineStr">
        <is>
          <t>Fenty Beauty Slip Shine Sheer Shiny Lipstick - 2.8 G</t>
        </is>
      </c>
      <c r="C13866" t="inlineStr">
        <is>
          <t>Lipstick</t>
        </is>
      </c>
      <c r="D13866" t="inlineStr">
        <is>
          <t>Fenty Beauty by Rihanna</t>
        </is>
      </c>
      <c r="E13866" t="n">
        <v>17.71</v>
      </c>
      <c r="F13866" t="n">
        <v>1</v>
      </c>
      <c r="G13866" t="n">
        <v>2</v>
      </c>
      <c r="H13866" s="5">
        <f>HYPERLINK("https://api.qogita.com/variants/link/0840026645133/", "View Product")</f>
        <v/>
      </c>
    </row>
    <row r="13867">
      <c r="A13867" t="inlineStr">
        <is>
          <t>0840026647182</t>
        </is>
      </c>
      <c r="B13867" t="inlineStr">
        <is>
          <t>Fenty Beauty Pro Kiss`R Tinted Lip Balm Luscious Lip Balm - 12 Ml</t>
        </is>
      </c>
      <c r="C13867" t="inlineStr">
        <is>
          <t>Lip Balm</t>
        </is>
      </c>
      <c r="D13867" t="inlineStr">
        <is>
          <t>Fenty Beauty by Rihanna</t>
        </is>
      </c>
      <c r="E13867" t="n">
        <v>13.61</v>
      </c>
      <c r="F13867" t="n">
        <v>1</v>
      </c>
      <c r="G13867" t="n">
        <v>9</v>
      </c>
      <c r="H13867" s="5">
        <f>HYPERLINK("https://api.qogita.com/variants/link/0840026647182/", "View Product")</f>
        <v/>
      </c>
    </row>
    <row r="13868">
      <c r="A13868" t="inlineStr">
        <is>
          <t>0840026656535</t>
        </is>
      </c>
      <c r="B13868" t="inlineStr">
        <is>
          <t>Fenty Beauty Mattifying Makeup Pro Filt'r Soft Matte Foundation Mini - 12 Ml</t>
        </is>
      </c>
      <c r="C13868" t="inlineStr">
        <is>
          <t>Foundation</t>
        </is>
      </c>
      <c r="D13868" t="inlineStr">
        <is>
          <t>Fenty Beauty by Rihanna</t>
        </is>
      </c>
      <c r="E13868" t="n">
        <v>16.73</v>
      </c>
      <c r="F13868" t="n">
        <v>1</v>
      </c>
      <c r="G13868" t="n">
        <v>19</v>
      </c>
      <c r="H13868" s="5">
        <f>HYPERLINK("https://api.qogita.com/variants/link/0840026656535/", "View Product")</f>
        <v/>
      </c>
    </row>
    <row r="13869">
      <c r="A13869" t="inlineStr">
        <is>
          <t>0840026656566</t>
        </is>
      </c>
      <c r="B13869" t="inlineStr">
        <is>
          <t>Fenty Beauty Pro Filt'r Soft Matte Foundation Mini - 12 Ml</t>
        </is>
      </c>
      <c r="C13869" t="inlineStr">
        <is>
          <t>Foundation</t>
        </is>
      </c>
      <c r="D13869" t="inlineStr">
        <is>
          <t>Fenty Beauty by Rihanna</t>
        </is>
      </c>
      <c r="E13869" t="n">
        <v>16.73</v>
      </c>
      <c r="F13869" t="n">
        <v>1</v>
      </c>
      <c r="G13869" t="n">
        <v>15</v>
      </c>
      <c r="H13869" s="5">
        <f>HYPERLINK("https://api.qogita.com/variants/link/0840026656566/", "View Product")</f>
        <v/>
      </c>
    </row>
    <row r="13870">
      <c r="A13870" t="inlineStr">
        <is>
          <t>0840026656658</t>
        </is>
      </c>
      <c r="B13870" t="inlineStr">
        <is>
          <t>Fenty Beauty Mattifying Makeup Pro Filt'r Soft Matte Foundation Mini - 12 Ml</t>
        </is>
      </c>
      <c r="C13870" t="inlineStr">
        <is>
          <t>Foundation</t>
        </is>
      </c>
      <c r="D13870" t="inlineStr">
        <is>
          <t>Fenty Beauty by Rihanna</t>
        </is>
      </c>
      <c r="E13870" t="n">
        <v>16.73</v>
      </c>
      <c r="F13870" t="n">
        <v>1</v>
      </c>
      <c r="G13870" t="n">
        <v>19</v>
      </c>
      <c r="H13870" s="5">
        <f>HYPERLINK("https://api.qogita.com/variants/link/0840026656658/", "View Product")</f>
        <v/>
      </c>
    </row>
    <row r="13871">
      <c r="A13871" t="inlineStr">
        <is>
          <t>0840026656702</t>
        </is>
      </c>
      <c r="B13871" t="inlineStr">
        <is>
          <t>Fenty Beauty Mattifying Makeup Pro Filt`R Soft Matte Foundation Mini - 12 Ml</t>
        </is>
      </c>
      <c r="C13871" t="inlineStr">
        <is>
          <t>Foundation</t>
        </is>
      </c>
      <c r="D13871" t="inlineStr">
        <is>
          <t>Fenty Beauty by Rihanna</t>
        </is>
      </c>
      <c r="E13871" t="n">
        <v>16.73</v>
      </c>
      <c r="F13871" t="n">
        <v>1</v>
      </c>
      <c r="G13871" t="n">
        <v>18</v>
      </c>
      <c r="H13871" s="5">
        <f>HYPERLINK("https://api.qogita.com/variants/link/0840026656702/", "View Product")</f>
        <v/>
      </c>
    </row>
    <row r="13872">
      <c r="A13872" t="inlineStr">
        <is>
          <t>0840026656726</t>
        </is>
      </c>
      <c r="B13872" t="inlineStr">
        <is>
          <t>Fenty Beauty Mattifying Makeup Pro Filt'r Soft Matte Foundation Mini - 12 Ml</t>
        </is>
      </c>
      <c r="C13872" t="inlineStr">
        <is>
          <t>Foundation</t>
        </is>
      </c>
      <c r="D13872" t="inlineStr">
        <is>
          <t>Fenty Beauty by Rihanna</t>
        </is>
      </c>
      <c r="E13872" t="n">
        <v>16.73</v>
      </c>
      <c r="F13872" t="n">
        <v>1</v>
      </c>
      <c r="G13872" t="n">
        <v>18</v>
      </c>
      <c r="H13872" s="5">
        <f>HYPERLINK("https://api.qogita.com/variants/link/0840026656726/", "View Product")</f>
        <v/>
      </c>
    </row>
    <row r="13873">
      <c r="A13873" t="inlineStr">
        <is>
          <t>0840026656740</t>
        </is>
      </c>
      <c r="B13873" t="inlineStr">
        <is>
          <t>Fenty Beauty Mattifying Makeup Pro Filt'r Soft Matte Foundation Mini - 12 Ml</t>
        </is>
      </c>
      <c r="C13873" t="inlineStr">
        <is>
          <t>Foundation</t>
        </is>
      </c>
      <c r="D13873" t="inlineStr">
        <is>
          <t>Fenty Beauty by Rihanna</t>
        </is>
      </c>
      <c r="E13873" t="n">
        <v>16.73</v>
      </c>
      <c r="F13873" t="n">
        <v>1</v>
      </c>
      <c r="G13873" t="n">
        <v>19</v>
      </c>
      <c r="H13873" s="5">
        <f>HYPERLINK("https://api.qogita.com/variants/link/0840026656740/", "View Product")</f>
        <v/>
      </c>
    </row>
    <row r="13874">
      <c r="A13874" t="inlineStr">
        <is>
          <t>0840026656771</t>
        </is>
      </c>
      <c r="B13874" t="inlineStr">
        <is>
          <t>Fenty Beauty Pro Filt'r Soft Matte Foundation Mini - 12 Ml</t>
        </is>
      </c>
      <c r="C13874" t="inlineStr">
        <is>
          <t>Foundation</t>
        </is>
      </c>
      <c r="D13874" t="inlineStr">
        <is>
          <t>Fenty Beauty by Rihanna</t>
        </is>
      </c>
      <c r="E13874" t="n">
        <v>16.73</v>
      </c>
      <c r="F13874" t="n">
        <v>1</v>
      </c>
      <c r="G13874" t="n">
        <v>19</v>
      </c>
      <c r="H13874" s="5">
        <f>HYPERLINK("https://api.qogita.com/variants/link/0840026656771/", "View Product")</f>
        <v/>
      </c>
    </row>
    <row r="13875">
      <c r="A13875" t="inlineStr">
        <is>
          <t>0840026656832</t>
        </is>
      </c>
      <c r="B13875" t="inlineStr">
        <is>
          <t>Fenty Beauty Mattifying Makeup Pro Filt'r Soft Matte Foundation Mini - 12 Ml</t>
        </is>
      </c>
      <c r="C13875" t="inlineStr">
        <is>
          <t>Foundation</t>
        </is>
      </c>
      <c r="D13875" t="inlineStr">
        <is>
          <t>Fenty Beauty by Rihanna</t>
        </is>
      </c>
      <c r="E13875" t="n">
        <v>16.73</v>
      </c>
      <c r="F13875" t="n">
        <v>1</v>
      </c>
      <c r="G13875" t="n">
        <v>19</v>
      </c>
      <c r="H13875" s="5">
        <f>HYPERLINK("https://api.qogita.com/variants/link/0840026656832/", "View Product")</f>
        <v/>
      </c>
    </row>
    <row r="13876">
      <c r="A13876" t="inlineStr">
        <is>
          <t>0840026656948</t>
        </is>
      </c>
      <c r="B13876" t="inlineStr">
        <is>
          <t>Fenty Beauty Pro Filt'r Soft Matte Foundation Mini - 12 Ml</t>
        </is>
      </c>
      <c r="C13876" t="inlineStr">
        <is>
          <t>Foundation</t>
        </is>
      </c>
      <c r="D13876" t="inlineStr">
        <is>
          <t>Fenty Beauty by Rihanna</t>
        </is>
      </c>
      <c r="E13876" t="n">
        <v>16.73</v>
      </c>
      <c r="F13876" t="n">
        <v>1</v>
      </c>
      <c r="G13876" t="n">
        <v>15</v>
      </c>
      <c r="H13876" s="5">
        <f>HYPERLINK("https://api.qogita.com/variants/link/0840026656948/", "View Product")</f>
        <v/>
      </c>
    </row>
    <row r="13877">
      <c r="A13877" t="inlineStr">
        <is>
          <t>0840026657006</t>
        </is>
      </c>
      <c r="B13877" t="inlineStr">
        <is>
          <t>Fenty Beauty Mattifying Makeup Pro Filt'r Soft Matte Foundation Mini - 12 Ml</t>
        </is>
      </c>
      <c r="C13877" t="inlineStr">
        <is>
          <t>Foundation</t>
        </is>
      </c>
      <c r="D13877" t="inlineStr">
        <is>
          <t>Fenty Beauty by Rihanna</t>
        </is>
      </c>
      <c r="E13877" t="n">
        <v>16.73</v>
      </c>
      <c r="F13877" t="n">
        <v>1</v>
      </c>
      <c r="G13877" t="n">
        <v>15</v>
      </c>
      <c r="H13877" s="5">
        <f>HYPERLINK("https://api.qogita.com/variants/link/0840026657006/", "View Product")</f>
        <v/>
      </c>
    </row>
    <row r="13878">
      <c r="A13878" t="inlineStr">
        <is>
          <t>0840026657020</t>
        </is>
      </c>
      <c r="B13878" t="inlineStr">
        <is>
          <t>Fenty Beauty Mattifying Makeup Pro Filt'r Soft Matte Foundation Mini - 12 Ml</t>
        </is>
      </c>
      <c r="C13878" t="inlineStr">
        <is>
          <t>Foundation</t>
        </is>
      </c>
      <c r="D13878" t="inlineStr">
        <is>
          <t>Fenty Beauty by Rihanna</t>
        </is>
      </c>
      <c r="E13878" t="n">
        <v>16.73</v>
      </c>
      <c r="F13878" t="n">
        <v>1</v>
      </c>
      <c r="G13878" t="n">
        <v>15</v>
      </c>
      <c r="H13878" s="5">
        <f>HYPERLINK("https://api.qogita.com/variants/link/0840026657020/", "View Product")</f>
        <v/>
      </c>
    </row>
    <row r="13879">
      <c r="A13879" t="inlineStr">
        <is>
          <t>0840026663960</t>
        </is>
      </c>
      <c r="B13879" t="inlineStr">
        <is>
          <t>Fenty Beauty Match Stix Shimmer Skinstick I Scream</t>
        </is>
      </c>
      <c r="C13879" t="inlineStr">
        <is>
          <t>Highlighter</t>
        </is>
      </c>
      <c r="D13879" t="inlineStr">
        <is>
          <t>Fenty Beauty by Rihanna</t>
        </is>
      </c>
      <c r="E13879" t="n">
        <v>23.93</v>
      </c>
      <c r="F13879" t="n">
        <v>1</v>
      </c>
      <c r="G13879" t="n">
        <v>5</v>
      </c>
      <c r="H13879" s="5">
        <f>HYPERLINK("https://api.qogita.com/variants/link/0840026663960/", "View Product")</f>
        <v/>
      </c>
    </row>
    <row r="13880">
      <c r="A13880" t="inlineStr">
        <is>
          <t>0840026663977</t>
        </is>
      </c>
      <c r="B13880" t="inlineStr">
        <is>
          <t>Fenty Beauty Match Stix Shimmer Skinstick 7.10g</t>
        </is>
      </c>
      <c r="C13880" t="inlineStr">
        <is>
          <t>Highlighter</t>
        </is>
      </c>
      <c r="D13880" t="inlineStr">
        <is>
          <t>Fenty Beauty by Rihanna</t>
        </is>
      </c>
      <c r="E13880" t="n">
        <v>23.93</v>
      </c>
      <c r="F13880" t="n">
        <v>1</v>
      </c>
      <c r="G13880" t="n">
        <v>14</v>
      </c>
      <c r="H13880" s="5">
        <f>HYPERLINK("https://api.qogita.com/variants/link/0840026663977/", "View Product")</f>
        <v/>
      </c>
    </row>
    <row r="13881">
      <c r="A13881" t="inlineStr">
        <is>
          <t>0840026664738</t>
        </is>
      </c>
      <c r="B13881" t="inlineStr">
        <is>
          <t>Fenty Beauty Mattifying Makeup Pro Filt'r Soft Matte Foundation Mini - 12 Ml</t>
        </is>
      </c>
      <c r="C13881" t="inlineStr">
        <is>
          <t>Foundation</t>
        </is>
      </c>
      <c r="D13881" t="inlineStr">
        <is>
          <t>Fenty Beauty by Rihanna</t>
        </is>
      </c>
      <c r="E13881" t="n">
        <v>16.73</v>
      </c>
      <c r="F13881" t="n">
        <v>1</v>
      </c>
      <c r="G13881" t="n">
        <v>19</v>
      </c>
      <c r="H13881" s="5">
        <f>HYPERLINK("https://api.qogita.com/variants/link/0840026664738/", "View Product")</f>
        <v/>
      </c>
    </row>
    <row r="13882">
      <c r="A13882" t="inlineStr">
        <is>
          <t>0840026664776</t>
        </is>
      </c>
      <c r="B13882" t="inlineStr">
        <is>
          <t>Fenty Beauty Mattifying Makeup Pro Filt'r Soft Matte Foundation Mini - 12 Ml</t>
        </is>
      </c>
      <c r="C13882" t="inlineStr">
        <is>
          <t>Foundation</t>
        </is>
      </c>
      <c r="D13882" t="inlineStr">
        <is>
          <t>Fenty Beauty by Rihanna</t>
        </is>
      </c>
      <c r="E13882" t="n">
        <v>16.73</v>
      </c>
      <c r="F13882" t="n">
        <v>1</v>
      </c>
      <c r="G13882" t="n">
        <v>19</v>
      </c>
      <c r="H13882" s="5">
        <f>HYPERLINK("https://api.qogita.com/variants/link/0840026664776/", "View Product")</f>
        <v/>
      </c>
    </row>
    <row r="13883">
      <c r="A13883" t="inlineStr">
        <is>
          <t>0840026666626</t>
        </is>
      </c>
      <c r="B13883" t="inlineStr">
        <is>
          <t>Fenty Beauty Eaze Drop Blur + Smooth Tint Stick 9 G</t>
        </is>
      </c>
      <c r="C13883" t="inlineStr">
        <is>
          <t>Foundation</t>
        </is>
      </c>
      <c r="D13883" t="inlineStr">
        <is>
          <t>Fenty Beauty by Rihanna</t>
        </is>
      </c>
      <c r="E13883" t="n">
        <v>31.46</v>
      </c>
      <c r="F13883" t="n">
        <v>1</v>
      </c>
      <c r="G13883" t="n">
        <v>27</v>
      </c>
      <c r="H13883" s="5">
        <f>HYPERLINK("https://api.qogita.com/variants/link/0840026666626/", "View Product")</f>
        <v/>
      </c>
    </row>
    <row r="13884">
      <c r="A13884" t="inlineStr">
        <is>
          <t>0840026666787</t>
        </is>
      </c>
      <c r="B13884" t="inlineStr">
        <is>
          <t>Fenty Beauty Demi Glow Highlighter - 4.5 G</t>
        </is>
      </c>
      <c r="C13884" t="inlineStr">
        <is>
          <t>Highlighter</t>
        </is>
      </c>
      <c r="D13884" t="inlineStr">
        <is>
          <t>Fenty Beauty by Rihanna</t>
        </is>
      </c>
      <c r="E13884" t="n">
        <v>38.02</v>
      </c>
      <c r="F13884" t="n">
        <v>1</v>
      </c>
      <c r="G13884" t="n">
        <v>21</v>
      </c>
      <c r="H13884" s="5">
        <f>HYPERLINK("https://api.qogita.com/variants/link/0840026666787/", "View Product")</f>
        <v/>
      </c>
    </row>
    <row r="13885">
      <c r="A13885" t="inlineStr">
        <is>
          <t>0840026670807</t>
        </is>
      </c>
      <c r="B13885" t="inlineStr">
        <is>
          <t>Fenty Beauty Demi Glow Highlighter - 4.5 Grams</t>
        </is>
      </c>
      <c r="C13885" t="inlineStr">
        <is>
          <t>Highlighter</t>
        </is>
      </c>
      <c r="D13885" t="inlineStr">
        <is>
          <t>Fenty Beauty by Rihanna</t>
        </is>
      </c>
      <c r="E13885" t="n">
        <v>38.02</v>
      </c>
      <c r="F13885" t="n">
        <v>1</v>
      </c>
      <c r="G13885" t="n">
        <v>23</v>
      </c>
      <c r="H13885" s="5">
        <f>HYPERLINK("https://api.qogita.com/variants/link/0840026670807/", "View Product")</f>
        <v/>
      </c>
    </row>
    <row r="13886">
      <c r="A13886" t="inlineStr">
        <is>
          <t>0840035200996</t>
        </is>
      </c>
      <c r="B13886" t="inlineStr">
        <is>
          <t>Oribe Styling Matte Waves Texture Lotion 100ml</t>
        </is>
      </c>
      <c r="C13886" t="inlineStr">
        <is>
          <t>Styling Creams</t>
        </is>
      </c>
      <c r="D13886" t="inlineStr">
        <is>
          <t>Oribe</t>
        </is>
      </c>
      <c r="E13886" t="n">
        <v>45.87</v>
      </c>
      <c r="F13886" t="n">
        <v>1</v>
      </c>
      <c r="G13886" t="n">
        <v>4</v>
      </c>
      <c r="H13886" s="5">
        <f>HYPERLINK("https://api.qogita.com/variants/link/0840035200996/", "View Product")</f>
        <v/>
      </c>
    </row>
    <row r="13887">
      <c r="A13887" t="inlineStr">
        <is>
          <t>0840035204482</t>
        </is>
      </c>
      <c r="B13887" t="inlineStr">
        <is>
          <t>ORIBE Gold Lust Nourishing Hair Oil Travel Size 1.7oz</t>
        </is>
      </c>
      <c r="C13887" t="inlineStr">
        <is>
          <t>Hair Oil &amp; Hair Serum</t>
        </is>
      </c>
      <c r="D13887" t="inlineStr">
        <is>
          <t>Oribe</t>
        </is>
      </c>
      <c r="E13887" t="n">
        <v>40.74</v>
      </c>
      <c r="F13887" t="n">
        <v>1</v>
      </c>
      <c r="G13887" t="n">
        <v>5</v>
      </c>
      <c r="H13887" s="5">
        <f>HYPERLINK("https://api.qogita.com/variants/link/0840035204482/", "View Product")</f>
        <v/>
      </c>
    </row>
    <row r="13888">
      <c r="A13888" t="inlineStr">
        <is>
          <t>0840216930414</t>
        </is>
      </c>
      <c r="B13888" t="inlineStr">
        <is>
          <t>Living Proof Full Conditioner Volumizing Silicone-Free Paraben-Free Vegan</t>
        </is>
      </c>
      <c r="C13888" t="inlineStr">
        <is>
          <t>Conditioner</t>
        </is>
      </c>
      <c r="D13888" t="inlineStr">
        <is>
          <t>Living Proof</t>
        </is>
      </c>
      <c r="E13888" t="n">
        <v>28.8</v>
      </c>
      <c r="F13888" t="n">
        <v>1</v>
      </c>
      <c r="G13888" t="n">
        <v>4</v>
      </c>
      <c r="H13888" s="5">
        <f>HYPERLINK("https://api.qogita.com/variants/link/0840216930414/", "View Product")</f>
        <v/>
      </c>
    </row>
    <row r="13889">
      <c r="A13889" t="inlineStr">
        <is>
          <t>0840216931312</t>
        </is>
      </c>
      <c r="B13889" t="inlineStr">
        <is>
          <t>Living Proof Triple Bond Complex Hair Treatment 45ml</t>
        </is>
      </c>
      <c r="C13889" t="inlineStr">
        <is>
          <t>Hair Masks</t>
        </is>
      </c>
      <c r="D13889" t="inlineStr">
        <is>
          <t>Living Proof</t>
        </is>
      </c>
      <c r="E13889" t="n">
        <v>38.72</v>
      </c>
      <c r="F13889" t="n">
        <v>1</v>
      </c>
      <c r="G13889" t="n">
        <v>2</v>
      </c>
      <c r="H13889" s="5">
        <f>HYPERLINK("https://api.qogita.com/variants/link/0840216931312/", "View Product")</f>
        <v/>
      </c>
    </row>
    <row r="13890">
      <c r="A13890" t="inlineStr">
        <is>
          <t>0840216934245</t>
        </is>
      </c>
      <c r="B13890" t="inlineStr">
        <is>
          <t>Full Volume &amp; Root-Lifting Spray</t>
        </is>
      </c>
      <c r="C13890" t="inlineStr">
        <is>
          <t>Styling Sprays</t>
        </is>
      </c>
      <c r="D13890" t="inlineStr">
        <is>
          <t>Living Proof</t>
        </is>
      </c>
      <c r="E13890" t="n">
        <v>27</v>
      </c>
      <c r="F13890" t="n">
        <v>1</v>
      </c>
      <c r="G13890" t="n">
        <v>2</v>
      </c>
      <c r="H13890" s="5">
        <f>HYPERLINK("https://api.qogita.com/variants/link/0840216934245/", "View Product")</f>
        <v/>
      </c>
    </row>
    <row r="13891">
      <c r="A13891" t="inlineStr">
        <is>
          <t>0840216934467</t>
        </is>
      </c>
      <c r="B13891" t="inlineStr">
        <is>
          <t>Living Proof Style Lab Amp2 Texture Volumizer - 57 G</t>
        </is>
      </c>
      <c r="C13891" t="inlineStr">
        <is>
          <t>Volume Powder</t>
        </is>
      </c>
      <c r="D13891" t="inlineStr">
        <is>
          <t>Living Proof</t>
        </is>
      </c>
      <c r="E13891" t="n">
        <v>27</v>
      </c>
      <c r="F13891" t="n">
        <v>1</v>
      </c>
      <c r="G13891" t="n">
        <v>5</v>
      </c>
      <c r="H13891" s="5">
        <f>HYPERLINK("https://api.qogita.com/variants/link/0840216934467/", "View Product")</f>
        <v/>
      </c>
    </row>
    <row r="13892">
      <c r="A13892" t="inlineStr">
        <is>
          <t>0840356500010</t>
        </is>
      </c>
      <c r="B13892" t="inlineStr">
        <is>
          <t>Strivectin Super-C Night Vitamin C Cream Brightening &amp; Firming</t>
        </is>
      </c>
      <c r="C13892" t="inlineStr">
        <is>
          <t>Night Cream</t>
        </is>
      </c>
      <c r="D13892" t="inlineStr">
        <is>
          <t>Strivectin</t>
        </is>
      </c>
      <c r="E13892" t="n">
        <v>53.64</v>
      </c>
      <c r="F13892" t="n">
        <v>1</v>
      </c>
      <c r="G13892" t="n">
        <v>2</v>
      </c>
      <c r="H13892" s="5">
        <f>HYPERLINK("https://api.qogita.com/variants/link/0840356500010/", "View Product")</f>
        <v/>
      </c>
    </row>
    <row r="13893">
      <c r="A13893" t="inlineStr">
        <is>
          <t>0840356500966</t>
        </is>
      </c>
      <c r="B13893" t="inlineStr">
        <is>
          <t>Strivectin Tighten and Lift Peptight Face Lift Serum</t>
        </is>
      </c>
      <c r="C13893" t="inlineStr">
        <is>
          <t>Anti-Aging Serum</t>
        </is>
      </c>
      <c r="D13893" t="inlineStr">
        <is>
          <t>Strivectin</t>
        </is>
      </c>
      <c r="E13893" t="n">
        <v>34.41</v>
      </c>
      <c r="F13893" t="n">
        <v>1</v>
      </c>
      <c r="G13893" t="n">
        <v>10</v>
      </c>
      <c r="H13893" s="5">
        <f>HYPERLINK("https://api.qogita.com/variants/link/0840356500966/", "View Product")</f>
        <v/>
      </c>
    </row>
    <row r="13894">
      <c r="A13894" t="inlineStr">
        <is>
          <t>0840797116528</t>
        </is>
      </c>
      <c r="B13894" t="inlineStr">
        <is>
          <t>Banana Republic Cypress Cedar Unisex Fragrance Eau De Parfum (EDP) 75ml Spray</t>
        </is>
      </c>
      <c r="C13894" t="inlineStr">
        <is>
          <t>Eau De Parfum</t>
        </is>
      </c>
      <c r="D13894" t="inlineStr">
        <is>
          <t>Banana Republic</t>
        </is>
      </c>
      <c r="E13894" t="n">
        <v>20.53</v>
      </c>
      <c r="F13894" t="n">
        <v>1</v>
      </c>
      <c r="G13894" t="n">
        <v>11</v>
      </c>
      <c r="H13894" s="5">
        <f>HYPERLINK("https://api.qogita.com/variants/link/0840797116528/", "View Product")</f>
        <v/>
      </c>
    </row>
    <row r="13895">
      <c r="A13895" t="inlineStr">
        <is>
          <t>0840797119406</t>
        </is>
      </c>
      <c r="B13895" t="inlineStr">
        <is>
          <t>Banana Republic Women's Perfume 'W' Eau De Parfum 125ml</t>
        </is>
      </c>
      <c r="C13895" t="inlineStr">
        <is>
          <t>Eau De Parfum</t>
        </is>
      </c>
      <c r="D13895" t="inlineStr">
        <is>
          <t>Banana Republic</t>
        </is>
      </c>
      <c r="E13895" t="n">
        <v>16.75</v>
      </c>
      <c r="F13895" t="n">
        <v>1</v>
      </c>
      <c r="G13895" t="n">
        <v>14</v>
      </c>
      <c r="H13895" s="5">
        <f>HYPERLINK("https://api.qogita.com/variants/link/0840797119406/", "View Product")</f>
        <v/>
      </c>
    </row>
    <row r="13896">
      <c r="A13896" t="inlineStr">
        <is>
          <t>0840797136267</t>
        </is>
      </c>
      <c r="B13896" t="inlineStr">
        <is>
          <t>Banana Republic Slate Eau De Toilette Spray 3.4 oz 100 ml for Men</t>
        </is>
      </c>
      <c r="C13896" t="inlineStr">
        <is>
          <t>Eau De Toilette</t>
        </is>
      </c>
      <c r="D13896" t="inlineStr">
        <is>
          <t>Banana Republic</t>
        </is>
      </c>
      <c r="E13896" t="n">
        <v>17.83</v>
      </c>
      <c r="F13896" t="n">
        <v>1</v>
      </c>
      <c r="G13896" t="n">
        <v>2</v>
      </c>
      <c r="H13896" s="5">
        <f>HYPERLINK("https://api.qogita.com/variants/link/0840797136267/", "View Product")</f>
        <v/>
      </c>
    </row>
    <row r="13897">
      <c r="A13897" t="inlineStr">
        <is>
          <t>0841317000105</t>
        </is>
      </c>
      <c r="B13897" t="inlineStr">
        <is>
          <t>Histoires De Parfums 1740 EDP 120ml</t>
        </is>
      </c>
      <c r="C13897" t="inlineStr">
        <is>
          <t>Eau De Parfum</t>
        </is>
      </c>
      <c r="D13897" t="inlineStr">
        <is>
          <t>Histoire De Parfums</t>
        </is>
      </c>
      <c r="E13897" t="n">
        <v>82.98</v>
      </c>
      <c r="F13897" t="n">
        <v>1</v>
      </c>
      <c r="G13897" t="n">
        <v>11</v>
      </c>
      <c r="H13897" s="5">
        <f>HYPERLINK("https://api.qogita.com/variants/link/0841317000105/", "View Product")</f>
        <v/>
      </c>
    </row>
    <row r="13898">
      <c r="A13898" t="inlineStr">
        <is>
          <t>0841317000167</t>
        </is>
      </c>
      <c r="B13898" t="inlineStr">
        <is>
          <t>Histoires de Parfums Moulin R 1889 120ml</t>
        </is>
      </c>
      <c r="C13898" t="inlineStr">
        <is>
          <t>Eau De Parfum</t>
        </is>
      </c>
      <c r="D13898" t="inlineStr">
        <is>
          <t>Histoire De Parfums</t>
        </is>
      </c>
      <c r="E13898" t="n">
        <v>82.45999999999999</v>
      </c>
      <c r="F13898" t="n">
        <v>1</v>
      </c>
      <c r="G13898" t="n">
        <v>11</v>
      </c>
      <c r="H13898" s="5">
        <f>HYPERLINK("https://api.qogita.com/variants/link/0841317000167/", "View Product")</f>
        <v/>
      </c>
    </row>
    <row r="13899">
      <c r="A13899" t="inlineStr">
        <is>
          <t>0841317001058</t>
        </is>
      </c>
      <c r="B13899" t="inlineStr">
        <is>
          <t>Histoires de Parfums 1876 W EDP 60ml</t>
        </is>
      </c>
      <c r="C13899" t="inlineStr">
        <is>
          <t>Eau De Parfum</t>
        </is>
      </c>
      <c r="D13899" t="inlineStr">
        <is>
          <t>Histoires De Parfums</t>
        </is>
      </c>
      <c r="E13899" t="n">
        <v>52.69</v>
      </c>
      <c r="F13899" t="n">
        <v>1</v>
      </c>
      <c r="G13899" t="n">
        <v>12</v>
      </c>
      <c r="H13899" s="5">
        <f>HYPERLINK("https://api.qogita.com/variants/link/0841317001058/", "View Product")</f>
        <v/>
      </c>
    </row>
    <row r="13900">
      <c r="A13900" t="inlineStr">
        <is>
          <t>0841317001812</t>
        </is>
      </c>
      <c r="B13900" t="inlineStr">
        <is>
          <t>Histoires De Parfums Edition Rare Rosam Eau De Parfum Spray 60ml</t>
        </is>
      </c>
      <c r="C13900" t="inlineStr">
        <is>
          <t>Eau De Parfum</t>
        </is>
      </c>
      <c r="D13900" t="inlineStr">
        <is>
          <t>Histoires De Parfums</t>
        </is>
      </c>
      <c r="E13900" t="n">
        <v>74.84999999999999</v>
      </c>
      <c r="F13900" t="n">
        <v>1</v>
      </c>
      <c r="G13900" t="n">
        <v>4</v>
      </c>
      <c r="H13900" s="5">
        <f>HYPERLINK("https://api.qogita.com/variants/link/0841317001812/", "View Product")</f>
        <v/>
      </c>
    </row>
    <row r="13901">
      <c r="A13901" t="inlineStr">
        <is>
          <t>0841317002703</t>
        </is>
      </c>
      <c r="B13901" t="inlineStr">
        <is>
          <t>Histoires De Parfums This Is Not A Bleu Bottle 1.4 Eau De Parfum 60ml</t>
        </is>
      </c>
      <c r="C13901" t="inlineStr">
        <is>
          <t>Eau De Parfum</t>
        </is>
      </c>
      <c r="D13901" t="inlineStr">
        <is>
          <t>Histoires De Parfums</t>
        </is>
      </c>
      <c r="E13901" t="n">
        <v>53.22</v>
      </c>
      <c r="F13901" t="n">
        <v>1</v>
      </c>
      <c r="G13901" t="n">
        <v>13</v>
      </c>
      <c r="H13901" s="5">
        <f>HYPERLINK("https://api.qogita.com/variants/link/0841317002703/", "View Product")</f>
        <v/>
      </c>
    </row>
    <row r="13902">
      <c r="A13902" t="inlineStr">
        <is>
          <t>0841317002710</t>
        </is>
      </c>
      <c r="B13902" t="inlineStr">
        <is>
          <t>Histoires De Parfums Compatible - This Is Not A Blue Bottle 1/4 Edp 15 Ml</t>
        </is>
      </c>
      <c r="C13902" t="inlineStr">
        <is>
          <t>Eau De Parfum</t>
        </is>
      </c>
      <c r="D13902" t="inlineStr">
        <is>
          <t>Histoires De Parfums</t>
        </is>
      </c>
      <c r="E13902" t="n">
        <v>19.87</v>
      </c>
      <c r="F13902" t="n">
        <v>1</v>
      </c>
      <c r="G13902" t="n">
        <v>19</v>
      </c>
      <c r="H13902" s="5">
        <f>HYPERLINK("https://api.qogita.com/variants/link/0841317002710/", "View Product")</f>
        <v/>
      </c>
    </row>
    <row r="13903">
      <c r="A13903" t="inlineStr">
        <is>
          <t>0841317003298</t>
        </is>
      </c>
      <c r="B13903" t="inlineStr">
        <is>
          <t>Histoire de Parfums Noir Patchouli Eau de Parfum 15ml for Women</t>
        </is>
      </c>
      <c r="C13903" t="inlineStr">
        <is>
          <t>Eau De Parfum</t>
        </is>
      </c>
      <c r="D13903" t="inlineStr">
        <is>
          <t>Histoire De Parfums</t>
        </is>
      </c>
      <c r="E13903" t="n">
        <v>19.74</v>
      </c>
      <c r="F13903" t="n">
        <v>1</v>
      </c>
      <c r="G13903" t="n">
        <v>31</v>
      </c>
      <c r="H13903" s="5">
        <f>HYPERLINK("https://api.qogita.com/variants/link/0841317003298/", "View Product")</f>
        <v/>
      </c>
    </row>
    <row r="13904">
      <c r="A13904" t="inlineStr">
        <is>
          <t>0843445026255</t>
        </is>
      </c>
      <c r="B13904" t="inlineStr">
        <is>
          <t>Plumbeauty Contouring Facial Roller</t>
        </is>
      </c>
      <c r="C13904" t="inlineStr">
        <is>
          <t>Facial Massage</t>
        </is>
      </c>
      <c r="D13904" t="inlineStr">
        <is>
          <t>Plum Beauty</t>
        </is>
      </c>
      <c r="E13904" t="n">
        <v>18.52</v>
      </c>
      <c r="F13904" t="n">
        <v>1</v>
      </c>
      <c r="G13904" t="n">
        <v>4</v>
      </c>
      <c r="H13904" s="5">
        <f>HYPERLINK("https://api.qogita.com/variants/link/0843445026255/", "View Product")</f>
        <v/>
      </c>
    </row>
    <row r="13905">
      <c r="A13905" t="inlineStr">
        <is>
          <t>0843711294654</t>
        </is>
      </c>
      <c r="B13905" t="inlineStr">
        <is>
          <t>Fila Black for Men 8.4oz Body Spray</t>
        </is>
      </c>
      <c r="C13905" t="inlineStr">
        <is>
          <t>Eau De Toilette</t>
        </is>
      </c>
      <c r="D13905" t="inlineStr">
        <is>
          <t>Fila</t>
        </is>
      </c>
      <c r="E13905" t="n">
        <v>5.88</v>
      </c>
      <c r="F13905" t="n">
        <v>1</v>
      </c>
      <c r="G13905" t="n">
        <v>4</v>
      </c>
      <c r="H13905" s="5">
        <f>HYPERLINK("https://api.qogita.com/variants/link/0843711294654/", "View Product")</f>
        <v/>
      </c>
    </row>
    <row r="13906">
      <c r="A13906" t="inlineStr">
        <is>
          <t>0844061006157</t>
        </is>
      </c>
      <c r="B13906" t="inlineStr">
        <is>
          <t>Perry Ellis 360 Collection EDT Spray 3.4 oz</t>
        </is>
      </c>
      <c r="C13906" t="inlineStr">
        <is>
          <t>Eau De Toilette</t>
        </is>
      </c>
      <c r="D13906" t="inlineStr">
        <is>
          <t>Perry Ellis</t>
        </is>
      </c>
      <c r="E13906" t="n">
        <v>26.71</v>
      </c>
      <c r="F13906" t="n">
        <v>1</v>
      </c>
      <c r="G13906" t="n">
        <v>3</v>
      </c>
      <c r="H13906" s="5">
        <f>HYPERLINK("https://api.qogita.com/variants/link/0844061006157/", "View Product")</f>
        <v/>
      </c>
    </row>
    <row r="13907">
      <c r="A13907" t="inlineStr">
        <is>
          <t>0844061013711</t>
        </is>
      </c>
      <c r="B13907" t="inlineStr">
        <is>
          <t>True Religion for Women Eau de Parfum Spray 100ml</t>
        </is>
      </c>
      <c r="C13907" t="inlineStr">
        <is>
          <t>Eau De Parfum</t>
        </is>
      </c>
      <c r="D13907" t="inlineStr">
        <is>
          <t>True Religion</t>
        </is>
      </c>
      <c r="E13907" t="n">
        <v>24.5</v>
      </c>
      <c r="F13907" t="n">
        <v>1</v>
      </c>
      <c r="G13907" t="n">
        <v>2</v>
      </c>
      <c r="H13907" s="5">
        <f>HYPERLINK("https://api.qogita.com/variants/link/0844061013711/", "View Product")</f>
        <v/>
      </c>
    </row>
    <row r="13908">
      <c r="A13908" t="inlineStr">
        <is>
          <t>0844061014480</t>
        </is>
      </c>
      <c r="B13908" t="inlineStr">
        <is>
          <t>Perry Ellis 360° for Women Body Mist 8oz Musk</t>
        </is>
      </c>
      <c r="C13908" t="inlineStr">
        <is>
          <t>Eau De Toilette</t>
        </is>
      </c>
      <c r="D13908" t="inlineStr">
        <is>
          <t>Perry Ellis</t>
        </is>
      </c>
      <c r="E13908" t="n">
        <v>9.83</v>
      </c>
      <c r="F13908" t="n">
        <v>1</v>
      </c>
      <c r="G13908" t="n">
        <v>11</v>
      </c>
      <c r="H13908" s="5">
        <f>HYPERLINK("https://api.qogita.com/variants/link/0844061014480/", "View Product")</f>
        <v/>
      </c>
    </row>
    <row r="13909">
      <c r="A13909" t="inlineStr">
        <is>
          <t>0850001265461</t>
        </is>
      </c>
      <c r="B13909" t="inlineStr">
        <is>
          <t>Mielle Rosemary Mint Scalp &amp; Hair Oil 2oz</t>
        </is>
      </c>
      <c r="C13909" t="inlineStr">
        <is>
          <t>Hair Oil &amp; Hair Serum</t>
        </is>
      </c>
      <c r="D13909" t="inlineStr">
        <is>
          <t>Mielle</t>
        </is>
      </c>
      <c r="E13909" t="n">
        <v>12.1</v>
      </c>
      <c r="F13909" t="n">
        <v>1</v>
      </c>
      <c r="G13909" t="n">
        <v>29</v>
      </c>
      <c r="H13909" s="5">
        <f>HYPERLINK("https://api.qogita.com/variants/link/0850001265461/", "View Product")</f>
        <v/>
      </c>
    </row>
    <row r="13910">
      <c r="A13910" t="inlineStr">
        <is>
          <t>0850013332793</t>
        </is>
      </c>
      <c r="B13910" t="inlineStr">
        <is>
          <t>Reuzel Intensive Care Eye Cream Refreshing Firming Under-Eye Depuffer 30ml</t>
        </is>
      </c>
      <c r="C13910" t="inlineStr">
        <is>
          <t>Eye Cream</t>
        </is>
      </c>
      <c r="D13910" t="inlineStr">
        <is>
          <t>Reuzel</t>
        </is>
      </c>
      <c r="E13910" t="n">
        <v>6.57</v>
      </c>
      <c r="F13910" t="n">
        <v>1</v>
      </c>
      <c r="G13910" t="n">
        <v>2</v>
      </c>
      <c r="H13910" s="5">
        <f>HYPERLINK("https://api.qogita.com/variants/link/0850013332793/", "View Product")</f>
        <v/>
      </c>
    </row>
    <row r="13911">
      <c r="A13911" t="inlineStr">
        <is>
          <t>0850013332809</t>
        </is>
      </c>
      <c r="B13911" t="inlineStr">
        <is>
          <t>Reuzel Refresh No Rinse Beard Wash Instantly Freshens Softens and Hydrates Beard 200ml</t>
        </is>
      </c>
      <c r="C13911" t="inlineStr">
        <is>
          <t>Beard Care Accessories</t>
        </is>
      </c>
      <c r="D13911" t="inlineStr">
        <is>
          <t>Reuzel</t>
        </is>
      </c>
      <c r="E13911" t="n">
        <v>6.73</v>
      </c>
      <c r="F13911" t="n">
        <v>1</v>
      </c>
      <c r="G13911" t="n">
        <v>10</v>
      </c>
      <c r="H13911" s="5">
        <f>HYPERLINK("https://api.qogita.com/variants/link/0850013332809/", "View Product")</f>
        <v/>
      </c>
    </row>
    <row r="13912">
      <c r="A13912" t="inlineStr">
        <is>
          <t>0850018802512</t>
        </is>
      </c>
      <c r="B13912" t="inlineStr">
        <is>
          <t>Broad Spectrum Chelating Treatment 370ml</t>
        </is>
      </c>
      <c r="C13912" t="inlineStr">
        <is>
          <t>Alternative Medicine</t>
        </is>
      </c>
      <c r="D13912" t="inlineStr">
        <is>
          <t>Olaplex</t>
        </is>
      </c>
      <c r="E13912" t="n">
        <v>39.59</v>
      </c>
      <c r="F13912" t="n">
        <v>1</v>
      </c>
      <c r="G13912" t="n">
        <v>4</v>
      </c>
      <c r="H13912" s="5">
        <f>HYPERLINK("https://api.qogita.com/variants/link/0850018802512/", "View Product")</f>
        <v/>
      </c>
    </row>
    <row r="13913">
      <c r="A13913" t="inlineStr">
        <is>
          <t>0850018802819</t>
        </is>
      </c>
      <c r="B13913" t="inlineStr">
        <is>
          <t>Olaplex No. 8 Bond Intense Moisture Hair Mask for Smoothness and Care</t>
        </is>
      </c>
      <c r="C13913" t="inlineStr">
        <is>
          <t>Hair Masks</t>
        </is>
      </c>
      <c r="D13913" t="inlineStr">
        <is>
          <t>Olaplex</t>
        </is>
      </c>
      <c r="E13913" t="n">
        <v>16.41</v>
      </c>
      <c r="F13913" t="n">
        <v>1</v>
      </c>
      <c r="G13913" t="n">
        <v>375</v>
      </c>
      <c r="H13913" s="5">
        <f>HYPERLINK("https://api.qogita.com/variants/link/0850018802819/", "View Product")</f>
        <v/>
      </c>
    </row>
    <row r="13914">
      <c r="A13914" t="inlineStr">
        <is>
          <t>0850018802857</t>
        </is>
      </c>
      <c r="B13914" t="inlineStr">
        <is>
          <t>Olaplex Reconstructive Hair Treatment Traveling Stylist</t>
        </is>
      </c>
      <c r="C13914" t="inlineStr">
        <is>
          <t>Hair Masks</t>
        </is>
      </c>
      <c r="D13914" t="inlineStr">
        <is>
          <t>Olaplex</t>
        </is>
      </c>
      <c r="E13914" t="n">
        <v>79.86</v>
      </c>
      <c r="F13914" t="n">
        <v>1</v>
      </c>
      <c r="G13914" t="n">
        <v>61</v>
      </c>
      <c r="H13914" s="5">
        <f>HYPERLINK("https://api.qogita.com/variants/link/0850018802857/", "View Product")</f>
        <v/>
      </c>
    </row>
    <row r="13915">
      <c r="A13915" t="inlineStr">
        <is>
          <t>0850020289905</t>
        </is>
      </c>
      <c r="B13915" t="inlineStr">
        <is>
          <t>Reuzel Concrete Hold Matte Pomade 340g</t>
        </is>
      </c>
      <c r="C13915" t="inlineStr">
        <is>
          <t>Wax</t>
        </is>
      </c>
      <c r="D13915" t="inlineStr">
        <is>
          <t>Reuzel</t>
        </is>
      </c>
      <c r="E13915" t="n">
        <v>5.05</v>
      </c>
      <c r="F13915" t="n">
        <v>1</v>
      </c>
      <c r="G13915" t="n">
        <v>6</v>
      </c>
      <c r="H13915" s="5">
        <f>HYPERLINK("https://api.qogita.com/variants/link/0850020289905/", "View Product")</f>
        <v/>
      </c>
    </row>
    <row r="13916">
      <c r="A13916" t="inlineStr">
        <is>
          <t>0850034671703</t>
        </is>
      </c>
      <c r="B13916" t="inlineStr">
        <is>
          <t>Mind Games Vieri Extrait De Parfum 100 Ml</t>
        </is>
      </c>
      <c r="C13916" t="inlineStr">
        <is>
          <t>Extrait De Parfum</t>
        </is>
      </c>
      <c r="D13916" t="inlineStr">
        <is>
          <t>Mind Games</t>
        </is>
      </c>
      <c r="E13916" t="n">
        <v>181.37</v>
      </c>
      <c r="F13916" t="n">
        <v>1</v>
      </c>
      <c r="G13916" t="n">
        <v>2</v>
      </c>
      <c r="H13916" s="5">
        <f>HYPERLINK("https://api.qogita.com/variants/link/0850034671703/", "View Product")</f>
        <v/>
      </c>
    </row>
    <row r="13917">
      <c r="A13917" t="inlineStr">
        <is>
          <t>0850045076221</t>
        </is>
      </c>
      <c r="B13917" t="inlineStr">
        <is>
          <t>Olaplex Volumizing Blow Dry Mist for Women 5oz</t>
        </is>
      </c>
      <c r="C13917" t="inlineStr">
        <is>
          <t>Styling Sprays</t>
        </is>
      </c>
      <c r="D13917" t="inlineStr">
        <is>
          <t>Olaplex</t>
        </is>
      </c>
      <c r="E13917" t="n">
        <v>17.45</v>
      </c>
      <c r="F13917" t="n">
        <v>1</v>
      </c>
      <c r="G13917" t="n">
        <v>32</v>
      </c>
      <c r="H13917" s="5">
        <f>HYPERLINK("https://api.qogita.com/variants/link/0850045076221/", "View Product")</f>
        <v/>
      </c>
    </row>
    <row r="13918">
      <c r="A13918" t="inlineStr">
        <is>
          <t>0850045076740</t>
        </is>
      </c>
      <c r="B13918" t="inlineStr">
        <is>
          <t>OLAPLEX N4D DRY SHAMPOO 50 ML by OLAPLEX</t>
        </is>
      </c>
      <c r="C13918" t="inlineStr">
        <is>
          <t>Dry Shampoo</t>
        </is>
      </c>
      <c r="D13918" t="inlineStr">
        <is>
          <t>Olaplex</t>
        </is>
      </c>
      <c r="E13918" t="n">
        <v>9.119999999999999</v>
      </c>
      <c r="F13918" t="n">
        <v>1</v>
      </c>
      <c r="G13918" t="n">
        <v>14</v>
      </c>
      <c r="H13918" s="5">
        <f>HYPERLINK("https://api.qogita.com/variants/link/0850045076740/", "View Product")</f>
        <v/>
      </c>
    </row>
    <row r="13919">
      <c r="A13919" t="inlineStr">
        <is>
          <t>0850047821034</t>
        </is>
      </c>
      <c r="B13919" t="inlineStr">
        <is>
          <t>Reuzel Clean Fresh Shave Butter - Maslo Na Holeni</t>
        </is>
      </c>
      <c r="C13919" t="inlineStr">
        <is>
          <t>Shaving</t>
        </is>
      </c>
      <c r="D13919" t="inlineStr">
        <is>
          <t>Reuzel</t>
        </is>
      </c>
      <c r="E13919" t="n">
        <v>4.91</v>
      </c>
      <c r="F13919" t="n">
        <v>1</v>
      </c>
      <c r="G13919" t="n">
        <v>15</v>
      </c>
      <c r="H13919" s="5">
        <f>HYPERLINK("https://api.qogita.com/variants/link/0850047821034/", "View Product")</f>
        <v/>
      </c>
    </row>
    <row r="13920">
      <c r="A13920" t="inlineStr">
        <is>
          <t>0850047821966</t>
        </is>
      </c>
      <c r="B13920" t="inlineStr">
        <is>
          <t>Reuzel Red Pomade Medium Hold High Shine Pomade for Men</t>
        </is>
      </c>
      <c r="C13920" t="inlineStr">
        <is>
          <t>Gel</t>
        </is>
      </c>
      <c r="D13920" t="inlineStr">
        <is>
          <t>Reuzel</t>
        </is>
      </c>
      <c r="E13920" t="n">
        <v>13.93</v>
      </c>
      <c r="F13920" t="n">
        <v>1</v>
      </c>
      <c r="G13920" t="n">
        <v>3</v>
      </c>
      <c r="H13920" s="5">
        <f>HYPERLINK("https://api.qogita.com/variants/link/0850047821966/", "View Product")</f>
        <v/>
      </c>
    </row>
    <row r="13921">
      <c r="A13921" t="inlineStr">
        <is>
          <t>0850049716178</t>
        </is>
      </c>
      <c r="B13921" t="inlineStr">
        <is>
          <t>Michael Kors Pour Homme Eau De Parfum</t>
        </is>
      </c>
      <c r="C13921" t="inlineStr">
        <is>
          <t>Eau De Parfum</t>
        </is>
      </c>
      <c r="D13921" t="inlineStr">
        <is>
          <t>Michael Kors</t>
        </is>
      </c>
      <c r="E13921" t="n">
        <v>46.37</v>
      </c>
      <c r="F13921" t="n">
        <v>1</v>
      </c>
      <c r="G13921" t="n">
        <v>298</v>
      </c>
      <c r="H13921" s="5">
        <f>HYPERLINK("https://api.qogita.com/variants/link/0850049716178/", "View Product")</f>
        <v/>
      </c>
    </row>
    <row r="13922">
      <c r="A13922" t="inlineStr">
        <is>
          <t>0850049716345</t>
        </is>
      </c>
      <c r="B13922" t="inlineStr">
        <is>
          <t>Michael Kors Pour Femme Shower Gel 200ml</t>
        </is>
      </c>
      <c r="C13922" t="inlineStr">
        <is>
          <t>Shower Gel</t>
        </is>
      </c>
      <c r="D13922" t="inlineStr">
        <is>
          <t>Michael Kors</t>
        </is>
      </c>
      <c r="E13922" t="n">
        <v>14.61</v>
      </c>
      <c r="F13922" t="n">
        <v>1</v>
      </c>
      <c r="G13922" t="n">
        <v>3</v>
      </c>
      <c r="H13922" s="5">
        <f>HYPERLINK("https://api.qogita.com/variants/link/0850049716345/", "View Product")</f>
        <v/>
      </c>
    </row>
    <row r="13923">
      <c r="A13923" t="inlineStr">
        <is>
          <t>0850056933155</t>
        </is>
      </c>
      <c r="B13923" t="inlineStr">
        <is>
          <t>Olaplex No 10 Bond Smoother Curl Defining Gel - 200 Ml</t>
        </is>
      </c>
      <c r="C13923" t="inlineStr">
        <is>
          <t>Gel</t>
        </is>
      </c>
      <c r="D13923" t="inlineStr">
        <is>
          <t>Olaplex</t>
        </is>
      </c>
      <c r="E13923" t="n">
        <v>16.67</v>
      </c>
      <c r="F13923" t="n">
        <v>1</v>
      </c>
      <c r="G13923" t="n">
        <v>58</v>
      </c>
      <c r="H13923" s="5">
        <f>HYPERLINK("https://api.qogita.com/variants/link/0850056933155/", "View Product")</f>
        <v/>
      </c>
    </row>
    <row r="13924">
      <c r="A13924" t="inlineStr">
        <is>
          <t>0850056933285</t>
        </is>
      </c>
      <c r="B13924" t="inlineStr">
        <is>
          <t>Olaplex Olaplex 5 Leave-In Conditioner 100ml</t>
        </is>
      </c>
      <c r="C13924" t="inlineStr">
        <is>
          <t>Leave-In Conditioner</t>
        </is>
      </c>
      <c r="D13924" t="inlineStr">
        <is>
          <t>Olaplex</t>
        </is>
      </c>
      <c r="E13924" t="n">
        <v>15.49</v>
      </c>
      <c r="F13924" t="n">
        <v>1</v>
      </c>
      <c r="G13924" t="n">
        <v>67</v>
      </c>
      <c r="H13924" s="5">
        <f>HYPERLINK("https://api.qogita.com/variants/link/0850056933285/", "View Product")</f>
        <v/>
      </c>
    </row>
    <row r="13925">
      <c r="A13925" t="inlineStr">
        <is>
          <t>0850056933629</t>
        </is>
      </c>
      <c r="B13925" t="inlineStr">
        <is>
          <t>Olaplex Volume Conditioner For Fine Hair No. 5 Fine Bond Maintenance</t>
        </is>
      </c>
      <c r="C13925" t="inlineStr">
        <is>
          <t>Conditioner</t>
        </is>
      </c>
      <c r="D13925" t="inlineStr">
        <is>
          <t>Olaplex</t>
        </is>
      </c>
      <c r="E13925" t="n">
        <v>49.3</v>
      </c>
      <c r="F13925" t="n">
        <v>1</v>
      </c>
      <c r="G13925" t="n">
        <v>53</v>
      </c>
      <c r="H13925" s="5">
        <f>HYPERLINK("https://api.qogita.com/variants/link/0850056933629/", "View Product")</f>
        <v/>
      </c>
    </row>
    <row r="13926">
      <c r="A13926" t="inlineStr">
        <is>
          <t>0850426007004</t>
        </is>
      </c>
      <c r="B13926" t="inlineStr">
        <is>
          <t>Style Lab Flex Shaping Hair Spray 246ml</t>
        </is>
      </c>
      <c r="C13926" t="inlineStr">
        <is>
          <t>Hairspray</t>
        </is>
      </c>
      <c r="D13926" t="inlineStr">
        <is>
          <t>Living Proof</t>
        </is>
      </c>
      <c r="E13926" t="n">
        <v>27</v>
      </c>
      <c r="F13926" t="n">
        <v>1</v>
      </c>
      <c r="G13926" t="n">
        <v>4</v>
      </c>
      <c r="H13926" s="5">
        <f>HYPERLINK("https://api.qogita.com/variants/link/0850426007004/", "View Product")</f>
        <v/>
      </c>
    </row>
    <row r="13927">
      <c r="A13927" t="inlineStr">
        <is>
          <t>0851325002206</t>
        </is>
      </c>
      <c r="B13927" t="inlineStr">
        <is>
          <t>Macadamia Hair Moisturizing Rinse 300ml</t>
        </is>
      </c>
      <c r="C13927" t="inlineStr">
        <is>
          <t>Conditioner</t>
        </is>
      </c>
      <c r="D13927" t="inlineStr">
        <is>
          <t>Macadamia</t>
        </is>
      </c>
      <c r="E13927" t="n">
        <v>13.15</v>
      </c>
      <c r="F13927" t="n">
        <v>1</v>
      </c>
      <c r="G13927" t="n">
        <v>32</v>
      </c>
      <c r="H13927" s="5">
        <f>HYPERLINK("https://api.qogita.com/variants/link/0851325002206/", "View Product")</f>
        <v/>
      </c>
    </row>
    <row r="13928">
      <c r="A13928" t="inlineStr">
        <is>
          <t>0851325002251</t>
        </is>
      </c>
      <c r="B13928" t="inlineStr">
        <is>
          <t>Macadamia Professional Healing Oil Spray Hair Oil 12.5ml</t>
        </is>
      </c>
      <c r="C13928" t="inlineStr">
        <is>
          <t>Hair Oil &amp; Hair Serum</t>
        </is>
      </c>
      <c r="D13928" t="inlineStr">
        <is>
          <t>Macadamia Professional</t>
        </is>
      </c>
      <c r="E13928" t="n">
        <v>15.53</v>
      </c>
      <c r="F13928" t="n">
        <v>1</v>
      </c>
      <c r="G13928" t="n">
        <v>9</v>
      </c>
      <c r="H13928" s="5">
        <f>HYPERLINK("https://api.qogita.com/variants/link/0851325002251/", "View Product")</f>
        <v/>
      </c>
    </row>
    <row r="13929">
      <c r="A13929" t="inlineStr">
        <is>
          <t>0852578006072</t>
        </is>
      </c>
      <c r="B13929" t="inlineStr">
        <is>
          <t>Reuzel Daily Shampoo Cleanses Hair and Scalp Ideal for All Hair Types and Frequent Use Balanced for Excellent Degreasing and Cleansing without Over Drying Features T4 Tonic Blend 350ml</t>
        </is>
      </c>
      <c r="C13929" t="inlineStr">
        <is>
          <t>Shampoo</t>
        </is>
      </c>
      <c r="D13929" t="inlineStr">
        <is>
          <t>Reuzel</t>
        </is>
      </c>
      <c r="E13929" t="n">
        <v>10</v>
      </c>
      <c r="F13929" t="n">
        <v>1</v>
      </c>
      <c r="G13929" t="n">
        <v>14</v>
      </c>
      <c r="H13929" s="5">
        <f>HYPERLINK("https://api.qogita.com/variants/link/0852578006072/", "View Product")</f>
        <v/>
      </c>
    </row>
    <row r="13930">
      <c r="A13930" t="inlineStr">
        <is>
          <t>0852578006737</t>
        </is>
      </c>
      <c r="B13930" t="inlineStr">
        <is>
          <t>Reuzel Beard Balm 35g</t>
        </is>
      </c>
      <c r="C13930" t="inlineStr">
        <is>
          <t>Beard Care Accessories</t>
        </is>
      </c>
      <c r="D13930" t="inlineStr">
        <is>
          <t>Reuzel</t>
        </is>
      </c>
      <c r="E13930" t="n">
        <v>6.49</v>
      </c>
      <c r="F13930" t="n">
        <v>1</v>
      </c>
      <c r="G13930" t="n">
        <v>17</v>
      </c>
      <c r="H13930" s="5">
        <f>HYPERLINK("https://api.qogita.com/variants/link/0852578006737/", "View Product")</f>
        <v/>
      </c>
    </row>
    <row r="13931">
      <c r="A13931" t="inlineStr">
        <is>
          <t>0852578006744</t>
        </is>
      </c>
      <c r="B13931" t="inlineStr">
        <is>
          <t>Reuzel Beard Foam Reduces Beardruff and Itchy Skin 70ml</t>
        </is>
      </c>
      <c r="C13931" t="inlineStr">
        <is>
          <t>Beard Care Accessories</t>
        </is>
      </c>
      <c r="D13931" t="inlineStr">
        <is>
          <t>Reuzel</t>
        </is>
      </c>
      <c r="E13931" t="n">
        <v>9.529999999999999</v>
      </c>
      <c r="F13931" t="n">
        <v>1</v>
      </c>
      <c r="G13931" t="n">
        <v>72</v>
      </c>
      <c r="H13931" s="5">
        <f>HYPERLINK("https://api.qogita.com/variants/link/0852578006744/", "View Product")</f>
        <v/>
      </c>
    </row>
    <row r="13932">
      <c r="A13932" t="inlineStr">
        <is>
          <t>0852578006751</t>
        </is>
      </c>
      <c r="B13932" t="inlineStr">
        <is>
          <t>Reuzel Aftershave 100ml</t>
        </is>
      </c>
      <c r="C13932" t="inlineStr">
        <is>
          <t>Aftershave</t>
        </is>
      </c>
      <c r="D13932" t="inlineStr">
        <is>
          <t>Reuzel</t>
        </is>
      </c>
      <c r="E13932" t="n">
        <v>7.18</v>
      </c>
      <c r="F13932" t="n">
        <v>1</v>
      </c>
      <c r="G13932" t="n">
        <v>5</v>
      </c>
      <c r="H13932" s="5">
        <f>HYPERLINK("https://api.qogita.com/variants/link/0852578006751/", "View Product")</f>
        <v/>
      </c>
    </row>
    <row r="13933">
      <c r="A13933" t="inlineStr">
        <is>
          <t>0852578006805</t>
        </is>
      </c>
      <c r="B13933" t="inlineStr">
        <is>
          <t>Reuzel Fiber Pomade Hair Holding Wax for Men 35g</t>
        </is>
      </c>
      <c r="C13933" t="inlineStr">
        <is>
          <t>Wax</t>
        </is>
      </c>
      <c r="D13933" t="inlineStr">
        <is>
          <t>Reuzel</t>
        </is>
      </c>
      <c r="E13933" t="n">
        <v>6.44</v>
      </c>
      <c r="F13933" t="n">
        <v>1</v>
      </c>
      <c r="G13933" t="n">
        <v>3</v>
      </c>
      <c r="H13933" s="5">
        <f>HYPERLINK("https://api.qogita.com/variants/link/0852578006805/", "View Product")</f>
        <v/>
      </c>
    </row>
    <row r="13934">
      <c r="A13934" t="inlineStr">
        <is>
          <t>0852968008310</t>
        </is>
      </c>
      <c r="B13934" t="inlineStr">
        <is>
          <t>Reuzel Extreme Hold Matte Pomade 113g</t>
        </is>
      </c>
      <c r="C13934" t="inlineStr">
        <is>
          <t>Wax</t>
        </is>
      </c>
      <c r="D13934" t="inlineStr">
        <is>
          <t>Reuzel</t>
        </is>
      </c>
      <c r="E13934" t="n">
        <v>8.109999999999999</v>
      </c>
      <c r="F13934" t="n">
        <v>1</v>
      </c>
      <c r="G13934" t="n">
        <v>67</v>
      </c>
      <c r="H13934" s="5">
        <f>HYPERLINK("https://api.qogita.com/variants/link/0852968008310/", "View Product")</f>
        <v/>
      </c>
    </row>
    <row r="13935">
      <c r="A13935" t="inlineStr">
        <is>
          <t>0852968008549</t>
        </is>
      </c>
      <c r="B13935" t="inlineStr">
        <is>
          <t>Reuzel Solid Cologne Wood and Spice 35g</t>
        </is>
      </c>
      <c r="C13935" t="inlineStr">
        <is>
          <t>Eau De Cologne</t>
        </is>
      </c>
      <c r="D13935" t="inlineStr">
        <is>
          <t>Reuzel</t>
        </is>
      </c>
      <c r="E13935" t="n">
        <v>7.1</v>
      </c>
      <c r="F13935" t="n">
        <v>1</v>
      </c>
      <c r="G13935" t="n">
        <v>7</v>
      </c>
      <c r="H13935" s="5">
        <f>HYPERLINK("https://api.qogita.com/variants/link/0852968008549/", "View Product")</f>
        <v/>
      </c>
    </row>
    <row r="13936">
      <c r="A13936" t="inlineStr">
        <is>
          <t>0852968008648</t>
        </is>
      </c>
      <c r="B13936" t="inlineStr">
        <is>
          <t>Reuzel Wood and Spice Beard Foam - Deodorizes Beard and Reduces Dryness</t>
        </is>
      </c>
      <c r="C13936" t="inlineStr">
        <is>
          <t>Beard Care Sets</t>
        </is>
      </c>
      <c r="D13936" t="inlineStr">
        <is>
          <t>Reuzel</t>
        </is>
      </c>
      <c r="E13936" t="n">
        <v>9.289999999999999</v>
      </c>
      <c r="F13936" t="n">
        <v>1</v>
      </c>
      <c r="G13936" t="n">
        <v>5</v>
      </c>
      <c r="H13936" s="5">
        <f>HYPERLINK("https://api.qogita.com/variants/link/0852968008648/", "View Product")</f>
        <v/>
      </c>
    </row>
    <row r="13937">
      <c r="A13937" t="inlineStr">
        <is>
          <t>0853382004445</t>
        </is>
      </c>
      <c r="B13937" t="inlineStr">
        <is>
          <t>CREMO Moisturizing Body Wash for Men Revitalizing Sage &amp; Citrus Shower Gel 473ml</t>
        </is>
      </c>
      <c r="C13937" t="inlineStr">
        <is>
          <t>Shower Gel</t>
        </is>
      </c>
      <c r="D13937" t="inlineStr">
        <is>
          <t>Cremo</t>
        </is>
      </c>
      <c r="E13937" t="n">
        <v>14.3</v>
      </c>
      <c r="F13937" t="n">
        <v>1</v>
      </c>
      <c r="G13937" t="n">
        <v>3</v>
      </c>
      <c r="H13937" s="5">
        <f>HYPERLINK("https://api.qogita.com/variants/link/0853382004445/", "View Product")</f>
        <v/>
      </c>
    </row>
    <row r="13938">
      <c r="A13938" t="inlineStr">
        <is>
          <t>0855717008630</t>
        </is>
      </c>
      <c r="B13938" t="inlineStr">
        <is>
          <t>Pestle &amp; Mortar NMF 5.34% Lactic Acid Facial Toner Pore Minimizer Hydrating Face Exfoliator Alcohol Free Cruelty-Free 200ml</t>
        </is>
      </c>
      <c r="C13938" t="inlineStr">
        <is>
          <t>Facial Care Sets</t>
        </is>
      </c>
      <c r="D13938" t="inlineStr">
        <is>
          <t>Pestle &amp; Mortar</t>
        </is>
      </c>
      <c r="E13938" t="n">
        <v>29.9</v>
      </c>
      <c r="F13938" t="n">
        <v>1</v>
      </c>
      <c r="G13938" t="n">
        <v>3</v>
      </c>
      <c r="H13938" s="5">
        <f>HYPERLINK("https://api.qogita.com/variants/link/0855717008630/", "View Product")</f>
        <v/>
      </c>
    </row>
    <row r="13939">
      <c r="A13939" t="inlineStr">
        <is>
          <t>0857154002318</t>
        </is>
      </c>
      <c r="B13939" t="inlineStr">
        <is>
          <t>Layrite Supershine Cream 120g Medium Hold Water Soluble High Shine</t>
        </is>
      </c>
      <c r="C13939" t="inlineStr">
        <is>
          <t>Styling Creams</t>
        </is>
      </c>
      <c r="D13939" t="inlineStr">
        <is>
          <t>Layrite</t>
        </is>
      </c>
      <c r="E13939" t="n">
        <v>13.52</v>
      </c>
      <c r="F13939" t="n">
        <v>1</v>
      </c>
      <c r="G13939" t="n">
        <v>13</v>
      </c>
      <c r="H13939" s="5">
        <f>HYPERLINK("https://api.qogita.com/variants/link/0857154002318/", "View Product")</f>
        <v/>
      </c>
    </row>
    <row r="13940">
      <c r="A13940" t="inlineStr">
        <is>
          <t>0859847006344</t>
        </is>
      </c>
      <c r="B13940" t="inlineStr">
        <is>
          <t>Reuzel Shaving Cream 95.8g</t>
        </is>
      </c>
      <c r="C13940" t="inlineStr">
        <is>
          <t>Shaving</t>
        </is>
      </c>
      <c r="D13940" t="inlineStr">
        <is>
          <t>Reuzel</t>
        </is>
      </c>
      <c r="E13940" t="n">
        <v>3.07</v>
      </c>
      <c r="F13940" t="n">
        <v>1</v>
      </c>
      <c r="G13940" t="n">
        <v>12</v>
      </c>
      <c r="H13940" s="5">
        <f>HYPERLINK("https://api.qogita.com/variants/link/0859847006344/", "View Product")</f>
        <v/>
      </c>
    </row>
    <row r="13941">
      <c r="A13941" t="inlineStr">
        <is>
          <t>0860950000204</t>
        </is>
      </c>
      <c r="B13941" t="inlineStr">
        <is>
          <t>Bob Mackie Eau De Toilette Spray 3.4 Oz for Women</t>
        </is>
      </c>
      <c r="C13941" t="inlineStr">
        <is>
          <t>Eau De Toilette</t>
        </is>
      </c>
      <c r="D13941" t="inlineStr">
        <is>
          <t>Bob Mackie</t>
        </is>
      </c>
      <c r="E13941" t="n">
        <v>18.96</v>
      </c>
      <c r="F13941" t="n">
        <v>1</v>
      </c>
      <c r="G13941" t="n">
        <v>6</v>
      </c>
      <c r="H13941" s="5">
        <f>HYPERLINK("https://api.qogita.com/variants/link/0860950000204/", "View Product")</f>
        <v/>
      </c>
    </row>
    <row r="13942">
      <c r="A13942" t="inlineStr">
        <is>
          <t>0869519000037</t>
        </is>
      </c>
      <c r="B13942" t="inlineStr">
        <is>
          <t>Reuzel Green Grease Medium Hold Pomade 1.3 Oz Green</t>
        </is>
      </c>
      <c r="C13942" t="inlineStr">
        <is>
          <t>Wax</t>
        </is>
      </c>
      <c r="D13942" t="inlineStr">
        <is>
          <t>Reuzel</t>
        </is>
      </c>
      <c r="E13942" t="n">
        <v>3.91</v>
      </c>
      <c r="F13942" t="n">
        <v>1</v>
      </c>
      <c r="G13942" t="n">
        <v>14</v>
      </c>
      <c r="H13942" s="5">
        <f>HYPERLINK("https://api.qogita.com/variants/link/0869519000037/", "View Product")</f>
        <v/>
      </c>
    </row>
    <row r="13943">
      <c r="A13943" t="inlineStr">
        <is>
          <t>0869519000099</t>
        </is>
      </c>
      <c r="B13943" t="inlineStr">
        <is>
          <t>Reuzel Blue Strong Hold Water Soluble Pomade Hair Wax For Men 35ml</t>
        </is>
      </c>
      <c r="C13943" t="inlineStr">
        <is>
          <t>Wax</t>
        </is>
      </c>
      <c r="D13943" t="inlineStr">
        <is>
          <t>Reuzel</t>
        </is>
      </c>
      <c r="E13943" t="n">
        <v>5.66</v>
      </c>
      <c r="F13943" t="n">
        <v>1</v>
      </c>
      <c r="G13943" t="n">
        <v>5</v>
      </c>
      <c r="H13943" s="5">
        <f>HYPERLINK("https://api.qogita.com/variants/link/0869519000099/", "View Product")</f>
        <v/>
      </c>
    </row>
    <row r="13944">
      <c r="A13944" t="inlineStr">
        <is>
          <t>0873509024651</t>
        </is>
      </c>
      <c r="B13944" t="inlineStr">
        <is>
          <t>Alterna Caviar Anti-Aging Replenishing Moisture Shampoo for Unisex 16.5oz</t>
        </is>
      </c>
      <c r="C13944" t="inlineStr">
        <is>
          <t>Shampoo</t>
        </is>
      </c>
      <c r="D13944" t="inlineStr">
        <is>
          <t>Alterna</t>
        </is>
      </c>
      <c r="E13944" t="n">
        <v>31.73</v>
      </c>
      <c r="F13944" t="n">
        <v>1</v>
      </c>
      <c r="G13944" t="n">
        <v>9</v>
      </c>
      <c r="H13944" s="5">
        <f>HYPERLINK("https://api.qogita.com/variants/link/0873509024651/", "View Product")</f>
        <v/>
      </c>
    </row>
    <row r="13945">
      <c r="A13945" t="inlineStr">
        <is>
          <t>0873509027447</t>
        </is>
      </c>
      <c r="B13945" t="inlineStr">
        <is>
          <t>Alterna Caviar Anti-Aging Restructuring Bond Repair Conditioner 16.5oz</t>
        </is>
      </c>
      <c r="C13945" t="inlineStr">
        <is>
          <t>Conditioner</t>
        </is>
      </c>
      <c r="D13945" t="inlineStr">
        <is>
          <t>Alterna</t>
        </is>
      </c>
      <c r="E13945" t="n">
        <v>32.29</v>
      </c>
      <c r="F13945" t="n">
        <v>1</v>
      </c>
      <c r="G13945" t="n">
        <v>16</v>
      </c>
      <c r="H13945" s="5">
        <f>HYPERLINK("https://api.qogita.com/variants/link/0873509027447/", "View Product")</f>
        <v/>
      </c>
    </row>
    <row r="13946">
      <c r="A13946" t="inlineStr">
        <is>
          <t>0873509027676</t>
        </is>
      </c>
      <c r="B13946" t="inlineStr">
        <is>
          <t>Alterna Caviar Smoothing Anti-Frizz Blowout Butter</t>
        </is>
      </c>
      <c r="C13946" t="inlineStr">
        <is>
          <t>Hair Oil &amp; Hair Serum</t>
        </is>
      </c>
      <c r="D13946" t="inlineStr">
        <is>
          <t>Alterna</t>
        </is>
      </c>
      <c r="E13946" t="n">
        <v>32.47</v>
      </c>
      <c r="F13946" t="n">
        <v>1</v>
      </c>
      <c r="G13946" t="n">
        <v>11</v>
      </c>
      <c r="H13946" s="5">
        <f>HYPERLINK("https://api.qogita.com/variants/link/0873509027676/", "View Product")</f>
        <v/>
      </c>
    </row>
    <row r="13947">
      <c r="A13947" t="inlineStr">
        <is>
          <t>0873509027744</t>
        </is>
      </c>
      <c r="B13947" t="inlineStr">
        <is>
          <t>Alterna Caviar Infinite Color Hold Conditioner 250ml</t>
        </is>
      </c>
      <c r="C13947" t="inlineStr">
        <is>
          <t>Conditioner</t>
        </is>
      </c>
      <c r="D13947" t="inlineStr">
        <is>
          <t>Alterna</t>
        </is>
      </c>
      <c r="E13947" t="n">
        <v>19.24</v>
      </c>
      <c r="F13947" t="n">
        <v>1</v>
      </c>
      <c r="G13947" t="n">
        <v>4</v>
      </c>
      <c r="H13947" s="5">
        <f>HYPERLINK("https://api.qogita.com/variants/link/0873509027744/", "View Product")</f>
        <v/>
      </c>
    </row>
    <row r="13948">
      <c r="A13948" t="inlineStr">
        <is>
          <t>0873509027928</t>
        </is>
      </c>
      <c r="B13948" t="inlineStr">
        <is>
          <t>Alterna Caviar Multiplying Volume Shampoo</t>
        </is>
      </c>
      <c r="C13948" t="inlineStr">
        <is>
          <t>Shampoo</t>
        </is>
      </c>
      <c r="D13948" t="inlineStr">
        <is>
          <t>Alterna</t>
        </is>
      </c>
      <c r="E13948" t="n">
        <v>18.03</v>
      </c>
      <c r="F13948" t="n">
        <v>1</v>
      </c>
      <c r="G13948" t="n">
        <v>69</v>
      </c>
      <c r="H13948" s="5">
        <f>HYPERLINK("https://api.qogita.com/variants/link/0873509027928/", "View Product")</f>
        <v/>
      </c>
    </row>
    <row r="13949">
      <c r="A13949" t="inlineStr">
        <is>
          <t>0873509028017</t>
        </is>
      </c>
      <c r="B13949" t="inlineStr">
        <is>
          <t>Alterna Caviar Replenishing Moisture Conditioner</t>
        </is>
      </c>
      <c r="C13949" t="inlineStr">
        <is>
          <t>Conditioner</t>
        </is>
      </c>
      <c r="D13949" t="inlineStr">
        <is>
          <t>Alterna</t>
        </is>
      </c>
      <c r="E13949" t="n">
        <v>42.61</v>
      </c>
      <c r="F13949" t="n">
        <v>1</v>
      </c>
      <c r="G13949" t="n">
        <v>141</v>
      </c>
      <c r="H13949" s="5">
        <f>HYPERLINK("https://api.qogita.com/variants/link/0873509028017/", "View Product")</f>
        <v/>
      </c>
    </row>
    <row r="13950">
      <c r="A13950" t="inlineStr">
        <is>
          <t>0873509029649</t>
        </is>
      </c>
      <c r="B13950" t="inlineStr">
        <is>
          <t>Alterna Caviar Anti-Aging Smoothing Anti-Frizz Conditioner 16.5oz</t>
        </is>
      </c>
      <c r="C13950" t="inlineStr">
        <is>
          <t>Conditioner</t>
        </is>
      </c>
      <c r="D13950" t="inlineStr">
        <is>
          <t>Alterna</t>
        </is>
      </c>
      <c r="E13950" t="n">
        <v>32.29</v>
      </c>
      <c r="F13950" t="n">
        <v>1</v>
      </c>
      <c r="G13950" t="n">
        <v>4</v>
      </c>
      <c r="H13950" s="5">
        <f>HYPERLINK("https://api.qogita.com/variants/link/0873509029649/", "View Product")</f>
        <v/>
      </c>
    </row>
    <row r="13951">
      <c r="A13951" t="inlineStr">
        <is>
          <t>0873509029656</t>
        </is>
      </c>
      <c r="B13951" t="inlineStr">
        <is>
          <t>Alterna Caviar Anti-Aging Multiplying Volume Shampoo 16.5oz</t>
        </is>
      </c>
      <c r="C13951" t="inlineStr">
        <is>
          <t>Shampoo</t>
        </is>
      </c>
      <c r="D13951" t="inlineStr">
        <is>
          <t>Alterna</t>
        </is>
      </c>
      <c r="E13951" t="n">
        <v>21.61</v>
      </c>
      <c r="F13951" t="n">
        <v>1</v>
      </c>
      <c r="G13951" t="n">
        <v>14</v>
      </c>
      <c r="H13951" s="5">
        <f>HYPERLINK("https://api.qogita.com/variants/link/0873509029656/", "View Product")</f>
        <v/>
      </c>
    </row>
    <row r="13952">
      <c r="A13952" t="inlineStr">
        <is>
          <t>0873509029663</t>
        </is>
      </c>
      <c r="B13952" t="inlineStr">
        <is>
          <t>Alterna Caviar Anti-Aging Multiplying Volume Conditioner 16.5 Oz</t>
        </is>
      </c>
      <c r="C13952" t="inlineStr">
        <is>
          <t>Conditioner</t>
        </is>
      </c>
      <c r="D13952" t="inlineStr">
        <is>
          <t>Alterna</t>
        </is>
      </c>
      <c r="E13952" t="n">
        <v>32.29</v>
      </c>
      <c r="F13952" t="n">
        <v>1</v>
      </c>
      <c r="G13952" t="n">
        <v>6</v>
      </c>
      <c r="H13952" s="5">
        <f>HYPERLINK("https://api.qogita.com/variants/link/0873509029663/", "View Product")</f>
        <v/>
      </c>
    </row>
    <row r="13953">
      <c r="A13953" t="inlineStr">
        <is>
          <t>0873509030126</t>
        </is>
      </c>
      <c r="B13953" t="inlineStr">
        <is>
          <t>Caviar Clinical Densifying Shampoo 250ml</t>
        </is>
      </c>
      <c r="C13953" t="inlineStr">
        <is>
          <t>Shampoo</t>
        </is>
      </c>
      <c r="D13953" t="inlineStr">
        <is>
          <t>Alterna</t>
        </is>
      </c>
      <c r="E13953" t="n">
        <v>20.43</v>
      </c>
      <c r="F13953" t="n">
        <v>1</v>
      </c>
      <c r="G13953" t="n">
        <v>43</v>
      </c>
      <c r="H13953" s="5">
        <f>HYPERLINK("https://api.qogita.com/variants/link/0873509030126/", "View Product")</f>
        <v/>
      </c>
    </row>
    <row r="13954">
      <c r="A13954" t="inlineStr">
        <is>
          <t>0873509030409</t>
        </is>
      </c>
      <c r="B13954" t="inlineStr">
        <is>
          <t>Alterna Caviar Anti-Aging Restructuring Bond Repair Shampoo 33.8 Fl Oz</t>
        </is>
      </c>
      <c r="C13954" t="inlineStr">
        <is>
          <t>Shampoo</t>
        </is>
      </c>
      <c r="D13954" t="inlineStr">
        <is>
          <t>Alterna</t>
        </is>
      </c>
      <c r="E13954" t="n">
        <v>40.63</v>
      </c>
      <c r="F13954" t="n">
        <v>1</v>
      </c>
      <c r="G13954" t="n">
        <v>50</v>
      </c>
      <c r="H13954" s="5">
        <f>HYPERLINK("https://api.qogita.com/variants/link/0873509030409/", "View Product")</f>
        <v/>
      </c>
    </row>
    <row r="13955">
      <c r="A13955" t="inlineStr">
        <is>
          <t>0873509030850</t>
        </is>
      </c>
      <c r="B13955" t="inlineStr">
        <is>
          <t>Alterna Renewing Scalp Care Hemp Leave-On Treatment 75ml</t>
        </is>
      </c>
      <c r="C13955" t="inlineStr">
        <is>
          <t>Scalp Care</t>
        </is>
      </c>
      <c r="D13955" t="inlineStr">
        <is>
          <t>Alterna</t>
        </is>
      </c>
      <c r="E13955" t="n">
        <v>23.85</v>
      </c>
      <c r="F13955" t="n">
        <v>1</v>
      </c>
      <c r="G13955" t="n">
        <v>4</v>
      </c>
      <c r="H13955" s="5">
        <f>HYPERLINK("https://api.qogita.com/variants/link/0873509030850/", "View Product")</f>
        <v/>
      </c>
    </row>
    <row r="13956">
      <c r="A13956" t="inlineStr">
        <is>
          <t>0873509031932</t>
        </is>
      </c>
      <c r="B13956" t="inlineStr">
        <is>
          <t>Caviar Anti-Aging Restructuring Bond Repair Intensive Leave-In Treatment Masque 1.7oz</t>
        </is>
      </c>
      <c r="C13956" t="inlineStr">
        <is>
          <t>Hair Masks</t>
        </is>
      </c>
      <c r="D13956" t="inlineStr">
        <is>
          <t>Alterna</t>
        </is>
      </c>
      <c r="E13956" t="n">
        <v>31.73</v>
      </c>
      <c r="F13956" t="n">
        <v>1</v>
      </c>
      <c r="G13956" t="n">
        <v>14</v>
      </c>
      <c r="H13956" s="5">
        <f>HYPERLINK("https://api.qogita.com/variants/link/0873509031932/", "View Product")</f>
        <v/>
      </c>
    </row>
    <row r="13957">
      <c r="A13957" t="inlineStr">
        <is>
          <t>0873509032809</t>
        </is>
      </c>
      <c r="B13957" t="inlineStr">
        <is>
          <t>Caviar Anti-Aging Replenishing Moisture Hair Masque for Dry, Coarse Hair</t>
        </is>
      </c>
      <c r="C13957" t="inlineStr">
        <is>
          <t>Hair Masks</t>
        </is>
      </c>
      <c r="D13957" t="inlineStr">
        <is>
          <t>Alterna</t>
        </is>
      </c>
      <c r="E13957" t="n">
        <v>26.76</v>
      </c>
      <c r="F13957" t="n">
        <v>1</v>
      </c>
      <c r="G13957" t="n">
        <v>68</v>
      </c>
      <c r="H13957" s="5">
        <f>HYPERLINK("https://api.qogita.com/variants/link/0873509032809/", "View Product")</f>
        <v/>
      </c>
    </row>
    <row r="13958">
      <c r="A13958" t="inlineStr">
        <is>
          <t>0873824001085</t>
        </is>
      </c>
      <c r="B13958" t="inlineStr">
        <is>
          <t>John Varvatos Vintage Eau de Toilette Spray 75ml</t>
        </is>
      </c>
      <c r="C13958" t="inlineStr">
        <is>
          <t>Eau De Toilette</t>
        </is>
      </c>
      <c r="D13958" t="inlineStr">
        <is>
          <t>John Varvatos</t>
        </is>
      </c>
      <c r="E13958" t="n">
        <v>22.5</v>
      </c>
      <c r="F13958" t="n">
        <v>1</v>
      </c>
      <c r="G13958" t="n">
        <v>4</v>
      </c>
      <c r="H13958" s="5">
        <f>HYPERLINK("https://api.qogita.com/variants/link/0873824001085/", "View Product")</f>
        <v/>
      </c>
    </row>
    <row r="13959">
      <c r="A13959" t="inlineStr">
        <is>
          <t>0874034010140</t>
        </is>
      </c>
      <c r="B13959" t="inlineStr">
        <is>
          <t>Clean Acqua Neroli Eau de Parfum 100ml</t>
        </is>
      </c>
      <c r="C13959" t="inlineStr">
        <is>
          <t>Eau De Parfum</t>
        </is>
      </c>
      <c r="D13959" t="inlineStr">
        <is>
          <t>Clean</t>
        </is>
      </c>
      <c r="E13959" t="n">
        <v>46.29</v>
      </c>
      <c r="F13959" t="n">
        <v>1</v>
      </c>
      <c r="G13959" t="n">
        <v>12</v>
      </c>
      <c r="H13959" s="5">
        <f>HYPERLINK("https://api.qogita.com/variants/link/0874034010140/", "View Product")</f>
        <v/>
      </c>
    </row>
    <row r="13960">
      <c r="A13960" t="inlineStr">
        <is>
          <t>0874034010478</t>
        </is>
      </c>
      <c r="B13960" t="inlineStr">
        <is>
          <t>Clean Skin EDP 60ml</t>
        </is>
      </c>
      <c r="C13960" t="inlineStr">
        <is>
          <t>Eau De Parfum</t>
        </is>
      </c>
      <c r="D13960" t="inlineStr">
        <is>
          <t>Clean</t>
        </is>
      </c>
      <c r="E13960" t="n">
        <v>28.31</v>
      </c>
      <c r="F13960" t="n">
        <v>1</v>
      </c>
      <c r="G13960" t="n">
        <v>41</v>
      </c>
      <c r="H13960" s="5">
        <f>HYPERLINK("https://api.qogita.com/variants/link/0874034010478/", "View Product")</f>
        <v/>
      </c>
    </row>
    <row r="13961">
      <c r="A13961" t="inlineStr">
        <is>
          <t>0874034010638</t>
        </is>
      </c>
      <c r="B13961" t="inlineStr">
        <is>
          <t>Clean Shower Fresh EDP 60ml</t>
        </is>
      </c>
      <c r="C13961" t="inlineStr">
        <is>
          <t>Eau De Parfum</t>
        </is>
      </c>
      <c r="D13961" t="inlineStr">
        <is>
          <t>Clean</t>
        </is>
      </c>
      <c r="E13961" t="n">
        <v>29.58</v>
      </c>
      <c r="F13961" t="n">
        <v>1</v>
      </c>
      <c r="G13961" t="n">
        <v>16</v>
      </c>
      <c r="H13961" s="5">
        <f>HYPERLINK("https://api.qogita.com/variants/link/0874034010638/", "View Product")</f>
        <v/>
      </c>
    </row>
    <row r="13962">
      <c r="A13962" t="inlineStr">
        <is>
          <t>0874034012809</t>
        </is>
      </c>
      <c r="B13962" t="inlineStr">
        <is>
          <t>Clean Classic Eau de Parfum  Spray 60ml</t>
        </is>
      </c>
      <c r="C13962" t="inlineStr">
        <is>
          <t>Eau De Parfum</t>
        </is>
      </c>
      <c r="D13962" t="inlineStr">
        <is>
          <t>Clean</t>
        </is>
      </c>
      <c r="E13962" t="n">
        <v>32.59</v>
      </c>
      <c r="F13962" t="n">
        <v>1</v>
      </c>
      <c r="G13962" t="n">
        <v>5</v>
      </c>
      <c r="H13962" s="5">
        <f>HYPERLINK("https://api.qogita.com/variants/link/0874034012809/", "View Product")</f>
        <v/>
      </c>
    </row>
    <row r="13963">
      <c r="A13963" t="inlineStr">
        <is>
          <t>0874034013745</t>
        </is>
      </c>
      <c r="B13963" t="inlineStr">
        <is>
          <t>Clean Reserve H2 Eau Musk Noir Eau De Parfum 100 Ml</t>
        </is>
      </c>
      <c r="C13963" t="inlineStr">
        <is>
          <t>Eau De Parfum</t>
        </is>
      </c>
      <c r="D13963" t="inlineStr">
        <is>
          <t>Clean</t>
        </is>
      </c>
      <c r="E13963" t="n">
        <v>38.5</v>
      </c>
      <c r="F13963" t="n">
        <v>1</v>
      </c>
      <c r="G13963" t="n">
        <v>5</v>
      </c>
      <c r="H13963" s="5">
        <f>HYPERLINK("https://api.qogita.com/variants/link/0874034013745/", "View Product")</f>
        <v/>
      </c>
    </row>
    <row r="13964">
      <c r="A13964" t="inlineStr">
        <is>
          <t>0878813001343</t>
        </is>
      </c>
      <c r="B13964" t="inlineStr">
        <is>
          <t>Christian Lacroix Bazar Femme Eau de Parfum 50ml</t>
        </is>
      </c>
      <c r="C13964" t="inlineStr">
        <is>
          <t>Eau De Parfum</t>
        </is>
      </c>
      <c r="D13964" t="inlineStr">
        <is>
          <t>Christian Lacroix</t>
        </is>
      </c>
      <c r="E13964" t="n">
        <v>12.48</v>
      </c>
      <c r="F13964" t="n">
        <v>1</v>
      </c>
      <c r="G13964" t="n">
        <v>43</v>
      </c>
      <c r="H13964" s="5">
        <f>HYPERLINK("https://api.qogita.com/variants/link/0878813001343/", "View Product")</f>
        <v/>
      </c>
    </row>
    <row r="13965">
      <c r="A13965" t="inlineStr">
        <is>
          <t>0882381004378</t>
        </is>
      </c>
      <c r="B13965" t="inlineStr">
        <is>
          <t>Darphin Intral Inner Youth Essential Serum 15ml</t>
        </is>
      </c>
      <c r="C13965" t="inlineStr">
        <is>
          <t>Anti-Aging Serum</t>
        </is>
      </c>
      <c r="D13965" t="inlineStr">
        <is>
          <t>Darphin</t>
        </is>
      </c>
      <c r="E13965" t="n">
        <v>21.21</v>
      </c>
      <c r="F13965" t="n">
        <v>1</v>
      </c>
      <c r="G13965" t="n">
        <v>3</v>
      </c>
      <c r="H13965" s="5">
        <f>HYPERLINK("https://api.qogita.com/variants/link/0882381004378/", "View Product")</f>
        <v/>
      </c>
    </row>
    <row r="13966">
      <c r="A13966" t="inlineStr">
        <is>
          <t>0882381042226</t>
        </is>
      </c>
      <c r="B13966" t="inlineStr">
        <is>
          <t>Age-Defying Dermabrasion with Exfoliating Pearl Particles for All Skin Types by Darphin</t>
        </is>
      </c>
      <c r="C13966" t="inlineStr">
        <is>
          <t>Anti-Aging Facial Care</t>
        </is>
      </c>
      <c r="D13966" t="inlineStr">
        <is>
          <t>Darphin</t>
        </is>
      </c>
      <c r="E13966" t="n">
        <v>39.25</v>
      </c>
      <c r="F13966" t="n">
        <v>1</v>
      </c>
      <c r="G13966" t="n">
        <v>2</v>
      </c>
      <c r="H13966" s="5">
        <f>HYPERLINK("https://api.qogita.com/variants/link/0882381042226/", "View Product")</f>
        <v/>
      </c>
    </row>
    <row r="13967">
      <c r="A13967" t="inlineStr">
        <is>
          <t>0882381051747</t>
        </is>
      </c>
      <c r="B13967" t="inlineStr">
        <is>
          <t>Darphin Hydraskin Intensive Skin-Hydrating Serum for Unisex 1oz 30ml</t>
        </is>
      </c>
      <c r="C13967" t="inlineStr">
        <is>
          <t>Hydrating Serum</t>
        </is>
      </c>
      <c r="D13967" t="inlineStr">
        <is>
          <t>Darphin</t>
        </is>
      </c>
      <c r="E13967" t="n">
        <v>32.29</v>
      </c>
      <c r="F13967" t="n">
        <v>1</v>
      </c>
      <c r="G13967" t="n">
        <v>18</v>
      </c>
      <c r="H13967" s="5">
        <f>HYPERLINK("https://api.qogita.com/variants/link/0882381051747/", "View Product")</f>
        <v/>
      </c>
    </row>
    <row r="13968">
      <c r="A13968" t="inlineStr">
        <is>
          <t>0882381074722</t>
        </is>
      </c>
      <c r="B13968" t="inlineStr">
        <is>
          <t>Darphin Concealers &amp; Correctors 15ml</t>
        </is>
      </c>
      <c r="C13968" t="inlineStr">
        <is>
          <t>Concealer</t>
        </is>
      </c>
      <c r="D13968" t="inlineStr">
        <is>
          <t>Darphin</t>
        </is>
      </c>
      <c r="E13968" t="n">
        <v>27.12</v>
      </c>
      <c r="F13968" t="n">
        <v>1</v>
      </c>
      <c r="G13968" t="n">
        <v>11</v>
      </c>
      <c r="H13968" s="5">
        <f>HYPERLINK("https://api.qogita.com/variants/link/0882381074722/", "View Product")</f>
        <v/>
      </c>
    </row>
    <row r="13969">
      <c r="A13969" t="inlineStr">
        <is>
          <t>0882381114404</t>
        </is>
      </c>
      <c r="B13969" t="inlineStr">
        <is>
          <t>Darphin Eclat Sublime Anti-Aging And Radiance Oil 30ml</t>
        </is>
      </c>
      <c r="C13969" t="inlineStr">
        <is>
          <t>Facial Oil</t>
        </is>
      </c>
      <c r="D13969" t="inlineStr">
        <is>
          <t>Darphin</t>
        </is>
      </c>
      <c r="E13969" t="n">
        <v>81.34999999999999</v>
      </c>
      <c r="F13969" t="n">
        <v>1</v>
      </c>
      <c r="G13969" t="n">
        <v>22</v>
      </c>
      <c r="H13969" s="5">
        <f>HYPERLINK("https://api.qogita.com/variants/link/0882381114404/", "View Product")</f>
        <v/>
      </c>
    </row>
    <row r="13970">
      <c r="A13970" t="inlineStr">
        <is>
          <t>0883991088994</t>
        </is>
      </c>
      <c r="B13970" t="inlineStr">
        <is>
          <t>Unknown Fancy Body Spray for Women by Jessica Simpson 8 Ounce</t>
        </is>
      </c>
      <c r="C13970" t="inlineStr">
        <is>
          <t>Eau De Toilette</t>
        </is>
      </c>
      <c r="D13970" t="inlineStr">
        <is>
          <t>Jessica Simpson</t>
        </is>
      </c>
      <c r="E13970" t="n">
        <v>7.87</v>
      </c>
      <c r="F13970" t="n">
        <v>1</v>
      </c>
      <c r="G13970" t="n">
        <v>10</v>
      </c>
      <c r="H13970" s="5">
        <f>HYPERLINK("https://api.qogita.com/variants/link/0883991088994/", "View Product")</f>
        <v/>
      </c>
    </row>
    <row r="13971">
      <c r="A13971" t="inlineStr">
        <is>
          <t>0884486452993</t>
        </is>
      </c>
      <c r="B13971" t="inlineStr">
        <is>
          <t>Redken All Soft Argan 6 Oil Hair Mask for Dry and Brittle Hair 111ml</t>
        </is>
      </c>
      <c r="C13971" t="inlineStr">
        <is>
          <t>Hair Masks</t>
        </is>
      </c>
      <c r="D13971" t="inlineStr">
        <is>
          <t>Redken</t>
        </is>
      </c>
      <c r="E13971" t="n">
        <v>25.25</v>
      </c>
      <c r="F13971" t="n">
        <v>1</v>
      </c>
      <c r="G13971" t="n">
        <v>5</v>
      </c>
      <c r="H13971" s="5">
        <f>HYPERLINK("https://api.qogita.com/variants/link/0884486452993/", "View Product")</f>
        <v/>
      </c>
    </row>
    <row r="13972">
      <c r="A13972" t="inlineStr">
        <is>
          <t>0884486462404</t>
        </is>
      </c>
      <c r="B13972" t="inlineStr">
        <is>
          <t>Matrix A Curl Can Dream Cleansing Shampoo with Manuka Honey Extract</t>
        </is>
      </c>
      <c r="C13972" t="inlineStr">
        <is>
          <t>Shampoo</t>
        </is>
      </c>
      <c r="D13972" t="inlineStr">
        <is>
          <t>Matrix</t>
        </is>
      </c>
      <c r="E13972" t="n">
        <v>10.49</v>
      </c>
      <c r="F13972" t="n">
        <v>1</v>
      </c>
      <c r="G13972" t="n">
        <v>5</v>
      </c>
      <c r="H13972" s="5">
        <f>HYPERLINK("https://api.qogita.com/variants/link/0884486462404/", "View Product")</f>
        <v/>
      </c>
    </row>
    <row r="13973">
      <c r="A13973" t="inlineStr">
        <is>
          <t>0884486462657</t>
        </is>
      </c>
      <c r="B13973" t="inlineStr">
        <is>
          <t>Matrix A Curl Can Dream Cream 500ml for Curly and/or Wavy Hair</t>
        </is>
      </c>
      <c r="C13973" t="inlineStr">
        <is>
          <t>Conditioner</t>
        </is>
      </c>
      <c r="D13973" t="inlineStr">
        <is>
          <t>Matrix</t>
        </is>
      </c>
      <c r="E13973" t="n">
        <v>27.3</v>
      </c>
      <c r="F13973" t="n">
        <v>1</v>
      </c>
      <c r="G13973" t="n">
        <v>9</v>
      </c>
      <c r="H13973" s="5">
        <f>HYPERLINK("https://api.qogita.com/variants/link/0884486462657/", "View Product")</f>
        <v/>
      </c>
    </row>
    <row r="13974">
      <c r="A13974" t="inlineStr">
        <is>
          <t>0884486475411</t>
        </is>
      </c>
      <c r="B13974" t="inlineStr">
        <is>
          <t>Matrix Pro Solutionist Insta Cure Porosity Filing Treatment 500ml</t>
        </is>
      </c>
      <c r="C13974" t="inlineStr">
        <is>
          <t>Hair Masks</t>
        </is>
      </c>
      <c r="D13974" t="inlineStr">
        <is>
          <t>Matrix</t>
        </is>
      </c>
      <c r="E13974" t="n">
        <v>17.49</v>
      </c>
      <c r="F13974" t="n">
        <v>1</v>
      </c>
      <c r="G13974" t="n">
        <v>4</v>
      </c>
      <c r="H13974" s="5">
        <f>HYPERLINK("https://api.qogita.com/variants/link/0884486475411/", "View Product")</f>
        <v/>
      </c>
    </row>
    <row r="13975">
      <c r="A13975" t="inlineStr">
        <is>
          <t>0887167095854</t>
        </is>
      </c>
      <c r="B13975" t="inlineStr">
        <is>
          <t>Estee Lauder Azuree Woman Eau De Parfum Spray 50ml</t>
        </is>
      </c>
      <c r="C13975" t="inlineStr">
        <is>
          <t>Eau De Parfum</t>
        </is>
      </c>
      <c r="D13975" t="inlineStr">
        <is>
          <t>Estée Lauder</t>
        </is>
      </c>
      <c r="E13975" t="n">
        <v>42.1</v>
      </c>
      <c r="F13975" t="n">
        <v>1</v>
      </c>
      <c r="G13975" t="n">
        <v>10</v>
      </c>
      <c r="H13975" s="5">
        <f>HYPERLINK("https://api.qogita.com/variants/link/0887167095854/", "View Product")</f>
        <v/>
      </c>
    </row>
    <row r="13976">
      <c r="A13976" t="inlineStr">
        <is>
          <t>0887167095885</t>
        </is>
      </c>
      <c r="B13976" t="inlineStr">
        <is>
          <t>Estee Super Eau de Parfum Spray 50ml</t>
        </is>
      </c>
      <c r="C13976" t="inlineStr">
        <is>
          <t>Eau De Parfum</t>
        </is>
      </c>
      <c r="D13976" t="inlineStr">
        <is>
          <t>Estée Lauder</t>
        </is>
      </c>
      <c r="E13976" t="n">
        <v>30.59</v>
      </c>
      <c r="F13976" t="n">
        <v>1</v>
      </c>
      <c r="G13976" t="n">
        <v>30</v>
      </c>
      <c r="H13976" s="5">
        <f>HYPERLINK("https://api.qogita.com/variants/link/0887167095885/", "View Product")</f>
        <v/>
      </c>
    </row>
    <row r="13977">
      <c r="A13977" t="inlineStr">
        <is>
          <t>0887167147751</t>
        </is>
      </c>
      <c r="B13977" t="inlineStr">
        <is>
          <t>Estée Lauder Little Liner Black 0.9g</t>
        </is>
      </c>
      <c r="C13977" t="inlineStr">
        <is>
          <t>Eyeliner</t>
        </is>
      </c>
      <c r="D13977" t="inlineStr">
        <is>
          <t>Estée Lauder</t>
        </is>
      </c>
      <c r="E13977" t="n">
        <v>20.9</v>
      </c>
      <c r="F13977" t="n">
        <v>1</v>
      </c>
      <c r="G13977" t="n">
        <v>12</v>
      </c>
      <c r="H13977" s="5">
        <f>HYPERLINK("https://api.qogita.com/variants/link/0887167147751/", "View Product")</f>
        <v/>
      </c>
    </row>
    <row r="13978">
      <c r="A13978" t="inlineStr">
        <is>
          <t>0887167371408</t>
        </is>
      </c>
      <c r="B13978" t="inlineStr">
        <is>
          <t>Estee Lauder Double Wear Maximum Cover Camouflage Foundation for Face and Body SPF 15 1N1 Ivory Nude 30ml</t>
        </is>
      </c>
      <c r="C13978" t="inlineStr">
        <is>
          <t>Camouflage Makeup</t>
        </is>
      </c>
      <c r="D13978" t="inlineStr">
        <is>
          <t>Estée Lauder</t>
        </is>
      </c>
      <c r="E13978" t="n">
        <v>33.63</v>
      </c>
      <c r="F13978" t="n">
        <v>1</v>
      </c>
      <c r="G13978" t="n">
        <v>5</v>
      </c>
      <c r="H13978" s="5">
        <f>HYPERLINK("https://api.qogita.com/variants/link/0887167371408/", "View Product")</f>
        <v/>
      </c>
    </row>
    <row r="13979">
      <c r="A13979" t="inlineStr">
        <is>
          <t>0887167485488</t>
        </is>
      </c>
      <c r="B13979" t="inlineStr">
        <is>
          <t>Estee Lauder Advanced Night Repair Serum Synchronized Multi-Recovery Complex 50ml</t>
        </is>
      </c>
      <c r="C13979" t="inlineStr">
        <is>
          <t>Anti-Aging Serum</t>
        </is>
      </c>
      <c r="D13979" t="inlineStr">
        <is>
          <t>Estée Lauder</t>
        </is>
      </c>
      <c r="E13979" t="n">
        <v>46.44</v>
      </c>
      <c r="F13979" t="n">
        <v>1</v>
      </c>
      <c r="G13979" t="n">
        <v>1626</v>
      </c>
      <c r="H13979" s="5">
        <f>HYPERLINK("https://api.qogita.com/variants/link/0887167485488/", "View Product")</f>
        <v/>
      </c>
    </row>
    <row r="13980">
      <c r="A13980" t="inlineStr">
        <is>
          <t>0887167529243</t>
        </is>
      </c>
      <c r="B13980" t="inlineStr">
        <is>
          <t>Estee Lauder Re-Nutriv Intensive Smoothing Hand Cream 100ml</t>
        </is>
      </c>
      <c r="C13980" t="inlineStr">
        <is>
          <t>Hand Cream</t>
        </is>
      </c>
      <c r="D13980" t="inlineStr">
        <is>
          <t>Estée Lauder</t>
        </is>
      </c>
      <c r="E13980" t="n">
        <v>57.45</v>
      </c>
      <c r="F13980" t="n">
        <v>1</v>
      </c>
      <c r="G13980" t="n">
        <v>7</v>
      </c>
      <c r="H13980" s="5">
        <f>HYPERLINK("https://api.qogita.com/variants/link/0887167529243/", "View Product")</f>
        <v/>
      </c>
    </row>
    <row r="13981">
      <c r="A13981" t="inlineStr">
        <is>
          <t>0887167538962</t>
        </is>
      </c>
      <c r="B13981" t="inlineStr">
        <is>
          <t>Estee Lauder Double Wear Sheer Flattery Loose Powder 03 Light Medium Matte</t>
        </is>
      </c>
      <c r="C13981" t="inlineStr">
        <is>
          <t>Powder</t>
        </is>
      </c>
      <c r="D13981" t="inlineStr">
        <is>
          <t>Estée Lauder</t>
        </is>
      </c>
      <c r="E13981" t="n">
        <v>35.5</v>
      </c>
      <c r="F13981" t="n">
        <v>1</v>
      </c>
      <c r="G13981" t="n">
        <v>4</v>
      </c>
      <c r="H13981" s="5">
        <f>HYPERLINK("https://api.qogita.com/variants/link/0887167538962/", "View Product")</f>
        <v/>
      </c>
    </row>
    <row r="13982">
      <c r="A13982" t="inlineStr">
        <is>
          <t>0887167539549</t>
        </is>
      </c>
      <c r="B13982" t="inlineStr">
        <is>
          <t>Estee Lauder Revitalizing Supreme Plus Youth Power Creme for Women 1oz</t>
        </is>
      </c>
      <c r="C13982" t="inlineStr">
        <is>
          <t>Day Cream</t>
        </is>
      </c>
      <c r="D13982" t="inlineStr">
        <is>
          <t>Estée Lauder</t>
        </is>
      </c>
      <c r="E13982" t="n">
        <v>45.53</v>
      </c>
      <c r="F13982" t="n">
        <v>1</v>
      </c>
      <c r="G13982" t="n">
        <v>10</v>
      </c>
      <c r="H13982" s="5">
        <f>HYPERLINK("https://api.qogita.com/variants/link/0887167539549/", "View Product")</f>
        <v/>
      </c>
    </row>
    <row r="13983">
      <c r="A13983" t="inlineStr">
        <is>
          <t>0887167555662</t>
        </is>
      </c>
      <c r="B13983" t="inlineStr">
        <is>
          <t>Estee Lauder Futurist Aqua Brilliance Makeup SPF 20 No. 1C0 Cool Porcelain 30ml</t>
        </is>
      </c>
      <c r="C13983" t="inlineStr">
        <is>
          <t>Foundation</t>
        </is>
      </c>
      <c r="D13983" t="inlineStr">
        <is>
          <t>Estée Lauder</t>
        </is>
      </c>
      <c r="E13983" t="n">
        <v>46.27</v>
      </c>
      <c r="F13983" t="n">
        <v>1</v>
      </c>
      <c r="G13983" t="n">
        <v>5</v>
      </c>
      <c r="H13983" s="5">
        <f>HYPERLINK("https://api.qogita.com/variants/link/0887167555662/", "View Product")</f>
        <v/>
      </c>
    </row>
    <row r="13984">
      <c r="A13984" t="inlineStr">
        <is>
          <t>0887167558700</t>
        </is>
      </c>
      <c r="B13984" t="inlineStr">
        <is>
          <t>Estee Lauder Futurist Skintint Serum Foundation SPF 20 3C2 Pebble 30ml</t>
        </is>
      </c>
      <c r="C13984" t="inlineStr">
        <is>
          <t>Tinted Day Cream</t>
        </is>
      </c>
      <c r="D13984" t="inlineStr">
        <is>
          <t>Estée Lauder</t>
        </is>
      </c>
      <c r="E13984" t="n">
        <v>34.69</v>
      </c>
      <c r="F13984" t="n">
        <v>1</v>
      </c>
      <c r="G13984" t="n">
        <v>2</v>
      </c>
      <c r="H13984" s="5">
        <f>HYPERLINK("https://api.qogita.com/variants/link/0887167558700/", "View Product")</f>
        <v/>
      </c>
    </row>
    <row r="13985">
      <c r="A13985" t="inlineStr">
        <is>
          <t>0887167565692</t>
        </is>
      </c>
      <c r="B13985" t="inlineStr">
        <is>
          <t>Estee Lauder Bronze Goddess 02 Medium Powder Bronzer 21g</t>
        </is>
      </c>
      <c r="C13985" t="inlineStr">
        <is>
          <t>Bronzer</t>
        </is>
      </c>
      <c r="D13985" t="inlineStr">
        <is>
          <t>Estée Lauder</t>
        </is>
      </c>
      <c r="E13985" t="n">
        <v>28.18</v>
      </c>
      <c r="F13985" t="n">
        <v>1</v>
      </c>
      <c r="G13985" t="n">
        <v>4</v>
      </c>
      <c r="H13985" s="5">
        <f>HYPERLINK("https://api.qogita.com/variants/link/0887167565692/", "View Product")</f>
        <v/>
      </c>
    </row>
    <row r="13986">
      <c r="A13986" t="inlineStr">
        <is>
          <t>0887167610620</t>
        </is>
      </c>
      <c r="B13986" t="inlineStr">
        <is>
          <t>Estee Lauder Nutritious Melting Soft Cream/Mask 50ml</t>
        </is>
      </c>
      <c r="C13986" t="inlineStr">
        <is>
          <t>Face Cream</t>
        </is>
      </c>
      <c r="D13986" t="inlineStr">
        <is>
          <t>Estée Lauder</t>
        </is>
      </c>
      <c r="E13986" t="n">
        <v>31.79</v>
      </c>
      <c r="F13986" t="n">
        <v>1</v>
      </c>
      <c r="G13986" t="n">
        <v>3</v>
      </c>
      <c r="H13986" s="5">
        <f>HYPERLINK("https://api.qogita.com/variants/link/0887167610620/", "View Product")</f>
        <v/>
      </c>
    </row>
    <row r="13987">
      <c r="A13987" t="inlineStr">
        <is>
          <t>0887167612358</t>
        </is>
      </c>
      <c r="B13987" t="inlineStr">
        <is>
          <t>Estee Lauder Futurist Soft Touch Brightening Skincealer No.2C 6ml</t>
        </is>
      </c>
      <c r="C13987" t="inlineStr">
        <is>
          <t>Anti-Pigmentation Spot Cream</t>
        </is>
      </c>
      <c r="D13987" t="inlineStr">
        <is>
          <t>Estée Lauder</t>
        </is>
      </c>
      <c r="E13987" t="n">
        <v>34.67</v>
      </c>
      <c r="F13987" t="n">
        <v>1</v>
      </c>
      <c r="G13987" t="n">
        <v>4</v>
      </c>
      <c r="H13987" s="5">
        <f>HYPERLINK("https://api.qogita.com/variants/link/0887167612358/", "View Product")</f>
        <v/>
      </c>
    </row>
    <row r="13988">
      <c r="A13988" t="inlineStr">
        <is>
          <t>0887167612419</t>
        </is>
      </c>
      <c r="B13988" t="inlineStr">
        <is>
          <t>Estee Lauder Futuristic Skin Color Serum with Bitan Oil Infusion 5W1 Bronze</t>
        </is>
      </c>
      <c r="C13988" t="inlineStr">
        <is>
          <t>Glow Serum</t>
        </is>
      </c>
      <c r="D13988" t="inlineStr">
        <is>
          <t>Estée Lauder</t>
        </is>
      </c>
      <c r="E13988" t="n">
        <v>35.84</v>
      </c>
      <c r="F13988" t="n">
        <v>1</v>
      </c>
      <c r="G13988" t="n">
        <v>6</v>
      </c>
      <c r="H13988" s="5">
        <f>HYPERLINK("https://api.qogita.com/variants/link/0887167612419/", "View Product")</f>
        <v/>
      </c>
    </row>
    <row r="13989">
      <c r="A13989" t="inlineStr">
        <is>
          <t>0887167655973</t>
        </is>
      </c>
      <c r="B13989" t="inlineStr">
        <is>
          <t>Estee Lauder Smoke and Brighten Kajal Eyeliner Duo 1g Noir/Cream</t>
        </is>
      </c>
      <c r="C13989" t="inlineStr">
        <is>
          <t>Eyeliner</t>
        </is>
      </c>
      <c r="D13989" t="inlineStr">
        <is>
          <t>Estée Lauder</t>
        </is>
      </c>
      <c r="E13989" t="n">
        <v>21.27</v>
      </c>
      <c r="F13989" t="n">
        <v>1</v>
      </c>
      <c r="G13989" t="n">
        <v>4</v>
      </c>
      <c r="H13989" s="5">
        <f>HYPERLINK("https://api.qogita.com/variants/link/0887167655973/", "View Product")</f>
        <v/>
      </c>
    </row>
    <row r="13990">
      <c r="A13990" t="inlineStr">
        <is>
          <t>0887167677036</t>
        </is>
      </c>
      <c r="B13990" t="inlineStr">
        <is>
          <t>Estee Lauder Double Wear Stay-In-Place Primer 40ml</t>
        </is>
      </c>
      <c r="C13990" t="inlineStr">
        <is>
          <t>Primer</t>
        </is>
      </c>
      <c r="D13990" t="inlineStr">
        <is>
          <t>Estée Lauder</t>
        </is>
      </c>
      <c r="E13990" t="n">
        <v>28.71</v>
      </c>
      <c r="F13990" t="n">
        <v>1</v>
      </c>
      <c r="G13990" t="n">
        <v>7</v>
      </c>
      <c r="H13990" s="5">
        <f>HYPERLINK("https://api.qogita.com/variants/link/0887167677036/", "View Product")</f>
        <v/>
      </c>
    </row>
    <row r="13991">
      <c r="A13991" t="inlineStr">
        <is>
          <t>0887167746831</t>
        </is>
      </c>
      <c r="B13991" t="inlineStr">
        <is>
          <t>Estee Lauder Revitalizing Supreme Night Power Bounce Creme Moisturizer 50ml</t>
        </is>
      </c>
      <c r="C13991" t="inlineStr">
        <is>
          <t>Night Cream</t>
        </is>
      </c>
      <c r="D13991" t="inlineStr">
        <is>
          <t>Estée Lauder</t>
        </is>
      </c>
      <c r="E13991" t="n">
        <v>83.65000000000001</v>
      </c>
      <c r="F13991" t="n">
        <v>1</v>
      </c>
      <c r="G13991" t="n">
        <v>24</v>
      </c>
      <c r="H13991" s="5">
        <f>HYPERLINK("https://api.qogita.com/variants/link/0887167746831/", "View Product")</f>
        <v/>
      </c>
    </row>
    <row r="13992">
      <c r="A13992" t="inlineStr">
        <is>
          <t>0887167774827</t>
        </is>
      </c>
      <c r="B13992" t="inlineStr">
        <is>
          <t>Estee Lauder Pure Color Melt-On Glosstick Plumping &amp; Moisturizing Lip Gloss</t>
        </is>
      </c>
      <c r="C13992" t="inlineStr">
        <is>
          <t>Lip Gloss</t>
        </is>
      </c>
      <c r="D13992" t="inlineStr">
        <is>
          <t>Estée Lauder</t>
        </is>
      </c>
      <c r="E13992" t="n">
        <v>27.86</v>
      </c>
      <c r="F13992" t="n">
        <v>1</v>
      </c>
      <c r="G13992" t="n">
        <v>3</v>
      </c>
      <c r="H13992" s="5">
        <f>HYPERLINK("https://api.qogita.com/variants/link/0887167774827/", "View Product")</f>
        <v/>
      </c>
    </row>
    <row r="13993">
      <c r="A13993" t="inlineStr">
        <is>
          <t>0887167774834</t>
        </is>
      </c>
      <c r="B13993" t="inlineStr">
        <is>
          <t>Estee Lauder Pure Color Melt-On Glosstick Plumping &amp; Moisturizing Lip Gloss</t>
        </is>
      </c>
      <c r="C13993" t="inlineStr">
        <is>
          <t>Lip Gloss</t>
        </is>
      </c>
      <c r="D13993" t="inlineStr">
        <is>
          <t>Estée Lauder</t>
        </is>
      </c>
      <c r="E13993" t="n">
        <v>27.86</v>
      </c>
      <c r="F13993" t="n">
        <v>1</v>
      </c>
      <c r="G13993" t="n">
        <v>3</v>
      </c>
      <c r="H13993" s="5">
        <f>HYPERLINK("https://api.qogita.com/variants/link/0887167774834/", "View Product")</f>
        <v/>
      </c>
    </row>
    <row r="13994">
      <c r="A13994" t="inlineStr">
        <is>
          <t>0887167786615</t>
        </is>
      </c>
      <c r="B13994" t="inlineStr">
        <is>
          <t>Estee Lauder Advanced Night Repair Synchronised Multi-Recovery Complex 50ml Set-C</t>
        </is>
      </c>
      <c r="C13994" t="inlineStr">
        <is>
          <t>Anti-Aging Serum</t>
        </is>
      </c>
      <c r="D13994" t="inlineStr">
        <is>
          <t>Estée Lauder</t>
        </is>
      </c>
      <c r="E13994" t="n">
        <v>101.38</v>
      </c>
      <c r="F13994" t="n">
        <v>1</v>
      </c>
      <c r="G13994" t="n">
        <v>16</v>
      </c>
      <c r="H13994" s="5">
        <f>HYPERLINK("https://api.qogita.com/variants/link/0887167786615/", "View Product")</f>
        <v/>
      </c>
    </row>
    <row r="13995">
      <c r="A13995" t="inlineStr">
        <is>
          <t>0887167795211</t>
        </is>
      </c>
      <c r="B13995" t="inlineStr">
        <is>
          <t>Estee Lauder Advanced Night Repair Set - Night Skin Care Gift Set</t>
        </is>
      </c>
      <c r="C13995" t="inlineStr">
        <is>
          <t>Face</t>
        </is>
      </c>
      <c r="D13995" t="inlineStr">
        <is>
          <t>Estée Lauder</t>
        </is>
      </c>
      <c r="E13995" t="n">
        <v>106.77</v>
      </c>
      <c r="F13995" t="n">
        <v>1</v>
      </c>
      <c r="G13995" t="n">
        <v>16</v>
      </c>
      <c r="H13995" s="5">
        <f>HYPERLINK("https://api.qogita.com/variants/link/0887167795211/", "View Product")</f>
        <v/>
      </c>
    </row>
    <row r="13996">
      <c r="A13996" t="inlineStr">
        <is>
          <t>0888066000161</t>
        </is>
      </c>
      <c r="B13996" t="inlineStr">
        <is>
          <t>Tom Ford Tuscan Leather Eau De Parfum 50ml</t>
        </is>
      </c>
      <c r="C13996" t="inlineStr">
        <is>
          <t>Eau De Parfum</t>
        </is>
      </c>
      <c r="D13996" t="inlineStr">
        <is>
          <t>Creed</t>
        </is>
      </c>
      <c r="E13996" t="n">
        <v>185.46</v>
      </c>
      <c r="F13996" t="n">
        <v>1</v>
      </c>
      <c r="G13996" t="n">
        <v>14</v>
      </c>
      <c r="H13996" s="5">
        <f>HYPERLINK("https://api.qogita.com/variants/link/0888066000161/", "View Product")</f>
        <v/>
      </c>
    </row>
    <row r="13997">
      <c r="A13997" t="inlineStr">
        <is>
          <t>0888066000512</t>
        </is>
      </c>
      <c r="B13997" t="inlineStr">
        <is>
          <t>Tobacco Vanille by Tom Ford Eau de Parfum 50ml</t>
        </is>
      </c>
      <c r="C13997" t="inlineStr">
        <is>
          <t>Eau De Parfum</t>
        </is>
      </c>
      <c r="D13997" t="inlineStr">
        <is>
          <t>Tom Ford</t>
        </is>
      </c>
      <c r="E13997" t="n">
        <v>169.69</v>
      </c>
      <c r="F13997" t="n">
        <v>1</v>
      </c>
      <c r="G13997" t="n">
        <v>16</v>
      </c>
      <c r="H13997" s="5">
        <f>HYPERLINK("https://api.qogita.com/variants/link/0888066000512/", "View Product")</f>
        <v/>
      </c>
    </row>
    <row r="13998">
      <c r="A13998" t="inlineStr">
        <is>
          <t>0888066007795</t>
        </is>
      </c>
      <c r="B13998" t="inlineStr">
        <is>
          <t>Tom Ford Grey Vetiver Eau De Parfum Spray 100ml Citrus</t>
        </is>
      </c>
      <c r="C13998" t="inlineStr">
        <is>
          <t>Eau De Parfum</t>
        </is>
      </c>
      <c r="D13998" t="inlineStr">
        <is>
          <t>Tom Ford</t>
        </is>
      </c>
      <c r="E13998" t="n">
        <v>122.22</v>
      </c>
      <c r="F13998" t="n">
        <v>1</v>
      </c>
      <c r="G13998" t="n">
        <v>4</v>
      </c>
      <c r="H13998" s="5">
        <f>HYPERLINK("https://api.qogita.com/variants/link/0888066007795/", "View Product")</f>
        <v/>
      </c>
    </row>
    <row r="13999">
      <c r="A13999" t="inlineStr">
        <is>
          <t>0888066008433</t>
        </is>
      </c>
      <c r="B13999" t="inlineStr">
        <is>
          <t>Tom Ford Neroli Port Eau De Parfum Spray 50ml</t>
        </is>
      </c>
      <c r="C13999" t="inlineStr">
        <is>
          <t>Eau De Parfum</t>
        </is>
      </c>
      <c r="D13999" t="inlineStr">
        <is>
          <t>Tom Ford</t>
        </is>
      </c>
      <c r="E13999" t="n">
        <v>149.71</v>
      </c>
      <c r="F13999" t="n">
        <v>1</v>
      </c>
      <c r="G13999" t="n">
        <v>40</v>
      </c>
      <c r="H13999" s="5">
        <f>HYPERLINK("https://api.qogita.com/variants/link/0888066008433/", "View Product")</f>
        <v/>
      </c>
    </row>
    <row r="14000">
      <c r="A14000" t="inlineStr">
        <is>
          <t>0888066008457</t>
        </is>
      </c>
      <c r="B14000" t="inlineStr">
        <is>
          <t>Tom Ford Neroli Portofino Eau De Parfum 100ml</t>
        </is>
      </c>
      <c r="C14000" t="inlineStr">
        <is>
          <t>Eau De Parfum</t>
        </is>
      </c>
      <c r="D14000" t="inlineStr">
        <is>
          <t>Tom Ford</t>
        </is>
      </c>
      <c r="E14000" t="n">
        <v>221.49</v>
      </c>
      <c r="F14000" t="n">
        <v>1</v>
      </c>
      <c r="G14000" t="n">
        <v>5</v>
      </c>
      <c r="H14000" s="5">
        <f>HYPERLINK("https://api.qogita.com/variants/link/0888066008457/", "View Product")</f>
        <v/>
      </c>
    </row>
    <row r="14001">
      <c r="A14001" t="inlineStr">
        <is>
          <t>0888066023788</t>
        </is>
      </c>
      <c r="B14001" t="inlineStr">
        <is>
          <t>Tom Ford Neroli Portofino Eau De Parfum 30ml</t>
        </is>
      </c>
      <c r="C14001" t="inlineStr">
        <is>
          <t>Eau De Parfum</t>
        </is>
      </c>
      <c r="D14001" t="inlineStr">
        <is>
          <t>Tom Ford</t>
        </is>
      </c>
      <c r="E14001" t="n">
        <v>97.89</v>
      </c>
      <c r="F14001" t="n">
        <v>1</v>
      </c>
      <c r="G14001" t="n">
        <v>20</v>
      </c>
      <c r="H14001" s="5">
        <f>HYPERLINK("https://api.qogita.com/variants/link/0888066023788/", "View Product")</f>
        <v/>
      </c>
    </row>
    <row r="14002">
      <c r="A14002" t="inlineStr">
        <is>
          <t>0888066023948</t>
        </is>
      </c>
      <c r="B14002" t="inlineStr">
        <is>
          <t>Velvet Orchid by Tom Ford Eau de Parfum for Women 50ml</t>
        </is>
      </c>
      <c r="C14002" t="inlineStr">
        <is>
          <t>Eau De Parfum</t>
        </is>
      </c>
      <c r="D14002" t="inlineStr">
        <is>
          <t>Tom Ford</t>
        </is>
      </c>
      <c r="E14002" t="n">
        <v>77.91</v>
      </c>
      <c r="F14002" t="n">
        <v>1</v>
      </c>
      <c r="G14002" t="n">
        <v>4</v>
      </c>
      <c r="H14002" s="5">
        <f>HYPERLINK("https://api.qogita.com/variants/link/0888066023948/", "View Product")</f>
        <v/>
      </c>
    </row>
    <row r="14003">
      <c r="A14003" t="inlineStr">
        <is>
          <t>0888066048958</t>
        </is>
      </c>
      <c r="B14003" t="inlineStr">
        <is>
          <t>Tom Ford Soleil Blanc Eau de Parfum 50ml Spray</t>
        </is>
      </c>
      <c r="C14003" t="inlineStr">
        <is>
          <t>Eau De Parfum</t>
        </is>
      </c>
      <c r="D14003" t="inlineStr">
        <is>
          <t>Tom Ford</t>
        </is>
      </c>
      <c r="E14003" t="n">
        <v>155.45</v>
      </c>
      <c r="F14003" t="n">
        <v>1</v>
      </c>
      <c r="G14003" t="n">
        <v>26</v>
      </c>
      <c r="H14003" s="5">
        <f>HYPERLINK("https://api.qogita.com/variants/link/0888066048958/", "View Product")</f>
        <v/>
      </c>
    </row>
    <row r="14004">
      <c r="A14004" t="inlineStr">
        <is>
          <t>0888066075084</t>
        </is>
      </c>
      <c r="B14004" t="inlineStr">
        <is>
          <t>Tom Ford Eau De Soleil Blanc Eau De Toilette Spray 50ml</t>
        </is>
      </c>
      <c r="C14004" t="inlineStr">
        <is>
          <t>Eau De Toilette</t>
        </is>
      </c>
      <c r="D14004" t="inlineStr">
        <is>
          <t>Tom Ford</t>
        </is>
      </c>
      <c r="E14004" t="n">
        <v>90.2</v>
      </c>
      <c r="F14004" t="n">
        <v>1</v>
      </c>
      <c r="G14004" t="n">
        <v>44</v>
      </c>
      <c r="H14004" s="5">
        <f>HYPERLINK("https://api.qogita.com/variants/link/0888066075084/", "View Product")</f>
        <v/>
      </c>
    </row>
    <row r="14005">
      <c r="A14005" t="inlineStr">
        <is>
          <t>0888066077439</t>
        </is>
      </c>
      <c r="B14005" t="inlineStr">
        <is>
          <t>Tom Ford Black Orchid All Over Body Spray 4.0 oz.</t>
        </is>
      </c>
      <c r="C14005" t="inlineStr">
        <is>
          <t>Eau De Parfum</t>
        </is>
      </c>
      <c r="D14005" t="inlineStr">
        <is>
          <t>Tom Ford</t>
        </is>
      </c>
      <c r="E14005" t="n">
        <v>35.75</v>
      </c>
      <c r="F14005" t="n">
        <v>1</v>
      </c>
      <c r="G14005" t="n">
        <v>3</v>
      </c>
      <c r="H14005" s="5">
        <f>HYPERLINK("https://api.qogita.com/variants/link/0888066077439/", "View Product")</f>
        <v/>
      </c>
    </row>
    <row r="14006">
      <c r="A14006" t="inlineStr">
        <is>
          <t>0888066080729</t>
        </is>
      </c>
      <c r="B14006" t="inlineStr">
        <is>
          <t>Tom Ford Soleil Blanc Eau de Parfum 30ml Spray</t>
        </is>
      </c>
      <c r="C14006" t="inlineStr">
        <is>
          <t>Eau De Parfum</t>
        </is>
      </c>
      <c r="D14006" t="inlineStr">
        <is>
          <t>Tom Ford</t>
        </is>
      </c>
      <c r="E14006" t="n">
        <v>106.1</v>
      </c>
      <c r="F14006" t="n">
        <v>1</v>
      </c>
      <c r="G14006" t="n">
        <v>3</v>
      </c>
      <c r="H14006" s="5">
        <f>HYPERLINK("https://api.qogita.com/variants/link/0888066080729/", "View Product")</f>
        <v/>
      </c>
    </row>
    <row r="14007">
      <c r="A14007" t="inlineStr">
        <is>
          <t>0888066087568</t>
        </is>
      </c>
      <c r="B14007" t="inlineStr">
        <is>
          <t>Tom Ford Brightening Make-Up Shade And Illuminate Spf 50 Soft Radiance Foundation - 30 Ml</t>
        </is>
      </c>
      <c r="C14007" t="inlineStr">
        <is>
          <t>Foundation</t>
        </is>
      </c>
      <c r="D14007" t="inlineStr">
        <is>
          <t>Tom Ford</t>
        </is>
      </c>
      <c r="E14007" t="n">
        <v>111.93</v>
      </c>
      <c r="F14007" t="n">
        <v>1</v>
      </c>
      <c r="G14007" t="n">
        <v>3</v>
      </c>
      <c r="H14007" s="5">
        <f>HYPERLINK("https://api.qogita.com/variants/link/0888066087568/", "View Product")</f>
        <v/>
      </c>
    </row>
    <row r="14008">
      <c r="A14008" t="inlineStr">
        <is>
          <t>0888066089302</t>
        </is>
      </c>
      <c r="B14008" t="inlineStr">
        <is>
          <t>Tom Ford Eau De Parfum Spray 50ml</t>
        </is>
      </c>
      <c r="C14008" t="inlineStr">
        <is>
          <t>Eau De Parfum</t>
        </is>
      </c>
      <c r="D14008" t="inlineStr">
        <is>
          <t>Tom Ford</t>
        </is>
      </c>
      <c r="E14008" t="n">
        <v>140.55</v>
      </c>
      <c r="F14008" t="n">
        <v>1</v>
      </c>
      <c r="G14008" t="n">
        <v>4</v>
      </c>
      <c r="H14008" s="5">
        <f>HYPERLINK("https://api.qogita.com/variants/link/0888066089302/", "View Product")</f>
        <v/>
      </c>
    </row>
    <row r="14009">
      <c r="A14009" t="inlineStr">
        <is>
          <t>0888066094153</t>
        </is>
      </c>
      <c r="B14009" t="inlineStr">
        <is>
          <t>Tom Ford Fucking Fabulous EDP-S 0.386kg</t>
        </is>
      </c>
      <c r="C14009" t="inlineStr">
        <is>
          <t>Eau De Parfum</t>
        </is>
      </c>
      <c r="D14009" t="inlineStr">
        <is>
          <t>Tom Ford</t>
        </is>
      </c>
      <c r="E14009" t="n">
        <v>329.77</v>
      </c>
      <c r="F14009" t="n">
        <v>1</v>
      </c>
      <c r="G14009" t="n">
        <v>5</v>
      </c>
      <c r="H14009" s="5">
        <f>HYPERLINK("https://api.qogita.com/variants/link/0888066094153/", "View Product")</f>
        <v/>
      </c>
    </row>
    <row r="14010">
      <c r="A14010" t="inlineStr">
        <is>
          <t>0888066094177</t>
        </is>
      </c>
      <c r="B14010" t="inlineStr">
        <is>
          <t>Fucking Fabulous by Tom Ford Unisex 1 Oz EDP Spray 29.57ml</t>
        </is>
      </c>
      <c r="C14010" t="inlineStr">
        <is>
          <t>Eau De Parfum</t>
        </is>
      </c>
      <c r="D14010" t="inlineStr">
        <is>
          <t>Tom Ford</t>
        </is>
      </c>
      <c r="E14010" t="n">
        <v>131.2</v>
      </c>
      <c r="F14010" t="n">
        <v>1</v>
      </c>
      <c r="G14010" t="n">
        <v>12</v>
      </c>
      <c r="H14010" s="5">
        <f>HYPERLINK("https://api.qogita.com/variants/link/0888066094177/", "View Product")</f>
        <v/>
      </c>
    </row>
    <row r="14011">
      <c r="A14011" t="inlineStr">
        <is>
          <t>0888066103411</t>
        </is>
      </c>
      <c r="B14011" t="inlineStr">
        <is>
          <t>White Suede 30ml/1floz</t>
        </is>
      </c>
      <c r="C14011" t="inlineStr">
        <is>
          <t>Eau De Parfum</t>
        </is>
      </c>
      <c r="D14011" t="inlineStr">
        <is>
          <t>Tom Ford</t>
        </is>
      </c>
      <c r="E14011" t="n">
        <v>103.6</v>
      </c>
      <c r="F14011" t="n">
        <v>1</v>
      </c>
      <c r="G14011" t="n">
        <v>8</v>
      </c>
      <c r="H14011" s="5">
        <f>HYPERLINK("https://api.qogita.com/variants/link/0888066103411/", "View Product")</f>
        <v/>
      </c>
    </row>
    <row r="14012">
      <c r="A14012" t="inlineStr">
        <is>
          <t>0888066113779</t>
        </is>
      </c>
      <c r="B14012" t="inlineStr">
        <is>
          <t>Tom Ford Rose Prick Unisex Eau de Parfum 100ml</t>
        </is>
      </c>
      <c r="C14012" t="inlineStr">
        <is>
          <t>Eau De Parfum</t>
        </is>
      </c>
      <c r="D14012" t="inlineStr">
        <is>
          <t>Tom Ford</t>
        </is>
      </c>
      <c r="E14012" t="n">
        <v>328.99</v>
      </c>
      <c r="F14012" t="n">
        <v>1</v>
      </c>
      <c r="G14012" t="n">
        <v>2</v>
      </c>
      <c r="H14012" s="5">
        <f>HYPERLINK("https://api.qogita.com/variants/link/0888066113779/", "View Product")</f>
        <v/>
      </c>
    </row>
    <row r="14013">
      <c r="A14013" t="inlineStr">
        <is>
          <t>0888066115308</t>
        </is>
      </c>
      <c r="B14013" t="inlineStr">
        <is>
          <t>Ebene Fume by Tom Ford for Men 1.7 oz EDP Spray</t>
        </is>
      </c>
      <c r="C14013" t="inlineStr">
        <is>
          <t>Eau De Parfum</t>
        </is>
      </c>
      <c r="D14013" t="inlineStr">
        <is>
          <t>Tom Ford</t>
        </is>
      </c>
      <c r="E14013" t="n">
        <v>163.26</v>
      </c>
      <c r="F14013" t="n">
        <v>1</v>
      </c>
      <c r="G14013" t="n">
        <v>3</v>
      </c>
      <c r="H14013" s="5">
        <f>HYPERLINK("https://api.qogita.com/variants/link/0888066115308/", "View Product")</f>
        <v/>
      </c>
    </row>
    <row r="14014">
      <c r="A14014" t="inlineStr">
        <is>
          <t>0888066117470</t>
        </is>
      </c>
      <c r="B14014" t="inlineStr">
        <is>
          <t>Tom Ford Costa Azzurra Unisex 3.4 Oz EDP Spray 100ml</t>
        </is>
      </c>
      <c r="C14014" t="inlineStr">
        <is>
          <t>Eau De Parfum</t>
        </is>
      </c>
      <c r="D14014" t="inlineStr">
        <is>
          <t>Tom Ford</t>
        </is>
      </c>
      <c r="E14014" t="n">
        <v>119.12</v>
      </c>
      <c r="F14014" t="n">
        <v>1</v>
      </c>
      <c r="G14014" t="n">
        <v>28</v>
      </c>
      <c r="H14014" s="5">
        <f>HYPERLINK("https://api.qogita.com/variants/link/0888066117470/", "View Product")</f>
        <v/>
      </c>
    </row>
    <row r="14015">
      <c r="A14015" t="inlineStr">
        <is>
          <t>0888066117685</t>
        </is>
      </c>
      <c r="B14015" t="inlineStr">
        <is>
          <t>Tom Ford Ombre Leather Perfume Spray 50ml</t>
        </is>
      </c>
      <c r="C14015" t="inlineStr">
        <is>
          <t>Eau De Parfum</t>
        </is>
      </c>
      <c r="D14015" t="inlineStr">
        <is>
          <t>Tom Ford</t>
        </is>
      </c>
      <c r="E14015" t="n">
        <v>99.79000000000001</v>
      </c>
      <c r="F14015" t="n">
        <v>1</v>
      </c>
      <c r="G14015" t="n">
        <v>2</v>
      </c>
      <c r="H14015" s="5">
        <f>HYPERLINK("https://api.qogita.com/variants/link/0888066117685/", "View Product")</f>
        <v/>
      </c>
    </row>
    <row r="14016">
      <c r="A14016" t="inlineStr">
        <is>
          <t>0888066117692</t>
        </is>
      </c>
      <c r="B14016" t="inlineStr">
        <is>
          <t>Tom Ford Ombre Leather Parfum 100ml</t>
        </is>
      </c>
      <c r="C14016" t="inlineStr">
        <is>
          <t>Eau De Parfum</t>
        </is>
      </c>
      <c r="D14016" t="inlineStr">
        <is>
          <t>Tom Ford</t>
        </is>
      </c>
      <c r="E14016" t="n">
        <v>141.3</v>
      </c>
      <c r="F14016" t="n">
        <v>1</v>
      </c>
      <c r="G14016" t="n">
        <v>23</v>
      </c>
      <c r="H14016" s="5">
        <f>HYPERLINK("https://api.qogita.com/variants/link/0888066117692/", "View Product")</f>
        <v/>
      </c>
    </row>
    <row r="14017">
      <c r="A14017" t="inlineStr">
        <is>
          <t>0888066124034</t>
        </is>
      </c>
      <c r="B14017" t="inlineStr">
        <is>
          <t>Tom Ford Grey Vetiver Parfum 50ml</t>
        </is>
      </c>
      <c r="C14017" t="inlineStr">
        <is>
          <t>Eau De Parfum</t>
        </is>
      </c>
      <c r="D14017" t="inlineStr">
        <is>
          <t>Tom Ford</t>
        </is>
      </c>
      <c r="E14017" t="n">
        <v>102.03</v>
      </c>
      <c r="F14017" t="n">
        <v>1</v>
      </c>
      <c r="G14017" t="n">
        <v>11</v>
      </c>
      <c r="H14017" s="5">
        <f>HYPERLINK("https://api.qogita.com/variants/link/0888066124034/", "View Product")</f>
        <v/>
      </c>
    </row>
    <row r="14018">
      <c r="A14018" t="inlineStr">
        <is>
          <t>0888066135993</t>
        </is>
      </c>
      <c r="B14018" t="inlineStr">
        <is>
          <t>Tom Ford Liquid Lip Luxe Matte Scarlet Rouge 0.20 oz 6 ml</t>
        </is>
      </c>
      <c r="C14018" t="inlineStr">
        <is>
          <t>Lipstick</t>
        </is>
      </c>
      <c r="D14018" t="inlineStr">
        <is>
          <t>Tom Ford</t>
        </is>
      </c>
      <c r="E14018" t="n">
        <v>50.93</v>
      </c>
      <c r="F14018" t="n">
        <v>1</v>
      </c>
      <c r="G14018" t="n">
        <v>3</v>
      </c>
      <c r="H14018" s="5">
        <f>HYPERLINK("https://api.qogita.com/variants/link/0888066135993/", "View Product")</f>
        <v/>
      </c>
    </row>
    <row r="14019">
      <c r="A14019" t="inlineStr">
        <is>
          <t>0888066136914</t>
        </is>
      </c>
      <c r="B14019" t="inlineStr">
        <is>
          <t>Tom Ford Noir Extreme Parfum for Men 1.7 oz Spray</t>
        </is>
      </c>
      <c r="C14019" t="inlineStr">
        <is>
          <t>Eau De Parfum</t>
        </is>
      </c>
      <c r="D14019" t="inlineStr">
        <is>
          <t>Tom Ford</t>
        </is>
      </c>
      <c r="E14019" t="n">
        <v>106.81</v>
      </c>
      <c r="F14019" t="n">
        <v>1</v>
      </c>
      <c r="G14019" t="n">
        <v>9</v>
      </c>
      <c r="H14019" s="5">
        <f>HYPERLINK("https://api.qogita.com/variants/link/0888066136914/", "View Product")</f>
        <v/>
      </c>
    </row>
    <row r="14020">
      <c r="A14020" t="inlineStr">
        <is>
          <t>0888066136921</t>
        </is>
      </c>
      <c r="B14020" t="inlineStr">
        <is>
          <t>Tom Ford Noir Extreme Parfum Spray Fresh Scent 100ml</t>
        </is>
      </c>
      <c r="C14020" t="inlineStr">
        <is>
          <t>Eau De Parfum</t>
        </is>
      </c>
      <c r="D14020" t="inlineStr">
        <is>
          <t>Tom Ford</t>
        </is>
      </c>
      <c r="E14020" t="n">
        <v>144.65</v>
      </c>
      <c r="F14020" t="n">
        <v>1</v>
      </c>
      <c r="G14020" t="n">
        <v>27</v>
      </c>
      <c r="H14020" s="5">
        <f>HYPERLINK("https://api.qogita.com/variants/link/0888066136921/", "View Product")</f>
        <v/>
      </c>
    </row>
    <row r="14021">
      <c r="A14021" t="inlineStr">
        <is>
          <t>0888066143042</t>
        </is>
      </c>
      <c r="B14021" t="inlineStr">
        <is>
          <t>Tom Ford Santal Blush Eau De Parfum Unisex 50ml</t>
        </is>
      </c>
      <c r="C14021" t="inlineStr">
        <is>
          <t>Eau De Parfum</t>
        </is>
      </c>
      <c r="D14021" t="inlineStr">
        <is>
          <t>Tom Ford</t>
        </is>
      </c>
      <c r="E14021" t="n">
        <v>183.89</v>
      </c>
      <c r="F14021" t="n">
        <v>1</v>
      </c>
      <c r="G14021" t="n">
        <v>5</v>
      </c>
      <c r="H14021" s="5">
        <f>HYPERLINK("https://api.qogita.com/variants/link/0888066143042/", "View Product")</f>
        <v/>
      </c>
    </row>
    <row r="14022">
      <c r="A14022" t="inlineStr">
        <is>
          <t>0888066144223</t>
        </is>
      </c>
      <c r="B14022" t="inlineStr">
        <is>
          <t>Tom Ford Oud Minerals 50ml</t>
        </is>
      </c>
      <c r="C14022" t="inlineStr">
        <is>
          <t>Eau De Parfum</t>
        </is>
      </c>
      <c r="D14022" t="inlineStr">
        <is>
          <t>Tom Ford</t>
        </is>
      </c>
      <c r="E14022" t="n">
        <v>84.02</v>
      </c>
      <c r="F14022" t="n">
        <v>1</v>
      </c>
      <c r="G14022" t="n">
        <v>12</v>
      </c>
      <c r="H14022" s="5">
        <f>HYPERLINK("https://api.qogita.com/variants/link/0888066144223/", "View Product")</f>
        <v/>
      </c>
    </row>
    <row r="14023">
      <c r="A14023" t="inlineStr">
        <is>
          <t>0888066144575</t>
        </is>
      </c>
      <c r="B14023" t="inlineStr">
        <is>
          <t>Tom Ford Cafe Rose for Women 1.7 oz EDP Spray</t>
        </is>
      </c>
      <c r="C14023" t="inlineStr">
        <is>
          <t>Eau De Parfum</t>
        </is>
      </c>
      <c r="D14023" t="inlineStr">
        <is>
          <t>Tom Ford</t>
        </is>
      </c>
      <c r="E14023" t="n">
        <v>91.13</v>
      </c>
      <c r="F14023" t="n">
        <v>1</v>
      </c>
      <c r="G14023" t="n">
        <v>3</v>
      </c>
      <c r="H14023" s="5">
        <f>HYPERLINK("https://api.qogita.com/variants/link/0888066144575/", "View Product")</f>
        <v/>
      </c>
    </row>
    <row r="14024">
      <c r="A14024" t="inlineStr">
        <is>
          <t>0888066147347</t>
        </is>
      </c>
      <c r="B14024" t="inlineStr">
        <is>
          <t>Tom Ford Glossy Lipstick Slim Lip Color Shine - 09 G</t>
        </is>
      </c>
      <c r="C14024" t="inlineStr">
        <is>
          <t>Lipstick</t>
        </is>
      </c>
      <c r="D14024" t="inlineStr">
        <is>
          <t>Tom Ford</t>
        </is>
      </c>
      <c r="E14024" t="n">
        <v>52.19</v>
      </c>
      <c r="F14024" t="n">
        <v>1</v>
      </c>
      <c r="G14024" t="n">
        <v>2</v>
      </c>
      <c r="H14024" s="5">
        <f>HYPERLINK("https://api.qogita.com/variants/link/0888066147347/", "View Product")</f>
        <v/>
      </c>
    </row>
    <row r="14025">
      <c r="A14025" t="inlineStr">
        <is>
          <t>0888066147552</t>
        </is>
      </c>
      <c r="B14025" t="inlineStr">
        <is>
          <t>Tom Ford Lip Color Satin Matte - 33 G</t>
        </is>
      </c>
      <c r="C14025" t="inlineStr">
        <is>
          <t>Lipstick</t>
        </is>
      </c>
      <c r="D14025" t="inlineStr">
        <is>
          <t>Tom Ford</t>
        </is>
      </c>
      <c r="E14025" t="n">
        <v>50.93</v>
      </c>
      <c r="F14025" t="n">
        <v>1</v>
      </c>
      <c r="G14025" t="n">
        <v>4</v>
      </c>
      <c r="H14025" s="5">
        <f>HYPERLINK("https://api.qogita.com/variants/link/0888066147552/", "View Product")</f>
        <v/>
      </c>
    </row>
    <row r="14026">
      <c r="A14026" t="inlineStr">
        <is>
          <t>0888066149372</t>
        </is>
      </c>
      <c r="B14026" t="inlineStr">
        <is>
          <t>Tom Ford Brightening Corrector Shade And Illuminate Radiance Enhancer - 54 Ml</t>
        </is>
      </c>
      <c r="C14026" t="inlineStr">
        <is>
          <t>Color Corrector</t>
        </is>
      </c>
      <c r="D14026" t="inlineStr">
        <is>
          <t>Tom Ford</t>
        </is>
      </c>
      <c r="E14026" t="n">
        <v>66.16</v>
      </c>
      <c r="F14026" t="n">
        <v>1</v>
      </c>
      <c r="G14026" t="n">
        <v>3</v>
      </c>
      <c r="H14026" s="5">
        <f>HYPERLINK("https://api.qogita.com/variants/link/0888066149372/", "View Product")</f>
        <v/>
      </c>
    </row>
    <row r="14027">
      <c r="A14027" t="inlineStr">
        <is>
          <t>0888066150255</t>
        </is>
      </c>
      <c r="B14027" t="inlineStr">
        <is>
          <t>Tom Ford Myrrhe Mystere Eau de Parfum 30ml Vaporizer</t>
        </is>
      </c>
      <c r="C14027" t="inlineStr">
        <is>
          <t>Eau De Parfum</t>
        </is>
      </c>
      <c r="D14027" t="inlineStr">
        <is>
          <t>Tom Ford</t>
        </is>
      </c>
      <c r="E14027" t="n">
        <v>149.7</v>
      </c>
      <c r="F14027" t="n">
        <v>1</v>
      </c>
      <c r="G14027" t="n">
        <v>2</v>
      </c>
      <c r="H14027" s="5">
        <f>HYPERLINK("https://api.qogita.com/variants/link/0888066150255/", "View Product")</f>
        <v/>
      </c>
    </row>
    <row r="14028">
      <c r="A14028" t="inlineStr">
        <is>
          <t>0888066150651</t>
        </is>
      </c>
      <c r="B14028" t="inlineStr">
        <is>
          <t>Tom Ford Ombre Leather Set EDP Spray 100ml + EDP Spray 10ml</t>
        </is>
      </c>
      <c r="C14028" t="inlineStr">
        <is>
          <t>Fragrance Sets</t>
        </is>
      </c>
      <c r="D14028" t="inlineStr">
        <is>
          <t>Tom Ford</t>
        </is>
      </c>
      <c r="E14028" t="n">
        <v>159.74</v>
      </c>
      <c r="F14028" t="n">
        <v>1</v>
      </c>
      <c r="G14028" t="n">
        <v>15</v>
      </c>
      <c r="H14028" s="5">
        <f>HYPERLINK("https://api.qogita.com/variants/link/0888066150651/", "View Product")</f>
        <v/>
      </c>
    </row>
    <row r="14029">
      <c r="A14029" t="inlineStr">
        <is>
          <t>0888066151962</t>
        </is>
      </c>
      <c r="B14029" t="inlineStr">
        <is>
          <t>Tom Ford Signature Homme Bois Pacifique Eau De Parfum</t>
        </is>
      </c>
      <c r="C14029" t="inlineStr">
        <is>
          <t>Eau De Parfum</t>
        </is>
      </c>
      <c r="D14029" t="inlineStr">
        <is>
          <t>Tom Ford</t>
        </is>
      </c>
      <c r="E14029" t="n">
        <v>85.66</v>
      </c>
      <c r="F14029" t="n">
        <v>1</v>
      </c>
      <c r="G14029" t="n">
        <v>14</v>
      </c>
      <c r="H14029" s="5">
        <f>HYPERLINK("https://api.qogita.com/variants/link/0888066151962/", "View Product")</f>
        <v/>
      </c>
    </row>
    <row r="14030">
      <c r="A14030" t="inlineStr">
        <is>
          <t>0888066157728</t>
        </is>
      </c>
      <c r="B14030" t="inlineStr">
        <is>
          <t>Tom Ford Ultra Shine Lip Color - 33 G</t>
        </is>
      </c>
      <c r="C14030" t="inlineStr">
        <is>
          <t>Lipstick</t>
        </is>
      </c>
      <c r="D14030" t="inlineStr">
        <is>
          <t>Tom Ford</t>
        </is>
      </c>
      <c r="E14030" t="n">
        <v>50.88</v>
      </c>
      <c r="F14030" t="n">
        <v>1</v>
      </c>
      <c r="G14030" t="n">
        <v>5</v>
      </c>
      <c r="H14030" s="5">
        <f>HYPERLINK("https://api.qogita.com/variants/link/0888066157728/", "View Product")</f>
        <v/>
      </c>
    </row>
    <row r="14031">
      <c r="A14031" t="inlineStr">
        <is>
          <t>0888874000346</t>
        </is>
      </c>
      <c r="B14031" t="inlineStr">
        <is>
          <t>Bond N09 Nuits De Noho Eau De Parfum Spray 100ml</t>
        </is>
      </c>
      <c r="C14031" t="inlineStr">
        <is>
          <t>Eau De Parfum</t>
        </is>
      </c>
      <c r="D14031" t="inlineStr">
        <is>
          <t>Bond No. 9</t>
        </is>
      </c>
      <c r="E14031" t="n">
        <v>164.75</v>
      </c>
      <c r="F14031" t="n">
        <v>1</v>
      </c>
      <c r="G14031" t="n">
        <v>3</v>
      </c>
      <c r="H14031" s="5">
        <f>HYPERLINK("https://api.qogita.com/variants/link/0888874000346/", "View Product")</f>
        <v/>
      </c>
    </row>
    <row r="14032">
      <c r="A14032" t="inlineStr">
        <is>
          <t>0888874000476</t>
        </is>
      </c>
      <c r="B14032" t="inlineStr">
        <is>
          <t>Bond No. 9 Park Avenue Eau De Parfum 100ml for Women</t>
        </is>
      </c>
      <c r="C14032" t="inlineStr">
        <is>
          <t>Eau De Parfum</t>
        </is>
      </c>
      <c r="D14032" t="inlineStr">
        <is>
          <t>Bond No. 9</t>
        </is>
      </c>
      <c r="E14032" t="n">
        <v>102.42</v>
      </c>
      <c r="F14032" t="n">
        <v>1</v>
      </c>
      <c r="G14032" t="n">
        <v>2</v>
      </c>
      <c r="H14032" s="5">
        <f>HYPERLINK("https://api.qogita.com/variants/link/0888874000476/", "View Product")</f>
        <v/>
      </c>
    </row>
    <row r="14033">
      <c r="A14033" t="inlineStr">
        <is>
          <t>0888874000537</t>
        </is>
      </c>
      <c r="B14033" t="inlineStr">
        <is>
          <t>Bond No.9 So New York Eau De Parfum Spray for Her 100ml</t>
        </is>
      </c>
      <c r="C14033" t="inlineStr">
        <is>
          <t>Eau De Parfum</t>
        </is>
      </c>
      <c r="D14033" t="inlineStr">
        <is>
          <t>Bond No. 9</t>
        </is>
      </c>
      <c r="E14033" t="n">
        <v>148.21</v>
      </c>
      <c r="F14033" t="n">
        <v>1</v>
      </c>
      <c r="G14033" t="n">
        <v>2</v>
      </c>
      <c r="H14033" s="5">
        <f>HYPERLINK("https://api.qogita.com/variants/link/0888874000537/", "View Product")</f>
        <v/>
      </c>
    </row>
    <row r="14034">
      <c r="A14034" t="inlineStr">
        <is>
          <t>0888874000599</t>
        </is>
      </c>
      <c r="B14034" t="inlineStr">
        <is>
          <t>Bond No. 9 Chez Bond Eau de Parfum 100ml</t>
        </is>
      </c>
      <c r="C14034" t="inlineStr">
        <is>
          <t>Eau De Parfum</t>
        </is>
      </c>
      <c r="D14034" t="inlineStr">
        <is>
          <t>Bond No. 9</t>
        </is>
      </c>
      <c r="E14034" t="n">
        <v>164.13</v>
      </c>
      <c r="F14034" t="n">
        <v>1</v>
      </c>
      <c r="G14034" t="n">
        <v>3</v>
      </c>
      <c r="H14034" s="5">
        <f>HYPERLINK("https://api.qogita.com/variants/link/0888874000599/", "View Product")</f>
        <v/>
      </c>
    </row>
    <row r="14035">
      <c r="A14035" t="inlineStr">
        <is>
          <t>0888874001251</t>
        </is>
      </c>
      <c r="B14035" t="inlineStr">
        <is>
          <t>Chinatown by Bond No. 9 for Women 3.3 Oz EDP Spray</t>
        </is>
      </c>
      <c r="C14035" t="inlineStr">
        <is>
          <t>Eau De Parfum</t>
        </is>
      </c>
      <c r="D14035" t="inlineStr">
        <is>
          <t>Bond No. 9</t>
        </is>
      </c>
      <c r="E14035" t="n">
        <v>170.78</v>
      </c>
      <c r="F14035" t="n">
        <v>1</v>
      </c>
      <c r="G14035" t="n">
        <v>9</v>
      </c>
      <c r="H14035" s="5">
        <f>HYPERLINK("https://api.qogita.com/variants/link/0888874001251/", "View Product")</f>
        <v/>
      </c>
    </row>
    <row r="14036">
      <c r="A14036" t="inlineStr">
        <is>
          <t>0888874001268</t>
        </is>
      </c>
      <c r="B14036" t="inlineStr">
        <is>
          <t>Bond No.9 Chinatown Eau de Parfum Spray 50ml</t>
        </is>
      </c>
      <c r="C14036" t="inlineStr">
        <is>
          <t>Eau De Parfum</t>
        </is>
      </c>
      <c r="D14036" t="inlineStr">
        <is>
          <t>Bond No. 9</t>
        </is>
      </c>
      <c r="E14036" t="n">
        <v>150.54</v>
      </c>
      <c r="F14036" t="n">
        <v>1</v>
      </c>
      <c r="G14036" t="n">
        <v>2</v>
      </c>
      <c r="H14036" s="5">
        <f>HYPERLINK("https://api.qogita.com/variants/link/0888874001268/", "View Product")</f>
        <v/>
      </c>
    </row>
    <row r="14037">
      <c r="A14037" t="inlineStr">
        <is>
          <t>0888874001404</t>
        </is>
      </c>
      <c r="B14037" t="inlineStr">
        <is>
          <t>Bond No.9 Hamptons Eau De Parfum Spray 100ml</t>
        </is>
      </c>
      <c r="C14037" t="inlineStr">
        <is>
          <t>Eau De Parfum</t>
        </is>
      </c>
      <c r="D14037" t="inlineStr">
        <is>
          <t>Bond No. 9</t>
        </is>
      </c>
      <c r="E14037" t="n">
        <v>141.6</v>
      </c>
      <c r="F14037" t="n">
        <v>1</v>
      </c>
      <c r="G14037" t="n">
        <v>2</v>
      </c>
      <c r="H14037" s="5">
        <f>HYPERLINK("https://api.qogita.com/variants/link/0888874001404/", "View Product")</f>
        <v/>
      </c>
    </row>
    <row r="14038">
      <c r="A14038" t="inlineStr">
        <is>
          <t>0888874001992</t>
        </is>
      </c>
      <c r="B14038" t="inlineStr">
        <is>
          <t>Bond No. 9 Brooklyn Eau De Parfum Spray 100ml</t>
        </is>
      </c>
      <c r="C14038" t="inlineStr">
        <is>
          <t>Eau De Parfum</t>
        </is>
      </c>
      <c r="D14038" t="inlineStr">
        <is>
          <t>Bond No. 9</t>
        </is>
      </c>
      <c r="E14038" t="n">
        <v>145.1</v>
      </c>
      <c r="F14038" t="n">
        <v>1</v>
      </c>
      <c r="G14038" t="n">
        <v>5</v>
      </c>
      <c r="H14038" s="5">
        <f>HYPERLINK("https://api.qogita.com/variants/link/0888874001992/", "View Product")</f>
        <v/>
      </c>
    </row>
    <row r="14039">
      <c r="A14039" t="inlineStr">
        <is>
          <t>0888874002609</t>
        </is>
      </c>
      <c r="B14039" t="inlineStr">
        <is>
          <t>Bond No.9 Central Park South Eau De Parfum Spray for Women 100ml</t>
        </is>
      </c>
      <c r="C14039" t="inlineStr">
        <is>
          <t>Eau De Parfum</t>
        </is>
      </c>
      <c r="D14039" t="inlineStr">
        <is>
          <t>Bond No. 9</t>
        </is>
      </c>
      <c r="E14039" t="n">
        <v>156.99</v>
      </c>
      <c r="F14039" t="n">
        <v>1</v>
      </c>
      <c r="G14039" t="n">
        <v>2</v>
      </c>
      <c r="H14039" s="5">
        <f>HYPERLINK("https://api.qogita.com/variants/link/0888874002609/", "View Product")</f>
        <v/>
      </c>
    </row>
    <row r="14040">
      <c r="A14040" t="inlineStr">
        <is>
          <t>0888874002784</t>
        </is>
      </c>
      <c r="B14040" t="inlineStr">
        <is>
          <t>Bond No. 9 New York Patchouli Eau de Parfum Spray 3.3 Fluid Ounce</t>
        </is>
      </c>
      <c r="C14040" t="inlineStr">
        <is>
          <t>Eau De Parfum</t>
        </is>
      </c>
      <c r="D14040" t="inlineStr">
        <is>
          <t>Bond No. 9</t>
        </is>
      </c>
      <c r="E14040" t="n">
        <v>190.32</v>
      </c>
      <c r="F14040" t="n">
        <v>1</v>
      </c>
      <c r="G14040" t="n">
        <v>3</v>
      </c>
      <c r="H14040" s="5">
        <f>HYPERLINK("https://api.qogita.com/variants/link/0888874002784/", "View Product")</f>
        <v/>
      </c>
    </row>
    <row r="14041">
      <c r="A14041" t="inlineStr">
        <is>
          <t>0888874005532</t>
        </is>
      </c>
      <c r="B14041" t="inlineStr">
        <is>
          <t>Bond No.9 Dubai Amber Unisex Eau De Parfum Spray 100ml</t>
        </is>
      </c>
      <c r="C14041" t="inlineStr">
        <is>
          <t>Eau De Parfum</t>
        </is>
      </c>
      <c r="D14041" t="inlineStr">
        <is>
          <t>Bond No. 9</t>
        </is>
      </c>
      <c r="E14041" t="n">
        <v>260.39</v>
      </c>
      <c r="F14041" t="n">
        <v>1</v>
      </c>
      <c r="G14041" t="n">
        <v>5</v>
      </c>
      <c r="H14041" s="5">
        <f>HYPERLINK("https://api.qogita.com/variants/link/0888874005532/", "View Product")</f>
        <v/>
      </c>
    </row>
    <row r="14042">
      <c r="A14042" t="inlineStr">
        <is>
          <t>0888874005594</t>
        </is>
      </c>
      <c r="B14042" t="inlineStr">
        <is>
          <t>Bond No. 9 Soho Eau de Parfum Spray 1.7 oz (50 ml)</t>
        </is>
      </c>
      <c r="C14042" t="inlineStr">
        <is>
          <t>Eau De Parfum</t>
        </is>
      </c>
      <c r="D14042" t="inlineStr">
        <is>
          <t>Bond No. 9</t>
        </is>
      </c>
      <c r="E14042" t="n">
        <v>104.03</v>
      </c>
      <c r="F14042" t="n">
        <v>1</v>
      </c>
      <c r="G14042" t="n">
        <v>3</v>
      </c>
      <c r="H14042" s="5">
        <f>HYPERLINK("https://api.qogita.com/variants/link/0888874005594/", "View Product")</f>
        <v/>
      </c>
    </row>
    <row r="14043">
      <c r="A14043" t="inlineStr">
        <is>
          <t>0888874005631</t>
        </is>
      </c>
      <c r="B14043" t="inlineStr">
        <is>
          <t>BOND No.9 Black Sapphire Eau de Parfum 100ml</t>
        </is>
      </c>
      <c r="C14043" t="inlineStr">
        <is>
          <t>Eau De Parfum</t>
        </is>
      </c>
      <c r="D14043" t="inlineStr">
        <is>
          <t>Bond No. 9</t>
        </is>
      </c>
      <c r="E14043" t="n">
        <v>253.95</v>
      </c>
      <c r="F14043" t="n">
        <v>1</v>
      </c>
      <c r="G14043" t="n">
        <v>2</v>
      </c>
      <c r="H14043" s="5">
        <f>HYPERLINK("https://api.qogita.com/variants/link/0888874005631/", "View Product")</f>
        <v/>
      </c>
    </row>
    <row r="14044">
      <c r="A14044" t="inlineStr">
        <is>
          <t>0888874007628</t>
        </is>
      </c>
      <c r="B14044" t="inlineStr">
        <is>
          <t>Bond No. 9 New York Off-Broadway Unisex Eau de Parfum Spray 3.4oz</t>
        </is>
      </c>
      <c r="C14044" t="inlineStr">
        <is>
          <t>Eau De Parfum</t>
        </is>
      </c>
      <c r="D14044" t="inlineStr">
        <is>
          <t>Bond No. 9</t>
        </is>
      </c>
      <c r="E14044" t="n">
        <v>166.24</v>
      </c>
      <c r="F14044" t="n">
        <v>1</v>
      </c>
      <c r="G14044" t="n">
        <v>5</v>
      </c>
      <c r="H14044" s="5">
        <f>HYPERLINK("https://api.qogita.com/variants/link/0888874007628/", "View Product")</f>
        <v/>
      </c>
    </row>
    <row r="14045">
      <c r="A14045" t="inlineStr">
        <is>
          <t>0896364002664</t>
        </is>
      </c>
      <c r="B14045" t="inlineStr">
        <is>
          <t>Olaplex No. 3 Hair Perfector Jumbo 250ml</t>
        </is>
      </c>
      <c r="C14045" t="inlineStr">
        <is>
          <t>Hair Masks</t>
        </is>
      </c>
      <c r="D14045" t="inlineStr">
        <is>
          <t>Olaplex</t>
        </is>
      </c>
      <c r="E14045" t="n">
        <v>35.14</v>
      </c>
      <c r="F14045" t="n">
        <v>1</v>
      </c>
      <c r="G14045" t="n">
        <v>5</v>
      </c>
      <c r="H14045" s="5">
        <f>HYPERLINK("https://api.qogita.com/variants/link/0896364002664/", "View Product")</f>
        <v/>
      </c>
    </row>
    <row r="14046">
      <c r="A14046" t="inlineStr">
        <is>
          <t>3001020720234</t>
        </is>
      </c>
      <c r="B14046" t="inlineStr">
        <is>
          <t>Moudon Embrace Extrait De Parfum Spray</t>
        </is>
      </c>
      <c r="C14046" t="inlineStr">
        <is>
          <t>Extrait De Parfum</t>
        </is>
      </c>
      <c r="D14046" t="inlineStr">
        <is>
          <t>Moudon</t>
        </is>
      </c>
      <c r="E14046" t="n">
        <v>42.07</v>
      </c>
      <c r="F14046" t="n">
        <v>1</v>
      </c>
      <c r="G14046" t="n">
        <v>13</v>
      </c>
      <c r="H14046" s="5">
        <f>HYPERLINK("https://api.qogita.com/variants/link/3001020720234/", "View Product")</f>
        <v/>
      </c>
    </row>
    <row r="14047">
      <c r="A14047" t="inlineStr">
        <is>
          <t>3014230021039</t>
        </is>
      </c>
      <c r="B14047" t="inlineStr">
        <is>
          <t>Faberge Brut Original Eau De Toilette Spray 100ml</t>
        </is>
      </c>
      <c r="C14047" t="inlineStr">
        <is>
          <t>Eau De Toilette</t>
        </is>
      </c>
      <c r="D14047" t="inlineStr">
        <is>
          <t>Faberge</t>
        </is>
      </c>
      <c r="E14047" t="n">
        <v>5.73</v>
      </c>
      <c r="F14047" t="n">
        <v>1</v>
      </c>
      <c r="G14047" t="n">
        <v>39</v>
      </c>
      <c r="H14047" s="5">
        <f>HYPERLINK("https://api.qogita.com/variants/link/3014230021039/", "View Product")</f>
        <v/>
      </c>
    </row>
    <row r="14048">
      <c r="A14048" t="inlineStr">
        <is>
          <t>3014260207618</t>
        </is>
      </c>
      <c r="B14048" t="inlineStr">
        <is>
          <t>Contourplus Replacement Blades For Razor - 10 Pieces</t>
        </is>
      </c>
      <c r="C14048" t="inlineStr">
        <is>
          <t>Shaving Accessories</t>
        </is>
      </c>
      <c r="D14048" t="inlineStr">
        <is>
          <t>Contour Plus</t>
        </is>
      </c>
      <c r="E14048" t="n">
        <v>7.51</v>
      </c>
      <c r="F14048" t="n">
        <v>1</v>
      </c>
      <c r="G14048" t="n">
        <v>119</v>
      </c>
      <c r="H14048" s="5">
        <f>HYPERLINK("https://api.qogita.com/variants/link/3014260207618/", "View Product")</f>
        <v/>
      </c>
    </row>
    <row r="14049">
      <c r="A14049" t="inlineStr">
        <is>
          <t>3030050047295</t>
        </is>
      </c>
      <c r="B14049" t="inlineStr">
        <is>
          <t>Babyliss Pro Professional Titaniumplaitings Curling Iron 19 Mm</t>
        </is>
      </c>
      <c r="C14049" t="inlineStr">
        <is>
          <t>Curling Irons</t>
        </is>
      </c>
      <c r="D14049" t="inlineStr">
        <is>
          <t>Babyliss Pro</t>
        </is>
      </c>
      <c r="E14049" t="n">
        <v>36.55</v>
      </c>
      <c r="F14049" t="n">
        <v>1</v>
      </c>
      <c r="G14049" t="n">
        <v>4</v>
      </c>
      <c r="H14049" s="5">
        <f>HYPERLINK("https://api.qogita.com/variants/link/3030050047295/", "View Product")</f>
        <v/>
      </c>
    </row>
    <row r="14050">
      <c r="A14050" t="inlineStr">
        <is>
          <t>3030050060928</t>
        </is>
      </c>
      <c r="B14050" t="inlineStr">
        <is>
          <t>Babyliss 18mm Heat Brush</t>
        </is>
      </c>
      <c r="C14050" t="inlineStr">
        <is>
          <t>Hot Air Brushes</t>
        </is>
      </c>
      <c r="D14050" t="inlineStr">
        <is>
          <t>Babyliss Pro</t>
        </is>
      </c>
      <c r="E14050" t="n">
        <v>31.33</v>
      </c>
      <c r="F14050" t="n">
        <v>1</v>
      </c>
      <c r="G14050" t="n">
        <v>9</v>
      </c>
      <c r="H14050" s="5">
        <f>HYPERLINK("https://api.qogita.com/variants/link/3030050060928/", "View Product")</f>
        <v/>
      </c>
    </row>
    <row r="14051">
      <c r="A14051" t="inlineStr">
        <is>
          <t>3030050064308</t>
        </is>
      </c>
      <c r="B14051" t="inlineStr">
        <is>
          <t>BaByliss Hair Straighteners</t>
        </is>
      </c>
      <c r="C14051" t="inlineStr">
        <is>
          <t>Hair Straighteners</t>
        </is>
      </c>
      <c r="D14051" t="inlineStr">
        <is>
          <t>Babyliss</t>
        </is>
      </c>
      <c r="E14051" t="n">
        <v>55.19</v>
      </c>
      <c r="F14051" t="n">
        <v>1</v>
      </c>
      <c r="G14051" t="n">
        <v>3</v>
      </c>
      <c r="H14051" s="5">
        <f>HYPERLINK("https://api.qogita.com/variants/link/3030050064308/", "View Product")</f>
        <v/>
      </c>
    </row>
    <row r="14052">
      <c r="A14052" t="inlineStr">
        <is>
          <t>3030050134643</t>
        </is>
      </c>
      <c r="B14052" t="inlineStr">
        <is>
          <t>BaByliss PRO Advanced Curl 19mm Professional Curling Iron with Titanium Diamond Technology</t>
        </is>
      </c>
      <c r="C14052" t="inlineStr">
        <is>
          <t>Curling Irons</t>
        </is>
      </c>
      <c r="D14052" t="inlineStr">
        <is>
          <t>Babyliss</t>
        </is>
      </c>
      <c r="E14052" t="n">
        <v>52.34</v>
      </c>
      <c r="F14052" t="n">
        <v>1</v>
      </c>
      <c r="G14052" t="n">
        <v>5</v>
      </c>
      <c r="H14052" s="5">
        <f>HYPERLINK("https://api.qogita.com/variants/link/3030050134643/", "View Product")</f>
        <v/>
      </c>
    </row>
    <row r="14053">
      <c r="A14053" t="inlineStr">
        <is>
          <t>3030050158076</t>
        </is>
      </c>
      <c r="B14053" t="inlineStr">
        <is>
          <t>BaByliss 6713DE Hair Dryer</t>
        </is>
      </c>
      <c r="C14053" t="inlineStr">
        <is>
          <t>Hair Dryers</t>
        </is>
      </c>
      <c r="D14053" t="inlineStr">
        <is>
          <t>Babyliss</t>
        </is>
      </c>
      <c r="E14053" t="n">
        <v>59.28</v>
      </c>
      <c r="F14053" t="n">
        <v>1</v>
      </c>
      <c r="G14053" t="n">
        <v>3</v>
      </c>
      <c r="H14053" s="5">
        <f>HYPERLINK("https://api.qogita.com/variants/link/3030050158076/", "View Product")</f>
        <v/>
      </c>
    </row>
    <row r="14054">
      <c r="A14054" t="inlineStr">
        <is>
          <t>3030050164459</t>
        </is>
      </c>
      <c r="B14054" t="inlineStr">
        <is>
          <t>Babyliss Pro Skeleton Gunsteel Trimmer Fx7870gse Professional Hair Clipper</t>
        </is>
      </c>
      <c r="C14054" t="inlineStr">
        <is>
          <t>Hair Clippers</t>
        </is>
      </c>
      <c r="D14054" t="inlineStr">
        <is>
          <t>Babyliss Pro</t>
        </is>
      </c>
      <c r="E14054" t="n">
        <v>124.71</v>
      </c>
      <c r="F14054" t="n">
        <v>1</v>
      </c>
      <c r="G14054" t="n">
        <v>7</v>
      </c>
      <c r="H14054" s="5">
        <f>HYPERLINK("https://api.qogita.com/variants/link/3030050164459/", "View Product")</f>
        <v/>
      </c>
    </row>
    <row r="14055">
      <c r="A14055" t="inlineStr">
        <is>
          <t>3030050165388</t>
        </is>
      </c>
      <c r="B14055" t="inlineStr">
        <is>
          <t>BaByliss Super-X Metal 15-in-1 Multi Trimmer with Magnetic Attachments and Charging Station Anthracite MT996E</t>
        </is>
      </c>
      <c r="C14055" t="inlineStr">
        <is>
          <t>Hair Clippers</t>
        </is>
      </c>
      <c r="D14055" t="inlineStr">
        <is>
          <t>Babyliss</t>
        </is>
      </c>
      <c r="E14055" t="n">
        <v>128.21</v>
      </c>
      <c r="F14055" t="n">
        <v>1</v>
      </c>
      <c r="G14055" t="n">
        <v>2</v>
      </c>
      <c r="H14055" s="5">
        <f>HYPERLINK("https://api.qogita.com/variants/link/3030050165388/", "View Product")</f>
        <v/>
      </c>
    </row>
    <row r="14056">
      <c r="A14056" t="inlineStr">
        <is>
          <t>3030050188387</t>
        </is>
      </c>
      <c r="B14056" t="inlineStr">
        <is>
          <t>Babyliss E112E Hair Cutting Device</t>
        </is>
      </c>
      <c r="C14056" t="inlineStr">
        <is>
          <t>Hair Clippers</t>
        </is>
      </c>
      <c r="D14056" t="inlineStr">
        <is>
          <t>Babyliss</t>
        </is>
      </c>
      <c r="E14056" t="n">
        <v>42.6</v>
      </c>
      <c r="F14056" t="n">
        <v>1</v>
      </c>
      <c r="G14056" t="n">
        <v>3</v>
      </c>
      <c r="H14056" s="5">
        <f>HYPERLINK("https://api.qogita.com/variants/link/3030050188387/", "View Product")</f>
        <v/>
      </c>
    </row>
    <row r="14057">
      <c r="A14057" t="inlineStr">
        <is>
          <t>3030050188967</t>
        </is>
      </c>
      <c r="B14057" t="inlineStr">
        <is>
          <t>Braun Hair Dryer Hd435 Grey</t>
        </is>
      </c>
      <c r="C14057" t="inlineStr">
        <is>
          <t>Hair Dryers</t>
        </is>
      </c>
      <c r="D14057" t="inlineStr">
        <is>
          <t>Braun</t>
        </is>
      </c>
      <c r="E14057" t="n">
        <v>78.29000000000001</v>
      </c>
      <c r="F14057" t="n">
        <v>1</v>
      </c>
      <c r="G14057" t="n">
        <v>2</v>
      </c>
      <c r="H14057" s="5">
        <f>HYPERLINK("https://api.qogita.com/variants/link/3030050188967/", "View Product")</f>
        <v/>
      </c>
    </row>
    <row r="14058">
      <c r="A14058" t="inlineStr">
        <is>
          <t>3030050191271</t>
        </is>
      </c>
      <c r="B14058" t="inlineStr">
        <is>
          <t>Babyliss Pro Professional Contouring Hair Trimmer Fxone Skeleton Black Fx799mbe</t>
        </is>
      </c>
      <c r="C14058" t="inlineStr">
        <is>
          <t>Hair Clippers</t>
        </is>
      </c>
      <c r="D14058" t="inlineStr">
        <is>
          <t>Babyliss Pro</t>
        </is>
      </c>
      <c r="E14058" t="n">
        <v>173.82</v>
      </c>
      <c r="F14058" t="n">
        <v>1</v>
      </c>
      <c r="G14058" t="n">
        <v>2</v>
      </c>
      <c r="H14058" s="5">
        <f>HYPERLINK("https://api.qogita.com/variants/link/3030050191271/", "View Product")</f>
        <v/>
      </c>
    </row>
    <row r="14059">
      <c r="A14059" t="inlineStr">
        <is>
          <t>3030050192940</t>
        </is>
      </c>
      <c r="B14059" t="inlineStr">
        <is>
          <t>Babyliss Hair Dryer 5911e</t>
        </is>
      </c>
      <c r="C14059" t="inlineStr">
        <is>
          <t>Hair Dryers</t>
        </is>
      </c>
      <c r="D14059" t="inlineStr">
        <is>
          <t>Babyliss</t>
        </is>
      </c>
      <c r="E14059" t="n">
        <v>60.86</v>
      </c>
      <c r="F14059" t="n">
        <v>1</v>
      </c>
      <c r="G14059" t="n">
        <v>3</v>
      </c>
      <c r="H14059" s="5">
        <f>HYPERLINK("https://api.qogita.com/variants/link/3030050192940/", "View Product")</f>
        <v/>
      </c>
    </row>
    <row r="14060">
      <c r="A14060" t="inlineStr">
        <is>
          <t>3030050193008</t>
        </is>
      </c>
      <c r="B14060" t="inlineStr">
        <is>
          <t>Babyliss Hair Straightener St516e</t>
        </is>
      </c>
      <c r="C14060" t="inlineStr">
        <is>
          <t>Hair Straighteners</t>
        </is>
      </c>
      <c r="D14060" t="inlineStr">
        <is>
          <t>Babyliss</t>
        </is>
      </c>
      <c r="E14060" t="n">
        <v>67.64</v>
      </c>
      <c r="F14060" t="n">
        <v>1</v>
      </c>
      <c r="G14060" t="n">
        <v>3</v>
      </c>
      <c r="H14060" s="5">
        <f>HYPERLINK("https://api.qogita.com/variants/link/3030050193008/", "View Product")</f>
        <v/>
      </c>
    </row>
    <row r="14061">
      <c r="A14061" t="inlineStr">
        <is>
          <t>3030053000037</t>
        </is>
      </c>
      <c r="B14061" t="inlineStr">
        <is>
          <t>Babyliss Pro Professional Round Brush 42 Mm Babcb3e</t>
        </is>
      </c>
      <c r="C14061" t="inlineStr">
        <is>
          <t>Round Brushes</t>
        </is>
      </c>
      <c r="D14061" t="inlineStr">
        <is>
          <t>Babyliss Pro</t>
        </is>
      </c>
      <c r="E14061" t="n">
        <v>8.960000000000001</v>
      </c>
      <c r="F14061" t="n">
        <v>1</v>
      </c>
      <c r="G14061" t="n">
        <v>2</v>
      </c>
      <c r="H14061" s="5">
        <f>HYPERLINK("https://api.qogita.com/variants/link/3030053000037/", "View Product")</f>
        <v/>
      </c>
    </row>
    <row r="14062">
      <c r="A14062" t="inlineStr">
        <is>
          <t>3037266238073</t>
        </is>
      </c>
      <c r="B14062" t="inlineStr">
        <is>
          <t>Killer Oud Eau De Parfum Spray 100ml By Killer Oud</t>
        </is>
      </c>
      <c r="C14062" t="inlineStr">
        <is>
          <t>Eau De Parfum</t>
        </is>
      </c>
      <c r="D14062" t="inlineStr">
        <is>
          <t>Killer Oud</t>
        </is>
      </c>
      <c r="E14062" t="n">
        <v>18.09</v>
      </c>
      <c r="F14062" t="n">
        <v>1</v>
      </c>
      <c r="G14062" t="n">
        <v>67</v>
      </c>
      <c r="H14062" s="5">
        <f>HYPERLINK("https://api.qogita.com/variants/link/3037266238073/", "View Product")</f>
        <v/>
      </c>
    </row>
    <row r="14063">
      <c r="A14063" t="inlineStr">
        <is>
          <t>3050070000032</t>
        </is>
      </c>
      <c r="B14063" t="inlineStr">
        <is>
          <t>Mont St Michel Authentic Amber Eau de Cologne 250ml</t>
        </is>
      </c>
      <c r="C14063" t="inlineStr">
        <is>
          <t>Eau De Cologne</t>
        </is>
      </c>
      <c r="D14063" t="inlineStr">
        <is>
          <t>Mont St Michel</t>
        </is>
      </c>
      <c r="E14063" t="n">
        <v>5.21</v>
      </c>
      <c r="F14063" t="n">
        <v>1</v>
      </c>
      <c r="G14063" t="n">
        <v>95</v>
      </c>
      <c r="H14063" s="5">
        <f>HYPERLINK("https://api.qogita.com/variants/link/3050070000032/", "View Product")</f>
        <v/>
      </c>
    </row>
    <row r="14064">
      <c r="A14064" t="inlineStr">
        <is>
          <t>3050070004016</t>
        </is>
      </c>
      <c r="B14064" t="inlineStr">
        <is>
          <t>Scorpio Red Eau de Toilette for Men Vaporizer Spray 75ml</t>
        </is>
      </c>
      <c r="C14064" t="inlineStr">
        <is>
          <t>Eau De Toilette</t>
        </is>
      </c>
      <c r="D14064" t="inlineStr">
        <is>
          <t>Scorpio</t>
        </is>
      </c>
      <c r="E14064" t="n">
        <v>10.53</v>
      </c>
      <c r="F14064" t="n">
        <v>1</v>
      </c>
      <c r="G14064" t="n">
        <v>68</v>
      </c>
      <c r="H14064" s="5">
        <f>HYPERLINK("https://api.qogita.com/variants/link/3050070004016/", "View Product")</f>
        <v/>
      </c>
    </row>
    <row r="14065">
      <c r="A14065" t="inlineStr">
        <is>
          <t>3050070004047</t>
        </is>
      </c>
      <c r="B14065" t="inlineStr">
        <is>
          <t>Déodorant Atomiseur Rouge</t>
        </is>
      </c>
      <c r="C14065" t="inlineStr">
        <is>
          <t>Deodorant &amp; Anti-Perspirant</t>
        </is>
      </c>
      <c r="D14065" t="inlineStr">
        <is>
          <t>Scorpio</t>
        </is>
      </c>
      <c r="E14065" t="n">
        <v>3.74</v>
      </c>
      <c r="F14065" t="n">
        <v>1</v>
      </c>
      <c r="G14065" t="n">
        <v>101</v>
      </c>
      <c r="H14065" s="5">
        <f>HYPERLINK("https://api.qogita.com/variants/link/3050070004047/", "View Product")</f>
        <v/>
      </c>
    </row>
    <row r="14066">
      <c r="A14066" t="inlineStr">
        <is>
          <t>3052503261911</t>
        </is>
      </c>
      <c r="B14066" t="inlineStr">
        <is>
          <t>Bourjois Rouge Edition Velvet 19 Jolie De Vin 67 Ml Lipstick</t>
        </is>
      </c>
      <c r="C14066" t="inlineStr">
        <is>
          <t>Lipstick</t>
        </is>
      </c>
      <c r="D14066" t="inlineStr">
        <is>
          <t>Bourjois</t>
        </is>
      </c>
      <c r="E14066" t="n">
        <v>6.95</v>
      </c>
      <c r="F14066" t="n">
        <v>1</v>
      </c>
      <c r="G14066" t="n">
        <v>2</v>
      </c>
      <c r="H14066" s="5">
        <f>HYPERLINK("https://api.qogita.com/variants/link/3052503261911/", "View Product")</f>
        <v/>
      </c>
    </row>
    <row r="14067">
      <c r="A14067" t="inlineStr">
        <is>
          <t>3052503300115</t>
        </is>
      </c>
      <c r="B14067" t="inlineStr">
        <is>
          <t>Bourjois Lvres Contour Edition Lip Liner 01 Nude Wave 114 G</t>
        </is>
      </c>
      <c r="C14067" t="inlineStr">
        <is>
          <t>Lip Liner</t>
        </is>
      </c>
      <c r="D14067" t="inlineStr">
        <is>
          <t>Bourjois</t>
        </is>
      </c>
      <c r="E14067" t="n">
        <v>6.4</v>
      </c>
      <c r="F14067" t="n">
        <v>1</v>
      </c>
      <c r="G14067" t="n">
        <v>3</v>
      </c>
      <c r="H14067" s="5">
        <f>HYPERLINK("https://api.qogita.com/variants/link/3052503300115/", "View Product")</f>
        <v/>
      </c>
    </row>
    <row r="14068">
      <c r="A14068" t="inlineStr">
        <is>
          <t>3052503612133</t>
        </is>
      </c>
      <c r="B14068" t="inlineStr">
        <is>
          <t>Bourjois Java Rice Powder Loose Face Powder 3.5g</t>
        </is>
      </c>
      <c r="C14068" t="inlineStr">
        <is>
          <t>Powder</t>
        </is>
      </c>
      <c r="D14068" t="inlineStr">
        <is>
          <t>Bourjois</t>
        </is>
      </c>
      <c r="E14068" t="n">
        <v>7.62</v>
      </c>
      <c r="F14068" t="n">
        <v>1</v>
      </c>
      <c r="G14068" t="n">
        <v>3</v>
      </c>
      <c r="H14068" s="5">
        <f>HYPERLINK("https://api.qogita.com/variants/link/3052503612133/", "View Product")</f>
        <v/>
      </c>
    </row>
    <row r="14069">
      <c r="A14069" t="inlineStr">
        <is>
          <t>3052503811710</t>
        </is>
      </c>
      <c r="B14069" t="inlineStr">
        <is>
          <t>Bourjois Felt Tip Liner In 17 Ultra Black 0.8ml</t>
        </is>
      </c>
      <c r="C14069" t="inlineStr">
        <is>
          <t>Eyeliner</t>
        </is>
      </c>
      <c r="D14069" t="inlineStr">
        <is>
          <t>Bourjois</t>
        </is>
      </c>
      <c r="E14069" t="n">
        <v>3.04</v>
      </c>
      <c r="F14069" t="n">
        <v>1</v>
      </c>
      <c r="G14069" t="n">
        <v>77</v>
      </c>
      <c r="H14069" s="5">
        <f>HYPERLINK("https://api.qogita.com/variants/link/3052503811710/", "View Product")</f>
        <v/>
      </c>
    </row>
    <row r="14070">
      <c r="A14070" t="inlineStr">
        <is>
          <t>3074161000404</t>
        </is>
      </c>
      <c r="B14070" t="inlineStr">
        <is>
          <t>Moudon Unisex Perfume Standard</t>
        </is>
      </c>
      <c r="C14070" t="inlineStr">
        <is>
          <t>Eau De Parfum</t>
        </is>
      </c>
      <c r="D14070" t="inlineStr">
        <is>
          <t>Moudon</t>
        </is>
      </c>
      <c r="E14070" t="n">
        <v>36.38</v>
      </c>
      <c r="F14070" t="n">
        <v>1</v>
      </c>
      <c r="G14070" t="n">
        <v>15</v>
      </c>
      <c r="H14070" s="5">
        <f>HYPERLINK("https://api.qogita.com/variants/link/3074161000404/", "View Product")</f>
        <v/>
      </c>
    </row>
    <row r="14071">
      <c r="A14071" t="inlineStr">
        <is>
          <t>3127290047182</t>
        </is>
      </c>
      <c r="B14071" t="inlineStr">
        <is>
          <t>Lampe Berger Fragrance Lamp, Clear, 14.6cm 14.6cm Clear</t>
        </is>
      </c>
      <c r="C14071" t="inlineStr">
        <is>
          <t>Diffusers</t>
        </is>
      </c>
      <c r="D14071" t="inlineStr">
        <is>
          <t>Lampe Berger</t>
        </is>
      </c>
      <c r="E14071" t="n">
        <v>40.82</v>
      </c>
      <c r="F14071" t="n">
        <v>1</v>
      </c>
      <c r="G14071" t="n">
        <v>2</v>
      </c>
      <c r="H14071" s="5">
        <f>HYPERLINK("https://api.qogita.com/variants/link/3127290047182/", "View Product")</f>
        <v/>
      </c>
    </row>
    <row r="14072">
      <c r="A14072" t="inlineStr">
        <is>
          <t>3127290066626</t>
        </is>
      </c>
      <c r="B14072" t="inlineStr">
        <is>
          <t>Maison Berger Paris Olymp Exquisite Sparkle Diffuser Gray Intense Glitter 115 Ml</t>
        </is>
      </c>
      <c r="C14072" t="inlineStr">
        <is>
          <t>Diffusers</t>
        </is>
      </c>
      <c r="D14072" t="inlineStr">
        <is>
          <t>Maison Berger Paris</t>
        </is>
      </c>
      <c r="E14072" t="n">
        <v>30.82</v>
      </c>
      <c r="F14072" t="n">
        <v>1</v>
      </c>
      <c r="G14072" t="n">
        <v>2</v>
      </c>
      <c r="H14072" s="5">
        <f>HYPERLINK("https://api.qogita.com/variants/link/3127290066626/", "View Product")</f>
        <v/>
      </c>
    </row>
    <row r="14073">
      <c r="A14073" t="inlineStr">
        <is>
          <t>3127291150003</t>
        </is>
      </c>
      <c r="B14073" t="inlineStr">
        <is>
          <t>Maison Berger Paris Catalytic Lamp Refill Lavender Fields 500 Ml</t>
        </is>
      </c>
      <c r="C14073" t="inlineStr">
        <is>
          <t>Diffusers</t>
        </is>
      </c>
      <c r="D14073" t="inlineStr">
        <is>
          <t>Maison Berger Paris</t>
        </is>
      </c>
      <c r="E14073" t="n">
        <v>17.27</v>
      </c>
      <c r="F14073" t="n">
        <v>1</v>
      </c>
      <c r="G14073" t="n">
        <v>35</v>
      </c>
      <c r="H14073" s="5">
        <f>HYPERLINK("https://api.qogita.com/variants/link/3127291150003/", "View Product")</f>
        <v/>
      </c>
    </row>
    <row r="14074">
      <c r="A14074" t="inlineStr">
        <is>
          <t>3127291150126</t>
        </is>
      </c>
      <c r="B14074" t="inlineStr">
        <is>
          <t>Maison Berger Paris Neutralizing Cartridge For Catalytic Lamp So Neutral 500 Ml</t>
        </is>
      </c>
      <c r="C14074" t="inlineStr">
        <is>
          <t>Diffusers</t>
        </is>
      </c>
      <c r="D14074" t="inlineStr">
        <is>
          <t>Maison Berger Paris</t>
        </is>
      </c>
      <c r="E14074" t="n">
        <v>17.27</v>
      </c>
      <c r="F14074" t="n">
        <v>1</v>
      </c>
      <c r="G14074" t="n">
        <v>14</v>
      </c>
      <c r="H14074" s="5">
        <f>HYPERLINK("https://api.qogita.com/variants/link/3127291150126/", "View Product")</f>
        <v/>
      </c>
    </row>
    <row r="14075">
      <c r="A14075" t="inlineStr">
        <is>
          <t>3127291150652</t>
        </is>
      </c>
      <c r="B14075" t="inlineStr">
        <is>
          <t>Maison Berger Paris Refill For Catalytic Lamp Chic Paris 500 Ml</t>
        </is>
      </c>
      <c r="C14075" t="inlineStr">
        <is>
          <t>Diffusers</t>
        </is>
      </c>
      <c r="D14075" t="inlineStr">
        <is>
          <t>Maison Berger Paris</t>
        </is>
      </c>
      <c r="E14075" t="n">
        <v>17.27</v>
      </c>
      <c r="F14075" t="n">
        <v>1</v>
      </c>
      <c r="G14075" t="n">
        <v>10</v>
      </c>
      <c r="H14075" s="5">
        <f>HYPERLINK("https://api.qogita.com/variants/link/3127291150652/", "View Product")</f>
        <v/>
      </c>
    </row>
    <row r="14076">
      <c r="A14076" t="inlineStr">
        <is>
          <t>3127291153721</t>
        </is>
      </c>
      <c r="B14076" t="inlineStr">
        <is>
          <t>Maison Berger Paris Refill For The Catalytic Lamp Aroma Relax Oriental Comfort 500 Ml</t>
        </is>
      </c>
      <c r="C14076" t="inlineStr">
        <is>
          <t>Diffusers</t>
        </is>
      </c>
      <c r="D14076" t="inlineStr">
        <is>
          <t>Maison Berger Paris</t>
        </is>
      </c>
      <c r="E14076" t="n">
        <v>17.25</v>
      </c>
      <c r="F14076" t="n">
        <v>1</v>
      </c>
      <c r="G14076" t="n">
        <v>9</v>
      </c>
      <c r="H14076" s="5">
        <f>HYPERLINK("https://api.qogita.com/variants/link/3127291153721/", "View Product")</f>
        <v/>
      </c>
    </row>
    <row r="14077">
      <c r="A14077" t="inlineStr">
        <is>
          <t>3137370072744</t>
        </is>
      </c>
      <c r="B14077" t="inlineStr">
        <is>
          <t>Nina Ricci L'Air Du Temps Eau De Toilette Spray 30ml For Women</t>
        </is>
      </c>
      <c r="C14077" t="inlineStr">
        <is>
          <t>Eau De Toilette</t>
        </is>
      </c>
      <c r="D14077" t="inlineStr">
        <is>
          <t>Nina Ricci</t>
        </is>
      </c>
      <c r="E14077" t="n">
        <v>19.94</v>
      </c>
      <c r="F14077" t="n">
        <v>1</v>
      </c>
      <c r="G14077" t="n">
        <v>99</v>
      </c>
      <c r="H14077" s="5">
        <f>HYPERLINK("https://api.qogita.com/variants/link/3137370072744/", "View Product")</f>
        <v/>
      </c>
    </row>
    <row r="14078">
      <c r="A14078" t="inlineStr">
        <is>
          <t>3137370183822</t>
        </is>
      </c>
      <c r="B14078" t="inlineStr">
        <is>
          <t>Nina Ricci Love in Paris Eau De Parfum Spray 1.6 Ounces</t>
        </is>
      </c>
      <c r="C14078" t="inlineStr">
        <is>
          <t>Eau De Parfum</t>
        </is>
      </c>
      <c r="D14078" t="inlineStr">
        <is>
          <t>Nina Ricci</t>
        </is>
      </c>
      <c r="E14078" t="n">
        <v>32.26</v>
      </c>
      <c r="F14078" t="n">
        <v>1</v>
      </c>
      <c r="G14078" t="n">
        <v>206</v>
      </c>
      <c r="H14078" s="5">
        <f>HYPERLINK("https://api.qogita.com/variants/link/3137370183822/", "View Product")</f>
        <v/>
      </c>
    </row>
    <row r="14079">
      <c r="A14079" t="inlineStr">
        <is>
          <t>3137370357339</t>
        </is>
      </c>
      <c r="B14079" t="inlineStr">
        <is>
          <t>Nina Fleur Eau De Toilette Spray 80ml By Nina</t>
        </is>
      </c>
      <c r="C14079" t="inlineStr">
        <is>
          <t>Eau De Toilette</t>
        </is>
      </c>
      <c r="D14079" t="inlineStr">
        <is>
          <t>Nina Ricci</t>
        </is>
      </c>
      <c r="E14079" t="n">
        <v>42.71</v>
      </c>
      <c r="F14079" t="n">
        <v>1</v>
      </c>
      <c r="G14079" t="n">
        <v>21</v>
      </c>
      <c r="H14079" s="5">
        <f>HYPERLINK("https://api.qogita.com/variants/link/3137370357339/", "View Product")</f>
        <v/>
      </c>
    </row>
    <row r="14080">
      <c r="A14080" t="inlineStr">
        <is>
          <t>3137370357698</t>
        </is>
      </c>
      <c r="B14080" t="inlineStr">
        <is>
          <t>Nina Extra Rouge Eau de Parfum Spray 80ml</t>
        </is>
      </c>
      <c r="C14080" t="inlineStr">
        <is>
          <t>Eau De Parfum</t>
        </is>
      </c>
      <c r="D14080" t="inlineStr">
        <is>
          <t>Nina Ricci</t>
        </is>
      </c>
      <c r="E14080" t="n">
        <v>47.75</v>
      </c>
      <c r="F14080" t="n">
        <v>1</v>
      </c>
      <c r="G14080" t="n">
        <v>17</v>
      </c>
      <c r="H14080" s="5">
        <f>HYPERLINK("https://api.qogita.com/variants/link/3137370357698/", "View Product")</f>
        <v/>
      </c>
    </row>
    <row r="14081">
      <c r="A14081" t="inlineStr">
        <is>
          <t>3137370357728</t>
        </is>
      </c>
      <c r="B14081" t="inlineStr">
        <is>
          <t>Nina Extra Rouge EDP 30ml</t>
        </is>
      </c>
      <c r="C14081" t="inlineStr">
        <is>
          <t>Eau De Parfum</t>
        </is>
      </c>
      <c r="D14081" t="inlineStr">
        <is>
          <t>Nina Ricci</t>
        </is>
      </c>
      <c r="E14081" t="n">
        <v>18.95</v>
      </c>
      <c r="F14081" t="n">
        <v>1</v>
      </c>
      <c r="G14081" t="n">
        <v>23</v>
      </c>
      <c r="H14081" s="5">
        <f>HYPERLINK("https://api.qogita.com/variants/link/3137370357728/", "View Product")</f>
        <v/>
      </c>
    </row>
    <row r="14082">
      <c r="A14082" t="inlineStr">
        <is>
          <t>3137370362166</t>
        </is>
      </c>
      <c r="B14082" t="inlineStr">
        <is>
          <t>Nina Le Parfum Eau de Parfum 50 ml - Nina Ricci - Gift</t>
        </is>
      </c>
      <c r="C14082" t="inlineStr">
        <is>
          <t>Eau De Parfum</t>
        </is>
      </c>
      <c r="D14082" t="inlineStr">
        <is>
          <t>Nina Ricci</t>
        </is>
      </c>
      <c r="E14082" t="n">
        <v>41.54</v>
      </c>
      <c r="F14082" t="n">
        <v>1</v>
      </c>
      <c r="G14082" t="n">
        <v>3</v>
      </c>
      <c r="H14082" s="5">
        <f>HYPERLINK("https://api.qogita.com/variants/link/3137370362166/", "View Product")</f>
        <v/>
      </c>
    </row>
    <row r="14083">
      <c r="A14083" t="inlineStr">
        <is>
          <t>3147758029383</t>
        </is>
      </c>
      <c r="B14083" t="inlineStr">
        <is>
          <t>Lancme Miracle Eau De Parfum 100 Ml Spray For Women</t>
        </is>
      </c>
      <c r="C14083" t="inlineStr">
        <is>
          <t>Eau De Parfum</t>
        </is>
      </c>
      <c r="D14083" t="inlineStr">
        <is>
          <t>Lancôme</t>
        </is>
      </c>
      <c r="E14083" t="n">
        <v>51.27</v>
      </c>
      <c r="F14083" t="n">
        <v>1</v>
      </c>
      <c r="G14083" t="n">
        <v>78</v>
      </c>
      <c r="H14083" s="5">
        <f>HYPERLINK("https://api.qogita.com/variants/link/3147758029383/", "View Product")</f>
        <v/>
      </c>
    </row>
    <row r="14084">
      <c r="A14084" t="inlineStr">
        <is>
          <t>3147758051216</t>
        </is>
      </c>
      <c r="B14084" t="inlineStr">
        <is>
          <t>Lancme Bocage Deodorant Spray 125ml Antiperspirant Spray</t>
        </is>
      </c>
      <c r="C14084" t="inlineStr">
        <is>
          <t>Deodorant &amp; Anti-Perspirant</t>
        </is>
      </c>
      <c r="D14084" t="inlineStr">
        <is>
          <t>Lancôme</t>
        </is>
      </c>
      <c r="E14084" t="n">
        <v>25.82</v>
      </c>
      <c r="F14084" t="n">
        <v>1</v>
      </c>
      <c r="G14084" t="n">
        <v>33</v>
      </c>
      <c r="H14084" s="5">
        <f>HYPERLINK("https://api.qogita.com/variants/link/3147758051216/", "View Product")</f>
        <v/>
      </c>
    </row>
    <row r="14085">
      <c r="A14085" t="inlineStr">
        <is>
          <t>3147758155358</t>
        </is>
      </c>
      <c r="B14085" t="inlineStr">
        <is>
          <t>Lancome O De Lancome Eau De Toilette Spray 125ml</t>
        </is>
      </c>
      <c r="C14085" t="inlineStr">
        <is>
          <t>Eau De Toilette</t>
        </is>
      </c>
      <c r="D14085" t="inlineStr">
        <is>
          <t>Lancôme</t>
        </is>
      </c>
      <c r="E14085" t="n">
        <v>47.8</v>
      </c>
      <c r="F14085" t="n">
        <v>1</v>
      </c>
      <c r="G14085" t="n">
        <v>14</v>
      </c>
      <c r="H14085" s="5">
        <f>HYPERLINK("https://api.qogita.com/variants/link/3147758155358/", "View Product")</f>
        <v/>
      </c>
    </row>
    <row r="14086">
      <c r="A14086" t="inlineStr">
        <is>
          <t>3178040478220</t>
        </is>
      </c>
      <c r="B14086" t="inlineStr">
        <is>
          <t>SCORPIO Inferno Deodorant Protection 24h Deodorant Spray 150ml</t>
        </is>
      </c>
      <c r="C14086" t="inlineStr">
        <is>
          <t>Deodorant &amp; Anti-Perspirant</t>
        </is>
      </c>
      <c r="D14086" t="inlineStr">
        <is>
          <t>Scorpio</t>
        </is>
      </c>
      <c r="E14086" t="n">
        <v>3.74</v>
      </c>
      <c r="F14086" t="n">
        <v>1</v>
      </c>
      <c r="G14086" t="n">
        <v>87</v>
      </c>
      <c r="H14086" s="5">
        <f>HYPERLINK("https://api.qogita.com/variants/link/3178040478220/", "View Product")</f>
        <v/>
      </c>
    </row>
    <row r="14087">
      <c r="A14087" t="inlineStr">
        <is>
          <t>3178040643413</t>
        </is>
      </c>
      <c r="B14087" t="inlineStr">
        <is>
          <t>Scorpio Noir Absolu Eau de Toilette for Men Vaporiser Spray 75ml</t>
        </is>
      </c>
      <c r="C14087" t="inlineStr">
        <is>
          <t>Eau De Toilette</t>
        </is>
      </c>
      <c r="D14087" t="inlineStr">
        <is>
          <t>Scorpio</t>
        </is>
      </c>
      <c r="E14087" t="n">
        <v>10.53</v>
      </c>
      <c r="F14087" t="n">
        <v>1</v>
      </c>
      <c r="G14087" t="n">
        <v>63</v>
      </c>
      <c r="H14087" s="5">
        <f>HYPERLINK("https://api.qogita.com/variants/link/3178040643413/", "View Product")</f>
        <v/>
      </c>
    </row>
    <row r="14088">
      <c r="A14088" t="inlineStr">
        <is>
          <t>3178048344503</t>
        </is>
      </c>
      <c r="B14088" t="inlineStr">
        <is>
          <t>Scorpio Vertigo Deodorant</t>
        </is>
      </c>
      <c r="C14088" t="inlineStr">
        <is>
          <t>Deodorant &amp; Anti-Perspirant</t>
        </is>
      </c>
      <c r="D14088" t="inlineStr">
        <is>
          <t>Scorpio</t>
        </is>
      </c>
      <c r="E14088" t="n">
        <v>3.74</v>
      </c>
      <c r="F14088" t="n">
        <v>1</v>
      </c>
      <c r="G14088" t="n">
        <v>135</v>
      </c>
      <c r="H14088" s="5">
        <f>HYPERLINK("https://api.qogita.com/variants/link/3178048344503/", "View Product")</f>
        <v/>
      </c>
    </row>
    <row r="14089">
      <c r="A14089" t="inlineStr">
        <is>
          <t>3178048344510</t>
        </is>
      </c>
      <c r="B14089" t="inlineStr">
        <is>
          <t>Scorpio Vertigo Eau de Toilette for Men 75ml</t>
        </is>
      </c>
      <c r="C14089" t="inlineStr">
        <is>
          <t>Eau De Toilette</t>
        </is>
      </c>
      <c r="D14089" t="inlineStr">
        <is>
          <t>Scorpio</t>
        </is>
      </c>
      <c r="E14089" t="n">
        <v>10.53</v>
      </c>
      <c r="F14089" t="n">
        <v>1</v>
      </c>
      <c r="G14089" t="n">
        <v>57</v>
      </c>
      <c r="H14089" s="5">
        <f>HYPERLINK("https://api.qogita.com/variants/link/3178048344510/", "View Product")</f>
        <v/>
      </c>
    </row>
    <row r="14090">
      <c r="A14090" t="inlineStr">
        <is>
          <t>3253581171899</t>
        </is>
      </c>
      <c r="B14090" t="inlineStr">
        <is>
          <t>L'Occitane Pure Shea Butter 150ml Ideal For Dry Skin</t>
        </is>
      </c>
      <c r="C14090" t="inlineStr">
        <is>
          <t>Body Butter</t>
        </is>
      </c>
      <c r="D14090" t="inlineStr">
        <is>
          <t>L'Occitane</t>
        </is>
      </c>
      <c r="E14090" t="n">
        <v>23.08</v>
      </c>
      <c r="F14090" t="n">
        <v>1</v>
      </c>
      <c r="G14090" t="n">
        <v>12</v>
      </c>
      <c r="H14090" s="5">
        <f>HYPERLINK("https://api.qogita.com/variants/link/3253581171899/", "View Product")</f>
        <v/>
      </c>
    </row>
    <row r="14091">
      <c r="A14091" t="inlineStr">
        <is>
          <t>3253581286791</t>
        </is>
      </c>
      <c r="B14091" t="inlineStr">
        <is>
          <t>L'Occitane Shea Butter 10ml</t>
        </is>
      </c>
      <c r="C14091" t="inlineStr">
        <is>
          <t>Body Butter</t>
        </is>
      </c>
      <c r="D14091" t="inlineStr">
        <is>
          <t>L'Occitane</t>
        </is>
      </c>
      <c r="E14091" t="n">
        <v>7.15</v>
      </c>
      <c r="F14091" t="n">
        <v>1</v>
      </c>
      <c r="G14091" t="n">
        <v>4</v>
      </c>
      <c r="H14091" s="5">
        <f>HYPERLINK("https://api.qogita.com/variants/link/3253581286791/", "View Product")</f>
        <v/>
      </c>
    </row>
    <row r="14092">
      <c r="A14092" t="inlineStr">
        <is>
          <t>3253581754078</t>
        </is>
      </c>
      <c r="B14092" t="inlineStr">
        <is>
          <t>L'Occitane Cherry Blossom Hand Cream 75ml</t>
        </is>
      </c>
      <c r="C14092" t="inlineStr">
        <is>
          <t>Hand Cream</t>
        </is>
      </c>
      <c r="D14092" t="inlineStr">
        <is>
          <t>L'Occitane</t>
        </is>
      </c>
      <c r="E14092" t="n">
        <v>12.28</v>
      </c>
      <c r="F14092" t="n">
        <v>1</v>
      </c>
      <c r="G14092" t="n">
        <v>41</v>
      </c>
      <c r="H14092" s="5">
        <f>HYPERLINK("https://api.qogita.com/variants/link/3253581754078/", "View Product")</f>
        <v/>
      </c>
    </row>
    <row r="14093">
      <c r="A14093" t="inlineStr">
        <is>
          <t>3253581765227</t>
        </is>
      </c>
      <c r="B14093" t="inlineStr">
        <is>
          <t>L'Occitane Shea Butter Intensive Hand Cream 150ml</t>
        </is>
      </c>
      <c r="C14093" t="inlineStr">
        <is>
          <t>Hand Cream</t>
        </is>
      </c>
      <c r="D14093" t="inlineStr">
        <is>
          <t>L'Occitane</t>
        </is>
      </c>
      <c r="E14093" t="n">
        <v>19.77</v>
      </c>
      <c r="F14093" t="n">
        <v>1</v>
      </c>
      <c r="G14093" t="n">
        <v>30</v>
      </c>
      <c r="H14093" s="5">
        <f>HYPERLINK("https://api.qogita.com/variants/link/3253581765227/", "View Product")</f>
        <v/>
      </c>
    </row>
    <row r="14094">
      <c r="A14094" t="inlineStr">
        <is>
          <t>3253581766972</t>
        </is>
      </c>
      <c r="B14094" t="inlineStr">
        <is>
          <t>L'Occitane Citrus Fresh Body Milk 250 Ml</t>
        </is>
      </c>
      <c r="C14094" t="inlineStr">
        <is>
          <t>Body Lotion</t>
        </is>
      </c>
      <c r="D14094" t="inlineStr">
        <is>
          <t>L'Occitane</t>
        </is>
      </c>
      <c r="E14094" t="n">
        <v>16.69</v>
      </c>
      <c r="F14094" t="n">
        <v>1</v>
      </c>
      <c r="G14094" t="n">
        <v>20</v>
      </c>
      <c r="H14094" s="5">
        <f>HYPERLINK("https://api.qogita.com/variants/link/3253581766972/", "View Product")</f>
        <v/>
      </c>
    </row>
    <row r="14095">
      <c r="A14095" t="inlineStr">
        <is>
          <t>3253581768129</t>
        </is>
      </c>
      <c r="B14095" t="inlineStr">
        <is>
          <t>L'OCCITANE Gentle &amp; Balance Conditioner 250ml Silicone &amp; Sulfate Free Vegan &amp; 96% Readily Biodegradable Enriched with Essential Oils Luxury &amp; Clean Beauty Hair Care for All Hair Types</t>
        </is>
      </c>
      <c r="C14095" t="inlineStr">
        <is>
          <t>Conditioner</t>
        </is>
      </c>
      <c r="D14095" t="inlineStr">
        <is>
          <t>L'Occitane</t>
        </is>
      </c>
      <c r="E14095" t="n">
        <v>16.14</v>
      </c>
      <c r="F14095" t="n">
        <v>1</v>
      </c>
      <c r="G14095" t="n">
        <v>43</v>
      </c>
      <c r="H14095" s="5">
        <f>HYPERLINK("https://api.qogita.com/variants/link/3253581768129/", "View Product")</f>
        <v/>
      </c>
    </row>
    <row r="14096">
      <c r="A14096" t="inlineStr">
        <is>
          <t>3253581769584</t>
        </is>
      </c>
      <c r="B14096" t="inlineStr">
        <is>
          <t>L'OCCITANE Crisp &amp; Refreshing Citrus Hand Cream Gel with Grapefruit Extract and Organic Verbena 1oz</t>
        </is>
      </c>
      <c r="C14096" t="inlineStr">
        <is>
          <t>Hand Cream</t>
        </is>
      </c>
      <c r="D14096" t="inlineStr">
        <is>
          <t>L'Occitane</t>
        </is>
      </c>
      <c r="E14096" t="n">
        <v>6.23</v>
      </c>
      <c r="F14096" t="n">
        <v>1</v>
      </c>
      <c r="G14096" t="n">
        <v>43</v>
      </c>
      <c r="H14096" s="5">
        <f>HYPERLINK("https://api.qogita.com/variants/link/3253581769584/", "View Product")</f>
        <v/>
      </c>
    </row>
    <row r="14097">
      <c r="A14097" t="inlineStr">
        <is>
          <t>3253581776728</t>
        </is>
      </c>
      <c r="B14097" t="inlineStr">
        <is>
          <t>L'Occitane En Provence Refreshing Body Gel-Cream Verbena - 150 Ml</t>
        </is>
      </c>
      <c r="C14097" t="inlineStr">
        <is>
          <t>Body Lotion</t>
        </is>
      </c>
      <c r="D14097" t="inlineStr">
        <is>
          <t>L'Occitane</t>
        </is>
      </c>
      <c r="E14097" t="n">
        <v>19.15</v>
      </c>
      <c r="F14097" t="n">
        <v>1</v>
      </c>
      <c r="G14097" t="n">
        <v>8</v>
      </c>
      <c r="H14097" s="5">
        <f>HYPERLINK("https://api.qogita.com/variants/link/3253581776728/", "View Product")</f>
        <v/>
      </c>
    </row>
    <row r="14098">
      <c r="A14098" t="inlineStr">
        <is>
          <t>3253581779170</t>
        </is>
      </c>
      <c r="B14098" t="inlineStr">
        <is>
          <t>L'Occitane Festive Hand &amp; Body Crackers Collection Vegan 96% Readily</t>
        </is>
      </c>
      <c r="C14098" t="inlineStr">
        <is>
          <t>Body Care Sets</t>
        </is>
      </c>
      <c r="D14098" t="inlineStr">
        <is>
          <t>L'Occitane</t>
        </is>
      </c>
      <c r="E14098" t="n">
        <v>24.57</v>
      </c>
      <c r="F14098" t="n">
        <v>1</v>
      </c>
      <c r="G14098" t="n">
        <v>272</v>
      </c>
      <c r="H14098" s="5">
        <f>HYPERLINK("https://api.qogita.com/variants/link/3253581779170/", "View Product")</f>
        <v/>
      </c>
    </row>
    <row r="14099">
      <c r="A14099" t="inlineStr">
        <is>
          <t>3253581779385</t>
        </is>
      </c>
      <c r="B14099" t="inlineStr">
        <is>
          <t>L'Occitane Neroli and Orchid Scented Hand Cream 75ml</t>
        </is>
      </c>
      <c r="C14099" t="inlineStr">
        <is>
          <t>Hand Cream</t>
        </is>
      </c>
      <c r="D14099" t="inlineStr">
        <is>
          <t>L'Occitane</t>
        </is>
      </c>
      <c r="E14099" t="n">
        <v>13.57</v>
      </c>
      <c r="F14099" t="n">
        <v>1</v>
      </c>
      <c r="G14099" t="n">
        <v>6</v>
      </c>
      <c r="H14099" s="5">
        <f>HYPERLINK("https://api.qogita.com/variants/link/3253581779385/", "View Product")</f>
        <v/>
      </c>
    </row>
    <row r="14100">
      <c r="A14100" t="inlineStr">
        <is>
          <t>3253581862094</t>
        </is>
      </c>
      <c r="B14100" t="inlineStr">
        <is>
          <t>L'Occitane En Provence Pink Flowers Hand Cream Trio Gift Set</t>
        </is>
      </c>
      <c r="C14100" t="inlineStr">
        <is>
          <t>Hand Care Sets</t>
        </is>
      </c>
      <c r="D14100" t="inlineStr">
        <is>
          <t>L'Occitane</t>
        </is>
      </c>
      <c r="E14100" t="n">
        <v>40.72</v>
      </c>
      <c r="F14100" t="n">
        <v>1</v>
      </c>
      <c r="G14100" t="n">
        <v>14</v>
      </c>
      <c r="H14100" s="5">
        <f>HYPERLINK("https://api.qogita.com/variants/link/3253581862094/", "View Product")</f>
        <v/>
      </c>
    </row>
    <row r="14101">
      <c r="A14101" t="inlineStr">
        <is>
          <t>3253581870280</t>
        </is>
      </c>
      <c r="B14101" t="inlineStr">
        <is>
          <t>L'Occitane En Provence Hand Cream Collection Gift Set</t>
        </is>
      </c>
      <c r="C14101" t="inlineStr">
        <is>
          <t>Hand Care Sets</t>
        </is>
      </c>
      <c r="D14101" t="inlineStr">
        <is>
          <t>L'Occitane</t>
        </is>
      </c>
      <c r="E14101" t="n">
        <v>33.81</v>
      </c>
      <c r="F14101" t="n">
        <v>1</v>
      </c>
      <c r="G14101" t="n">
        <v>18</v>
      </c>
      <c r="H14101" s="5">
        <f>HYPERLINK("https://api.qogita.com/variants/link/3253581870280/", "View Product")</f>
        <v/>
      </c>
    </row>
    <row r="14102">
      <c r="A14102" t="inlineStr">
        <is>
          <t>3253581872178</t>
        </is>
      </c>
      <c r="B14102" t="inlineStr">
        <is>
          <t>L'Occitane En Provence Velvet Body &amp; Hands Set Gift Set</t>
        </is>
      </c>
      <c r="C14102" t="inlineStr">
        <is>
          <t>Body Care Sets</t>
        </is>
      </c>
      <c r="D14102" t="inlineStr">
        <is>
          <t>L'Occitane</t>
        </is>
      </c>
      <c r="E14102" t="n">
        <v>56.92</v>
      </c>
      <c r="F14102" t="n">
        <v>1</v>
      </c>
      <c r="G14102" t="n">
        <v>72</v>
      </c>
      <c r="H14102" s="5">
        <f>HYPERLINK("https://api.qogita.com/variants/link/3253581872178/", "View Product")</f>
        <v/>
      </c>
    </row>
    <row r="14103">
      <c r="A14103" t="inlineStr">
        <is>
          <t>3253582009610</t>
        </is>
      </c>
      <c r="B14103" t="inlineStr">
        <is>
          <t>L'Occitane Doux Gift Set</t>
        </is>
      </c>
      <c r="C14103" t="inlineStr">
        <is>
          <t>Travel Sets</t>
        </is>
      </c>
      <c r="D14103" t="inlineStr">
        <is>
          <t>L'Occitane</t>
        </is>
      </c>
      <c r="E14103" t="n">
        <v>21.73</v>
      </c>
      <c r="F14103" t="n">
        <v>1</v>
      </c>
      <c r="G14103" t="n">
        <v>12</v>
      </c>
      <c r="H14103" s="5">
        <f>HYPERLINK("https://api.qogita.com/variants/link/3253582009610/", "View Product")</f>
        <v/>
      </c>
    </row>
    <row r="14104">
      <c r="A14104" t="inlineStr">
        <is>
          <t>3253582010586</t>
        </is>
      </c>
      <c r="B14104" t="inlineStr">
        <is>
          <t>Cocooning Set - Gift Set</t>
        </is>
      </c>
      <c r="C14104" t="inlineStr">
        <is>
          <t>Home &amp; Lifestyle</t>
        </is>
      </c>
      <c r="D14104" t="inlineStr">
        <is>
          <t>L'Occitane</t>
        </is>
      </c>
      <c r="E14104" t="n">
        <v>40.87</v>
      </c>
      <c r="F14104" t="n">
        <v>1</v>
      </c>
      <c r="G14104" t="n">
        <v>41</v>
      </c>
      <c r="H14104" s="5">
        <f>HYPERLINK("https://api.qogita.com/variants/link/3253582010586/", "View Product")</f>
        <v/>
      </c>
    </row>
    <row r="14105">
      <c r="A14105" t="inlineStr">
        <is>
          <t>3259550056310</t>
        </is>
      </c>
      <c r="B14105" t="inlineStr">
        <is>
          <t>Eisenberg Precision Concealer 04 Peach 5 Ml</t>
        </is>
      </c>
      <c r="C14105" t="inlineStr">
        <is>
          <t>Concealer</t>
        </is>
      </c>
      <c r="D14105" t="inlineStr">
        <is>
          <t>Eisenberg</t>
        </is>
      </c>
      <c r="E14105" t="n">
        <v>24.09</v>
      </c>
      <c r="F14105" t="n">
        <v>1</v>
      </c>
      <c r="G14105" t="n">
        <v>9</v>
      </c>
      <c r="H14105" s="5">
        <f>HYPERLINK("https://api.qogita.com/variants/link/3259550056310/", "View Product")</f>
        <v/>
      </c>
    </row>
    <row r="14106">
      <c r="A14106" t="inlineStr">
        <is>
          <t>3259550301601</t>
        </is>
      </c>
      <c r="B14106" t="inlineStr">
        <is>
          <t>Excellence by Eisenberg Diamant Serum 30ml</t>
        </is>
      </c>
      <c r="C14106" t="inlineStr">
        <is>
          <t>Anti-Aging Serum</t>
        </is>
      </c>
      <c r="D14106" t="inlineStr">
        <is>
          <t>Eisenberg</t>
        </is>
      </c>
      <c r="E14106" t="n">
        <v>180.09</v>
      </c>
      <c r="F14106" t="n">
        <v>1</v>
      </c>
      <c r="G14106" t="n">
        <v>9</v>
      </c>
      <c r="H14106" s="5">
        <f>HYPERLINK("https://api.qogita.com/variants/link/3259550301601/", "View Product")</f>
        <v/>
      </c>
    </row>
    <row r="14107">
      <c r="A14107" t="inlineStr">
        <is>
          <t>3259550301809</t>
        </is>
      </c>
      <c r="B14107" t="inlineStr">
        <is>
          <t>Homme Face by Eisenberg Youth Elixir 30ml</t>
        </is>
      </c>
      <c r="C14107" t="inlineStr">
        <is>
          <t>Anti-Aging Serum</t>
        </is>
      </c>
      <c r="D14107" t="inlineStr">
        <is>
          <t>Eisenberg</t>
        </is>
      </c>
      <c r="E14107" t="n">
        <v>64.34</v>
      </c>
      <c r="F14107" t="n">
        <v>1</v>
      </c>
      <c r="G14107" t="n">
        <v>26</v>
      </c>
      <c r="H14107" s="5">
        <f>HYPERLINK("https://api.qogita.com/variants/link/3259550301809/", "View Product")</f>
        <v/>
      </c>
    </row>
    <row r="14108">
      <c r="A14108" t="inlineStr">
        <is>
          <t>3259550308983</t>
        </is>
      </c>
      <c r="B14108" t="inlineStr">
        <is>
          <t>Eisenberg Invisible Corrective Makeup 30 Ml Longlasting Foundation In Shade 04 Natural Tan</t>
        </is>
      </c>
      <c r="C14108" t="inlineStr">
        <is>
          <t>Foundation</t>
        </is>
      </c>
      <c r="D14108" t="inlineStr">
        <is>
          <t>Eisenberg</t>
        </is>
      </c>
      <c r="E14108" t="n">
        <v>37.84</v>
      </c>
      <c r="F14108" t="n">
        <v>1</v>
      </c>
      <c r="G14108" t="n">
        <v>4</v>
      </c>
      <c r="H14108" s="5">
        <f>HYPERLINK("https://api.qogita.com/variants/link/3259550308983/", "View Product")</f>
        <v/>
      </c>
    </row>
    <row r="14109">
      <c r="A14109" t="inlineStr">
        <is>
          <t>3259550501100</t>
        </is>
      </c>
      <c r="B14109" t="inlineStr">
        <is>
          <t>Eisenberg Face Care Anti-Age Complex 50ml</t>
        </is>
      </c>
      <c r="C14109" t="inlineStr">
        <is>
          <t>Anti-Aging Facial Care</t>
        </is>
      </c>
      <c r="D14109" t="inlineStr">
        <is>
          <t>Eisenberg</t>
        </is>
      </c>
      <c r="E14109" t="n">
        <v>34.02</v>
      </c>
      <c r="F14109" t="n">
        <v>1</v>
      </c>
      <c r="G14109" t="n">
        <v>6</v>
      </c>
      <c r="H14109" s="5">
        <f>HYPERLINK("https://api.qogita.com/variants/link/3259550501100/", "View Product")</f>
        <v/>
      </c>
    </row>
    <row r="14110">
      <c r="A14110" t="inlineStr">
        <is>
          <t>3259550503906</t>
        </is>
      </c>
      <c r="B14110" t="inlineStr">
        <is>
          <t>Eisenberg Face Care Nourishing Ultra-Rich Cream 50ml</t>
        </is>
      </c>
      <c r="C14110" t="inlineStr">
        <is>
          <t>Face Cream</t>
        </is>
      </c>
      <c r="D14110" t="inlineStr">
        <is>
          <t>Eisenberg</t>
        </is>
      </c>
      <c r="E14110" t="n">
        <v>28.88</v>
      </c>
      <c r="F14110" t="n">
        <v>1</v>
      </c>
      <c r="G14110" t="n">
        <v>41</v>
      </c>
      <c r="H14110" s="5">
        <f>HYPERLINK("https://api.qogita.com/variants/link/3259550503906/", "View Product")</f>
        <v/>
      </c>
    </row>
    <row r="14111">
      <c r="A14111" t="inlineStr">
        <is>
          <t>3259550752441</t>
        </is>
      </c>
      <c r="B14111" t="inlineStr">
        <is>
          <t>Eisenberg Pure White Antiaging Hand Cream 75 Ml</t>
        </is>
      </c>
      <c r="C14111" t="inlineStr">
        <is>
          <t>Hand Cream</t>
        </is>
      </c>
      <c r="D14111" t="inlineStr">
        <is>
          <t>Eisenberg</t>
        </is>
      </c>
      <c r="E14111" t="n">
        <v>61.83</v>
      </c>
      <c r="F14111" t="n">
        <v>1</v>
      </c>
      <c r="G14111" t="n">
        <v>5</v>
      </c>
      <c r="H14111" s="5">
        <f>HYPERLINK("https://api.qogita.com/variants/link/3259550752441/", "View Product")</f>
        <v/>
      </c>
    </row>
    <row r="14112">
      <c r="A14112" t="inlineStr">
        <is>
          <t>3282770072730</t>
        </is>
      </c>
      <c r="B14112" t="inlineStr">
        <is>
          <t>Aderma Protect Spray Very High Protection Spf 50 200ml</t>
        </is>
      </c>
      <c r="C14112" t="inlineStr">
        <is>
          <t>Body Sun Protection</t>
        </is>
      </c>
      <c r="D14112" t="inlineStr">
        <is>
          <t>A-Derma</t>
        </is>
      </c>
      <c r="E14112" t="n">
        <v>24.35</v>
      </c>
      <c r="F14112" t="n">
        <v>1</v>
      </c>
      <c r="G14112" t="n">
        <v>3</v>
      </c>
      <c r="H14112" s="5">
        <f>HYPERLINK("https://api.qogita.com/variants/link/3282770072730/", "View Product")</f>
        <v/>
      </c>
    </row>
    <row r="14113">
      <c r="A14113" t="inlineStr">
        <is>
          <t>3282770072778</t>
        </is>
      </c>
      <c r="B14113" t="inlineStr">
        <is>
          <t>Aderma Protect Ah Aftersun Repair Lotion 250ml</t>
        </is>
      </c>
      <c r="C14113" t="inlineStr">
        <is>
          <t>Aftersun</t>
        </is>
      </c>
      <c r="D14113" t="inlineStr">
        <is>
          <t>A-Derma</t>
        </is>
      </c>
      <c r="E14113" t="n">
        <v>15.39</v>
      </c>
      <c r="F14113" t="n">
        <v>1</v>
      </c>
      <c r="G14113" t="n">
        <v>4</v>
      </c>
      <c r="H14113" s="5">
        <f>HYPERLINK("https://api.qogita.com/variants/link/3282770072778/", "View Product")</f>
        <v/>
      </c>
    </row>
    <row r="14114">
      <c r="A14114" t="inlineStr">
        <is>
          <t>3282770101362</t>
        </is>
      </c>
      <c r="B14114" t="inlineStr">
        <is>
          <t>Avene Sport Fluid Spf 50 Protective Fluid For Sensitive Skin 100 Ml</t>
        </is>
      </c>
      <c r="C14114" t="inlineStr">
        <is>
          <t>Face Sun Protection</t>
        </is>
      </c>
      <c r="D14114" t="inlineStr">
        <is>
          <t>Avène</t>
        </is>
      </c>
      <c r="E14114" t="n">
        <v>17.16</v>
      </c>
      <c r="F14114" t="n">
        <v>1</v>
      </c>
      <c r="G14114" t="n">
        <v>4</v>
      </c>
      <c r="H14114" s="5">
        <f>HYPERLINK("https://api.qogita.com/variants/link/3282770101362/", "View Product")</f>
        <v/>
      </c>
    </row>
    <row r="14115">
      <c r="A14115" t="inlineStr">
        <is>
          <t>3282770113297</t>
        </is>
      </c>
      <c r="B14115" t="inlineStr">
        <is>
          <t>Klorane Ultra Nourishing Shower Cream with Organic Cupuaçu Flower 200ml</t>
        </is>
      </c>
      <c r="C14115" t="inlineStr">
        <is>
          <t>Shower Gel</t>
        </is>
      </c>
      <c r="D14115" t="inlineStr">
        <is>
          <t>Klorane</t>
        </is>
      </c>
      <c r="E14115" t="n">
        <v>7.27</v>
      </c>
      <c r="F14115" t="n">
        <v>1</v>
      </c>
      <c r="G14115" t="n">
        <v>5</v>
      </c>
      <c r="H14115" s="5">
        <f>HYPERLINK("https://api.qogita.com/variants/link/3282770113297/", "View Product")</f>
        <v/>
      </c>
    </row>
    <row r="14116">
      <c r="A14116" t="inlineStr">
        <is>
          <t>3282770114300</t>
        </is>
      </c>
      <c r="B14116" t="inlineStr">
        <is>
          <t>Ren Furterer Okara Silver Antiyellowing Shampoo</t>
        </is>
      </c>
      <c r="C14116" t="inlineStr">
        <is>
          <t>Shampoo</t>
        </is>
      </c>
      <c r="D14116" t="inlineStr">
        <is>
          <t>Rene Furterer</t>
        </is>
      </c>
      <c r="E14116" t="n">
        <v>27.15</v>
      </c>
      <c r="F14116" t="n">
        <v>1</v>
      </c>
      <c r="G14116" t="n">
        <v>5</v>
      </c>
      <c r="H14116" s="5">
        <f>HYPERLINK("https://api.qogita.com/variants/link/3282770114300/", "View Product")</f>
        <v/>
      </c>
    </row>
    <row r="14117">
      <c r="A14117" t="inlineStr">
        <is>
          <t>3282770114362</t>
        </is>
      </c>
      <c r="B14117" t="inlineStr">
        <is>
          <t>Ren Furterer Okara Silver Toning Conditioner For Gray And White Hair 150ml</t>
        </is>
      </c>
      <c r="C14117" t="inlineStr">
        <is>
          <t>Conditioner</t>
        </is>
      </c>
      <c r="D14117" t="inlineStr">
        <is>
          <t>Rene Furterer</t>
        </is>
      </c>
      <c r="E14117" t="n">
        <v>19.15</v>
      </c>
      <c r="F14117" t="n">
        <v>1</v>
      </c>
      <c r="G14117" t="n">
        <v>2</v>
      </c>
      <c r="H14117" s="5">
        <f>HYPERLINK("https://api.qogita.com/variants/link/3282770114362/", "View Product")</f>
        <v/>
      </c>
    </row>
    <row r="14118">
      <c r="A14118" t="inlineStr">
        <is>
          <t>3282770139259</t>
        </is>
      </c>
      <c r="B14118" t="inlineStr">
        <is>
          <t>Klorane Mango Shampoo Bar With Mango 80g</t>
        </is>
      </c>
      <c r="C14118" t="inlineStr">
        <is>
          <t>Shampoo</t>
        </is>
      </c>
      <c r="D14118" t="inlineStr">
        <is>
          <t>Klorane</t>
        </is>
      </c>
      <c r="E14118" t="n">
        <v>9.56</v>
      </c>
      <c r="F14118" t="n">
        <v>1</v>
      </c>
      <c r="G14118" t="n">
        <v>2</v>
      </c>
      <c r="H14118" s="5">
        <f>HYPERLINK("https://api.qogita.com/variants/link/3282770139259/", "View Product")</f>
        <v/>
      </c>
    </row>
    <row r="14119">
      <c r="A14119" t="inlineStr">
        <is>
          <t>3282770143416</t>
        </is>
      </c>
      <c r="B14119" t="inlineStr">
        <is>
          <t>Exomega Control Oil 200ml</t>
        </is>
      </c>
      <c r="C14119" t="inlineStr">
        <is>
          <t>Neurodermatitis</t>
        </is>
      </c>
      <c r="D14119" t="inlineStr">
        <is>
          <t>A-Derma</t>
        </is>
      </c>
      <c r="E14119" t="n">
        <v>10.78</v>
      </c>
      <c r="F14119" t="n">
        <v>1</v>
      </c>
      <c r="G14119" t="n">
        <v>2</v>
      </c>
      <c r="H14119" s="5">
        <f>HYPERLINK("https://api.qogita.com/variants/link/3282770143416/", "View Product")</f>
        <v/>
      </c>
    </row>
    <row r="14120">
      <c r="A14120" t="inlineStr">
        <is>
          <t>3282770143560</t>
        </is>
      </c>
      <c r="B14120" t="inlineStr">
        <is>
          <t>Klorane Pomegranate Shampoo For Colour-Treated Hair - 200ml</t>
        </is>
      </c>
      <c r="C14120" t="inlineStr">
        <is>
          <t>Shampoo</t>
        </is>
      </c>
      <c r="D14120" t="inlineStr">
        <is>
          <t>Klorane</t>
        </is>
      </c>
      <c r="E14120" t="n">
        <v>9.81</v>
      </c>
      <c r="F14120" t="n">
        <v>1</v>
      </c>
      <c r="G14120" t="n">
        <v>5</v>
      </c>
      <c r="H14120" s="5">
        <f>HYPERLINK("https://api.qogita.com/variants/link/3282770143560/", "View Product")</f>
        <v/>
      </c>
    </row>
    <row r="14121">
      <c r="A14121" t="inlineStr">
        <is>
          <t>3282770144178</t>
        </is>
      </c>
      <c r="B14121" t="inlineStr">
        <is>
          <t>Klorane Cleansing Shower Gel Bio Cupuau 200 Ml</t>
        </is>
      </c>
      <c r="C14121" t="inlineStr">
        <is>
          <t>Shower Gel</t>
        </is>
      </c>
      <c r="D14121" t="inlineStr">
        <is>
          <t>Klorane</t>
        </is>
      </c>
      <c r="E14121" t="n">
        <v>6.65</v>
      </c>
      <c r="F14121" t="n">
        <v>1</v>
      </c>
      <c r="G14121" t="n">
        <v>4</v>
      </c>
      <c r="H14121" s="5">
        <f>HYPERLINK("https://api.qogita.com/variants/link/3282770144178/", "View Product")</f>
        <v/>
      </c>
    </row>
    <row r="14122">
      <c r="A14122" t="inlineStr">
        <is>
          <t>3282770144192</t>
        </is>
      </c>
      <c r="B14122" t="inlineStr">
        <is>
          <t>Klorane Fig Leaf Shower Gel 200 Ml</t>
        </is>
      </c>
      <c r="C14122" t="inlineStr">
        <is>
          <t>Shower Gel</t>
        </is>
      </c>
      <c r="D14122" t="inlineStr">
        <is>
          <t>Klorane</t>
        </is>
      </c>
      <c r="E14122" t="n">
        <v>7.71</v>
      </c>
      <c r="F14122" t="n">
        <v>1</v>
      </c>
      <c r="G14122" t="n">
        <v>7</v>
      </c>
      <c r="H14122" s="5">
        <f>HYPERLINK("https://api.qogita.com/variants/link/3282770144192/", "View Product")</f>
        <v/>
      </c>
    </row>
    <row r="14123">
      <c r="A14123" t="inlineStr">
        <is>
          <t>3282770144246</t>
        </is>
      </c>
      <c r="B14123" t="inlineStr">
        <is>
          <t>A-Derma Epitheliale A.H. Body Oil 40ml</t>
        </is>
      </c>
      <c r="C14123" t="inlineStr">
        <is>
          <t>Body Oil</t>
        </is>
      </c>
      <c r="D14123" t="inlineStr">
        <is>
          <t>A-Derma</t>
        </is>
      </c>
      <c r="E14123" t="n">
        <v>10.83</v>
      </c>
      <c r="F14123" t="n">
        <v>1</v>
      </c>
      <c r="G14123" t="n">
        <v>2</v>
      </c>
      <c r="H14123" s="5">
        <f>HYPERLINK("https://api.qogita.com/variants/link/3282770144246/", "View Product")</f>
        <v/>
      </c>
    </row>
    <row r="14124">
      <c r="A14124" t="inlineStr">
        <is>
          <t>3282770144536</t>
        </is>
      </c>
      <c r="B14124" t="inlineStr">
        <is>
          <t>Avene Couvrance Translucent Mosaic Powder For Sensitive Skin 10g</t>
        </is>
      </c>
      <c r="C14124" t="inlineStr">
        <is>
          <t>Powder</t>
        </is>
      </c>
      <c r="D14124" t="inlineStr">
        <is>
          <t>Avène</t>
        </is>
      </c>
      <c r="E14124" t="n">
        <v>20.59</v>
      </c>
      <c r="F14124" t="n">
        <v>1</v>
      </c>
      <c r="G14124" t="n">
        <v>4</v>
      </c>
      <c r="H14124" s="5">
        <f>HYPERLINK("https://api.qogita.com/variants/link/3282770144536/", "View Product")</f>
        <v/>
      </c>
    </row>
    <row r="14125">
      <c r="A14125" t="inlineStr">
        <is>
          <t>3282770145700</t>
        </is>
      </c>
      <c r="B14125" t="inlineStr">
        <is>
          <t>Klorane Conditioner Soothing Sensitive Scalp With Peony 150ml</t>
        </is>
      </c>
      <c r="C14125" t="inlineStr">
        <is>
          <t>Conditioner</t>
        </is>
      </c>
      <c r="D14125" t="inlineStr">
        <is>
          <t>Klorane</t>
        </is>
      </c>
      <c r="E14125" t="n">
        <v>14.79</v>
      </c>
      <c r="F14125" t="n">
        <v>1</v>
      </c>
      <c r="G14125" t="n">
        <v>6</v>
      </c>
      <c r="H14125" s="5">
        <f>HYPERLINK("https://api.qogita.com/variants/link/3282770145700/", "View Product")</f>
        <v/>
      </c>
    </row>
    <row r="14126">
      <c r="A14126" t="inlineStr">
        <is>
          <t>3282770147261</t>
        </is>
      </c>
      <c r="B14126" t="inlineStr">
        <is>
          <t>Avne Cold Cream Lip Butter Nourishing Lip Balm 10 Ml</t>
        </is>
      </c>
      <c r="C14126" t="inlineStr">
        <is>
          <t>Medicated Treatments</t>
        </is>
      </c>
      <c r="D14126" t="inlineStr">
        <is>
          <t>Avène</t>
        </is>
      </c>
      <c r="E14126" t="n">
        <v>8.130000000000001</v>
      </c>
      <c r="F14126" t="n">
        <v>1</v>
      </c>
      <c r="G14126" t="n">
        <v>15</v>
      </c>
      <c r="H14126" s="5">
        <f>HYPERLINK("https://api.qogita.com/variants/link/3282770147261/", "View Product")</f>
        <v/>
      </c>
    </row>
    <row r="14127">
      <c r="A14127" t="inlineStr">
        <is>
          <t>3282770148879</t>
        </is>
      </c>
      <c r="B14127" t="inlineStr">
        <is>
          <t>Rene Furterer Neopur Dandruff Shampoo Dry 150ml Effective Treatment For Dry Scalp And Dandruff</t>
        </is>
      </c>
      <c r="C14127" t="inlineStr">
        <is>
          <t>Shampoo</t>
        </is>
      </c>
      <c r="D14127" t="inlineStr">
        <is>
          <t>Rene Furterer</t>
        </is>
      </c>
      <c r="E14127" t="n">
        <v>13.52</v>
      </c>
      <c r="F14127" t="n">
        <v>1</v>
      </c>
      <c r="G14127" t="n">
        <v>12</v>
      </c>
      <c r="H14127" s="5">
        <f>HYPERLINK("https://api.qogita.com/variants/link/3282770148879/", "View Product")</f>
        <v/>
      </c>
    </row>
    <row r="14128">
      <c r="A14128" t="inlineStr">
        <is>
          <t>3282770154238</t>
        </is>
      </c>
      <c r="B14128" t="inlineStr">
        <is>
          <t>Avene After Sun Repair Lotion 400 Ml Restorative Lotion For After Sunbathing</t>
        </is>
      </c>
      <c r="C14128" t="inlineStr">
        <is>
          <t>Aftersun</t>
        </is>
      </c>
      <c r="D14128" t="inlineStr">
        <is>
          <t>Avène</t>
        </is>
      </c>
      <c r="E14128" t="n">
        <v>19.83</v>
      </c>
      <c r="F14128" t="n">
        <v>1</v>
      </c>
      <c r="G14128" t="n">
        <v>5</v>
      </c>
      <c r="H14128" s="5">
        <f>HYPERLINK("https://api.qogita.com/variants/link/3282770154238/", "View Product")</f>
        <v/>
      </c>
    </row>
    <row r="14129">
      <c r="A14129" t="inlineStr">
        <is>
          <t>3282770155044</t>
        </is>
      </c>
      <c r="B14129" t="inlineStr">
        <is>
          <t>Eau Thermale Avene Trixera Nutrition Nutri-Fluid Cleanser 6.7 Ounce</t>
        </is>
      </c>
      <c r="C14129" t="inlineStr">
        <is>
          <t>Soap</t>
        </is>
      </c>
      <c r="D14129" t="inlineStr">
        <is>
          <t>Eau Thermale Avène</t>
        </is>
      </c>
      <c r="E14129" t="n">
        <v>10.8</v>
      </c>
      <c r="F14129" t="n">
        <v>1</v>
      </c>
      <c r="G14129" t="n">
        <v>14</v>
      </c>
      <c r="H14129" s="5">
        <f>HYPERLINK("https://api.qogita.com/variants/link/3282770155044/", "View Product")</f>
        <v/>
      </c>
    </row>
    <row r="14130">
      <c r="A14130" t="inlineStr">
        <is>
          <t>3282770155181</t>
        </is>
      </c>
      <c r="B14130" t="inlineStr">
        <is>
          <t>Avne Avene Xeracalm Nutrition Moisturising Milk 400ml</t>
        </is>
      </c>
      <c r="C14130" t="inlineStr">
        <is>
          <t>Body Lotion</t>
        </is>
      </c>
      <c r="D14130" t="inlineStr">
        <is>
          <t>Avène</t>
        </is>
      </c>
      <c r="E14130" t="n">
        <v>19.62</v>
      </c>
      <c r="F14130" t="n">
        <v>1</v>
      </c>
      <c r="G14130" t="n">
        <v>13</v>
      </c>
      <c r="H14130" s="5">
        <f>HYPERLINK("https://api.qogita.com/variants/link/3282770155181/", "View Product")</f>
        <v/>
      </c>
    </row>
    <row r="14131">
      <c r="A14131" t="inlineStr">
        <is>
          <t>3282770203493</t>
        </is>
      </c>
      <c r="B14131" t="inlineStr">
        <is>
          <t>Avne Hydrance Aquagel Moisturizing Cream 50ml</t>
        </is>
      </c>
      <c r="C14131" t="inlineStr">
        <is>
          <t>Face Cream</t>
        </is>
      </c>
      <c r="D14131" t="inlineStr">
        <is>
          <t>Avène</t>
        </is>
      </c>
      <c r="E14131" t="n">
        <v>20.6</v>
      </c>
      <c r="F14131" t="n">
        <v>1</v>
      </c>
      <c r="G14131" t="n">
        <v>30</v>
      </c>
      <c r="H14131" s="5">
        <f>HYPERLINK("https://api.qogita.com/variants/link/3282770203493/", "View Product")</f>
        <v/>
      </c>
    </row>
    <row r="14132">
      <c r="A14132" t="inlineStr">
        <is>
          <t>3282770204209</t>
        </is>
      </c>
      <c r="B14132" t="inlineStr">
        <is>
          <t>Klorane Floral Eye Makeup Remover With Cornflower 100ml Gentle Remover For Sensitive Eyes</t>
        </is>
      </c>
      <c r="C14132" t="inlineStr">
        <is>
          <t>Makeup Remover</t>
        </is>
      </c>
      <c r="D14132" t="inlineStr">
        <is>
          <t>Klorane</t>
        </is>
      </c>
      <c r="E14132" t="n">
        <v>7.02</v>
      </c>
      <c r="F14132" t="n">
        <v>1</v>
      </c>
      <c r="G14132" t="n">
        <v>6</v>
      </c>
      <c r="H14132" s="5">
        <f>HYPERLINK("https://api.qogita.com/variants/link/3282770204209/", "View Product")</f>
        <v/>
      </c>
    </row>
    <row r="14133">
      <c r="A14133" t="inlineStr">
        <is>
          <t>3282770204681</t>
        </is>
      </c>
      <c r="B14133" t="inlineStr">
        <is>
          <t>Avne Cicalfate Repairing Protective Cream 100ml</t>
        </is>
      </c>
      <c r="C14133" t="inlineStr">
        <is>
          <t>Face Cream</t>
        </is>
      </c>
      <c r="D14133" t="inlineStr">
        <is>
          <t>Avène</t>
        </is>
      </c>
      <c r="E14133" t="n">
        <v>15.44</v>
      </c>
      <c r="F14133" t="n">
        <v>1</v>
      </c>
      <c r="G14133" t="n">
        <v>15</v>
      </c>
      <c r="H14133" s="5">
        <f>HYPERLINK("https://api.qogita.com/variants/link/3282770204681/", "View Product")</f>
        <v/>
      </c>
    </row>
    <row r="14134">
      <c r="A14134" t="inlineStr">
        <is>
          <t>3282770207224</t>
        </is>
      </c>
      <c r="B14134" t="inlineStr">
        <is>
          <t>Avne Avene High Definition Mascara Black 7ml</t>
        </is>
      </c>
      <c r="C14134" t="inlineStr">
        <is>
          <t>Mascara</t>
        </is>
      </c>
      <c r="D14134" t="inlineStr">
        <is>
          <t>Avène</t>
        </is>
      </c>
      <c r="E14134" t="n">
        <v>18.1</v>
      </c>
      <c r="F14134" t="n">
        <v>1</v>
      </c>
      <c r="G14134" t="n">
        <v>30</v>
      </c>
      <c r="H14134" s="5">
        <f>HYPERLINK("https://api.qogita.com/variants/link/3282770207224/", "View Product")</f>
        <v/>
      </c>
    </row>
    <row r="14135">
      <c r="A14135" t="inlineStr">
        <is>
          <t>3282770389043</t>
        </is>
      </c>
      <c r="B14135" t="inlineStr">
        <is>
          <t>Avne Body Deodorant 24h Rollon Deodorant 50 Ml</t>
        </is>
      </c>
      <c r="C14135" t="inlineStr">
        <is>
          <t>Deodorant &amp; Anti-Perspirant</t>
        </is>
      </c>
      <c r="D14135" t="inlineStr">
        <is>
          <t>Avène</t>
        </is>
      </c>
      <c r="E14135" t="n">
        <v>11.23</v>
      </c>
      <c r="F14135" t="n">
        <v>1</v>
      </c>
      <c r="G14135" t="n">
        <v>19</v>
      </c>
      <c r="H14135" s="5">
        <f>HYPERLINK("https://api.qogita.com/variants/link/3282770389043/", "View Product")</f>
        <v/>
      </c>
    </row>
    <row r="14136">
      <c r="A14136" t="inlineStr">
        <is>
          <t>3282770389593</t>
        </is>
      </c>
      <c r="B14136" t="inlineStr">
        <is>
          <t>Ducray Melascreen Anti Spot Serum Depigmenting 40ml</t>
        </is>
      </c>
      <c r="C14136" t="inlineStr">
        <is>
          <t>Face Serum</t>
        </is>
      </c>
      <c r="D14136" t="inlineStr">
        <is>
          <t>Ducray</t>
        </is>
      </c>
      <c r="E14136" t="n">
        <v>25.17</v>
      </c>
      <c r="F14136" t="n">
        <v>1</v>
      </c>
      <c r="G14136" t="n">
        <v>3</v>
      </c>
      <c r="H14136" s="5">
        <f>HYPERLINK("https://api.qogita.com/variants/link/3282770389593/", "View Product")</f>
        <v/>
      </c>
    </row>
    <row r="14137">
      <c r="A14137" t="inlineStr">
        <is>
          <t>3282770390117</t>
        </is>
      </c>
      <c r="B14137" t="inlineStr">
        <is>
          <t>Ren Furterer Head Spa Astera Soothing Freshness Concentrate 50ml Soothing Hair Oil For Sensitive And Irritated Skin</t>
        </is>
      </c>
      <c r="C14137" t="inlineStr">
        <is>
          <t>Hair Oil &amp; Hair Serum</t>
        </is>
      </c>
      <c r="D14137" t="inlineStr">
        <is>
          <t>Rene Furterer</t>
        </is>
      </c>
      <c r="E14137" t="n">
        <v>25.71</v>
      </c>
      <c r="F14137" t="n">
        <v>1</v>
      </c>
      <c r="G14137" t="n">
        <v>14</v>
      </c>
      <c r="H14137" s="5">
        <f>HYPERLINK("https://api.qogita.com/variants/link/3282770390117/", "View Product")</f>
        <v/>
      </c>
    </row>
    <row r="14138">
      <c r="A14138" t="inlineStr">
        <is>
          <t>3282770390759</t>
        </is>
      </c>
      <c r="B14138" t="inlineStr">
        <is>
          <t>Klorane Extra Gentle Dry Shampoo With Oat Milk 150ml</t>
        </is>
      </c>
      <c r="C14138" t="inlineStr">
        <is>
          <t>Dry Shampoo</t>
        </is>
      </c>
      <c r="D14138" t="inlineStr">
        <is>
          <t>Klorane</t>
        </is>
      </c>
      <c r="E14138" t="n">
        <v>10.8</v>
      </c>
      <c r="F14138" t="n">
        <v>1</v>
      </c>
      <c r="G14138" t="n">
        <v>5</v>
      </c>
      <c r="H14138" s="5">
        <f>HYPERLINK("https://api.qogita.com/variants/link/3282770390759/", "View Product")</f>
        <v/>
      </c>
    </row>
    <row r="14139">
      <c r="A14139" t="inlineStr">
        <is>
          <t>3282770391787</t>
        </is>
      </c>
      <c r="B14139" t="inlineStr">
        <is>
          <t>A-Derma Biology Ac Skin Renewal Serum For Night Peel 30ml</t>
        </is>
      </c>
      <c r="C14139" t="inlineStr">
        <is>
          <t>Anti-Aging Serum</t>
        </is>
      </c>
      <c r="D14139" t="inlineStr">
        <is>
          <t>A-Derma</t>
        </is>
      </c>
      <c r="E14139" t="n">
        <v>24.24</v>
      </c>
      <c r="F14139" t="n">
        <v>1</v>
      </c>
      <c r="G14139" t="n">
        <v>5</v>
      </c>
      <c r="H14139" s="5">
        <f>HYPERLINK("https://api.qogita.com/variants/link/3282770391787/", "View Product")</f>
        <v/>
      </c>
    </row>
    <row r="14140">
      <c r="A14140" t="inlineStr">
        <is>
          <t>3282770392999</t>
        </is>
      </c>
      <c r="B14140" t="inlineStr">
        <is>
          <t>Avene Sun Spray Spf 30 200ml - Protect Your Skin With This Effective Sunscreen</t>
        </is>
      </c>
      <c r="C14140" t="inlineStr">
        <is>
          <t>Body Sun Protection</t>
        </is>
      </c>
      <c r="D14140" t="inlineStr">
        <is>
          <t>Avène</t>
        </is>
      </c>
      <c r="E14140" t="n">
        <v>21.43</v>
      </c>
      <c r="F14140" t="n">
        <v>1</v>
      </c>
      <c r="G14140" t="n">
        <v>11</v>
      </c>
      <c r="H14140" s="5">
        <f>HYPERLINK("https://api.qogita.com/variants/link/3282770392999/", "View Product")</f>
        <v/>
      </c>
    </row>
    <row r="14141">
      <c r="A14141" t="inlineStr">
        <is>
          <t>3282770393620</t>
        </is>
      </c>
      <c r="B14141" t="inlineStr">
        <is>
          <t>Avne Cicalfate Serum 30ml Intense Repair Serum</t>
        </is>
      </c>
      <c r="C14141" t="inlineStr">
        <is>
          <t>Hydrating Serum</t>
        </is>
      </c>
      <c r="D14141" t="inlineStr">
        <is>
          <t>Avène</t>
        </is>
      </c>
      <c r="E14141" t="n">
        <v>30.86</v>
      </c>
      <c r="F14141" t="n">
        <v>1</v>
      </c>
      <c r="G14141" t="n">
        <v>3</v>
      </c>
      <c r="H14141" s="5">
        <f>HYPERLINK("https://api.qogita.com/variants/link/3282770393620/", "View Product")</f>
        <v/>
      </c>
    </row>
    <row r="14142">
      <c r="A14142" t="inlineStr">
        <is>
          <t>3282770394467</t>
        </is>
      </c>
      <c r="B14142" t="inlineStr">
        <is>
          <t>Avne Avene Cicalfate Multiprotective Repair Cream Spf 50 30ml</t>
        </is>
      </c>
      <c r="C14142" t="inlineStr">
        <is>
          <t>Face Sun Protection</t>
        </is>
      </c>
      <c r="D14142" t="inlineStr">
        <is>
          <t>Avène</t>
        </is>
      </c>
      <c r="E14142" t="n">
        <v>12.31</v>
      </c>
      <c r="F14142" t="n">
        <v>1</v>
      </c>
      <c r="G14142" t="n">
        <v>20</v>
      </c>
      <c r="H14142" s="5">
        <f>HYPERLINK("https://api.qogita.com/variants/link/3282770394467/", "View Product")</f>
        <v/>
      </c>
    </row>
    <row r="14143">
      <c r="A14143" t="inlineStr">
        <is>
          <t>3282770396874</t>
        </is>
      </c>
      <c r="B14143" t="inlineStr">
        <is>
          <t>Avene Invisible Body Sunscreen Milk Spf 50</t>
        </is>
      </c>
      <c r="C14143" t="inlineStr">
        <is>
          <t>Body Sun Protection</t>
        </is>
      </c>
      <c r="D14143" t="inlineStr">
        <is>
          <t>Avène</t>
        </is>
      </c>
      <c r="E14143" t="n">
        <v>14.77</v>
      </c>
      <c r="F14143" t="n">
        <v>1</v>
      </c>
      <c r="G14143" t="n">
        <v>14</v>
      </c>
      <c r="H14143" s="5">
        <f>HYPERLINK("https://api.qogita.com/variants/link/3282770396874/", "View Product")</f>
        <v/>
      </c>
    </row>
    <row r="14144">
      <c r="A14144" t="inlineStr">
        <is>
          <t>3282770396904</t>
        </is>
      </c>
      <c r="B14144" t="inlineStr">
        <is>
          <t>A-Derma Soothing Bath Anti-Itch</t>
        </is>
      </c>
      <c r="C14144" t="inlineStr">
        <is>
          <t>Body Lotion</t>
        </is>
      </c>
      <c r="D14144" t="inlineStr">
        <is>
          <t>A-Derma</t>
        </is>
      </c>
      <c r="E14144" t="n">
        <v>10.47</v>
      </c>
      <c r="F14144" t="n">
        <v>1</v>
      </c>
      <c r="G14144" t="n">
        <v>5</v>
      </c>
      <c r="H14144" s="5">
        <f>HYPERLINK("https://api.qogita.com/variants/link/3282770396904/", "View Product")</f>
        <v/>
      </c>
    </row>
    <row r="14145">
      <c r="A14145" t="inlineStr">
        <is>
          <t>3282770397765</t>
        </is>
      </c>
      <c r="B14145" t="inlineStr">
        <is>
          <t>A-Derma Exomega Control Emollient Sun Cream Spf50+ 150 Ml</t>
        </is>
      </c>
      <c r="C14145" t="inlineStr">
        <is>
          <t>Face Sun Protection</t>
        </is>
      </c>
      <c r="D14145" t="inlineStr">
        <is>
          <t>A-Derma</t>
        </is>
      </c>
      <c r="E14145" t="n">
        <v>17.35</v>
      </c>
      <c r="F14145" t="n">
        <v>1</v>
      </c>
      <c r="G14145" t="n">
        <v>2</v>
      </c>
      <c r="H14145" s="5">
        <f>HYPERLINK("https://api.qogita.com/variants/link/3282770397765/", "View Product")</f>
        <v/>
      </c>
    </row>
    <row r="14146">
      <c r="A14146" t="inlineStr">
        <is>
          <t>3282779003131</t>
        </is>
      </c>
      <c r="B14146" t="inlineStr">
        <is>
          <t>Avene Thermal Spring Water - 300ml</t>
        </is>
      </c>
      <c r="C14146" t="inlineStr">
        <is>
          <t>Facial Spray</t>
        </is>
      </c>
      <c r="D14146" t="inlineStr">
        <is>
          <t>Avène</t>
        </is>
      </c>
      <c r="E14146" t="n">
        <v>8.85</v>
      </c>
      <c r="F14146" t="n">
        <v>1</v>
      </c>
      <c r="G14146" t="n">
        <v>21</v>
      </c>
      <c r="H14146" s="5">
        <f>HYPERLINK("https://api.qogita.com/variants/link/3282779003131/", "View Product")</f>
        <v/>
      </c>
    </row>
    <row r="14147">
      <c r="A14147" t="inlineStr">
        <is>
          <t>3282779254892</t>
        </is>
      </c>
      <c r="B14147" t="inlineStr">
        <is>
          <t>Face and Body by Eau Thermale Avene Cold Cream Ultra Rich Cleansing Bar 100g</t>
        </is>
      </c>
      <c r="C14147" t="inlineStr">
        <is>
          <t>Soap</t>
        </is>
      </c>
      <c r="D14147" t="inlineStr">
        <is>
          <t>Avène</t>
        </is>
      </c>
      <c r="E14147" t="n">
        <v>7.75</v>
      </c>
      <c r="F14147" t="n">
        <v>1</v>
      </c>
      <c r="G14147" t="n">
        <v>14</v>
      </c>
      <c r="H14147" s="5">
        <f>HYPERLINK("https://api.qogita.com/variants/link/3282779254892/", "View Product")</f>
        <v/>
      </c>
    </row>
    <row r="14148">
      <c r="A14148" t="inlineStr">
        <is>
          <t>3282779379250</t>
        </is>
      </c>
      <c r="B14148" t="inlineStr">
        <is>
          <t>HYALURON ACTIV B3 SERUM - Skincare Serum</t>
        </is>
      </c>
      <c r="C14148" t="inlineStr">
        <is>
          <t>Hyaluronic Acid Serum</t>
        </is>
      </c>
      <c r="D14148" t="inlineStr">
        <is>
          <t>‎- Unknown</t>
        </is>
      </c>
      <c r="E14148" t="n">
        <v>43.75</v>
      </c>
      <c r="F14148" t="n">
        <v>1</v>
      </c>
      <c r="G14148" t="n">
        <v>14</v>
      </c>
      <c r="H14148" s="5">
        <f>HYPERLINK("https://api.qogita.com/variants/link/3282779379250/", "View Product")</f>
        <v/>
      </c>
    </row>
    <row r="14149">
      <c r="A14149" t="inlineStr">
        <is>
          <t>3282779392174</t>
        </is>
      </c>
      <c r="B14149" t="inlineStr">
        <is>
          <t>Ducray Diaseptyl Aqueous Solution 125ml Cleans And Purifies The Skin</t>
        </is>
      </c>
      <c r="C14149" t="inlineStr">
        <is>
          <t>Cleansing Gel</t>
        </is>
      </c>
      <c r="D14149" t="inlineStr">
        <is>
          <t>Ducray</t>
        </is>
      </c>
      <c r="E14149" t="n">
        <v>7.83</v>
      </c>
      <c r="F14149" t="n">
        <v>1</v>
      </c>
      <c r="G14149" t="n">
        <v>4</v>
      </c>
      <c r="H14149" s="5">
        <f>HYPERLINK("https://api.qogita.com/variants/link/3282779392174/", "View Product")</f>
        <v/>
      </c>
    </row>
    <row r="14150">
      <c r="A14150" t="inlineStr">
        <is>
          <t>3282779417075</t>
        </is>
      </c>
      <c r="B14150" t="inlineStr">
        <is>
          <t>Klorane Cold Wax Small Strips For The Face 6 Pieces</t>
        </is>
      </c>
      <c r="C14150" t="inlineStr">
        <is>
          <t>Razors &amp; Hair Removal Tools</t>
        </is>
      </c>
      <c r="D14150" t="inlineStr">
        <is>
          <t>Klorane</t>
        </is>
      </c>
      <c r="E14150" t="n">
        <v>8.68</v>
      </c>
      <c r="F14150" t="n">
        <v>1</v>
      </c>
      <c r="G14150" t="n">
        <v>5</v>
      </c>
      <c r="H14150" s="5">
        <f>HYPERLINK("https://api.qogita.com/variants/link/3282779417075/", "View Product")</f>
        <v/>
      </c>
    </row>
    <row r="14151">
      <c r="A14151" t="inlineStr">
        <is>
          <t>3282779420884</t>
        </is>
      </c>
      <c r="B14151" t="inlineStr">
        <is>
          <t>Couvrance High Tolerance Mascara Black 7ml</t>
        </is>
      </c>
      <c r="C14151" t="inlineStr">
        <is>
          <t>Mascara</t>
        </is>
      </c>
      <c r="D14151" t="inlineStr">
        <is>
          <t>Couvrance</t>
        </is>
      </c>
      <c r="E14151" t="n">
        <v>18.18</v>
      </c>
      <c r="F14151" t="n">
        <v>1</v>
      </c>
      <c r="G14151" t="n">
        <v>29</v>
      </c>
      <c r="H14151" s="5">
        <f>HYPERLINK("https://api.qogita.com/variants/link/3282779420884/", "View Product")</f>
        <v/>
      </c>
    </row>
    <row r="14152">
      <c r="A14152" t="inlineStr">
        <is>
          <t>3284410013998</t>
        </is>
      </c>
      <c r="B14152" t="inlineStr">
        <is>
          <t>Melvita Extra Soft Foot Repair Cream 150ml</t>
        </is>
      </c>
      <c r="C14152" t="inlineStr">
        <is>
          <t>Foot Cream</t>
        </is>
      </c>
      <c r="D14152" t="inlineStr">
        <is>
          <t>Melvita</t>
        </is>
      </c>
      <c r="E14152" t="n">
        <v>12.68</v>
      </c>
      <c r="F14152" t="n">
        <v>1</v>
      </c>
      <c r="G14152" t="n">
        <v>3</v>
      </c>
      <c r="H14152" s="5">
        <f>HYPERLINK("https://api.qogita.com/variants/link/3284410013998/", "View Product")</f>
        <v/>
      </c>
    </row>
    <row r="14153">
      <c r="A14153" t="inlineStr">
        <is>
          <t>3284410051358</t>
        </is>
      </c>
      <c r="B14153" t="inlineStr">
        <is>
          <t>Melvita Hydra-Perfecting Body Cream with Plant Gold Intensive</t>
        </is>
      </c>
      <c r="C14153" t="inlineStr">
        <is>
          <t>Anti-Cellulite</t>
        </is>
      </c>
      <c r="D14153" t="inlineStr">
        <is>
          <t>Melvita</t>
        </is>
      </c>
      <c r="E14153" t="n">
        <v>17.03</v>
      </c>
      <c r="F14153" t="n">
        <v>1</v>
      </c>
      <c r="G14153" t="n">
        <v>3</v>
      </c>
      <c r="H14153" s="5">
        <f>HYPERLINK("https://api.qogita.com/variants/link/3284410051358/", "View Product")</f>
        <v/>
      </c>
    </row>
    <row r="14154">
      <c r="A14154" t="inlineStr">
        <is>
          <t>3284410051419</t>
        </is>
      </c>
      <c r="B14154" t="inlineStr">
        <is>
          <t>Melvita L'Or Vegetal Smoothing Exfoliating Soap 12g</t>
        </is>
      </c>
      <c r="C14154" t="inlineStr">
        <is>
          <t>Soap</t>
        </is>
      </c>
      <c r="D14154" t="inlineStr">
        <is>
          <t>Melvita</t>
        </is>
      </c>
      <c r="E14154" t="n">
        <v>10.8</v>
      </c>
      <c r="F14154" t="n">
        <v>1</v>
      </c>
      <c r="G14154" t="n">
        <v>2</v>
      </c>
      <c r="H14154" s="5">
        <f>HYPERLINK("https://api.qogita.com/variants/link/3284410051419/", "View Product")</f>
        <v/>
      </c>
    </row>
    <row r="14155">
      <c r="A14155" t="inlineStr">
        <is>
          <t>3295810100058</t>
        </is>
      </c>
      <c r="B14155" t="inlineStr">
        <is>
          <t>A-Inspiration Narrow Roadway Eau De Parfum</t>
        </is>
      </c>
      <c r="C14155" t="inlineStr">
        <is>
          <t>Eau De Parfum</t>
        </is>
      </c>
      <c r="D14155" t="inlineStr">
        <is>
          <t>Ainspiration</t>
        </is>
      </c>
      <c r="E14155" t="n">
        <v>15.52</v>
      </c>
      <c r="F14155" t="n">
        <v>1</v>
      </c>
      <c r="G14155" t="n">
        <v>6</v>
      </c>
      <c r="H14155" s="5">
        <f>HYPERLINK("https://api.qogita.com/variants/link/3295810100058/", "View Product")</f>
        <v/>
      </c>
    </row>
    <row r="14156">
      <c r="A14156" t="inlineStr">
        <is>
          <t>3296665478217</t>
        </is>
      </c>
      <c r="B14156" t="inlineStr">
        <is>
          <t>Royal Collection Black X Eau De Parfum</t>
        </is>
      </c>
      <c r="C14156" t="inlineStr">
        <is>
          <t>Eau De Parfum</t>
        </is>
      </c>
      <c r="D14156" t="inlineStr">
        <is>
          <t>Royal Collection</t>
        </is>
      </c>
      <c r="E14156" t="n">
        <v>18.33</v>
      </c>
      <c r="F14156" t="n">
        <v>1</v>
      </c>
      <c r="G14156" t="n">
        <v>8</v>
      </c>
      <c r="H14156" s="5">
        <f>HYPERLINK("https://api.qogita.com/variants/link/3296665478217/", "View Product")</f>
        <v/>
      </c>
    </row>
    <row r="14157">
      <c r="A14157" t="inlineStr">
        <is>
          <t>3306610956391</t>
        </is>
      </c>
      <c r="B14157" t="inlineStr">
        <is>
          <t>Chopperhead Leave-In Beard Conditioner 50ml</t>
        </is>
      </c>
      <c r="C14157" t="inlineStr">
        <is>
          <t>Beard Care Accessories</t>
        </is>
      </c>
      <c r="D14157" t="inlineStr">
        <is>
          <t>Chopperhead</t>
        </is>
      </c>
      <c r="E14157" t="n">
        <v>6.99</v>
      </c>
      <c r="F14157" t="n">
        <v>1</v>
      </c>
      <c r="G14157" t="n">
        <v>14</v>
      </c>
      <c r="H14157" s="5">
        <f>HYPERLINK("https://api.qogita.com/variants/link/3306610956391/", "View Product")</f>
        <v/>
      </c>
    </row>
    <row r="14158">
      <c r="A14158" t="inlineStr">
        <is>
          <t>3306610958487</t>
        </is>
      </c>
      <c r="B14158" t="inlineStr">
        <is>
          <t>Chopperhead Precision Shaving Gel 200ml</t>
        </is>
      </c>
      <c r="C14158" t="inlineStr">
        <is>
          <t>Shaving</t>
        </is>
      </c>
      <c r="D14158" t="inlineStr">
        <is>
          <t>Chopperhead</t>
        </is>
      </c>
      <c r="E14158" t="n">
        <v>7.45</v>
      </c>
      <c r="F14158" t="n">
        <v>1</v>
      </c>
      <c r="G14158" t="n">
        <v>14</v>
      </c>
      <c r="H14158" s="5">
        <f>HYPERLINK("https://api.qogita.com/variants/link/3306610958487/", "View Product")</f>
        <v/>
      </c>
    </row>
    <row r="14159">
      <c r="A14159" t="inlineStr">
        <is>
          <t>3326240018634</t>
        </is>
      </c>
      <c r="B14159" t="inlineStr">
        <is>
          <t>Ulric De Varens Black Men Eau De Toilette Spray 100ml</t>
        </is>
      </c>
      <c r="C14159" t="inlineStr">
        <is>
          <t>Eau De Toilette</t>
        </is>
      </c>
      <c r="D14159" t="inlineStr">
        <is>
          <t>Ulric De Varens</t>
        </is>
      </c>
      <c r="E14159" t="n">
        <v>5.67</v>
      </c>
      <c r="F14159" t="n">
        <v>1</v>
      </c>
      <c r="G14159" t="n">
        <v>2</v>
      </c>
      <c r="H14159" s="5">
        <f>HYPERLINK("https://api.qogita.com/variants/link/3326240018634/", "View Product")</f>
        <v/>
      </c>
    </row>
    <row r="14160">
      <c r="A14160" t="inlineStr">
        <is>
          <t>3331300062984</t>
        </is>
      </c>
      <c r="B14160" t="inlineStr">
        <is>
          <t>Batiste Sunset Vibes Dry Shampoo 200ml</t>
        </is>
      </c>
      <c r="C14160" t="inlineStr">
        <is>
          <t>Dry Shampoo</t>
        </is>
      </c>
      <c r="D14160" t="inlineStr">
        <is>
          <t>Batiste</t>
        </is>
      </c>
      <c r="E14160" t="n">
        <v>4.2</v>
      </c>
      <c r="F14160" t="n">
        <v>1</v>
      </c>
      <c r="G14160" t="n">
        <v>3</v>
      </c>
      <c r="H14160" s="5">
        <f>HYPERLINK("https://api.qogita.com/variants/link/3331300062984/", "View Product")</f>
        <v/>
      </c>
    </row>
    <row r="14161">
      <c r="A14161" t="inlineStr">
        <is>
          <t>3331436101014</t>
        </is>
      </c>
      <c r="B14161" t="inlineStr">
        <is>
          <t>Salvador Dali Eau De Ruby Lips Eau De Toilette Spray 30ml</t>
        </is>
      </c>
      <c r="C14161" t="inlineStr">
        <is>
          <t>Eau De Toilette</t>
        </is>
      </c>
      <c r="D14161" t="inlineStr">
        <is>
          <t>Salvador Dali</t>
        </is>
      </c>
      <c r="E14161" t="n">
        <v>7.89</v>
      </c>
      <c r="F14161" t="n">
        <v>1</v>
      </c>
      <c r="G14161" t="n">
        <v>41</v>
      </c>
      <c r="H14161" s="5">
        <f>HYPERLINK("https://api.qogita.com/variants/link/3331436101014/", "View Product")</f>
        <v/>
      </c>
    </row>
    <row r="14162">
      <c r="A14162" t="inlineStr">
        <is>
          <t>3331436101021</t>
        </is>
      </c>
      <c r="B14162" t="inlineStr">
        <is>
          <t>Salvador Dali Eau De Ruby Lips Eau De Toilette Spray 50ml</t>
        </is>
      </c>
      <c r="C14162" t="inlineStr">
        <is>
          <t>Eau De Toilette</t>
        </is>
      </c>
      <c r="D14162" t="inlineStr">
        <is>
          <t>Salvador Dali</t>
        </is>
      </c>
      <c r="E14162" t="n">
        <v>11.13</v>
      </c>
      <c r="F14162" t="n">
        <v>1</v>
      </c>
      <c r="G14162" t="n">
        <v>23</v>
      </c>
      <c r="H14162" s="5">
        <f>HYPERLINK("https://api.qogita.com/variants/link/3331436101021/", "View Product")</f>
        <v/>
      </c>
    </row>
    <row r="14163">
      <c r="A14163" t="inlineStr">
        <is>
          <t>3331438910010</t>
        </is>
      </c>
      <c r="B14163" t="inlineStr">
        <is>
          <t>Salvador Dali Dalia Eau De Toilette 30ml For Women</t>
        </is>
      </c>
      <c r="C14163" t="inlineStr">
        <is>
          <t>Eau De Toilette</t>
        </is>
      </c>
      <c r="D14163" t="inlineStr">
        <is>
          <t>Salvador Dali</t>
        </is>
      </c>
      <c r="E14163" t="n">
        <v>8.99</v>
      </c>
      <c r="F14163" t="n">
        <v>1</v>
      </c>
      <c r="G14163" t="n">
        <v>35</v>
      </c>
      <c r="H14163" s="5">
        <f>HYPERLINK("https://api.qogita.com/variants/link/3331438910010/", "View Product")</f>
        <v/>
      </c>
    </row>
    <row r="14164">
      <c r="A14164" t="inlineStr">
        <is>
          <t>3331438910027</t>
        </is>
      </c>
      <c r="B14164" t="inlineStr">
        <is>
          <t>Salvador Dali Dalia Eau De Toilette 50ml Women Spray</t>
        </is>
      </c>
      <c r="C14164" t="inlineStr">
        <is>
          <t>Eau De Toilette</t>
        </is>
      </c>
      <c r="D14164" t="inlineStr">
        <is>
          <t>Salvador Dali</t>
        </is>
      </c>
      <c r="E14164" t="n">
        <v>14.27</v>
      </c>
      <c r="F14164" t="n">
        <v>1</v>
      </c>
      <c r="G14164" t="n">
        <v>282</v>
      </c>
      <c r="H14164" s="5">
        <f>HYPERLINK("https://api.qogita.com/variants/link/3331438910027/", "View Product")</f>
        <v/>
      </c>
    </row>
    <row r="14165">
      <c r="A14165" t="inlineStr">
        <is>
          <t>3331438957107</t>
        </is>
      </c>
      <c r="B14165" t="inlineStr">
        <is>
          <t>Salvador Dali Laguna Edition Speciale Eau De Toilette Spray 30ml</t>
        </is>
      </c>
      <c r="C14165" t="inlineStr">
        <is>
          <t>Eau De Toilette</t>
        </is>
      </c>
      <c r="D14165" t="inlineStr">
        <is>
          <t>Salvador Dali</t>
        </is>
      </c>
      <c r="E14165" t="n">
        <v>7.67</v>
      </c>
      <c r="F14165" t="n">
        <v>1</v>
      </c>
      <c r="G14165" t="n">
        <v>36</v>
      </c>
      <c r="H14165" s="5">
        <f>HYPERLINK("https://api.qogita.com/variants/link/3331438957107/", "View Product")</f>
        <v/>
      </c>
    </row>
    <row r="14166">
      <c r="A14166" t="inlineStr">
        <is>
          <t>3331849009266</t>
        </is>
      </c>
      <c r="B14166" t="inlineStr">
        <is>
          <t>Berdoues Peony &amp; Rhubarb Eau De Toilette 100ml</t>
        </is>
      </c>
      <c r="C14166" t="inlineStr">
        <is>
          <t>Eau De Toilette</t>
        </is>
      </c>
      <c r="D14166" t="inlineStr">
        <is>
          <t>Berdoues</t>
        </is>
      </c>
      <c r="E14166" t="n">
        <v>16.2</v>
      </c>
      <c r="F14166" t="n">
        <v>1</v>
      </c>
      <c r="G14166" t="n">
        <v>6</v>
      </c>
      <c r="H14166" s="5">
        <f>HYPERLINK("https://api.qogita.com/variants/link/3331849009266/", "View Product")</f>
        <v/>
      </c>
    </row>
    <row r="14167">
      <c r="A14167" t="inlineStr">
        <is>
          <t>3337871318697</t>
        </is>
      </c>
      <c r="B14167" t="inlineStr">
        <is>
          <t>Vichy Sos Balm After Sun 100 Ml</t>
        </is>
      </c>
      <c r="C14167" t="inlineStr">
        <is>
          <t>Aftersun</t>
        </is>
      </c>
      <c r="D14167" t="inlineStr">
        <is>
          <t>Vichy</t>
        </is>
      </c>
      <c r="E14167" t="n">
        <v>14.06</v>
      </c>
      <c r="F14167" t="n">
        <v>1</v>
      </c>
      <c r="G14167" t="n">
        <v>5</v>
      </c>
      <c r="H14167" s="5">
        <f>HYPERLINK("https://api.qogita.com/variants/link/3337871318697/", "View Product")</f>
        <v/>
      </c>
    </row>
    <row r="14168">
      <c r="A14168" t="inlineStr">
        <is>
          <t>3337871320324</t>
        </is>
      </c>
      <c r="B14168" t="inlineStr">
        <is>
          <t>Vichy Antiperspirant Sensitive Deo Rollon 48 Hours 50 Ml</t>
        </is>
      </c>
      <c r="C14168" t="inlineStr">
        <is>
          <t>Deodorant &amp; Anti-Perspirant</t>
        </is>
      </c>
      <c r="D14168" t="inlineStr">
        <is>
          <t>Vichy</t>
        </is>
      </c>
      <c r="E14168" t="n">
        <v>9.68</v>
      </c>
      <c r="F14168" t="n">
        <v>1</v>
      </c>
      <c r="G14168" t="n">
        <v>5</v>
      </c>
      <c r="H14168" s="5">
        <f>HYPERLINK("https://api.qogita.com/variants/link/3337871320324/", "View Product")</f>
        <v/>
      </c>
    </row>
    <row r="14169">
      <c r="A14169" t="inlineStr">
        <is>
          <t>3337871320362</t>
        </is>
      </c>
      <c r="B14169" t="inlineStr">
        <is>
          <t>Vichy Homme Antiperspirant Deodorant Rollon 72h 50 Ml</t>
        </is>
      </c>
      <c r="C14169" t="inlineStr">
        <is>
          <t>Deodorant &amp; Anti-Perspirant</t>
        </is>
      </c>
      <c r="D14169" t="inlineStr">
        <is>
          <t>Vichy</t>
        </is>
      </c>
      <c r="E14169" t="n">
        <v>9.91</v>
      </c>
      <c r="F14169" t="n">
        <v>1</v>
      </c>
      <c r="G14169" t="n">
        <v>32</v>
      </c>
      <c r="H14169" s="5">
        <f>HYPERLINK("https://api.qogita.com/variants/link/3337871320362/", "View Product")</f>
        <v/>
      </c>
    </row>
    <row r="14170">
      <c r="A14170" t="inlineStr">
        <is>
          <t>3337871321994</t>
        </is>
      </c>
      <c r="B14170" t="inlineStr">
        <is>
          <t>Vichy Purete Thermale 3 In 1 Makeup Remover For Face And Eyes - 300 Ml</t>
        </is>
      </c>
      <c r="C14170" t="inlineStr">
        <is>
          <t>Makeup Remover</t>
        </is>
      </c>
      <c r="D14170" t="inlineStr">
        <is>
          <t>Vichy</t>
        </is>
      </c>
      <c r="E14170" t="n">
        <v>14.36</v>
      </c>
      <c r="F14170" t="n">
        <v>1</v>
      </c>
      <c r="G14170" t="n">
        <v>16</v>
      </c>
      <c r="H14170" s="5">
        <f>HYPERLINK("https://api.qogita.com/variants/link/3337871321994/", "View Product")</f>
        <v/>
      </c>
    </row>
    <row r="14171">
      <c r="A14171" t="inlineStr">
        <is>
          <t>3337871322243</t>
        </is>
      </c>
      <c r="B14171" t="inlineStr">
        <is>
          <t>Vichy Dercos Energising Shampoo 400ml</t>
        </is>
      </c>
      <c r="C14171" t="inlineStr">
        <is>
          <t>Shampoo</t>
        </is>
      </c>
      <c r="D14171" t="inlineStr">
        <is>
          <t>Vichy</t>
        </is>
      </c>
      <c r="E14171" t="n">
        <v>15.61</v>
      </c>
      <c r="F14171" t="n">
        <v>1</v>
      </c>
      <c r="G14171" t="n">
        <v>34</v>
      </c>
      <c r="H14171" s="5">
        <f>HYPERLINK("https://api.qogita.com/variants/link/3337871322243/", "View Product")</f>
        <v/>
      </c>
    </row>
    <row r="14172">
      <c r="A14172" t="inlineStr">
        <is>
          <t>3337871322656</t>
        </is>
      </c>
      <c r="B14172" t="inlineStr">
        <is>
          <t>Dercos Mineral Gentle Strengthening Shampoo For Hair 400ml</t>
        </is>
      </c>
      <c r="C14172" t="inlineStr">
        <is>
          <t>Shampoo</t>
        </is>
      </c>
      <c r="D14172" t="inlineStr">
        <is>
          <t>‎Dercos</t>
        </is>
      </c>
      <c r="E14172" t="n">
        <v>14.42</v>
      </c>
      <c r="F14172" t="n">
        <v>1</v>
      </c>
      <c r="G14172" t="n">
        <v>8</v>
      </c>
      <c r="H14172" s="5">
        <f>HYPERLINK("https://api.qogita.com/variants/link/3337871322656/", "View Product")</f>
        <v/>
      </c>
    </row>
    <row r="14173">
      <c r="A14173" t="inlineStr">
        <is>
          <t>3337871323394</t>
        </is>
      </c>
      <c r="B14173" t="inlineStr">
        <is>
          <t>Vichy Dercos Anti-Dandruff Shampoo For Sensitive Scalp 200ml</t>
        </is>
      </c>
      <c r="C14173" t="inlineStr">
        <is>
          <t>Shampoo</t>
        </is>
      </c>
      <c r="D14173" t="inlineStr">
        <is>
          <t>Vichy</t>
        </is>
      </c>
      <c r="E14173" t="n">
        <v>13.66</v>
      </c>
      <c r="F14173" t="n">
        <v>1</v>
      </c>
      <c r="G14173" t="n">
        <v>27</v>
      </c>
      <c r="H14173" s="5">
        <f>HYPERLINK("https://api.qogita.com/variants/link/3337871323394/", "View Product")</f>
        <v/>
      </c>
    </row>
    <row r="14174">
      <c r="A14174" t="inlineStr">
        <is>
          <t>3337871324445</t>
        </is>
      </c>
      <c r="B14174" t="inlineStr">
        <is>
          <t>Vichy Capital Soleil Tinted Protective Face Cream Spf 50 50ml</t>
        </is>
      </c>
      <c r="C14174" t="inlineStr">
        <is>
          <t>Tinted Day Cream</t>
        </is>
      </c>
      <c r="D14174" t="inlineStr">
        <is>
          <t>Vichy</t>
        </is>
      </c>
      <c r="E14174" t="n">
        <v>14.25</v>
      </c>
      <c r="F14174" t="n">
        <v>1</v>
      </c>
      <c r="G14174" t="n">
        <v>14</v>
      </c>
      <c r="H14174" s="5">
        <f>HYPERLINK("https://api.qogita.com/variants/link/3337871324445/", "View Product")</f>
        <v/>
      </c>
    </row>
    <row r="14175">
      <c r="A14175" t="inlineStr">
        <is>
          <t>3337871324582</t>
        </is>
      </c>
      <c r="B14175" t="inlineStr">
        <is>
          <t>Vichy Anti-Trace Antiperspirant Spray 48h 125ml</t>
        </is>
      </c>
      <c r="C14175" t="inlineStr">
        <is>
          <t>Deodorant &amp; Anti-Perspirant</t>
        </is>
      </c>
      <c r="D14175" t="inlineStr">
        <is>
          <t>Vichy</t>
        </is>
      </c>
      <c r="E14175" t="n">
        <v>11.15</v>
      </c>
      <c r="F14175" t="n">
        <v>1</v>
      </c>
      <c r="G14175" t="n">
        <v>15</v>
      </c>
      <c r="H14175" s="5">
        <f>HYPERLINK("https://api.qogita.com/variants/link/3337871324582/", "View Product")</f>
        <v/>
      </c>
    </row>
    <row r="14176">
      <c r="A14176" t="inlineStr">
        <is>
          <t>3337871325657</t>
        </is>
      </c>
      <c r="B14176" t="inlineStr">
        <is>
          <t>Vichy Anti-Transpirant Beauty Deodorant Roll-On</t>
        </is>
      </c>
      <c r="C14176" t="inlineStr">
        <is>
          <t>Deodorant &amp; Anti-Perspirant</t>
        </is>
      </c>
      <c r="D14176" t="inlineStr">
        <is>
          <t>Vichy</t>
        </is>
      </c>
      <c r="E14176" t="n">
        <v>10.93</v>
      </c>
      <c r="F14176" t="n">
        <v>1</v>
      </c>
      <c r="G14176" t="n">
        <v>22</v>
      </c>
      <c r="H14176" s="5">
        <f>HYPERLINK("https://api.qogita.com/variants/link/3337871325657/", "View Product")</f>
        <v/>
      </c>
    </row>
    <row r="14177">
      <c r="A14177" t="inlineStr">
        <is>
          <t>3337871325787</t>
        </is>
      </c>
      <c r="B14177" t="inlineStr">
        <is>
          <t>Vichy Ideal Soleil Bb Cream Spf 50 Natural Tan Shade 50ml</t>
        </is>
      </c>
      <c r="C14177" t="inlineStr">
        <is>
          <t>Face Sun Protection</t>
        </is>
      </c>
      <c r="D14177" t="inlineStr">
        <is>
          <t>Vichy</t>
        </is>
      </c>
      <c r="E14177" t="n">
        <v>14.59</v>
      </c>
      <c r="F14177" t="n">
        <v>1</v>
      </c>
      <c r="G14177" t="n">
        <v>3</v>
      </c>
      <c r="H14177" s="5">
        <f>HYPERLINK("https://api.qogita.com/variants/link/3337871325787/", "View Product")</f>
        <v/>
      </c>
    </row>
    <row r="14178">
      <c r="A14178" t="inlineStr">
        <is>
          <t>3337871330569</t>
        </is>
      </c>
      <c r="B14178" t="inlineStr">
        <is>
          <t>Vichy Puret Thermal Perfecting Toner 200ml A Refreshing Toner For A Perfected Complexion</t>
        </is>
      </c>
      <c r="C14178" t="inlineStr">
        <is>
          <t>Face Lotion</t>
        </is>
      </c>
      <c r="D14178" t="inlineStr">
        <is>
          <t>Vichy</t>
        </is>
      </c>
      <c r="E14178" t="n">
        <v>15.71</v>
      </c>
      <c r="F14178" t="n">
        <v>1</v>
      </c>
      <c r="G14178" t="n">
        <v>15</v>
      </c>
      <c r="H14178" s="5">
        <f>HYPERLINK("https://api.qogita.com/variants/link/3337871330569/", "View Product")</f>
        <v/>
      </c>
    </row>
    <row r="14179">
      <c r="A14179" t="inlineStr">
        <is>
          <t>3337871331290</t>
        </is>
      </c>
      <c r="B14179" t="inlineStr">
        <is>
          <t>Dercos Anti-Dandruff Shampoo For Normal And Oily Hair 390ml</t>
        </is>
      </c>
      <c r="C14179" t="inlineStr">
        <is>
          <t>Shampoo</t>
        </is>
      </c>
      <c r="D14179" t="inlineStr">
        <is>
          <t>‎Dercos</t>
        </is>
      </c>
      <c r="E14179" t="n">
        <v>15.85</v>
      </c>
      <c r="F14179" t="n">
        <v>1</v>
      </c>
      <c r="G14179" t="n">
        <v>43</v>
      </c>
      <c r="H14179" s="5">
        <f>HYPERLINK("https://api.qogita.com/variants/link/3337871331290/", "View Product")</f>
        <v/>
      </c>
    </row>
    <row r="14180">
      <c r="A14180" t="inlineStr">
        <is>
          <t>3337871397845</t>
        </is>
      </c>
      <c r="B14180" t="inlineStr">
        <is>
          <t>Vichy Anti-Perspirant Deodorant 48h Effectiveness 125ml - Pack of 2</t>
        </is>
      </c>
      <c r="C14180" t="inlineStr">
        <is>
          <t>Deodorant &amp; Anti-Perspirant</t>
        </is>
      </c>
      <c r="D14180" t="inlineStr">
        <is>
          <t>Vichy</t>
        </is>
      </c>
      <c r="E14180" t="n">
        <v>17.6</v>
      </c>
      <c r="F14180" t="n">
        <v>1</v>
      </c>
      <c r="G14180" t="n">
        <v>17</v>
      </c>
      <c r="H14180" s="5">
        <f>HYPERLINK("https://api.qogita.com/variants/link/3337871397845/", "View Product")</f>
        <v/>
      </c>
    </row>
    <row r="14181">
      <c r="A14181" t="inlineStr">
        <is>
          <t>3337872413148</t>
        </is>
      </c>
      <c r="B14181" t="inlineStr">
        <is>
          <t>La Rocheposay Micellar Foaming Water 150ml Gentle Cleansing For Sensitive Skin</t>
        </is>
      </c>
      <c r="C14181" t="inlineStr">
        <is>
          <t>Micellar Water</t>
        </is>
      </c>
      <c r="D14181" t="inlineStr">
        <is>
          <t>La Roche-Posay</t>
        </is>
      </c>
      <c r="E14181" t="n">
        <v>15.19</v>
      </c>
      <c r="F14181" t="n">
        <v>1</v>
      </c>
      <c r="G14181" t="n">
        <v>12</v>
      </c>
      <c r="H14181" s="5">
        <f>HYPERLINK("https://api.qogita.com/variants/link/3337872413148/", "View Product")</f>
        <v/>
      </c>
    </row>
    <row r="14182">
      <c r="A14182" t="inlineStr">
        <is>
          <t>3337872414145</t>
        </is>
      </c>
      <c r="B14182" t="inlineStr">
        <is>
          <t>La Rocheposay Cicaplast Barrier Repairing Cream 50ml Restorative And Protective Hand Cream</t>
        </is>
      </c>
      <c r="C14182" t="inlineStr">
        <is>
          <t>Hand Cream</t>
        </is>
      </c>
      <c r="D14182" t="inlineStr">
        <is>
          <t>La Roche-Posay</t>
        </is>
      </c>
      <c r="E14182" t="n">
        <v>10.33</v>
      </c>
      <c r="F14182" t="n">
        <v>1</v>
      </c>
      <c r="G14182" t="n">
        <v>65</v>
      </c>
      <c r="H14182" s="5">
        <f>HYPERLINK("https://api.qogita.com/variants/link/3337872414145/", "View Product")</f>
        <v/>
      </c>
    </row>
    <row r="14183">
      <c r="A14183" t="inlineStr">
        <is>
          <t>3337872414282</t>
        </is>
      </c>
      <c r="B14183" t="inlineStr">
        <is>
          <t>La Rocheposay Kerium Extra Gentle Shampoo 400ml</t>
        </is>
      </c>
      <c r="C14183" t="inlineStr">
        <is>
          <t>Shampoo</t>
        </is>
      </c>
      <c r="D14183" t="inlineStr">
        <is>
          <t>La Roche-Posay</t>
        </is>
      </c>
      <c r="E14183" t="n">
        <v>15.99</v>
      </c>
      <c r="F14183" t="n">
        <v>1</v>
      </c>
      <c r="G14183" t="n">
        <v>4</v>
      </c>
      <c r="H14183" s="5">
        <f>HYPERLINK("https://api.qogita.com/variants/link/3337872414282/", "View Product")</f>
        <v/>
      </c>
    </row>
    <row r="14184">
      <c r="A14184" t="inlineStr">
        <is>
          <t>3337872418785</t>
        </is>
      </c>
      <c r="B14184" t="inlineStr">
        <is>
          <t>La Roche-Posay Lipikar Nourishing Shower Gel 400ml</t>
        </is>
      </c>
      <c r="C14184" t="inlineStr">
        <is>
          <t>Shower Gel</t>
        </is>
      </c>
      <c r="D14184" t="inlineStr">
        <is>
          <t>La Roche-Posay</t>
        </is>
      </c>
      <c r="E14184" t="n">
        <v>10.9</v>
      </c>
      <c r="F14184" t="n">
        <v>1</v>
      </c>
      <c r="G14184" t="n">
        <v>8</v>
      </c>
      <c r="H14184" s="5">
        <f>HYPERLINK("https://api.qogita.com/variants/link/3337872418785/", "View Product")</f>
        <v/>
      </c>
    </row>
    <row r="14185">
      <c r="A14185" t="inlineStr">
        <is>
          <t>3337875414111</t>
        </is>
      </c>
      <c r="B14185" t="inlineStr">
        <is>
          <t>Vichy Normaderm Moisturizing Cream For Acne-Prone Skin 50ml</t>
        </is>
      </c>
      <c r="C14185" t="inlineStr">
        <is>
          <t>Pimple &amp; Blackhead Treatments</t>
        </is>
      </c>
      <c r="D14185" t="inlineStr">
        <is>
          <t>Vichy</t>
        </is>
      </c>
      <c r="E14185" t="n">
        <v>15.09</v>
      </c>
      <c r="F14185" t="n">
        <v>1</v>
      </c>
      <c r="G14185" t="n">
        <v>21</v>
      </c>
      <c r="H14185" s="5">
        <f>HYPERLINK("https://api.qogita.com/variants/link/3337875414111/", "View Product")</f>
        <v/>
      </c>
    </row>
    <row r="14186">
      <c r="A14186" t="inlineStr">
        <is>
          <t>3337875486736</t>
        </is>
      </c>
      <c r="B14186" t="inlineStr">
        <is>
          <t>Vichy Ultra Dercos Shampoo For Dry Hair 200 Ml</t>
        </is>
      </c>
      <c r="C14186" t="inlineStr">
        <is>
          <t>Shampoo</t>
        </is>
      </c>
      <c r="D14186" t="inlineStr">
        <is>
          <t>Vichy</t>
        </is>
      </c>
      <c r="E14186" t="n">
        <v>13.37</v>
      </c>
      <c r="F14186" t="n">
        <v>1</v>
      </c>
      <c r="G14186" t="n">
        <v>9</v>
      </c>
      <c r="H14186" s="5">
        <f>HYPERLINK("https://api.qogita.com/variants/link/3337875486736/", "View Product")</f>
        <v/>
      </c>
    </row>
    <row r="14187">
      <c r="A14187" t="inlineStr">
        <is>
          <t>3337875492799</t>
        </is>
      </c>
      <c r="B14187" t="inlineStr">
        <is>
          <t>Vichy Dercos Anti-Dandruff Shampoo For Dry Hair 390ml</t>
        </is>
      </c>
      <c r="C14187" t="inlineStr">
        <is>
          <t>Shampoo</t>
        </is>
      </c>
      <c r="D14187" t="inlineStr">
        <is>
          <t>Vichy</t>
        </is>
      </c>
      <c r="E14187" t="n">
        <v>14.61</v>
      </c>
      <c r="F14187" t="n">
        <v>1</v>
      </c>
      <c r="G14187" t="n">
        <v>117</v>
      </c>
      <c r="H14187" s="5">
        <f>HYPERLINK("https://api.qogita.com/variants/link/3337875492799/", "View Product")</f>
        <v/>
      </c>
    </row>
    <row r="14188">
      <c r="A14188" t="inlineStr">
        <is>
          <t>3337875522748</t>
        </is>
      </c>
      <c r="B14188" t="inlineStr">
        <is>
          <t>Vichy Dercos Aminexil Clinical 5 Multipurpose Antihair Loss Treatment For Men 21 X 6 Ml</t>
        </is>
      </c>
      <c r="C14188" t="inlineStr">
        <is>
          <t>Hair Tonic</t>
        </is>
      </c>
      <c r="D14188" t="inlineStr">
        <is>
          <t>Vichy</t>
        </is>
      </c>
      <c r="E14188" t="n">
        <v>49.59</v>
      </c>
      <c r="F14188" t="n">
        <v>1</v>
      </c>
      <c r="G14188" t="n">
        <v>17</v>
      </c>
      <c r="H14188" s="5">
        <f>HYPERLINK("https://api.qogita.com/variants/link/3337875522748/", "View Product")</f>
        <v/>
      </c>
    </row>
    <row r="14189">
      <c r="A14189" t="inlineStr">
        <is>
          <t>3337875537308</t>
        </is>
      </c>
      <c r="B14189" t="inlineStr">
        <is>
          <t>La Roche Posay Lipikar Syndet Ap+ 200ml</t>
        </is>
      </c>
      <c r="C14189" t="inlineStr">
        <is>
          <t>Soap</t>
        </is>
      </c>
      <c r="D14189" t="inlineStr">
        <is>
          <t>La Roche-Posay</t>
        </is>
      </c>
      <c r="E14189" t="n">
        <v>12.84</v>
      </c>
      <c r="F14189" t="n">
        <v>1</v>
      </c>
      <c r="G14189" t="n">
        <v>43</v>
      </c>
      <c r="H14189" s="5">
        <f>HYPERLINK("https://api.qogita.com/variants/link/3337875537308/", "View Product")</f>
        <v/>
      </c>
    </row>
    <row r="14190">
      <c r="A14190" t="inlineStr">
        <is>
          <t>3337875548519</t>
        </is>
      </c>
      <c r="B14190" t="inlineStr">
        <is>
          <t>La Rocheposay Cicaplast B5 Purifying Soothing Foaming Gel 200ml Cleansing Foam For Sensitive Skin</t>
        </is>
      </c>
      <c r="C14190" t="inlineStr">
        <is>
          <t>Cleansing Foam</t>
        </is>
      </c>
      <c r="D14190" t="inlineStr">
        <is>
          <t>La Roche-Posay</t>
        </is>
      </c>
      <c r="E14190" t="n">
        <v>12.06</v>
      </c>
      <c r="F14190" t="n">
        <v>1</v>
      </c>
      <c r="G14190" t="n">
        <v>26</v>
      </c>
      <c r="H14190" s="5">
        <f>HYPERLINK("https://api.qogita.com/variants/link/3337875548519/", "View Product")</f>
        <v/>
      </c>
    </row>
    <row r="14191">
      <c r="A14191" t="inlineStr">
        <is>
          <t>3337875552097</t>
        </is>
      </c>
      <c r="B14191" t="inlineStr">
        <is>
          <t>Lipikar Lait AP T200ML</t>
        </is>
      </c>
      <c r="C14191" t="inlineStr">
        <is>
          <t>Body Lotion</t>
        </is>
      </c>
      <c r="D14191" t="inlineStr">
        <is>
          <t>La Roche-Posay</t>
        </is>
      </c>
      <c r="E14191" t="n">
        <v>16.62</v>
      </c>
      <c r="F14191" t="n">
        <v>1</v>
      </c>
      <c r="G14191" t="n">
        <v>85</v>
      </c>
      <c r="H14191" s="5">
        <f>HYPERLINK("https://api.qogita.com/variants/link/3337875552097/", "View Product")</f>
        <v/>
      </c>
    </row>
    <row r="14192">
      <c r="A14192" t="inlineStr">
        <is>
          <t>3337875578486</t>
        </is>
      </c>
      <c r="B14192" t="inlineStr">
        <is>
          <t>La Rocheposay Toleriane Sensitive Cream 40ml Protective Soothing Moisturiser With Prebiotic Moisturizing Properties</t>
        </is>
      </c>
      <c r="C14192" t="inlineStr">
        <is>
          <t>Face Cream</t>
        </is>
      </c>
      <c r="D14192" t="inlineStr">
        <is>
          <t>La Roche-Posay</t>
        </is>
      </c>
      <c r="E14192" t="n">
        <v>17.32</v>
      </c>
      <c r="F14192" t="n">
        <v>1</v>
      </c>
      <c r="G14192" t="n">
        <v>7</v>
      </c>
      <c r="H14192" s="5">
        <f>HYPERLINK("https://api.qogita.com/variants/link/3337875578486/", "View Product")</f>
        <v/>
      </c>
    </row>
    <row r="14193">
      <c r="A14193" t="inlineStr">
        <is>
          <t>3337875583626</t>
        </is>
      </c>
      <c r="B14193" t="inlineStr">
        <is>
          <t>La Rocheposay Hyaluronic Acid Intensive Hydrating Skin Serum Hyalu B5 30 Ml</t>
        </is>
      </c>
      <c r="C14193" t="inlineStr">
        <is>
          <t>Hyaluronic Acid Serum</t>
        </is>
      </c>
      <c r="D14193" t="inlineStr">
        <is>
          <t>La Roche-Posay</t>
        </is>
      </c>
      <c r="E14193" t="n">
        <v>34.32</v>
      </c>
      <c r="F14193" t="n">
        <v>1</v>
      </c>
      <c r="G14193" t="n">
        <v>10</v>
      </c>
      <c r="H14193" s="5">
        <f>HYPERLINK("https://api.qogita.com/variants/link/3337875583626/", "View Product")</f>
        <v/>
      </c>
    </row>
    <row r="14194">
      <c r="A14194" t="inlineStr">
        <is>
          <t>3337875586269</t>
        </is>
      </c>
      <c r="B14194" t="inlineStr">
        <is>
          <t>La Rocheposay Cicaplast Gel B5 40 Ml Restorative Gel For Accelerating Skin Restoration</t>
        </is>
      </c>
      <c r="C14194" t="inlineStr">
        <is>
          <t>Body Care</t>
        </is>
      </c>
      <c r="D14194" t="inlineStr">
        <is>
          <t>La Roche-Posay</t>
        </is>
      </c>
      <c r="E14194" t="n">
        <v>10.95</v>
      </c>
      <c r="F14194" t="n">
        <v>1</v>
      </c>
      <c r="G14194" t="n">
        <v>5</v>
      </c>
      <c r="H14194" s="5">
        <f>HYPERLINK("https://api.qogita.com/variants/link/3337875586269/", "View Product")</f>
        <v/>
      </c>
    </row>
    <row r="14195">
      <c r="A14195" t="inlineStr">
        <is>
          <t>3337875594516</t>
        </is>
      </c>
      <c r="B14195" t="inlineStr">
        <is>
          <t>Vichy Mineral 89 Skin Serum</t>
        </is>
      </c>
      <c r="C14195" t="inlineStr">
        <is>
          <t>Hydrating Serum</t>
        </is>
      </c>
      <c r="D14195" t="inlineStr">
        <is>
          <t>Vichy</t>
        </is>
      </c>
      <c r="E14195" t="n">
        <v>13.24</v>
      </c>
      <c r="F14195" t="n">
        <v>1</v>
      </c>
      <c r="G14195" t="n">
        <v>5</v>
      </c>
      <c r="H14195" s="5">
        <f>HYPERLINK("https://api.qogita.com/variants/link/3337875594516/", "View Product")</f>
        <v/>
      </c>
    </row>
    <row r="14196">
      <c r="A14196" t="inlineStr">
        <is>
          <t>3337875596763</t>
        </is>
      </c>
      <c r="B14196" t="inlineStr">
        <is>
          <t>Vichy Mineral 89 Eyes Booster - Strengthens The Skin Around The Eyes, 15ml</t>
        </is>
      </c>
      <c r="C14196" t="inlineStr">
        <is>
          <t>Eye Serum</t>
        </is>
      </c>
      <c r="D14196" t="inlineStr">
        <is>
          <t>Vichy</t>
        </is>
      </c>
      <c r="E14196" t="n">
        <v>15.79</v>
      </c>
      <c r="F14196" t="n">
        <v>1</v>
      </c>
      <c r="G14196" t="n">
        <v>41</v>
      </c>
      <c r="H14196" s="5">
        <f>HYPERLINK("https://api.qogita.com/variants/link/3337875596763/", "View Product")</f>
        <v/>
      </c>
    </row>
    <row r="14197">
      <c r="A14197" t="inlineStr">
        <is>
          <t>3337875597203</t>
        </is>
      </c>
      <c r="B14197" t="inlineStr">
        <is>
          <t>Cerave Hydrating Micellar Cleansing Water 295ml</t>
        </is>
      </c>
      <c r="C14197" t="inlineStr">
        <is>
          <t>Micellar Water</t>
        </is>
      </c>
      <c r="D14197" t="inlineStr">
        <is>
          <t>CeraVe</t>
        </is>
      </c>
      <c r="E14197" t="n">
        <v>11.25</v>
      </c>
      <c r="F14197" t="n">
        <v>1</v>
      </c>
      <c r="G14197" t="n">
        <v>23</v>
      </c>
      <c r="H14197" s="5">
        <f>HYPERLINK("https://api.qogita.com/variants/link/3337875597203/", "View Product")</f>
        <v/>
      </c>
    </row>
    <row r="14198">
      <c r="A14198" t="inlineStr">
        <is>
          <t>3337875597227</t>
        </is>
      </c>
      <c r="B14198" t="inlineStr">
        <is>
          <t>Cerave Moisturizing Cream Hydrating Balm For Very Dry Skin 340g</t>
        </is>
      </c>
      <c r="C14198" t="inlineStr">
        <is>
          <t>Face Cream</t>
        </is>
      </c>
      <c r="D14198" t="inlineStr">
        <is>
          <t>CeraVe</t>
        </is>
      </c>
      <c r="E14198" t="n">
        <v>12.59</v>
      </c>
      <c r="F14198" t="n">
        <v>1</v>
      </c>
      <c r="G14198" t="n">
        <v>16</v>
      </c>
      <c r="H14198" s="5">
        <f>HYPERLINK("https://api.qogita.com/variants/link/3337875597227/", "View Product")</f>
        <v/>
      </c>
    </row>
    <row r="14199">
      <c r="A14199" t="inlineStr">
        <is>
          <t>3337875597357</t>
        </is>
      </c>
      <c r="B14199" t="inlineStr">
        <is>
          <t>Cerave Foaming Cleanser For Normal To Oily Skin 473ml</t>
        </is>
      </c>
      <c r="C14199" t="inlineStr">
        <is>
          <t>Cleansing Foam</t>
        </is>
      </c>
      <c r="D14199" t="inlineStr">
        <is>
          <t>CeraVe</t>
        </is>
      </c>
      <c r="E14199" t="n">
        <v>14.12</v>
      </c>
      <c r="F14199" t="n">
        <v>1</v>
      </c>
      <c r="G14199" t="n">
        <v>53</v>
      </c>
      <c r="H14199" s="5">
        <f>HYPERLINK("https://api.qogita.com/variants/link/3337875597357/", "View Product")</f>
        <v/>
      </c>
    </row>
    <row r="14200">
      <c r="A14200" t="inlineStr">
        <is>
          <t>3337875598996</t>
        </is>
      </c>
      <c r="B14200" t="inlineStr">
        <is>
          <t>Cerave Moisturizing Cream Hydrating Cream For Face And Body For Dry And Very Dry Skin 177ml</t>
        </is>
      </c>
      <c r="C14200" t="inlineStr">
        <is>
          <t>Face Cream</t>
        </is>
      </c>
      <c r="D14200" t="inlineStr">
        <is>
          <t>CeraVe</t>
        </is>
      </c>
      <c r="E14200" t="n">
        <v>10.7</v>
      </c>
      <c r="F14200" t="n">
        <v>1</v>
      </c>
      <c r="G14200" t="n">
        <v>5</v>
      </c>
      <c r="H14200" s="5">
        <f>HYPERLINK("https://api.qogita.com/variants/link/3337875598996/", "View Product")</f>
        <v/>
      </c>
    </row>
    <row r="14201">
      <c r="A14201" t="inlineStr">
        <is>
          <t>3337875607254</t>
        </is>
      </c>
      <c r="B14201" t="inlineStr">
        <is>
          <t>Vichy Liftactiv Collagen Specialist Anti-Wrinkle Day Cream 50ml</t>
        </is>
      </c>
      <c r="C14201" t="inlineStr">
        <is>
          <t>Day Cream</t>
        </is>
      </c>
      <c r="D14201" t="inlineStr">
        <is>
          <t>Vichy</t>
        </is>
      </c>
      <c r="E14201" t="n">
        <v>29.18</v>
      </c>
      <c r="F14201" t="n">
        <v>1</v>
      </c>
      <c r="G14201" t="n">
        <v>331</v>
      </c>
      <c r="H14201" s="5">
        <f>HYPERLINK("https://api.qogita.com/variants/link/3337875607254/", "View Product")</f>
        <v/>
      </c>
    </row>
    <row r="14202">
      <c r="A14202" t="inlineStr">
        <is>
          <t>3337875663076</t>
        </is>
      </c>
      <c r="B14202" t="inlineStr">
        <is>
          <t>Vichy Normaderm Face Wash Gel 200ml</t>
        </is>
      </c>
      <c r="C14202" t="inlineStr">
        <is>
          <t>Cleansing Gel</t>
        </is>
      </c>
      <c r="D14202" t="inlineStr">
        <is>
          <t>Vichy</t>
        </is>
      </c>
      <c r="E14202" t="n">
        <v>11.1</v>
      </c>
      <c r="F14202" t="n">
        <v>1</v>
      </c>
      <c r="G14202" t="n">
        <v>11</v>
      </c>
      <c r="H14202" s="5">
        <f>HYPERLINK("https://api.qogita.com/variants/link/3337875663076/", "View Product")</f>
        <v/>
      </c>
    </row>
    <row r="14203">
      <c r="A14203" t="inlineStr">
        <is>
          <t>3337875663083</t>
        </is>
      </c>
      <c r="B14203" t="inlineStr">
        <is>
          <t>Vichy Normaderm Phytosolution Intensive Purifying Gel 400ml</t>
        </is>
      </c>
      <c r="C14203" t="inlineStr">
        <is>
          <t>Cleansing Gel</t>
        </is>
      </c>
      <c r="D14203" t="inlineStr">
        <is>
          <t>Vichy</t>
        </is>
      </c>
      <c r="E14203" t="n">
        <v>14</v>
      </c>
      <c r="F14203" t="n">
        <v>1</v>
      </c>
      <c r="G14203" t="n">
        <v>62</v>
      </c>
      <c r="H14203" s="5">
        <f>HYPERLINK("https://api.qogita.com/variants/link/3337875663083/", "View Product")</f>
        <v/>
      </c>
    </row>
    <row r="14204">
      <c r="A14204" t="inlineStr">
        <is>
          <t>3337875695152</t>
        </is>
      </c>
      <c r="B14204" t="inlineStr">
        <is>
          <t>Vichy Capital Soleil Sun Protection Water Spf50 200ml</t>
        </is>
      </c>
      <c r="C14204" t="inlineStr">
        <is>
          <t>Face Sun Protection</t>
        </is>
      </c>
      <c r="D14204" t="inlineStr">
        <is>
          <t>Vichy</t>
        </is>
      </c>
      <c r="E14204" t="n">
        <v>20.09</v>
      </c>
      <c r="F14204" t="n">
        <v>1</v>
      </c>
      <c r="G14204" t="n">
        <v>9</v>
      </c>
      <c r="H14204" s="5">
        <f>HYPERLINK("https://api.qogita.com/variants/link/3337875695152/", "View Product")</f>
        <v/>
      </c>
    </row>
    <row r="14205">
      <c r="A14205" t="inlineStr">
        <is>
          <t>3337875719124</t>
        </is>
      </c>
      <c r="B14205" t="inlineStr">
        <is>
          <t>Vichy Liftactiv Supreme Anti-Wrinkle And Firming Cream Spf30 50ml</t>
        </is>
      </c>
      <c r="C14205" t="inlineStr">
        <is>
          <t>Day Cream</t>
        </is>
      </c>
      <c r="D14205" t="inlineStr">
        <is>
          <t>Vichy</t>
        </is>
      </c>
      <c r="E14205" t="n">
        <v>30.47</v>
      </c>
      <c r="F14205" t="n">
        <v>1</v>
      </c>
      <c r="G14205" t="n">
        <v>9</v>
      </c>
      <c r="H14205" s="5">
        <f>HYPERLINK("https://api.qogita.com/variants/link/3337875719124/", "View Product")</f>
        <v/>
      </c>
    </row>
    <row r="14206">
      <c r="A14206" t="inlineStr">
        <is>
          <t>3337875734387</t>
        </is>
      </c>
      <c r="B14206" t="inlineStr">
        <is>
          <t>Vichy Neovadiol Rose Platinum Eye Cream 15ml</t>
        </is>
      </c>
      <c r="C14206" t="inlineStr">
        <is>
          <t>Eye Cream</t>
        </is>
      </c>
      <c r="D14206" t="inlineStr">
        <is>
          <t>Vichy</t>
        </is>
      </c>
      <c r="E14206" t="n">
        <v>24.68</v>
      </c>
      <c r="F14206" t="n">
        <v>1</v>
      </c>
      <c r="G14206" t="n">
        <v>2</v>
      </c>
      <c r="H14206" s="5">
        <f>HYPERLINK("https://api.qogita.com/variants/link/3337875734387/", "View Product")</f>
        <v/>
      </c>
    </row>
    <row r="14207">
      <c r="A14207" t="inlineStr">
        <is>
          <t>3337875734905</t>
        </is>
      </c>
      <c r="B14207" t="inlineStr">
        <is>
          <t>Vichy Liftactiv Specialist B3 Anti-Wrinkle Serum Correcting Dark Spots 30ml</t>
        </is>
      </c>
      <c r="C14207" t="inlineStr">
        <is>
          <t>Anti-Aging Serum</t>
        </is>
      </c>
      <c r="D14207" t="inlineStr">
        <is>
          <t>Vichy</t>
        </is>
      </c>
      <c r="E14207" t="n">
        <v>34.63</v>
      </c>
      <c r="F14207" t="n">
        <v>1</v>
      </c>
      <c r="G14207" t="n">
        <v>7</v>
      </c>
      <c r="H14207" s="5">
        <f>HYPERLINK("https://api.qogita.com/variants/link/3337875734905/", "View Product")</f>
        <v/>
      </c>
    </row>
    <row r="14208">
      <c r="A14208" t="inlineStr">
        <is>
          <t>3337875757614</t>
        </is>
      </c>
      <c r="B14208" t="inlineStr">
        <is>
          <t>La Roche-Posay Toleriane Dermallergo Face Cream, Regenerating Moisturizing Care 40ml</t>
        </is>
      </c>
      <c r="C14208" t="inlineStr">
        <is>
          <t>Face Cream</t>
        </is>
      </c>
      <c r="D14208" t="inlineStr">
        <is>
          <t>La Roche-Posay</t>
        </is>
      </c>
      <c r="E14208" t="n">
        <v>17.38</v>
      </c>
      <c r="F14208" t="n">
        <v>1</v>
      </c>
      <c r="G14208" t="n">
        <v>19</v>
      </c>
      <c r="H14208" s="5">
        <f>HYPERLINK("https://api.qogita.com/variants/link/3337875757614/", "View Product")</f>
        <v/>
      </c>
    </row>
    <row r="14209">
      <c r="A14209" t="inlineStr">
        <is>
          <t>3337875773447</t>
        </is>
      </c>
      <c r="B14209" t="inlineStr">
        <is>
          <t>Cerave Hydrating Foaming Oil Cleanser 473ml Moisturizing Facial Cleanser</t>
        </is>
      </c>
      <c r="C14209" t="inlineStr">
        <is>
          <t>Cleansing Foam</t>
        </is>
      </c>
      <c r="D14209" t="inlineStr">
        <is>
          <t>CeraVe</t>
        </is>
      </c>
      <c r="E14209" t="n">
        <v>13.74</v>
      </c>
      <c r="F14209" t="n">
        <v>1</v>
      </c>
      <c r="G14209" t="n">
        <v>32</v>
      </c>
      <c r="H14209" s="5">
        <f>HYPERLINK("https://api.qogita.com/variants/link/3337875773447/", "View Product")</f>
        <v/>
      </c>
    </row>
    <row r="14210">
      <c r="A14210" t="inlineStr">
        <is>
          <t>3337875774031</t>
        </is>
      </c>
      <c r="B14210" t="inlineStr">
        <is>
          <t>Vichy Neovadiol Postmenopause Cream Nourishing Antisagging Day Cream 50ml</t>
        </is>
      </c>
      <c r="C14210" t="inlineStr">
        <is>
          <t>Day Cream</t>
        </is>
      </c>
      <c r="D14210" t="inlineStr">
        <is>
          <t>Vichy</t>
        </is>
      </c>
      <c r="E14210" t="n">
        <v>31.62</v>
      </c>
      <c r="F14210" t="n">
        <v>1</v>
      </c>
      <c r="G14210" t="n">
        <v>2</v>
      </c>
      <c r="H14210" s="5">
        <f>HYPERLINK("https://api.qogita.com/variants/link/3337875774031/", "View Product")</f>
        <v/>
      </c>
    </row>
    <row r="14211">
      <c r="A14211" t="inlineStr">
        <is>
          <t>3337875794107</t>
        </is>
      </c>
      <c r="B14211" t="inlineStr">
        <is>
          <t>La Roche-Posay Hydraphase HA BB Cream Medium SPF 15 40ml</t>
        </is>
      </c>
      <c r="C14211" t="inlineStr">
        <is>
          <t>Tinted Day Cream</t>
        </is>
      </c>
      <c r="D14211" t="inlineStr">
        <is>
          <t>La Roche-Posay</t>
        </is>
      </c>
      <c r="E14211" t="n">
        <v>20.1</v>
      </c>
      <c r="F14211" t="n">
        <v>1</v>
      </c>
      <c r="G14211" t="n">
        <v>7</v>
      </c>
      <c r="H14211" s="5">
        <f>HYPERLINK("https://api.qogita.com/variants/link/3337875794107/", "View Product")</f>
        <v/>
      </c>
    </row>
    <row r="14212">
      <c r="A14212" t="inlineStr">
        <is>
          <t>3337875794114</t>
        </is>
      </c>
      <c r="B14212" t="inlineStr">
        <is>
          <t>La Roche Posay Hydraphase HA BB Cream Dark 40ml</t>
        </is>
      </c>
      <c r="C14212" t="inlineStr">
        <is>
          <t>Tinted Day Cream</t>
        </is>
      </c>
      <c r="D14212" t="inlineStr">
        <is>
          <t>La Roche-Posay</t>
        </is>
      </c>
      <c r="E14212" t="n">
        <v>29.51</v>
      </c>
      <c r="F14212" t="n">
        <v>1</v>
      </c>
      <c r="G14212" t="n">
        <v>37</v>
      </c>
      <c r="H14212" s="5">
        <f>HYPERLINK("https://api.qogita.com/variants/link/3337875794114/", "View Product")</f>
        <v/>
      </c>
    </row>
    <row r="14213">
      <c r="A14213" t="inlineStr">
        <is>
          <t>3337875795265</t>
        </is>
      </c>
      <c r="B14213" t="inlineStr">
        <is>
          <t>Vichy Capital Soleil Uv Age Daily With Colour Spf50 40ml</t>
        </is>
      </c>
      <c r="C14213" t="inlineStr">
        <is>
          <t>Face Sun Protection</t>
        </is>
      </c>
      <c r="D14213" t="inlineStr">
        <is>
          <t>Vichy</t>
        </is>
      </c>
      <c r="E14213" t="n">
        <v>19.94</v>
      </c>
      <c r="F14213" t="n">
        <v>1</v>
      </c>
      <c r="G14213" t="n">
        <v>3</v>
      </c>
      <c r="H14213" s="5">
        <f>HYPERLINK("https://api.qogita.com/variants/link/3337875795265/", "View Product")</f>
        <v/>
      </c>
    </row>
    <row r="14214">
      <c r="A14214" t="inlineStr">
        <is>
          <t>3337875796583</t>
        </is>
      </c>
      <c r="B14214" t="inlineStr">
        <is>
          <t>Vichy Liftactiv Supreme Vitamin C Serum 20 Ml</t>
        </is>
      </c>
      <c r="C14214" t="inlineStr">
        <is>
          <t>Vitamin Serum</t>
        </is>
      </c>
      <c r="D14214" t="inlineStr">
        <is>
          <t>Vichy</t>
        </is>
      </c>
      <c r="E14214" t="n">
        <v>31.4</v>
      </c>
      <c r="F14214" t="n">
        <v>1</v>
      </c>
      <c r="G14214" t="n">
        <v>6</v>
      </c>
      <c r="H14214" s="5">
        <f>HYPERLINK("https://api.qogita.com/variants/link/3337875796583/", "View Product")</f>
        <v/>
      </c>
    </row>
    <row r="14215">
      <c r="A14215" t="inlineStr">
        <is>
          <t>3337875797467</t>
        </is>
      </c>
      <c r="B14215" t="inlineStr">
        <is>
          <t>La Rocheposay Anthelios Oil Correct Photocorrection Daily Gelcream Spf50 For Oily Skin 50ml</t>
        </is>
      </c>
      <c r="C14215" t="inlineStr">
        <is>
          <t>Face Sun Protection</t>
        </is>
      </c>
      <c r="D14215" t="inlineStr">
        <is>
          <t>La Roche-Posay</t>
        </is>
      </c>
      <c r="E14215" t="n">
        <v>26.44</v>
      </c>
      <c r="F14215" t="n">
        <v>1</v>
      </c>
      <c r="G14215" t="n">
        <v>5</v>
      </c>
      <c r="H14215" s="5">
        <f>HYPERLINK("https://api.qogita.com/variants/link/3337875797467/", "View Product")</f>
        <v/>
      </c>
    </row>
    <row r="14216">
      <c r="A14216" t="inlineStr">
        <is>
          <t>3337875797580</t>
        </is>
      </c>
      <c r="B14216" t="inlineStr">
        <is>
          <t>La Roche-Posay Anthelios UVmune 400 Invisible Fluid SPF50+ 50ml</t>
        </is>
      </c>
      <c r="C14216" t="inlineStr">
        <is>
          <t>Body Sun Protection</t>
        </is>
      </c>
      <c r="D14216" t="inlineStr">
        <is>
          <t>La Roche-Posay</t>
        </is>
      </c>
      <c r="E14216" t="n">
        <v>14.02</v>
      </c>
      <c r="F14216" t="n">
        <v>1</v>
      </c>
      <c r="G14216" t="n">
        <v>14</v>
      </c>
      <c r="H14216" s="5">
        <f>HYPERLINK("https://api.qogita.com/variants/link/3337875797580/", "View Product")</f>
        <v/>
      </c>
    </row>
    <row r="14217">
      <c r="A14217" t="inlineStr">
        <is>
          <t>3337875797689</t>
        </is>
      </c>
      <c r="B14217" t="inlineStr">
        <is>
          <t>La Rocheposay Anthelios Uvmune 400 Spf50 Colour 50ml</t>
        </is>
      </c>
      <c r="C14217" t="inlineStr">
        <is>
          <t>Face Sun Protection</t>
        </is>
      </c>
      <c r="D14217" t="inlineStr">
        <is>
          <t>La Roche-Posay</t>
        </is>
      </c>
      <c r="E14217" t="n">
        <v>20.63</v>
      </c>
      <c r="F14217" t="n">
        <v>1</v>
      </c>
      <c r="G14217" t="n">
        <v>2</v>
      </c>
      <c r="H14217" s="5">
        <f>HYPERLINK("https://api.qogita.com/variants/link/3337875797689/", "View Product")</f>
        <v/>
      </c>
    </row>
    <row r="14218">
      <c r="A14218" t="inlineStr">
        <is>
          <t>3337875797719</t>
        </is>
      </c>
      <c r="B14218" t="inlineStr">
        <is>
          <t>La Rocheposay Anthelios Uvmune 400 Hydrating Cream Spf 50 50 Ml</t>
        </is>
      </c>
      <c r="C14218" t="inlineStr">
        <is>
          <t>Face Sun Protection</t>
        </is>
      </c>
      <c r="D14218" t="inlineStr">
        <is>
          <t>La Roche-Posay</t>
        </is>
      </c>
      <c r="E14218" t="n">
        <v>16.8</v>
      </c>
      <c r="F14218" t="n">
        <v>1</v>
      </c>
      <c r="G14218" t="n">
        <v>4</v>
      </c>
      <c r="H14218" s="5">
        <f>HYPERLINK("https://api.qogita.com/variants/link/3337875797719/", "View Product")</f>
        <v/>
      </c>
    </row>
    <row r="14219">
      <c r="A14219" t="inlineStr">
        <is>
          <t>3337875804431</t>
        </is>
      </c>
      <c r="B14219" t="inlineStr">
        <is>
          <t>Vichy Clinical Control Deodorant 96h Rollon 50 Ml Longlasting Protection Against Odor</t>
        </is>
      </c>
      <c r="C14219" t="inlineStr">
        <is>
          <t>Deodorant &amp; Anti-Perspirant</t>
        </is>
      </c>
      <c r="D14219" t="inlineStr">
        <is>
          <t>Vichy</t>
        </is>
      </c>
      <c r="E14219" t="n">
        <v>9.039999999999999</v>
      </c>
      <c r="F14219" t="n">
        <v>1</v>
      </c>
      <c r="G14219" t="n">
        <v>5</v>
      </c>
      <c r="H14219" s="5">
        <f>HYPERLINK("https://api.qogita.com/variants/link/3337875804431/", "View Product")</f>
        <v/>
      </c>
    </row>
    <row r="14220">
      <c r="A14220" t="inlineStr">
        <is>
          <t>3337875805025</t>
        </is>
      </c>
      <c r="B14220" t="inlineStr">
        <is>
          <t>Vichy Homme Clinical Control 96H Roll-On Deodorant 50ml</t>
        </is>
      </c>
      <c r="C14220" t="inlineStr">
        <is>
          <t>Deodorant &amp; Anti-Perspirant</t>
        </is>
      </c>
      <c r="D14220" t="inlineStr">
        <is>
          <t>Vichy</t>
        </is>
      </c>
      <c r="E14220" t="n">
        <v>11.08</v>
      </c>
      <c r="F14220" t="n">
        <v>1</v>
      </c>
      <c r="G14220" t="n">
        <v>5</v>
      </c>
      <c r="H14220" s="5">
        <f>HYPERLINK("https://api.qogita.com/variants/link/3337875805025/", "View Product")</f>
        <v/>
      </c>
    </row>
    <row r="14221">
      <c r="A14221" t="inlineStr">
        <is>
          <t>3337875810838</t>
        </is>
      </c>
      <c r="B14221" t="inlineStr">
        <is>
          <t>Vichy Capital Soleil Cell Protect Spray Kids SPF50+ 200ml</t>
        </is>
      </c>
      <c r="C14221" t="inlineStr">
        <is>
          <t>Sun Protection For Children</t>
        </is>
      </c>
      <c r="D14221" t="inlineStr">
        <is>
          <t>Vichy</t>
        </is>
      </c>
      <c r="E14221" t="n">
        <v>17.34</v>
      </c>
      <c r="F14221" t="n">
        <v>1</v>
      </c>
      <c r="G14221" t="n">
        <v>4</v>
      </c>
      <c r="H14221" s="5">
        <f>HYPERLINK("https://api.qogita.com/variants/link/3337875810838/", "View Product")</f>
        <v/>
      </c>
    </row>
    <row r="14222">
      <c r="A14222" t="inlineStr">
        <is>
          <t>3337875816847</t>
        </is>
      </c>
      <c r="B14222" t="inlineStr">
        <is>
          <t>La Rocheposay Cicaplast Baume B5 Soothing Repairing Balm 40 Ml</t>
        </is>
      </c>
      <c r="C14222" t="inlineStr">
        <is>
          <t>Body Care</t>
        </is>
      </c>
      <c r="D14222" t="inlineStr">
        <is>
          <t>La Roche-Posay</t>
        </is>
      </c>
      <c r="E14222" t="n">
        <v>16.05</v>
      </c>
      <c r="F14222" t="n">
        <v>1</v>
      </c>
      <c r="G14222" t="n">
        <v>2</v>
      </c>
      <c r="H14222" s="5">
        <f>HYPERLINK("https://api.qogita.com/variants/link/3337875816847/", "View Product")</f>
        <v/>
      </c>
    </row>
    <row r="14223">
      <c r="A14223" t="inlineStr">
        <is>
          <t>3337875848459</t>
        </is>
      </c>
      <c r="B14223" t="inlineStr">
        <is>
          <t>Cerave Advanced Repair Ointment For Face, Body, And Lips - 88ml</t>
        </is>
      </c>
      <c r="C14223" t="inlineStr">
        <is>
          <t>Body Lotion</t>
        </is>
      </c>
      <c r="D14223" t="inlineStr">
        <is>
          <t>CeraVe</t>
        </is>
      </c>
      <c r="E14223" t="n">
        <v>10.73</v>
      </c>
      <c r="F14223" t="n">
        <v>1</v>
      </c>
      <c r="G14223" t="n">
        <v>22</v>
      </c>
      <c r="H14223" s="5">
        <f>HYPERLINK("https://api.qogita.com/variants/link/3337875848459/", "View Product")</f>
        <v/>
      </c>
    </row>
    <row r="14224">
      <c r="A14224" t="inlineStr">
        <is>
          <t>3337875849999</t>
        </is>
      </c>
      <c r="B14224" t="inlineStr">
        <is>
          <t>Vichy Lift Activ H.A Day Cream 50ml</t>
        </is>
      </c>
      <c r="C14224" t="inlineStr">
        <is>
          <t>Day Cream</t>
        </is>
      </c>
      <c r="D14224" t="inlineStr">
        <is>
          <t>Vichy</t>
        </is>
      </c>
      <c r="E14224" t="n">
        <v>28.87</v>
      </c>
      <c r="F14224" t="n">
        <v>1</v>
      </c>
      <c r="G14224" t="n">
        <v>2</v>
      </c>
      <c r="H14224" s="5">
        <f>HYPERLINK("https://api.qogita.com/variants/link/3337875849999/", "View Product")</f>
        <v/>
      </c>
    </row>
    <row r="14225">
      <c r="A14225" t="inlineStr">
        <is>
          <t>3337875862066</t>
        </is>
      </c>
      <c r="B14225" t="inlineStr">
        <is>
          <t>Vichy Purete Thermale Fresh Cleansing Gel with Glycerin</t>
        </is>
      </c>
      <c r="C14225" t="inlineStr">
        <is>
          <t>Cleansing Gel</t>
        </is>
      </c>
      <c r="D14225" t="inlineStr">
        <is>
          <t>Vichy</t>
        </is>
      </c>
      <c r="E14225" t="n">
        <v>24.57</v>
      </c>
      <c r="F14225" t="n">
        <v>1</v>
      </c>
      <c r="G14225" t="n">
        <v>9</v>
      </c>
      <c r="H14225" s="5">
        <f>HYPERLINK("https://api.qogita.com/variants/link/3337875862066/", "View Product")</f>
        <v/>
      </c>
    </row>
    <row r="14226">
      <c r="A14226" t="inlineStr">
        <is>
          <t>3337875892308</t>
        </is>
      </c>
      <c r="B14226" t="inlineStr">
        <is>
          <t>Vichy Capital Soleil Cell Protect Invisible Oil Spf50 200 Ml</t>
        </is>
      </c>
      <c r="C14226" t="inlineStr">
        <is>
          <t>Body Sun Protection</t>
        </is>
      </c>
      <c r="D14226" t="inlineStr">
        <is>
          <t>Vichy</t>
        </is>
      </c>
      <c r="E14226" t="n">
        <v>18.27</v>
      </c>
      <c r="F14226" t="n">
        <v>1</v>
      </c>
      <c r="G14226" t="n">
        <v>2</v>
      </c>
      <c r="H14226" s="5">
        <f>HYPERLINK("https://api.qogita.com/variants/link/3337875892308/", "View Product")</f>
        <v/>
      </c>
    </row>
    <row r="14227">
      <c r="A14227" t="inlineStr">
        <is>
          <t>3337875904285</t>
        </is>
      </c>
      <c r="B14227" t="inlineStr">
        <is>
          <t>Cerave Intensive Moisturising Lotion - 236ml</t>
        </is>
      </c>
      <c r="C14227" t="inlineStr">
        <is>
          <t>Body Lotion</t>
        </is>
      </c>
      <c r="D14227" t="inlineStr">
        <is>
          <t>CeraVe</t>
        </is>
      </c>
      <c r="E14227" t="n">
        <v>18.77</v>
      </c>
      <c r="F14227" t="n">
        <v>1</v>
      </c>
      <c r="G14227" t="n">
        <v>18</v>
      </c>
      <c r="H14227" s="5">
        <f>HYPERLINK("https://api.qogita.com/variants/link/3337875904285/", "View Product")</f>
        <v/>
      </c>
    </row>
    <row r="14228">
      <c r="A14228" t="inlineStr">
        <is>
          <t>3337875905466</t>
        </is>
      </c>
      <c r="B14228" t="inlineStr">
        <is>
          <t>La Roche Posay Lipikar Huile Lavante Ap Lipid-Replenishing Cleansing Oil For Sensitive Skin</t>
        </is>
      </c>
      <c r="C14228" t="inlineStr">
        <is>
          <t>Shower Oil</t>
        </is>
      </c>
      <c r="D14228" t="inlineStr">
        <is>
          <t>La Roche-Posay</t>
        </is>
      </c>
      <c r="E14228" t="n">
        <v>19.15</v>
      </c>
      <c r="F14228" t="n">
        <v>1</v>
      </c>
      <c r="G14228" t="n">
        <v>22</v>
      </c>
      <c r="H14228" s="5">
        <f>HYPERLINK("https://api.qogita.com/variants/link/3337875905466/", "View Product")</f>
        <v/>
      </c>
    </row>
    <row r="14229">
      <c r="A14229" t="inlineStr">
        <is>
          <t>3337875912600</t>
        </is>
      </c>
      <c r="B14229" t="inlineStr">
        <is>
          <t>Vichy Liftactiv Collagen Specialist 16 Serum - 30ml</t>
        </is>
      </c>
      <c r="C14229" t="inlineStr">
        <is>
          <t>Collagen Serum</t>
        </is>
      </c>
      <c r="D14229" t="inlineStr">
        <is>
          <t>Vichy</t>
        </is>
      </c>
      <c r="E14229" t="n">
        <v>37.36</v>
      </c>
      <c r="F14229" t="n">
        <v>1</v>
      </c>
      <c r="G14229" t="n">
        <v>14</v>
      </c>
      <c r="H14229" s="5">
        <f>HYPERLINK("https://api.qogita.com/variants/link/3337875912600/", "View Product")</f>
        <v/>
      </c>
    </row>
    <row r="14230">
      <c r="A14230" t="inlineStr">
        <is>
          <t>3337875915885</t>
        </is>
      </c>
      <c r="B14230" t="inlineStr">
        <is>
          <t>Vichy Capital Soleil Uv-Age Daily Water Fluid Medium Spf 50 - 40ml</t>
        </is>
      </c>
      <c r="C14230" t="inlineStr">
        <is>
          <t>Face Sun Protection</t>
        </is>
      </c>
      <c r="D14230" t="inlineStr">
        <is>
          <t>Vichy</t>
        </is>
      </c>
      <c r="E14230" t="n">
        <v>20.18</v>
      </c>
      <c r="F14230" t="n">
        <v>1</v>
      </c>
      <c r="G14230" t="n">
        <v>4</v>
      </c>
      <c r="H14230" s="5">
        <f>HYPERLINK("https://api.qogita.com/variants/link/3337875915885/", "View Product")</f>
        <v/>
      </c>
    </row>
    <row r="14231">
      <c r="A14231" t="inlineStr">
        <is>
          <t>3346130000037</t>
        </is>
      </c>
      <c r="B14231" t="inlineStr">
        <is>
          <t>Herms Eau De Basilique Pourpre Eau De Cologne 200ml</t>
        </is>
      </c>
      <c r="C14231" t="inlineStr">
        <is>
          <t>Eau De Cologne</t>
        </is>
      </c>
      <c r="D14231" t="inlineStr">
        <is>
          <t>Hermès</t>
        </is>
      </c>
      <c r="E14231" t="n">
        <v>56.63</v>
      </c>
      <c r="F14231" t="n">
        <v>1</v>
      </c>
      <c r="G14231" t="n">
        <v>167</v>
      </c>
      <c r="H14231" s="5">
        <f>HYPERLINK("https://api.qogita.com/variants/link/3346130000037/", "View Product")</f>
        <v/>
      </c>
    </row>
    <row r="14232">
      <c r="A14232" t="inlineStr">
        <is>
          <t>3346130008507</t>
        </is>
      </c>
      <c r="B14232" t="inlineStr">
        <is>
          <t>Hermes Eau Des Merveilles Eau De Toilette Refill 125ml</t>
        </is>
      </c>
      <c r="C14232" t="inlineStr">
        <is>
          <t>Eau De Toilette</t>
        </is>
      </c>
      <c r="D14232" t="inlineStr">
        <is>
          <t>Hermès</t>
        </is>
      </c>
      <c r="E14232" t="n">
        <v>84.90000000000001</v>
      </c>
      <c r="F14232" t="n">
        <v>1</v>
      </c>
      <c r="G14232" t="n">
        <v>5</v>
      </c>
      <c r="H14232" s="5">
        <f>HYPERLINK("https://api.qogita.com/variants/link/3346130008507/", "View Product")</f>
        <v/>
      </c>
    </row>
    <row r="14233">
      <c r="A14233" t="inlineStr">
        <is>
          <t>3346130009320</t>
        </is>
      </c>
      <c r="B14233" t="inlineStr">
        <is>
          <t>Herms Eau Des Merveilles Bleue Eau De Toilette 100ml Spray</t>
        </is>
      </c>
      <c r="C14233" t="inlineStr">
        <is>
          <t>Eau De Toilette</t>
        </is>
      </c>
      <c r="D14233" t="inlineStr">
        <is>
          <t>Hermès</t>
        </is>
      </c>
      <c r="E14233" t="n">
        <v>95.78</v>
      </c>
      <c r="F14233" t="n">
        <v>1</v>
      </c>
      <c r="G14233" t="n">
        <v>33</v>
      </c>
      <c r="H14233" s="5">
        <f>HYPERLINK("https://api.qogita.com/variants/link/3346130009320/", "View Product")</f>
        <v/>
      </c>
    </row>
    <row r="14234">
      <c r="A14234" t="inlineStr">
        <is>
          <t>3346130009702</t>
        </is>
      </c>
      <c r="B14234" t="inlineStr">
        <is>
          <t>Hermes Terre D'Hermes Eau De Toilette Refillable Spray 30ml</t>
        </is>
      </c>
      <c r="C14234" t="inlineStr">
        <is>
          <t>Eau De Toilette</t>
        </is>
      </c>
      <c r="D14234" t="inlineStr">
        <is>
          <t>Hermès</t>
        </is>
      </c>
      <c r="E14234" t="n">
        <v>41.53</v>
      </c>
      <c r="F14234" t="n">
        <v>1</v>
      </c>
      <c r="G14234" t="n">
        <v>2</v>
      </c>
      <c r="H14234" s="5">
        <f>HYPERLINK("https://api.qogita.com/variants/link/3346130009702/", "View Product")</f>
        <v/>
      </c>
    </row>
    <row r="14235">
      <c r="A14235" t="inlineStr">
        <is>
          <t>3346130010067</t>
        </is>
      </c>
      <c r="B14235" t="inlineStr">
        <is>
          <t>Hermes L'Ambre Des Merveilles Eau De Parfum 50ml</t>
        </is>
      </c>
      <c r="C14235" t="inlineStr">
        <is>
          <t>Eau De Parfum</t>
        </is>
      </c>
      <c r="D14235" t="inlineStr">
        <is>
          <t>Hermès</t>
        </is>
      </c>
      <c r="E14235" t="n">
        <v>51.97</v>
      </c>
      <c r="F14235" t="n">
        <v>1</v>
      </c>
      <c r="G14235" t="n">
        <v>19</v>
      </c>
      <c r="H14235" s="5">
        <f>HYPERLINK("https://api.qogita.com/variants/link/3346130010067/", "View Product")</f>
        <v/>
      </c>
    </row>
    <row r="14236">
      <c r="A14236" t="inlineStr">
        <is>
          <t>3346130010258</t>
        </is>
      </c>
      <c r="B14236" t="inlineStr">
        <is>
          <t>Herms Eau Des Merveilles Eau De Toilette Spray 50ml</t>
        </is>
      </c>
      <c r="C14236" t="inlineStr">
        <is>
          <t>Eau De Toilette</t>
        </is>
      </c>
      <c r="D14236" t="inlineStr">
        <is>
          <t>Hermès</t>
        </is>
      </c>
      <c r="E14236" t="n">
        <v>49.94</v>
      </c>
      <c r="F14236" t="n">
        <v>1</v>
      </c>
      <c r="G14236" t="n">
        <v>30</v>
      </c>
      <c r="H14236" s="5">
        <f>HYPERLINK("https://api.qogita.com/variants/link/3346130010258/", "View Product")</f>
        <v/>
      </c>
    </row>
    <row r="14237">
      <c r="A14237" t="inlineStr">
        <is>
          <t>3346130010968</t>
        </is>
      </c>
      <c r="B14237" t="inlineStr">
        <is>
          <t>Hermes H24 For Men Eau De Toilette Spray 5.9 Ounce Refillable</t>
        </is>
      </c>
      <c r="C14237" t="inlineStr">
        <is>
          <t>Eau De Toilette</t>
        </is>
      </c>
      <c r="D14237" t="inlineStr">
        <is>
          <t>Hermès</t>
        </is>
      </c>
      <c r="E14237" t="n">
        <v>64.98999999999999</v>
      </c>
      <c r="F14237" t="n">
        <v>1</v>
      </c>
      <c r="G14237" t="n">
        <v>166</v>
      </c>
      <c r="H14237" s="5">
        <f>HYPERLINK("https://api.qogita.com/variants/link/3346130010968/", "View Product")</f>
        <v/>
      </c>
    </row>
    <row r="14238">
      <c r="A14238" t="inlineStr">
        <is>
          <t>3346130010975</t>
        </is>
      </c>
      <c r="B14238" t="inlineStr">
        <is>
          <t>H24 Et Set 30ml + 125ml</t>
        </is>
      </c>
      <c r="C14238" t="inlineStr">
        <is>
          <t>Fragrance Sets</t>
        </is>
      </c>
      <c r="D14238" t="inlineStr">
        <is>
          <t>Hermès</t>
        </is>
      </c>
      <c r="E14238" t="n">
        <v>77.48999999999999</v>
      </c>
      <c r="F14238" t="n">
        <v>1</v>
      </c>
      <c r="G14238" t="n">
        <v>50</v>
      </c>
      <c r="H14238" s="5">
        <f>HYPERLINK("https://api.qogita.com/variants/link/3346130010975/", "View Product")</f>
        <v/>
      </c>
    </row>
    <row r="14239">
      <c r="A14239" t="inlineStr">
        <is>
          <t>3346130011095</t>
        </is>
      </c>
      <c r="B14239" t="inlineStr">
        <is>
          <t>Herms 24 Faubourg Eau De Toilette Spray 100ml</t>
        </is>
      </c>
      <c r="C14239" t="inlineStr">
        <is>
          <t>Eau De Toilette</t>
        </is>
      </c>
      <c r="D14239" t="inlineStr">
        <is>
          <t>Hermès</t>
        </is>
      </c>
      <c r="E14239" t="n">
        <v>97.09</v>
      </c>
      <c r="F14239" t="n">
        <v>1</v>
      </c>
      <c r="G14239" t="n">
        <v>4</v>
      </c>
      <c r="H14239" s="5">
        <f>HYPERLINK("https://api.qogita.com/variants/link/3346130011095/", "View Product")</f>
        <v/>
      </c>
    </row>
    <row r="14240">
      <c r="A14240" t="inlineStr">
        <is>
          <t>3346130011156</t>
        </is>
      </c>
      <c r="B14240" t="inlineStr">
        <is>
          <t>Hermes 24 Faubourg Eau Delicate Eau De Toilette 100ml Women Spray</t>
        </is>
      </c>
      <c r="C14240" t="inlineStr">
        <is>
          <t>Eau De Toilette</t>
        </is>
      </c>
      <c r="D14240" t="inlineStr">
        <is>
          <t>Hermès</t>
        </is>
      </c>
      <c r="E14240" t="n">
        <v>70.54000000000001</v>
      </c>
      <c r="F14240" t="n">
        <v>1</v>
      </c>
      <c r="G14240" t="n">
        <v>4</v>
      </c>
      <c r="H14240" s="5">
        <f>HYPERLINK("https://api.qogita.com/variants/link/3346130011156/", "View Product")</f>
        <v/>
      </c>
    </row>
    <row r="14241">
      <c r="A14241" t="inlineStr">
        <is>
          <t>3346130012085</t>
        </is>
      </c>
      <c r="B14241" t="inlineStr">
        <is>
          <t>Herms H24 Eau De Toilette Gift Set 100ml And 125ml For Men</t>
        </is>
      </c>
      <c r="C14241" t="inlineStr">
        <is>
          <t>Fragrance Sets</t>
        </is>
      </c>
      <c r="D14241" t="inlineStr">
        <is>
          <t>Hermès</t>
        </is>
      </c>
      <c r="E14241" t="n">
        <v>50.58</v>
      </c>
      <c r="F14241" t="n">
        <v>1</v>
      </c>
      <c r="G14241" t="n">
        <v>5</v>
      </c>
      <c r="H14241" s="5">
        <f>HYPERLINK("https://api.qogita.com/variants/link/3346130012085/", "View Product")</f>
        <v/>
      </c>
    </row>
    <row r="14242">
      <c r="A14242" t="inlineStr">
        <is>
          <t>3346130012375</t>
        </is>
      </c>
      <c r="B14242" t="inlineStr">
        <is>
          <t>Hermes Terre D'Hermes Eau Givree Perfumed Water Refillable Spray 50ml</t>
        </is>
      </c>
      <c r="C14242" t="inlineStr">
        <is>
          <t>Eau De Parfum</t>
        </is>
      </c>
      <c r="D14242" t="inlineStr">
        <is>
          <t>Hermès</t>
        </is>
      </c>
      <c r="E14242" t="n">
        <v>47.72</v>
      </c>
      <c r="F14242" t="n">
        <v>1</v>
      </c>
      <c r="G14242" t="n">
        <v>82</v>
      </c>
      <c r="H14242" s="5">
        <f>HYPERLINK("https://api.qogita.com/variants/link/3346130012375/", "View Product")</f>
        <v/>
      </c>
    </row>
    <row r="14243">
      <c r="A14243" t="inlineStr">
        <is>
          <t>3346130012672</t>
        </is>
      </c>
      <c r="B14243" t="inlineStr">
        <is>
          <t>Hermes Voyage D'Hermes Eau De Toilette Refillable Spray 100ml</t>
        </is>
      </c>
      <c r="C14243" t="inlineStr">
        <is>
          <t>Eau De Toilette</t>
        </is>
      </c>
      <c r="D14243" t="inlineStr">
        <is>
          <t>Hermès</t>
        </is>
      </c>
      <c r="E14243" t="n">
        <v>84.2</v>
      </c>
      <c r="F14243" t="n">
        <v>1</v>
      </c>
      <c r="G14243" t="n">
        <v>4</v>
      </c>
      <c r="H14243" s="5">
        <f>HYPERLINK("https://api.qogita.com/variants/link/3346130012672/", "View Product")</f>
        <v/>
      </c>
    </row>
    <row r="14244">
      <c r="A14244" t="inlineStr">
        <is>
          <t>3346130015307</t>
        </is>
      </c>
      <c r="B14244" t="inlineStr">
        <is>
          <t>Hermes Terre D'Hermes Parfum Intense Eau De Parfum Refill 200 Ml</t>
        </is>
      </c>
      <c r="C14244" t="inlineStr">
        <is>
          <t>Eau De Parfum</t>
        </is>
      </c>
      <c r="D14244" t="inlineStr">
        <is>
          <t>Hermès</t>
        </is>
      </c>
      <c r="E14244" t="n">
        <v>141</v>
      </c>
      <c r="F14244" t="n">
        <v>1</v>
      </c>
      <c r="G14244" t="n">
        <v>27</v>
      </c>
      <c r="H14244" s="5">
        <f>HYPERLINK("https://api.qogita.com/variants/link/3346130015307/", "View Product")</f>
        <v/>
      </c>
    </row>
    <row r="14245">
      <c r="A14245" t="inlineStr">
        <is>
          <t>3346130018193</t>
        </is>
      </c>
      <c r="B14245" t="inlineStr">
        <is>
          <t>Hermes Terre Dhermes Gift Set 2 Pcs</t>
        </is>
      </c>
      <c r="C14245" t="inlineStr">
        <is>
          <t>Fragrance</t>
        </is>
      </c>
      <c r="D14245" t="inlineStr">
        <is>
          <t>Hermès</t>
        </is>
      </c>
      <c r="E14245" t="n">
        <v>69.67</v>
      </c>
      <c r="F14245" t="n">
        <v>1</v>
      </c>
      <c r="G14245" t="n">
        <v>849</v>
      </c>
      <c r="H14245" s="5">
        <f>HYPERLINK("https://api.qogita.com/variants/link/3346130018193/", "View Product")</f>
        <v/>
      </c>
    </row>
    <row r="14246">
      <c r="A14246" t="inlineStr">
        <is>
          <t>3346130018230</t>
        </is>
      </c>
      <c r="B14246" t="inlineStr">
        <is>
          <t>Hermes Eau Des Merveilles Eau De Toilette 50ml + Eau De Toilette 15ml</t>
        </is>
      </c>
      <c r="C14246" t="inlineStr">
        <is>
          <t>Fragrance Sets</t>
        </is>
      </c>
      <c r="D14246" t="inlineStr">
        <is>
          <t>Hermès</t>
        </is>
      </c>
      <c r="E14246" t="n">
        <v>47.16</v>
      </c>
      <c r="F14246" t="n">
        <v>1</v>
      </c>
      <c r="G14246" t="n">
        <v>230</v>
      </c>
      <c r="H14246" s="5">
        <f>HYPERLINK("https://api.qogita.com/variants/link/3346130018230/", "View Product")</f>
        <v/>
      </c>
    </row>
    <row r="14247">
      <c r="A14247" t="inlineStr">
        <is>
          <t>3346130413646</t>
        </is>
      </c>
      <c r="B14247" t="inlineStr">
        <is>
          <t>Herms H24 Deodorant Spray 75ml</t>
        </is>
      </c>
      <c r="C14247" t="inlineStr">
        <is>
          <t>Deodorant &amp; Anti-Perspirant</t>
        </is>
      </c>
      <c r="D14247" t="inlineStr">
        <is>
          <t>Hermès</t>
        </is>
      </c>
      <c r="E14247" t="n">
        <v>26.14</v>
      </c>
      <c r="F14247" t="n">
        <v>1</v>
      </c>
      <c r="G14247" t="n">
        <v>4</v>
      </c>
      <c r="H14247" s="5">
        <f>HYPERLINK("https://api.qogita.com/variants/link/3346130413646/", "View Product")</f>
        <v/>
      </c>
    </row>
    <row r="14248">
      <c r="A14248" t="inlineStr">
        <is>
          <t>3346130416944</t>
        </is>
      </c>
      <c r="B14248" t="inlineStr">
        <is>
          <t>Hermes Un Jardin A Cythere - Recharge Eau De Toilette</t>
        </is>
      </c>
      <c r="C14248" t="inlineStr">
        <is>
          <t>Eau De Toilette</t>
        </is>
      </c>
      <c r="D14248" t="inlineStr">
        <is>
          <t>Hermès</t>
        </is>
      </c>
      <c r="E14248" t="n">
        <v>71.91</v>
      </c>
      <c r="F14248" t="n">
        <v>1</v>
      </c>
      <c r="G14248" t="n">
        <v>77</v>
      </c>
      <c r="H14248" s="5">
        <f>HYPERLINK("https://api.qogita.com/variants/link/3346130416944/", "View Product")</f>
        <v/>
      </c>
    </row>
    <row r="14249">
      <c r="A14249" t="inlineStr">
        <is>
          <t>3346130416982</t>
        </is>
      </c>
      <c r="B14249" t="inlineStr">
        <is>
          <t>Hermes Un Jardin Sur Le Nil 200ml Eau de Toilette</t>
        </is>
      </c>
      <c r="C14249" t="inlineStr">
        <is>
          <t>Eau De Toilette</t>
        </is>
      </c>
      <c r="D14249" t="inlineStr">
        <is>
          <t>Hermès</t>
        </is>
      </c>
      <c r="E14249" t="n">
        <v>80.84999999999999</v>
      </c>
      <c r="F14249" t="n">
        <v>1</v>
      </c>
      <c r="G14249" t="n">
        <v>38</v>
      </c>
      <c r="H14249" s="5">
        <f>HYPERLINK("https://api.qogita.com/variants/link/3346130416982/", "View Product")</f>
        <v/>
      </c>
    </row>
    <row r="14250">
      <c r="A14250" t="inlineStr">
        <is>
          <t>3346130417279</t>
        </is>
      </c>
      <c r="B14250" t="inlineStr">
        <is>
          <t>Hermes Un Jardin A Cythere Eau De Toilette Spray For Women - 0.5 Oz</t>
        </is>
      </c>
      <c r="C14250" t="inlineStr">
        <is>
          <t>Eau De Toilette</t>
        </is>
      </c>
      <c r="D14250" t="inlineStr">
        <is>
          <t>Hermès</t>
        </is>
      </c>
      <c r="E14250" t="n">
        <v>17.79</v>
      </c>
      <c r="F14250" t="n">
        <v>1</v>
      </c>
      <c r="G14250" t="n">
        <v>46</v>
      </c>
      <c r="H14250" s="5">
        <f>HYPERLINK("https://api.qogita.com/variants/link/3346130417279/", "View Product")</f>
        <v/>
      </c>
    </row>
    <row r="14251">
      <c r="A14251" t="inlineStr">
        <is>
          <t>3346130417484</t>
        </is>
      </c>
      <c r="B14251" t="inlineStr">
        <is>
          <t>Herms H24 Eau De Parfum Spray Refillable 175 Ml</t>
        </is>
      </c>
      <c r="C14251" t="inlineStr">
        <is>
          <t>Eau De Parfum</t>
        </is>
      </c>
      <c r="D14251" t="inlineStr">
        <is>
          <t>Hermès</t>
        </is>
      </c>
      <c r="E14251" t="n">
        <v>69.09</v>
      </c>
      <c r="F14251" t="n">
        <v>1</v>
      </c>
      <c r="G14251" t="n">
        <v>14</v>
      </c>
      <c r="H14251" s="5">
        <f>HYPERLINK("https://api.qogita.com/variants/link/3346130417484/", "View Product")</f>
        <v/>
      </c>
    </row>
    <row r="14252">
      <c r="A14252" t="inlineStr">
        <is>
          <t>3346130417491</t>
        </is>
      </c>
      <c r="B14252" t="inlineStr">
        <is>
          <t>Hermes H24 Refillable Eau De Parfum For Men 30ml</t>
        </is>
      </c>
      <c r="C14252" t="inlineStr">
        <is>
          <t>Eau De Parfum</t>
        </is>
      </c>
      <c r="D14252" t="inlineStr">
        <is>
          <t>Hermès</t>
        </is>
      </c>
      <c r="E14252" t="n">
        <v>29.25</v>
      </c>
      <c r="F14252" t="n">
        <v>1</v>
      </c>
      <c r="G14252" t="n">
        <v>22</v>
      </c>
      <c r="H14252" s="5">
        <f>HYPERLINK("https://api.qogita.com/variants/link/3346130417491/", "View Product")</f>
        <v/>
      </c>
    </row>
    <row r="14253">
      <c r="A14253" t="inlineStr">
        <is>
          <t>3346130422488</t>
        </is>
      </c>
      <c r="B14253" t="inlineStr">
        <is>
          <t>Hermes Tutti Twilly D'Hermes Eau De Parfum Spray 50ml</t>
        </is>
      </c>
      <c r="C14253" t="inlineStr">
        <is>
          <t>Eau De Parfum</t>
        </is>
      </c>
      <c r="D14253" t="inlineStr">
        <is>
          <t>Hermès</t>
        </is>
      </c>
      <c r="E14253" t="n">
        <v>41.75</v>
      </c>
      <c r="F14253" t="n">
        <v>1</v>
      </c>
      <c r="G14253" t="n">
        <v>48</v>
      </c>
      <c r="H14253" s="5">
        <f>HYPERLINK("https://api.qogita.com/variants/link/3346130422488/", "View Product")</f>
        <v/>
      </c>
    </row>
    <row r="14254">
      <c r="A14254" t="inlineStr">
        <is>
          <t>3346130422532</t>
        </is>
      </c>
      <c r="B14254" t="inlineStr">
        <is>
          <t>Hermes Tutti Twilly D'Hermes Eau De Parfum Miniature 7.5ml</t>
        </is>
      </c>
      <c r="C14254" t="inlineStr">
        <is>
          <t>Eau De Parfum</t>
        </is>
      </c>
      <c r="D14254" t="inlineStr">
        <is>
          <t>Hermès</t>
        </is>
      </c>
      <c r="E14254" t="n">
        <v>17.55</v>
      </c>
      <c r="F14254" t="n">
        <v>1</v>
      </c>
      <c r="G14254" t="n">
        <v>17</v>
      </c>
      <c r="H14254" s="5">
        <f>HYPERLINK("https://api.qogita.com/variants/link/3346130422532/", "View Product")</f>
        <v/>
      </c>
    </row>
    <row r="14255">
      <c r="A14255" t="inlineStr">
        <is>
          <t>3346130423409</t>
        </is>
      </c>
      <c r="B14255" t="inlineStr">
        <is>
          <t>Hermes Twilly D'Hermes Scented Body Shower Cream - 200 Milliliters</t>
        </is>
      </c>
      <c r="C14255" t="inlineStr">
        <is>
          <t>Shower Gel</t>
        </is>
      </c>
      <c r="D14255" t="inlineStr">
        <is>
          <t>Hermès</t>
        </is>
      </c>
      <c r="E14255" t="n">
        <v>35.07</v>
      </c>
      <c r="F14255" t="n">
        <v>1</v>
      </c>
      <c r="G14255" t="n">
        <v>21</v>
      </c>
      <c r="H14255" s="5">
        <f>HYPERLINK("https://api.qogita.com/variants/link/3346130423409/", "View Product")</f>
        <v/>
      </c>
    </row>
    <row r="14256">
      <c r="A14256" t="inlineStr">
        <is>
          <t>3346130433149</t>
        </is>
      </c>
      <c r="B14256" t="inlineStr">
        <is>
          <t>Hermes Un Jardin Sur La Lagune Moisturizing Body Lotion 6.5 Unisex</t>
        </is>
      </c>
      <c r="C14256" t="inlineStr">
        <is>
          <t>Body Lotion</t>
        </is>
      </c>
      <c r="D14256" t="inlineStr">
        <is>
          <t>Hermès</t>
        </is>
      </c>
      <c r="E14256" t="n">
        <v>37.17</v>
      </c>
      <c r="F14256" t="n">
        <v>1</v>
      </c>
      <c r="G14256" t="n">
        <v>9</v>
      </c>
      <c r="H14256" s="5">
        <f>HYPERLINK("https://api.qogita.com/variants/link/3346130433149/", "View Product")</f>
        <v/>
      </c>
    </row>
    <row r="14257">
      <c r="A14257" t="inlineStr">
        <is>
          <t>3346130433774</t>
        </is>
      </c>
      <c r="B14257" t="inlineStr">
        <is>
          <t>Twilly d'Hermès Eau de Parfum - 50 ml Coffret Eau de Parfum</t>
        </is>
      </c>
      <c r="C14257" t="inlineStr">
        <is>
          <t>Fragrance Sets</t>
        </is>
      </c>
      <c r="D14257" t="inlineStr">
        <is>
          <t>Hermès</t>
        </is>
      </c>
      <c r="E14257" t="n">
        <v>51</v>
      </c>
      <c r="F14257" t="n">
        <v>1</v>
      </c>
      <c r="G14257" t="n">
        <v>8</v>
      </c>
      <c r="H14257" s="5">
        <f>HYPERLINK("https://api.qogita.com/variants/link/3346130433774/", "View Product")</f>
        <v/>
      </c>
    </row>
    <row r="14258">
      <c r="A14258" t="inlineStr">
        <is>
          <t>3346130438267</t>
        </is>
      </c>
      <c r="B14258" t="inlineStr">
        <is>
          <t>Hermes Terre 15ml Perfume</t>
        </is>
      </c>
      <c r="C14258" t="inlineStr">
        <is>
          <t>Eau De Parfum</t>
        </is>
      </c>
      <c r="D14258" t="inlineStr">
        <is>
          <t>Hermès</t>
        </is>
      </c>
      <c r="E14258" t="n">
        <v>18</v>
      </c>
      <c r="F14258" t="n">
        <v>1</v>
      </c>
      <c r="G14258" t="n">
        <v>99</v>
      </c>
      <c r="H14258" s="5">
        <f>HYPERLINK("https://api.qogita.com/variants/link/3346130438267/", "View Product")</f>
        <v/>
      </c>
    </row>
    <row r="14259">
      <c r="A14259" t="inlineStr">
        <is>
          <t>3346130491736</t>
        </is>
      </c>
      <c r="B14259" t="inlineStr">
        <is>
          <t>Hermes Eau De Pamplemousse Rose Eau De Cologne 100ml Spray For Women</t>
        </is>
      </c>
      <c r="C14259" t="inlineStr">
        <is>
          <t>Eau De Cologne</t>
        </is>
      </c>
      <c r="D14259" t="inlineStr">
        <is>
          <t>Hermès</t>
        </is>
      </c>
      <c r="E14259" t="n">
        <v>57.54</v>
      </c>
      <c r="F14259" t="n">
        <v>1</v>
      </c>
      <c r="G14259" t="n">
        <v>32</v>
      </c>
      <c r="H14259" s="5">
        <f>HYPERLINK("https://api.qogita.com/variants/link/3346130491736/", "View Product")</f>
        <v/>
      </c>
    </row>
    <row r="14260">
      <c r="A14260" t="inlineStr">
        <is>
          <t>3346130491743</t>
        </is>
      </c>
      <c r="B14260" t="inlineStr">
        <is>
          <t>Herms Eau Pamplemousse Rose Eau De Cologne 200ml Unisex Spray</t>
        </is>
      </c>
      <c r="C14260" t="inlineStr">
        <is>
          <t>Eau De Cologne</t>
        </is>
      </c>
      <c r="D14260" t="inlineStr">
        <is>
          <t>Hermès</t>
        </is>
      </c>
      <c r="E14260" t="n">
        <v>77.09999999999999</v>
      </c>
      <c r="F14260" t="n">
        <v>1</v>
      </c>
      <c r="G14260" t="n">
        <v>140</v>
      </c>
      <c r="H14260" s="5">
        <f>HYPERLINK("https://api.qogita.com/variants/link/3346130491743/", "View Product")</f>
        <v/>
      </c>
    </row>
    <row r="14261">
      <c r="A14261" t="inlineStr">
        <is>
          <t>3346130491989</t>
        </is>
      </c>
      <c r="B14261" t="inlineStr">
        <is>
          <t>Herms Eau D'Orange Verte Deodorant Spray 150ml Unisex</t>
        </is>
      </c>
      <c r="C14261" t="inlineStr">
        <is>
          <t>Deodorant &amp; Anti-Perspirant</t>
        </is>
      </c>
      <c r="D14261" t="inlineStr">
        <is>
          <t>Hermès</t>
        </is>
      </c>
      <c r="E14261" t="n">
        <v>29.68</v>
      </c>
      <c r="F14261" t="n">
        <v>1</v>
      </c>
      <c r="G14261" t="n">
        <v>3</v>
      </c>
      <c r="H14261" s="5">
        <f>HYPERLINK("https://api.qogita.com/variants/link/3346130491989/", "View Product")</f>
        <v/>
      </c>
    </row>
    <row r="14262">
      <c r="A14262" t="inlineStr">
        <is>
          <t>3346131210015</t>
        </is>
      </c>
      <c r="B14262" t="inlineStr">
        <is>
          <t>Hermes Un Jardin En Mediterranee Eau De Toilette 100ml Women Spray</t>
        </is>
      </c>
      <c r="C14262" t="inlineStr">
        <is>
          <t>Eau De Toilette</t>
        </is>
      </c>
      <c r="D14262" t="inlineStr">
        <is>
          <t>Hermès</t>
        </is>
      </c>
      <c r="E14262" t="n">
        <v>73.87</v>
      </c>
      <c r="F14262" t="n">
        <v>1</v>
      </c>
      <c r="G14262" t="n">
        <v>4</v>
      </c>
      <c r="H14262" s="5">
        <f>HYPERLINK("https://api.qogita.com/variants/link/3346131210015/", "View Product")</f>
        <v/>
      </c>
    </row>
    <row r="14263">
      <c r="A14263" t="inlineStr">
        <is>
          <t>3346131210022</t>
        </is>
      </c>
      <c r="B14263" t="inlineStr">
        <is>
          <t>Hermes Un Jardin En Mediterranee Eau De Toilette Spray 50ml</t>
        </is>
      </c>
      <c r="C14263" t="inlineStr">
        <is>
          <t>Eau De Toilette</t>
        </is>
      </c>
      <c r="D14263" t="inlineStr">
        <is>
          <t>Hermès</t>
        </is>
      </c>
      <c r="E14263" t="n">
        <v>42.57</v>
      </c>
      <c r="F14263" t="n">
        <v>1</v>
      </c>
      <c r="G14263" t="n">
        <v>168</v>
      </c>
      <c r="H14263" s="5">
        <f>HYPERLINK("https://api.qogita.com/variants/link/3346131210022/", "View Product")</f>
        <v/>
      </c>
    </row>
    <row r="14264">
      <c r="A14264" t="inlineStr">
        <is>
          <t>3346131290413</t>
        </is>
      </c>
      <c r="B14264" t="inlineStr">
        <is>
          <t>Hermes Un Jardin En Mediterranee</t>
        </is>
      </c>
      <c r="C14264" t="inlineStr">
        <is>
          <t>Eau De Toilette</t>
        </is>
      </c>
      <c r="D14264" t="inlineStr">
        <is>
          <t>Hermès</t>
        </is>
      </c>
      <c r="E14264" t="n">
        <v>19.24</v>
      </c>
      <c r="F14264" t="n">
        <v>1</v>
      </c>
      <c r="G14264" t="n">
        <v>31</v>
      </c>
      <c r="H14264" s="5">
        <f>HYPERLINK("https://api.qogita.com/variants/link/3346131290413/", "View Product")</f>
        <v/>
      </c>
    </row>
    <row r="14265">
      <c r="A14265" t="inlineStr">
        <is>
          <t>3346131431618</t>
        </is>
      </c>
      <c r="B14265" t="inlineStr">
        <is>
          <t>Hermes Terre D'Hermes Eau Intense Vetiver Perfumed Water Spray 200ml</t>
        </is>
      </c>
      <c r="C14265" t="inlineStr">
        <is>
          <t>Eau De Parfum</t>
        </is>
      </c>
      <c r="D14265" t="inlineStr">
        <is>
          <t>Hermès</t>
        </is>
      </c>
      <c r="E14265" t="n">
        <v>115.82</v>
      </c>
      <c r="F14265" t="n">
        <v>1</v>
      </c>
      <c r="G14265" t="n">
        <v>30</v>
      </c>
      <c r="H14265" s="5">
        <f>HYPERLINK("https://api.qogita.com/variants/link/3346131431618/", "View Product")</f>
        <v/>
      </c>
    </row>
    <row r="14266">
      <c r="A14266" t="inlineStr">
        <is>
          <t>3346131500031</t>
        </is>
      </c>
      <c r="B14266" t="inlineStr">
        <is>
          <t>Herms Kelly Caleche Eau De Toilette Spray 100ml For Women</t>
        </is>
      </c>
      <c r="C14266" t="inlineStr">
        <is>
          <t>Eau De Toilette</t>
        </is>
      </c>
      <c r="D14266" t="inlineStr">
        <is>
          <t>Hermès</t>
        </is>
      </c>
      <c r="E14266" t="n">
        <v>80.75</v>
      </c>
      <c r="F14266" t="n">
        <v>1</v>
      </c>
      <c r="G14266" t="n">
        <v>6</v>
      </c>
      <c r="H14266" s="5">
        <f>HYPERLINK("https://api.qogita.com/variants/link/3346131500031/", "View Product")</f>
        <v/>
      </c>
    </row>
    <row r="14267">
      <c r="A14267" t="inlineStr">
        <is>
          <t>3346131501816</t>
        </is>
      </c>
      <c r="B14267" t="inlineStr">
        <is>
          <t>Herms Kelly Calche Eau De Parfum 100ml Women's Spray</t>
        </is>
      </c>
      <c r="C14267" t="inlineStr">
        <is>
          <t>Eau De Parfum</t>
        </is>
      </c>
      <c r="D14267" t="inlineStr">
        <is>
          <t>Hermès</t>
        </is>
      </c>
      <c r="E14267" t="n">
        <v>93.8</v>
      </c>
      <c r="F14267" t="n">
        <v>1</v>
      </c>
      <c r="G14267" t="n">
        <v>12</v>
      </c>
      <c r="H14267" s="5">
        <f>HYPERLINK("https://api.qogita.com/variants/link/3346131501816/", "View Product")</f>
        <v/>
      </c>
    </row>
    <row r="14268">
      <c r="A14268" t="inlineStr">
        <is>
          <t>3346132001230</t>
        </is>
      </c>
      <c r="B14268" t="inlineStr">
        <is>
          <t>Hermès Mandarin Cologne Eau De Cologne Spray 100ml</t>
        </is>
      </c>
      <c r="C14268" t="inlineStr">
        <is>
          <t>Eau De Cologne</t>
        </is>
      </c>
      <c r="D14268" t="inlineStr">
        <is>
          <t>Hermès</t>
        </is>
      </c>
      <c r="E14268" t="n">
        <v>69.2</v>
      </c>
      <c r="F14268" t="n">
        <v>1</v>
      </c>
      <c r="G14268" t="n">
        <v>27</v>
      </c>
      <c r="H14268" s="5">
        <f>HYPERLINK("https://api.qogita.com/variants/link/3346132001230/", "View Product")</f>
        <v/>
      </c>
    </row>
    <row r="14269">
      <c r="A14269" t="inlineStr">
        <is>
          <t>3346132004903</t>
        </is>
      </c>
      <c r="B14269" t="inlineStr">
        <is>
          <t>Herms Eau De Citron Noir Eau De Cologne 100ml Unisex Spray</t>
        </is>
      </c>
      <c r="C14269" t="inlineStr">
        <is>
          <t>Eau De Cologne</t>
        </is>
      </c>
      <c r="D14269" t="inlineStr">
        <is>
          <t>Hermès</t>
        </is>
      </c>
      <c r="E14269" t="n">
        <v>78.45</v>
      </c>
      <c r="F14269" t="n">
        <v>1</v>
      </c>
      <c r="G14269" t="n">
        <v>15</v>
      </c>
      <c r="H14269" s="5">
        <f>HYPERLINK("https://api.qogita.com/variants/link/3346132004903/", "View Product")</f>
        <v/>
      </c>
    </row>
    <row r="14270">
      <c r="A14270" t="inlineStr">
        <is>
          <t>3346132300067</t>
        </is>
      </c>
      <c r="B14270" t="inlineStr">
        <is>
          <t>Hermes Jour D'Hermes Eau De Parfum Spray 30ml</t>
        </is>
      </c>
      <c r="C14270" t="inlineStr">
        <is>
          <t>Eau De Parfum</t>
        </is>
      </c>
      <c r="D14270" t="inlineStr">
        <is>
          <t>Hermès</t>
        </is>
      </c>
      <c r="E14270" t="n">
        <v>51.75</v>
      </c>
      <c r="F14270" t="n">
        <v>1</v>
      </c>
      <c r="G14270" t="n">
        <v>8</v>
      </c>
      <c r="H14270" s="5">
        <f>HYPERLINK("https://api.qogita.com/variants/link/3346132300067/", "View Product")</f>
        <v/>
      </c>
    </row>
    <row r="14271">
      <c r="A14271" t="inlineStr">
        <is>
          <t>3346132600051</t>
        </is>
      </c>
      <c r="B14271" t="inlineStr">
        <is>
          <t>Herms Le Jardin De Monsieur Li Eau De Toilette 30ml Unisex Spray</t>
        </is>
      </c>
      <c r="C14271" t="inlineStr">
        <is>
          <t>Eau De Toilette</t>
        </is>
      </c>
      <c r="D14271" t="inlineStr">
        <is>
          <t>Hermès</t>
        </is>
      </c>
      <c r="E14271" t="n">
        <v>35.72</v>
      </c>
      <c r="F14271" t="n">
        <v>1</v>
      </c>
      <c r="G14271" t="n">
        <v>2</v>
      </c>
      <c r="H14271" s="5">
        <f>HYPERLINK("https://api.qogita.com/variants/link/3346132600051/", "View Product")</f>
        <v/>
      </c>
    </row>
    <row r="14272">
      <c r="A14272" t="inlineStr">
        <is>
          <t>3346133203657</t>
        </is>
      </c>
      <c r="B14272" t="inlineStr">
        <is>
          <t>Hermes Twilly D'Hermes Eau Ginger Perfumed Water Spray 30ml</t>
        </is>
      </c>
      <c r="C14272" t="inlineStr">
        <is>
          <t>Eau De Parfum</t>
        </is>
      </c>
      <c r="D14272" t="inlineStr">
        <is>
          <t>Hermès</t>
        </is>
      </c>
      <c r="E14272" t="n">
        <v>35.91</v>
      </c>
      <c r="F14272" t="n">
        <v>1</v>
      </c>
      <c r="G14272" t="n">
        <v>10</v>
      </c>
      <c r="H14272" s="5">
        <f>HYPERLINK("https://api.qogita.com/variants/link/3346133203657/", "View Product")</f>
        <v/>
      </c>
    </row>
    <row r="14273">
      <c r="A14273" t="inlineStr">
        <is>
          <t>3346133500046</t>
        </is>
      </c>
      <c r="B14273" t="inlineStr">
        <is>
          <t>Hermes H24 Eau De Toilette 50ml Refillable Spray For Men</t>
        </is>
      </c>
      <c r="C14273" t="inlineStr">
        <is>
          <t>Eau De Toilette</t>
        </is>
      </c>
      <c r="D14273" t="inlineStr">
        <is>
          <t>Hermès</t>
        </is>
      </c>
      <c r="E14273" t="n">
        <v>33.43</v>
      </c>
      <c r="F14273" t="n">
        <v>1</v>
      </c>
      <c r="G14273" t="n">
        <v>6</v>
      </c>
      <c r="H14273" s="5">
        <f>HYPERLINK("https://api.qogita.com/variants/link/3346133500046/", "View Product")</f>
        <v/>
      </c>
    </row>
    <row r="14274">
      <c r="A14274" t="inlineStr">
        <is>
          <t>3346133600036</t>
        </is>
      </c>
      <c r="B14274" t="inlineStr">
        <is>
          <t>Herms Un Jardin Sur La Lagune Eau De Toilette Spray 30ml</t>
        </is>
      </c>
      <c r="C14274" t="inlineStr">
        <is>
          <t>Eau De Toilette</t>
        </is>
      </c>
      <c r="D14274" t="inlineStr">
        <is>
          <t>Hermès</t>
        </is>
      </c>
      <c r="E14274" t="n">
        <v>32.97</v>
      </c>
      <c r="F14274" t="n">
        <v>1</v>
      </c>
      <c r="G14274" t="n">
        <v>45</v>
      </c>
      <c r="H14274" s="5">
        <f>HYPERLINK("https://api.qogita.com/variants/link/3346133600036/", "View Product")</f>
        <v/>
      </c>
    </row>
    <row r="14275">
      <c r="A14275" t="inlineStr">
        <is>
          <t>3346400008855</t>
        </is>
      </c>
      <c r="B14275" t="inlineStr">
        <is>
          <t>Jean Patou For Ever Eau de Toilette Luxury Spray 50ml</t>
        </is>
      </c>
      <c r="C14275" t="inlineStr">
        <is>
          <t>Eau De Toilette</t>
        </is>
      </c>
      <c r="D14275" t="inlineStr">
        <is>
          <t>Jean Patou</t>
        </is>
      </c>
      <c r="E14275" t="n">
        <v>27.68</v>
      </c>
      <c r="F14275" t="n">
        <v>1</v>
      </c>
      <c r="G14275" t="n">
        <v>8</v>
      </c>
      <c r="H14275" s="5">
        <f>HYPERLINK("https://api.qogita.com/variants/link/3346400008855/", "View Product")</f>
        <v/>
      </c>
    </row>
    <row r="14276">
      <c r="A14276" t="inlineStr">
        <is>
          <t>3348900011632</t>
        </is>
      </c>
      <c r="B14276" t="inlineStr">
        <is>
          <t>Poison by Christian Dior EDT Spray 1.7 oz for Women Amber Wood</t>
        </is>
      </c>
      <c r="C14276" t="inlineStr">
        <is>
          <t>Eau De Toilette</t>
        </is>
      </c>
      <c r="D14276" t="inlineStr">
        <is>
          <t>Dior</t>
        </is>
      </c>
      <c r="E14276" t="n">
        <v>72.97</v>
      </c>
      <c r="F14276" t="n">
        <v>1</v>
      </c>
      <c r="G14276" t="n">
        <v>5</v>
      </c>
      <c r="H14276" s="5">
        <f>HYPERLINK("https://api.qogita.com/variants/link/3348900011632/", "View Product")</f>
        <v/>
      </c>
    </row>
    <row r="14277">
      <c r="A14277" t="inlineStr">
        <is>
          <t>3348900012455</t>
        </is>
      </c>
      <c r="B14277" t="inlineStr">
        <is>
          <t>Dior Diorella Eau De Toilette Spray 100ml</t>
        </is>
      </c>
      <c r="C14277" t="inlineStr">
        <is>
          <t>Eau De Toilette</t>
        </is>
      </c>
      <c r="D14277" t="inlineStr">
        <is>
          <t>Dior</t>
        </is>
      </c>
      <c r="E14277" t="n">
        <v>111.15</v>
      </c>
      <c r="F14277" t="n">
        <v>1</v>
      </c>
      <c r="G14277" t="n">
        <v>5</v>
      </c>
      <c r="H14277" s="5">
        <f>HYPERLINK("https://api.qogita.com/variants/link/3348900012455/", "View Product")</f>
        <v/>
      </c>
    </row>
    <row r="14278">
      <c r="A14278" t="inlineStr">
        <is>
          <t>3348900103870</t>
        </is>
      </c>
      <c r="B14278" t="inlineStr">
        <is>
          <t>Dior Dune Eau De Toilette 100ml For Women</t>
        </is>
      </c>
      <c r="C14278" t="inlineStr">
        <is>
          <t>Eau De Toilette</t>
        </is>
      </c>
      <c r="D14278" t="inlineStr">
        <is>
          <t>Dior</t>
        </is>
      </c>
      <c r="E14278" t="n">
        <v>104.59</v>
      </c>
      <c r="F14278" t="n">
        <v>1</v>
      </c>
      <c r="G14278" t="n">
        <v>11</v>
      </c>
      <c r="H14278" s="5">
        <f>HYPERLINK("https://api.qogita.com/variants/link/3348900103870/", "View Product")</f>
        <v/>
      </c>
    </row>
    <row r="14279">
      <c r="A14279" t="inlineStr">
        <is>
          <t>3348900142312</t>
        </is>
      </c>
      <c r="B14279" t="inlineStr">
        <is>
          <t>Dior Miss Dior Original Eau De Toilette Spray 100ml</t>
        </is>
      </c>
      <c r="C14279" t="inlineStr">
        <is>
          <t>Eau De Toilette</t>
        </is>
      </c>
      <c r="D14279" t="inlineStr">
        <is>
          <t>Dior</t>
        </is>
      </c>
      <c r="E14279" t="n">
        <v>112.05</v>
      </c>
      <c r="F14279" t="n">
        <v>1</v>
      </c>
      <c r="G14279" t="n">
        <v>7</v>
      </c>
      <c r="H14279" s="5">
        <f>HYPERLINK("https://api.qogita.com/variants/link/3348900142312/", "View Product")</f>
        <v/>
      </c>
    </row>
    <row r="14280">
      <c r="A14280" t="inlineStr">
        <is>
          <t>3348900321861</t>
        </is>
      </c>
      <c r="B14280" t="inlineStr">
        <is>
          <t>Christian Dior Dune For Men Eau De Toilette 100 Ml</t>
        </is>
      </c>
      <c r="C14280" t="inlineStr">
        <is>
          <t>Eau De Toilette</t>
        </is>
      </c>
      <c r="D14280" t="inlineStr">
        <is>
          <t>Christian Dior</t>
        </is>
      </c>
      <c r="E14280" t="n">
        <v>94.02</v>
      </c>
      <c r="F14280" t="n">
        <v>1</v>
      </c>
      <c r="G14280" t="n">
        <v>20</v>
      </c>
      <c r="H14280" s="5">
        <f>HYPERLINK("https://api.qogita.com/variants/link/3348900321861/", "View Product")</f>
        <v/>
      </c>
    </row>
    <row r="14281">
      <c r="A14281" t="inlineStr">
        <is>
          <t>3348900378551</t>
        </is>
      </c>
      <c r="B14281" t="inlineStr">
        <is>
          <t>Dior Hypnotic Poison Eau De Toilette 30 Ml Spray For Women</t>
        </is>
      </c>
      <c r="C14281" t="inlineStr">
        <is>
          <t>Eau De Toilette</t>
        </is>
      </c>
      <c r="D14281" t="inlineStr">
        <is>
          <t>Dior</t>
        </is>
      </c>
      <c r="E14281" t="n">
        <v>52.44</v>
      </c>
      <c r="F14281" t="n">
        <v>1</v>
      </c>
      <c r="G14281" t="n">
        <v>132</v>
      </c>
      <c r="H14281" s="5">
        <f>HYPERLINK("https://api.qogita.com/variants/link/3348900378551/", "View Product")</f>
        <v/>
      </c>
    </row>
    <row r="14282">
      <c r="A14282" t="inlineStr">
        <is>
          <t>3348900600379</t>
        </is>
      </c>
      <c r="B14282" t="inlineStr">
        <is>
          <t>Dior Homme Fahrenheit Deodorant Stick 75 Ml</t>
        </is>
      </c>
      <c r="C14282" t="inlineStr">
        <is>
          <t>Deodorant &amp; Anti-Perspirant</t>
        </is>
      </c>
      <c r="D14282" t="inlineStr">
        <is>
          <t>Dior</t>
        </is>
      </c>
      <c r="E14282" t="n">
        <v>31.8</v>
      </c>
      <c r="F14282" t="n">
        <v>1</v>
      </c>
      <c r="G14282" t="n">
        <v>11</v>
      </c>
      <c r="H14282" s="5">
        <f>HYPERLINK("https://api.qogita.com/variants/link/3348900600379/", "View Product")</f>
        <v/>
      </c>
    </row>
    <row r="14283">
      <c r="A14283" t="inlineStr">
        <is>
          <t>3348900793347</t>
        </is>
      </c>
      <c r="B14283" t="inlineStr">
        <is>
          <t>Dior Homme Dermo System Micro-Purifying Cleansing Gel 4.5 Ounce</t>
        </is>
      </c>
      <c r="C14283" t="inlineStr">
        <is>
          <t>Cleansing Gel</t>
        </is>
      </c>
      <c r="D14283" t="inlineStr">
        <is>
          <t>Dior</t>
        </is>
      </c>
      <c r="E14283" t="n">
        <v>36.42</v>
      </c>
      <c r="F14283" t="n">
        <v>1</v>
      </c>
      <c r="G14283" t="n">
        <v>92</v>
      </c>
      <c r="H14283" s="5">
        <f>HYPERLINK("https://api.qogita.com/variants/link/3348900793347/", "View Product")</f>
        <v/>
      </c>
    </row>
    <row r="14284">
      <c r="A14284" t="inlineStr">
        <is>
          <t>3348900905023</t>
        </is>
      </c>
      <c r="B14284" t="inlineStr">
        <is>
          <t>Dior Dermo System Dior Man Firming Anti-Aging 59g</t>
        </is>
      </c>
      <c r="C14284" t="inlineStr">
        <is>
          <t>Anti-Aging Facial Care</t>
        </is>
      </c>
      <c r="D14284" t="inlineStr">
        <is>
          <t>Dior</t>
        </is>
      </c>
      <c r="E14284" t="n">
        <v>47.66</v>
      </c>
      <c r="F14284" t="n">
        <v>1</v>
      </c>
      <c r="G14284" t="n">
        <v>5</v>
      </c>
      <c r="H14284" s="5">
        <f>HYPERLINK("https://api.qogita.com/variants/link/3348900905023/", "View Product")</f>
        <v/>
      </c>
    </row>
    <row r="14285">
      <c r="A14285" t="inlineStr">
        <is>
          <t>3348900911093</t>
        </is>
      </c>
      <c r="B14285" t="inlineStr">
        <is>
          <t>Dior Eau Sauvage After-Shave Balm 100ml</t>
        </is>
      </c>
      <c r="C14285" t="inlineStr">
        <is>
          <t>Aftershave</t>
        </is>
      </c>
      <c r="D14285" t="inlineStr">
        <is>
          <t>Dior</t>
        </is>
      </c>
      <c r="E14285" t="n">
        <v>55.96</v>
      </c>
      <c r="F14285" t="n">
        <v>1</v>
      </c>
      <c r="G14285" t="n">
        <v>3</v>
      </c>
      <c r="H14285" s="5">
        <f>HYPERLINK("https://api.qogita.com/variants/link/3348900911093/", "View Product")</f>
        <v/>
      </c>
    </row>
    <row r="14286">
      <c r="A14286" t="inlineStr">
        <is>
          <t>3348900921429</t>
        </is>
      </c>
      <c r="B14286" t="inlineStr">
        <is>
          <t>Dior Forever And Ever Eau de Toilette 100ml</t>
        </is>
      </c>
      <c r="C14286" t="inlineStr">
        <is>
          <t>Eau De Toilette</t>
        </is>
      </c>
      <c r="D14286" t="inlineStr">
        <is>
          <t>Dior</t>
        </is>
      </c>
      <c r="E14286" t="n">
        <v>108.67</v>
      </c>
      <c r="F14286" t="n">
        <v>1</v>
      </c>
      <c r="G14286" t="n">
        <v>19</v>
      </c>
      <c r="H14286" s="5">
        <f>HYPERLINK("https://api.qogita.com/variants/link/3348900921429/", "View Product")</f>
        <v/>
      </c>
    </row>
    <row r="14287">
      <c r="A14287" t="inlineStr">
        <is>
          <t>3348901181853</t>
        </is>
      </c>
      <c r="B14287" t="inlineStr">
        <is>
          <t>Dior Addict Eau Fraiche Eau De Toilette 50ml Women's Fragrance</t>
        </is>
      </c>
      <c r="C14287" t="inlineStr">
        <is>
          <t>Eau De Toilette</t>
        </is>
      </c>
      <c r="D14287" t="inlineStr">
        <is>
          <t>Dior</t>
        </is>
      </c>
      <c r="E14287" t="n">
        <v>74.34999999999999</v>
      </c>
      <c r="F14287" t="n">
        <v>1</v>
      </c>
      <c r="G14287" t="n">
        <v>20</v>
      </c>
      <c r="H14287" s="5">
        <f>HYPERLINK("https://api.qogita.com/variants/link/3348901181853/", "View Product")</f>
        <v/>
      </c>
    </row>
    <row r="14288">
      <c r="A14288" t="inlineStr">
        <is>
          <t>3348901182348</t>
        </is>
      </c>
      <c r="B14288" t="inlineStr">
        <is>
          <t>Dior Addict Eau De Parfum 50ml Women Spray</t>
        </is>
      </c>
      <c r="C14288" t="inlineStr">
        <is>
          <t>Eau De Parfum</t>
        </is>
      </c>
      <c r="D14288" t="inlineStr">
        <is>
          <t>Dior</t>
        </is>
      </c>
      <c r="E14288" t="n">
        <v>85.51000000000001</v>
      </c>
      <c r="F14288" t="n">
        <v>1</v>
      </c>
      <c r="G14288" t="n">
        <v>15</v>
      </c>
      <c r="H14288" s="5">
        <f>HYPERLINK("https://api.qogita.com/variants/link/3348901182348/", "View Product")</f>
        <v/>
      </c>
    </row>
    <row r="14289">
      <c r="A14289" t="inlineStr">
        <is>
          <t>3348901250146</t>
        </is>
      </c>
      <c r="B14289" t="inlineStr">
        <is>
          <t>Dior Sauvage Eau De Toilette Spray 100ml</t>
        </is>
      </c>
      <c r="C14289" t="inlineStr">
        <is>
          <t>Eau De Toilette</t>
        </is>
      </c>
      <c r="D14289" t="inlineStr">
        <is>
          <t>Dior</t>
        </is>
      </c>
      <c r="E14289" t="n">
        <v>94.47</v>
      </c>
      <c r="F14289" t="n">
        <v>1</v>
      </c>
      <c r="G14289" t="n">
        <v>107</v>
      </c>
      <c r="H14289" s="5">
        <f>HYPERLINK("https://api.qogita.com/variants/link/3348901250146/", "View Product")</f>
        <v/>
      </c>
    </row>
    <row r="14290">
      <c r="A14290" t="inlineStr">
        <is>
          <t>3348901250269</t>
        </is>
      </c>
      <c r="B14290" t="inlineStr">
        <is>
          <t>Dior Sauvage After Shave Lotion 100ml</t>
        </is>
      </c>
      <c r="C14290" t="inlineStr">
        <is>
          <t>Aftershave</t>
        </is>
      </c>
      <c r="D14290" t="inlineStr">
        <is>
          <t>Dior</t>
        </is>
      </c>
      <c r="E14290" t="n">
        <v>54.2</v>
      </c>
      <c r="F14290" t="n">
        <v>1</v>
      </c>
      <c r="G14290" t="n">
        <v>23</v>
      </c>
      <c r="H14290" s="5">
        <f>HYPERLINK("https://api.qogita.com/variants/link/3348901250269/", "View Product")</f>
        <v/>
      </c>
    </row>
    <row r="14291">
      <c r="A14291" t="inlineStr">
        <is>
          <t>3348901251037</t>
        </is>
      </c>
      <c r="B14291" t="inlineStr">
        <is>
          <t>Dior Eau Sauvage Eau De Cologne Spray 100ml</t>
        </is>
      </c>
      <c r="C14291" t="inlineStr">
        <is>
          <t>Eau De Cologne</t>
        </is>
      </c>
      <c r="D14291" t="inlineStr">
        <is>
          <t>Dior</t>
        </is>
      </c>
      <c r="E14291" t="n">
        <v>92.93000000000001</v>
      </c>
      <c r="F14291" t="n">
        <v>1</v>
      </c>
      <c r="G14291" t="n">
        <v>4</v>
      </c>
      <c r="H14291" s="5">
        <f>HYPERLINK("https://api.qogita.com/variants/link/3348901251037/", "View Product")</f>
        <v/>
      </c>
    </row>
    <row r="14292">
      <c r="A14292" t="inlineStr">
        <is>
          <t>3348901292276</t>
        </is>
      </c>
      <c r="B14292" t="inlineStr">
        <is>
          <t>Christian Dior Sauvage Deodorant Stick Alcoholfree 75g</t>
        </is>
      </c>
      <c r="C14292" t="inlineStr">
        <is>
          <t>Deodorant &amp; Anti-Perspirant</t>
        </is>
      </c>
      <c r="D14292" t="inlineStr">
        <is>
          <t>Christian Dior</t>
        </is>
      </c>
      <c r="E14292" t="n">
        <v>32.07</v>
      </c>
      <c r="F14292" t="n">
        <v>1</v>
      </c>
      <c r="G14292" t="n">
        <v>22</v>
      </c>
      <c r="H14292" s="5">
        <f>HYPERLINK("https://api.qogita.com/variants/link/3348901292276/", "View Product")</f>
        <v/>
      </c>
    </row>
    <row r="14293">
      <c r="A14293" t="inlineStr">
        <is>
          <t>3348901296625</t>
        </is>
      </c>
      <c r="B14293" t="inlineStr">
        <is>
          <t>Dior J'Adore Eau De Toilette Spray 50ml</t>
        </is>
      </c>
      <c r="C14293" t="inlineStr">
        <is>
          <t>Eau De Toilette</t>
        </is>
      </c>
      <c r="D14293" t="inlineStr">
        <is>
          <t>Dior</t>
        </is>
      </c>
      <c r="E14293" t="n">
        <v>77.31999999999999</v>
      </c>
      <c r="F14293" t="n">
        <v>1</v>
      </c>
      <c r="G14293" t="n">
        <v>8</v>
      </c>
      <c r="H14293" s="5">
        <f>HYPERLINK("https://api.qogita.com/variants/link/3348901296625/", "View Product")</f>
        <v/>
      </c>
    </row>
    <row r="14294">
      <c r="A14294" t="inlineStr">
        <is>
          <t>3348901356510</t>
        </is>
      </c>
      <c r="B14294" t="inlineStr">
        <is>
          <t>Dior Miss Dior Refreshing Body Cream 150ml</t>
        </is>
      </c>
      <c r="C14294" t="inlineStr">
        <is>
          <t>Body Lotion</t>
        </is>
      </c>
      <c r="D14294" t="inlineStr">
        <is>
          <t>Dior</t>
        </is>
      </c>
      <c r="E14294" t="n">
        <v>76.51000000000001</v>
      </c>
      <c r="F14294" t="n">
        <v>1</v>
      </c>
      <c r="G14294" t="n">
        <v>6</v>
      </c>
      <c r="H14294" s="5">
        <f>HYPERLINK("https://api.qogita.com/variants/link/3348901356510/", "View Product")</f>
        <v/>
      </c>
    </row>
    <row r="14295">
      <c r="A14295" t="inlineStr">
        <is>
          <t>3348901368247</t>
        </is>
      </c>
      <c r="B14295" t="inlineStr">
        <is>
          <t>Dior Sauvage Eau De Parfum Spray 100ml</t>
        </is>
      </c>
      <c r="C14295" t="inlineStr">
        <is>
          <t>Eau De Parfum</t>
        </is>
      </c>
      <c r="D14295" t="inlineStr">
        <is>
          <t>Dior</t>
        </is>
      </c>
      <c r="E14295" t="n">
        <v>107.99</v>
      </c>
      <c r="F14295" t="n">
        <v>1</v>
      </c>
      <c r="G14295" t="n">
        <v>5</v>
      </c>
      <c r="H14295" s="5">
        <f>HYPERLINK("https://api.qogita.com/variants/link/3348901368247/", "View Product")</f>
        <v/>
      </c>
    </row>
    <row r="14296">
      <c r="A14296" t="inlineStr">
        <is>
          <t>3348901387347</t>
        </is>
      </c>
      <c r="B14296" t="inlineStr">
        <is>
          <t>Dior Miss Dior Body Oil</t>
        </is>
      </c>
      <c r="C14296" t="inlineStr">
        <is>
          <t>Body Oil</t>
        </is>
      </c>
      <c r="D14296" t="inlineStr">
        <is>
          <t>Dior</t>
        </is>
      </c>
      <c r="E14296" t="n">
        <v>55.01</v>
      </c>
      <c r="F14296" t="n">
        <v>1</v>
      </c>
      <c r="G14296" t="n">
        <v>3</v>
      </c>
      <c r="H14296" s="5">
        <f>HYPERLINK("https://api.qogita.com/variants/link/3348901387347/", "View Product")</f>
        <v/>
      </c>
    </row>
    <row r="14297">
      <c r="A14297" t="inlineStr">
        <is>
          <t>3348901419130</t>
        </is>
      </c>
      <c r="B14297" t="inlineStr">
        <is>
          <t>Dior Homme Eau De Toilette Spray 50ml By Dior</t>
        </is>
      </c>
      <c r="C14297" t="inlineStr">
        <is>
          <t>Eau De Toilette</t>
        </is>
      </c>
      <c r="D14297" t="inlineStr">
        <is>
          <t>Dior</t>
        </is>
      </c>
      <c r="E14297" t="n">
        <v>63.43</v>
      </c>
      <c r="F14297" t="n">
        <v>1</v>
      </c>
      <c r="G14297" t="n">
        <v>6</v>
      </c>
      <c r="H14297" s="5">
        <f>HYPERLINK("https://api.qogita.com/variants/link/3348901419130/", "View Product")</f>
        <v/>
      </c>
    </row>
    <row r="14298">
      <c r="A14298" t="inlineStr">
        <is>
          <t>3348901426961</t>
        </is>
      </c>
      <c r="B14298" t="inlineStr">
        <is>
          <t>Dior J'Adore Eau De Parfum Roller-Pearl 20ml</t>
        </is>
      </c>
      <c r="C14298" t="inlineStr">
        <is>
          <t>Eau De Parfum</t>
        </is>
      </c>
      <c r="D14298" t="inlineStr">
        <is>
          <t>Dior</t>
        </is>
      </c>
      <c r="E14298" t="n">
        <v>45.04</v>
      </c>
      <c r="F14298" t="n">
        <v>1</v>
      </c>
      <c r="G14298" t="n">
        <v>46</v>
      </c>
      <c r="H14298" s="5">
        <f>HYPERLINK("https://api.qogita.com/variants/link/3348901426961/", "View Product")</f>
        <v/>
      </c>
    </row>
    <row r="14299">
      <c r="A14299" t="inlineStr">
        <is>
          <t>3348901477628</t>
        </is>
      </c>
      <c r="B14299" t="inlineStr">
        <is>
          <t>Dior Capture Totale Cell Energy Eye Cream 15ml</t>
        </is>
      </c>
      <c r="C14299" t="inlineStr">
        <is>
          <t>Eye Cream</t>
        </is>
      </c>
      <c r="D14299" t="inlineStr">
        <is>
          <t>Dior</t>
        </is>
      </c>
      <c r="E14299" t="n">
        <v>88.95</v>
      </c>
      <c r="F14299" t="n">
        <v>1</v>
      </c>
      <c r="G14299" t="n">
        <v>1</v>
      </c>
      <c r="H14299" s="5">
        <f>HYPERLINK("https://api.qogita.com/variants/link/3348901477628/", "View Product")</f>
        <v/>
      </c>
    </row>
    <row r="14300">
      <c r="A14300" t="inlineStr">
        <is>
          <t>3348901484893</t>
        </is>
      </c>
      <c r="B14300" t="inlineStr">
        <is>
          <t>Dior Homme Deodorant Stick 75ml By Dior</t>
        </is>
      </c>
      <c r="C14300" t="inlineStr">
        <is>
          <t>Deodorant &amp; Anti-Perspirant</t>
        </is>
      </c>
      <c r="D14300" t="inlineStr">
        <is>
          <t>Dior</t>
        </is>
      </c>
      <c r="E14300" t="n">
        <v>32.35</v>
      </c>
      <c r="F14300" t="n">
        <v>1</v>
      </c>
      <c r="G14300" t="n">
        <v>6</v>
      </c>
      <c r="H14300" s="5">
        <f>HYPERLINK("https://api.qogita.com/variants/link/3348901484893/", "View Product")</f>
        <v/>
      </c>
    </row>
    <row r="14301">
      <c r="A14301" t="inlineStr">
        <is>
          <t>3348901487528</t>
        </is>
      </c>
      <c r="B14301" t="inlineStr">
        <is>
          <t>Dior Joy By Dior Eau De Parfum Intense 90ml</t>
        </is>
      </c>
      <c r="C14301" t="inlineStr">
        <is>
          <t>Eau De Parfum</t>
        </is>
      </c>
      <c r="D14301" t="inlineStr">
        <is>
          <t>Dior</t>
        </is>
      </c>
      <c r="E14301" t="n">
        <v>119.98</v>
      </c>
      <c r="F14301" t="n">
        <v>1</v>
      </c>
      <c r="G14301" t="n">
        <v>7</v>
      </c>
      <c r="H14301" s="5">
        <f>HYPERLINK("https://api.qogita.com/variants/link/3348901487528/", "View Product")</f>
        <v/>
      </c>
    </row>
    <row r="14302">
      <c r="A14302" t="inlineStr">
        <is>
          <t>3348901497282</t>
        </is>
      </c>
      <c r="B14302" t="inlineStr">
        <is>
          <t>Christian Dior Hair Perfume 210g</t>
        </is>
      </c>
      <c r="C14302" t="inlineStr">
        <is>
          <t>Eau De Parfum</t>
        </is>
      </c>
      <c r="D14302" t="inlineStr">
        <is>
          <t>Dior</t>
        </is>
      </c>
      <c r="E14302" t="n">
        <v>51.69</v>
      </c>
      <c r="F14302" t="n">
        <v>1</v>
      </c>
      <c r="G14302" t="n">
        <v>3</v>
      </c>
      <c r="H14302" s="5">
        <f>HYPERLINK("https://api.qogita.com/variants/link/3348901497282/", "View Product")</f>
        <v/>
      </c>
    </row>
    <row r="14303">
      <c r="A14303" t="inlineStr">
        <is>
          <t>3348901534031</t>
        </is>
      </c>
      <c r="B14303" t="inlineStr">
        <is>
          <t>Dior Rouge Dior Contour Cherie Lip Pencil 12 G</t>
        </is>
      </c>
      <c r="C14303" t="inlineStr">
        <is>
          <t>Lip Liner</t>
        </is>
      </c>
      <c r="D14303" t="inlineStr">
        <is>
          <t>Dior</t>
        </is>
      </c>
      <c r="E14303" t="n">
        <v>26.24</v>
      </c>
      <c r="F14303" t="n">
        <v>1</v>
      </c>
      <c r="G14303" t="n">
        <v>2</v>
      </c>
      <c r="H14303" s="5">
        <f>HYPERLINK("https://api.qogita.com/variants/link/3348901534031/", "View Product")</f>
        <v/>
      </c>
    </row>
    <row r="14304">
      <c r="A14304" t="inlineStr">
        <is>
          <t>3348901544092</t>
        </is>
      </c>
      <c r="B14304" t="inlineStr">
        <is>
          <t>Dior Homme 2020 Eau De Toilette A Premium Fragrance For Men</t>
        </is>
      </c>
      <c r="C14304" t="inlineStr">
        <is>
          <t>Eau De Toilette</t>
        </is>
      </c>
      <c r="D14304" t="inlineStr">
        <is>
          <t>Dior</t>
        </is>
      </c>
      <c r="E14304" t="n">
        <v>107.36</v>
      </c>
      <c r="F14304" t="n">
        <v>1</v>
      </c>
      <c r="G14304" t="n">
        <v>7</v>
      </c>
      <c r="H14304" s="5">
        <f>HYPERLINK("https://api.qogita.com/variants/link/3348901544092/", "View Product")</f>
        <v/>
      </c>
    </row>
    <row r="14305">
      <c r="A14305" t="inlineStr">
        <is>
          <t>3348901560979</t>
        </is>
      </c>
      <c r="B14305" t="inlineStr">
        <is>
          <t>Dior Addict Lip Glow Oil 020 Mahogany 6ml</t>
        </is>
      </c>
      <c r="C14305" t="inlineStr">
        <is>
          <t>Lip Gloss</t>
        </is>
      </c>
      <c r="D14305" t="inlineStr">
        <is>
          <t>Dior</t>
        </is>
      </c>
      <c r="E14305" t="n">
        <v>37.68</v>
      </c>
      <c r="F14305" t="n">
        <v>1</v>
      </c>
      <c r="G14305" t="n">
        <v>13</v>
      </c>
      <c r="H14305" s="5">
        <f>HYPERLINK("https://api.qogita.com/variants/link/3348901560979/", "View Product")</f>
        <v/>
      </c>
    </row>
    <row r="14306">
      <c r="A14306" t="inlineStr">
        <is>
          <t>3348901567572</t>
        </is>
      </c>
      <c r="B14306" t="inlineStr">
        <is>
          <t>Dior Sauvage Elixir Eau De Parfum Spray 60ml</t>
        </is>
      </c>
      <c r="C14306" t="inlineStr">
        <is>
          <t>Eau De Parfum</t>
        </is>
      </c>
      <c r="D14306" t="inlineStr">
        <is>
          <t>Dior</t>
        </is>
      </c>
      <c r="E14306" t="n">
        <v>131.78</v>
      </c>
      <c r="F14306" t="n">
        <v>1</v>
      </c>
      <c r="G14306" t="n">
        <v>5</v>
      </c>
      <c r="H14306" s="5">
        <f>HYPERLINK("https://api.qogita.com/variants/link/3348901567572/", "View Product")</f>
        <v/>
      </c>
    </row>
    <row r="14307">
      <c r="A14307" t="inlineStr">
        <is>
          <t>3348901584937</t>
        </is>
      </c>
      <c r="B14307" t="inlineStr">
        <is>
          <t>Dior Vernis 449 Dansante Nail Polish 10ml</t>
        </is>
      </c>
      <c r="C14307" t="inlineStr">
        <is>
          <t>Nail Polish</t>
        </is>
      </c>
      <c r="D14307" t="inlineStr">
        <is>
          <t>Dior</t>
        </is>
      </c>
      <c r="E14307" t="n">
        <v>28.31</v>
      </c>
      <c r="F14307" t="n">
        <v>1</v>
      </c>
      <c r="G14307" t="n">
        <v>5</v>
      </c>
      <c r="H14307" s="5">
        <f>HYPERLINK("https://api.qogita.com/variants/link/3348901584937/", "View Product")</f>
        <v/>
      </c>
    </row>
    <row r="14308">
      <c r="A14308" t="inlineStr">
        <is>
          <t>3348901590198</t>
        </is>
      </c>
      <c r="B14308" t="inlineStr">
        <is>
          <t>Dior J'Adore Infinissime Eau De Parfum Spray 30ml</t>
        </is>
      </c>
      <c r="C14308" t="inlineStr">
        <is>
          <t>Eau De Parfum</t>
        </is>
      </c>
      <c r="D14308" t="inlineStr">
        <is>
          <t>Dior</t>
        </is>
      </c>
      <c r="E14308" t="n">
        <v>64.98999999999999</v>
      </c>
      <c r="F14308" t="n">
        <v>1</v>
      </c>
      <c r="G14308" t="n">
        <v>8</v>
      </c>
      <c r="H14308" s="5">
        <f>HYPERLINK("https://api.qogita.com/variants/link/3348901590198/", "View Product")</f>
        <v/>
      </c>
    </row>
    <row r="14309">
      <c r="A14309" t="inlineStr">
        <is>
          <t>3348901605854</t>
        </is>
      </c>
      <c r="B14309" t="inlineStr">
        <is>
          <t>Dior Addict Shine Lipstick 976 Be Dior Hydrating Lipstick With Gloss 32g</t>
        </is>
      </c>
      <c r="C14309" t="inlineStr">
        <is>
          <t>Lipstick</t>
        </is>
      </c>
      <c r="D14309" t="inlineStr">
        <is>
          <t>Dior</t>
        </is>
      </c>
      <c r="E14309" t="n">
        <v>39.35</v>
      </c>
      <c r="F14309" t="n">
        <v>1</v>
      </c>
      <c r="G14309" t="n">
        <v>3</v>
      </c>
      <c r="H14309" s="5">
        <f>HYPERLINK("https://api.qogita.com/variants/link/3348901605854/", "View Product")</f>
        <v/>
      </c>
    </row>
    <row r="14310">
      <c r="A14310" t="inlineStr">
        <is>
          <t>3348901609883</t>
        </is>
      </c>
      <c r="B14310" t="inlineStr">
        <is>
          <t>Dior Hydrating Lipstick With Gloss Addict 32 G</t>
        </is>
      </c>
      <c r="C14310" t="inlineStr">
        <is>
          <t>Lipstick</t>
        </is>
      </c>
      <c r="D14310" t="inlineStr">
        <is>
          <t>Dior</t>
        </is>
      </c>
      <c r="E14310" t="n">
        <v>41.73</v>
      </c>
      <c r="F14310" t="n">
        <v>1</v>
      </c>
      <c r="G14310" t="n">
        <v>2</v>
      </c>
      <c r="H14310" s="5">
        <f>HYPERLINK("https://api.qogita.com/variants/link/3348901609883/", "View Product")</f>
        <v/>
      </c>
    </row>
    <row r="14311">
      <c r="A14311" t="inlineStr">
        <is>
          <t>3348901613460</t>
        </is>
      </c>
      <c r="B14311" t="inlineStr">
        <is>
          <t>Dior Longwear Powder Blush Dansante 67g</t>
        </is>
      </c>
      <c r="C14311" t="inlineStr">
        <is>
          <t>Blush</t>
        </is>
      </c>
      <c r="D14311" t="inlineStr">
        <is>
          <t>Dior</t>
        </is>
      </c>
      <c r="E14311" t="n">
        <v>48.99</v>
      </c>
      <c r="F14311" t="n">
        <v>1</v>
      </c>
      <c r="G14311" t="n">
        <v>3</v>
      </c>
      <c r="H14311" s="5">
        <f>HYPERLINK("https://api.qogita.com/variants/link/3348901613460/", "View Product")</f>
        <v/>
      </c>
    </row>
    <row r="14312">
      <c r="A14312" t="inlineStr">
        <is>
          <t>3348901625807</t>
        </is>
      </c>
      <c r="B14312" t="inlineStr">
        <is>
          <t>Christian Dior Prestige Micro-Lotion Rose Advanced - 150ml</t>
        </is>
      </c>
      <c r="C14312" t="inlineStr">
        <is>
          <t>Facial Spray</t>
        </is>
      </c>
      <c r="D14312" t="inlineStr">
        <is>
          <t>Christian Dior</t>
        </is>
      </c>
      <c r="E14312" t="n">
        <v>137.3</v>
      </c>
      <c r="F14312" t="n">
        <v>1</v>
      </c>
      <c r="G14312" t="n">
        <v>2</v>
      </c>
      <c r="H14312" s="5">
        <f>HYPERLINK("https://api.qogita.com/variants/link/3348901625807/", "View Product")</f>
        <v/>
      </c>
    </row>
    <row r="14313">
      <c r="A14313" t="inlineStr">
        <is>
          <t>3348901627320</t>
        </is>
      </c>
      <c r="B14313" t="inlineStr">
        <is>
          <t>Dior Homme Sport Eau De Toilette 200ml By Dior</t>
        </is>
      </c>
      <c r="C14313" t="inlineStr">
        <is>
          <t>Eau De Toilette</t>
        </is>
      </c>
      <c r="D14313" t="inlineStr">
        <is>
          <t>Dior</t>
        </is>
      </c>
      <c r="E14313" t="n">
        <v>137.92</v>
      </c>
      <c r="F14313" t="n">
        <v>1</v>
      </c>
      <c r="G14313" t="n">
        <v>8</v>
      </c>
      <c r="H14313" s="5">
        <f>HYPERLINK("https://api.qogita.com/variants/link/3348901627320/", "View Product")</f>
        <v/>
      </c>
    </row>
    <row r="14314">
      <c r="A14314" t="inlineStr">
        <is>
          <t>3348901627337</t>
        </is>
      </c>
      <c r="B14314" t="inlineStr">
        <is>
          <t>Dior Homme Cologne 200ml</t>
        </is>
      </c>
      <c r="C14314" t="inlineStr">
        <is>
          <t>Eau De Cologne</t>
        </is>
      </c>
      <c r="D14314" t="inlineStr">
        <is>
          <t>Dior</t>
        </is>
      </c>
      <c r="E14314" t="n">
        <v>140.13</v>
      </c>
      <c r="F14314" t="n">
        <v>1</v>
      </c>
      <c r="G14314" t="n">
        <v>3</v>
      </c>
      <c r="H14314" s="5">
        <f>HYPERLINK("https://api.qogita.com/variants/link/3348901627337/", "View Product")</f>
        <v/>
      </c>
    </row>
    <row r="14315">
      <c r="A14315" t="inlineStr">
        <is>
          <t>3348901627368</t>
        </is>
      </c>
      <c r="B14315" t="inlineStr">
        <is>
          <t>Dior Miss Dior Blooming Bouquet Eau De Toilette Spray 50ml</t>
        </is>
      </c>
      <c r="C14315" t="inlineStr">
        <is>
          <t>Eau De Toilette</t>
        </is>
      </c>
      <c r="D14315" t="inlineStr">
        <is>
          <t>Dior</t>
        </is>
      </c>
      <c r="E14315" t="n">
        <v>78.67</v>
      </c>
      <c r="F14315" t="n">
        <v>1</v>
      </c>
      <c r="G14315" t="n">
        <v>22</v>
      </c>
      <c r="H14315" s="5">
        <f>HYPERLINK("https://api.qogita.com/variants/link/3348901627368/", "View Product")</f>
        <v/>
      </c>
    </row>
    <row r="14316">
      <c r="A14316" t="inlineStr">
        <is>
          <t>3348901627382</t>
        </is>
      </c>
      <c r="B14316" t="inlineStr">
        <is>
          <t>Dior Miss Dior Blooming Bouquet Eau De Toilette Spray 150ml</t>
        </is>
      </c>
      <c r="C14316" t="inlineStr">
        <is>
          <t>Eau De Toilette</t>
        </is>
      </c>
      <c r="D14316" t="inlineStr">
        <is>
          <t>Dior</t>
        </is>
      </c>
      <c r="E14316" t="n">
        <v>149.12</v>
      </c>
      <c r="F14316" t="n">
        <v>1</v>
      </c>
      <c r="G14316" t="n">
        <v>5</v>
      </c>
      <c r="H14316" s="5">
        <f>HYPERLINK("https://api.qogita.com/variants/link/3348901627382/", "View Product")</f>
        <v/>
      </c>
    </row>
    <row r="14317">
      <c r="A14317" t="inlineStr">
        <is>
          <t>3348901636254</t>
        </is>
      </c>
      <c r="B14317" t="inlineStr">
        <is>
          <t>Dior Lip Maximizer Intense Fig Volume Lip Gloss 6 Ml</t>
        </is>
      </c>
      <c r="C14317" t="inlineStr">
        <is>
          <t>Lip Gloss</t>
        </is>
      </c>
      <c r="D14317" t="inlineStr">
        <is>
          <t>Dior</t>
        </is>
      </c>
      <c r="E14317" t="n">
        <v>35.2</v>
      </c>
      <c r="F14317" t="n">
        <v>1</v>
      </c>
      <c r="G14317" t="n">
        <v>9</v>
      </c>
      <c r="H14317" s="5">
        <f>HYPERLINK("https://api.qogita.com/variants/link/3348901636254/", "View Product")</f>
        <v/>
      </c>
    </row>
    <row r="14318">
      <c r="A14318" t="inlineStr">
        <is>
          <t>3348901636278</t>
        </is>
      </c>
      <c r="B14318" t="inlineStr">
        <is>
          <t>Dior Addict Lip Maximizer Lipgloss 029 Intense Grape 6 Ml Volume Lip Gloss</t>
        </is>
      </c>
      <c r="C14318" t="inlineStr">
        <is>
          <t>Lip Gloss</t>
        </is>
      </c>
      <c r="D14318" t="inlineStr">
        <is>
          <t>Dior</t>
        </is>
      </c>
      <c r="E14318" t="n">
        <v>35.33</v>
      </c>
      <c r="F14318" t="n">
        <v>1</v>
      </c>
      <c r="G14318" t="n">
        <v>11</v>
      </c>
      <c r="H14318" s="5">
        <f>HYPERLINK("https://api.qogita.com/variants/link/3348901636278/", "View Product")</f>
        <v/>
      </c>
    </row>
    <row r="14319">
      <c r="A14319" t="inlineStr">
        <is>
          <t>3348901637510</t>
        </is>
      </c>
      <c r="B14319" t="inlineStr">
        <is>
          <t>Dior Forever Skin Correct Fullcoverage Concealer 11 Ml 1 Cr Cool Rosy</t>
        </is>
      </c>
      <c r="C14319" t="inlineStr">
        <is>
          <t>Concealer</t>
        </is>
      </c>
      <c r="D14319" t="inlineStr">
        <is>
          <t>Dior</t>
        </is>
      </c>
      <c r="E14319" t="n">
        <v>35.97</v>
      </c>
      <c r="F14319" t="n">
        <v>1</v>
      </c>
      <c r="G14319" t="n">
        <v>2</v>
      </c>
      <c r="H14319" s="5">
        <f>HYPERLINK("https://api.qogita.com/variants/link/3348901637510/", "View Product")</f>
        <v/>
      </c>
    </row>
    <row r="14320">
      <c r="A14320" t="inlineStr">
        <is>
          <t>3348901639989</t>
        </is>
      </c>
      <c r="B14320" t="inlineStr">
        <is>
          <t>Dior J'Adore Parfum D'Eau Perfumed Water Spray 30ml</t>
        </is>
      </c>
      <c r="C14320" t="inlineStr">
        <is>
          <t>Eau De Parfum</t>
        </is>
      </c>
      <c r="D14320" t="inlineStr">
        <is>
          <t>Dior</t>
        </is>
      </c>
      <c r="E14320" t="n">
        <v>66.34999999999999</v>
      </c>
      <c r="F14320" t="n">
        <v>1</v>
      </c>
      <c r="G14320" t="n">
        <v>4</v>
      </c>
      <c r="H14320" s="5">
        <f>HYPERLINK("https://api.qogita.com/variants/link/3348901639989/", "View Product")</f>
        <v/>
      </c>
    </row>
    <row r="14321">
      <c r="A14321" t="inlineStr">
        <is>
          <t>3348901647243</t>
        </is>
      </c>
      <c r="B14321" t="inlineStr">
        <is>
          <t>Dior Capture Totale Dreamskin 1minute Mask 75ml</t>
        </is>
      </c>
      <c r="C14321" t="inlineStr">
        <is>
          <t>Anti-Aging Mask</t>
        </is>
      </c>
      <c r="D14321" t="inlineStr">
        <is>
          <t>Dior</t>
        </is>
      </c>
      <c r="E14321" t="n">
        <v>66.41</v>
      </c>
      <c r="F14321" t="n">
        <v>1</v>
      </c>
      <c r="G14321" t="n">
        <v>4</v>
      </c>
      <c r="H14321" s="5">
        <f>HYPERLINK("https://api.qogita.com/variants/link/3348901647243/", "View Product")</f>
        <v/>
      </c>
    </row>
    <row r="14322">
      <c r="A14322" t="inlineStr">
        <is>
          <t>3348901658539</t>
        </is>
      </c>
      <c r="B14322" t="inlineStr">
        <is>
          <t>Dior Rouge Dior Velvet Lipstick 35 G</t>
        </is>
      </c>
      <c r="C14322" t="inlineStr">
        <is>
          <t>Lipstick</t>
        </is>
      </c>
      <c r="D14322" t="inlineStr">
        <is>
          <t>Dior</t>
        </is>
      </c>
      <c r="E14322" t="n">
        <v>37.4</v>
      </c>
      <c r="F14322" t="n">
        <v>1</v>
      </c>
      <c r="G14322" t="n">
        <v>5</v>
      </c>
      <c r="H14322" s="5">
        <f>HYPERLINK("https://api.qogita.com/variants/link/3348901658539/", "View Product")</f>
        <v/>
      </c>
    </row>
    <row r="14323">
      <c r="A14323" t="inlineStr">
        <is>
          <t>3348901663458</t>
        </is>
      </c>
      <c r="B14323" t="inlineStr">
        <is>
          <t>Dior 5 Couleurs Couture Eyeshadow Palette 183 Plum Tutu 7g</t>
        </is>
      </c>
      <c r="C14323" t="inlineStr">
        <is>
          <t>Eye Sets &amp; Pallets</t>
        </is>
      </c>
      <c r="D14323" t="inlineStr">
        <is>
          <t>Dior</t>
        </is>
      </c>
      <c r="E14323" t="n">
        <v>61.4</v>
      </c>
      <c r="F14323" t="n">
        <v>1</v>
      </c>
      <c r="G14323" t="n">
        <v>4</v>
      </c>
      <c r="H14323" s="5">
        <f>HYPERLINK("https://api.qogita.com/variants/link/3348901663458/", "View Product")</f>
        <v/>
      </c>
    </row>
    <row r="14324">
      <c r="A14324" t="inlineStr">
        <is>
          <t>3348901665858</t>
        </is>
      </c>
      <c r="B14324" t="inlineStr">
        <is>
          <t>Dior Backstage Rosy Glow Blush 015 Cherry 44g</t>
        </is>
      </c>
      <c r="C14324" t="inlineStr">
        <is>
          <t>Blush</t>
        </is>
      </c>
      <c r="D14324" t="inlineStr">
        <is>
          <t>Dior</t>
        </is>
      </c>
      <c r="E14324" t="n">
        <v>34.28</v>
      </c>
      <c r="F14324" t="n">
        <v>1</v>
      </c>
      <c r="G14324" t="n">
        <v>21</v>
      </c>
      <c r="H14324" s="5">
        <f>HYPERLINK("https://api.qogita.com/variants/link/3348901665858/", "View Product")</f>
        <v/>
      </c>
    </row>
    <row r="14325">
      <c r="A14325" t="inlineStr">
        <is>
          <t>3348901670326</t>
        </is>
      </c>
      <c r="B14325" t="inlineStr">
        <is>
          <t>Dior Forever Skin Perfect Multi-Use Foundation Stick - 10 G</t>
        </is>
      </c>
      <c r="C14325" t="inlineStr">
        <is>
          <t>Foundation</t>
        </is>
      </c>
      <c r="D14325" t="inlineStr">
        <is>
          <t>Dior</t>
        </is>
      </c>
      <c r="E14325" t="n">
        <v>48.25</v>
      </c>
      <c r="F14325" t="n">
        <v>1</v>
      </c>
      <c r="G14325" t="n">
        <v>5</v>
      </c>
      <c r="H14325" s="5">
        <f>HYPERLINK("https://api.qogita.com/variants/link/3348901670326/", "View Product")</f>
        <v/>
      </c>
    </row>
    <row r="14326">
      <c r="A14326" t="inlineStr">
        <is>
          <t>3348901673013</t>
        </is>
      </c>
      <c r="B14326" t="inlineStr">
        <is>
          <t>Dior Vernis 902 Pied-de-poule Nail Polish 10ml</t>
        </is>
      </c>
      <c r="C14326" t="inlineStr">
        <is>
          <t>Nail Polish</t>
        </is>
      </c>
      <c r="D14326" t="inlineStr">
        <is>
          <t>Dior</t>
        </is>
      </c>
      <c r="E14326" t="n">
        <v>27.42</v>
      </c>
      <c r="F14326" t="n">
        <v>1</v>
      </c>
      <c r="G14326" t="n">
        <v>2</v>
      </c>
      <c r="H14326" s="5">
        <f>HYPERLINK("https://api.qogita.com/variants/link/3348901673013/", "View Product")</f>
        <v/>
      </c>
    </row>
    <row r="14327">
      <c r="A14327" t="inlineStr">
        <is>
          <t>3348901689458</t>
        </is>
      </c>
      <c r="B14327" t="inlineStr">
        <is>
          <t>Dior Rouge Dior Velvet Lipstick 400 Nude Line 35 G</t>
        </is>
      </c>
      <c r="C14327" t="inlineStr">
        <is>
          <t>Lipstick</t>
        </is>
      </c>
      <c r="D14327" t="inlineStr">
        <is>
          <t>Dior</t>
        </is>
      </c>
      <c r="E14327" t="n">
        <v>37.02</v>
      </c>
      <c r="F14327" t="n">
        <v>1</v>
      </c>
      <c r="G14327" t="n">
        <v>5</v>
      </c>
      <c r="H14327" s="5">
        <f>HYPERLINK("https://api.qogita.com/variants/link/3348901689458/", "View Product")</f>
        <v/>
      </c>
    </row>
    <row r="14328">
      <c r="A14328" t="inlineStr">
        <is>
          <t>3348901700931</t>
        </is>
      </c>
      <c r="B14328" t="inlineStr">
        <is>
          <t>Christian Dior J'Adore L'Or - Floral Perfume - 50 Ml And 80 Ml</t>
        </is>
      </c>
      <c r="C14328" t="inlineStr">
        <is>
          <t>Eau De Parfum</t>
        </is>
      </c>
      <c r="D14328" t="inlineStr">
        <is>
          <t>Christian Dior</t>
        </is>
      </c>
      <c r="E14328" t="n">
        <v>141.65</v>
      </c>
      <c r="F14328" t="n">
        <v>1</v>
      </c>
      <c r="G14328" t="n">
        <v>20</v>
      </c>
      <c r="H14328" s="5">
        <f>HYPERLINK("https://api.qogita.com/variants/link/3348901700931/", "View Product")</f>
        <v/>
      </c>
    </row>
    <row r="14329">
      <c r="A14329" t="inlineStr">
        <is>
          <t>3348901701907</t>
        </is>
      </c>
      <c r="B14329" t="inlineStr">
        <is>
          <t>Dior Diorshow 0.07 Mono Couleur Eyeshadow #Gold Star</t>
        </is>
      </c>
      <c r="C14329" t="inlineStr">
        <is>
          <t>Eyeshadow</t>
        </is>
      </c>
      <c r="D14329" t="inlineStr">
        <is>
          <t>Dior</t>
        </is>
      </c>
      <c r="E14329" t="n">
        <v>31.44</v>
      </c>
      <c r="F14329" t="n">
        <v>1</v>
      </c>
      <c r="G14329" t="n">
        <v>2</v>
      </c>
      <c r="H14329" s="5">
        <f>HYPERLINK("https://api.qogita.com/variants/link/3348901701907/", "View Product")</f>
        <v/>
      </c>
    </row>
    <row r="14330">
      <c r="A14330" t="inlineStr">
        <is>
          <t>3348901701914</t>
        </is>
      </c>
      <c r="B14330" t="inlineStr">
        <is>
          <t>Dior Eyeshadow Mono Couleur Couture 2 Grams</t>
        </is>
      </c>
      <c r="C14330" t="inlineStr">
        <is>
          <t>Eyeshadow</t>
        </is>
      </c>
      <c r="D14330" t="inlineStr">
        <is>
          <t>Dior</t>
        </is>
      </c>
      <c r="E14330" t="n">
        <v>31</v>
      </c>
      <c r="F14330" t="n">
        <v>1</v>
      </c>
      <c r="G14330" t="n">
        <v>5</v>
      </c>
      <c r="H14330" s="5">
        <f>HYPERLINK("https://api.qogita.com/variants/link/3348901701914/", "View Product")</f>
        <v/>
      </c>
    </row>
    <row r="14331">
      <c r="A14331" t="inlineStr">
        <is>
          <t>3348901703598</t>
        </is>
      </c>
      <c r="B14331" t="inlineStr">
        <is>
          <t>Dior Diorshow Stylo Waterproof Eye Pencil 03 G</t>
        </is>
      </c>
      <c r="C14331" t="inlineStr">
        <is>
          <t>Eye Pencil</t>
        </is>
      </c>
      <c r="D14331" t="inlineStr">
        <is>
          <t>Dior</t>
        </is>
      </c>
      <c r="E14331" t="n">
        <v>28.9</v>
      </c>
      <c r="F14331" t="n">
        <v>1</v>
      </c>
      <c r="G14331" t="n">
        <v>5</v>
      </c>
      <c r="H14331" s="5">
        <f>HYPERLINK("https://api.qogita.com/variants/link/3348901703598/", "View Product")</f>
        <v/>
      </c>
    </row>
    <row r="14332">
      <c r="A14332" t="inlineStr">
        <is>
          <t>3348901703642</t>
        </is>
      </c>
      <c r="B14332" t="inlineStr">
        <is>
          <t>Dior Diorshow 24h Stylo Waterproof Eyeliner Matte Mint 03g</t>
        </is>
      </c>
      <c r="C14332" t="inlineStr">
        <is>
          <t>Eyeliner</t>
        </is>
      </c>
      <c r="D14332" t="inlineStr">
        <is>
          <t>Dior</t>
        </is>
      </c>
      <c r="E14332" t="n">
        <v>28.21</v>
      </c>
      <c r="F14332" t="n">
        <v>1</v>
      </c>
      <c r="G14332" t="n">
        <v>3</v>
      </c>
      <c r="H14332" s="5">
        <f>HYPERLINK("https://api.qogita.com/variants/link/3348901703642/", "View Product")</f>
        <v/>
      </c>
    </row>
    <row r="14333">
      <c r="A14333" t="inlineStr">
        <is>
          <t>3348901703659</t>
        </is>
      </c>
      <c r="B14333" t="inlineStr">
        <is>
          <t>Dior Diorshow 24h Stylo Waterproof Eyeliner Matte Blue 03g</t>
        </is>
      </c>
      <c r="C14333" t="inlineStr">
        <is>
          <t>Eyeliner</t>
        </is>
      </c>
      <c r="D14333" t="inlineStr">
        <is>
          <t>Dior</t>
        </is>
      </c>
      <c r="E14333" t="n">
        <v>28.84</v>
      </c>
      <c r="F14333" t="n">
        <v>1</v>
      </c>
      <c r="G14333" t="n">
        <v>4</v>
      </c>
      <c r="H14333" s="5">
        <f>HYPERLINK("https://api.qogita.com/variants/link/3348901703659/", "View Product")</f>
        <v/>
      </c>
    </row>
    <row r="14334">
      <c r="A14334" t="inlineStr">
        <is>
          <t>3348901703727</t>
        </is>
      </c>
      <c r="B14334" t="inlineStr">
        <is>
          <t>DIOR Diorshow Stylo 846 Pearl Pink</t>
        </is>
      </c>
      <c r="C14334" t="inlineStr">
        <is>
          <t>Lipstick</t>
        </is>
      </c>
      <c r="D14334" t="inlineStr">
        <is>
          <t>Dior</t>
        </is>
      </c>
      <c r="E14334" t="n">
        <v>29.94</v>
      </c>
      <c r="F14334" t="n">
        <v>1</v>
      </c>
      <c r="G14334" t="n">
        <v>3</v>
      </c>
      <c r="H14334" s="5">
        <f>HYPERLINK("https://api.qogita.com/variants/link/3348901703727/", "View Product")</f>
        <v/>
      </c>
    </row>
    <row r="14335">
      <c r="A14335" t="inlineStr">
        <is>
          <t>3348901723701</t>
        </is>
      </c>
      <c r="B14335" t="inlineStr">
        <is>
          <t>Dior Forever Glow Star Filter 3 30ml Brightening Skin Fluid</t>
        </is>
      </c>
      <c r="C14335" t="inlineStr">
        <is>
          <t>Face Cream</t>
        </is>
      </c>
      <c r="D14335" t="inlineStr">
        <is>
          <t>Dior</t>
        </is>
      </c>
      <c r="E14335" t="n">
        <v>47.33</v>
      </c>
      <c r="F14335" t="n">
        <v>1</v>
      </c>
      <c r="G14335" t="n">
        <v>5</v>
      </c>
      <c r="H14335" s="5">
        <f>HYPERLINK("https://api.qogita.com/variants/link/3348901723701/", "View Product")</f>
        <v/>
      </c>
    </row>
    <row r="14336">
      <c r="A14336" t="inlineStr">
        <is>
          <t>3348901725910</t>
        </is>
      </c>
      <c r="B14336" t="inlineStr">
        <is>
          <t>Christian Dior Universal Balm Lip Balm Moisturizing Floral Lip Care - 3 Grams</t>
        </is>
      </c>
      <c r="C14336" t="inlineStr">
        <is>
          <t>Lip Balm</t>
        </is>
      </c>
      <c r="D14336" t="inlineStr">
        <is>
          <t>Christian Dior</t>
        </is>
      </c>
      <c r="E14336" t="n">
        <v>43.28</v>
      </c>
      <c r="F14336" t="n">
        <v>1</v>
      </c>
      <c r="G14336" t="n">
        <v>8</v>
      </c>
      <c r="H14336" s="5">
        <f>HYPERLINK("https://api.qogita.com/variants/link/3348901725910/", "View Product")</f>
        <v/>
      </c>
    </row>
    <row r="14337">
      <c r="A14337" t="inlineStr">
        <is>
          <t>3348901728829</t>
        </is>
      </c>
      <c r="B14337" t="inlineStr">
        <is>
          <t>Dior Sauvage Eau Forte Parfum Spray 60ml</t>
        </is>
      </c>
      <c r="C14337" t="inlineStr">
        <is>
          <t>Eau De Parfum</t>
        </is>
      </c>
      <c r="D14337" t="inlineStr">
        <is>
          <t>Dior</t>
        </is>
      </c>
      <c r="E14337" t="n">
        <v>89.94</v>
      </c>
      <c r="F14337" t="n">
        <v>1</v>
      </c>
      <c r="G14337" t="n">
        <v>10</v>
      </c>
      <c r="H14337" s="5">
        <f>HYPERLINK("https://api.qogita.com/variants/link/3348901728829/", "View Product")</f>
        <v/>
      </c>
    </row>
    <row r="14338">
      <c r="A14338" t="inlineStr">
        <is>
          <t>3348901748056</t>
        </is>
      </c>
      <c r="B14338" t="inlineStr">
        <is>
          <t>Dior Forever Glow Luminizer 6g - 02 Gold Halo</t>
        </is>
      </c>
      <c r="C14338" t="inlineStr">
        <is>
          <t>Highlighter</t>
        </is>
      </c>
      <c r="D14338" t="inlineStr">
        <is>
          <t>Dior</t>
        </is>
      </c>
      <c r="E14338" t="n">
        <v>51.34</v>
      </c>
      <c r="F14338" t="n">
        <v>1</v>
      </c>
      <c r="G14338" t="n">
        <v>14</v>
      </c>
      <c r="H14338" s="5">
        <f>HYPERLINK("https://api.qogita.com/variants/link/3348901748056/", "View Product")</f>
        <v/>
      </c>
    </row>
    <row r="14339">
      <c r="A14339" t="inlineStr">
        <is>
          <t>3348901749350</t>
        </is>
      </c>
      <c r="B14339" t="inlineStr">
        <is>
          <t>Dior Addict Hydrating Shine Lipstick Intense Color 3.2g - 871 D-Dream</t>
        </is>
      </c>
      <c r="C14339" t="inlineStr">
        <is>
          <t>Lipstick</t>
        </is>
      </c>
      <c r="D14339" t="inlineStr">
        <is>
          <t>Dior</t>
        </is>
      </c>
      <c r="E14339" t="n">
        <v>47.9</v>
      </c>
      <c r="F14339" t="n">
        <v>1</v>
      </c>
      <c r="G14339" t="n">
        <v>2</v>
      </c>
      <c r="H14339" s="5">
        <f>HYPERLINK("https://api.qogita.com/variants/link/3348901749350/", "View Product")</f>
        <v/>
      </c>
    </row>
    <row r="14340">
      <c r="A14340" t="inlineStr">
        <is>
          <t>3348901749404</t>
        </is>
      </c>
      <c r="B14340" t="inlineStr">
        <is>
          <t>Dior Addict Hydrating Shine Lipstick Intense Color 3.2g - 428 Dioract</t>
        </is>
      </c>
      <c r="C14340" t="inlineStr">
        <is>
          <t>Lipstick</t>
        </is>
      </c>
      <c r="D14340" t="inlineStr">
        <is>
          <t>Dior</t>
        </is>
      </c>
      <c r="E14340" t="n">
        <v>47.9</v>
      </c>
      <c r="F14340" t="n">
        <v>1</v>
      </c>
      <c r="G14340" t="n">
        <v>3</v>
      </c>
      <c r="H14340" s="5">
        <f>HYPERLINK("https://api.qogita.com/variants/link/3348901749404/", "View Product")</f>
        <v/>
      </c>
    </row>
    <row r="14341">
      <c r="A14341" t="inlineStr">
        <is>
          <t>3348901749428</t>
        </is>
      </c>
      <c r="B14341" t="inlineStr">
        <is>
          <t>Dior Addict Hydrating Shine Lipstick Intense Color 3.2g - 786 D-Player</t>
        </is>
      </c>
      <c r="C14341" t="inlineStr">
        <is>
          <t>Lipstick</t>
        </is>
      </c>
      <c r="D14341" t="inlineStr">
        <is>
          <t>Dior</t>
        </is>
      </c>
      <c r="E14341" t="n">
        <v>47.9</v>
      </c>
      <c r="F14341" t="n">
        <v>1</v>
      </c>
      <c r="G14341" t="n">
        <v>3</v>
      </c>
      <c r="H14341" s="5">
        <f>HYPERLINK("https://api.qogita.com/variants/link/3348901749428/", "View Product")</f>
        <v/>
      </c>
    </row>
    <row r="14342">
      <c r="A14342" t="inlineStr">
        <is>
          <t>3348901750103</t>
        </is>
      </c>
      <c r="B14342" t="inlineStr">
        <is>
          <t>Dior J'Adore Eau De Parfum Spray 100ml Eau De Parfum Spray 10ml Set</t>
        </is>
      </c>
      <c r="C14342" t="inlineStr">
        <is>
          <t>Fragrance Sets</t>
        </is>
      </c>
      <c r="D14342" t="inlineStr">
        <is>
          <t>Dior</t>
        </is>
      </c>
      <c r="E14342" t="n">
        <v>152.88</v>
      </c>
      <c r="F14342" t="n">
        <v>1</v>
      </c>
      <c r="G14342" t="n">
        <v>13</v>
      </c>
      <c r="H14342" s="5">
        <f>HYPERLINK("https://api.qogita.com/variants/link/3348901750103/", "View Product")</f>
        <v/>
      </c>
    </row>
    <row r="14343">
      <c r="A14343" t="inlineStr">
        <is>
          <t>3348901756532</t>
        </is>
      </c>
      <c r="B14343" t="inlineStr">
        <is>
          <t>Dior Diorshow Liquid Liner 0.55ml - Pink 861</t>
        </is>
      </c>
      <c r="C14343" t="inlineStr">
        <is>
          <t>Eyeliner</t>
        </is>
      </c>
      <c r="D14343" t="inlineStr">
        <is>
          <t>Dior</t>
        </is>
      </c>
      <c r="E14343" t="n">
        <v>40.78</v>
      </c>
      <c r="F14343" t="n">
        <v>1</v>
      </c>
      <c r="G14343" t="n">
        <v>3</v>
      </c>
      <c r="H14343" s="5">
        <f>HYPERLINK("https://api.qogita.com/variants/link/3348901756532/", "View Product")</f>
        <v/>
      </c>
    </row>
    <row r="14344">
      <c r="A14344" t="inlineStr">
        <is>
          <t>3349666005330</t>
        </is>
      </c>
      <c r="B14344" t="inlineStr">
        <is>
          <t>Paco Rabanne Eau De Toilette for Women Black 80ml</t>
        </is>
      </c>
      <c r="C14344" t="inlineStr">
        <is>
          <t>Eau De Toilette</t>
        </is>
      </c>
      <c r="D14344" t="inlineStr">
        <is>
          <t>Paco Rabanne</t>
        </is>
      </c>
      <c r="E14344" t="n">
        <v>40.5</v>
      </c>
      <c r="F14344" t="n">
        <v>1</v>
      </c>
      <c r="G14344" t="n">
        <v>296</v>
      </c>
      <c r="H14344" s="5">
        <f>HYPERLINK("https://api.qogita.com/variants/link/3349666005330/", "View Product")</f>
        <v/>
      </c>
    </row>
    <row r="14345">
      <c r="A14345" t="inlineStr">
        <is>
          <t>3349666007990</t>
        </is>
      </c>
      <c r="B14345" t="inlineStr">
        <is>
          <t>Paco Rabanne 1 Million Deodorant Stick 75ml</t>
        </is>
      </c>
      <c r="C14345" t="inlineStr">
        <is>
          <t>Deodorant &amp; Anti-Perspirant</t>
        </is>
      </c>
      <c r="D14345" t="inlineStr">
        <is>
          <t>Paco Rabanne</t>
        </is>
      </c>
      <c r="E14345" t="n">
        <v>18.84</v>
      </c>
      <c r="F14345" t="n">
        <v>1</v>
      </c>
      <c r="G14345" t="n">
        <v>36</v>
      </c>
      <c r="H14345" s="5">
        <f>HYPERLINK("https://api.qogita.com/variants/link/3349666007990/", "View Product")</f>
        <v/>
      </c>
    </row>
    <row r="14346">
      <c r="A14346" t="inlineStr">
        <is>
          <t>3349666010518</t>
        </is>
      </c>
      <c r="B14346" t="inlineStr">
        <is>
          <t>Paco Rabanne Ultraviolet M Eau De Toilette 100ml For Men</t>
        </is>
      </c>
      <c r="C14346" t="inlineStr">
        <is>
          <t>Eau De Toilette</t>
        </is>
      </c>
      <c r="D14346" t="inlineStr">
        <is>
          <t>Paco Rabanne</t>
        </is>
      </c>
      <c r="E14346" t="n">
        <v>33.72</v>
      </c>
      <c r="F14346" t="n">
        <v>1</v>
      </c>
      <c r="G14346" t="n">
        <v>1334</v>
      </c>
      <c r="H14346" s="5">
        <f>HYPERLINK("https://api.qogita.com/variants/link/3349666010518/", "View Product")</f>
        <v/>
      </c>
    </row>
    <row r="14347">
      <c r="A14347" t="inlineStr">
        <is>
          <t>3349666011355</t>
        </is>
      </c>
      <c r="B14347" t="inlineStr">
        <is>
          <t>Paco Rabanne Ultraviolet Eau De Toilette Spray 3.4oz</t>
        </is>
      </c>
      <c r="C14347" t="inlineStr">
        <is>
          <t>Eau De Toilette</t>
        </is>
      </c>
      <c r="D14347" t="inlineStr">
        <is>
          <t>Paco Rabanne</t>
        </is>
      </c>
      <c r="E14347" t="n">
        <v>36.17</v>
      </c>
      <c r="F14347" t="n">
        <v>1</v>
      </c>
      <c r="G14347" t="n">
        <v>2</v>
      </c>
      <c r="H14347" s="5">
        <f>HYPERLINK("https://api.qogita.com/variants/link/3349666011355/", "View Product")</f>
        <v/>
      </c>
    </row>
    <row r="14348">
      <c r="A14348" t="inlineStr">
        <is>
          <t>3349668508587</t>
        </is>
      </c>
      <c r="B14348" t="inlineStr">
        <is>
          <t>Paco Rabanne Lady Million Eau De Parfum Spray 80ml</t>
        </is>
      </c>
      <c r="C14348" t="inlineStr">
        <is>
          <t>Eau De Parfum</t>
        </is>
      </c>
      <c r="D14348" t="inlineStr">
        <is>
          <t>Paco Rabanne</t>
        </is>
      </c>
      <c r="E14348" t="n">
        <v>62.88</v>
      </c>
      <c r="F14348" t="n">
        <v>1</v>
      </c>
      <c r="G14348" t="n">
        <v>1203</v>
      </c>
      <c r="H14348" s="5">
        <f>HYPERLINK("https://api.qogita.com/variants/link/3349668508587/", "View Product")</f>
        <v/>
      </c>
    </row>
    <row r="14349">
      <c r="A14349" t="inlineStr">
        <is>
          <t>3349668530502</t>
        </is>
      </c>
      <c r="B14349" t="inlineStr">
        <is>
          <t>Paco Rabanne 1 Million Deodorant Spray 150ml</t>
        </is>
      </c>
      <c r="C14349" t="inlineStr">
        <is>
          <t>Deodorant &amp; Anti-Perspirant</t>
        </is>
      </c>
      <c r="D14349" t="inlineStr">
        <is>
          <t>Paco Rabanne</t>
        </is>
      </c>
      <c r="E14349" t="n">
        <v>21.29</v>
      </c>
      <c r="F14349" t="n">
        <v>1</v>
      </c>
      <c r="G14349" t="n">
        <v>68</v>
      </c>
      <c r="H14349" s="5">
        <f>HYPERLINK("https://api.qogita.com/variants/link/3349668530502/", "View Product")</f>
        <v/>
      </c>
    </row>
    <row r="14350">
      <c r="A14350" t="inlineStr">
        <is>
          <t>3349668545636</t>
        </is>
      </c>
      <c r="B14350" t="inlineStr">
        <is>
          <t>Paco Rabanne Pure Xs For Her Eau De Parfum Spray 80ml</t>
        </is>
      </c>
      <c r="C14350" t="inlineStr">
        <is>
          <t>Eau De Parfum</t>
        </is>
      </c>
      <c r="D14350" t="inlineStr">
        <is>
          <t>Paco Rabanne</t>
        </is>
      </c>
      <c r="E14350" t="n">
        <v>60.67</v>
      </c>
      <c r="F14350" t="n">
        <v>1</v>
      </c>
      <c r="G14350" t="n">
        <v>78</v>
      </c>
      <c r="H14350" s="5">
        <f>HYPERLINK("https://api.qogita.com/variants/link/3349668545636/", "View Product")</f>
        <v/>
      </c>
    </row>
    <row r="14351">
      <c r="A14351" t="inlineStr">
        <is>
          <t>3349668545667</t>
        </is>
      </c>
      <c r="B14351" t="inlineStr">
        <is>
          <t>Paco Rabanne Pure Xs For Her Eau De Parfum Spray 50ml</t>
        </is>
      </c>
      <c r="C14351" t="inlineStr">
        <is>
          <t>Eau De Parfum</t>
        </is>
      </c>
      <c r="D14351" t="inlineStr">
        <is>
          <t>Paco Rabanne</t>
        </is>
      </c>
      <c r="E14351" t="n">
        <v>32.08</v>
      </c>
      <c r="F14351" t="n">
        <v>1</v>
      </c>
      <c r="G14351" t="n">
        <v>982</v>
      </c>
      <c r="H14351" s="5">
        <f>HYPERLINK("https://api.qogita.com/variants/link/3349668545667/", "View Product")</f>
        <v/>
      </c>
    </row>
    <row r="14352">
      <c r="A14352" t="inlineStr">
        <is>
          <t>3349668582297</t>
        </is>
      </c>
      <c r="B14352" t="inlineStr">
        <is>
          <t>Paco Rabanne Phantom Eau De Toilette Spray 100ml</t>
        </is>
      </c>
      <c r="C14352" t="inlineStr">
        <is>
          <t>Eau De Toilette</t>
        </is>
      </c>
      <c r="D14352" t="inlineStr">
        <is>
          <t>Paco Rabanne</t>
        </is>
      </c>
      <c r="E14352" t="n">
        <v>64.31999999999999</v>
      </c>
      <c r="F14352" t="n">
        <v>1</v>
      </c>
      <c r="G14352" t="n">
        <v>7</v>
      </c>
      <c r="H14352" s="5">
        <f>HYPERLINK("https://api.qogita.com/variants/link/3349668582297/", "View Product")</f>
        <v/>
      </c>
    </row>
    <row r="14353">
      <c r="A14353" t="inlineStr">
        <is>
          <t>3349668582365</t>
        </is>
      </c>
      <c r="B14353" t="inlineStr">
        <is>
          <t>Paco Rabanne Phantom Eau De Toilette Spray 50ml</t>
        </is>
      </c>
      <c r="C14353" t="inlineStr">
        <is>
          <t>Eau De Toilette</t>
        </is>
      </c>
      <c r="D14353" t="inlineStr">
        <is>
          <t>Paco Rabanne</t>
        </is>
      </c>
      <c r="E14353" t="n">
        <v>50</v>
      </c>
      <c r="F14353" t="n">
        <v>1</v>
      </c>
      <c r="G14353" t="n">
        <v>15</v>
      </c>
      <c r="H14353" s="5">
        <f>HYPERLINK("https://api.qogita.com/variants/link/3349668582365/", "View Product")</f>
        <v/>
      </c>
    </row>
    <row r="14354">
      <c r="A14354" t="inlineStr">
        <is>
          <t>3349668583218</t>
        </is>
      </c>
      <c r="B14354" t="inlineStr">
        <is>
          <t>Paco Rabanne Shower Gel 150ml</t>
        </is>
      </c>
      <c r="C14354" t="inlineStr">
        <is>
          <t>Shower Gel</t>
        </is>
      </c>
      <c r="D14354" t="inlineStr">
        <is>
          <t>Paco Rabanne</t>
        </is>
      </c>
      <c r="E14354" t="n">
        <v>25.25</v>
      </c>
      <c r="F14354" t="n">
        <v>1</v>
      </c>
      <c r="G14354" t="n">
        <v>4</v>
      </c>
      <c r="H14354" s="5">
        <f>HYPERLINK("https://api.qogita.com/variants/link/3349668583218/", "View Product")</f>
        <v/>
      </c>
    </row>
    <row r="14355">
      <c r="A14355" t="inlineStr">
        <is>
          <t>3349668586677</t>
        </is>
      </c>
      <c r="B14355" t="inlineStr">
        <is>
          <t>Paco Rabanne Phantom Deodorant Stick 75ml</t>
        </is>
      </c>
      <c r="C14355" t="inlineStr">
        <is>
          <t>Deodorant &amp; Anti-Perspirant</t>
        </is>
      </c>
      <c r="D14355" t="inlineStr">
        <is>
          <t>Paco Rabanne</t>
        </is>
      </c>
      <c r="E14355" t="n">
        <v>17.63</v>
      </c>
      <c r="F14355" t="n">
        <v>1</v>
      </c>
      <c r="G14355" t="n">
        <v>4</v>
      </c>
      <c r="H14355" s="5">
        <f>HYPERLINK("https://api.qogita.com/variants/link/3349668586677/", "View Product")</f>
        <v/>
      </c>
    </row>
    <row r="14356">
      <c r="A14356" t="inlineStr">
        <is>
          <t>3349668588732</t>
        </is>
      </c>
      <c r="B14356" t="inlineStr">
        <is>
          <t>Paco Rabanne Invictus Victory Eau De Parfum Extreme Spray 100ml</t>
        </is>
      </c>
      <c r="C14356" t="inlineStr">
        <is>
          <t>Eau De Parfum</t>
        </is>
      </c>
      <c r="D14356" t="inlineStr">
        <is>
          <t>Paco Rabanne</t>
        </is>
      </c>
      <c r="E14356" t="n">
        <v>87.02</v>
      </c>
      <c r="F14356" t="n">
        <v>1</v>
      </c>
      <c r="G14356" t="n">
        <v>16</v>
      </c>
      <c r="H14356" s="5">
        <f>HYPERLINK("https://api.qogita.com/variants/link/3349668588732/", "View Product")</f>
        <v/>
      </c>
    </row>
    <row r="14357">
      <c r="A14357" t="inlineStr">
        <is>
          <t>3349668588749</t>
        </is>
      </c>
      <c r="B14357" t="inlineStr">
        <is>
          <t>Paco Rabanne Invictus Victory Eau De Parfum Extreme Spray 50ml</t>
        </is>
      </c>
      <c r="C14357" t="inlineStr">
        <is>
          <t>Eau De Parfum</t>
        </is>
      </c>
      <c r="D14357" t="inlineStr">
        <is>
          <t>Paco Rabanne</t>
        </is>
      </c>
      <c r="E14357" t="n">
        <v>55.48</v>
      </c>
      <c r="F14357" t="n">
        <v>1</v>
      </c>
      <c r="G14357" t="n">
        <v>23</v>
      </c>
      <c r="H14357" s="5">
        <f>HYPERLINK("https://api.qogita.com/variants/link/3349668588749/", "View Product")</f>
        <v/>
      </c>
    </row>
    <row r="14358">
      <c r="A14358" t="inlineStr">
        <is>
          <t>3349668589678</t>
        </is>
      </c>
      <c r="B14358" t="inlineStr">
        <is>
          <t>Paco Rabanne Invictus Eau De Toilette Spray 200ml</t>
        </is>
      </c>
      <c r="C14358" t="inlineStr">
        <is>
          <t>Eau De Toilette</t>
        </is>
      </c>
      <c r="D14358" t="inlineStr">
        <is>
          <t>Paco Rabanne</t>
        </is>
      </c>
      <c r="E14358" t="n">
        <v>78.59</v>
      </c>
      <c r="F14358" t="n">
        <v>1</v>
      </c>
      <c r="G14358" t="n">
        <v>271</v>
      </c>
      <c r="H14358" s="5">
        <f>HYPERLINK("https://api.qogita.com/variants/link/3349668589678/", "View Product")</f>
        <v/>
      </c>
    </row>
    <row r="14359">
      <c r="A14359" t="inlineStr">
        <is>
          <t>0018084064986</t>
        </is>
      </c>
      <c r="B14359" t="inlineStr">
        <is>
          <t>Aveda Nutriplenish Dry Hair Care Gift Set Light Moisture</t>
        </is>
      </c>
      <c r="C14359" t="inlineStr">
        <is>
          <t>Hair Care Sets</t>
        </is>
      </c>
      <c r="D14359" t="inlineStr">
        <is>
          <t>Aveda</t>
        </is>
      </c>
      <c r="E14359" t="n">
        <v>54.69</v>
      </c>
      <c r="F14359" t="n">
        <v>1</v>
      </c>
      <c r="G14359" t="n">
        <v>43</v>
      </c>
      <c r="H14359" s="5">
        <f>HYPERLINK("https://api.qogita.com/variants/link/0018084064986/", "View Product")</f>
        <v/>
      </c>
    </row>
    <row r="14360">
      <c r="A14360" t="inlineStr">
        <is>
          <t>0018084064993</t>
        </is>
      </c>
      <c r="B14360" t="inlineStr">
        <is>
          <t>Aveda Nutriplenish Deep Moisture Dry Hair Care Gift Set</t>
        </is>
      </c>
      <c r="C14360" t="inlineStr">
        <is>
          <t>Hair Care Sets</t>
        </is>
      </c>
      <c r="D14360" t="inlineStr">
        <is>
          <t>Aveda</t>
        </is>
      </c>
      <c r="E14360" t="n">
        <v>54.67</v>
      </c>
      <c r="F14360" t="n">
        <v>1</v>
      </c>
      <c r="G14360" t="n">
        <v>31</v>
      </c>
      <c r="H14360" s="5">
        <f>HYPERLINK("https://api.qogita.com/variants/link/0018084064993/", "View Product")</f>
        <v/>
      </c>
    </row>
    <row r="14361">
      <c r="A14361" t="inlineStr">
        <is>
          <t>0018084975572</t>
        </is>
      </c>
      <c r="B14361" t="inlineStr">
        <is>
          <t>Aveda Botanical Kinetics Radiant Skin Refiner 100ml</t>
        </is>
      </c>
      <c r="C14361" t="inlineStr">
        <is>
          <t>Facial Care Sets</t>
        </is>
      </c>
      <c r="D14361" t="inlineStr">
        <is>
          <t>Aveda</t>
        </is>
      </c>
      <c r="E14361" t="n">
        <v>34.11</v>
      </c>
      <c r="F14361" t="n">
        <v>1</v>
      </c>
      <c r="G14361" t="n">
        <v>5</v>
      </c>
      <c r="H14361" s="5">
        <f>HYPERLINK("https://api.qogita.com/variants/link/0018084975572/", "View Product")</f>
        <v/>
      </c>
    </row>
    <row r="14362">
      <c r="A14362" t="inlineStr">
        <is>
          <t>0018084998144</t>
        </is>
      </c>
      <c r="B14362" t="inlineStr">
        <is>
          <t>Aveda Rosemary Mint Purifying Shampoo 250ml</t>
        </is>
      </c>
      <c r="C14362" t="inlineStr">
        <is>
          <t>Shampoo</t>
        </is>
      </c>
      <c r="D14362" t="inlineStr">
        <is>
          <t>Aveda</t>
        </is>
      </c>
      <c r="E14362" t="n">
        <v>20.04</v>
      </c>
      <c r="F14362" t="n">
        <v>1</v>
      </c>
      <c r="G14362" t="n">
        <v>11</v>
      </c>
      <c r="H14362" s="5">
        <f>HYPERLINK("https://api.qogita.com/variants/link/0018084998144/", "View Product")</f>
        <v/>
      </c>
    </row>
    <row r="14363">
      <c r="A14363" t="inlineStr">
        <is>
          <t>0020714066116</t>
        </is>
      </c>
      <c r="B14363" t="inlineStr">
        <is>
          <t>Clinique 02 Stay Neutral 7.6g</t>
        </is>
      </c>
      <c r="C14363" t="inlineStr">
        <is>
          <t>Powder</t>
        </is>
      </c>
      <c r="D14363" t="inlineStr">
        <is>
          <t>Clinique</t>
        </is>
      </c>
      <c r="E14363" t="n">
        <v>24.05</v>
      </c>
      <c r="F14363" t="n">
        <v>1</v>
      </c>
      <c r="G14363" t="n">
        <v>10</v>
      </c>
      <c r="H14363" s="5">
        <f>HYPERLINK("https://api.qogita.com/variants/link/0020714066116/", "View Product")</f>
        <v/>
      </c>
    </row>
    <row r="14364">
      <c r="A14364" t="inlineStr">
        <is>
          <t>0020714080303</t>
        </is>
      </c>
      <c r="B14364" t="inlineStr">
        <is>
          <t>Clinique Happy For Men Cologne Spray 1.7 Oz 50ml</t>
        </is>
      </c>
      <c r="C14364" t="inlineStr">
        <is>
          <t>Eau De Cologne</t>
        </is>
      </c>
      <c r="D14364" t="inlineStr">
        <is>
          <t>Clinique</t>
        </is>
      </c>
      <c r="E14364" t="n">
        <v>14.08</v>
      </c>
      <c r="F14364" t="n">
        <v>1</v>
      </c>
      <c r="G14364" t="n">
        <v>181</v>
      </c>
      <c r="H14364" s="5">
        <f>HYPERLINK("https://api.qogita.com/variants/link/0020714080303/", "View Product")</f>
        <v/>
      </c>
    </row>
    <row r="14365">
      <c r="A14365" t="inlineStr">
        <is>
          <t>0020714146559</t>
        </is>
      </c>
      <c r="B14365" t="inlineStr">
        <is>
          <t>Clinique Take The Day Off Makeup Remover for Lids, Lashes &amp; Lips 125ml</t>
        </is>
      </c>
      <c r="C14365" t="inlineStr">
        <is>
          <t>Makeup Remover</t>
        </is>
      </c>
      <c r="D14365" t="inlineStr">
        <is>
          <t>Clinique</t>
        </is>
      </c>
      <c r="E14365" t="n">
        <v>15.17</v>
      </c>
      <c r="F14365" t="n">
        <v>1</v>
      </c>
      <c r="G14365" t="n">
        <v>19</v>
      </c>
      <c r="H14365" s="5">
        <f>HYPERLINK("https://api.qogita.com/variants/link/0020714146559/", "View Product")</f>
        <v/>
      </c>
    </row>
    <row r="14366">
      <c r="A14366" t="inlineStr">
        <is>
          <t>0020714157760</t>
        </is>
      </c>
      <c r="B14366" t="inlineStr">
        <is>
          <t>Clinique All About Eyes 78311</t>
        </is>
      </c>
      <c r="C14366" t="inlineStr">
        <is>
          <t>Eye Cream</t>
        </is>
      </c>
      <c r="D14366" t="inlineStr">
        <is>
          <t>Clinique</t>
        </is>
      </c>
      <c r="E14366" t="n">
        <v>25.58</v>
      </c>
      <c r="F14366" t="n">
        <v>1</v>
      </c>
      <c r="G14366" t="n">
        <v>11</v>
      </c>
      <c r="H14366" s="5">
        <f>HYPERLINK("https://api.qogita.com/variants/link/0020714157760/", "View Product")</f>
        <v/>
      </c>
    </row>
    <row r="14367">
      <c r="A14367" t="inlineStr">
        <is>
          <t>0020714163617</t>
        </is>
      </c>
      <c r="B14367" t="inlineStr">
        <is>
          <t>Clinique Stay-Matte Sheer Pressed Powder N. 17 Stay Golden 68g</t>
        </is>
      </c>
      <c r="C14367" t="inlineStr">
        <is>
          <t>Powder</t>
        </is>
      </c>
      <c r="D14367" t="inlineStr">
        <is>
          <t>Clinique</t>
        </is>
      </c>
      <c r="E14367" t="n">
        <v>22.71</v>
      </c>
      <c r="F14367" t="n">
        <v>1</v>
      </c>
      <c r="G14367" t="n">
        <v>3</v>
      </c>
      <c r="H14367" s="5">
        <f>HYPERLINK("https://api.qogita.com/variants/link/0020714163617/", "View Product")</f>
        <v/>
      </c>
    </row>
    <row r="14368">
      <c r="A14368" t="inlineStr">
        <is>
          <t>0020714192341</t>
        </is>
      </c>
      <c r="B14368" t="inlineStr">
        <is>
          <t>Clinique High Impact Brightening Mascara Black/Brown 7ml</t>
        </is>
      </c>
      <c r="C14368" t="inlineStr">
        <is>
          <t>Mascara</t>
        </is>
      </c>
      <c r="D14368" t="inlineStr">
        <is>
          <t>Clinique</t>
        </is>
      </c>
      <c r="E14368" t="n">
        <v>18.49</v>
      </c>
      <c r="F14368" t="n">
        <v>1</v>
      </c>
      <c r="G14368" t="n">
        <v>19</v>
      </c>
      <c r="H14368" s="5">
        <f>HYPERLINK("https://api.qogita.com/variants/link/0020714192341/", "View Product")</f>
        <v/>
      </c>
    </row>
    <row r="14369">
      <c r="A14369" t="inlineStr">
        <is>
          <t>0020714195786</t>
        </is>
      </c>
      <c r="B14369" t="inlineStr">
        <is>
          <t>Clinique Moisture Surge Face Spray</t>
        </is>
      </c>
      <c r="C14369" t="inlineStr">
        <is>
          <t>Facial Spray</t>
        </is>
      </c>
      <c r="D14369" t="inlineStr">
        <is>
          <t>Clinique</t>
        </is>
      </c>
      <c r="E14369" t="n">
        <v>25.85</v>
      </c>
      <c r="F14369" t="n">
        <v>1</v>
      </c>
      <c r="G14369" t="n">
        <v>3</v>
      </c>
      <c r="H14369" s="5">
        <f>HYPERLINK("https://api.qogita.com/variants/link/0020714195786/", "View Product")</f>
        <v/>
      </c>
    </row>
    <row r="14370">
      <c r="A14370" t="inlineStr">
        <is>
          <t>0020714227661</t>
        </is>
      </c>
      <c r="B14370" t="inlineStr">
        <is>
          <t>Clinique Liquid Facial Soap Mild 200ml</t>
        </is>
      </c>
      <c r="C14370" t="inlineStr">
        <is>
          <t>Facial Soap</t>
        </is>
      </c>
      <c r="D14370" t="inlineStr">
        <is>
          <t>Clinique</t>
        </is>
      </c>
      <c r="E14370" t="n">
        <v>15.56</v>
      </c>
      <c r="F14370" t="n">
        <v>1</v>
      </c>
      <c r="G14370" t="n">
        <v>5</v>
      </c>
      <c r="H14370" s="5">
        <f>HYPERLINK("https://api.qogita.com/variants/link/0020714227661/", "View Product")</f>
        <v/>
      </c>
    </row>
    <row r="14371">
      <c r="A14371" t="inlineStr">
        <is>
          <t>0020714235826</t>
        </is>
      </c>
      <c r="B14371" t="inlineStr">
        <is>
          <t>Clinique Blushing Blush Powder Blush 102 Innocent Peach Pink</t>
        </is>
      </c>
      <c r="C14371" t="inlineStr">
        <is>
          <t>Blush</t>
        </is>
      </c>
      <c r="D14371" t="inlineStr">
        <is>
          <t>Clinique</t>
        </is>
      </c>
      <c r="E14371" t="n">
        <v>23.85</v>
      </c>
      <c r="F14371" t="n">
        <v>1</v>
      </c>
      <c r="G14371" t="n">
        <v>5</v>
      </c>
      <c r="H14371" s="5">
        <f>HYPERLINK("https://api.qogita.com/variants/link/0020714235826/", "View Product")</f>
        <v/>
      </c>
    </row>
    <row r="14372">
      <c r="A14372" t="inlineStr">
        <is>
          <t>0020714236922</t>
        </is>
      </c>
      <c r="B14372" t="inlineStr">
        <is>
          <t>Clinique Cream Shaper for Eyes 101 Black Diamond 0.04 Ounce</t>
        </is>
      </c>
      <c r="C14372" t="inlineStr">
        <is>
          <t>Eye Pencil</t>
        </is>
      </c>
      <c r="D14372" t="inlineStr">
        <is>
          <t>Clinique</t>
        </is>
      </c>
      <c r="E14372" t="n">
        <v>13.76</v>
      </c>
      <c r="F14372" t="n">
        <v>1</v>
      </c>
      <c r="G14372" t="n">
        <v>14</v>
      </c>
      <c r="H14372" s="5">
        <f>HYPERLINK("https://api.qogita.com/variants/link/0020714236922/", "View Product")</f>
        <v/>
      </c>
    </row>
    <row r="14373">
      <c r="A14373" t="inlineStr">
        <is>
          <t>0020714240158</t>
        </is>
      </c>
      <c r="B14373" t="inlineStr">
        <is>
          <t>Clinique Liquid Facial Soap Extra Mild for Dry Skin</t>
        </is>
      </c>
      <c r="C14373" t="inlineStr">
        <is>
          <t>Facial Soap</t>
        </is>
      </c>
      <c r="D14373" t="inlineStr">
        <is>
          <t>Clinique</t>
        </is>
      </c>
      <c r="E14373" t="n">
        <v>15.56</v>
      </c>
      <c r="F14373" t="n">
        <v>1</v>
      </c>
      <c r="G14373" t="n">
        <v>2</v>
      </c>
      <c r="H14373" s="5">
        <f>HYPERLINK("https://api.qogita.com/variants/link/0020714240158/", "View Product")</f>
        <v/>
      </c>
    </row>
    <row r="14374">
      <c r="A14374" t="inlineStr">
        <is>
          <t>0020714291822</t>
        </is>
      </c>
      <c r="B14374" t="inlineStr">
        <is>
          <t>Clinique Anti Blemish Solutions Cleansing Foam for All Skin Types 125ml</t>
        </is>
      </c>
      <c r="C14374" t="inlineStr">
        <is>
          <t>Cleansing Foam</t>
        </is>
      </c>
      <c r="D14374" t="inlineStr">
        <is>
          <t>Clinique</t>
        </is>
      </c>
      <c r="E14374" t="n">
        <v>15.72</v>
      </c>
      <c r="F14374" t="n">
        <v>1</v>
      </c>
      <c r="G14374" t="n">
        <v>12</v>
      </c>
      <c r="H14374" s="5">
        <f>HYPERLINK("https://api.qogita.com/variants/link/0020714291822/", "View Product")</f>
        <v/>
      </c>
    </row>
    <row r="14375">
      <c r="A14375" t="inlineStr">
        <is>
          <t>0020714299149</t>
        </is>
      </c>
      <c r="B14375" t="inlineStr">
        <is>
          <t>Clinique Makeup Accessories Foundation Brush for Women</t>
        </is>
      </c>
      <c r="C14375" t="inlineStr">
        <is>
          <t>Foundation Brushes</t>
        </is>
      </c>
      <c r="D14375" t="inlineStr">
        <is>
          <t>Clinique</t>
        </is>
      </c>
      <c r="E14375" t="n">
        <v>27.7</v>
      </c>
      <c r="F14375" t="n">
        <v>1</v>
      </c>
      <c r="G14375" t="n">
        <v>5</v>
      </c>
      <c r="H14375" s="5">
        <f>HYPERLINK("https://api.qogita.com/variants/link/0020714299149/", "View Product")</f>
        <v/>
      </c>
    </row>
    <row r="14376">
      <c r="A14376" t="inlineStr">
        <is>
          <t>0020714324667</t>
        </is>
      </c>
      <c r="B14376" t="inlineStr">
        <is>
          <t>Clinique Even Better Makeup SPF 15 CN 70 Vanilla 30ml</t>
        </is>
      </c>
      <c r="C14376" t="inlineStr">
        <is>
          <t>Foundation</t>
        </is>
      </c>
      <c r="D14376" t="inlineStr">
        <is>
          <t>Clinique</t>
        </is>
      </c>
      <c r="E14376" t="n">
        <v>26.26</v>
      </c>
      <c r="F14376" t="n">
        <v>1</v>
      </c>
      <c r="G14376" t="n">
        <v>8</v>
      </c>
      <c r="H14376" s="5">
        <f>HYPERLINK("https://api.qogita.com/variants/link/0020714324667/", "View Product")</f>
        <v/>
      </c>
    </row>
    <row r="14377">
      <c r="A14377" t="inlineStr">
        <is>
          <t>0020714324759</t>
        </is>
      </c>
      <c r="B14377" t="inlineStr">
        <is>
          <t>Clinique WN 46 Golden Neutral Moisturizing Makeup Foundation 30ml</t>
        </is>
      </c>
      <c r="C14377" t="inlineStr">
        <is>
          <t>Foundation</t>
        </is>
      </c>
      <c r="D14377" t="inlineStr">
        <is>
          <t>Clinique</t>
        </is>
      </c>
      <c r="E14377" t="n">
        <v>26.51</v>
      </c>
      <c r="F14377" t="n">
        <v>1</v>
      </c>
      <c r="G14377" t="n">
        <v>2</v>
      </c>
      <c r="H14377" s="5">
        <f>HYPERLINK("https://api.qogita.com/variants/link/0020714324759/", "View Product")</f>
        <v/>
      </c>
    </row>
    <row r="14378">
      <c r="A14378" t="inlineStr">
        <is>
          <t>0020714324773</t>
        </is>
      </c>
      <c r="B14378" t="inlineStr">
        <is>
          <t>Clinique Wn 94 Deep Neutral Foundation 30ml</t>
        </is>
      </c>
      <c r="C14378" t="inlineStr">
        <is>
          <t>Foundation</t>
        </is>
      </c>
      <c r="D14378" t="inlineStr">
        <is>
          <t>Clinique</t>
        </is>
      </c>
      <c r="E14378" t="n">
        <v>22.59</v>
      </c>
      <c r="F14378" t="n">
        <v>1</v>
      </c>
      <c r="G14378" t="n">
        <v>5</v>
      </c>
      <c r="H14378" s="5">
        <f>HYPERLINK("https://api.qogita.com/variants/link/0020714324773/", "View Product")</f>
        <v/>
      </c>
    </row>
    <row r="14379">
      <c r="A14379" t="inlineStr">
        <is>
          <t>0020714325305</t>
        </is>
      </c>
      <c r="B14379" t="inlineStr">
        <is>
          <t>Clinique Almost Powder Makeup Foundation SF15 No. 03 Fair 10g</t>
        </is>
      </c>
      <c r="C14379" t="inlineStr">
        <is>
          <t>Foundation</t>
        </is>
      </c>
      <c r="D14379" t="inlineStr">
        <is>
          <t>Clinique</t>
        </is>
      </c>
      <c r="E14379" t="n">
        <v>24.13</v>
      </c>
      <c r="F14379" t="n">
        <v>1</v>
      </c>
      <c r="G14379" t="n">
        <v>2</v>
      </c>
      <c r="H14379" s="5">
        <f>HYPERLINK("https://api.qogita.com/variants/link/0020714325305/", "View Product")</f>
        <v/>
      </c>
    </row>
    <row r="14380">
      <c r="A14380" t="inlineStr">
        <is>
          <t>0020714325312</t>
        </is>
      </c>
      <c r="B14380" t="inlineStr">
        <is>
          <t>Clinique 04 Neutral Light Brown 10g</t>
        </is>
      </c>
      <c r="C14380" t="inlineStr">
        <is>
          <t>Foundation</t>
        </is>
      </c>
      <c r="D14380" t="inlineStr">
        <is>
          <t>Clinique</t>
        </is>
      </c>
      <c r="E14380" t="n">
        <v>26.01</v>
      </c>
      <c r="F14380" t="n">
        <v>1</v>
      </c>
      <c r="G14380" t="n">
        <v>14</v>
      </c>
      <c r="H14380" s="5">
        <f>HYPERLINK("https://api.qogita.com/variants/link/0020714325312/", "View Product")</f>
        <v/>
      </c>
    </row>
    <row r="14381">
      <c r="A14381" t="inlineStr">
        <is>
          <t>0020714445348</t>
        </is>
      </c>
      <c r="B14381" t="inlineStr">
        <is>
          <t>CLINIQUE Lipsticks 100g</t>
        </is>
      </c>
      <c r="C14381" t="inlineStr">
        <is>
          <t>Lip Balm</t>
        </is>
      </c>
      <c r="D14381" t="inlineStr">
        <is>
          <t>Clinique</t>
        </is>
      </c>
      <c r="E14381" t="n">
        <v>14.92</v>
      </c>
      <c r="F14381" t="n">
        <v>1</v>
      </c>
      <c r="G14381" t="n">
        <v>5</v>
      </c>
      <c r="H14381" s="5">
        <f>HYPERLINK("https://api.qogita.com/variants/link/0020714445348/", "View Product")</f>
        <v/>
      </c>
    </row>
    <row r="14382">
      <c r="A14382" t="inlineStr">
        <is>
          <t>0020714462734</t>
        </is>
      </c>
      <c r="B14382" t="inlineStr">
        <is>
          <t>Clinique Clarifying Lotion 3 Normal to Oily Type III</t>
        </is>
      </c>
      <c r="C14382" t="inlineStr">
        <is>
          <t>Facial Care Sets</t>
        </is>
      </c>
      <c r="D14382" t="inlineStr">
        <is>
          <t>Clinique</t>
        </is>
      </c>
      <c r="E14382" t="n">
        <v>23.59</v>
      </c>
      <c r="F14382" t="n">
        <v>1</v>
      </c>
      <c r="G14382" t="n">
        <v>18</v>
      </c>
      <c r="H14382" s="5">
        <f>HYPERLINK("https://api.qogita.com/variants/link/0020714462734/", "View Product")</f>
        <v/>
      </c>
    </row>
    <row r="14383">
      <c r="A14383" t="inlineStr">
        <is>
          <t>0020714462789</t>
        </is>
      </c>
      <c r="B14383" t="inlineStr">
        <is>
          <t>Clinique Clarifying Lotion 4 for Oily to Very Oily Skin Type IV 200ml</t>
        </is>
      </c>
      <c r="C14383" t="inlineStr">
        <is>
          <t>Oily Skin</t>
        </is>
      </c>
      <c r="D14383" t="inlineStr">
        <is>
          <t>Clinique</t>
        </is>
      </c>
      <c r="E14383" t="n">
        <v>14.63</v>
      </c>
      <c r="F14383" t="n">
        <v>1</v>
      </c>
      <c r="G14383" t="n">
        <v>2</v>
      </c>
      <c r="H14383" s="5">
        <f>HYPERLINK("https://api.qogita.com/variants/link/0020714462789/", "View Product")</f>
        <v/>
      </c>
    </row>
    <row r="14384">
      <c r="A14384" t="inlineStr">
        <is>
          <t>0020714495428</t>
        </is>
      </c>
      <c r="B14384" t="inlineStr">
        <is>
          <t>Clinique Even Better Makeup SPF 15 CN 08 Linen 30ml</t>
        </is>
      </c>
      <c r="C14384" t="inlineStr">
        <is>
          <t>Foundation</t>
        </is>
      </c>
      <c r="D14384" t="inlineStr">
        <is>
          <t>Clinique</t>
        </is>
      </c>
      <c r="E14384" t="n">
        <v>23.22</v>
      </c>
      <c r="F14384" t="n">
        <v>1</v>
      </c>
      <c r="G14384" t="n">
        <v>11</v>
      </c>
      <c r="H14384" s="5">
        <f>HYPERLINK("https://api.qogita.com/variants/link/0020714495428/", "View Product")</f>
        <v/>
      </c>
    </row>
    <row r="14385">
      <c r="A14385" t="inlineStr">
        <is>
          <t>0020714495442</t>
        </is>
      </c>
      <c r="B14385" t="inlineStr">
        <is>
          <t>Clinique Wn 56 Cashew 30ml</t>
        </is>
      </c>
      <c r="C14385" t="inlineStr">
        <is>
          <t>Foundation</t>
        </is>
      </c>
      <c r="D14385" t="inlineStr">
        <is>
          <t>Clinique</t>
        </is>
      </c>
      <c r="E14385" t="n">
        <v>22.73</v>
      </c>
      <c r="F14385" t="n">
        <v>1</v>
      </c>
      <c r="G14385" t="n">
        <v>5</v>
      </c>
      <c r="H14385" s="5">
        <f>HYPERLINK("https://api.qogita.com/variants/link/0020714495442/", "View Product")</f>
        <v/>
      </c>
    </row>
    <row r="14386">
      <c r="A14386" t="inlineStr">
        <is>
          <t>0020714552459</t>
        </is>
      </c>
      <c r="B14386" t="inlineStr">
        <is>
          <t>Clinique Stay Matte Oil Free Makeup Long Lasting Mattifying Foundation CN 28 Ivory 30ml</t>
        </is>
      </c>
      <c r="C14386" t="inlineStr">
        <is>
          <t>Foundation</t>
        </is>
      </c>
      <c r="D14386" t="inlineStr">
        <is>
          <t>Clinique</t>
        </is>
      </c>
      <c r="E14386" t="n">
        <v>26.64</v>
      </c>
      <c r="F14386" t="n">
        <v>1</v>
      </c>
      <c r="G14386" t="n">
        <v>3</v>
      </c>
      <c r="H14386" s="5">
        <f>HYPERLINK("https://api.qogita.com/variants/link/0020714552459/", "View Product")</f>
        <v/>
      </c>
    </row>
    <row r="14387">
      <c r="A14387" t="inlineStr">
        <is>
          <t>0020714553210</t>
        </is>
      </c>
      <c r="B14387" t="inlineStr">
        <is>
          <t>Clinique BB Cream Anti-Aging Perfection Cream 02 Medium Clarity 40ml</t>
        </is>
      </c>
      <c r="C14387" t="inlineStr">
        <is>
          <t>Tinted Day Cream</t>
        </is>
      </c>
      <c r="D14387" t="inlineStr">
        <is>
          <t>Clinique</t>
        </is>
      </c>
      <c r="E14387" t="n">
        <v>23</v>
      </c>
      <c r="F14387" t="n">
        <v>1</v>
      </c>
      <c r="G14387" t="n">
        <v>11</v>
      </c>
      <c r="H14387" s="5">
        <f>HYPERLINK("https://api.qogita.com/variants/link/0020714553210/", "View Product")</f>
        <v/>
      </c>
    </row>
    <row r="14388">
      <c r="A14388" t="inlineStr">
        <is>
          <t>0020714673529</t>
        </is>
      </c>
      <c r="B14388" t="inlineStr">
        <is>
          <t>Clinique Aloe Shave Gel 125ml</t>
        </is>
      </c>
      <c r="C14388" t="inlineStr">
        <is>
          <t>Shaving</t>
        </is>
      </c>
      <c r="D14388" t="inlineStr">
        <is>
          <t>Clinique</t>
        </is>
      </c>
      <c r="E14388" t="n">
        <v>15.36</v>
      </c>
      <c r="F14388" t="n">
        <v>1</v>
      </c>
      <c r="G14388" t="n">
        <v>14</v>
      </c>
      <c r="H14388" s="5">
        <f>HYPERLINK("https://api.qogita.com/variants/link/0020714673529/", "View Product")</f>
        <v/>
      </c>
    </row>
    <row r="14389">
      <c r="A14389" t="inlineStr">
        <is>
          <t>0020714712013</t>
        </is>
      </c>
      <c r="B14389" t="inlineStr">
        <is>
          <t>Clinique Beyond Perfecting Foundation + Concealer CN 18 Cream Whip 1 fl.oz. 30ml</t>
        </is>
      </c>
      <c r="C14389" t="inlineStr">
        <is>
          <t>Foundation</t>
        </is>
      </c>
      <c r="D14389" t="inlineStr">
        <is>
          <t>Clinique</t>
        </is>
      </c>
      <c r="E14389" t="n">
        <v>30.5</v>
      </c>
      <c r="F14389" t="n">
        <v>1</v>
      </c>
      <c r="G14389" t="n">
        <v>3</v>
      </c>
      <c r="H14389" s="5">
        <f>HYPERLINK("https://api.qogita.com/variants/link/0020714712013/", "View Product")</f>
        <v/>
      </c>
    </row>
    <row r="14390">
      <c r="A14390" t="inlineStr">
        <is>
          <t>0020714776114</t>
        </is>
      </c>
      <c r="B14390" t="inlineStr">
        <is>
          <t>Clinique Mineral Sunscreen Fluid Spf50 30Ml</t>
        </is>
      </c>
      <c r="C14390" t="inlineStr">
        <is>
          <t>Face Sun Protection</t>
        </is>
      </c>
      <c r="D14390" t="inlineStr">
        <is>
          <t>Clinique</t>
        </is>
      </c>
      <c r="E14390" t="n">
        <v>20.29</v>
      </c>
      <c r="F14390" t="n">
        <v>1</v>
      </c>
      <c r="G14390" t="n">
        <v>4</v>
      </c>
      <c r="H14390" s="5">
        <f>HYPERLINK("https://api.qogita.com/variants/link/0020714776114/", "View Product")</f>
        <v/>
      </c>
    </row>
    <row r="14391">
      <c r="A14391" t="inlineStr">
        <is>
          <t>0020714810993</t>
        </is>
      </c>
      <c r="B14391" t="inlineStr">
        <is>
          <t>Clinique 01 Blackened Black</t>
        </is>
      </c>
      <c r="C14391" t="inlineStr">
        <is>
          <t>Eyeliner</t>
        </is>
      </c>
      <c r="D14391" t="inlineStr">
        <is>
          <t>Clinique</t>
        </is>
      </c>
      <c r="E14391" t="n">
        <v>15.56</v>
      </c>
      <c r="F14391" t="n">
        <v>1</v>
      </c>
      <c r="G14391" t="n">
        <v>5</v>
      </c>
      <c r="H14391" s="5">
        <f>HYPERLINK("https://api.qogita.com/variants/link/0020714810993/", "View Product")</f>
        <v/>
      </c>
    </row>
    <row r="14392">
      <c r="A14392" t="inlineStr">
        <is>
          <t>0020714881436</t>
        </is>
      </c>
      <c r="B14392" t="inlineStr">
        <is>
          <t>Clinique Happy Heart Eau De Parfum Spray 50ml</t>
        </is>
      </c>
      <c r="C14392" t="inlineStr">
        <is>
          <t>Eau De Parfum</t>
        </is>
      </c>
      <c r="D14392" t="inlineStr">
        <is>
          <t>Clinique</t>
        </is>
      </c>
      <c r="E14392" t="n">
        <v>14.51</v>
      </c>
      <c r="F14392" t="n">
        <v>1</v>
      </c>
      <c r="G14392" t="n">
        <v>44</v>
      </c>
      <c r="H14392" s="5">
        <f>HYPERLINK("https://api.qogita.com/variants/link/0020714881436/", "View Product")</f>
        <v/>
      </c>
    </row>
    <row r="14393">
      <c r="A14393" t="inlineStr">
        <is>
          <t>0020714893514</t>
        </is>
      </c>
      <c r="B14393" t="inlineStr">
        <is>
          <t>Cli Superdef SF40 Fatigue Gel 30ml</t>
        </is>
      </c>
      <c r="C14393" t="inlineStr">
        <is>
          <t>Face Cream</t>
        </is>
      </c>
      <c r="D14393" t="inlineStr">
        <is>
          <t>Clinique</t>
        </is>
      </c>
      <c r="E14393" t="n">
        <v>24.02</v>
      </c>
      <c r="F14393" t="n">
        <v>1</v>
      </c>
      <c r="G14393" t="n">
        <v>21</v>
      </c>
      <c r="H14393" s="5">
        <f>HYPERLINK("https://api.qogita.com/variants/link/0020714893514/", "View Product")</f>
        <v/>
      </c>
    </row>
    <row r="14394">
      <c r="A14394" t="inlineStr">
        <is>
          <t>0020714966959</t>
        </is>
      </c>
      <c r="B14394" t="inlineStr">
        <is>
          <t>Clinique Moisture Surge Sheertint Hydrator SPF25 Universal Shade 3 Light Medium 40ml</t>
        </is>
      </c>
      <c r="C14394" t="inlineStr">
        <is>
          <t>Tinted Day Cream</t>
        </is>
      </c>
      <c r="D14394" t="inlineStr">
        <is>
          <t>Clinique</t>
        </is>
      </c>
      <c r="E14394" t="n">
        <v>23.05</v>
      </c>
      <c r="F14394" t="n">
        <v>1</v>
      </c>
      <c r="G14394" t="n">
        <v>2</v>
      </c>
      <c r="H14394" s="5">
        <f>HYPERLINK("https://api.qogita.com/variants/link/0020714966959/", "View Product")</f>
        <v/>
      </c>
    </row>
    <row r="14395">
      <c r="A14395" t="inlineStr">
        <is>
          <t>0020714968915</t>
        </is>
      </c>
      <c r="B14395" t="inlineStr">
        <is>
          <t>Clinique Even Better All-Over Concealer Plus Eraser CN 52 Neutral for Women</t>
        </is>
      </c>
      <c r="C14395" t="inlineStr">
        <is>
          <t>Concealer</t>
        </is>
      </c>
      <c r="D14395" t="inlineStr">
        <is>
          <t>Clinique</t>
        </is>
      </c>
      <c r="E14395" t="n">
        <v>21.27</v>
      </c>
      <c r="F14395" t="n">
        <v>1</v>
      </c>
      <c r="G14395" t="n">
        <v>2</v>
      </c>
      <c r="H14395" s="5">
        <f>HYPERLINK("https://api.qogita.com/variants/link/0020714968915/", "View Product")</f>
        <v/>
      </c>
    </row>
    <row r="14396">
      <c r="A14396" t="inlineStr">
        <is>
          <t>0020714997298</t>
        </is>
      </c>
      <c r="B14396" t="inlineStr">
        <is>
          <t>Clinique Happy Eau de Parfum 30ml</t>
        </is>
      </c>
      <c r="C14396" t="inlineStr">
        <is>
          <t>Eau De Parfum</t>
        </is>
      </c>
      <c r="D14396" t="inlineStr">
        <is>
          <t>Clinique</t>
        </is>
      </c>
      <c r="E14396" t="n">
        <v>12.6</v>
      </c>
      <c r="F14396" t="n">
        <v>1</v>
      </c>
      <c r="G14396" t="n">
        <v>25</v>
      </c>
      <c r="H14396" s="5">
        <f>HYPERLINK("https://api.qogita.com/variants/link/0020714997298/", "View Product")</f>
        <v/>
      </c>
    </row>
    <row r="14397">
      <c r="A14397" t="inlineStr">
        <is>
          <t>0022548435649</t>
        </is>
      </c>
      <c r="B14397" t="inlineStr">
        <is>
          <t>Tommy Hilfiger Impact Spark Eau de Toilette Spray 100ml</t>
        </is>
      </c>
      <c r="C14397" t="inlineStr">
        <is>
          <t>Eau De Toilette</t>
        </is>
      </c>
      <c r="D14397" t="inlineStr">
        <is>
          <t>Tommy Hilfiger</t>
        </is>
      </c>
      <c r="E14397" t="n">
        <v>41.92</v>
      </c>
      <c r="F14397" t="n">
        <v>1</v>
      </c>
      <c r="G14397" t="n">
        <v>6</v>
      </c>
      <c r="H14397" s="5">
        <f>HYPERLINK("https://api.qogita.com/variants/link/0022548435649/", "View Product")</f>
        <v/>
      </c>
    </row>
    <row r="14398">
      <c r="A14398" t="inlineStr">
        <is>
          <t>0025929205237</t>
        </is>
      </c>
      <c r="B14398" t="inlineStr">
        <is>
          <t>COLOUR ME Pop Art Fragrance for Women 50ml Eau de Parfum Natural Fresh Floral</t>
        </is>
      </c>
      <c r="C14398" t="inlineStr">
        <is>
          <t>Eau De Parfum</t>
        </is>
      </c>
      <c r="D14398" t="inlineStr">
        <is>
          <t>Colour Me</t>
        </is>
      </c>
      <c r="E14398" t="n">
        <v>5</v>
      </c>
      <c r="F14398" t="n">
        <v>1</v>
      </c>
      <c r="G14398" t="n">
        <v>4</v>
      </c>
      <c r="H14398" s="5">
        <f>HYPERLINK("https://api.qogita.com/variants/link/0025929205237/", "View Product")</f>
        <v/>
      </c>
    </row>
    <row r="14399">
      <c r="A14399" t="inlineStr">
        <is>
          <t>0027131004097</t>
        </is>
      </c>
      <c r="B14399" t="inlineStr">
        <is>
          <t>Estee Lauder Youth Dew Cr Vs 200/9060.01 0027131004097 200ml</t>
        </is>
      </c>
      <c r="C14399" t="inlineStr">
        <is>
          <t>Eau De Parfum</t>
        </is>
      </c>
      <c r="D14399" t="inlineStr">
        <is>
          <t>Estée Lauder</t>
        </is>
      </c>
      <c r="E14399" t="n">
        <v>39.69</v>
      </c>
      <c r="F14399" t="n">
        <v>1</v>
      </c>
      <c r="G14399" t="n">
        <v>5</v>
      </c>
      <c r="H14399" s="5">
        <f>HYPERLINK("https://api.qogita.com/variants/link/0027131004097/", "View Product")</f>
        <v/>
      </c>
    </row>
    <row r="14400">
      <c r="A14400" t="inlineStr">
        <is>
          <t>0027131006251</t>
        </is>
      </c>
      <c r="B14400" t="inlineStr">
        <is>
          <t>Tom Ford Lightweight Cream 50ml/1.7oz</t>
        </is>
      </c>
      <c r="C14400" t="inlineStr">
        <is>
          <t>Face Cream</t>
        </is>
      </c>
      <c r="D14400" t="inlineStr">
        <is>
          <t>Goldwell</t>
        </is>
      </c>
      <c r="E14400" t="n">
        <v>118.6</v>
      </c>
      <c r="F14400" t="n">
        <v>1</v>
      </c>
      <c r="G14400" t="n">
        <v>3</v>
      </c>
      <c r="H14400" s="5">
        <f>HYPERLINK("https://api.qogita.com/variants/link/0027131006251/", "View Product")</f>
        <v/>
      </c>
    </row>
    <row r="14401">
      <c r="A14401" t="inlineStr">
        <is>
          <t>0027131020424</t>
        </is>
      </c>
      <c r="B14401" t="inlineStr">
        <is>
          <t>White Linen Estee Lauder 2 oz EDP Spray For Women Floral 59.1ml</t>
        </is>
      </c>
      <c r="C14401" t="inlineStr">
        <is>
          <t>Eau De Parfum</t>
        </is>
      </c>
      <c r="D14401" t="inlineStr">
        <is>
          <t>Estée Lauder</t>
        </is>
      </c>
      <c r="E14401" t="n">
        <v>28.79</v>
      </c>
      <c r="F14401" t="n">
        <v>1</v>
      </c>
      <c r="G14401" t="n">
        <v>219</v>
      </c>
      <c r="H14401" s="5">
        <f>HYPERLINK("https://api.qogita.com/variants/link/0027131020424/", "View Product")</f>
        <v/>
      </c>
    </row>
    <row r="14402">
      <c r="A14402" t="inlineStr">
        <is>
          <t>0027131043287</t>
        </is>
      </c>
      <c r="B14402" t="inlineStr">
        <is>
          <t>Estee Lauder Pleasures Eau De Parfum Spray 30ml/1oz</t>
        </is>
      </c>
      <c r="C14402" t="inlineStr">
        <is>
          <t>Eau De Parfum</t>
        </is>
      </c>
      <c r="D14402" t="inlineStr">
        <is>
          <t>Estée Lauder</t>
        </is>
      </c>
      <c r="E14402" t="n">
        <v>15.83</v>
      </c>
      <c r="F14402" t="n">
        <v>1</v>
      </c>
      <c r="G14402" t="n">
        <v>273</v>
      </c>
      <c r="H14402" s="5">
        <f>HYPERLINK("https://api.qogita.com/variants/link/0027131043287/", "View Product")</f>
        <v/>
      </c>
    </row>
    <row r="14403">
      <c r="A14403" t="inlineStr">
        <is>
          <t>0027131043317</t>
        </is>
      </c>
      <c r="B14403" t="inlineStr">
        <is>
          <t>Estee Lauder Pleasures Eau De Parfum Spray 3.4oz 100ml for Women</t>
        </is>
      </c>
      <c r="C14403" t="inlineStr">
        <is>
          <t>Eau De Parfum</t>
        </is>
      </c>
      <c r="D14403" t="inlineStr">
        <is>
          <t>Estée Lauder</t>
        </is>
      </c>
      <c r="E14403" t="n">
        <v>29.87</v>
      </c>
      <c r="F14403" t="n">
        <v>1</v>
      </c>
      <c r="G14403" t="n">
        <v>845</v>
      </c>
      <c r="H14403" s="5">
        <f>HYPERLINK("https://api.qogita.com/variants/link/0027131043317/", "View Product")</f>
        <v/>
      </c>
    </row>
    <row r="14404">
      <c r="A14404" t="inlineStr">
        <is>
          <t>0027131086864</t>
        </is>
      </c>
      <c r="B14404" t="inlineStr">
        <is>
          <t>Estee Lauder Beautiful Eau de Parfum for Women 30ml</t>
        </is>
      </c>
      <c r="C14404" t="inlineStr">
        <is>
          <t>Eau De Parfum</t>
        </is>
      </c>
      <c r="D14404" t="inlineStr">
        <is>
          <t>Estée Lauder</t>
        </is>
      </c>
      <c r="E14404" t="n">
        <v>18.92</v>
      </c>
      <c r="F14404" t="n">
        <v>1</v>
      </c>
      <c r="G14404" t="n">
        <v>2</v>
      </c>
      <c r="H14404" s="5">
        <f>HYPERLINK("https://api.qogita.com/variants/link/0027131086864/", "View Product")</f>
        <v/>
      </c>
    </row>
    <row r="14405">
      <c r="A14405" t="inlineStr">
        <is>
          <t>0027131187035</t>
        </is>
      </c>
      <c r="B14405" t="inlineStr">
        <is>
          <t>Estée Lauder Double Wear Stay In Place Makeup SPF 10 2C3 - Fresco 30ml</t>
        </is>
      </c>
      <c r="C14405" t="inlineStr">
        <is>
          <t>Foundation</t>
        </is>
      </c>
      <c r="D14405" t="inlineStr">
        <is>
          <t>Estée Lauder</t>
        </is>
      </c>
      <c r="E14405" t="n">
        <v>30.78</v>
      </c>
      <c r="F14405" t="n">
        <v>1</v>
      </c>
      <c r="G14405" t="n">
        <v>79</v>
      </c>
      <c r="H14405" s="5">
        <f>HYPERLINK("https://api.qogita.com/variants/link/0027131187035/", "View Product")</f>
        <v/>
      </c>
    </row>
    <row r="14406">
      <c r="A14406" t="inlineStr">
        <is>
          <t>0027131521433</t>
        </is>
      </c>
      <c r="B14406" t="inlineStr">
        <is>
          <t>Estee Lauder Pleasures Cologne for Men 100ml</t>
        </is>
      </c>
      <c r="C14406" t="inlineStr">
        <is>
          <t>Eau De Toilette</t>
        </is>
      </c>
      <c r="D14406" t="inlineStr">
        <is>
          <t>Estée Lauder</t>
        </is>
      </c>
      <c r="E14406" t="n">
        <v>17.82</v>
      </c>
      <c r="F14406" t="n">
        <v>1</v>
      </c>
      <c r="G14406" t="n">
        <v>12</v>
      </c>
      <c r="H14406" s="5">
        <f>HYPERLINK("https://api.qogita.com/variants/link/0027131521433/", "View Product")</f>
        <v/>
      </c>
    </row>
    <row r="14407">
      <c r="A14407" t="inlineStr">
        <is>
          <t>0027131771944</t>
        </is>
      </c>
      <c r="B14407" t="inlineStr">
        <is>
          <t>Sumptuous Extreme Mascara 01 Black 8ml</t>
        </is>
      </c>
      <c r="C14407" t="inlineStr">
        <is>
          <t>Mascara</t>
        </is>
      </c>
      <c r="D14407" t="inlineStr">
        <is>
          <t>Estée Lauder</t>
        </is>
      </c>
      <c r="E14407" t="n">
        <v>22.21</v>
      </c>
      <c r="F14407" t="n">
        <v>1</v>
      </c>
      <c r="G14407" t="n">
        <v>12</v>
      </c>
      <c r="H14407" s="5">
        <f>HYPERLINK("https://api.qogita.com/variants/link/0027131771944/", "View Product")</f>
        <v/>
      </c>
    </row>
    <row r="14408">
      <c r="A14408" t="inlineStr">
        <is>
          <t>0027131821939</t>
        </is>
      </c>
      <c r="B14408" t="inlineStr">
        <is>
          <t>Estée Lauder Double Wear Maximum Cover Camouflage Makeup Number 3 Creamy</t>
        </is>
      </c>
      <c r="C14408" t="inlineStr">
        <is>
          <t>Camouflage Makeup</t>
        </is>
      </c>
      <c r="D14408" t="inlineStr">
        <is>
          <t>Estée Lauder</t>
        </is>
      </c>
      <c r="E14408" t="n">
        <v>33.01</v>
      </c>
      <c r="F14408" t="n">
        <v>1</v>
      </c>
      <c r="G14408" t="n">
        <v>18</v>
      </c>
      <c r="H14408" s="5">
        <f>HYPERLINK("https://api.qogita.com/variants/link/0027131821939/", "View Product")</f>
        <v/>
      </c>
    </row>
    <row r="14409">
      <c r="A14409" t="inlineStr">
        <is>
          <t>0027131821946</t>
        </is>
      </c>
      <c r="B14409" t="inlineStr">
        <is>
          <t>Estee Lauder Double Wear Maximum Cover 05 SPF 15 Creamy Tan 30ml</t>
        </is>
      </c>
      <c r="C14409" t="inlineStr">
        <is>
          <t>Camouflage Makeup</t>
        </is>
      </c>
      <c r="D14409" t="inlineStr">
        <is>
          <t>Estée Lauder</t>
        </is>
      </c>
      <c r="E14409" t="n">
        <v>31.66</v>
      </c>
      <c r="F14409" t="n">
        <v>1</v>
      </c>
      <c r="G14409" t="n">
        <v>5</v>
      </c>
      <c r="H14409" s="5">
        <f>HYPERLINK("https://api.qogita.com/variants/link/0027131821946/", "View Product")</f>
        <v/>
      </c>
    </row>
    <row r="14410">
      <c r="A14410" t="inlineStr">
        <is>
          <t>0031655513027</t>
        </is>
      </c>
      <c r="B14410" t="inlineStr">
        <is>
          <t>Marc Jacobs Daisy Eau de Toilette 50ml Vaporizer - Black</t>
        </is>
      </c>
      <c r="C14410" t="inlineStr">
        <is>
          <t>Eau De Toilette</t>
        </is>
      </c>
      <c r="D14410" t="inlineStr">
        <is>
          <t>Marc Jacobs</t>
        </is>
      </c>
      <c r="E14410" t="n">
        <v>41.33</v>
      </c>
      <c r="F14410" t="n">
        <v>1</v>
      </c>
      <c r="G14410" t="n">
        <v>4</v>
      </c>
      <c r="H14410" s="5">
        <f>HYPERLINK("https://api.qogita.com/variants/link/0031655513027/", "View Product")</f>
        <v/>
      </c>
    </row>
    <row r="14411">
      <c r="A14411" t="inlineStr">
        <is>
          <t>0031655513034</t>
        </is>
      </c>
      <c r="B14411" t="inlineStr">
        <is>
          <t>Marc Jacobs Daisy Eau de Toilette Spray Women 100ml</t>
        </is>
      </c>
      <c r="C14411" t="inlineStr">
        <is>
          <t>Eau De Toilette</t>
        </is>
      </c>
      <c r="D14411" t="inlineStr">
        <is>
          <t>Marc Jacobs</t>
        </is>
      </c>
      <c r="E14411" t="n">
        <v>53.1</v>
      </c>
      <c r="F14411" t="n">
        <v>1</v>
      </c>
      <c r="G14411" t="n">
        <v>5</v>
      </c>
      <c r="H14411" s="5">
        <f>HYPERLINK("https://api.qogita.com/variants/link/0031655513034/", "View Product")</f>
        <v/>
      </c>
    </row>
    <row r="14412">
      <c r="A14412" t="inlineStr">
        <is>
          <t>0031655644851</t>
        </is>
      </c>
      <c r="B14412" t="inlineStr">
        <is>
          <t>Calvin Klein Eternity Aqua Eau De Toilette Woody Men's Cologne</t>
        </is>
      </c>
      <c r="C14412" t="inlineStr">
        <is>
          <t>Eau De Toilette</t>
        </is>
      </c>
      <c r="D14412" t="inlineStr">
        <is>
          <t>Calvin Klein</t>
        </is>
      </c>
      <c r="E14412" t="n">
        <v>19.12</v>
      </c>
      <c r="F14412" t="n">
        <v>1</v>
      </c>
      <c r="G14412" t="n">
        <v>278</v>
      </c>
      <c r="H14412" s="5">
        <f>HYPERLINK("https://api.qogita.com/variants/link/0031655644851/", "View Product")</f>
        <v/>
      </c>
    </row>
    <row r="14413">
      <c r="A14413" t="inlineStr">
        <is>
          <t>0035017008657</t>
        </is>
      </c>
      <c r="B14413" t="inlineStr">
        <is>
          <t>Jovan White Musk Cologne 96ml Spray</t>
        </is>
      </c>
      <c r="C14413" t="inlineStr">
        <is>
          <t>Eau De Cologne</t>
        </is>
      </c>
      <c r="D14413" t="inlineStr">
        <is>
          <t>Jovan</t>
        </is>
      </c>
      <c r="E14413" t="n">
        <v>11.65</v>
      </c>
      <c r="F14413" t="n">
        <v>1</v>
      </c>
      <c r="G14413" t="n">
        <v>44</v>
      </c>
      <c r="H14413" s="5">
        <f>HYPERLINK("https://api.qogita.com/variants/link/0035017008657/", "View Product")</f>
        <v/>
      </c>
    </row>
    <row r="14414">
      <c r="A14414" t="inlineStr">
        <is>
          <t>0035017009029</t>
        </is>
      </c>
      <c r="B14414" t="inlineStr">
        <is>
          <t>Jovan Musk Cologne Spray 88ml</t>
        </is>
      </c>
      <c r="C14414" t="inlineStr">
        <is>
          <t>Eau De Cologne</t>
        </is>
      </c>
      <c r="D14414" t="inlineStr">
        <is>
          <t>Jovan</t>
        </is>
      </c>
      <c r="E14414" t="n">
        <v>7.68</v>
      </c>
      <c r="F14414" t="n">
        <v>1</v>
      </c>
      <c r="G14414" t="n">
        <v>65</v>
      </c>
      <c r="H14414" s="5">
        <f>HYPERLINK("https://api.qogita.com/variants/link/0035017009029/", "View Product")</f>
        <v/>
      </c>
    </row>
    <row r="14415">
      <c r="A14415" t="inlineStr">
        <is>
          <t>0035017009944</t>
        </is>
      </c>
      <c r="B14415" t="inlineStr">
        <is>
          <t>Jovan Musk Cologne Spray for Women 59ml</t>
        </is>
      </c>
      <c r="C14415" t="inlineStr">
        <is>
          <t>Eau De Cologne</t>
        </is>
      </c>
      <c r="D14415" t="inlineStr">
        <is>
          <t>Jovan</t>
        </is>
      </c>
      <c r="E14415" t="n">
        <v>7.34</v>
      </c>
      <c r="F14415" t="n">
        <v>1</v>
      </c>
      <c r="G14415" t="n">
        <v>29</v>
      </c>
      <c r="H14415" s="5">
        <f>HYPERLINK("https://api.qogita.com/variants/link/0035017009944/", "View Product")</f>
        <v/>
      </c>
    </row>
    <row r="14416">
      <c r="A14416" t="inlineStr">
        <is>
          <t>0035017010353</t>
        </is>
      </c>
      <c r="B14416" t="inlineStr">
        <is>
          <t>Jovan Island Gardenia Eau de Cologne Spray Refreshing Women's Perfume 1.5oz Gardenia</t>
        </is>
      </c>
      <c r="C14416" t="inlineStr">
        <is>
          <t>Eau De Cologne</t>
        </is>
      </c>
      <c r="D14416" t="inlineStr">
        <is>
          <t>Jovan</t>
        </is>
      </c>
      <c r="E14416" t="n">
        <v>13.29</v>
      </c>
      <c r="F14416" t="n">
        <v>1</v>
      </c>
      <c r="G14416" t="n">
        <v>30</v>
      </c>
      <c r="H14416" s="5">
        <f>HYPERLINK("https://api.qogita.com/variants/link/0035017010353/", "View Product")</f>
        <v/>
      </c>
    </row>
    <row r="14417">
      <c r="A14417" t="inlineStr">
        <is>
          <t>0038097000559</t>
        </is>
      </c>
      <c r="B14417" t="inlineStr">
        <is>
          <t>Tweezerman Studio Collection Stainless Steel Eyebrow Scissors with Brush</t>
        </is>
      </c>
      <c r="C14417" t="inlineStr">
        <is>
          <t>Other</t>
        </is>
      </c>
      <c r="D14417" t="inlineStr">
        <is>
          <t>Tweezerman</t>
        </is>
      </c>
      <c r="E14417" t="n">
        <v>19.36</v>
      </c>
      <c r="F14417" t="n">
        <v>1</v>
      </c>
      <c r="G14417" t="n">
        <v>4</v>
      </c>
      <c r="H14417" s="5">
        <f>HYPERLINK("https://api.qogita.com/variants/link/0038097000559/", "View Product")</f>
        <v/>
      </c>
    </row>
    <row r="14418">
      <c r="A14418" t="inlineStr">
        <is>
          <t>0038097007510</t>
        </is>
      </c>
      <c r="B14418" t="inlineStr">
        <is>
          <t>TWEEZERMAN Slant Tip Eyebrow Tweezer Stainless Steel Gold</t>
        </is>
      </c>
      <c r="C14418" t="inlineStr">
        <is>
          <t>Other</t>
        </is>
      </c>
      <c r="D14418" t="inlineStr">
        <is>
          <t>Tweezerman</t>
        </is>
      </c>
      <c r="E14418" t="n">
        <v>25.94</v>
      </c>
      <c r="F14418" t="n">
        <v>1</v>
      </c>
      <c r="G14418" t="n">
        <v>15</v>
      </c>
      <c r="H14418" s="5">
        <f>HYPERLINK("https://api.qogita.com/variants/link/0038097007510/", "View Product")</f>
        <v/>
      </c>
    </row>
    <row r="14419">
      <c r="A14419" t="inlineStr">
        <is>
          <t>0038097008029</t>
        </is>
      </c>
      <c r="B14419" t="inlineStr">
        <is>
          <t>Tweezerman Combo Clipper Set 2pcs Sets &amp; Coffrets</t>
        </is>
      </c>
      <c r="C14419" t="inlineStr">
        <is>
          <t>Manicure Sets</t>
        </is>
      </c>
      <c r="D14419" t="inlineStr">
        <is>
          <t>Tweezerman</t>
        </is>
      </c>
      <c r="E14419" t="n">
        <v>12.94</v>
      </c>
      <c r="F14419" t="n">
        <v>1</v>
      </c>
      <c r="G14419" t="n">
        <v>15</v>
      </c>
      <c r="H14419" s="5">
        <f>HYPERLINK("https://api.qogita.com/variants/link/0038097008029/", "View Product")</f>
        <v/>
      </c>
    </row>
    <row r="14420">
      <c r="A14420" t="inlineStr">
        <is>
          <t>0038097013009</t>
        </is>
      </c>
      <c r="B14420" t="inlineStr">
        <is>
          <t>Tweezerman Led 15x Mini Mirror</t>
        </is>
      </c>
      <c r="C14420" t="inlineStr">
        <is>
          <t>Tweezers</t>
        </is>
      </c>
      <c r="D14420" t="inlineStr">
        <is>
          <t>Tweezerman</t>
        </is>
      </c>
      <c r="E14420" t="n">
        <v>25.94</v>
      </c>
      <c r="F14420" t="n">
        <v>1</v>
      </c>
      <c r="G14420" t="n">
        <v>5</v>
      </c>
      <c r="H14420" s="5">
        <f>HYPERLINK("https://api.qogita.com/variants/link/0038097013009/", "View Product")</f>
        <v/>
      </c>
    </row>
    <row r="14421">
      <c r="A14421" t="inlineStr">
        <is>
          <t>0038097021936</t>
        </is>
      </c>
      <c r="B14421" t="inlineStr">
        <is>
          <t>TWEEZERMAN Studio Collection Glass Manicure Set 4-Piece Nail Care Set Silver White 4207-R</t>
        </is>
      </c>
      <c r="C14421" t="inlineStr">
        <is>
          <t>Manicure Sets</t>
        </is>
      </c>
      <c r="D14421" t="inlineStr">
        <is>
          <t>Tweezerman</t>
        </is>
      </c>
      <c r="E14421" t="n">
        <v>25.94</v>
      </c>
      <c r="F14421" t="n">
        <v>1</v>
      </c>
      <c r="G14421" t="n">
        <v>8</v>
      </c>
      <c r="H14421" s="5">
        <f>HYPERLINK("https://api.qogita.com/variants/link/0038097021936/", "View Product")</f>
        <v/>
      </c>
    </row>
    <row r="14422">
      <c r="A14422" t="inlineStr">
        <is>
          <t>0038097022223</t>
        </is>
      </c>
      <c r="B14422" t="inlineStr">
        <is>
          <t>Tweezerman Eyebrow Tweezers Shaping Set</t>
        </is>
      </c>
      <c r="C14422" t="inlineStr">
        <is>
          <t>Other</t>
        </is>
      </c>
      <c r="D14422" t="inlineStr">
        <is>
          <t>Tweezerman</t>
        </is>
      </c>
      <c r="E14422" t="n">
        <v>25.19</v>
      </c>
      <c r="F14422" t="n">
        <v>1</v>
      </c>
      <c r="G14422" t="n">
        <v>5</v>
      </c>
      <c r="H14422" s="5">
        <f>HYPERLINK("https://api.qogita.com/variants/link/0038097022223/", "View Product")</f>
        <v/>
      </c>
    </row>
    <row r="14423">
      <c r="A14423" t="inlineStr">
        <is>
          <t>0038097124903</t>
        </is>
      </c>
      <c r="B14423" t="inlineStr">
        <is>
          <t>Tweezerman - Mini Slant Tweezer Classic Stainless</t>
        </is>
      </c>
      <c r="C14423" t="inlineStr">
        <is>
          <t>Nail Clippers &amp; Tools</t>
        </is>
      </c>
      <c r="D14423" t="inlineStr">
        <is>
          <t>Tweezerman</t>
        </is>
      </c>
      <c r="E14423" t="n">
        <v>13.48</v>
      </c>
      <c r="F14423" t="n">
        <v>1</v>
      </c>
      <c r="G14423" t="n">
        <v>6</v>
      </c>
      <c r="H14423" s="5">
        <f>HYPERLINK("https://api.qogita.com/variants/link/0038097124903/", "View Product")</f>
        <v/>
      </c>
    </row>
    <row r="14424">
      <c r="A14424" t="inlineStr">
        <is>
          <t>0038097274202</t>
        </is>
      </c>
      <c r="B14424" t="inlineStr">
        <is>
          <t>Tweezerman Skin Care Tool</t>
        </is>
      </c>
      <c r="C14424" t="inlineStr">
        <is>
          <t>Tweezers</t>
        </is>
      </c>
      <c r="D14424" t="inlineStr">
        <is>
          <t>Tweezerman</t>
        </is>
      </c>
      <c r="E14424" t="n">
        <v>13.86</v>
      </c>
      <c r="F14424" t="n">
        <v>1</v>
      </c>
      <c r="G14424" t="n">
        <v>3</v>
      </c>
      <c r="H14424" s="5">
        <f>HYPERLINK("https://api.qogita.com/variants/link/0038097274202/", "View Product")</f>
        <v/>
      </c>
    </row>
    <row r="14425">
      <c r="A14425" t="inlineStr">
        <is>
          <t>0038097319606</t>
        </is>
      </c>
      <c r="B14425" t="inlineStr">
        <is>
          <t>Tweezerman Rock Hard Cuticle Nipper with 1/2 Jaw</t>
        </is>
      </c>
      <c r="C14425" t="inlineStr">
        <is>
          <t>Nail Clippers &amp; Tools</t>
        </is>
      </c>
      <c r="D14425" t="inlineStr">
        <is>
          <t>Tweezerman</t>
        </is>
      </c>
      <c r="E14425" t="n">
        <v>23.34</v>
      </c>
      <c r="F14425" t="n">
        <v>1</v>
      </c>
      <c r="G14425" t="n">
        <v>2</v>
      </c>
      <c r="H14425" s="5">
        <f>HYPERLINK("https://api.qogita.com/variants/link/0038097319606/", "View Product")</f>
        <v/>
      </c>
    </row>
    <row r="14426">
      <c r="A14426" t="inlineStr">
        <is>
          <t>0041554545364</t>
        </is>
      </c>
      <c r="B14426" t="inlineStr">
        <is>
          <t>Maybelline New York Plumper Please Shaping Lip Duo Lipstick 200 Tease - 1 count</t>
        </is>
      </c>
      <c r="C14426" t="inlineStr">
        <is>
          <t>Lipstick</t>
        </is>
      </c>
      <c r="D14426" t="inlineStr">
        <is>
          <t>Maybelline</t>
        </is>
      </c>
      <c r="E14426" t="n">
        <v>2.74</v>
      </c>
      <c r="F14426" t="n">
        <v>1</v>
      </c>
      <c r="G14426" t="n">
        <v>2</v>
      </c>
      <c r="H14426" s="5">
        <f>HYPERLINK("https://api.qogita.com/variants/link/0041554545364/", "View Product")</f>
        <v/>
      </c>
    </row>
    <row r="14427">
      <c r="A14427" t="inlineStr">
        <is>
          <t>0044386117679</t>
        </is>
      </c>
      <c r="B14427" t="inlineStr">
        <is>
          <t>Physicians Formula Matte Monoi Butter Bronzer with Monoi and Murumuru Butter Water-Resistant Vegan 1 Count</t>
        </is>
      </c>
      <c r="C14427" t="inlineStr">
        <is>
          <t>Bronzer</t>
        </is>
      </c>
      <c r="D14427" t="inlineStr">
        <is>
          <t>Physicians Formula</t>
        </is>
      </c>
      <c r="E14427" t="n">
        <v>7.77</v>
      </c>
      <c r="F14427" t="n">
        <v>1</v>
      </c>
      <c r="G14427" t="n">
        <v>5</v>
      </c>
      <c r="H14427" s="5">
        <f>HYPERLINK("https://api.qogita.com/variants/link/0044386117679/", "View Product")</f>
        <v/>
      </c>
    </row>
    <row r="14428">
      <c r="A14428" t="inlineStr">
        <is>
          <t>0044386117693</t>
        </is>
      </c>
      <c r="B14428" t="inlineStr">
        <is>
          <t>Physicians Formula Butter Blowout Mascara with Keratin and a Blend of Murumuru Butter, Cupuaçu Butter, and Tucuma Butter for Volume and Long-Lasting Hold Vegan Black</t>
        </is>
      </c>
      <c r="C14428" t="inlineStr">
        <is>
          <t>Mascara</t>
        </is>
      </c>
      <c r="D14428" t="inlineStr">
        <is>
          <t>Physicians Formula</t>
        </is>
      </c>
      <c r="E14428" t="n">
        <v>6.75</v>
      </c>
      <c r="F14428" t="n">
        <v>1</v>
      </c>
      <c r="G14428" t="n">
        <v>5</v>
      </c>
      <c r="H14428" s="5">
        <f>HYPERLINK("https://api.qogita.com/variants/link/0044386117693/", "View Product")</f>
        <v/>
      </c>
    </row>
    <row r="14429">
      <c r="A14429" t="inlineStr">
        <is>
          <t>0044386119376</t>
        </is>
      </c>
      <c r="B14429" t="inlineStr">
        <is>
          <t>Physicians Formula Butter Believe It Face Powder with Murumuru, Cupuaçu, and Tucuma Butter - Creamy Natural</t>
        </is>
      </c>
      <c r="C14429" t="inlineStr">
        <is>
          <t>Powder</t>
        </is>
      </c>
      <c r="D14429" t="inlineStr">
        <is>
          <t>Physicians Formula</t>
        </is>
      </c>
      <c r="E14429" t="n">
        <v>7.77</v>
      </c>
      <c r="F14429" t="n">
        <v>1</v>
      </c>
      <c r="G14429" t="n">
        <v>5</v>
      </c>
      <c r="H14429" s="5">
        <f>HYPERLINK("https://api.qogita.com/variants/link/0044386119376/", "View Product")</f>
        <v/>
      </c>
    </row>
    <row r="14430">
      <c r="A14430" t="inlineStr">
        <is>
          <t>0044386119390</t>
        </is>
      </c>
      <c r="B14430" t="inlineStr">
        <is>
          <t>Physicians Formula Matte Monoi Butter Bronzer Long-lasting Bronzer Powder with Essential Fatty Acids and Pro-vitamins Matte Light Bronzer</t>
        </is>
      </c>
      <c r="C14430" t="inlineStr">
        <is>
          <t>Bronzer</t>
        </is>
      </c>
      <c r="D14430" t="inlineStr">
        <is>
          <t>Physicians Formula</t>
        </is>
      </c>
      <c r="E14430" t="n">
        <v>7.77</v>
      </c>
      <c r="F14430" t="n">
        <v>1</v>
      </c>
      <c r="G14430" t="n">
        <v>5</v>
      </c>
      <c r="H14430" s="5">
        <f>HYPERLINK("https://api.qogita.com/variants/link/0044386119390/", "View Product")</f>
        <v/>
      </c>
    </row>
    <row r="14431">
      <c r="A14431" t="inlineStr">
        <is>
          <t>0044386119529</t>
        </is>
      </c>
      <c r="B14431" t="inlineStr">
        <is>
          <t>Physicians Formula Butter Believe It! Multicolored Cream Blush with Buildable Formula for Natural Looks with Murumuru Butter, Cupuacu Butter and Tucuma Butter Pink Sands</t>
        </is>
      </c>
      <c r="C14431" t="inlineStr">
        <is>
          <t>Blush</t>
        </is>
      </c>
      <c r="D14431" t="inlineStr">
        <is>
          <t>Physicians Formula</t>
        </is>
      </c>
      <c r="E14431" t="n">
        <v>7.62</v>
      </c>
      <c r="F14431" t="n">
        <v>1</v>
      </c>
      <c r="G14431" t="n">
        <v>5</v>
      </c>
      <c r="H14431" s="5">
        <f>HYPERLINK("https://api.qogita.com/variants/link/0044386119529/", "View Product")</f>
        <v/>
      </c>
    </row>
    <row r="14432">
      <c r="A14432" t="inlineStr">
        <is>
          <t>0044386122581</t>
        </is>
      </c>
      <c r="B14432" t="inlineStr">
        <is>
          <t>Physicians Formula Diamond Plumper Lip Plumper with Moisturizing and Plumping Formula Brilliant Berry Diamond Lip Gloss with Diamond Dust for Gem-Like Shine</t>
        </is>
      </c>
      <c r="C14432" t="inlineStr">
        <is>
          <t>Lip Plumper</t>
        </is>
      </c>
      <c r="D14432" t="inlineStr">
        <is>
          <t>Physicians Formula</t>
        </is>
      </c>
      <c r="E14432" t="n">
        <v>5.4</v>
      </c>
      <c r="F14432" t="n">
        <v>1</v>
      </c>
      <c r="G14432" t="n">
        <v>5</v>
      </c>
      <c r="H14432" s="5">
        <f>HYPERLINK("https://api.qogita.com/variants/link/0044386122581/", "View Product")</f>
        <v/>
      </c>
    </row>
    <row r="14433">
      <c r="A14433" t="inlineStr">
        <is>
          <t>0044386128613</t>
        </is>
      </c>
      <c r="B14433" t="inlineStr">
        <is>
          <t>Physicians Formula Murumuru Butter Glow Multi-Use Radiance-Boosting Pressed Powder 7.50g</t>
        </is>
      </c>
      <c r="C14433" t="inlineStr">
        <is>
          <t>Powder</t>
        </is>
      </c>
      <c r="D14433" t="inlineStr">
        <is>
          <t>Physicians Formula</t>
        </is>
      </c>
      <c r="E14433" t="n">
        <v>7.77</v>
      </c>
      <c r="F14433" t="n">
        <v>1</v>
      </c>
      <c r="G14433" t="n">
        <v>5</v>
      </c>
      <c r="H14433" s="5">
        <f>HYPERLINK("https://api.qogita.com/variants/link/0044386128613/", "View Product")</f>
        <v/>
      </c>
    </row>
    <row r="14434">
      <c r="A14434" t="inlineStr">
        <is>
          <t>0044386128668</t>
        </is>
      </c>
      <c r="B14434" t="inlineStr">
        <is>
          <t>Physicians Formula Butter Glow Multi-Use Liquid Concealer Long-Wearing Medium Shade 5.60ml</t>
        </is>
      </c>
      <c r="C14434" t="inlineStr">
        <is>
          <t>Concealer</t>
        </is>
      </c>
      <c r="D14434" t="inlineStr">
        <is>
          <t>Physicians Formula</t>
        </is>
      </c>
      <c r="E14434" t="n">
        <v>6.53</v>
      </c>
      <c r="F14434" t="n">
        <v>1</v>
      </c>
      <c r="G14434" t="n">
        <v>5</v>
      </c>
      <c r="H14434" s="5">
        <f>HYPERLINK("https://api.qogita.com/variants/link/0044386128668/", "View Product")</f>
        <v/>
      </c>
    </row>
    <row r="14435">
      <c r="A14435" t="inlineStr">
        <is>
          <t>0044386128712</t>
        </is>
      </c>
      <c r="B14435" t="inlineStr">
        <is>
          <t>Physicians Formula Mineral Wear Diamond Last Ultra-Creamy Liquid Lip Color Topaz Taupe</t>
        </is>
      </c>
      <c r="C14435" t="inlineStr">
        <is>
          <t>Lipstick</t>
        </is>
      </c>
      <c r="D14435" t="inlineStr">
        <is>
          <t>Physicians Formula</t>
        </is>
      </c>
      <c r="E14435" t="n">
        <v>5.4</v>
      </c>
      <c r="F14435" t="n">
        <v>1</v>
      </c>
      <c r="G14435" t="n">
        <v>5</v>
      </c>
      <c r="H14435" s="5">
        <f>HYPERLINK("https://api.qogita.com/variants/link/0044386128712/", "View Product")</f>
        <v/>
      </c>
    </row>
    <row r="14436">
      <c r="A14436" t="inlineStr">
        <is>
          <t>0044386412453</t>
        </is>
      </c>
      <c r="B14436" t="inlineStr">
        <is>
          <t>Physicians Formula Butter Glow Bronzer + Blush 2-in-1 Creamy Powder Enriched with Illuminating Moisturizing Butter Blend Healthy Glow</t>
        </is>
      </c>
      <c r="C14436" t="inlineStr">
        <is>
          <t>Blush</t>
        </is>
      </c>
      <c r="D14436" t="inlineStr">
        <is>
          <t>Physicians Formula</t>
        </is>
      </c>
      <c r="E14436" t="n">
        <v>7.77</v>
      </c>
      <c r="F14436" t="n">
        <v>1</v>
      </c>
      <c r="G14436" t="n">
        <v>5</v>
      </c>
      <c r="H14436" s="5">
        <f>HYPERLINK("https://api.qogita.com/variants/link/0044386412453/", "View Product")</f>
        <v/>
      </c>
    </row>
    <row r="14437">
      <c r="A14437" t="inlineStr">
        <is>
          <t>0044386412460</t>
        </is>
      </c>
      <c r="B14437" t="inlineStr">
        <is>
          <t>Physicians Formula Butter Glow Contour Wand Liquid Bronzer for Instant Definition Nourishing and Creamy Easy Application Fair Light</t>
        </is>
      </c>
      <c r="C14437" t="inlineStr">
        <is>
          <t>Bronzer</t>
        </is>
      </c>
      <c r="D14437" t="inlineStr">
        <is>
          <t>Physicians Formula</t>
        </is>
      </c>
      <c r="E14437" t="n">
        <v>7.44</v>
      </c>
      <c r="F14437" t="n">
        <v>1</v>
      </c>
      <c r="G14437" t="n">
        <v>5</v>
      </c>
      <c r="H14437" s="5">
        <f>HYPERLINK("https://api.qogita.com/variants/link/0044386412460/", "View Product")</f>
        <v/>
      </c>
    </row>
    <row r="14438">
      <c r="A14438" t="inlineStr">
        <is>
          <t>0054402250440</t>
        </is>
      </c>
      <c r="B14438" t="inlineStr">
        <is>
          <t>Australian Gold Dark Tanning Accelerator Spray Gel 237ml</t>
        </is>
      </c>
      <c r="C14438" t="inlineStr">
        <is>
          <t>Body Sun Protection</t>
        </is>
      </c>
      <c r="D14438" t="inlineStr">
        <is>
          <t>Australian Gold</t>
        </is>
      </c>
      <c r="E14438" t="n">
        <v>11.85</v>
      </c>
      <c r="F14438" t="n">
        <v>1</v>
      </c>
      <c r="G14438" t="n">
        <v>23</v>
      </c>
      <c r="H14438" s="5">
        <f>HYPERLINK("https://api.qogita.com/variants/link/0054402250440/", "View Product")</f>
        <v/>
      </c>
    </row>
    <row r="14439">
      <c r="A14439" t="inlineStr">
        <is>
          <t>0054402730423</t>
        </is>
      </c>
      <c r="B14439" t="inlineStr">
        <is>
          <t>Australian Gold SPF 15 Spray Gel with Bronzer Sunscreen 100ml</t>
        </is>
      </c>
      <c r="C14439" t="inlineStr">
        <is>
          <t>Body Sun Protection</t>
        </is>
      </c>
      <c r="D14439" t="inlineStr">
        <is>
          <t>Australian Gold</t>
        </is>
      </c>
      <c r="E14439" t="n">
        <v>8.01</v>
      </c>
      <c r="F14439" t="n">
        <v>1</v>
      </c>
      <c r="G14439" t="n">
        <v>16</v>
      </c>
      <c r="H14439" s="5">
        <f>HYPERLINK("https://api.qogita.com/variants/link/0054402730423/", "View Product")</f>
        <v/>
      </c>
    </row>
    <row r="14440">
      <c r="A14440" t="inlineStr">
        <is>
          <t>0073930568964</t>
        </is>
      </c>
      <c r="B14440" t="inlineStr">
        <is>
          <t>Duo Brush On Striplash Adhesive Dark Tone 0.18oz 5g</t>
        </is>
      </c>
      <c r="C14440" t="inlineStr">
        <is>
          <t>False Eyelashes</t>
        </is>
      </c>
      <c r="D14440" t="inlineStr">
        <is>
          <t>Duo</t>
        </is>
      </c>
      <c r="E14440" t="n">
        <v>7.47</v>
      </c>
      <c r="F14440" t="n">
        <v>1</v>
      </c>
      <c r="G14440" t="n">
        <v>3</v>
      </c>
      <c r="H14440" s="5">
        <f>HYPERLINK("https://api.qogita.com/variants/link/0073930568964/", "View Product")</f>
        <v/>
      </c>
    </row>
    <row r="14441">
      <c r="A14441" t="inlineStr">
        <is>
          <t>0074170401288</t>
        </is>
      </c>
      <c r="B14441" t="inlineStr">
        <is>
          <t>Sally Hansen Salon Gel Polish Nail Cleanser Pads</t>
        </is>
      </c>
      <c r="C14441" t="inlineStr">
        <is>
          <t>Nail Care Sets</t>
        </is>
      </c>
      <c r="D14441" t="inlineStr">
        <is>
          <t>Sally Hansen</t>
        </is>
      </c>
      <c r="E14441" t="n">
        <v>5.25</v>
      </c>
      <c r="F14441" t="n">
        <v>1</v>
      </c>
      <c r="G14441" t="n">
        <v>7</v>
      </c>
      <c r="H14441" s="5">
        <f>HYPERLINK("https://api.qogita.com/variants/link/0074170401288/", "View Product")</f>
        <v/>
      </c>
    </row>
    <row r="14442">
      <c r="A14442" t="inlineStr">
        <is>
          <t>0074170461251</t>
        </is>
      </c>
      <c r="B14442" t="inlineStr">
        <is>
          <t>Sally Hansen Hard as Nails Xtreme Wear 11.8ml Nail Polish Knightime</t>
        </is>
      </c>
      <c r="C14442" t="inlineStr">
        <is>
          <t>Nail Polish</t>
        </is>
      </c>
      <c r="D14442" t="inlineStr">
        <is>
          <t>Sally Hansen</t>
        </is>
      </c>
      <c r="E14442" t="n">
        <v>1.53</v>
      </c>
      <c r="F14442" t="n">
        <v>1</v>
      </c>
      <c r="G14442" t="n">
        <v>7</v>
      </c>
      <c r="H14442" s="5">
        <f>HYPERLINK("https://api.qogita.com/variants/link/0074170461251/", "View Product")</f>
        <v/>
      </c>
    </row>
    <row r="14443">
      <c r="A14443" t="inlineStr">
        <is>
          <t>0074469509176</t>
        </is>
      </c>
      <c r="B14443" t="inlineStr">
        <is>
          <t>Joico Defy Damage Protective Masque 150ml</t>
        </is>
      </c>
      <c r="C14443" t="inlineStr">
        <is>
          <t>Hair Masks</t>
        </is>
      </c>
      <c r="D14443" t="inlineStr">
        <is>
          <t>Joico</t>
        </is>
      </c>
      <c r="E14443" t="n">
        <v>13.36</v>
      </c>
      <c r="F14443" t="n">
        <v>1</v>
      </c>
      <c r="G14443" t="n">
        <v>13</v>
      </c>
      <c r="H14443" s="5">
        <f>HYPERLINK("https://api.qogita.com/variants/link/0074469509176/", "View Product")</f>
        <v/>
      </c>
    </row>
    <row r="14444">
      <c r="A14444" t="inlineStr">
        <is>
          <t>0074469509237</t>
        </is>
      </c>
      <c r="B14444" t="inlineStr">
        <is>
          <t>Joico Defy Damage Protective Shampoo 300ml</t>
        </is>
      </c>
      <c r="C14444" t="inlineStr">
        <is>
          <t>Shampoo</t>
        </is>
      </c>
      <c r="D14444" t="inlineStr">
        <is>
          <t>Joico</t>
        </is>
      </c>
      <c r="E14444" t="n">
        <v>10.74</v>
      </c>
      <c r="F14444" t="n">
        <v>1</v>
      </c>
      <c r="G14444" t="n">
        <v>2</v>
      </c>
      <c r="H14444" s="5">
        <f>HYPERLINK("https://api.qogita.com/variants/link/0074469509237/", "View Product")</f>
        <v/>
      </c>
    </row>
    <row r="14445">
      <c r="A14445" t="inlineStr">
        <is>
          <t>0074469509527</t>
        </is>
      </c>
      <c r="B14445" t="inlineStr">
        <is>
          <t>Joico Defy Damage Protective Shield 3.38oz Treatment for Unisex 100ml</t>
        </is>
      </c>
      <c r="C14445" t="inlineStr">
        <is>
          <t>Uv Protection</t>
        </is>
      </c>
      <c r="D14445" t="inlineStr">
        <is>
          <t>Joico</t>
        </is>
      </c>
      <c r="E14445" t="n">
        <v>11.84</v>
      </c>
      <c r="F14445" t="n">
        <v>1</v>
      </c>
      <c r="G14445" t="n">
        <v>13</v>
      </c>
      <c r="H14445" s="5">
        <f>HYPERLINK("https://api.qogita.com/variants/link/0074469509527/", "View Product")</f>
        <v/>
      </c>
    </row>
    <row r="14446">
      <c r="A14446" t="inlineStr">
        <is>
          <t>0074469512343</t>
        </is>
      </c>
      <c r="B14446" t="inlineStr">
        <is>
          <t>Joico Joifull Volumizing Shampoo 1000ml</t>
        </is>
      </c>
      <c r="C14446" t="inlineStr">
        <is>
          <t>Shampoo</t>
        </is>
      </c>
      <c r="D14446" t="inlineStr">
        <is>
          <t>Joico</t>
        </is>
      </c>
      <c r="E14446" t="n">
        <v>22.71</v>
      </c>
      <c r="F14446" t="n">
        <v>1</v>
      </c>
      <c r="G14446" t="n">
        <v>28</v>
      </c>
      <c r="H14446" s="5">
        <f>HYPERLINK("https://api.qogita.com/variants/link/0074469512343/", "View Product")</f>
        <v/>
      </c>
    </row>
    <row r="14447">
      <c r="A14447" t="inlineStr">
        <is>
          <t>0074469513296</t>
        </is>
      </c>
      <c r="B14447" t="inlineStr">
        <is>
          <t>Joico Blonde Life Brightening Shampoo 300ml</t>
        </is>
      </c>
      <c r="C14447" t="inlineStr">
        <is>
          <t>Shampoo</t>
        </is>
      </c>
      <c r="D14447" t="inlineStr">
        <is>
          <t>Joico</t>
        </is>
      </c>
      <c r="E14447" t="n">
        <v>11.3</v>
      </c>
      <c r="F14447" t="n">
        <v>1</v>
      </c>
      <c r="G14447" t="n">
        <v>83</v>
      </c>
      <c r="H14447" s="5">
        <f>HYPERLINK("https://api.qogita.com/variants/link/0074469513296/", "View Product")</f>
        <v/>
      </c>
    </row>
    <row r="14448">
      <c r="A14448" t="inlineStr">
        <is>
          <t>0074469513340</t>
        </is>
      </c>
      <c r="B14448" t="inlineStr">
        <is>
          <t>Joico Blonde Life Violet Shampoo 300ml</t>
        </is>
      </c>
      <c r="C14448" t="inlineStr">
        <is>
          <t>Shampoo</t>
        </is>
      </c>
      <c r="D14448" t="inlineStr">
        <is>
          <t>Joico</t>
        </is>
      </c>
      <c r="E14448" t="n">
        <v>11.32</v>
      </c>
      <c r="F14448" t="n">
        <v>1</v>
      </c>
      <c r="G14448" t="n">
        <v>29</v>
      </c>
      <c r="H14448" s="5">
        <f>HYPERLINK("https://api.qogita.com/variants/link/0074469513340/", "View Product")</f>
        <v/>
      </c>
    </row>
    <row r="14449">
      <c r="A14449" t="inlineStr">
        <is>
          <t>0074469513357</t>
        </is>
      </c>
      <c r="B14449" t="inlineStr">
        <is>
          <t>Joico Blonde Life by Violet Conditioner 250ml</t>
        </is>
      </c>
      <c r="C14449" t="inlineStr">
        <is>
          <t>Conditioner</t>
        </is>
      </c>
      <c r="D14449" t="inlineStr">
        <is>
          <t>Joico</t>
        </is>
      </c>
      <c r="E14449" t="n">
        <v>10.7</v>
      </c>
      <c r="F14449" t="n">
        <v>1</v>
      </c>
      <c r="G14449" t="n">
        <v>19</v>
      </c>
      <c r="H14449" s="5">
        <f>HYPERLINK("https://api.qogita.com/variants/link/0074469513357/", "View Product")</f>
        <v/>
      </c>
    </row>
    <row r="14450">
      <c r="A14450" t="inlineStr">
        <is>
          <t>0074469513364</t>
        </is>
      </c>
      <c r="B14450" t="inlineStr">
        <is>
          <t>Joico Blonde Life Violet Shampoo 1000ml</t>
        </is>
      </c>
      <c r="C14450" t="inlineStr">
        <is>
          <t>Shampoo</t>
        </is>
      </c>
      <c r="D14450" t="inlineStr">
        <is>
          <t>Joico</t>
        </is>
      </c>
      <c r="E14450" t="n">
        <v>29.82</v>
      </c>
      <c r="F14450" t="n">
        <v>1</v>
      </c>
      <c r="G14450" t="n">
        <v>7</v>
      </c>
      <c r="H14450" s="5">
        <f>HYPERLINK("https://api.qogita.com/variants/link/0074469513364/", "View Product")</f>
        <v/>
      </c>
    </row>
    <row r="14451">
      <c r="A14451" t="inlineStr">
        <is>
          <t>0074469513449</t>
        </is>
      </c>
      <c r="B14451" t="inlineStr">
        <is>
          <t>Joico Hydrasplash Hydrating Shampoo 300ml</t>
        </is>
      </c>
      <c r="C14451" t="inlineStr">
        <is>
          <t>Shampoo</t>
        </is>
      </c>
      <c r="D14451" t="inlineStr">
        <is>
          <t>Joico</t>
        </is>
      </c>
      <c r="E14451" t="n">
        <v>10.55</v>
      </c>
      <c r="F14451" t="n">
        <v>1</v>
      </c>
      <c r="G14451" t="n">
        <v>46</v>
      </c>
      <c r="H14451" s="5">
        <f>HYPERLINK("https://api.qogita.com/variants/link/0074469513449/", "View Product")</f>
        <v/>
      </c>
    </row>
    <row r="14452">
      <c r="A14452" t="inlineStr">
        <is>
          <t>0074469513999</t>
        </is>
      </c>
      <c r="B14452" t="inlineStr">
        <is>
          <t>Joico Moisture Recovery Treatment Balm 500ml</t>
        </is>
      </c>
      <c r="C14452" t="inlineStr">
        <is>
          <t>Hair Masks</t>
        </is>
      </c>
      <c r="D14452" t="inlineStr">
        <is>
          <t>Joico</t>
        </is>
      </c>
      <c r="E14452" t="n">
        <v>27.39</v>
      </c>
      <c r="F14452" t="n">
        <v>1</v>
      </c>
      <c r="G14452" t="n">
        <v>8</v>
      </c>
      <c r="H14452" s="5">
        <f>HYPERLINK("https://api.qogita.com/variants/link/0074469513999/", "View Product")</f>
        <v/>
      </c>
    </row>
    <row r="14453">
      <c r="A14453" t="inlineStr">
        <is>
          <t>0074469516624</t>
        </is>
      </c>
      <c r="B14453" t="inlineStr">
        <is>
          <t>Joico K-Pak Color Therapy Luster Lock Treatment 8.5oz Red</t>
        </is>
      </c>
      <c r="C14453" t="inlineStr">
        <is>
          <t>Hair Masks</t>
        </is>
      </c>
      <c r="D14453" t="inlineStr">
        <is>
          <t>Joico</t>
        </is>
      </c>
      <c r="E14453" t="n">
        <v>11.68</v>
      </c>
      <c r="F14453" t="n">
        <v>1</v>
      </c>
      <c r="G14453" t="n">
        <v>6</v>
      </c>
      <c r="H14453" s="5">
        <f>HYPERLINK("https://api.qogita.com/variants/link/0074469516624/", "View Product")</f>
        <v/>
      </c>
    </row>
    <row r="14454">
      <c r="A14454" t="inlineStr">
        <is>
          <t>0074469517157</t>
        </is>
      </c>
      <c r="B14454" t="inlineStr">
        <is>
          <t>K-Pak hair regenerating conditioner 250ml</t>
        </is>
      </c>
      <c r="C14454" t="inlineStr">
        <is>
          <t>Conditioner</t>
        </is>
      </c>
      <c r="D14454" t="inlineStr">
        <is>
          <t>Joico</t>
        </is>
      </c>
      <c r="E14454" t="n">
        <v>10.16</v>
      </c>
      <c r="F14454" t="n">
        <v>1</v>
      </c>
      <c r="G14454" t="n">
        <v>10</v>
      </c>
      <c r="H14454" s="5">
        <f>HYPERLINK("https://api.qogita.com/variants/link/0074469517157/", "View Product")</f>
        <v/>
      </c>
    </row>
    <row r="14455">
      <c r="A14455" t="inlineStr">
        <is>
          <t>0074469517577</t>
        </is>
      </c>
      <c r="B14455" t="inlineStr">
        <is>
          <t>Joico K-Pak Reconstructing Shampoo to Repair Damage 1000ml</t>
        </is>
      </c>
      <c r="C14455" t="inlineStr">
        <is>
          <t>Shampoo</t>
        </is>
      </c>
      <c r="D14455" t="inlineStr">
        <is>
          <t>Joico</t>
        </is>
      </c>
      <c r="E14455" t="n">
        <v>26.21</v>
      </c>
      <c r="F14455" t="n">
        <v>1</v>
      </c>
      <c r="G14455" t="n">
        <v>17</v>
      </c>
      <c r="H14455" s="5">
        <f>HYPERLINK("https://api.qogita.com/variants/link/0074469517577/", "View Product")</f>
        <v/>
      </c>
    </row>
    <row r="14456">
      <c r="A14456" t="inlineStr">
        <is>
          <t>0074469519656</t>
        </is>
      </c>
      <c r="B14456" t="inlineStr">
        <is>
          <t>Joico Defy Damage SleepOver Overnight Treatment 100ml Nourishing Night Treatment</t>
        </is>
      </c>
      <c r="C14456" t="inlineStr">
        <is>
          <t>Hair Masks</t>
        </is>
      </c>
      <c r="D14456" t="inlineStr">
        <is>
          <t>Joico</t>
        </is>
      </c>
      <c r="E14456" t="n">
        <v>13.45</v>
      </c>
      <c r="F14456" t="n">
        <v>1</v>
      </c>
      <c r="G14456" t="n">
        <v>5</v>
      </c>
      <c r="H14456" s="5">
        <f>HYPERLINK("https://api.qogita.com/variants/link/0074469519656/", "View Product")</f>
        <v/>
      </c>
    </row>
    <row r="14457">
      <c r="A14457" t="inlineStr">
        <is>
          <t>0074469523226</t>
        </is>
      </c>
      <c r="B14457" t="inlineStr">
        <is>
          <t>Joico Hair Care Products</t>
        </is>
      </c>
      <c r="C14457" t="inlineStr">
        <is>
          <t>Hair Care Sets</t>
        </is>
      </c>
      <c r="D14457" t="inlineStr">
        <is>
          <t>Joico</t>
        </is>
      </c>
      <c r="E14457" t="n">
        <v>13.78</v>
      </c>
      <c r="F14457" t="n">
        <v>1</v>
      </c>
      <c r="G14457" t="n">
        <v>8</v>
      </c>
      <c r="H14457" s="5">
        <f>HYPERLINK("https://api.qogita.com/variants/link/0074469523226/", "View Product")</f>
        <v/>
      </c>
    </row>
    <row r="14458">
      <c r="A14458" t="inlineStr">
        <is>
          <t>0074469523233</t>
        </is>
      </c>
      <c r="B14458" t="inlineStr">
        <is>
          <t>Joico JoiMist Medium Spray 9 oz</t>
        </is>
      </c>
      <c r="C14458" t="inlineStr">
        <is>
          <t>Hairspray</t>
        </is>
      </c>
      <c r="D14458" t="inlineStr">
        <is>
          <t>Joico</t>
        </is>
      </c>
      <c r="E14458" t="n">
        <v>13.78</v>
      </c>
      <c r="F14458" t="n">
        <v>1</v>
      </c>
      <c r="G14458" t="n">
        <v>10</v>
      </c>
      <c r="H14458" s="5">
        <f>HYPERLINK("https://api.qogita.com/variants/link/0074469523233/", "View Product")</f>
        <v/>
      </c>
    </row>
    <row r="14459">
      <c r="A14459" t="inlineStr">
        <is>
          <t>0074469524025</t>
        </is>
      </c>
      <c r="B14459" t="inlineStr">
        <is>
          <t>Joico YouthLock Treatment Masque with Collagen 5.1 fl oz</t>
        </is>
      </c>
      <c r="C14459" t="inlineStr">
        <is>
          <t>Hair Masks</t>
        </is>
      </c>
      <c r="D14459" t="inlineStr">
        <is>
          <t>Joico</t>
        </is>
      </c>
      <c r="E14459" t="n">
        <v>15.52</v>
      </c>
      <c r="F14459" t="n">
        <v>1</v>
      </c>
      <c r="G14459" t="n">
        <v>34</v>
      </c>
      <c r="H14459" s="5">
        <f>HYPERLINK("https://api.qogita.com/variants/link/0074469524025/", "View Product")</f>
        <v/>
      </c>
    </row>
    <row r="14460">
      <c r="A14460" t="inlineStr">
        <is>
          <t>0074469531436</t>
        </is>
      </c>
      <c r="B14460" t="inlineStr">
        <is>
          <t>Joico Curl Confidence Defining Crème for Curly Hair 6 Fl Oz</t>
        </is>
      </c>
      <c r="C14460" t="inlineStr">
        <is>
          <t>Conditioner</t>
        </is>
      </c>
      <c r="D14460" t="inlineStr">
        <is>
          <t>Joico</t>
        </is>
      </c>
      <c r="E14460" t="n">
        <v>13.54</v>
      </c>
      <c r="F14460" t="n">
        <v>1</v>
      </c>
      <c r="G14460" t="n">
        <v>45</v>
      </c>
      <c r="H14460" s="5">
        <f>HYPERLINK("https://api.qogita.com/variants/link/0074469531436/", "View Product")</f>
        <v/>
      </c>
    </row>
    <row r="14461">
      <c r="A14461" t="inlineStr">
        <is>
          <t>0074469532167</t>
        </is>
      </c>
      <c r="B14461" t="inlineStr">
        <is>
          <t>Colorful Anti Fade Conditioner by Joico for Unisex 8.5 oz</t>
        </is>
      </c>
      <c r="C14461" t="inlineStr">
        <is>
          <t>Conditioner</t>
        </is>
      </c>
      <c r="D14461" t="inlineStr">
        <is>
          <t>Joico</t>
        </is>
      </c>
      <c r="E14461" t="n">
        <v>11.07</v>
      </c>
      <c r="F14461" t="n">
        <v>1</v>
      </c>
      <c r="G14461" t="n">
        <v>3</v>
      </c>
      <c r="H14461" s="5">
        <f>HYPERLINK("https://api.qogita.com/variants/link/0074469532167/", "View Product")</f>
        <v/>
      </c>
    </row>
    <row r="14462">
      <c r="A14462" t="inlineStr">
        <is>
          <t>0074764301314</t>
        </is>
      </c>
      <c r="B14462" t="inlineStr">
        <is>
          <t>Ostatni Glue Eyelashes</t>
        </is>
      </c>
      <c r="C14462" t="inlineStr">
        <is>
          <t>False Eyelashes</t>
        </is>
      </c>
      <c r="D14462" t="inlineStr">
        <is>
          <t>Ardell</t>
        </is>
      </c>
      <c r="E14462" t="n">
        <v>3.56</v>
      </c>
      <c r="F14462" t="n">
        <v>1</v>
      </c>
      <c r="G14462" t="n">
        <v>5</v>
      </c>
      <c r="H14462" s="5">
        <f>HYPERLINK("https://api.qogita.com/variants/link/0074764301314/", "View Product")</f>
        <v/>
      </c>
    </row>
    <row r="14463">
      <c r="A14463" t="inlineStr">
        <is>
          <t>0074764302106</t>
        </is>
      </c>
      <c r="B14463" t="inlineStr">
        <is>
          <t>Ardell Dural Ash Individual Flare Medium Eyelashes Black</t>
        </is>
      </c>
      <c r="C14463" t="inlineStr">
        <is>
          <t>False Eyelashes</t>
        </is>
      </c>
      <c r="D14463" t="inlineStr">
        <is>
          <t>Ardell</t>
        </is>
      </c>
      <c r="E14463" t="n">
        <v>3.56</v>
      </c>
      <c r="F14463" t="n">
        <v>1</v>
      </c>
      <c r="G14463" t="n">
        <v>3</v>
      </c>
      <c r="H14463" s="5">
        <f>HYPERLINK("https://api.qogita.com/variants/link/0074764302106/", "View Product")</f>
        <v/>
      </c>
    </row>
    <row r="14464">
      <c r="A14464" t="inlineStr">
        <is>
          <t>0074764303103</t>
        </is>
      </c>
      <c r="B14464" t="inlineStr">
        <is>
          <t>Ardell Individuals Long Original Black Lashes 56 Pieces</t>
        </is>
      </c>
      <c r="C14464" t="inlineStr">
        <is>
          <t>False Eyelashes</t>
        </is>
      </c>
      <c r="D14464" t="inlineStr">
        <is>
          <t>Ardell</t>
        </is>
      </c>
      <c r="E14464" t="n">
        <v>3.56</v>
      </c>
      <c r="F14464" t="n">
        <v>1</v>
      </c>
      <c r="G14464" t="n">
        <v>3</v>
      </c>
      <c r="H14464" s="5">
        <f>HYPERLINK("https://api.qogita.com/variants/link/0074764303103/", "View Product")</f>
        <v/>
      </c>
    </row>
    <row r="14465">
      <c r="A14465" t="inlineStr">
        <is>
          <t>0074764322531</t>
        </is>
      </c>
      <c r="B14465" t="inlineStr">
        <is>
          <t>Ardell Seamless Underlash Remover By DUO Gentle and Effective Lash Extension Adhesive Dissolver No-Drip Formula 5g</t>
        </is>
      </c>
      <c r="C14465" t="inlineStr">
        <is>
          <t>Eye Makeup Remover</t>
        </is>
      </c>
      <c r="D14465" t="inlineStr">
        <is>
          <t>Ardell</t>
        </is>
      </c>
      <c r="E14465" t="n">
        <v>5.34</v>
      </c>
      <c r="F14465" t="n">
        <v>1</v>
      </c>
      <c r="G14465" t="n">
        <v>3</v>
      </c>
      <c r="H14465" s="5">
        <f>HYPERLINK("https://api.qogita.com/variants/link/0074764322531/", "View Product")</f>
        <v/>
      </c>
    </row>
    <row r="14466">
      <c r="A14466" t="inlineStr">
        <is>
          <t>0074764368546</t>
        </is>
      </c>
      <c r="B14466" t="inlineStr">
        <is>
          <t>ARDELL Professional Magnetic Gel Liner Black Vegan 3g Gel Lash Liner with Brush Applicator</t>
        </is>
      </c>
      <c r="C14466" t="inlineStr">
        <is>
          <t>Eyeliner</t>
        </is>
      </c>
      <c r="D14466" t="inlineStr">
        <is>
          <t>Ardell</t>
        </is>
      </c>
      <c r="E14466" t="n">
        <v>8.77</v>
      </c>
      <c r="F14466" t="n">
        <v>1</v>
      </c>
      <c r="G14466" t="n">
        <v>1</v>
      </c>
      <c r="H14466" s="5">
        <f>HYPERLINK("https://api.qogita.com/variants/link/0074764368546/", "View Product")</f>
        <v/>
      </c>
    </row>
    <row r="14467">
      <c r="A14467" t="inlineStr">
        <is>
          <t>0074764619938</t>
        </is>
      </c>
      <c r="B14467" t="inlineStr">
        <is>
          <t>Ardell Studio Effects Demi Wispies False Eyelashes - Black</t>
        </is>
      </c>
      <c r="C14467" t="inlineStr">
        <is>
          <t>False Eyelashes</t>
        </is>
      </c>
      <c r="D14467" t="inlineStr">
        <is>
          <t>Ardell</t>
        </is>
      </c>
      <c r="E14467" t="n">
        <v>5.34</v>
      </c>
      <c r="F14467" t="n">
        <v>1</v>
      </c>
      <c r="G14467" t="n">
        <v>2</v>
      </c>
      <c r="H14467" s="5">
        <f>HYPERLINK("https://api.qogita.com/variants/link/0074764619938/", "View Product")</f>
        <v/>
      </c>
    </row>
    <row r="14468">
      <c r="A14468" t="inlineStr">
        <is>
          <t>0074764641700</t>
        </is>
      </c>
      <c r="B14468" t="inlineStr">
        <is>
          <t>ARDELL Light As Air 521 False Eyelashes with Bonus DUO Adhesive 1g Clear</t>
        </is>
      </c>
      <c r="C14468" t="inlineStr">
        <is>
          <t>False Eyelashes</t>
        </is>
      </c>
      <c r="D14468" t="inlineStr">
        <is>
          <t>Ardell</t>
        </is>
      </c>
      <c r="E14468" t="n">
        <v>4.57</v>
      </c>
      <c r="F14468" t="n">
        <v>1</v>
      </c>
      <c r="G14468" t="n">
        <v>3</v>
      </c>
      <c r="H14468" s="5">
        <f>HYPERLINK("https://api.qogita.com/variants/link/0074764641700/", "View Product")</f>
        <v/>
      </c>
    </row>
    <row r="14469">
      <c r="A14469" t="inlineStr">
        <is>
          <t>0074764650528</t>
        </is>
      </c>
      <c r="B14469" t="inlineStr">
        <is>
          <t>Ardell Individual Lashes Medium Black</t>
        </is>
      </c>
      <c r="C14469" t="inlineStr">
        <is>
          <t>False Eyelashes</t>
        </is>
      </c>
      <c r="D14469" t="inlineStr">
        <is>
          <t>Ardell</t>
        </is>
      </c>
      <c r="E14469" t="n">
        <v>3.56</v>
      </c>
      <c r="F14469" t="n">
        <v>1</v>
      </c>
      <c r="G14469" t="n">
        <v>2</v>
      </c>
      <c r="H14469" s="5">
        <f>HYPERLINK("https://api.qogita.com/variants/link/0074764650528/", "View Product")</f>
        <v/>
      </c>
    </row>
    <row r="14470">
      <c r="A14470" t="inlineStr">
        <is>
          <t>0074764652386</t>
        </is>
      </c>
      <c r="B14470" t="inlineStr">
        <is>
          <t>ARDELL Artificial Eyelashes 10g</t>
        </is>
      </c>
      <c r="C14470" t="inlineStr">
        <is>
          <t>False Eyelashes</t>
        </is>
      </c>
      <c r="D14470" t="inlineStr">
        <is>
          <t>Ardell</t>
        </is>
      </c>
      <c r="E14470" t="n">
        <v>2.86</v>
      </c>
      <c r="F14470" t="n">
        <v>1</v>
      </c>
      <c r="G14470" t="n">
        <v>5</v>
      </c>
      <c r="H14470" s="5">
        <f>HYPERLINK("https://api.qogita.com/variants/link/0074764652386/", "View Product")</f>
        <v/>
      </c>
    </row>
    <row r="14471">
      <c r="A14471" t="inlineStr">
        <is>
          <t>0074764663092</t>
        </is>
      </c>
      <c r="B14471" t="inlineStr">
        <is>
          <t>ARDELL Faux Mink 811 False Eyelashes Black 25g</t>
        </is>
      </c>
      <c r="C14471" t="inlineStr">
        <is>
          <t>False Eyelashes</t>
        </is>
      </c>
      <c r="D14471" t="inlineStr">
        <is>
          <t>Ardell</t>
        </is>
      </c>
      <c r="E14471" t="n">
        <v>5.93</v>
      </c>
      <c r="F14471" t="n">
        <v>1</v>
      </c>
      <c r="G14471" t="n">
        <v>2</v>
      </c>
      <c r="H14471" s="5">
        <f>HYPERLINK("https://api.qogita.com/variants/link/0074764663092/", "View Product")</f>
        <v/>
      </c>
    </row>
    <row r="14472">
      <c r="A14472" t="inlineStr">
        <is>
          <t>0074764675064</t>
        </is>
      </c>
      <c r="B14472" t="inlineStr">
        <is>
          <t>ARDELL Faux Mink Demi Wispies Twin Pack</t>
        </is>
      </c>
      <c r="C14472" t="inlineStr">
        <is>
          <t>False Eyelashes</t>
        </is>
      </c>
      <c r="D14472" t="inlineStr">
        <is>
          <t>Ardell</t>
        </is>
      </c>
      <c r="E14472" t="n">
        <v>14.86</v>
      </c>
      <c r="F14472" t="n">
        <v>1</v>
      </c>
      <c r="G14472" t="n">
        <v>2</v>
      </c>
      <c r="H14472" s="5">
        <f>HYPERLINK("https://api.qogita.com/variants/link/0074764675064/", "View Product")</f>
        <v/>
      </c>
    </row>
    <row r="14473">
      <c r="A14473" t="inlineStr">
        <is>
          <t>0078729181997</t>
        </is>
      </c>
      <c r="B14473" t="inlineStr">
        <is>
          <t>Hot Tools Professional Black Gold Curlbar Curling Iron 25mm</t>
        </is>
      </c>
      <c r="C14473" t="inlineStr">
        <is>
          <t>Curling Irons</t>
        </is>
      </c>
      <c r="D14473" t="inlineStr">
        <is>
          <t>Hot Tools</t>
        </is>
      </c>
      <c r="E14473" t="n">
        <v>125.1</v>
      </c>
      <c r="F14473" t="n">
        <v>1</v>
      </c>
      <c r="G14473" t="n">
        <v>2</v>
      </c>
      <c r="H14473" s="5">
        <f>HYPERLINK("https://api.qogita.com/variants/link/0078729181997/", "View Product")</f>
        <v/>
      </c>
    </row>
    <row r="14474">
      <c r="A14474" t="inlineStr">
        <is>
          <t>0079625014075</t>
        </is>
      </c>
      <c r="B14474" t="inlineStr">
        <is>
          <t>Real Techniques Facial Makeup Brush 13ml</t>
        </is>
      </c>
      <c r="C14474" t="inlineStr">
        <is>
          <t>Foundation Brushes</t>
        </is>
      </c>
      <c r="D14474" t="inlineStr">
        <is>
          <t>Real Techniques</t>
        </is>
      </c>
      <c r="E14474" t="n">
        <v>7.18</v>
      </c>
      <c r="F14474" t="n">
        <v>1</v>
      </c>
      <c r="G14474" t="n">
        <v>5</v>
      </c>
      <c r="H14474" s="5">
        <f>HYPERLINK("https://api.qogita.com/variants/link/0079625014075/", "View Product")</f>
        <v/>
      </c>
    </row>
    <row r="14475">
      <c r="A14475" t="inlineStr">
        <is>
          <t>0079625014112</t>
        </is>
      </c>
      <c r="B14475" t="inlineStr">
        <is>
          <t>Real Techniques Expert Face Makeup Brush for Foundation</t>
        </is>
      </c>
      <c r="C14475" t="inlineStr">
        <is>
          <t>Foundation Brushes</t>
        </is>
      </c>
      <c r="D14475" t="inlineStr">
        <is>
          <t>Real Techniques</t>
        </is>
      </c>
      <c r="E14475" t="n">
        <v>10.33</v>
      </c>
      <c r="F14475" t="n">
        <v>1</v>
      </c>
      <c r="G14475" t="n">
        <v>4</v>
      </c>
      <c r="H14475" s="5">
        <f>HYPERLINK("https://api.qogita.com/variants/link/0079625014112/", "View Product")</f>
        <v/>
      </c>
    </row>
    <row r="14476">
      <c r="A14476" t="inlineStr">
        <is>
          <t>0079625014914</t>
        </is>
      </c>
      <c r="B14476" t="inlineStr">
        <is>
          <t>Real Techniques Dual-Sided Expert Sponge</t>
        </is>
      </c>
      <c r="C14476" t="inlineStr">
        <is>
          <t>Makeup Sponges</t>
        </is>
      </c>
      <c r="D14476" t="inlineStr">
        <is>
          <t>Real Techniques</t>
        </is>
      </c>
      <c r="E14476" t="n">
        <v>6.66</v>
      </c>
      <c r="F14476" t="n">
        <v>1</v>
      </c>
      <c r="G14476" t="n">
        <v>3</v>
      </c>
      <c r="H14476" s="5">
        <f>HYPERLINK("https://api.qogita.com/variants/link/0079625014914/", "View Product")</f>
        <v/>
      </c>
    </row>
    <row r="14477">
      <c r="A14477" t="inlineStr">
        <is>
          <t>0079625017045</t>
        </is>
      </c>
      <c r="B14477" t="inlineStr">
        <is>
          <t>Real Techniques Mini Travel Size Multitask Makeup Brush for Blush, Bronzer or Highlighter</t>
        </is>
      </c>
      <c r="C14477" t="inlineStr">
        <is>
          <t>Blush Brushes</t>
        </is>
      </c>
      <c r="D14477" t="inlineStr">
        <is>
          <t>Real Techniques</t>
        </is>
      </c>
      <c r="E14477" t="n">
        <v>4.42</v>
      </c>
      <c r="F14477" t="n">
        <v>1</v>
      </c>
      <c r="G14477" t="n">
        <v>20</v>
      </c>
      <c r="H14477" s="5">
        <f>HYPERLINK("https://api.qogita.com/variants/link/0079625017045/", "View Product")</f>
        <v/>
      </c>
    </row>
    <row r="14478">
      <c r="A14478" t="inlineStr">
        <is>
          <t>0079625017113</t>
        </is>
      </c>
      <c r="B14478" t="inlineStr">
        <is>
          <t>Real Techniques Miracle Complexion Makeup Sponge with Travel Case</t>
        </is>
      </c>
      <c r="C14478" t="inlineStr">
        <is>
          <t>Makeup Sponges</t>
        </is>
      </c>
      <c r="D14478" t="inlineStr">
        <is>
          <t>Real Techniques</t>
        </is>
      </c>
      <c r="E14478" t="n">
        <v>8.34</v>
      </c>
      <c r="F14478" t="n">
        <v>1</v>
      </c>
      <c r="G14478" t="n">
        <v>5</v>
      </c>
      <c r="H14478" s="5">
        <f>HYPERLINK("https://api.qogita.com/variants/link/0079625017113/", "View Product")</f>
        <v/>
      </c>
    </row>
    <row r="14479">
      <c r="A14479" t="inlineStr">
        <is>
          <t>0079625018554</t>
        </is>
      </c>
      <c r="B14479" t="inlineStr">
        <is>
          <t>Real Techniques Face Makeup Blender Brush Multi-Coloured</t>
        </is>
      </c>
      <c r="C14479" t="inlineStr">
        <is>
          <t>Foundation Brushes</t>
        </is>
      </c>
      <c r="D14479" t="inlineStr">
        <is>
          <t>Real Techniques</t>
        </is>
      </c>
      <c r="E14479" t="n">
        <v>8.619999999999999</v>
      </c>
      <c r="F14479" t="n">
        <v>1</v>
      </c>
      <c r="G14479" t="n">
        <v>11</v>
      </c>
      <c r="H14479" s="5">
        <f>HYPERLINK("https://api.qogita.com/variants/link/0079625018554/", "View Product")</f>
        <v/>
      </c>
    </row>
    <row r="14480">
      <c r="A14480" t="inlineStr">
        <is>
          <t>0079625019575</t>
        </is>
      </c>
      <c r="B14480" t="inlineStr">
        <is>
          <t>Real Techniques Light Layer Face Brush for Foundation and Powder</t>
        </is>
      </c>
      <c r="C14480" t="inlineStr">
        <is>
          <t>Foundation Brushes</t>
        </is>
      </c>
      <c r="D14480" t="inlineStr">
        <is>
          <t>Real Techniques</t>
        </is>
      </c>
      <c r="E14480" t="n">
        <v>7.69</v>
      </c>
      <c r="F14480" t="n">
        <v>1</v>
      </c>
      <c r="G14480" t="n">
        <v>19</v>
      </c>
      <c r="H14480" s="5">
        <f>HYPERLINK("https://api.qogita.com/variants/link/0079625019575/", "View Product")</f>
        <v/>
      </c>
    </row>
    <row r="14481">
      <c r="A14481" t="inlineStr">
        <is>
          <t>0079625019940</t>
        </is>
      </c>
      <c r="B14481" t="inlineStr">
        <is>
          <t>Real Techniques New Foam Technology Miracle Powder Sponge for Even Powder</t>
        </is>
      </c>
      <c r="C14481" t="inlineStr">
        <is>
          <t>Makeup Sponges</t>
        </is>
      </c>
      <c r="D14481" t="inlineStr">
        <is>
          <t>Real Techniques</t>
        </is>
      </c>
      <c r="E14481" t="n">
        <v>6.22</v>
      </c>
      <c r="F14481" t="n">
        <v>1</v>
      </c>
      <c r="G14481" t="n">
        <v>20</v>
      </c>
      <c r="H14481" s="5">
        <f>HYPERLINK("https://api.qogita.com/variants/link/0079625019940/", "View Product")</f>
        <v/>
      </c>
    </row>
    <row r="14482">
      <c r="A14482" t="inlineStr">
        <is>
          <t>0079625040548</t>
        </is>
      </c>
      <c r="B14482" t="inlineStr">
        <is>
          <t>REAL TECHNIQUES Seamless Complexion Makeup Brush for Liquid and Cream Foundations and Brightening Concealer Makeup Brush</t>
        </is>
      </c>
      <c r="C14482" t="inlineStr">
        <is>
          <t>Foundation Brushes</t>
        </is>
      </c>
      <c r="D14482" t="inlineStr">
        <is>
          <t>Real Techniques</t>
        </is>
      </c>
      <c r="E14482" t="n">
        <v>6.75</v>
      </c>
      <c r="F14482" t="n">
        <v>1</v>
      </c>
      <c r="G14482" t="n">
        <v>8</v>
      </c>
      <c r="H14482" s="5">
        <f>HYPERLINK("https://api.qogita.com/variants/link/0079625040548/", "View Product")</f>
        <v/>
      </c>
    </row>
    <row r="14483">
      <c r="A14483" t="inlineStr">
        <is>
          <t>0079625042443</t>
        </is>
      </c>
      <c r="B14483" t="inlineStr">
        <is>
          <t>Real Techniques Sponge+ Beauty Makeup Blenders for Facial Cleansing and Toner</t>
        </is>
      </c>
      <c r="C14483" t="inlineStr">
        <is>
          <t>Facial Cleansing Tools</t>
        </is>
      </c>
      <c r="D14483" t="inlineStr">
        <is>
          <t>Real Techniques</t>
        </is>
      </c>
      <c r="E14483" t="n">
        <v>11.54</v>
      </c>
      <c r="F14483" t="n">
        <v>1</v>
      </c>
      <c r="G14483" t="n">
        <v>7</v>
      </c>
      <c r="H14483" s="5">
        <f>HYPERLINK("https://api.qogita.com/variants/link/0079625042443/", "View Product")</f>
        <v/>
      </c>
    </row>
    <row r="14484">
      <c r="A14484" t="inlineStr">
        <is>
          <t>0079625042658</t>
        </is>
      </c>
      <c r="B14484" t="inlineStr">
        <is>
          <t>Real Techniques The Wanderer Makeup Brush Set Premium and Professional Soft Bristles for Foundations Powders Concealers 9-Piece Set Gold</t>
        </is>
      </c>
      <c r="C14484" t="inlineStr">
        <is>
          <t>Brush Sets</t>
        </is>
      </c>
      <c r="D14484" t="inlineStr">
        <is>
          <t>Real Techniques</t>
        </is>
      </c>
      <c r="E14484" t="n">
        <v>17.85</v>
      </c>
      <c r="F14484" t="n">
        <v>1</v>
      </c>
      <c r="G14484" t="n">
        <v>11</v>
      </c>
      <c r="H14484" s="5">
        <f>HYPERLINK("https://api.qogita.com/variants/link/0079625042658/", "View Product")</f>
        <v/>
      </c>
    </row>
    <row r="14485">
      <c r="A14485" t="inlineStr">
        <is>
          <t>0079625042719</t>
        </is>
      </c>
      <c r="B14485" t="inlineStr">
        <is>
          <t>Real Techniques Dual-Ended Primer Facial Skincare Brush and Stainless Steel Scoop</t>
        </is>
      </c>
      <c r="C14485" t="inlineStr">
        <is>
          <t>Facial Cleansing Tools</t>
        </is>
      </c>
      <c r="D14485" t="inlineStr">
        <is>
          <t>Real Techniques</t>
        </is>
      </c>
      <c r="E14485" t="n">
        <v>5.33</v>
      </c>
      <c r="F14485" t="n">
        <v>1</v>
      </c>
      <c r="G14485" t="n">
        <v>5</v>
      </c>
      <c r="H14485" s="5">
        <f>HYPERLINK("https://api.qogita.com/variants/link/0079625042719/", "View Product")</f>
        <v/>
      </c>
    </row>
    <row r="14486">
      <c r="A14486" t="inlineStr">
        <is>
          <t>0079625042887</t>
        </is>
      </c>
      <c r="B14486" t="inlineStr">
        <is>
          <t>Real Techniques Chroma Ready Set Blend Set</t>
        </is>
      </c>
      <c r="C14486" t="inlineStr">
        <is>
          <t>Brush Sets</t>
        </is>
      </c>
      <c r="D14486" t="inlineStr">
        <is>
          <t>Real Techniques</t>
        </is>
      </c>
      <c r="E14486" t="n">
        <v>13.41</v>
      </c>
      <c r="F14486" t="n">
        <v>1</v>
      </c>
      <c r="G14486" t="n">
        <v>3</v>
      </c>
      <c r="H14486" s="5">
        <f>HYPERLINK("https://api.qogita.com/variants/link/0079625042887/", "View Product")</f>
        <v/>
      </c>
    </row>
    <row r="14487">
      <c r="A14487" t="inlineStr">
        <is>
          <t>0079625042962</t>
        </is>
      </c>
      <c r="B14487" t="inlineStr">
        <is>
          <t>Neon Candy Collection Painted Liner + Brow Duo Eyeliner and Eyebrows Real Techniques</t>
        </is>
      </c>
      <c r="C14487" t="inlineStr">
        <is>
          <t>Eyeliner</t>
        </is>
      </c>
      <c r="D14487" t="inlineStr">
        <is>
          <t>Real Techniques</t>
        </is>
      </c>
      <c r="E14487" t="n">
        <v>6.49</v>
      </c>
      <c r="F14487" t="n">
        <v>1</v>
      </c>
      <c r="G14487" t="n">
        <v>6</v>
      </c>
      <c r="H14487" s="5">
        <f>HYPERLINK("https://api.qogita.com/variants/link/0079625042962/", "View Product")</f>
        <v/>
      </c>
    </row>
    <row r="14488">
      <c r="A14488" t="inlineStr">
        <is>
          <t>0079625043099</t>
        </is>
      </c>
      <c r="B14488" t="inlineStr">
        <is>
          <t>Real Techniques Eye Pads &amp; Applicator Set - Professional Makeup Tools</t>
        </is>
      </c>
      <c r="C14488" t="inlineStr">
        <is>
          <t>Applicators</t>
        </is>
      </c>
      <c r="D14488" t="inlineStr">
        <is>
          <t>Real Techniques</t>
        </is>
      </c>
      <c r="E14488" t="n">
        <v>7.58</v>
      </c>
      <c r="F14488" t="n">
        <v>1</v>
      </c>
      <c r="G14488" t="n">
        <v>8</v>
      </c>
      <c r="H14488" s="5">
        <f>HYPERLINK("https://api.qogita.com/variants/link/0079625043099/", "View Product")</f>
        <v/>
      </c>
    </row>
    <row r="14489">
      <c r="A14489" t="inlineStr">
        <is>
          <t>0079625438260</t>
        </is>
      </c>
      <c r="B14489" t="inlineStr">
        <is>
          <t>Miracle Complexion Sponge</t>
        </is>
      </c>
      <c r="C14489" t="inlineStr">
        <is>
          <t>Makeup Sponges</t>
        </is>
      </c>
      <c r="D14489" t="inlineStr">
        <is>
          <t>Real Techniques</t>
        </is>
      </c>
      <c r="E14489" t="n">
        <v>5.63</v>
      </c>
      <c r="F14489" t="n">
        <v>1</v>
      </c>
      <c r="G14489" t="n">
        <v>11</v>
      </c>
      <c r="H14489" s="5">
        <f>HYPERLINK("https://api.qogita.com/variants/link/0079625438260/", "View Product")</f>
        <v/>
      </c>
    </row>
    <row r="14490">
      <c r="A14490" t="inlineStr">
        <is>
          <t>0079625439243</t>
        </is>
      </c>
      <c r="B14490" t="inlineStr">
        <is>
          <t>Nettar Pop Surreal Sheen Powder Brush - Real Techniques Powder Brush</t>
        </is>
      </c>
      <c r="C14490" t="inlineStr">
        <is>
          <t>Powder Brushes</t>
        </is>
      </c>
      <c r="D14490" t="inlineStr">
        <is>
          <t>Real Techniques</t>
        </is>
      </c>
      <c r="E14490" t="n">
        <v>9.859999999999999</v>
      </c>
      <c r="F14490" t="n">
        <v>1</v>
      </c>
      <c r="G14490" t="n">
        <v>4</v>
      </c>
      <c r="H14490" s="5">
        <f>HYPERLINK("https://api.qogita.com/variants/link/0079625439243/", "View Product")</f>
        <v/>
      </c>
    </row>
    <row r="14491">
      <c r="A14491" t="inlineStr">
        <is>
          <t>0079625439366</t>
        </is>
      </c>
      <c r="B14491" t="inlineStr">
        <is>
          <t>Real Techniques Miracle 2-In-1 Powder Puff Dual-Sided Full-Size Makeup</t>
        </is>
      </c>
      <c r="C14491" t="inlineStr">
        <is>
          <t>Powderpuffs</t>
        </is>
      </c>
      <c r="D14491" t="inlineStr">
        <is>
          <t>Real Techniques</t>
        </is>
      </c>
      <c r="E14491" t="n">
        <v>5.49</v>
      </c>
      <c r="F14491" t="n">
        <v>1</v>
      </c>
      <c r="G14491" t="n">
        <v>12</v>
      </c>
      <c r="H14491" s="5">
        <f>HYPERLINK("https://api.qogita.com/variants/link/0079625439366/", "View Product")</f>
        <v/>
      </c>
    </row>
    <row r="14492">
      <c r="A14492" t="inlineStr">
        <is>
          <t>0079625439502</t>
        </is>
      </c>
      <c r="B14492" t="inlineStr">
        <is>
          <t>Real Techniques New Nudes Uncovered Bag Cosmetic Travel Waterproof Design Toiletry Makeup Brush Organizer 1 Count</t>
        </is>
      </c>
      <c r="C14492" t="inlineStr">
        <is>
          <t>Makeup Bags</t>
        </is>
      </c>
      <c r="D14492" t="inlineStr">
        <is>
          <t>Real Techniques</t>
        </is>
      </c>
      <c r="E14492" t="n">
        <v>12.57</v>
      </c>
      <c r="F14492" t="n">
        <v>1</v>
      </c>
      <c r="G14492" t="n">
        <v>2</v>
      </c>
      <c r="H14492" s="5">
        <f>HYPERLINK("https://api.qogita.com/variants/link/0079625439502/", "View Product")</f>
        <v/>
      </c>
    </row>
    <row r="14493">
      <c r="A14493" t="inlineStr">
        <is>
          <t>0079625441017</t>
        </is>
      </c>
      <c r="B14493" t="inlineStr">
        <is>
          <t>Real Techniques Mini Miracle Powder Puff Trio for Setting and Baking Loose and Pressed Powder Targeted Setting Under Eyes and On Blemishes</t>
        </is>
      </c>
      <c r="C14493" t="inlineStr">
        <is>
          <t>Powderpuffs</t>
        </is>
      </c>
      <c r="D14493" t="inlineStr">
        <is>
          <t>Real Techniques</t>
        </is>
      </c>
      <c r="E14493" t="n">
        <v>5.43</v>
      </c>
      <c r="F14493" t="n">
        <v>1</v>
      </c>
      <c r="G14493" t="n">
        <v>16</v>
      </c>
      <c r="H14493" s="5">
        <f>HYPERLINK("https://api.qogita.com/variants/link/0079625441017/", "View Product")</f>
        <v/>
      </c>
    </row>
    <row r="14494">
      <c r="A14494" t="inlineStr">
        <is>
          <t>0079625441338</t>
        </is>
      </c>
      <c r="B14494" t="inlineStr">
        <is>
          <t>Real Techniques Solar Power Light Lift Concealer Brush</t>
        </is>
      </c>
      <c r="C14494" t="inlineStr">
        <is>
          <t>Concealer Brushes</t>
        </is>
      </c>
      <c r="D14494" t="inlineStr">
        <is>
          <t>Real Techniques</t>
        </is>
      </c>
      <c r="E14494" t="n">
        <v>4.91</v>
      </c>
      <c r="F14494" t="n">
        <v>1</v>
      </c>
      <c r="G14494" t="n">
        <v>6</v>
      </c>
      <c r="H14494" s="5">
        <f>HYPERLINK("https://api.qogita.com/variants/link/0079625441338/", "View Product")</f>
        <v/>
      </c>
    </row>
    <row r="14495">
      <c r="A14495" t="inlineStr">
        <is>
          <t>0079625441574</t>
        </is>
      </c>
      <c r="B14495" t="inlineStr">
        <is>
          <t>Real Techniques Solar Power Smolder Eye Brow Duo - Stetec</t>
        </is>
      </c>
      <c r="C14495" t="inlineStr">
        <is>
          <t>Other</t>
        </is>
      </c>
      <c r="D14495" t="inlineStr">
        <is>
          <t>Real Techniques</t>
        </is>
      </c>
      <c r="E14495" t="n">
        <v>7.36</v>
      </c>
      <c r="F14495" t="n">
        <v>1</v>
      </c>
      <c r="G14495" t="n">
        <v>5</v>
      </c>
      <c r="H14495" s="5">
        <f>HYPERLINK("https://api.qogita.com/variants/link/0079625441574/", "View Product")</f>
        <v/>
      </c>
    </row>
    <row r="14496">
      <c r="A14496" t="inlineStr">
        <is>
          <t>0079625442014</t>
        </is>
      </c>
      <c r="B14496" t="inlineStr">
        <is>
          <t>Real Techniques Hyperbrights Sculpt Look Contour Brush - Multifunctional Brush</t>
        </is>
      </c>
      <c r="C14496" t="inlineStr">
        <is>
          <t>Brush Sets</t>
        </is>
      </c>
      <c r="D14496" t="inlineStr">
        <is>
          <t>Real Techniques</t>
        </is>
      </c>
      <c r="E14496" t="n">
        <v>7.36</v>
      </c>
      <c r="F14496" t="n">
        <v>1</v>
      </c>
      <c r="G14496" t="n">
        <v>5</v>
      </c>
      <c r="H14496" s="5">
        <f>HYPERLINK("https://api.qogita.com/variants/link/0079625442014/", "View Product")</f>
        <v/>
      </c>
    </row>
    <row r="14497">
      <c r="A14497" t="inlineStr">
        <is>
          <t>0079625442021</t>
        </is>
      </c>
      <c r="B14497" t="inlineStr">
        <is>
          <t>Real Techniques Hyperbrights Miracle Complexion Sponge</t>
        </is>
      </c>
      <c r="C14497" t="inlineStr">
        <is>
          <t>Makeup Sponges</t>
        </is>
      </c>
      <c r="D14497" t="inlineStr">
        <is>
          <t>Real Techniques</t>
        </is>
      </c>
      <c r="E14497" t="n">
        <v>8.699999999999999</v>
      </c>
      <c r="F14497" t="n">
        <v>1</v>
      </c>
      <c r="G14497" t="n">
        <v>9</v>
      </c>
      <c r="H14497" s="5">
        <f>HYPERLINK("https://api.qogita.com/variants/link/0079625442021/", "View Product")</f>
        <v/>
      </c>
    </row>
    <row r="14498">
      <c r="A14498" t="inlineStr">
        <is>
          <t>0079625442069</t>
        </is>
      </c>
      <c r="B14498" t="inlineStr">
        <is>
          <t>Real Techniques Hyperbrights Glow Off Multitasking Brush</t>
        </is>
      </c>
      <c r="C14498" t="inlineStr">
        <is>
          <t>Brush Sets</t>
        </is>
      </c>
      <c r="D14498" t="inlineStr">
        <is>
          <t>Real Techniques</t>
        </is>
      </c>
      <c r="E14498" t="n">
        <v>7.26</v>
      </c>
      <c r="F14498" t="n">
        <v>1</v>
      </c>
      <c r="G14498" t="n">
        <v>5</v>
      </c>
      <c r="H14498" s="5">
        <f>HYPERLINK("https://api.qogita.com/variants/link/0079625442069/", "View Product")</f>
        <v/>
      </c>
    </row>
    <row r="14499">
      <c r="A14499" t="inlineStr">
        <is>
          <t>0079625442106</t>
        </is>
      </c>
      <c r="B14499" t="inlineStr">
        <is>
          <t>Real Techniques Hyperbrights Miracle Complexion Sponge</t>
        </is>
      </c>
      <c r="C14499" t="inlineStr">
        <is>
          <t>Makeup Sponges</t>
        </is>
      </c>
      <c r="D14499" t="inlineStr">
        <is>
          <t>Real Techniques</t>
        </is>
      </c>
      <c r="E14499" t="n">
        <v>5.4</v>
      </c>
      <c r="F14499" t="n">
        <v>1</v>
      </c>
      <c r="G14499" t="n">
        <v>8</v>
      </c>
      <c r="H14499" s="5">
        <f>HYPERLINK("https://api.qogita.com/variants/link/0079625442106/", "View Product")</f>
        <v/>
      </c>
    </row>
    <row r="14500">
      <c r="A14500" t="inlineStr">
        <is>
          <t>0079625442489</t>
        </is>
      </c>
      <c r="B14500" t="inlineStr">
        <is>
          <t>Real Techniques Sunrise To Sunset Miracle Complexion Sponge + 3 Minis Kit 4 Piece Set</t>
        </is>
      </c>
      <c r="C14500" t="inlineStr">
        <is>
          <t>Makeup Sponges</t>
        </is>
      </c>
      <c r="D14500" t="inlineStr">
        <is>
          <t>Real Techniques</t>
        </is>
      </c>
      <c r="E14500" t="n">
        <v>8.699999999999999</v>
      </c>
      <c r="F14500" t="n">
        <v>1</v>
      </c>
      <c r="G14500" t="n">
        <v>4</v>
      </c>
      <c r="H14500" s="5">
        <f>HYPERLINK("https://api.qogita.com/variants/link/0079625442489/", "View Product")</f>
        <v/>
      </c>
    </row>
    <row r="14501">
      <c r="A14501" t="inlineStr">
        <is>
          <t>0079625446067</t>
        </is>
      </c>
      <c r="B14501" t="inlineStr">
        <is>
          <t>Real Techniques Extra Big Finishing Brush</t>
        </is>
      </c>
      <c r="C14501" t="inlineStr">
        <is>
          <t>Powder Brushes</t>
        </is>
      </c>
      <c r="D14501" t="inlineStr">
        <is>
          <t>Real Techniques</t>
        </is>
      </c>
      <c r="E14501" t="n">
        <v>8.050000000000001</v>
      </c>
      <c r="F14501" t="n">
        <v>1</v>
      </c>
      <c r="G14501" t="n">
        <v>4</v>
      </c>
      <c r="H14501" s="5">
        <f>HYPERLINK("https://api.qogita.com/variants/link/0079625446067/", "View Product")</f>
        <v/>
      </c>
    </row>
    <row r="14502">
      <c r="A14502" t="inlineStr">
        <is>
          <t>0079625915709</t>
        </is>
      </c>
      <c r="B14502" t="inlineStr">
        <is>
          <t>Real Techniques 6 Miracle Complexion Sponges Makeup Brush Set</t>
        </is>
      </c>
      <c r="C14502" t="inlineStr">
        <is>
          <t>Brush Sets</t>
        </is>
      </c>
      <c r="D14502" t="inlineStr">
        <is>
          <t>Real Techniques</t>
        </is>
      </c>
      <c r="E14502" t="n">
        <v>16.48</v>
      </c>
      <c r="F14502" t="n">
        <v>1</v>
      </c>
      <c r="G14502" t="n">
        <v>4</v>
      </c>
      <c r="H14502" s="5">
        <f>HYPERLINK("https://api.qogita.com/variants/link/0079625915709/", "View Product")</f>
        <v/>
      </c>
    </row>
    <row r="14503">
      <c r="A14503" t="inlineStr">
        <is>
          <t>0085715000538</t>
        </is>
      </c>
      <c r="B14503" t="inlineStr">
        <is>
          <t>Abercrombie &amp; Fitch First Instinct Blue Eau De Toilette 100ml</t>
        </is>
      </c>
      <c r="C14503" t="inlineStr">
        <is>
          <t>Eau De Toilette</t>
        </is>
      </c>
      <c r="D14503" t="inlineStr">
        <is>
          <t>Abercrombie &amp; Fitch</t>
        </is>
      </c>
      <c r="E14503" t="n">
        <v>24.3</v>
      </c>
      <c r="F14503" t="n">
        <v>1</v>
      </c>
      <c r="G14503" t="n">
        <v>39</v>
      </c>
      <c r="H14503" s="5">
        <f>HYPERLINK("https://api.qogita.com/variants/link/0085715000538/", "View Product")</f>
        <v/>
      </c>
    </row>
    <row r="14504">
      <c r="A14504" t="inlineStr">
        <is>
          <t>0085715081872</t>
        </is>
      </c>
      <c r="B14504" t="inlineStr">
        <is>
          <t>Sui Dreams By Anna Sui Eau De Toilette Spray 50ml</t>
        </is>
      </c>
      <c r="C14504" t="inlineStr">
        <is>
          <t>Eau De Toilette</t>
        </is>
      </c>
      <c r="D14504" t="inlineStr">
        <is>
          <t>Anna Sui</t>
        </is>
      </c>
      <c r="E14504" t="n">
        <v>14.81</v>
      </c>
      <c r="F14504" t="n">
        <v>1</v>
      </c>
      <c r="G14504" t="n">
        <v>13</v>
      </c>
      <c r="H14504" s="5">
        <f>HYPERLINK("https://api.qogita.com/variants/link/0085715081872/", "View Product")</f>
        <v/>
      </c>
    </row>
    <row r="14505">
      <c r="A14505" t="inlineStr">
        <is>
          <t>0085715163127</t>
        </is>
      </c>
      <c r="B14505" t="inlineStr">
        <is>
          <t>Abercrombie &amp; Fitch First Instinct For Men Eau de Toilette 50ml</t>
        </is>
      </c>
      <c r="C14505" t="inlineStr">
        <is>
          <t>Eau De Toilette</t>
        </is>
      </c>
      <c r="D14505" t="inlineStr">
        <is>
          <t>Abercrombie &amp; Fitch</t>
        </is>
      </c>
      <c r="E14505" t="n">
        <v>23.54</v>
      </c>
      <c r="F14505" t="n">
        <v>1</v>
      </c>
      <c r="G14505" t="n">
        <v>7</v>
      </c>
      <c r="H14505" s="5">
        <f>HYPERLINK("https://api.qogita.com/variants/link/0085715163127/", "View Product")</f>
        <v/>
      </c>
    </row>
    <row r="14506">
      <c r="A14506" t="inlineStr">
        <is>
          <t>0085715166203</t>
        </is>
      </c>
      <c r="B14506" t="inlineStr">
        <is>
          <t>Abercrombie &amp; Fitch First Instinct Together EDT 100ml Black</t>
        </is>
      </c>
      <c r="C14506" t="inlineStr">
        <is>
          <t>Eau De Toilette</t>
        </is>
      </c>
      <c r="D14506" t="inlineStr">
        <is>
          <t>Abercrombie &amp; Fitch</t>
        </is>
      </c>
      <c r="E14506" t="n">
        <v>23.76</v>
      </c>
      <c r="F14506" t="n">
        <v>1</v>
      </c>
      <c r="G14506" t="n">
        <v>22</v>
      </c>
      <c r="H14506" s="5">
        <f>HYPERLINK("https://api.qogita.com/variants/link/0085715166203/", "View Product")</f>
        <v/>
      </c>
    </row>
    <row r="14507">
      <c r="A14507" t="inlineStr">
        <is>
          <t>0085715166586</t>
        </is>
      </c>
      <c r="B14507" t="inlineStr">
        <is>
          <t>Abercrombie &amp; Fitch First Instinct Together For Women Eau de Parfum 50ml</t>
        </is>
      </c>
      <c r="C14507" t="inlineStr">
        <is>
          <t>Eau De Parfum</t>
        </is>
      </c>
      <c r="D14507" t="inlineStr">
        <is>
          <t>Abercrombie &amp; Fitch</t>
        </is>
      </c>
      <c r="E14507" t="n">
        <v>13.1</v>
      </c>
      <c r="F14507" t="n">
        <v>1</v>
      </c>
      <c r="G14507" t="n">
        <v>11</v>
      </c>
      <c r="H14507" s="5">
        <f>HYPERLINK("https://api.qogita.com/variants/link/0085715166586/", "View Product")</f>
        <v/>
      </c>
    </row>
    <row r="14508">
      <c r="A14508" t="inlineStr">
        <is>
          <t>0085715166685</t>
        </is>
      </c>
      <c r="B14508" t="inlineStr">
        <is>
          <t>Abercrombie &amp; Fitch Fierce Men Eau De Cologne Set 100ml And 10ml</t>
        </is>
      </c>
      <c r="C14508" t="inlineStr">
        <is>
          <t>Fragrance Sets</t>
        </is>
      </c>
      <c r="D14508" t="inlineStr">
        <is>
          <t>Abercrombie &amp; Fitch</t>
        </is>
      </c>
      <c r="E14508" t="n">
        <v>65.70999999999999</v>
      </c>
      <c r="F14508" t="n">
        <v>1</v>
      </c>
      <c r="G14508" t="n">
        <v>3</v>
      </c>
      <c r="H14508" s="5">
        <f>HYPERLINK("https://api.qogita.com/variants/link/0085715166685/", "View Product")</f>
        <v/>
      </c>
    </row>
    <row r="14509">
      <c r="A14509" t="inlineStr">
        <is>
          <t>0085715167224</t>
        </is>
      </c>
      <c r="B14509" t="inlineStr">
        <is>
          <t>Abercrombie &amp; Fitch First Instinct Blue Woman Eau De Parfum Spray 100ml</t>
        </is>
      </c>
      <c r="C14509" t="inlineStr">
        <is>
          <t>Eau De Parfum</t>
        </is>
      </c>
      <c r="D14509" t="inlineStr">
        <is>
          <t>Abercrombie &amp; Fitch</t>
        </is>
      </c>
      <c r="E14509" t="n">
        <v>17.81</v>
      </c>
      <c r="F14509" t="n">
        <v>1</v>
      </c>
      <c r="G14509" t="n">
        <v>28</v>
      </c>
      <c r="H14509" s="5">
        <f>HYPERLINK("https://api.qogita.com/variants/link/0085715167224/", "View Product")</f>
        <v/>
      </c>
    </row>
    <row r="14510">
      <c r="A14510" t="inlineStr">
        <is>
          <t>0085715167545</t>
        </is>
      </c>
      <c r="B14510" t="inlineStr">
        <is>
          <t>Abercrombie &amp; Fitch First Instinct Extreme 50ml Eau de Parfum Discontinued</t>
        </is>
      </c>
      <c r="C14510" t="inlineStr">
        <is>
          <t>Eau De Parfum</t>
        </is>
      </c>
      <c r="D14510" t="inlineStr">
        <is>
          <t>Abercrombie &amp; Fitch</t>
        </is>
      </c>
      <c r="E14510" t="n">
        <v>17.66</v>
      </c>
      <c r="F14510" t="n">
        <v>1</v>
      </c>
      <c r="G14510" t="n">
        <v>16</v>
      </c>
      <c r="H14510" s="5">
        <f>HYPERLINK("https://api.qogita.com/variants/link/0085715167545/", "View Product")</f>
        <v/>
      </c>
    </row>
    <row r="14511">
      <c r="A14511" t="inlineStr">
        <is>
          <t>0085715167811</t>
        </is>
      </c>
      <c r="B14511" t="inlineStr">
        <is>
          <t>Abercrombie &amp; Fitch Naturally Fierce Eau de Parfum 100ml Floral Sandalwood</t>
        </is>
      </c>
      <c r="C14511" t="inlineStr">
        <is>
          <t>Eau De Parfum</t>
        </is>
      </c>
      <c r="D14511" t="inlineStr">
        <is>
          <t>Abercrombie &amp; Fitch</t>
        </is>
      </c>
      <c r="E14511" t="n">
        <v>17.71</v>
      </c>
      <c r="F14511" t="n">
        <v>1</v>
      </c>
      <c r="G14511" t="n">
        <v>9</v>
      </c>
      <c r="H14511" s="5">
        <f>HYPERLINK("https://api.qogita.com/variants/link/0085715167811/", "View Product")</f>
        <v/>
      </c>
    </row>
    <row r="14512">
      <c r="A14512" t="inlineStr">
        <is>
          <t>0085715168405</t>
        </is>
      </c>
      <c r="B14512" t="inlineStr">
        <is>
          <t>Abercrombie &amp; Fitch Authentic Self Women Eau de Parfum 100ml</t>
        </is>
      </c>
      <c r="C14512" t="inlineStr">
        <is>
          <t>Eau De Parfum</t>
        </is>
      </c>
      <c r="D14512" t="inlineStr">
        <is>
          <t>Abercrombie &amp; Fitch</t>
        </is>
      </c>
      <c r="E14512" t="n">
        <v>30.39</v>
      </c>
      <c r="F14512" t="n">
        <v>1</v>
      </c>
      <c r="G14512" t="n">
        <v>16</v>
      </c>
      <c r="H14512" s="5">
        <f>HYPERLINK("https://api.qogita.com/variants/link/0085715168405/", "View Product")</f>
        <v/>
      </c>
    </row>
    <row r="14513">
      <c r="A14513" t="inlineStr">
        <is>
          <t>0085715168412</t>
        </is>
      </c>
      <c r="B14513" t="inlineStr">
        <is>
          <t>Abercrombie &amp; Fitch Authentic Self Women Edp Spray</t>
        </is>
      </c>
      <c r="C14513" t="inlineStr">
        <is>
          <t>Eau De Parfum</t>
        </is>
      </c>
      <c r="D14513" t="inlineStr">
        <is>
          <t>Abercrombie &amp; Fitch</t>
        </is>
      </c>
      <c r="E14513" t="n">
        <v>19.55</v>
      </c>
      <c r="F14513" t="n">
        <v>1</v>
      </c>
      <c r="G14513" t="n">
        <v>9</v>
      </c>
      <c r="H14513" s="5">
        <f>HYPERLINK("https://api.qogita.com/variants/link/0085715168412/", "View Product")</f>
        <v/>
      </c>
    </row>
    <row r="14514">
      <c r="A14514" t="inlineStr">
        <is>
          <t>0085715169303</t>
        </is>
      </c>
      <c r="B14514" t="inlineStr">
        <is>
          <t>Abercrombie &amp; Fitch Away Tonight 100ml Eau De Toilette EDT New Cello Sealed</t>
        </is>
      </c>
      <c r="C14514" t="inlineStr">
        <is>
          <t>Eau De Toilette</t>
        </is>
      </c>
      <c r="D14514" t="inlineStr">
        <is>
          <t>Abercrombie &amp; Fitch</t>
        </is>
      </c>
      <c r="E14514" t="n">
        <v>20.35</v>
      </c>
      <c r="F14514" t="n">
        <v>1</v>
      </c>
      <c r="G14514" t="n">
        <v>21</v>
      </c>
      <c r="H14514" s="5">
        <f>HYPERLINK("https://api.qogita.com/variants/link/0085715169303/", "View Product")</f>
        <v/>
      </c>
    </row>
    <row r="14515">
      <c r="A14515" t="inlineStr">
        <is>
          <t>0085715169594</t>
        </is>
      </c>
      <c r="B14515" t="inlineStr">
        <is>
          <t>Abercrombie &amp; Fitch Fierce Cologne Eau De Cologne 200ml</t>
        </is>
      </c>
      <c r="C14515" t="inlineStr">
        <is>
          <t>Eau De Cologne</t>
        </is>
      </c>
      <c r="D14515" t="inlineStr">
        <is>
          <t>Abercrombie &amp; Fitch</t>
        </is>
      </c>
      <c r="E14515" t="n">
        <v>64.09999999999999</v>
      </c>
      <c r="F14515" t="n">
        <v>1</v>
      </c>
      <c r="G14515" t="n">
        <v>524</v>
      </c>
      <c r="H14515" s="5">
        <f>HYPERLINK("https://api.qogita.com/variants/link/0085715169594/", "View Product")</f>
        <v/>
      </c>
    </row>
    <row r="14516">
      <c r="A14516" t="inlineStr">
        <is>
          <t>0085715169600</t>
        </is>
      </c>
      <c r="B14516" t="inlineStr">
        <is>
          <t>Abercrombie &amp; Fitch Authentic Moment Woman Eau De Parfum 30ml</t>
        </is>
      </c>
      <c r="C14516" t="inlineStr">
        <is>
          <t>Eau De Parfum</t>
        </is>
      </c>
      <c r="D14516" t="inlineStr">
        <is>
          <t>Abercrombie &amp; Fitch</t>
        </is>
      </c>
      <c r="E14516" t="n">
        <v>13.32</v>
      </c>
      <c r="F14516" t="n">
        <v>1</v>
      </c>
      <c r="G14516" t="n">
        <v>5</v>
      </c>
      <c r="H14516" s="5">
        <f>HYPERLINK("https://api.qogita.com/variants/link/0085715169600/", "View Product")</f>
        <v/>
      </c>
    </row>
    <row r="14517">
      <c r="A14517" t="inlineStr">
        <is>
          <t>0085715169624</t>
        </is>
      </c>
      <c r="B14517" t="inlineStr">
        <is>
          <t>Abercrombie and Fitch Authentic Moment Women Eau De Parfum 100ml</t>
        </is>
      </c>
      <c r="C14517" t="inlineStr">
        <is>
          <t>Eau De Parfum</t>
        </is>
      </c>
      <c r="D14517" t="inlineStr">
        <is>
          <t>Abercrombie &amp; Fitch</t>
        </is>
      </c>
      <c r="E14517" t="n">
        <v>27.94</v>
      </c>
      <c r="F14517" t="n">
        <v>1</v>
      </c>
      <c r="G14517" t="n">
        <v>6</v>
      </c>
      <c r="H14517" s="5">
        <f>HYPERLINK("https://api.qogita.com/variants/link/0085715169624/", "View Product")</f>
        <v/>
      </c>
    </row>
    <row r="14518">
      <c r="A14518" t="inlineStr">
        <is>
          <t>0085715169709</t>
        </is>
      </c>
      <c r="B14518" t="inlineStr">
        <is>
          <t>Abercrombie &amp; FItch Away Man Eau De Toilette Spray 100ml</t>
        </is>
      </c>
      <c r="C14518" t="inlineStr">
        <is>
          <t>Eau De Toilette</t>
        </is>
      </c>
      <c r="D14518" t="inlineStr">
        <is>
          <t>Abercrombie &amp; Fitch</t>
        </is>
      </c>
      <c r="E14518" t="n">
        <v>30.98</v>
      </c>
      <c r="F14518" t="n">
        <v>1</v>
      </c>
      <c r="G14518" t="n">
        <v>6</v>
      </c>
      <c r="H14518" s="5">
        <f>HYPERLINK("https://api.qogita.com/variants/link/0085715169709/", "View Product")</f>
        <v/>
      </c>
    </row>
    <row r="14519">
      <c r="A14519" t="inlineStr">
        <is>
          <t>0085715169808</t>
        </is>
      </c>
      <c r="B14519" t="inlineStr">
        <is>
          <t>Abercrombie &amp; Fitch Away Woman EDP Spray 100ml</t>
        </is>
      </c>
      <c r="C14519" t="inlineStr">
        <is>
          <t>Eau De Parfum</t>
        </is>
      </c>
      <c r="D14519" t="inlineStr">
        <is>
          <t>Abercrombie &amp; Fitch</t>
        </is>
      </c>
      <c r="E14519" t="n">
        <v>25.75</v>
      </c>
      <c r="F14519" t="n">
        <v>1</v>
      </c>
      <c r="G14519" t="n">
        <v>32</v>
      </c>
      <c r="H14519" s="5">
        <f>HYPERLINK("https://api.qogita.com/variants/link/0085715169808/", "View Product")</f>
        <v/>
      </c>
    </row>
    <row r="14520">
      <c r="A14520" t="inlineStr">
        <is>
          <t>0085715169822</t>
        </is>
      </c>
      <c r="B14520" t="inlineStr">
        <is>
          <t>Abercrombie &amp; Fitch Away Woman Eau de Parfum 30ml Spray</t>
        </is>
      </c>
      <c r="C14520" t="inlineStr">
        <is>
          <t>Eau De Parfum</t>
        </is>
      </c>
      <c r="D14520" t="inlineStr">
        <is>
          <t>Abercrombie &amp; Fitch</t>
        </is>
      </c>
      <c r="E14520" t="n">
        <v>15.73</v>
      </c>
      <c r="F14520" t="n">
        <v>1</v>
      </c>
      <c r="G14520" t="n">
        <v>5</v>
      </c>
      <c r="H14520" s="5">
        <f>HYPERLINK("https://api.qogita.com/variants/link/0085715169822/", "View Product")</f>
        <v/>
      </c>
    </row>
    <row r="14521">
      <c r="A14521" t="inlineStr">
        <is>
          <t>0085715169907</t>
        </is>
      </c>
      <c r="B14521" t="inlineStr">
        <is>
          <t>Abercrombie &amp; Fitch Away Tonight Women Eau De Parfum 100ml</t>
        </is>
      </c>
      <c r="C14521" t="inlineStr">
        <is>
          <t>Eau De Parfum</t>
        </is>
      </c>
      <c r="D14521" t="inlineStr">
        <is>
          <t>Abercrombie &amp; Fitch</t>
        </is>
      </c>
      <c r="E14521" t="n">
        <v>22.62</v>
      </c>
      <c r="F14521" t="n">
        <v>1</v>
      </c>
      <c r="G14521" t="n">
        <v>23</v>
      </c>
      <c r="H14521" s="5">
        <f>HYPERLINK("https://api.qogita.com/variants/link/0085715169907/", "View Product")</f>
        <v/>
      </c>
    </row>
    <row r="14522">
      <c r="A14522" t="inlineStr">
        <is>
          <t>0085715169921</t>
        </is>
      </c>
      <c r="B14522" t="inlineStr">
        <is>
          <t>Away Tonight Woman Eau De Parfum 30ml</t>
        </is>
      </c>
      <c r="C14522" t="inlineStr">
        <is>
          <t>Eau De Parfum</t>
        </is>
      </c>
      <c r="D14522" t="inlineStr">
        <is>
          <t>Abercrombie &amp; Fitch</t>
        </is>
      </c>
      <c r="E14522" t="n">
        <v>18.45</v>
      </c>
      <c r="F14522" t="n">
        <v>1</v>
      </c>
      <c r="G14522" t="n">
        <v>21</v>
      </c>
      <c r="H14522" s="5">
        <f>HYPERLINK("https://api.qogita.com/variants/link/0085715169921/", "View Product")</f>
        <v/>
      </c>
    </row>
    <row r="14523">
      <c r="A14523" t="inlineStr">
        <is>
          <t>0085715169976</t>
        </is>
      </c>
      <c r="B14523" t="inlineStr">
        <is>
          <t>Abercrombie &amp; Fitch Away Weekend Women Edp 30 Ml</t>
        </is>
      </c>
      <c r="C14523" t="inlineStr">
        <is>
          <t>Eau De Parfum</t>
        </is>
      </c>
      <c r="D14523" t="inlineStr">
        <is>
          <t>Abercrombie &amp; Fitch</t>
        </is>
      </c>
      <c r="E14523" t="n">
        <v>12.84</v>
      </c>
      <c r="F14523" t="n">
        <v>1</v>
      </c>
      <c r="G14523" t="n">
        <v>10</v>
      </c>
      <c r="H14523" s="5">
        <f>HYPERLINK("https://api.qogita.com/variants/link/0085715169976/", "View Product")</f>
        <v/>
      </c>
    </row>
    <row r="14524">
      <c r="A14524" t="inlineStr">
        <is>
          <t>0085715265333</t>
        </is>
      </c>
      <c r="B14524" t="inlineStr">
        <is>
          <t>Hollister Wave For Her EDP Spray 30ml</t>
        </is>
      </c>
      <c r="C14524" t="inlineStr">
        <is>
          <t>Eau De Parfum</t>
        </is>
      </c>
      <c r="D14524" t="inlineStr">
        <is>
          <t>Hollister</t>
        </is>
      </c>
      <c r="E14524" t="n">
        <v>9.4</v>
      </c>
      <c r="F14524" t="n">
        <v>1</v>
      </c>
      <c r="G14524" t="n">
        <v>4</v>
      </c>
      <c r="H14524" s="5">
        <f>HYPERLINK("https://api.qogita.com/variants/link/0085715265333/", "View Product")</f>
        <v/>
      </c>
    </row>
    <row r="14525">
      <c r="A14525" t="inlineStr">
        <is>
          <t>0085715267160</t>
        </is>
      </c>
      <c r="B14525" t="inlineStr">
        <is>
          <t>Hollister Canyon Sky for Him EdT 30ml</t>
        </is>
      </c>
      <c r="C14525" t="inlineStr">
        <is>
          <t>Eau De Toilette</t>
        </is>
      </c>
      <c r="D14525" t="inlineStr">
        <is>
          <t>Hollister</t>
        </is>
      </c>
      <c r="E14525" t="n">
        <v>10.7</v>
      </c>
      <c r="F14525" t="n">
        <v>1</v>
      </c>
      <c r="G14525" t="n">
        <v>3</v>
      </c>
      <c r="H14525" s="5">
        <f>HYPERLINK("https://api.qogita.com/variants/link/0085715267160/", "View Product")</f>
        <v/>
      </c>
    </row>
    <row r="14526">
      <c r="A14526" t="inlineStr">
        <is>
          <t>0085715267269</t>
        </is>
      </c>
      <c r="B14526" t="inlineStr">
        <is>
          <t>Hollister Canyon Escape Eau de Parfum for Her 30ml</t>
        </is>
      </c>
      <c r="C14526" t="inlineStr">
        <is>
          <t>Eau De Parfum</t>
        </is>
      </c>
      <c r="D14526" t="inlineStr">
        <is>
          <t>Hollister</t>
        </is>
      </c>
      <c r="E14526" t="n">
        <v>10.72</v>
      </c>
      <c r="F14526" t="n">
        <v>1</v>
      </c>
      <c r="G14526" t="n">
        <v>29</v>
      </c>
      <c r="H14526" s="5">
        <f>HYPERLINK("https://api.qogita.com/variants/link/0085715267269/", "View Product")</f>
        <v/>
      </c>
    </row>
    <row r="14527">
      <c r="A14527" t="inlineStr">
        <is>
          <t>0085715267603</t>
        </is>
      </c>
      <c r="B14527" t="inlineStr">
        <is>
          <t>Hollister Feelin' Good for Her Eau de Parfum 100ml</t>
        </is>
      </c>
      <c r="C14527" t="inlineStr">
        <is>
          <t>Eau De Parfum</t>
        </is>
      </c>
      <c r="D14527" t="inlineStr">
        <is>
          <t>Hollister</t>
        </is>
      </c>
      <c r="E14527" t="n">
        <v>16.44</v>
      </c>
      <c r="F14527" t="n">
        <v>1</v>
      </c>
      <c r="G14527" t="n">
        <v>9</v>
      </c>
      <c r="H14527" s="5">
        <f>HYPERLINK("https://api.qogita.com/variants/link/0085715267603/", "View Product")</f>
        <v/>
      </c>
    </row>
    <row r="14528">
      <c r="A14528" t="inlineStr">
        <is>
          <t>0085715267627</t>
        </is>
      </c>
      <c r="B14528" t="inlineStr">
        <is>
          <t>Hollister Feelin Good for Her EdP 30ml</t>
        </is>
      </c>
      <c r="C14528" t="inlineStr">
        <is>
          <t>Eau De Parfum</t>
        </is>
      </c>
      <c r="D14528" t="inlineStr">
        <is>
          <t>Hollister</t>
        </is>
      </c>
      <c r="E14528" t="n">
        <v>13.1</v>
      </c>
      <c r="F14528" t="n">
        <v>1</v>
      </c>
      <c r="G14528" t="n">
        <v>23</v>
      </c>
      <c r="H14528" s="5">
        <f>HYPERLINK("https://api.qogita.com/variants/link/0085715267627/", "View Product")</f>
        <v/>
      </c>
    </row>
    <row r="14529">
      <c r="A14529" t="inlineStr">
        <is>
          <t>0085715267672</t>
        </is>
      </c>
      <c r="B14529" t="inlineStr">
        <is>
          <t>Hollister Feelin Good for Him EdT 30ml</t>
        </is>
      </c>
      <c r="C14529" t="inlineStr">
        <is>
          <t>Eau De Toilette</t>
        </is>
      </c>
      <c r="D14529" t="inlineStr">
        <is>
          <t>Hollister</t>
        </is>
      </c>
      <c r="E14529" t="n">
        <v>12.74</v>
      </c>
      <c r="F14529" t="n">
        <v>1</v>
      </c>
      <c r="G14529" t="n">
        <v>21</v>
      </c>
      <c r="H14529" s="5">
        <f>HYPERLINK("https://api.qogita.com/variants/link/0085715267672/", "View Product")</f>
        <v/>
      </c>
    </row>
    <row r="14530">
      <c r="A14530" t="inlineStr">
        <is>
          <t>0085715297204</t>
        </is>
      </c>
      <c r="B14530" t="inlineStr">
        <is>
          <t>Anna Sui Eau De Toilette 75ml</t>
        </is>
      </c>
      <c r="C14530" t="inlineStr">
        <is>
          <t>Eau De Toilette</t>
        </is>
      </c>
      <c r="D14530" t="inlineStr">
        <is>
          <t>Anna Sui</t>
        </is>
      </c>
      <c r="E14530" t="n">
        <v>18.96</v>
      </c>
      <c r="F14530" t="n">
        <v>1</v>
      </c>
      <c r="G14530" t="n">
        <v>2</v>
      </c>
      <c r="H14530" s="5">
        <f>HYPERLINK("https://api.qogita.com/variants/link/0085715297204/", "View Product")</f>
        <v/>
      </c>
    </row>
    <row r="14531">
      <c r="A14531" t="inlineStr">
        <is>
          <t>0085715320810</t>
        </is>
      </c>
      <c r="B14531" t="inlineStr">
        <is>
          <t>Guess Girl Eau de Toilette Spray for Women 100ml</t>
        </is>
      </c>
      <c r="C14531" t="inlineStr">
        <is>
          <t>Eau De Toilette</t>
        </is>
      </c>
      <c r="D14531" t="inlineStr">
        <is>
          <t>Guess</t>
        </is>
      </c>
      <c r="E14531" t="n">
        <v>15.36</v>
      </c>
      <c r="F14531" t="n">
        <v>1</v>
      </c>
      <c r="G14531" t="n">
        <v>1032</v>
      </c>
      <c r="H14531" s="5">
        <f>HYPERLINK("https://api.qogita.com/variants/link/0085715320810/", "View Product")</f>
        <v/>
      </c>
    </row>
    <row r="14532">
      <c r="A14532" t="inlineStr">
        <is>
          <t>0085715320827</t>
        </is>
      </c>
      <c r="B14532" t="inlineStr">
        <is>
          <t>Guess Girl Eau De Toilette 1.7 Fl Oz</t>
        </is>
      </c>
      <c r="C14532" t="inlineStr">
        <is>
          <t>Eau De Toilette</t>
        </is>
      </c>
      <c r="D14532" t="inlineStr">
        <is>
          <t>Guess</t>
        </is>
      </c>
      <c r="E14532" t="n">
        <v>12.06</v>
      </c>
      <c r="F14532" t="n">
        <v>1</v>
      </c>
      <c r="G14532" t="n">
        <v>27</v>
      </c>
      <c r="H14532" s="5">
        <f>HYPERLINK("https://api.qogita.com/variants/link/0085715320827/", "View Product")</f>
        <v/>
      </c>
    </row>
    <row r="14533">
      <c r="A14533" t="inlineStr">
        <is>
          <t>0085715321213</t>
        </is>
      </c>
      <c r="B14533" t="inlineStr">
        <is>
          <t>Guess Dare for Men Eau De Toilette Spray 100ml</t>
        </is>
      </c>
      <c r="C14533" t="inlineStr">
        <is>
          <t>Eau De Toilette</t>
        </is>
      </c>
      <c r="D14533" t="inlineStr">
        <is>
          <t>Guess</t>
        </is>
      </c>
      <c r="E14533" t="n">
        <v>17.08</v>
      </c>
      <c r="F14533" t="n">
        <v>1</v>
      </c>
      <c r="G14533" t="n">
        <v>2</v>
      </c>
      <c r="H14533" s="5">
        <f>HYPERLINK("https://api.qogita.com/variants/link/0085715321213/", "View Product")</f>
        <v/>
      </c>
    </row>
    <row r="14534">
      <c r="A14534" t="inlineStr">
        <is>
          <t>0085715321275</t>
        </is>
      </c>
      <c r="B14534" t="inlineStr">
        <is>
          <t>Guess Factory Dare Body Spray</t>
        </is>
      </c>
      <c r="C14534" t="inlineStr">
        <is>
          <t>Eau De Toilette</t>
        </is>
      </c>
      <c r="D14534" t="inlineStr">
        <is>
          <t>Guess</t>
        </is>
      </c>
      <c r="E14534" t="n">
        <v>6.75</v>
      </c>
      <c r="F14534" t="n">
        <v>1</v>
      </c>
      <c r="G14534" t="n">
        <v>2</v>
      </c>
      <c r="H14534" s="5">
        <f>HYPERLINK("https://api.qogita.com/variants/link/0085715321275/", "View Product")</f>
        <v/>
      </c>
    </row>
    <row r="14535">
      <c r="A14535" t="inlineStr">
        <is>
          <t>0085715321312</t>
        </is>
      </c>
      <c r="B14535" t="inlineStr">
        <is>
          <t>Guess Night Eau De Toilette for Men 100ml</t>
        </is>
      </c>
      <c r="C14535" t="inlineStr">
        <is>
          <t>Eau De Toilette</t>
        </is>
      </c>
      <c r="D14535" t="inlineStr">
        <is>
          <t>Guess</t>
        </is>
      </c>
      <c r="E14535" t="n">
        <v>13.11</v>
      </c>
      <c r="F14535" t="n">
        <v>1</v>
      </c>
      <c r="G14535" t="n">
        <v>397</v>
      </c>
      <c r="H14535" s="5">
        <f>HYPERLINK("https://api.qogita.com/variants/link/0085715321312/", "View Product")</f>
        <v/>
      </c>
    </row>
    <row r="14536">
      <c r="A14536" t="inlineStr">
        <is>
          <t>0085715322005</t>
        </is>
      </c>
      <c r="B14536" t="inlineStr">
        <is>
          <t>Guess 1981 Indigo Bodyspray 250ml</t>
        </is>
      </c>
      <c r="C14536" t="inlineStr">
        <is>
          <t>Eau De Toilette</t>
        </is>
      </c>
      <c r="D14536" t="inlineStr">
        <is>
          <t>Guess</t>
        </is>
      </c>
      <c r="E14536" t="n">
        <v>8.199999999999999</v>
      </c>
      <c r="F14536" t="n">
        <v>1</v>
      </c>
      <c r="G14536" t="n">
        <v>3</v>
      </c>
      <c r="H14536" s="5">
        <f>HYPERLINK("https://api.qogita.com/variants/link/0085715322005/", "View Product")</f>
        <v/>
      </c>
    </row>
    <row r="14537">
      <c r="A14537" t="inlineStr">
        <is>
          <t>0085715322326</t>
        </is>
      </c>
      <c r="B14537" t="inlineStr">
        <is>
          <t>Guess Seductive I'm Yours Fragrance Mist 250ml</t>
        </is>
      </c>
      <c r="C14537" t="inlineStr">
        <is>
          <t>Eau De Toilette</t>
        </is>
      </c>
      <c r="D14537" t="inlineStr">
        <is>
          <t>Guess</t>
        </is>
      </c>
      <c r="E14537" t="n">
        <v>8.710000000000001</v>
      </c>
      <c r="F14537" t="n">
        <v>1</v>
      </c>
      <c r="G14537" t="n">
        <v>7</v>
      </c>
      <c r="H14537" s="5">
        <f>HYPERLINK("https://api.qogita.com/variants/link/0085715322326/", "View Product")</f>
        <v/>
      </c>
    </row>
    <row r="14538">
      <c r="A14538" t="inlineStr">
        <is>
          <t>0085715322487</t>
        </is>
      </c>
      <c r="B14538" t="inlineStr">
        <is>
          <t>Guess Seductive Red BOR W 125 ml - Women's Fragrance</t>
        </is>
      </c>
      <c r="C14538" t="inlineStr">
        <is>
          <t>Eau De Parfum</t>
        </is>
      </c>
      <c r="D14538" t="inlineStr">
        <is>
          <t>Guess</t>
        </is>
      </c>
      <c r="E14538" t="n">
        <v>6.2</v>
      </c>
      <c r="F14538" t="n">
        <v>1</v>
      </c>
      <c r="G14538" t="n">
        <v>2</v>
      </c>
      <c r="H14538" s="5">
        <f>HYPERLINK("https://api.qogita.com/variants/link/0085715322487/", "View Product")</f>
        <v/>
      </c>
    </row>
    <row r="14539">
      <c r="A14539" t="inlineStr">
        <is>
          <t>0085715323217</t>
        </is>
      </c>
      <c r="B14539" t="inlineStr">
        <is>
          <t>Originals Type 3 Tobacco and Amberwood by Guess for Men 3.4 oz EDP Spray</t>
        </is>
      </c>
      <c r="C14539" t="inlineStr">
        <is>
          <t>Eau De Parfum</t>
        </is>
      </c>
      <c r="D14539" t="inlineStr">
        <is>
          <t>Guess</t>
        </is>
      </c>
      <c r="E14539" t="n">
        <v>22.12</v>
      </c>
      <c r="F14539" t="n">
        <v>1</v>
      </c>
      <c r="G14539" t="n">
        <v>8</v>
      </c>
      <c r="H14539" s="5">
        <f>HYPERLINK("https://api.qogita.com/variants/link/0085715323217/", "View Product")</f>
        <v/>
      </c>
    </row>
    <row r="14540">
      <c r="A14540" t="inlineStr">
        <is>
          <t>0085715323590</t>
        </is>
      </c>
      <c r="B14540" t="inlineStr">
        <is>
          <t>GUESS Amore Capri Eau de Toilette for Women and Men Genderless Unisex Perfume Spray 3.4 Fl. Oz.</t>
        </is>
      </c>
      <c r="C14540" t="inlineStr">
        <is>
          <t>Eau De Toilette</t>
        </is>
      </c>
      <c r="D14540" t="inlineStr">
        <is>
          <t>Guess</t>
        </is>
      </c>
      <c r="E14540" t="n">
        <v>17.98</v>
      </c>
      <c r="F14540" t="n">
        <v>1</v>
      </c>
      <c r="G14540" t="n">
        <v>25</v>
      </c>
      <c r="H14540" s="5">
        <f>HYPERLINK("https://api.qogita.com/variants/link/0085715323590/", "View Product")</f>
        <v/>
      </c>
    </row>
    <row r="14541">
      <c r="A14541" t="inlineStr">
        <is>
          <t>0085715326607</t>
        </is>
      </c>
      <c r="B14541" t="inlineStr">
        <is>
          <t>GUESS Uomo Eau de Toilette 100ml</t>
        </is>
      </c>
      <c r="C14541" t="inlineStr">
        <is>
          <t>Eau De Toilette</t>
        </is>
      </c>
      <c r="D14541" t="inlineStr">
        <is>
          <t>Guess</t>
        </is>
      </c>
      <c r="E14541" t="n">
        <v>21.55</v>
      </c>
      <c r="F14541" t="n">
        <v>1</v>
      </c>
      <c r="G14541" t="n">
        <v>11</v>
      </c>
      <c r="H14541" s="5">
        <f>HYPERLINK("https://api.qogita.com/variants/link/0085715326607/", "View Product")</f>
        <v/>
      </c>
    </row>
    <row r="14542">
      <c r="A14542" t="inlineStr">
        <is>
          <t>0085715326904</t>
        </is>
      </c>
      <c r="B14542" t="inlineStr">
        <is>
          <t>Guess Love Passion Kiss Body Mist for Women Floral and Citrusy Fragrance</t>
        </is>
      </c>
      <c r="C14542" t="inlineStr">
        <is>
          <t>Eau De Toilette</t>
        </is>
      </c>
      <c r="D14542" t="inlineStr">
        <is>
          <t>Guess</t>
        </is>
      </c>
      <c r="E14542" t="n">
        <v>8.59</v>
      </c>
      <c r="F14542" t="n">
        <v>1</v>
      </c>
      <c r="G14542" t="n">
        <v>7</v>
      </c>
      <c r="H14542" s="5">
        <f>HYPERLINK("https://api.qogita.com/variants/link/0085715326904/", "View Product")</f>
        <v/>
      </c>
    </row>
    <row r="14543">
      <c r="A14543" t="inlineStr">
        <is>
          <t>0085715326911</t>
        </is>
      </c>
      <c r="B14543" t="inlineStr">
        <is>
          <t>GUESS Love Romantic Blush Fragrance Mist 250ml</t>
        </is>
      </c>
      <c r="C14543" t="inlineStr">
        <is>
          <t>Eau De Toilette</t>
        </is>
      </c>
      <c r="D14543" t="inlineStr">
        <is>
          <t>Guess</t>
        </is>
      </c>
      <c r="E14543" t="n">
        <v>6.39</v>
      </c>
      <c r="F14543" t="n">
        <v>1</v>
      </c>
      <c r="G14543" t="n">
        <v>3</v>
      </c>
      <c r="H14543" s="5">
        <f>HYPERLINK("https://api.qogita.com/variants/link/0085715326911/", "View Product")</f>
        <v/>
      </c>
    </row>
    <row r="14544">
      <c r="A14544" t="inlineStr">
        <is>
          <t>0085715327055</t>
        </is>
      </c>
      <c r="B14544" t="inlineStr">
        <is>
          <t>Guess Sexy Skin Metallique Rose Fragrance Mist for Women 8.4 Fl Oz</t>
        </is>
      </c>
      <c r="C14544" t="inlineStr">
        <is>
          <t>Fragrance Sets</t>
        </is>
      </c>
      <c r="D14544" t="inlineStr">
        <is>
          <t>Guess</t>
        </is>
      </c>
      <c r="E14544" t="n">
        <v>9.83</v>
      </c>
      <c r="F14544" t="n">
        <v>1</v>
      </c>
      <c r="G14544" t="n">
        <v>18</v>
      </c>
      <c r="H14544" s="5">
        <f>HYPERLINK("https://api.qogita.com/variants/link/0085715327055/", "View Product")</f>
        <v/>
      </c>
    </row>
    <row r="14545">
      <c r="A14545" t="inlineStr">
        <is>
          <t>0085715327123</t>
        </is>
      </c>
      <c r="B14545" t="inlineStr">
        <is>
          <t>Guess Destination Miami Vibes Shimmer Body Mist Spray, 8.4 Fl Oz</t>
        </is>
      </c>
      <c r="C14545" t="inlineStr">
        <is>
          <t>Eau De Toilette</t>
        </is>
      </c>
      <c r="D14545" t="inlineStr">
        <is>
          <t>Guess</t>
        </is>
      </c>
      <c r="E14545" t="n">
        <v>8.25</v>
      </c>
      <c r="F14545" t="n">
        <v>1</v>
      </c>
      <c r="G14545" t="n">
        <v>6</v>
      </c>
      <c r="H14545" s="5">
        <f>HYPERLINK("https://api.qogita.com/variants/link/0085715327123/", "View Product")</f>
        <v/>
      </c>
    </row>
    <row r="14546">
      <c r="A14546" t="inlineStr">
        <is>
          <t>0085715327222</t>
        </is>
      </c>
      <c r="B14546" t="inlineStr">
        <is>
          <t>GUESS Grooming Effect Face Wash 200ml</t>
        </is>
      </c>
      <c r="C14546" t="inlineStr">
        <is>
          <t>Cleansing Foam</t>
        </is>
      </c>
      <c r="D14546" t="inlineStr">
        <is>
          <t>Guess</t>
        </is>
      </c>
      <c r="E14546" t="n">
        <v>3.27</v>
      </c>
      <c r="F14546" t="n">
        <v>1</v>
      </c>
      <c r="G14546" t="n">
        <v>65</v>
      </c>
      <c r="H14546" s="5">
        <f>HYPERLINK("https://api.qogita.com/variants/link/0085715327222/", "View Product")</f>
        <v/>
      </c>
    </row>
    <row r="14547">
      <c r="A14547" t="inlineStr">
        <is>
          <t>0085715333049</t>
        </is>
      </c>
      <c r="B14547" t="inlineStr">
        <is>
          <t>Guess Bella Vita Rosa EDT 100ml</t>
        </is>
      </c>
      <c r="C14547" t="inlineStr">
        <is>
          <t>Eau De Toilette</t>
        </is>
      </c>
      <c r="D14547" t="inlineStr">
        <is>
          <t>Guess</t>
        </is>
      </c>
      <c r="E14547" t="n">
        <v>24.04</v>
      </c>
      <c r="F14547" t="n">
        <v>1</v>
      </c>
      <c r="G14547" t="n">
        <v>147</v>
      </c>
      <c r="H14547" s="5">
        <f>HYPERLINK("https://api.qogita.com/variants/link/0085715333049/", "View Product")</f>
        <v/>
      </c>
    </row>
    <row r="14548">
      <c r="A14548" t="inlineStr">
        <is>
          <t>0085715561039</t>
        </is>
      </c>
      <c r="B14548" t="inlineStr">
        <is>
          <t>Oscar De La Renta Extraordinary Eau de Parfum 90ml 3oz</t>
        </is>
      </c>
      <c r="C14548" t="inlineStr">
        <is>
          <t>Eau De Parfum</t>
        </is>
      </c>
      <c r="D14548" t="inlineStr">
        <is>
          <t>Oscar De La Renta</t>
        </is>
      </c>
      <c r="E14548" t="n">
        <v>17.79</v>
      </c>
      <c r="F14548" t="n">
        <v>1</v>
      </c>
      <c r="G14548" t="n">
        <v>5</v>
      </c>
      <c r="H14548" s="5">
        <f>HYPERLINK("https://api.qogita.com/variants/link/0085715561039/", "View Product")</f>
        <v/>
      </c>
    </row>
    <row r="14549">
      <c r="A14549" t="inlineStr">
        <is>
          <t>0085715564207</t>
        </is>
      </c>
      <c r="B14549" t="inlineStr">
        <is>
          <t>Oscar De La Renta Bella Rosa For Women 3.4 Oz EDP Spray 100.6ml</t>
        </is>
      </c>
      <c r="C14549" t="inlineStr">
        <is>
          <t>Eau De Parfum</t>
        </is>
      </c>
      <c r="D14549" t="inlineStr">
        <is>
          <t>Oscar De La Renta</t>
        </is>
      </c>
      <c r="E14549" t="n">
        <v>24.05</v>
      </c>
      <c r="F14549" t="n">
        <v>1</v>
      </c>
      <c r="G14549" t="n">
        <v>16</v>
      </c>
      <c r="H14549" s="5">
        <f>HYPERLINK("https://api.qogita.com/variants/link/0085715564207/", "View Product")</f>
        <v/>
      </c>
    </row>
    <row r="14550">
      <c r="A14550" t="inlineStr">
        <is>
          <t>0085715565105</t>
        </is>
      </c>
      <c r="B14550" t="inlineStr">
        <is>
          <t>Oscar de la Renta Bella Essence for Women 3.4oz EDP Spray</t>
        </is>
      </c>
      <c r="C14550" t="inlineStr">
        <is>
          <t>Eau De Parfum</t>
        </is>
      </c>
      <c r="D14550" t="inlineStr">
        <is>
          <t>Oscar De La Renta</t>
        </is>
      </c>
      <c r="E14550" t="n">
        <v>34.64</v>
      </c>
      <c r="F14550" t="n">
        <v>1</v>
      </c>
      <c r="G14550" t="n">
        <v>6</v>
      </c>
      <c r="H14550" s="5">
        <f>HYPERLINK("https://api.qogita.com/variants/link/0085715565105/", "View Product")</f>
        <v/>
      </c>
    </row>
    <row r="14551">
      <c r="A14551" t="inlineStr">
        <is>
          <t>0085715566416</t>
        </is>
      </c>
      <c r="B14551" t="inlineStr">
        <is>
          <t>Oscar de la Renta Alibi Eau Sensuelle Eau de Parfum Perfume Spray For Women 1.70 Fl Oz</t>
        </is>
      </c>
      <c r="C14551" t="inlineStr">
        <is>
          <t>Eau De Parfum</t>
        </is>
      </c>
      <c r="D14551" t="inlineStr">
        <is>
          <t>Oscar De La Renta</t>
        </is>
      </c>
      <c r="E14551" t="n">
        <v>29.62</v>
      </c>
      <c r="F14551" t="n">
        <v>1</v>
      </c>
      <c r="G14551" t="n">
        <v>8</v>
      </c>
      <c r="H14551" s="5">
        <f>HYPERLINK("https://api.qogita.com/variants/link/0085715566416/", "View Product")</f>
        <v/>
      </c>
    </row>
    <row r="14552">
      <c r="A14552" t="inlineStr">
        <is>
          <t>0085715567239</t>
        </is>
      </c>
      <c r="B14552" t="inlineStr">
        <is>
          <t>Oscar De La Renta Alibi Eau De Toilette 50ml</t>
        </is>
      </c>
      <c r="C14552" t="inlineStr">
        <is>
          <t>Eau De Toilette</t>
        </is>
      </c>
      <c r="D14552" t="inlineStr">
        <is>
          <t>Oscar De La Renta</t>
        </is>
      </c>
      <c r="E14552" t="n">
        <v>24.01</v>
      </c>
      <c r="F14552" t="n">
        <v>1</v>
      </c>
      <c r="G14552" t="n">
        <v>5</v>
      </c>
      <c r="H14552" s="5">
        <f>HYPERLINK("https://api.qogita.com/variants/link/0085715567239/", "View Product")</f>
        <v/>
      </c>
    </row>
    <row r="14553">
      <c r="A14553" t="inlineStr">
        <is>
          <t>0085715568267</t>
        </is>
      </c>
      <c r="B14553" t="inlineStr">
        <is>
          <t>Oscar de la Renta Alibi Eau So Chic Eau de Toilette Perfume Spray for Women 3.4 fl oz</t>
        </is>
      </c>
      <c r="C14553" t="inlineStr">
        <is>
          <t>Eau De Toilette</t>
        </is>
      </c>
      <c r="D14553" t="inlineStr">
        <is>
          <t>Oscar De La Renta</t>
        </is>
      </c>
      <c r="E14553" t="n">
        <v>34.5</v>
      </c>
      <c r="F14553" t="n">
        <v>1</v>
      </c>
      <c r="G14553" t="n">
        <v>3</v>
      </c>
      <c r="H14553" s="5">
        <f>HYPERLINK("https://api.qogita.com/variants/link/0085715568267/", "View Product")</f>
        <v/>
      </c>
    </row>
    <row r="14554">
      <c r="A14554" t="inlineStr">
        <is>
          <t>0085715568281</t>
        </is>
      </c>
      <c r="B14554" t="inlineStr">
        <is>
          <t>Oscar De La Renta New York Eau De Parfum 100 Ml</t>
        </is>
      </c>
      <c r="C14554" t="inlineStr">
        <is>
          <t>Eau De Parfum</t>
        </is>
      </c>
      <c r="D14554" t="inlineStr">
        <is>
          <t>Oscar De La Renta</t>
        </is>
      </c>
      <c r="E14554" t="n">
        <v>35.6</v>
      </c>
      <c r="F14554" t="n">
        <v>1</v>
      </c>
      <c r="G14554" t="n">
        <v>23</v>
      </c>
      <c r="H14554" s="5">
        <f>HYPERLINK("https://api.qogita.com/variants/link/0085715568281/", "View Product")</f>
        <v/>
      </c>
    </row>
    <row r="14555">
      <c r="A14555" t="inlineStr">
        <is>
          <t>0085715573605</t>
        </is>
      </c>
      <c r="B14555" t="inlineStr">
        <is>
          <t>Oscar De La Renta EDT Spray 3.4oz Rose</t>
        </is>
      </c>
      <c r="C14555" t="inlineStr">
        <is>
          <t>Eau De Toilette</t>
        </is>
      </c>
      <c r="D14555" t="inlineStr">
        <is>
          <t>Oscar De La Renta</t>
        </is>
      </c>
      <c r="E14555" t="n">
        <v>17.26</v>
      </c>
      <c r="F14555" t="n">
        <v>1</v>
      </c>
      <c r="G14555" t="n">
        <v>5</v>
      </c>
      <c r="H14555" s="5">
        <f>HYPERLINK("https://api.qogita.com/variants/link/0085715573605/", "View Product")</f>
        <v/>
      </c>
    </row>
    <row r="14556">
      <c r="A14556" t="inlineStr">
        <is>
          <t>0085715671042</t>
        </is>
      </c>
      <c r="B14556" t="inlineStr">
        <is>
          <t>French Connection UK FCUK For Women Eau De Toilette Spray 3.4oz</t>
        </is>
      </c>
      <c r="C14556" t="inlineStr">
        <is>
          <t>Eau De Toilette</t>
        </is>
      </c>
      <c r="D14556" t="inlineStr">
        <is>
          <t>Fcuk</t>
        </is>
      </c>
      <c r="E14556" t="n">
        <v>9.23</v>
      </c>
      <c r="F14556" t="n">
        <v>1</v>
      </c>
      <c r="G14556" t="n">
        <v>8</v>
      </c>
      <c r="H14556" s="5">
        <f>HYPERLINK("https://api.qogita.com/variants/link/0085715671042/", "View Product")</f>
        <v/>
      </c>
    </row>
    <row r="14557">
      <c r="A14557" t="inlineStr">
        <is>
          <t>0085715671462</t>
        </is>
      </c>
      <c r="B14557" t="inlineStr">
        <is>
          <t>Fcuk French Connection UK Forever Intense for Women 3.4 Oz EDT Spray</t>
        </is>
      </c>
      <c r="C14557" t="inlineStr">
        <is>
          <t>Eau De Toilette</t>
        </is>
      </c>
      <c r="D14557" t="inlineStr">
        <is>
          <t>French Connection</t>
        </is>
      </c>
      <c r="E14557" t="n">
        <v>12.33</v>
      </c>
      <c r="F14557" t="n">
        <v>1</v>
      </c>
      <c r="G14557" t="n">
        <v>3</v>
      </c>
      <c r="H14557" s="5">
        <f>HYPERLINK("https://api.qogita.com/variants/link/0085715671462/", "View Product")</f>
        <v/>
      </c>
    </row>
    <row r="14558">
      <c r="A14558" t="inlineStr">
        <is>
          <t>0085715801067</t>
        </is>
      </c>
      <c r="B14558" t="inlineStr">
        <is>
          <t>Dunhill London Desire For A Man Eau De Toilette Spray 100ml</t>
        </is>
      </c>
      <c r="C14558" t="inlineStr">
        <is>
          <t>Eau De Toilette</t>
        </is>
      </c>
      <c r="D14558" t="inlineStr">
        <is>
          <t>Dunhill</t>
        </is>
      </c>
      <c r="E14558" t="n">
        <v>32.15</v>
      </c>
      <c r="F14558" t="n">
        <v>1</v>
      </c>
      <c r="G14558" t="n">
        <v>35</v>
      </c>
      <c r="H14558" s="5">
        <f>HYPERLINK("https://api.qogita.com/variants/link/0085715801067/", "View Product")</f>
        <v/>
      </c>
    </row>
    <row r="14559">
      <c r="A14559" t="inlineStr">
        <is>
          <t>0085715801715</t>
        </is>
      </c>
      <c r="B14559" t="inlineStr">
        <is>
          <t>Dunhill Desire Black Eau de Toilette Spray 100ml</t>
        </is>
      </c>
      <c r="C14559" t="inlineStr">
        <is>
          <t>Eau De Toilette</t>
        </is>
      </c>
      <c r="D14559" t="inlineStr">
        <is>
          <t>Dunhill</t>
        </is>
      </c>
      <c r="E14559" t="n">
        <v>23.11</v>
      </c>
      <c r="F14559" t="n">
        <v>1</v>
      </c>
      <c r="G14559" t="n">
        <v>5</v>
      </c>
      <c r="H14559" s="5">
        <f>HYPERLINK("https://api.qogita.com/variants/link/0085715801715/", "View Product")</f>
        <v/>
      </c>
    </row>
    <row r="14560">
      <c r="A14560" t="inlineStr">
        <is>
          <t>0085715801814</t>
        </is>
      </c>
      <c r="B14560" t="inlineStr">
        <is>
          <t>Dunhill Desire Silver Man Eau de Toilette Spray 100ml</t>
        </is>
      </c>
      <c r="C14560" t="inlineStr">
        <is>
          <t>Eau De Toilette</t>
        </is>
      </c>
      <c r="D14560" t="inlineStr">
        <is>
          <t>Alfred Dunhill</t>
        </is>
      </c>
      <c r="E14560" t="n">
        <v>20.22</v>
      </c>
      <c r="F14560" t="n">
        <v>1</v>
      </c>
      <c r="G14560" t="n">
        <v>2</v>
      </c>
      <c r="H14560" s="5">
        <f>HYPERLINK("https://api.qogita.com/variants/link/0085715801814/", "View Product")</f>
        <v/>
      </c>
    </row>
    <row r="14561">
      <c r="A14561" t="inlineStr">
        <is>
          <t>0085715806635</t>
        </is>
      </c>
      <c r="B14561" t="inlineStr">
        <is>
          <t>Alfred Dunhill Dunhill British Leather Eau De Parfum Spray 100ml</t>
        </is>
      </c>
      <c r="C14561" t="inlineStr">
        <is>
          <t>Eau De Parfum</t>
        </is>
      </c>
      <c r="D14561" t="inlineStr">
        <is>
          <t>Alfred Dunhill</t>
        </is>
      </c>
      <c r="E14561" t="n">
        <v>42.99</v>
      </c>
      <c r="F14561" t="n">
        <v>1</v>
      </c>
      <c r="G14561" t="n">
        <v>5</v>
      </c>
      <c r="H14561" s="5">
        <f>HYPERLINK("https://api.qogita.com/variants/link/0085715806635/", "View Product")</f>
        <v/>
      </c>
    </row>
    <row r="14562">
      <c r="A14562" t="inlineStr">
        <is>
          <t>0085715950048</t>
        </is>
      </c>
      <c r="B14562" t="inlineStr">
        <is>
          <t>DKNY Be Delicious Eau de Toilette Perfume Spray For Women 1.0 Fl. Oz.</t>
        </is>
      </c>
      <c r="C14562" t="inlineStr">
        <is>
          <t>Eau De Toilette</t>
        </is>
      </c>
      <c r="D14562" t="inlineStr">
        <is>
          <t>DKNY</t>
        </is>
      </c>
      <c r="E14562" t="n">
        <v>18.78</v>
      </c>
      <c r="F14562" t="n">
        <v>1</v>
      </c>
      <c r="G14562" t="n">
        <v>3</v>
      </c>
      <c r="H14562" s="5">
        <f>HYPERLINK("https://api.qogita.com/variants/link/0085715950048/", "View Product")</f>
        <v/>
      </c>
    </row>
    <row r="14563">
      <c r="A14563" t="inlineStr">
        <is>
          <t>0085715950147</t>
        </is>
      </c>
      <c r="B14563" t="inlineStr">
        <is>
          <t>DKNY Be Extra Delicious Eau de Parfum 100ml</t>
        </is>
      </c>
      <c r="C14563" t="inlineStr">
        <is>
          <t>Eau De Parfum</t>
        </is>
      </c>
      <c r="D14563" t="inlineStr">
        <is>
          <t>DKNY</t>
        </is>
      </c>
      <c r="E14563" t="n">
        <v>26.01</v>
      </c>
      <c r="F14563" t="n">
        <v>1</v>
      </c>
      <c r="G14563" t="n">
        <v>5</v>
      </c>
      <c r="H14563" s="5">
        <f>HYPERLINK("https://api.qogita.com/variants/link/0085715950147/", "View Product")</f>
        <v/>
      </c>
    </row>
    <row r="14564">
      <c r="A14564" t="inlineStr">
        <is>
          <t>0085715950284</t>
        </is>
      </c>
      <c r="B14564" t="inlineStr">
        <is>
          <t>DKNY Women Eau De Toilette 100ml</t>
        </is>
      </c>
      <c r="C14564" t="inlineStr">
        <is>
          <t>Eau De Toilette</t>
        </is>
      </c>
      <c r="D14564" t="inlineStr">
        <is>
          <t>DKNY</t>
        </is>
      </c>
      <c r="E14564" t="n">
        <v>26.47</v>
      </c>
      <c r="F14564" t="n">
        <v>1</v>
      </c>
      <c r="G14564" t="n">
        <v>81</v>
      </c>
      <c r="H14564" s="5">
        <f>HYPERLINK("https://api.qogita.com/variants/link/0085715950284/", "View Product")</f>
        <v/>
      </c>
    </row>
    <row r="14565">
      <c r="A14565" t="inlineStr">
        <is>
          <t>0085715950345</t>
        </is>
      </c>
      <c r="B14565" t="inlineStr">
        <is>
          <t>DKNY Be Delicious Pool Party Eau de Toilette Perfume Spray For Women Bay Breeze 1.7 Fl. Oz</t>
        </is>
      </c>
      <c r="C14565" t="inlineStr">
        <is>
          <t>Eau De Toilette</t>
        </is>
      </c>
      <c r="D14565" t="inlineStr">
        <is>
          <t>DKNY</t>
        </is>
      </c>
      <c r="E14565" t="n">
        <v>18.78</v>
      </c>
      <c r="F14565" t="n">
        <v>1</v>
      </c>
      <c r="G14565" t="n">
        <v>10</v>
      </c>
      <c r="H14565" s="5">
        <f>HYPERLINK("https://api.qogita.com/variants/link/0085715950345/", "View Product")</f>
        <v/>
      </c>
    </row>
    <row r="14566">
      <c r="A14566" t="inlineStr">
        <is>
          <t>0085715950369</t>
        </is>
      </c>
      <c r="B14566" t="inlineStr">
        <is>
          <t>DKNY Be Delicious Pool Party Eau de Toilette Perfume Spray For Women Lime Mojito 1.7 Fl. Oz.</t>
        </is>
      </c>
      <c r="C14566" t="inlineStr">
        <is>
          <t>Eau De Toilette</t>
        </is>
      </c>
      <c r="D14566" t="inlineStr">
        <is>
          <t>DKNY</t>
        </is>
      </c>
      <c r="E14566" t="n">
        <v>24.1</v>
      </c>
      <c r="F14566" t="n">
        <v>1</v>
      </c>
      <c r="G14566" t="n">
        <v>11</v>
      </c>
      <c r="H14566" s="5">
        <f>HYPERLINK("https://api.qogita.com/variants/link/0085715950369/", "View Product")</f>
        <v/>
      </c>
    </row>
    <row r="14567">
      <c r="A14567" t="inlineStr">
        <is>
          <t>0085715950420</t>
        </is>
      </c>
      <c r="B14567" t="inlineStr">
        <is>
          <t>DKNY Be Delicious Orchard St. Eau de Parfum 50ml</t>
        </is>
      </c>
      <c r="C14567" t="inlineStr">
        <is>
          <t>Eau De Parfum</t>
        </is>
      </c>
      <c r="D14567" t="inlineStr">
        <is>
          <t>DKNY</t>
        </is>
      </c>
      <c r="E14567" t="n">
        <v>30.82</v>
      </c>
      <c r="F14567" t="n">
        <v>1</v>
      </c>
      <c r="G14567" t="n">
        <v>33</v>
      </c>
      <c r="H14567" s="5">
        <f>HYPERLINK("https://api.qogita.com/variants/link/0085715950420/", "View Product")</f>
        <v/>
      </c>
    </row>
    <row r="14568">
      <c r="A14568" t="inlineStr">
        <is>
          <t>0085715950451</t>
        </is>
      </c>
      <c r="B14568" t="inlineStr">
        <is>
          <t>DKNY 24/7 Eau de Parfum 1.7 Fl Oz</t>
        </is>
      </c>
      <c r="C14568" t="inlineStr">
        <is>
          <t>Eau De Parfum</t>
        </is>
      </c>
      <c r="D14568" t="inlineStr">
        <is>
          <t>DKNY</t>
        </is>
      </c>
      <c r="E14568" t="n">
        <v>17.98</v>
      </c>
      <c r="F14568" t="n">
        <v>1</v>
      </c>
      <c r="G14568" t="n">
        <v>63</v>
      </c>
      <c r="H14568" s="5">
        <f>HYPERLINK("https://api.qogita.com/variants/link/0085715950451/", "View Product")</f>
        <v/>
      </c>
    </row>
    <row r="14569">
      <c r="A14569" t="inlineStr">
        <is>
          <t>0085715950468</t>
        </is>
      </c>
      <c r="B14569" t="inlineStr">
        <is>
          <t>DKNY 24/7 Eau de Parfum 1 Fl Oz</t>
        </is>
      </c>
      <c r="C14569" t="inlineStr">
        <is>
          <t>Eau De Parfum</t>
        </is>
      </c>
      <c r="D14569" t="inlineStr">
        <is>
          <t>DKNY</t>
        </is>
      </c>
      <c r="E14569" t="n">
        <v>17.04</v>
      </c>
      <c r="F14569" t="n">
        <v>1</v>
      </c>
      <c r="G14569" t="n">
        <v>9</v>
      </c>
      <c r="H14569" s="5">
        <f>HYPERLINK("https://api.qogita.com/variants/link/0085715950468/", "View Product")</f>
        <v/>
      </c>
    </row>
    <row r="14570">
      <c r="A14570" t="inlineStr">
        <is>
          <t>0085715952424</t>
        </is>
      </c>
      <c r="B14570" t="inlineStr">
        <is>
          <t>DKNY Be Delicious Ice Pop Eau De Parfum Spray for Women - Citrus Splash</t>
        </is>
      </c>
      <c r="C14570" t="inlineStr">
        <is>
          <t>Eau De Parfum</t>
        </is>
      </c>
      <c r="D14570" t="inlineStr">
        <is>
          <t>DKNY</t>
        </is>
      </c>
      <c r="E14570" t="n">
        <v>20.47</v>
      </c>
      <c r="F14570" t="n">
        <v>1</v>
      </c>
      <c r="G14570" t="n">
        <v>4</v>
      </c>
      <c r="H14570" s="5">
        <f>HYPERLINK("https://api.qogita.com/variants/link/0085715952424/", "View Product")</f>
        <v/>
      </c>
    </row>
    <row r="14571">
      <c r="A14571" t="inlineStr">
        <is>
          <t>0085805055097</t>
        </is>
      </c>
      <c r="B14571" t="inlineStr">
        <is>
          <t>Elizabeth Arden Eight Hour Moisturizing Body Treatment Moisturizing Cream 200ml</t>
        </is>
      </c>
      <c r="C14571" t="inlineStr">
        <is>
          <t>Body Lotion</t>
        </is>
      </c>
      <c r="D14571" t="inlineStr">
        <is>
          <t>Elizabeth Arden</t>
        </is>
      </c>
      <c r="E14571" t="n">
        <v>10.09</v>
      </c>
      <c r="F14571" t="n">
        <v>1</v>
      </c>
      <c r="G14571" t="n">
        <v>11</v>
      </c>
      <c r="H14571" s="5">
        <f>HYPERLINK("https://api.qogita.com/variants/link/0085805055097/", "View Product")</f>
        <v/>
      </c>
    </row>
    <row r="14572">
      <c r="A14572" t="inlineStr">
        <is>
          <t>0085805071387</t>
        </is>
      </c>
      <c r="B14572" t="inlineStr">
        <is>
          <t>Elizabeth Arden Green Tea Honey Drops Body Cream 500ml</t>
        </is>
      </c>
      <c r="C14572" t="inlineStr">
        <is>
          <t>Body Lotion</t>
        </is>
      </c>
      <c r="D14572" t="inlineStr">
        <is>
          <t>Elizabeth Arden</t>
        </is>
      </c>
      <c r="E14572" t="n">
        <v>13.44</v>
      </c>
      <c r="F14572" t="n">
        <v>1</v>
      </c>
      <c r="G14572" t="n">
        <v>61</v>
      </c>
      <c r="H14572" s="5">
        <f>HYPERLINK("https://api.qogita.com/variants/link/0085805071387/", "View Product")</f>
        <v/>
      </c>
    </row>
    <row r="14573">
      <c r="A14573" t="inlineStr">
        <is>
          <t>0085805151133</t>
        </is>
      </c>
      <c r="B14573" t="inlineStr">
        <is>
          <t>Elizabeth Arden Flawless Finish Sponge On Cream Makeup Foundation Bronzed Beige II</t>
        </is>
      </c>
      <c r="C14573" t="inlineStr">
        <is>
          <t>Foundation</t>
        </is>
      </c>
      <c r="D14573" t="inlineStr">
        <is>
          <t>Elizabeth Arden</t>
        </is>
      </c>
      <c r="E14573" t="n">
        <v>20.21</v>
      </c>
      <c r="F14573" t="n">
        <v>1</v>
      </c>
      <c r="G14573" t="n">
        <v>5</v>
      </c>
      <c r="H14573" s="5">
        <f>HYPERLINK("https://api.qogita.com/variants/link/0085805151133/", "View Product")</f>
        <v/>
      </c>
    </row>
    <row r="14574">
      <c r="A14574" t="inlineStr">
        <is>
          <t>0085805151669</t>
        </is>
      </c>
      <c r="B14574" t="inlineStr">
        <is>
          <t>Elizabeth Arden Flawless Finish Sponge On Cream Makeup Foundation Toasty Beige</t>
        </is>
      </c>
      <c r="C14574" t="inlineStr">
        <is>
          <t>Foundation</t>
        </is>
      </c>
      <c r="D14574" t="inlineStr">
        <is>
          <t>Elizabeth Arden</t>
        </is>
      </c>
      <c r="E14574" t="n">
        <v>22.61</v>
      </c>
      <c r="F14574" t="n">
        <v>1</v>
      </c>
      <c r="G14574" t="n">
        <v>8</v>
      </c>
      <c r="H14574" s="5">
        <f>HYPERLINK("https://api.qogita.com/variants/link/0085805151669/", "View Product")</f>
        <v/>
      </c>
    </row>
    <row r="14575">
      <c r="A14575" t="inlineStr">
        <is>
          <t>0085805194130</t>
        </is>
      </c>
      <c r="B14575" t="inlineStr">
        <is>
          <t>Elizabeth Arden Sunflowers Sunrise Eau De Toilette 100ml</t>
        </is>
      </c>
      <c r="C14575" t="inlineStr">
        <is>
          <t>Eau De Toilette</t>
        </is>
      </c>
      <c r="D14575" t="inlineStr">
        <is>
          <t>Elizabeth Arden</t>
        </is>
      </c>
      <c r="E14575" t="n">
        <v>8.220000000000001</v>
      </c>
      <c r="F14575" t="n">
        <v>1</v>
      </c>
      <c r="G14575" t="n">
        <v>13</v>
      </c>
      <c r="H14575" s="5">
        <f>HYPERLINK("https://api.qogita.com/variants/link/0085805194130/", "View Product")</f>
        <v/>
      </c>
    </row>
    <row r="14576">
      <c r="A14576" t="inlineStr">
        <is>
          <t>0085805197889</t>
        </is>
      </c>
      <c r="B14576" t="inlineStr">
        <is>
          <t>Elizabeth Arden Replenish and Restore Ceramide Capsules for Women 1.41oz Capsules</t>
        </is>
      </c>
      <c r="C14576" t="inlineStr">
        <is>
          <t>Ampoules</t>
        </is>
      </c>
      <c r="D14576" t="inlineStr">
        <is>
          <t>Elizabeth Arden</t>
        </is>
      </c>
      <c r="E14576" t="n">
        <v>64.78</v>
      </c>
      <c r="F14576" t="n">
        <v>1</v>
      </c>
      <c r="G14576" t="n">
        <v>23</v>
      </c>
      <c r="H14576" s="5">
        <f>HYPERLINK("https://api.qogita.com/variants/link/0085805197889/", "View Product")</f>
        <v/>
      </c>
    </row>
    <row r="14577">
      <c r="A14577" t="inlineStr">
        <is>
          <t>0085805199180</t>
        </is>
      </c>
      <c r="B14577" t="inlineStr">
        <is>
          <t>Elizabeth Arden Green Tea Deodorant Spray 150ml</t>
        </is>
      </c>
      <c r="C14577" t="inlineStr">
        <is>
          <t>Deodorant &amp; Anti-Perspirant</t>
        </is>
      </c>
      <c r="D14577" t="inlineStr">
        <is>
          <t>Elizabeth Arden</t>
        </is>
      </c>
      <c r="E14577" t="n">
        <v>7.83</v>
      </c>
      <c r="F14577" t="n">
        <v>1</v>
      </c>
      <c r="G14577" t="n">
        <v>18</v>
      </c>
      <c r="H14577" s="5">
        <f>HYPERLINK("https://api.qogita.com/variants/link/0085805199180/", "View Product")</f>
        <v/>
      </c>
    </row>
    <row r="14578">
      <c r="A14578" t="inlineStr">
        <is>
          <t>0085805199425</t>
        </is>
      </c>
      <c r="B14578" t="inlineStr">
        <is>
          <t>Elizabeth Arden Green Tea Mimosa EDT 100ml</t>
        </is>
      </c>
      <c r="C14578" t="inlineStr">
        <is>
          <t>Eau De Toilette</t>
        </is>
      </c>
      <c r="D14578" t="inlineStr">
        <is>
          <t>Elizabeth Arden</t>
        </is>
      </c>
      <c r="E14578" t="n">
        <v>9.01</v>
      </c>
      <c r="F14578" t="n">
        <v>1</v>
      </c>
      <c r="G14578" t="n">
        <v>16</v>
      </c>
      <c r="H14578" s="5">
        <f>HYPERLINK("https://api.qogita.com/variants/link/0085805199425/", "View Product")</f>
        <v/>
      </c>
    </row>
    <row r="14579">
      <c r="A14579" t="inlineStr">
        <is>
          <t>0085805210618</t>
        </is>
      </c>
      <c r="B14579" t="inlineStr">
        <is>
          <t>Elizabeth Arden 5th Avenue NYC LOVE Eau de Parfum Spray</t>
        </is>
      </c>
      <c r="C14579" t="inlineStr">
        <is>
          <t>Eau De Parfum</t>
        </is>
      </c>
      <c r="D14579" t="inlineStr">
        <is>
          <t>Elizabeth Arden</t>
        </is>
      </c>
      <c r="E14579" t="n">
        <v>8.880000000000001</v>
      </c>
      <c r="F14579" t="n">
        <v>1</v>
      </c>
      <c r="G14579" t="n">
        <v>2</v>
      </c>
      <c r="H14579" s="5">
        <f>HYPERLINK("https://api.qogita.com/variants/link/0085805210618/", "View Product")</f>
        <v/>
      </c>
    </row>
    <row r="14580">
      <c r="A14580" t="inlineStr">
        <is>
          <t>0085805214845</t>
        </is>
      </c>
      <c r="B14580" t="inlineStr">
        <is>
          <t>Elizabeth Arden White Tea Eau Fraiche 3.3 Fl Oz</t>
        </is>
      </c>
      <c r="C14580" t="inlineStr">
        <is>
          <t>Eau De Toilette</t>
        </is>
      </c>
      <c r="D14580" t="inlineStr">
        <is>
          <t>Elizabeth Arden</t>
        </is>
      </c>
      <c r="E14580" t="n">
        <v>24.91</v>
      </c>
      <c r="F14580" t="n">
        <v>1</v>
      </c>
      <c r="G14580" t="n">
        <v>10</v>
      </c>
      <c r="H14580" s="5">
        <f>HYPERLINK("https://api.qogita.com/variants/link/0085805214845/", "View Product")</f>
        <v/>
      </c>
    </row>
    <row r="14581">
      <c r="A14581" t="inlineStr">
        <is>
          <t>0085805228439</t>
        </is>
      </c>
      <c r="B14581" t="inlineStr">
        <is>
          <t>Elizabeth Arden White Tea Wild Rose EDT Spray 50ml</t>
        </is>
      </c>
      <c r="C14581" t="inlineStr">
        <is>
          <t>Eau De Toilette</t>
        </is>
      </c>
      <c r="D14581" t="inlineStr">
        <is>
          <t>Elizabeth Arden</t>
        </is>
      </c>
      <c r="E14581" t="n">
        <v>14.63</v>
      </c>
      <c r="F14581" t="n">
        <v>1</v>
      </c>
      <c r="G14581" t="n">
        <v>11</v>
      </c>
      <c r="H14581" s="5">
        <f>HYPERLINK("https://api.qogita.com/variants/link/0085805228439/", "View Product")</f>
        <v/>
      </c>
    </row>
    <row r="14582">
      <c r="A14582" t="inlineStr">
        <is>
          <t>0085805230142</t>
        </is>
      </c>
      <c r="B14582" t="inlineStr">
        <is>
          <t>Elizabeth Arden White Tea Wild Rose Women's Eau De Toilette 30ml</t>
        </is>
      </c>
      <c r="C14582" t="inlineStr">
        <is>
          <t>Eau De Toilette</t>
        </is>
      </c>
      <c r="D14582" t="inlineStr">
        <is>
          <t>Elizabeth Arden</t>
        </is>
      </c>
      <c r="E14582" t="n">
        <v>11.65</v>
      </c>
      <c r="F14582" t="n">
        <v>1</v>
      </c>
      <c r="G14582" t="n">
        <v>28</v>
      </c>
      <c r="H14582" s="5">
        <f>HYPERLINK("https://api.qogita.com/variants/link/0085805230142/", "View Product")</f>
        <v/>
      </c>
    </row>
    <row r="14583">
      <c r="A14583" t="inlineStr">
        <is>
          <t>0085805242886</t>
        </is>
      </c>
      <c r="B14583" t="inlineStr">
        <is>
          <t>White Tea Skin Solutions Replenishing Micro-Gel Cream Moisturizing Cream 50ml</t>
        </is>
      </c>
      <c r="C14583" t="inlineStr">
        <is>
          <t>Face Cream</t>
        </is>
      </c>
      <c r="D14583" t="inlineStr">
        <is>
          <t>Elizabeth Arden</t>
        </is>
      </c>
      <c r="E14583" t="n">
        <v>27.61</v>
      </c>
      <c r="F14583" t="n">
        <v>1</v>
      </c>
      <c r="G14583" t="n">
        <v>32</v>
      </c>
      <c r="H14583" s="5">
        <f>HYPERLINK("https://api.qogita.com/variants/link/0085805242886/", "View Product")</f>
        <v/>
      </c>
    </row>
    <row r="14584">
      <c r="A14584" t="inlineStr">
        <is>
          <t>0085805255800</t>
        </is>
      </c>
      <c r="B14584" t="inlineStr">
        <is>
          <t>Elizabeth Arden 5th Avenue Eau De Parfum 125ml</t>
        </is>
      </c>
      <c r="C14584" t="inlineStr">
        <is>
          <t>Fragrance Sets</t>
        </is>
      </c>
      <c r="D14584" t="inlineStr">
        <is>
          <t>Elizabeth Arden</t>
        </is>
      </c>
      <c r="E14584" t="n">
        <v>20.83</v>
      </c>
      <c r="F14584" t="n">
        <v>1</v>
      </c>
      <c r="G14584" t="n">
        <v>15</v>
      </c>
      <c r="H14584" s="5">
        <f>HYPERLINK("https://api.qogita.com/variants/link/0085805255800/", "View Product")</f>
        <v/>
      </c>
    </row>
    <row r="14585">
      <c r="A14585" t="inlineStr">
        <is>
          <t>0085805255817</t>
        </is>
      </c>
      <c r="B14585" t="inlineStr">
        <is>
          <t>Elizabeth Arden Green Tea Scent Spray Green Tea Gift Set</t>
        </is>
      </c>
      <c r="C14585" t="inlineStr">
        <is>
          <t>Fragrance Sets</t>
        </is>
      </c>
      <c r="D14585" t="inlineStr">
        <is>
          <t>Elizabeth Arden</t>
        </is>
      </c>
      <c r="E14585" t="n">
        <v>13.23</v>
      </c>
      <c r="F14585" t="n">
        <v>1</v>
      </c>
      <c r="G14585" t="n">
        <v>425</v>
      </c>
      <c r="H14585" s="5">
        <f>HYPERLINK("https://api.qogita.com/variants/link/0085805255817/", "View Product")</f>
        <v/>
      </c>
    </row>
    <row r="14586">
      <c r="A14586" t="inlineStr">
        <is>
          <t>0085805256364</t>
        </is>
      </c>
      <c r="B14586" t="inlineStr">
        <is>
          <t>Elizabeth Arden Sunflowers HoneyDaze Eau de Toilette 100ml</t>
        </is>
      </c>
      <c r="C14586" t="inlineStr">
        <is>
          <t>Eau De Toilette</t>
        </is>
      </c>
      <c r="D14586" t="inlineStr">
        <is>
          <t>Elizabeth Arden</t>
        </is>
      </c>
      <c r="E14586" t="n">
        <v>10.68</v>
      </c>
      <c r="F14586" t="n">
        <v>1</v>
      </c>
      <c r="G14586" t="n">
        <v>26</v>
      </c>
      <c r="H14586" s="5">
        <f>HYPERLINK("https://api.qogita.com/variants/link/0085805256364/", "View Product")</f>
        <v/>
      </c>
    </row>
    <row r="14587">
      <c r="A14587" t="inlineStr">
        <is>
          <t>0085805260125</t>
        </is>
      </c>
      <c r="B14587" t="inlineStr">
        <is>
          <t>Elizabeth Arden Green Tea Coconut Breeze Honey Drops Body Cream 500ml Citrus Floral Fruity Fragrance Hydrating Perfumed for Women</t>
        </is>
      </c>
      <c r="C14587" t="inlineStr">
        <is>
          <t>Body Lotion</t>
        </is>
      </c>
      <c r="D14587" t="inlineStr">
        <is>
          <t>Elizabeth Arden</t>
        </is>
      </c>
      <c r="E14587" t="n">
        <v>19.16</v>
      </c>
      <c r="F14587" t="n">
        <v>1</v>
      </c>
      <c r="G14587" t="n">
        <v>35</v>
      </c>
      <c r="H14587" s="5">
        <f>HYPERLINK("https://api.qogita.com/variants/link/0085805260125/", "View Product")</f>
        <v/>
      </c>
    </row>
    <row r="14588">
      <c r="A14588" t="inlineStr">
        <is>
          <t>0085805260231</t>
        </is>
      </c>
      <c r="B14588" t="inlineStr">
        <is>
          <t>Elizabeth Arden Eight Hour Original Set</t>
        </is>
      </c>
      <c r="C14588" t="inlineStr">
        <is>
          <t>Facial Care Sets</t>
        </is>
      </c>
      <c r="D14588" t="inlineStr">
        <is>
          <t>Elizabeth Arden</t>
        </is>
      </c>
      <c r="E14588" t="n">
        <v>29.49</v>
      </c>
      <c r="F14588" t="n">
        <v>1</v>
      </c>
      <c r="G14588" t="n">
        <v>8</v>
      </c>
      <c r="H14588" s="5">
        <f>HYPERLINK("https://api.qogita.com/variants/link/0085805260231/", "View Product")</f>
        <v/>
      </c>
    </row>
    <row r="14589">
      <c r="A14589" t="inlineStr">
        <is>
          <t>0085805268848</t>
        </is>
      </c>
      <c r="B14589" t="inlineStr">
        <is>
          <t>Elizabeth Arden Green Tea Scent Spray 100ml</t>
        </is>
      </c>
      <c r="C14589" t="inlineStr">
        <is>
          <t>Eau De Toilette</t>
        </is>
      </c>
      <c r="D14589" t="inlineStr">
        <is>
          <t>Elizabeth Arden</t>
        </is>
      </c>
      <c r="E14589" t="n">
        <v>10.72</v>
      </c>
      <c r="F14589" t="n">
        <v>1</v>
      </c>
      <c r="G14589" t="n">
        <v>188</v>
      </c>
      <c r="H14589" s="5">
        <f>HYPERLINK("https://api.qogita.com/variants/link/0085805268848/", "View Product")</f>
        <v/>
      </c>
    </row>
    <row r="14590">
      <c r="A14590" t="inlineStr">
        <is>
          <t>0085805376451</t>
        </is>
      </c>
      <c r="B14590" t="inlineStr">
        <is>
          <t>Elizabeth Arden Eighth Hour Hydraplay Daily Cleansing Mousse And Mask 2 In 1</t>
        </is>
      </c>
      <c r="C14590" t="inlineStr">
        <is>
          <t>Cleansing Foam</t>
        </is>
      </c>
      <c r="D14590" t="inlineStr">
        <is>
          <t>Elizabeth Arden</t>
        </is>
      </c>
      <c r="E14590" t="n">
        <v>18.67</v>
      </c>
      <c r="F14590" t="n">
        <v>1</v>
      </c>
      <c r="G14590" t="n">
        <v>5</v>
      </c>
      <c r="H14590" s="5">
        <f>HYPERLINK("https://api.qogita.com/variants/link/0085805376451/", "View Product")</f>
        <v/>
      </c>
    </row>
    <row r="14591">
      <c r="A14591" t="inlineStr">
        <is>
          <t>0085805378004</t>
        </is>
      </c>
      <c r="B14591" t="inlineStr">
        <is>
          <t>Elizabeth Arden Eight Hour Skin Care Set</t>
        </is>
      </c>
      <c r="C14591" t="inlineStr">
        <is>
          <t>Facial Care Sets</t>
        </is>
      </c>
      <c r="D14591" t="inlineStr">
        <is>
          <t>Elizabeth Arden</t>
        </is>
      </c>
      <c r="E14591" t="n">
        <v>19.65</v>
      </c>
      <c r="F14591" t="n">
        <v>1</v>
      </c>
      <c r="G14591" t="n">
        <v>5</v>
      </c>
      <c r="H14591" s="5">
        <f>HYPERLINK("https://api.qogita.com/variants/link/0085805378004/", "View Product")</f>
        <v/>
      </c>
    </row>
    <row r="14592">
      <c r="A14592" t="inlineStr">
        <is>
          <t>0085805425302</t>
        </is>
      </c>
      <c r="B14592" t="inlineStr">
        <is>
          <t>Elizabeth Arden Eight Hour Cream Lip Protectant Lip Balm Stick SPF15 Clear</t>
        </is>
      </c>
      <c r="C14592" t="inlineStr">
        <is>
          <t>Lip Balm</t>
        </is>
      </c>
      <c r="D14592" t="inlineStr">
        <is>
          <t>Elizabeth Arden</t>
        </is>
      </c>
      <c r="E14592" t="n">
        <v>12.28</v>
      </c>
      <c r="F14592" t="n">
        <v>1</v>
      </c>
      <c r="G14592" t="n">
        <v>83</v>
      </c>
      <c r="H14592" s="5">
        <f>HYPERLINK("https://api.qogita.com/variants/link/0085805425302/", "View Product")</f>
        <v/>
      </c>
    </row>
    <row r="14593">
      <c r="A14593" t="inlineStr">
        <is>
          <t>0085805515744</t>
        </is>
      </c>
      <c r="B14593" t="inlineStr">
        <is>
          <t>Elizabeth Arden Visible Difference Moisture Cream Complex 75ml</t>
        </is>
      </c>
      <c r="C14593" t="inlineStr">
        <is>
          <t>Face Cream</t>
        </is>
      </c>
      <c r="D14593" t="inlineStr">
        <is>
          <t>Elizabeth Arden</t>
        </is>
      </c>
      <c r="E14593" t="n">
        <v>18.05</v>
      </c>
      <c r="F14593" t="n">
        <v>1</v>
      </c>
      <c r="G14593" t="n">
        <v>5</v>
      </c>
      <c r="H14593" s="5">
        <f>HYPERLINK("https://api.qogita.com/variants/link/0085805515744/", "View Product")</f>
        <v/>
      </c>
    </row>
    <row r="14594">
      <c r="A14594" t="inlineStr">
        <is>
          <t>0085805520823</t>
        </is>
      </c>
      <c r="B14594" t="inlineStr">
        <is>
          <t>Elizabeth Arden Visible Difference Moisturizing Eye Cream 15ml</t>
        </is>
      </c>
      <c r="C14594" t="inlineStr">
        <is>
          <t>Eye Cream</t>
        </is>
      </c>
      <c r="D14594" t="inlineStr">
        <is>
          <t>Elizabeth Arden</t>
        </is>
      </c>
      <c r="E14594" t="n">
        <v>15.9</v>
      </c>
      <c r="F14594" t="n">
        <v>1</v>
      </c>
      <c r="G14594" t="n">
        <v>13</v>
      </c>
      <c r="H14594" s="5">
        <f>HYPERLINK("https://api.qogita.com/variants/link/0085805520823/", "View Product")</f>
        <v/>
      </c>
    </row>
    <row r="14595">
      <c r="A14595" t="inlineStr">
        <is>
          <t>0085805544195</t>
        </is>
      </c>
      <c r="B14595" t="inlineStr">
        <is>
          <t>Prevage Anti-Aging Antioxidant Infusion Essence for Women 4.7oz</t>
        </is>
      </c>
      <c r="C14595" t="inlineStr">
        <is>
          <t>Anti-Aging Serum</t>
        </is>
      </c>
      <c r="D14595" t="inlineStr">
        <is>
          <t>Elizabeth Arden</t>
        </is>
      </c>
      <c r="E14595" t="n">
        <v>37.81</v>
      </c>
      <c r="F14595" t="n">
        <v>1</v>
      </c>
      <c r="G14595" t="n">
        <v>11</v>
      </c>
      <c r="H14595" s="5">
        <f>HYPERLINK("https://api.qogita.com/variants/link/0085805544195/", "View Product")</f>
        <v/>
      </c>
    </row>
    <row r="14596">
      <c r="A14596" t="inlineStr">
        <is>
          <t>0085805544829</t>
        </is>
      </c>
      <c r="B14596" t="inlineStr">
        <is>
          <t>Elizabeth Arden Green Tea Nectarine Women EDT 100ml</t>
        </is>
      </c>
      <c r="C14596" t="inlineStr">
        <is>
          <t>Eau De Toilette</t>
        </is>
      </c>
      <c r="D14596" t="inlineStr">
        <is>
          <t>Elizabeth Arden</t>
        </is>
      </c>
      <c r="E14596" t="n">
        <v>8.44</v>
      </c>
      <c r="F14596" t="n">
        <v>1</v>
      </c>
      <c r="G14596" t="n">
        <v>431</v>
      </c>
      <c r="H14596" s="5">
        <f>HYPERLINK("https://api.qogita.com/variants/link/0085805544829/", "View Product")</f>
        <v/>
      </c>
    </row>
    <row r="14597">
      <c r="A14597" t="inlineStr">
        <is>
          <t>0085805549411</t>
        </is>
      </c>
      <c r="B14597" t="inlineStr">
        <is>
          <t>Elizabeth Arden Superstart Skin Renewal Booster 50ml Almond</t>
        </is>
      </c>
      <c r="C14597" t="inlineStr">
        <is>
          <t>Hydrating Serum</t>
        </is>
      </c>
      <c r="D14597" t="inlineStr">
        <is>
          <t>Elizabeth Arden</t>
        </is>
      </c>
      <c r="E14597" t="n">
        <v>37.94</v>
      </c>
      <c r="F14597" t="n">
        <v>1</v>
      </c>
      <c r="G14597" t="n">
        <v>12</v>
      </c>
      <c r="H14597" s="5">
        <f>HYPERLINK("https://api.qogita.com/variants/link/0085805549411/", "View Product")</f>
        <v/>
      </c>
    </row>
    <row r="14598">
      <c r="A14598" t="inlineStr">
        <is>
          <t>0085805556419</t>
        </is>
      </c>
      <c r="B14598" t="inlineStr">
        <is>
          <t>Elizabeth Arden Blue Grass Cream Deodorant 40ml</t>
        </is>
      </c>
      <c r="C14598" t="inlineStr">
        <is>
          <t>Deodorant &amp; Anti-Perspirant</t>
        </is>
      </c>
      <c r="D14598" t="inlineStr">
        <is>
          <t>Elizabeth Arden</t>
        </is>
      </c>
      <c r="E14598" t="n">
        <v>6.07</v>
      </c>
      <c r="F14598" t="n">
        <v>1</v>
      </c>
      <c r="G14598" t="n">
        <v>39</v>
      </c>
      <c r="H14598" s="5">
        <f>HYPERLINK("https://api.qogita.com/variants/link/0085805556419/", "View Product")</f>
        <v/>
      </c>
    </row>
    <row r="14599">
      <c r="A14599" t="inlineStr">
        <is>
          <t>0085805557317</t>
        </is>
      </c>
      <c r="B14599" t="inlineStr">
        <is>
          <t>Elizabeth Arden White Tea Femme Eau De Toilette 30ml</t>
        </is>
      </c>
      <c r="C14599" t="inlineStr">
        <is>
          <t>Eau De Toilette</t>
        </is>
      </c>
      <c r="D14599" t="inlineStr">
        <is>
          <t>Elizabeth Arden</t>
        </is>
      </c>
      <c r="E14599" t="n">
        <v>10.84</v>
      </c>
      <c r="F14599" t="n">
        <v>1</v>
      </c>
      <c r="G14599" t="n">
        <v>31</v>
      </c>
      <c r="H14599" s="5">
        <f>HYPERLINK("https://api.qogita.com/variants/link/0085805557317/", "View Product")</f>
        <v/>
      </c>
    </row>
    <row r="14600">
      <c r="A14600" t="inlineStr">
        <is>
          <t>0085805557331</t>
        </is>
      </c>
      <c r="B14600" t="inlineStr">
        <is>
          <t>Elizabeth Arden White Tea Eau de Toilette 100ml</t>
        </is>
      </c>
      <c r="C14600" t="inlineStr">
        <is>
          <t>Eau De Toilette</t>
        </is>
      </c>
      <c r="D14600" t="inlineStr">
        <is>
          <t>Elizabeth Arden</t>
        </is>
      </c>
      <c r="E14600" t="n">
        <v>20.01</v>
      </c>
      <c r="F14600" t="n">
        <v>1</v>
      </c>
      <c r="G14600" t="n">
        <v>225</v>
      </c>
      <c r="H14600" s="5">
        <f>HYPERLINK("https://api.qogita.com/variants/link/0085805557331/", "View Product")</f>
        <v/>
      </c>
    </row>
    <row r="14601">
      <c r="A14601" t="inlineStr">
        <is>
          <t>0085805557348</t>
        </is>
      </c>
      <c r="B14601" t="inlineStr">
        <is>
          <t>Elizabeth Arden White Tea Eau de Toilette 3.3oz</t>
        </is>
      </c>
      <c r="C14601" t="inlineStr">
        <is>
          <t>Eau De Toilette</t>
        </is>
      </c>
      <c r="D14601" t="inlineStr">
        <is>
          <t>Elizabeth Arden</t>
        </is>
      </c>
      <c r="E14601" t="n">
        <v>16.57</v>
      </c>
      <c r="F14601" t="n">
        <v>1</v>
      </c>
      <c r="G14601" t="n">
        <v>18</v>
      </c>
      <c r="H14601" s="5">
        <f>HYPERLINK("https://api.qogita.com/variants/link/0085805557348/", "View Product")</f>
        <v/>
      </c>
    </row>
    <row r="14602">
      <c r="A14602" t="inlineStr">
        <is>
          <t>0085805558420</t>
        </is>
      </c>
      <c r="B14602" t="inlineStr">
        <is>
          <t>Elizabeth Arden Red Door Eau De Toilette Spray 100ml Floral Woody Perfume</t>
        </is>
      </c>
      <c r="C14602" t="inlineStr">
        <is>
          <t>Eau De Toilette</t>
        </is>
      </c>
      <c r="D14602" t="inlineStr">
        <is>
          <t>Elizabeth Arden</t>
        </is>
      </c>
      <c r="E14602" t="n">
        <v>17.38</v>
      </c>
      <c r="F14602" t="n">
        <v>1</v>
      </c>
      <c r="G14602" t="n">
        <v>1790</v>
      </c>
      <c r="H14602" s="5">
        <f>HYPERLINK("https://api.qogita.com/variants/link/0085805558420/", "View Product")</f>
        <v/>
      </c>
    </row>
    <row r="14603">
      <c r="A14603" t="inlineStr">
        <is>
          <t>0085805569464</t>
        </is>
      </c>
      <c r="B14603" t="inlineStr">
        <is>
          <t>Elizabeth Arden Eyeliner - Brightening Eyes 1.2g</t>
        </is>
      </c>
      <c r="C14603" t="inlineStr">
        <is>
          <t>Eyeliner</t>
        </is>
      </c>
      <c r="D14603" t="inlineStr">
        <is>
          <t>Elizabeth Arden</t>
        </is>
      </c>
      <c r="E14603" t="n">
        <v>10.62</v>
      </c>
      <c r="F14603" t="n">
        <v>1</v>
      </c>
      <c r="G14603" t="n">
        <v>8</v>
      </c>
      <c r="H14603" s="5">
        <f>HYPERLINK("https://api.qogita.com/variants/link/0085805569464/", "View Product")</f>
        <v/>
      </c>
    </row>
    <row r="14604">
      <c r="A14604" t="inlineStr">
        <is>
          <t>0085805574031</t>
        </is>
      </c>
      <c r="B14604" t="inlineStr">
        <is>
          <t>Elizabeth Arden White Tea Mandarin Blossom Eau de Toilette for Women 30ml</t>
        </is>
      </c>
      <c r="C14604" t="inlineStr">
        <is>
          <t>Eau De Toilette</t>
        </is>
      </c>
      <c r="D14604" t="inlineStr">
        <is>
          <t>Elizabeth Arden</t>
        </is>
      </c>
      <c r="E14604" t="n">
        <v>17.58</v>
      </c>
      <c r="F14604" t="n">
        <v>1</v>
      </c>
      <c r="G14604" t="n">
        <v>2</v>
      </c>
      <c r="H14604" s="5">
        <f>HYPERLINK("https://api.qogita.com/variants/link/0085805574031/", "View Product")</f>
        <v/>
      </c>
    </row>
    <row r="14605">
      <c r="A14605" t="inlineStr">
        <is>
          <t>0085805574062</t>
        </is>
      </c>
      <c r="B14605" t="inlineStr">
        <is>
          <t>Elizabeth Arden White Tea Mandarin Blossom Body Cream with Mandarin</t>
        </is>
      </c>
      <c r="C14605" t="inlineStr">
        <is>
          <t>Body Butter</t>
        </is>
      </c>
      <c r="D14605" t="inlineStr">
        <is>
          <t>Elizabeth Arden</t>
        </is>
      </c>
      <c r="E14605" t="n">
        <v>9.800000000000001</v>
      </c>
      <c r="F14605" t="n">
        <v>1</v>
      </c>
      <c r="G14605" t="n">
        <v>4</v>
      </c>
      <c r="H14605" s="5">
        <f>HYPERLINK("https://api.qogita.com/variants/link/0085805574062/", "View Product")</f>
        <v/>
      </c>
    </row>
    <row r="14606">
      <c r="A14606" t="inlineStr">
        <is>
          <t>0085805578183</t>
        </is>
      </c>
      <c r="B14606" t="inlineStr">
        <is>
          <t>Elizabeth Arden Rose Up Lipstick 33g</t>
        </is>
      </c>
      <c r="C14606" t="inlineStr">
        <is>
          <t>Lipstick</t>
        </is>
      </c>
      <c r="D14606" t="inlineStr">
        <is>
          <t>Elizabeth Arden</t>
        </is>
      </c>
      <c r="E14606" t="n">
        <v>16.04</v>
      </c>
      <c r="F14606" t="n">
        <v>1</v>
      </c>
      <c r="G14606" t="n">
        <v>2</v>
      </c>
      <c r="H14606" s="5">
        <f>HYPERLINK("https://api.qogita.com/variants/link/0085805578183/", "View Product")</f>
        <v/>
      </c>
    </row>
    <row r="14607">
      <c r="A14607" t="inlineStr">
        <is>
          <t>0086100013782</t>
        </is>
      </c>
      <c r="B14607" t="inlineStr">
        <is>
          <t>Max Factor Lipfinity Lip Colour 140 Charming Clear 2 Count</t>
        </is>
      </c>
      <c r="C14607" t="inlineStr">
        <is>
          <t>Lipstick</t>
        </is>
      </c>
      <c r="D14607" t="inlineStr">
        <is>
          <t>Max Factor</t>
        </is>
      </c>
      <c r="E14607" t="n">
        <v>7.33</v>
      </c>
      <c r="F14607" t="n">
        <v>1</v>
      </c>
      <c r="G14607" t="n">
        <v>2</v>
      </c>
      <c r="H14607" s="5">
        <f>HYPERLINK("https://api.qogita.com/variants/link/0086100013782/", "View Product")</f>
        <v/>
      </c>
    </row>
    <row r="14608">
      <c r="A14608" t="inlineStr">
        <is>
          <t>0086100013799</t>
        </is>
      </c>
      <c r="B14608" t="inlineStr">
        <is>
          <t>Max Factor Lipfinity Lip Colour Iced 160 Kiss-Proof Lipstick with 24h Hold</t>
        </is>
      </c>
      <c r="C14608" t="inlineStr">
        <is>
          <t>Lipstick</t>
        </is>
      </c>
      <c r="D14608" t="inlineStr">
        <is>
          <t>Max Factor</t>
        </is>
      </c>
      <c r="E14608" t="n">
        <v>7.83</v>
      </c>
      <c r="F14608" t="n">
        <v>1</v>
      </c>
      <c r="G14608" t="n">
        <v>3</v>
      </c>
      <c r="H14608" s="5">
        <f>HYPERLINK("https://api.qogita.com/variants/link/0086100013799/", "View Product")</f>
        <v/>
      </c>
    </row>
    <row r="14609">
      <c r="A14609" t="inlineStr">
        <is>
          <t>0086100014345</t>
        </is>
      </c>
      <c r="B14609" t="inlineStr">
        <is>
          <t>Max Factor Lipfinity #015 Ethereal for Women 4.2g Lipstick</t>
        </is>
      </c>
      <c r="C14609" t="inlineStr">
        <is>
          <t>Lipstick</t>
        </is>
      </c>
      <c r="D14609" t="inlineStr">
        <is>
          <t>Max Factor</t>
        </is>
      </c>
      <c r="E14609" t="n">
        <v>7.36</v>
      </c>
      <c r="F14609" t="n">
        <v>1</v>
      </c>
      <c r="G14609" t="n">
        <v>3</v>
      </c>
      <c r="H14609" s="5">
        <f>HYPERLINK("https://api.qogita.com/variants/link/0086100014345/", "View Product")</f>
        <v/>
      </c>
    </row>
    <row r="14610">
      <c r="A14610" t="inlineStr">
        <is>
          <t>0088300073627</t>
        </is>
      </c>
      <c r="B14610" t="inlineStr">
        <is>
          <t>Calvin Klein Truth Men 100ml Eau De Toilette Spray</t>
        </is>
      </c>
      <c r="C14610" t="inlineStr">
        <is>
          <t>Eau De Toilette</t>
        </is>
      </c>
      <c r="D14610" t="inlineStr">
        <is>
          <t>Hugo Boss</t>
        </is>
      </c>
      <c r="E14610" t="n">
        <v>20.07</v>
      </c>
      <c r="F14610" t="n">
        <v>1</v>
      </c>
      <c r="G14610" t="n">
        <v>87</v>
      </c>
      <c r="H14610" s="5">
        <f>HYPERLINK("https://api.qogita.com/variants/link/0088300073627/", "View Product")</f>
        <v/>
      </c>
    </row>
    <row r="14611">
      <c r="A14611" t="inlineStr">
        <is>
          <t>0088300100507</t>
        </is>
      </c>
      <c r="B14611" t="inlineStr">
        <is>
          <t>Calvin Klein Escape For Men EDT Spray 50ml</t>
        </is>
      </c>
      <c r="C14611" t="inlineStr">
        <is>
          <t>Eau De Toilette</t>
        </is>
      </c>
      <c r="D14611" t="inlineStr">
        <is>
          <t>Essie</t>
        </is>
      </c>
      <c r="E14611" t="n">
        <v>17.18</v>
      </c>
      <c r="F14611" t="n">
        <v>1</v>
      </c>
      <c r="G14611" t="n">
        <v>2</v>
      </c>
      <c r="H14611" s="5">
        <f>HYPERLINK("https://api.qogita.com/variants/link/0088300100507/", "View Product")</f>
        <v/>
      </c>
    </row>
    <row r="14612">
      <c r="A14612" t="inlineStr">
        <is>
          <t>0088300104406</t>
        </is>
      </c>
      <c r="B14612" t="inlineStr">
        <is>
          <t>Calvin Klein CK BE Unisex Eau de Toilette Spicy Wood 100ml</t>
        </is>
      </c>
      <c r="C14612" t="inlineStr">
        <is>
          <t>Eau De Toilette</t>
        </is>
      </c>
      <c r="D14612" t="inlineStr">
        <is>
          <t>Calvin Klein</t>
        </is>
      </c>
      <c r="E14612" t="n">
        <v>15.48</v>
      </c>
      <c r="F14612" t="n">
        <v>1</v>
      </c>
      <c r="G14612" t="n">
        <v>320</v>
      </c>
      <c r="H14612" s="5">
        <f>HYPERLINK("https://api.qogita.com/variants/link/0088300104406/", "View Product")</f>
        <v/>
      </c>
    </row>
    <row r="14613">
      <c r="A14613" t="inlineStr">
        <is>
          <t>0088300104437</t>
        </is>
      </c>
      <c r="B14613" t="inlineStr">
        <is>
          <t>Calvin Klein CK Be Eau de Toilette 200ml Vaporizer Unisex Adults' Black Musk</t>
        </is>
      </c>
      <c r="C14613" t="inlineStr">
        <is>
          <t>Eau De Toilette</t>
        </is>
      </c>
      <c r="D14613" t="inlineStr">
        <is>
          <t>Calvin Klein</t>
        </is>
      </c>
      <c r="E14613" t="n">
        <v>21.98</v>
      </c>
      <c r="F14613" t="n">
        <v>1</v>
      </c>
      <c r="G14613" t="n">
        <v>791</v>
      </c>
      <c r="H14613" s="5">
        <f>HYPERLINK("https://api.qogita.com/variants/link/0088300104437/", "View Product")</f>
        <v/>
      </c>
    </row>
    <row r="14614">
      <c r="A14614" t="inlineStr">
        <is>
          <t>0088300106752</t>
        </is>
      </c>
      <c r="B14614" t="inlineStr">
        <is>
          <t>Calvin Klein Obsession for Men Eau de Toilette Botanics Spices Rare Woods Toilette Spray 6.7 Fl Oz</t>
        </is>
      </c>
      <c r="C14614" t="inlineStr">
        <is>
          <t>Eau De Toilette</t>
        </is>
      </c>
      <c r="D14614" t="inlineStr">
        <is>
          <t>Calvin Klein</t>
        </is>
      </c>
      <c r="E14614" t="n">
        <v>28.3</v>
      </c>
      <c r="F14614" t="n">
        <v>1</v>
      </c>
      <c r="G14614" t="n">
        <v>21</v>
      </c>
      <c r="H14614" s="5">
        <f>HYPERLINK("https://api.qogita.com/variants/link/0088300106752/", "View Product")</f>
        <v/>
      </c>
    </row>
    <row r="14615">
      <c r="A14615" t="inlineStr">
        <is>
          <t>0088300107681</t>
        </is>
      </c>
      <c r="B14615" t="inlineStr">
        <is>
          <t>Calvin Klein One Eau de Toilette 50ml Spray</t>
        </is>
      </c>
      <c r="C14615" t="inlineStr">
        <is>
          <t>Eau De Toilette</t>
        </is>
      </c>
      <c r="D14615" t="inlineStr">
        <is>
          <t>Calvin Klein</t>
        </is>
      </c>
      <c r="E14615" t="n">
        <v>11.79</v>
      </c>
      <c r="F14615" t="n">
        <v>1</v>
      </c>
      <c r="G14615" t="n">
        <v>88</v>
      </c>
      <c r="H14615" s="5">
        <f>HYPERLINK("https://api.qogita.com/variants/link/0088300107681/", "View Product")</f>
        <v/>
      </c>
    </row>
    <row r="14616">
      <c r="A14616" t="inlineStr">
        <is>
          <t>0088300139484</t>
        </is>
      </c>
      <c r="B14616" t="inlineStr">
        <is>
          <t>Calvin Klein Eternity Moment Eau de Parfum 50 ml</t>
        </is>
      </c>
      <c r="C14616" t="inlineStr">
        <is>
          <t>Eau De Parfum</t>
        </is>
      </c>
      <c r="D14616" t="inlineStr">
        <is>
          <t>Calvin Klein</t>
        </is>
      </c>
      <c r="E14616" t="n">
        <v>14.71</v>
      </c>
      <c r="F14616" t="n">
        <v>1</v>
      </c>
      <c r="G14616" t="n">
        <v>64</v>
      </c>
      <c r="H14616" s="5">
        <f>HYPERLINK("https://api.qogita.com/variants/link/0088300139484/", "View Product")</f>
        <v/>
      </c>
    </row>
    <row r="14617">
      <c r="A14617" t="inlineStr">
        <is>
          <t>0088300139507</t>
        </is>
      </c>
      <c r="B14617" t="inlineStr">
        <is>
          <t>Calvin Klein Eternity Moment Eau de Parfum Spray 100ml</t>
        </is>
      </c>
      <c r="C14617" t="inlineStr">
        <is>
          <t>Eau De Parfum</t>
        </is>
      </c>
      <c r="D14617" t="inlineStr">
        <is>
          <t>Calvin Klein</t>
        </is>
      </c>
      <c r="E14617" t="n">
        <v>24.33</v>
      </c>
      <c r="F14617" t="n">
        <v>1</v>
      </c>
      <c r="G14617" t="n">
        <v>106</v>
      </c>
      <c r="H14617" s="5">
        <f>HYPERLINK("https://api.qogita.com/variants/link/0088300139507/", "View Product")</f>
        <v/>
      </c>
    </row>
    <row r="14618">
      <c r="A14618" t="inlineStr">
        <is>
          <t>0088300150458</t>
        </is>
      </c>
      <c r="B14618" t="inlineStr">
        <is>
          <t>Calvin Klein Obsession Night Men Eau de Toilette Spray 125ml</t>
        </is>
      </c>
      <c r="C14618" t="inlineStr">
        <is>
          <t>Eau De Toilette</t>
        </is>
      </c>
      <c r="D14618" t="inlineStr">
        <is>
          <t>Calvin Klein</t>
        </is>
      </c>
      <c r="E14618" t="n">
        <v>19.02</v>
      </c>
      <c r="F14618" t="n">
        <v>1</v>
      </c>
      <c r="G14618" t="n">
        <v>49</v>
      </c>
      <c r="H14618" s="5">
        <f>HYPERLINK("https://api.qogita.com/variants/link/0088300150458/", "View Product")</f>
        <v/>
      </c>
    </row>
    <row r="14619">
      <c r="A14619" t="inlineStr">
        <is>
          <t>0088300156009</t>
        </is>
      </c>
      <c r="B14619" t="inlineStr">
        <is>
          <t>Calvin Klein Eternity Moment Women's Eau de Parfum 30ml</t>
        </is>
      </c>
      <c r="C14619" t="inlineStr">
        <is>
          <t>Eau De Parfum</t>
        </is>
      </c>
      <c r="D14619" t="inlineStr">
        <is>
          <t>Calvin Klein</t>
        </is>
      </c>
      <c r="E14619" t="n">
        <v>11.37</v>
      </c>
      <c r="F14619" t="n">
        <v>1</v>
      </c>
      <c r="G14619" t="n">
        <v>45</v>
      </c>
      <c r="H14619" s="5">
        <f>HYPERLINK("https://api.qogita.com/variants/link/0088300156009/", "View Product")</f>
        <v/>
      </c>
    </row>
    <row r="14620">
      <c r="A14620" t="inlineStr">
        <is>
          <t>0088300162581</t>
        </is>
      </c>
      <c r="B14620" t="inlineStr">
        <is>
          <t>Calvin Klein Euphoria for Her Eau de Parfum 15ml</t>
        </is>
      </c>
      <c r="C14620" t="inlineStr">
        <is>
          <t>Eau De Parfum</t>
        </is>
      </c>
      <c r="D14620" t="inlineStr">
        <is>
          <t>Calvin Klein</t>
        </is>
      </c>
      <c r="E14620" t="n">
        <v>12.6</v>
      </c>
      <c r="F14620" t="n">
        <v>1</v>
      </c>
      <c r="G14620" t="n">
        <v>22</v>
      </c>
      <c r="H14620" s="5">
        <f>HYPERLINK("https://api.qogita.com/variants/link/0088300162581/", "View Product")</f>
        <v/>
      </c>
    </row>
    <row r="14621">
      <c r="A14621" t="inlineStr">
        <is>
          <t>0088300178445</t>
        </is>
      </c>
      <c r="B14621" t="inlineStr">
        <is>
          <t>Calvin Klein Euphoria Men deodorant stick for men 75 ml</t>
        </is>
      </c>
      <c r="C14621" t="inlineStr">
        <is>
          <t>Deodorant &amp; Anti-Perspirant</t>
        </is>
      </c>
      <c r="D14621" t="inlineStr">
        <is>
          <t>Calvin Klein</t>
        </is>
      </c>
      <c r="E14621" t="n">
        <v>8.449999999999999</v>
      </c>
      <c r="F14621" t="n">
        <v>1</v>
      </c>
      <c r="G14621" t="n">
        <v>13</v>
      </c>
      <c r="H14621" s="5">
        <f>HYPERLINK("https://api.qogita.com/variants/link/0088300178445/", "View Product")</f>
        <v/>
      </c>
    </row>
    <row r="14622">
      <c r="A14622" t="inlineStr">
        <is>
          <t>0088300196920</t>
        </is>
      </c>
      <c r="B14622" t="inlineStr">
        <is>
          <t>Calvin Klein CKIN2U Eau de Toilette 50ml</t>
        </is>
      </c>
      <c r="C14622" t="inlineStr">
        <is>
          <t>Eau De Toilette</t>
        </is>
      </c>
      <c r="D14622" t="inlineStr">
        <is>
          <t>Calvin Klein</t>
        </is>
      </c>
      <c r="E14622" t="n">
        <v>12.9</v>
      </c>
      <c r="F14622" t="n">
        <v>1</v>
      </c>
      <c r="G14622" t="n">
        <v>1042</v>
      </c>
      <c r="H14622" s="5">
        <f>HYPERLINK("https://api.qogita.com/variants/link/0088300196920/", "View Product")</f>
        <v/>
      </c>
    </row>
    <row r="14623">
      <c r="A14623" t="inlineStr">
        <is>
          <t>0088300601400</t>
        </is>
      </c>
      <c r="B14623" t="inlineStr">
        <is>
          <t>Calvin KleinEternity Eau De Parfum Spray 100ml</t>
        </is>
      </c>
      <c r="C14623" t="inlineStr">
        <is>
          <t>Eau De Parfum</t>
        </is>
      </c>
      <c r="D14623" t="inlineStr">
        <is>
          <t>Calvin Klein</t>
        </is>
      </c>
      <c r="E14623" t="n">
        <v>27.12</v>
      </c>
      <c r="F14623" t="n">
        <v>1</v>
      </c>
      <c r="G14623" t="n">
        <v>4</v>
      </c>
      <c r="H14623" s="5">
        <f>HYPERLINK("https://api.qogita.com/variants/link/0088300601400/", "View Product")</f>
        <v/>
      </c>
    </row>
    <row r="14624">
      <c r="A14624" t="inlineStr">
        <is>
          <t>0088300606504</t>
        </is>
      </c>
      <c r="B14624" t="inlineStr">
        <is>
          <t>Calvin Klein Obsession for Men Eau de Toilette 75ml</t>
        </is>
      </c>
      <c r="C14624" t="inlineStr">
        <is>
          <t>Eau De Toilette</t>
        </is>
      </c>
      <c r="D14624" t="inlineStr">
        <is>
          <t>Calvin Klein</t>
        </is>
      </c>
      <c r="E14624" t="n">
        <v>13.91</v>
      </c>
      <c r="F14624" t="n">
        <v>1</v>
      </c>
      <c r="G14624" t="n">
        <v>687</v>
      </c>
      <c r="H14624" s="5">
        <f>HYPERLINK("https://api.qogita.com/variants/link/0088300606504/", "View Product")</f>
        <v/>
      </c>
    </row>
    <row r="14625">
      <c r="A14625" t="inlineStr">
        <is>
          <t>0094100000404</t>
        </is>
      </c>
      <c r="B14625" t="inlineStr">
        <is>
          <t>OPI Classic Kyoto Pearl Nail Polish - Dark Shades Luxury Varnish 15ml</t>
        </is>
      </c>
      <c r="C14625" t="inlineStr">
        <is>
          <t>Nail Polish</t>
        </is>
      </c>
      <c r="D14625" t="inlineStr">
        <is>
          <t>OPI</t>
        </is>
      </c>
      <c r="E14625" t="n">
        <v>9.380000000000001</v>
      </c>
      <c r="F14625" t="n">
        <v>1</v>
      </c>
      <c r="G14625" t="n">
        <v>3</v>
      </c>
      <c r="H14625" s="5">
        <f>HYPERLINK("https://api.qogita.com/variants/link/0094100000404/", "View Product")</f>
        <v/>
      </c>
    </row>
    <row r="14626">
      <c r="A14626" t="inlineStr">
        <is>
          <t>0094100000534</t>
        </is>
      </c>
      <c r="B14626" t="inlineStr">
        <is>
          <t>OPI Classic Nail Polish Dutch Tulips Pink Shades</t>
        </is>
      </c>
      <c r="C14626" t="inlineStr">
        <is>
          <t>Nail Polish</t>
        </is>
      </c>
      <c r="D14626" t="inlineStr">
        <is>
          <t>OPI</t>
        </is>
      </c>
      <c r="E14626" t="n">
        <v>9.51</v>
      </c>
      <c r="F14626" t="n">
        <v>1</v>
      </c>
      <c r="G14626" t="n">
        <v>2</v>
      </c>
      <c r="H14626" s="5">
        <f>HYPERLINK("https://api.qogita.com/variants/link/0094100000534/", "View Product")</f>
        <v/>
      </c>
    </row>
    <row r="14627">
      <c r="A14627" t="inlineStr">
        <is>
          <t>0094100000619</t>
        </is>
      </c>
      <c r="B14627" t="inlineStr">
        <is>
          <t>OPI Nail Lacquer Samoan Sand Nude Nail Polish 0.5 fl oz</t>
        </is>
      </c>
      <c r="C14627" t="inlineStr">
        <is>
          <t>Nail Polish</t>
        </is>
      </c>
      <c r="D14627" t="inlineStr">
        <is>
          <t>OPI</t>
        </is>
      </c>
      <c r="E14627" t="n">
        <v>8.460000000000001</v>
      </c>
      <c r="F14627" t="n">
        <v>1</v>
      </c>
      <c r="G14627" t="n">
        <v>4</v>
      </c>
      <c r="H14627" s="5">
        <f>HYPERLINK("https://api.qogita.com/variants/link/0094100000619/", "View Product")</f>
        <v/>
      </c>
    </row>
    <row r="14628">
      <c r="A14628" t="inlineStr">
        <is>
          <t>0094100005485</t>
        </is>
      </c>
      <c r="B14628" t="inlineStr">
        <is>
          <t>OPI Nail Lacquer White Nail Polish 0.5 fl oz We the Female</t>
        </is>
      </c>
      <c r="C14628" t="inlineStr">
        <is>
          <t>Nail Polish</t>
        </is>
      </c>
      <c r="D14628" t="inlineStr">
        <is>
          <t>OPI</t>
        </is>
      </c>
      <c r="E14628" t="n">
        <v>9.380000000000001</v>
      </c>
      <c r="F14628" t="n">
        <v>1</v>
      </c>
      <c r="G14628" t="n">
        <v>2</v>
      </c>
      <c r="H14628" s="5">
        <f>HYPERLINK("https://api.qogita.com/variants/link/0094100005485/", "View Product")</f>
        <v/>
      </c>
    </row>
    <row r="14629">
      <c r="A14629" t="inlineStr">
        <is>
          <t>0094100007168</t>
        </is>
      </c>
      <c r="B14629" t="inlineStr">
        <is>
          <t>OPI Nail Lacquer Show Us Your Tips Purple Nail Polish 0.5 fl oz</t>
        </is>
      </c>
      <c r="C14629" t="inlineStr">
        <is>
          <t>Nail Polish</t>
        </is>
      </c>
      <c r="D14629" t="inlineStr">
        <is>
          <t>OPI</t>
        </is>
      </c>
      <c r="E14629" t="n">
        <v>9.220000000000001</v>
      </c>
      <c r="F14629" t="n">
        <v>1</v>
      </c>
      <c r="G14629" t="n">
        <v>5</v>
      </c>
      <c r="H14629" s="5">
        <f>HYPERLINK("https://api.qogita.com/variants/link/0094100007168/", "View Product")</f>
        <v/>
      </c>
    </row>
    <row r="14630">
      <c r="A14630" t="inlineStr">
        <is>
          <t>0094100007274</t>
        </is>
      </c>
      <c r="B14630" t="inlineStr">
        <is>
          <t>OPI Nail Lacquer Neutral Nude Nail Polish Classic Formula Suzi Nails New Orleans</t>
        </is>
      </c>
      <c r="C14630" t="inlineStr">
        <is>
          <t>Nail Polish</t>
        </is>
      </c>
      <c r="D14630" t="inlineStr">
        <is>
          <t>OPI</t>
        </is>
      </c>
      <c r="E14630" t="n">
        <v>9.380000000000001</v>
      </c>
      <c r="F14630" t="n">
        <v>1</v>
      </c>
      <c r="G14630" t="n">
        <v>5</v>
      </c>
      <c r="H14630" s="5">
        <f>HYPERLINK("https://api.qogita.com/variants/link/0094100007274/", "View Product")</f>
        <v/>
      </c>
    </row>
    <row r="14631">
      <c r="A14631" t="inlineStr">
        <is>
          <t>0094922190123</t>
        </is>
      </c>
      <c r="B14631" t="inlineStr">
        <is>
          <t>Ed Hardy Hearts &amp; Daggers Men Eau de Toilette 100ml</t>
        </is>
      </c>
      <c r="C14631" t="inlineStr">
        <is>
          <t>Eau De Toilette</t>
        </is>
      </c>
      <c r="D14631" t="inlineStr">
        <is>
          <t>Ed Hardy</t>
        </is>
      </c>
      <c r="E14631" t="n">
        <v>16.57</v>
      </c>
      <c r="F14631" t="n">
        <v>1</v>
      </c>
      <c r="G14631" t="n">
        <v>7</v>
      </c>
      <c r="H14631" s="5">
        <f>HYPERLINK("https://api.qogita.com/variants/link/0094922190123/", "View Product")</f>
        <v/>
      </c>
    </row>
    <row r="14632">
      <c r="A14632" t="inlineStr">
        <is>
          <t>0098132132102</t>
        </is>
      </c>
      <c r="B14632" t="inlineStr">
        <is>
          <t>Bare Minerals Tinted Mineral Veil Translucent</t>
        </is>
      </c>
      <c r="C14632" t="inlineStr">
        <is>
          <t>Powder</t>
        </is>
      </c>
      <c r="D14632" t="inlineStr">
        <is>
          <t>Bareminerals</t>
        </is>
      </c>
      <c r="E14632" t="n">
        <v>25.38</v>
      </c>
      <c r="F14632" t="n">
        <v>1</v>
      </c>
      <c r="G14632" t="n">
        <v>2</v>
      </c>
      <c r="H14632" s="5">
        <f>HYPERLINK("https://api.qogita.com/variants/link/0098132132102/", "View Product")</f>
        <v/>
      </c>
    </row>
    <row r="14633">
      <c r="A14633" t="inlineStr">
        <is>
          <t>0098691008719</t>
        </is>
      </c>
      <c r="B14633" t="inlineStr">
        <is>
          <t>Claiborne Sport by Liz Claiborne for Men 3.4 oz EDC Spray Brand New</t>
        </is>
      </c>
      <c r="C14633" t="inlineStr">
        <is>
          <t>Eau De Toilette</t>
        </is>
      </c>
      <c r="D14633" t="inlineStr">
        <is>
          <t>Liz Claiborne</t>
        </is>
      </c>
      <c r="E14633" t="n">
        <v>13.58</v>
      </c>
      <c r="F14633" t="n">
        <v>1</v>
      </c>
      <c r="G14633" t="n">
        <v>5</v>
      </c>
      <c r="H14633" s="5">
        <f>HYPERLINK("https://api.qogita.com/variants/link/0098691008719/", "View Product")</f>
        <v/>
      </c>
    </row>
    <row r="14634">
      <c r="A14634" t="inlineStr">
        <is>
          <t>0098691021770</t>
        </is>
      </c>
      <c r="B14634" t="inlineStr">
        <is>
          <t>Bora Bora by Liz Claiborne Eau De Parfum Spray 3.4 oz 100 ml</t>
        </is>
      </c>
      <c r="C14634" t="inlineStr">
        <is>
          <t>Eau De Parfum</t>
        </is>
      </c>
      <c r="D14634" t="inlineStr">
        <is>
          <t>Liz Claiborne</t>
        </is>
      </c>
      <c r="E14634" t="n">
        <v>14.29</v>
      </c>
      <c r="F14634" t="n">
        <v>1</v>
      </c>
      <c r="G14634" t="n">
        <v>14</v>
      </c>
      <c r="H14634" s="5">
        <f>HYPERLINK("https://api.qogita.com/variants/link/0098691021770/", "View Product")</f>
        <v/>
      </c>
    </row>
    <row r="14635">
      <c r="A14635" t="inlineStr">
        <is>
          <t>0098691036507</t>
        </is>
      </c>
      <c r="B14635" t="inlineStr">
        <is>
          <t>Juicy Couture Women's Perfume 1.7 Fl Oz</t>
        </is>
      </c>
      <c r="C14635" t="inlineStr">
        <is>
          <t>Eau De Parfum</t>
        </is>
      </c>
      <c r="D14635" t="inlineStr">
        <is>
          <t>Juicy Couture</t>
        </is>
      </c>
      <c r="E14635" t="n">
        <v>24.28</v>
      </c>
      <c r="F14635" t="n">
        <v>1</v>
      </c>
      <c r="G14635" t="n">
        <v>7</v>
      </c>
      <c r="H14635" s="5">
        <f>HYPERLINK("https://api.qogita.com/variants/link/0098691036507/", "View Product")</f>
        <v/>
      </c>
    </row>
    <row r="14636">
      <c r="A14636" t="inlineStr">
        <is>
          <t>0192333002261</t>
        </is>
      </c>
      <c r="B14636" t="inlineStr">
        <is>
          <t>Clinique Moisture Surge Hydro Plump Lip Balm 10ml</t>
        </is>
      </c>
      <c r="C14636" t="inlineStr">
        <is>
          <t>Lip Balm</t>
        </is>
      </c>
      <c r="D14636" t="inlineStr">
        <is>
          <t>Clinique</t>
        </is>
      </c>
      <c r="E14636" t="n">
        <v>12.96</v>
      </c>
      <c r="F14636" t="n">
        <v>1</v>
      </c>
      <c r="G14636" t="n">
        <v>5</v>
      </c>
      <c r="H14636" s="5">
        <f>HYPERLINK("https://api.qogita.com/variants/link/0192333002261/", "View Product")</f>
        <v/>
      </c>
    </row>
    <row r="14637">
      <c r="A14637" t="inlineStr">
        <is>
          <t>0192333010341</t>
        </is>
      </c>
      <c r="B14637" t="inlineStr">
        <is>
          <t>Clinique Lotion 2+ Facial Soap</t>
        </is>
      </c>
      <c r="C14637" t="inlineStr">
        <is>
          <t>Facial Soap</t>
        </is>
      </c>
      <c r="D14637" t="inlineStr">
        <is>
          <t>Clinique</t>
        </is>
      </c>
      <c r="E14637" t="n">
        <v>37.2</v>
      </c>
      <c r="F14637" t="n">
        <v>1</v>
      </c>
      <c r="G14637" t="n">
        <v>9</v>
      </c>
      <c r="H14637" s="5">
        <f>HYPERLINK("https://api.qogita.com/variants/link/0192333010341/", "View Product")</f>
        <v/>
      </c>
    </row>
    <row r="14638">
      <c r="A14638" t="inlineStr">
        <is>
          <t>0192333027226</t>
        </is>
      </c>
      <c r="B14638" t="inlineStr">
        <is>
          <t>Clinique Even Better Clinical Radical Dark Spot Treatment 50ml</t>
        </is>
      </c>
      <c r="C14638" t="inlineStr">
        <is>
          <t>Anti-Pigmentation Spot Cream</t>
        </is>
      </c>
      <c r="D14638" t="inlineStr">
        <is>
          <t>Clinique</t>
        </is>
      </c>
      <c r="E14638" t="n">
        <v>62.18</v>
      </c>
      <c r="F14638" t="n">
        <v>1</v>
      </c>
      <c r="G14638" t="n">
        <v>2</v>
      </c>
      <c r="H14638" s="5">
        <f>HYPERLINK("https://api.qogita.com/variants/link/0192333027226/", "View Product")</f>
        <v/>
      </c>
    </row>
    <row r="14639">
      <c r="A14639" t="inlineStr">
        <is>
          <t>0192333074596</t>
        </is>
      </c>
      <c r="B14639" t="inlineStr">
        <is>
          <t>Clinique Superbalanced Makeup Foundation 30ml - 05 Cn70 Vanilla</t>
        </is>
      </c>
      <c r="C14639" t="inlineStr">
        <is>
          <t>Foundation</t>
        </is>
      </c>
      <c r="D14639" t="inlineStr">
        <is>
          <t>Clinique</t>
        </is>
      </c>
      <c r="E14639" t="n">
        <v>26.54</v>
      </c>
      <c r="F14639" t="n">
        <v>1</v>
      </c>
      <c r="G14639" t="n">
        <v>6</v>
      </c>
      <c r="H14639" s="5">
        <f>HYPERLINK("https://api.qogita.com/variants/link/0192333074596/", "View Product")</f>
        <v/>
      </c>
    </row>
    <row r="14640">
      <c r="A14640" t="inlineStr">
        <is>
          <t>0192333074664</t>
        </is>
      </c>
      <c r="B14640" t="inlineStr">
        <is>
          <t>Clinique Superbalanced Makeup No. 11 / Cn 72 Sunny 30ml</t>
        </is>
      </c>
      <c r="C14640" t="inlineStr">
        <is>
          <t>Foundation</t>
        </is>
      </c>
      <c r="D14640" t="inlineStr">
        <is>
          <t>Clinique</t>
        </is>
      </c>
      <c r="E14640" t="n">
        <v>25.93</v>
      </c>
      <c r="F14640" t="n">
        <v>1</v>
      </c>
      <c r="G14640" t="n">
        <v>5</v>
      </c>
      <c r="H14640" s="5">
        <f>HYPERLINK("https://api.qogita.com/variants/link/0192333074664/", "View Product")</f>
        <v/>
      </c>
    </row>
    <row r="14641">
      <c r="A14641" t="inlineStr">
        <is>
          <t>0192333074725</t>
        </is>
      </c>
      <c r="B14641" t="inlineStr">
        <is>
          <t>Superbalanced Makeup Cn10 Alabaster 1ml</t>
        </is>
      </c>
      <c r="C14641" t="inlineStr">
        <is>
          <t>Foundation</t>
        </is>
      </c>
      <c r="D14641" t="inlineStr">
        <is>
          <t>Clinique</t>
        </is>
      </c>
      <c r="E14641" t="n">
        <v>24.56</v>
      </c>
      <c r="F14641" t="n">
        <v>1</v>
      </c>
      <c r="G14641" t="n">
        <v>11</v>
      </c>
      <c r="H14641" s="5">
        <f>HYPERLINK("https://api.qogita.com/variants/link/0192333074725/", "View Product")</f>
        <v/>
      </c>
    </row>
    <row r="14642">
      <c r="A14642" t="inlineStr">
        <is>
          <t>0192333078068</t>
        </is>
      </c>
      <c r="B14642" t="inlineStr">
        <is>
          <t>Estée Lauder Double Wear Stay In Place Makeup SPF 10 4C1 Outdoor Beige 30ml</t>
        </is>
      </c>
      <c r="C14642" t="inlineStr">
        <is>
          <t>Foundation</t>
        </is>
      </c>
      <c r="D14642" t="inlineStr">
        <is>
          <t>Estée Lauder</t>
        </is>
      </c>
      <c r="E14642" t="n">
        <v>27.98</v>
      </c>
      <c r="F14642" t="n">
        <v>1</v>
      </c>
      <c r="G14642" t="n">
        <v>4</v>
      </c>
      <c r="H14642" s="5">
        <f>HYPERLINK("https://api.qogita.com/variants/link/0192333078068/", "View Product")</f>
        <v/>
      </c>
    </row>
    <row r="14643">
      <c r="A14643" t="inlineStr">
        <is>
          <t>0192333094716</t>
        </is>
      </c>
      <c r="B14643" t="inlineStr">
        <is>
          <t>Clinique High Impact Lash Amplifying Serum for Women 0.1 Oz</t>
        </is>
      </c>
      <c r="C14643" t="inlineStr">
        <is>
          <t>Eyelash Serum &amp; Eyebrow Serum</t>
        </is>
      </c>
      <c r="D14643" t="inlineStr">
        <is>
          <t>Clinique</t>
        </is>
      </c>
      <c r="E14643" t="n">
        <v>26.21</v>
      </c>
      <c r="F14643" t="n">
        <v>1</v>
      </c>
      <c r="G14643" t="n">
        <v>14</v>
      </c>
      <c r="H14643" s="5">
        <f>HYPERLINK("https://api.qogita.com/variants/link/0192333094716/", "View Product")</f>
        <v/>
      </c>
    </row>
    <row r="14644">
      <c r="A14644" t="inlineStr">
        <is>
          <t>0192333120767</t>
        </is>
      </c>
      <c r="B14644" t="inlineStr">
        <is>
          <t>Clinique Oil Control Face Wash 6.7oz 200ml</t>
        </is>
      </c>
      <c r="C14644" t="inlineStr">
        <is>
          <t>Cleansing Gel</t>
        </is>
      </c>
      <c r="D14644" t="inlineStr">
        <is>
          <t>Clinique</t>
        </is>
      </c>
      <c r="E14644" t="n">
        <v>18.25</v>
      </c>
      <c r="F14644" t="n">
        <v>1</v>
      </c>
      <c r="G14644" t="n">
        <v>8</v>
      </c>
      <c r="H14644" s="5">
        <f>HYPERLINK("https://api.qogita.com/variants/link/0192333120767/", "View Product")</f>
        <v/>
      </c>
    </row>
    <row r="14645">
      <c r="A14645" t="inlineStr">
        <is>
          <t>0192333148037</t>
        </is>
      </c>
      <c r="B14645" t="inlineStr">
        <is>
          <t>Clinique Clinique Pop Longwear Shine Lipstick Punch Pop 39g</t>
        </is>
      </c>
      <c r="C14645" t="inlineStr">
        <is>
          <t>Lipstick</t>
        </is>
      </c>
      <c r="D14645" t="inlineStr">
        <is>
          <t>Clinique</t>
        </is>
      </c>
      <c r="E14645" t="n">
        <v>17.18</v>
      </c>
      <c r="F14645" t="n">
        <v>1</v>
      </c>
      <c r="G14645" t="n">
        <v>2</v>
      </c>
      <c r="H14645" s="5">
        <f>HYPERLINK("https://api.qogita.com/variants/link/0192333148037/", "View Product")</f>
        <v/>
      </c>
    </row>
    <row r="14646">
      <c r="A14646" t="inlineStr">
        <is>
          <t>0192333148198</t>
        </is>
      </c>
      <c r="B14646" t="inlineStr">
        <is>
          <t>Clinique Clinique Pop Longwear Matte Lipstick Icon Pop 39g</t>
        </is>
      </c>
      <c r="C14646" t="inlineStr">
        <is>
          <t>Lipstick</t>
        </is>
      </c>
      <c r="D14646" t="inlineStr">
        <is>
          <t>Clinique</t>
        </is>
      </c>
      <c r="E14646" t="n">
        <v>16.4</v>
      </c>
      <c r="F14646" t="n">
        <v>1</v>
      </c>
      <c r="G14646" t="n">
        <v>3</v>
      </c>
      <c r="H14646" s="5">
        <f>HYPERLINK("https://api.qogita.com/variants/link/0192333148198/", "View Product")</f>
        <v/>
      </c>
    </row>
    <row r="14647">
      <c r="A14647" t="inlineStr">
        <is>
          <t>0192333148266</t>
        </is>
      </c>
      <c r="B14647" t="inlineStr">
        <is>
          <t>Clinique Pop Longwear Matte Lipstick Beach Pop - 39g</t>
        </is>
      </c>
      <c r="C14647" t="inlineStr">
        <is>
          <t>Lipstick</t>
        </is>
      </c>
      <c r="D14647" t="inlineStr">
        <is>
          <t>Clinique</t>
        </is>
      </c>
      <c r="E14647" t="n">
        <v>16.4</v>
      </c>
      <c r="F14647" t="n">
        <v>1</v>
      </c>
      <c r="G14647" t="n">
        <v>5</v>
      </c>
      <c r="H14647" s="5">
        <f>HYPERLINK("https://api.qogita.com/variants/link/0192333148266/", "View Product")</f>
        <v/>
      </c>
    </row>
    <row r="14648">
      <c r="A14648" t="inlineStr">
        <is>
          <t>0192333148273</t>
        </is>
      </c>
      <c r="B14648" t="inlineStr">
        <is>
          <t>Clinique Pop Longwear Matte Lipstick Clove Pop 39g</t>
        </is>
      </c>
      <c r="C14648" t="inlineStr">
        <is>
          <t>Lipstick</t>
        </is>
      </c>
      <c r="D14648" t="inlineStr">
        <is>
          <t>Clinique</t>
        </is>
      </c>
      <c r="E14648" t="n">
        <v>15.53</v>
      </c>
      <c r="F14648" t="n">
        <v>1</v>
      </c>
      <c r="G14648" t="n">
        <v>2</v>
      </c>
      <c r="H14648" s="5">
        <f>HYPERLINK("https://api.qogita.com/variants/link/0192333148273/", "View Product")</f>
        <v/>
      </c>
    </row>
    <row r="14649">
      <c r="A14649" t="inlineStr">
        <is>
          <t>0192333158456</t>
        </is>
      </c>
      <c r="B14649" t="inlineStr">
        <is>
          <t>Clinique Quickliner for Lips Intense No. 07 Intense Blush 0.26g</t>
        </is>
      </c>
      <c r="C14649" t="inlineStr">
        <is>
          <t>Lip Liner</t>
        </is>
      </c>
      <c r="D14649" t="inlineStr">
        <is>
          <t>Clinique</t>
        </is>
      </c>
      <c r="E14649" t="n">
        <v>15.49</v>
      </c>
      <c r="F14649" t="n">
        <v>1</v>
      </c>
      <c r="G14649" t="n">
        <v>5</v>
      </c>
      <c r="H14649" s="5">
        <f>HYPERLINK("https://api.qogita.com/variants/link/0192333158456/", "View Product")</f>
        <v/>
      </c>
    </row>
    <row r="14650">
      <c r="A14650" t="inlineStr">
        <is>
          <t>0192333164594</t>
        </is>
      </c>
      <c r="B14650" t="inlineStr">
        <is>
          <t>Clinique High Impact High-Fi Full Volume Mascara Brown 10ml</t>
        </is>
      </c>
      <c r="C14650" t="inlineStr">
        <is>
          <t>Mascara</t>
        </is>
      </c>
      <c r="D14650" t="inlineStr">
        <is>
          <t>Clinique</t>
        </is>
      </c>
      <c r="E14650" t="n">
        <v>21.06</v>
      </c>
      <c r="F14650" t="n">
        <v>1</v>
      </c>
      <c r="G14650" t="n">
        <v>81</v>
      </c>
      <c r="H14650" s="5">
        <f>HYPERLINK("https://api.qogita.com/variants/link/0192333164594/", "View Product")</f>
        <v/>
      </c>
    </row>
    <row r="14651">
      <c r="A14651" t="inlineStr">
        <is>
          <t>0192333171936</t>
        </is>
      </c>
      <c r="B14651" t="inlineStr">
        <is>
          <t>Clinique Quickliner for Lips Cocoa Rose 0.3g</t>
        </is>
      </c>
      <c r="C14651" t="inlineStr">
        <is>
          <t>Lip Liner</t>
        </is>
      </c>
      <c r="D14651" t="inlineStr">
        <is>
          <t>Clinique</t>
        </is>
      </c>
      <c r="E14651" t="n">
        <v>15.04</v>
      </c>
      <c r="F14651" t="n">
        <v>1</v>
      </c>
      <c r="G14651" t="n">
        <v>8</v>
      </c>
      <c r="H14651" s="5">
        <f>HYPERLINK("https://api.qogita.com/variants/link/0192333171936/", "View Product")</f>
        <v/>
      </c>
    </row>
    <row r="14652">
      <c r="A14652" t="inlineStr">
        <is>
          <t>0192333171950</t>
        </is>
      </c>
      <c r="B14652" t="inlineStr">
        <is>
          <t>Clinique Quickliner for Lips Crushed Berry 0.3g</t>
        </is>
      </c>
      <c r="C14652" t="inlineStr">
        <is>
          <t>Lip Liner</t>
        </is>
      </c>
      <c r="D14652" t="inlineStr">
        <is>
          <t>Clinique</t>
        </is>
      </c>
      <c r="E14652" t="n">
        <v>12.73</v>
      </c>
      <c r="F14652" t="n">
        <v>1</v>
      </c>
      <c r="G14652" t="n">
        <v>3</v>
      </c>
      <c r="H14652" s="5">
        <f>HYPERLINK("https://api.qogita.com/variants/link/0192333171950/", "View Product")</f>
        <v/>
      </c>
    </row>
    <row r="14653">
      <c r="A14653" t="inlineStr">
        <is>
          <t>0192333171981</t>
        </is>
      </c>
      <c r="B14653" t="inlineStr">
        <is>
          <t>Clinique Chubby Sticks Moisturizing Lip Colour Balm Nr.26 Boldest Bronze 3g</t>
        </is>
      </c>
      <c r="C14653" t="inlineStr">
        <is>
          <t>Lip Balm</t>
        </is>
      </c>
      <c r="D14653" t="inlineStr">
        <is>
          <t>Clinique</t>
        </is>
      </c>
      <c r="E14653" t="n">
        <v>15.45</v>
      </c>
      <c r="F14653" t="n">
        <v>1</v>
      </c>
      <c r="G14653" t="n">
        <v>2</v>
      </c>
      <c r="H14653" s="5">
        <f>HYPERLINK("https://api.qogita.com/variants/link/0192333171981/", "View Product")</f>
        <v/>
      </c>
    </row>
    <row r="14654">
      <c r="A14654" t="inlineStr">
        <is>
          <t>0192333172001</t>
        </is>
      </c>
      <c r="B14654" t="inlineStr">
        <is>
          <t>CLINIQUE Chubby Stick Lips Roomiest Rose</t>
        </is>
      </c>
      <c r="C14654" t="inlineStr">
        <is>
          <t>Lipstick</t>
        </is>
      </c>
      <c r="D14654" t="inlineStr">
        <is>
          <t>Clinique</t>
        </is>
      </c>
      <c r="E14654" t="n">
        <v>16.19</v>
      </c>
      <c r="F14654" t="n">
        <v>1</v>
      </c>
      <c r="G14654" t="n">
        <v>5</v>
      </c>
      <c r="H14654" s="5">
        <f>HYPERLINK("https://api.qogita.com/variants/link/0192333172001/", "View Product")</f>
        <v/>
      </c>
    </row>
    <row r="14655">
      <c r="A14655" t="inlineStr">
        <is>
          <t>0192333172025</t>
        </is>
      </c>
      <c r="B14655" t="inlineStr">
        <is>
          <t>Clinique Chubby Sticks Moisturizing Lip Colour Balm No. 30 Broadest Berry 3g</t>
        </is>
      </c>
      <c r="C14655" t="inlineStr">
        <is>
          <t>Lip Balm</t>
        </is>
      </c>
      <c r="D14655" t="inlineStr">
        <is>
          <t>Clinique</t>
        </is>
      </c>
      <c r="E14655" t="n">
        <v>15.78</v>
      </c>
      <c r="F14655" t="n">
        <v>1</v>
      </c>
      <c r="G14655" t="n">
        <v>2</v>
      </c>
      <c r="H14655" s="5">
        <f>HYPERLINK("https://api.qogita.com/variants/link/0192333172025/", "View Product")</f>
        <v/>
      </c>
    </row>
    <row r="14656">
      <c r="A14656" t="inlineStr">
        <is>
          <t>0192333175286</t>
        </is>
      </c>
      <c r="B14656" t="inlineStr">
        <is>
          <t>CLINIQUE Quickliner For Lips Chili 0.3g</t>
        </is>
      </c>
      <c r="C14656" t="inlineStr">
        <is>
          <t>Lip Liner</t>
        </is>
      </c>
      <c r="D14656" t="inlineStr">
        <is>
          <t>Clinique</t>
        </is>
      </c>
      <c r="E14656" t="n">
        <v>14.59</v>
      </c>
      <c r="F14656" t="n">
        <v>1</v>
      </c>
      <c r="G14656" t="n">
        <v>8</v>
      </c>
      <c r="H14656" s="5">
        <f>HYPERLINK("https://api.qogita.com/variants/link/0192333175286/", "View Product")</f>
        <v/>
      </c>
    </row>
    <row r="14657">
      <c r="A14657" t="inlineStr">
        <is>
          <t>0192333175606</t>
        </is>
      </c>
      <c r="B14657" t="inlineStr">
        <is>
          <t>Clinique Acne Solutions Liquid Makeup Golden</t>
        </is>
      </c>
      <c r="C14657" t="inlineStr">
        <is>
          <t>Foundation</t>
        </is>
      </c>
      <c r="D14657" t="inlineStr">
        <is>
          <t>Clinique</t>
        </is>
      </c>
      <c r="E14657" t="n">
        <v>25.26</v>
      </c>
      <c r="F14657" t="n">
        <v>1</v>
      </c>
      <c r="G14657" t="n">
        <v>7</v>
      </c>
      <c r="H14657" s="5">
        <f>HYPERLINK("https://api.qogita.com/variants/link/0192333175606/", "View Product")</f>
        <v/>
      </c>
    </row>
    <row r="14658">
      <c r="A14658" t="inlineStr">
        <is>
          <t>0192333192184</t>
        </is>
      </c>
      <c r="B14658" t="inlineStr">
        <is>
          <t>Clinique Clinique Pop Longwear Shine Lipstick Blush Pop 39g</t>
        </is>
      </c>
      <c r="C14658" t="inlineStr">
        <is>
          <t>Lipstick</t>
        </is>
      </c>
      <c r="D14658" t="inlineStr">
        <is>
          <t>Clinique</t>
        </is>
      </c>
      <c r="E14658" t="n">
        <v>18.2</v>
      </c>
      <c r="F14658" t="n">
        <v>1</v>
      </c>
      <c r="G14658" t="n">
        <v>4</v>
      </c>
      <c r="H14658" s="5">
        <f>HYPERLINK("https://api.qogita.com/variants/link/0192333192184/", "View Product")</f>
        <v/>
      </c>
    </row>
    <row r="14659">
      <c r="A14659" t="inlineStr">
        <is>
          <t>0192333192207</t>
        </is>
      </c>
      <c r="B14659" t="inlineStr">
        <is>
          <t>Clinique Pop Longwear Shine Lipstick Flame Pop 39g</t>
        </is>
      </c>
      <c r="C14659" t="inlineStr">
        <is>
          <t>Lipstick</t>
        </is>
      </c>
      <c r="D14659" t="inlineStr">
        <is>
          <t>Clinique</t>
        </is>
      </c>
      <c r="E14659" t="n">
        <v>18.2</v>
      </c>
      <c r="F14659" t="n">
        <v>1</v>
      </c>
      <c r="G14659" t="n">
        <v>5</v>
      </c>
      <c r="H14659" s="5">
        <f>HYPERLINK("https://api.qogita.com/variants/link/0192333192207/", "View Product")</f>
        <v/>
      </c>
    </row>
    <row r="14660">
      <c r="A14660" t="inlineStr">
        <is>
          <t>0192333192252</t>
        </is>
      </c>
      <c r="B14660" t="inlineStr">
        <is>
          <t>Clinique Pop Longwear Lipstick - 4 Grams</t>
        </is>
      </c>
      <c r="C14660" t="inlineStr">
        <is>
          <t>Lipstick</t>
        </is>
      </c>
      <c r="D14660" t="inlineStr">
        <is>
          <t>Clinique</t>
        </is>
      </c>
      <c r="E14660" t="n">
        <v>16.4</v>
      </c>
      <c r="F14660" t="n">
        <v>1</v>
      </c>
      <c r="G14660" t="n">
        <v>2</v>
      </c>
      <c r="H14660" s="5">
        <f>HYPERLINK("https://api.qogita.com/variants/link/0192333192252/", "View Product")</f>
        <v/>
      </c>
    </row>
    <row r="14661">
      <c r="A14661" t="inlineStr">
        <is>
          <t>0192333192283</t>
        </is>
      </c>
      <c r="B14661" t="inlineStr">
        <is>
          <t>Clinique Pop Longwear Lipstick - 4 Grams</t>
        </is>
      </c>
      <c r="C14661" t="inlineStr">
        <is>
          <t>Lipstick</t>
        </is>
      </c>
      <c r="D14661" t="inlineStr">
        <is>
          <t>Clinique</t>
        </is>
      </c>
      <c r="E14661" t="n">
        <v>16.78</v>
      </c>
      <c r="F14661" t="n">
        <v>1</v>
      </c>
      <c r="G14661" t="n">
        <v>3</v>
      </c>
      <c r="H14661" s="5">
        <f>HYPERLINK("https://api.qogita.com/variants/link/0192333192283/", "View Product")</f>
        <v/>
      </c>
    </row>
    <row r="14662">
      <c r="A14662" t="inlineStr">
        <is>
          <t>0192333192313</t>
        </is>
      </c>
      <c r="B14662" t="inlineStr">
        <is>
          <t>Clinique Pop Longwear Lipstick By Clinique - 4 Grams</t>
        </is>
      </c>
      <c r="C14662" t="inlineStr">
        <is>
          <t>Lipstick</t>
        </is>
      </c>
      <c r="D14662" t="inlineStr">
        <is>
          <t>Clinique</t>
        </is>
      </c>
      <c r="E14662" t="n">
        <v>16.74</v>
      </c>
      <c r="F14662" t="n">
        <v>1</v>
      </c>
      <c r="G14662" t="n">
        <v>4</v>
      </c>
      <c r="H14662" s="5">
        <f>HYPERLINK("https://api.qogita.com/variants/link/0192333192313/", "View Product")</f>
        <v/>
      </c>
    </row>
    <row r="14663">
      <c r="A14663" t="inlineStr">
        <is>
          <t>0192333192375</t>
        </is>
      </c>
      <c r="B14663" t="inlineStr">
        <is>
          <t>Clinique Clinique Pop Longwear Shine Lipstick Fig Pop - 39g</t>
        </is>
      </c>
      <c r="C14663" t="inlineStr">
        <is>
          <t>Lipstick</t>
        </is>
      </c>
      <c r="D14663" t="inlineStr">
        <is>
          <t>Clinique</t>
        </is>
      </c>
      <c r="E14663" t="n">
        <v>18.2</v>
      </c>
      <c r="F14663" t="n">
        <v>1</v>
      </c>
      <c r="G14663" t="n">
        <v>3</v>
      </c>
      <c r="H14663" s="5">
        <f>HYPERLINK("https://api.qogita.com/variants/link/0192333192375/", "View Product")</f>
        <v/>
      </c>
    </row>
    <row r="14664">
      <c r="A14664" t="inlineStr">
        <is>
          <t>0192333255018</t>
        </is>
      </c>
      <c r="B14664" t="inlineStr">
        <is>
          <t>Clinique Even Better Clinical Vitamin Makeup SPF 50 Foundation Light Cool 3</t>
        </is>
      </c>
      <c r="C14664" t="inlineStr">
        <is>
          <t>Foundation</t>
        </is>
      </c>
      <c r="D14664" t="inlineStr">
        <is>
          <t>Clinique</t>
        </is>
      </c>
      <c r="E14664" t="n">
        <v>31.28</v>
      </c>
      <c r="F14664" t="n">
        <v>1</v>
      </c>
      <c r="G14664" t="n">
        <v>4</v>
      </c>
      <c r="H14664" s="5">
        <f>HYPERLINK("https://api.qogita.com/variants/link/0192333255018/", "View Product")</f>
        <v/>
      </c>
    </row>
    <row r="14665">
      <c r="A14665" t="inlineStr">
        <is>
          <t>0192333255032</t>
        </is>
      </c>
      <c r="B14665" t="inlineStr">
        <is>
          <t>Clinique Liquid Make-Up Spf 50 Even Better Clinical Vitamin Make-Up - 30 Ml</t>
        </is>
      </c>
      <c r="C14665" t="inlineStr">
        <is>
          <t>Foundation</t>
        </is>
      </c>
      <c r="D14665" t="inlineStr">
        <is>
          <t>Clinique</t>
        </is>
      </c>
      <c r="E14665" t="n">
        <v>31.66</v>
      </c>
      <c r="F14665" t="n">
        <v>1</v>
      </c>
      <c r="G14665" t="n">
        <v>2</v>
      </c>
      <c r="H14665" s="5">
        <f>HYPERLINK("https://api.qogita.com/variants/link/0192333255032/", "View Product")</f>
        <v/>
      </c>
    </row>
    <row r="14666">
      <c r="A14666" t="inlineStr">
        <is>
          <t>0192333255070</t>
        </is>
      </c>
      <c r="B14666" t="inlineStr">
        <is>
          <t>Clinique Even Better Clinical Vitamin Makeup SPF 50 Foundation L.M. Cool 3</t>
        </is>
      </c>
      <c r="C14666" t="inlineStr">
        <is>
          <t>Foundation</t>
        </is>
      </c>
      <c r="D14666" t="inlineStr">
        <is>
          <t>Clinique</t>
        </is>
      </c>
      <c r="E14666" t="n">
        <v>31.28</v>
      </c>
      <c r="F14666" t="n">
        <v>1</v>
      </c>
      <c r="G14666" t="n">
        <v>5</v>
      </c>
      <c r="H14666" s="5">
        <f>HYPERLINK("https://api.qogita.com/variants/link/0192333255070/", "View Product")</f>
        <v/>
      </c>
    </row>
    <row r="14667">
      <c r="A14667" t="inlineStr">
        <is>
          <t>0192333258293</t>
        </is>
      </c>
      <c r="B14667" t="inlineStr">
        <is>
          <t>Clinique Moisture Surge Facial Care Set</t>
        </is>
      </c>
      <c r="C14667" t="inlineStr">
        <is>
          <t>Facial Care Sets</t>
        </is>
      </c>
      <c r="D14667" t="inlineStr">
        <is>
          <t>Clinique</t>
        </is>
      </c>
      <c r="E14667" t="n">
        <v>57.12</v>
      </c>
      <c r="F14667" t="n">
        <v>1</v>
      </c>
      <c r="G14667" t="n">
        <v>3</v>
      </c>
      <c r="H14667" s="5">
        <f>HYPERLINK("https://api.qogita.com/variants/link/0192333258293/", "View Product")</f>
        <v/>
      </c>
    </row>
    <row r="14668">
      <c r="A14668" t="inlineStr">
        <is>
          <t>0194248006907</t>
        </is>
      </c>
      <c r="B14668" t="inlineStr">
        <is>
          <t>bareMinerals BAREPRO 16Hr Skin-Perfecting Powder Foundation 10g Fair 10 Cool</t>
        </is>
      </c>
      <c r="C14668" t="inlineStr">
        <is>
          <t>Foundation</t>
        </is>
      </c>
      <c r="D14668" t="inlineStr">
        <is>
          <t>Bareminerals</t>
        </is>
      </c>
      <c r="E14668" t="n">
        <v>29.84</v>
      </c>
      <c r="F14668" t="n">
        <v>1</v>
      </c>
      <c r="G14668" t="n">
        <v>2</v>
      </c>
      <c r="H14668" s="5">
        <f>HYPERLINK("https://api.qogita.com/variants/link/0194248006907/", "View Product")</f>
        <v/>
      </c>
    </row>
    <row r="14669">
      <c r="A14669" t="inlineStr">
        <is>
          <t>0194248056582</t>
        </is>
      </c>
      <c r="B14669" t="inlineStr">
        <is>
          <t>bareMinerals Original Liquid Mineral Concealer 6ml Medium 3N</t>
        </is>
      </c>
      <c r="C14669" t="inlineStr">
        <is>
          <t>Concealer</t>
        </is>
      </c>
      <c r="D14669" t="inlineStr">
        <is>
          <t>Bareminerals</t>
        </is>
      </c>
      <c r="E14669" t="n">
        <v>20.45</v>
      </c>
      <c r="F14669" t="n">
        <v>1</v>
      </c>
      <c r="G14669" t="n">
        <v>2</v>
      </c>
      <c r="H14669" s="5">
        <f>HYPERLINK("https://api.qogita.com/variants/link/0194248056582/", "View Product")</f>
        <v/>
      </c>
    </row>
    <row r="14670">
      <c r="A14670" t="inlineStr">
        <is>
          <t>0194248059705</t>
        </is>
      </c>
      <c r="B14670" t="inlineStr">
        <is>
          <t>bareMinerals Mineralist Detailing Micro-Fill Brow Pencil Coffee</t>
        </is>
      </c>
      <c r="C14670" t="inlineStr">
        <is>
          <t>Eyebrow Pencil</t>
        </is>
      </c>
      <c r="D14670" t="inlineStr">
        <is>
          <t>Bareminerals</t>
        </is>
      </c>
      <c r="E14670" t="n">
        <v>16.76</v>
      </c>
      <c r="F14670" t="n">
        <v>1</v>
      </c>
      <c r="G14670" t="n">
        <v>2</v>
      </c>
      <c r="H14670" s="5">
        <f>HYPERLINK("https://api.qogita.com/variants/link/0194248059705/", "View Product")</f>
        <v/>
      </c>
    </row>
    <row r="14671">
      <c r="A14671" t="inlineStr">
        <is>
          <t>0194248062330</t>
        </is>
      </c>
      <c r="B14671" t="inlineStr">
        <is>
          <t>Bareminerals Bare Pro 24-Hour Matte Comfort Liquid Foundation - 30 Ml</t>
        </is>
      </c>
      <c r="C14671" t="inlineStr">
        <is>
          <t>Foundation</t>
        </is>
      </c>
      <c r="D14671" t="inlineStr">
        <is>
          <t>Bareminerals</t>
        </is>
      </c>
      <c r="E14671" t="n">
        <v>30.63</v>
      </c>
      <c r="F14671" t="n">
        <v>1</v>
      </c>
      <c r="G14671" t="n">
        <v>3</v>
      </c>
      <c r="H14671" s="5">
        <f>HYPERLINK("https://api.qogita.com/variants/link/0194248062330/", "View Product")</f>
        <v/>
      </c>
    </row>
    <row r="14672">
      <c r="A14672" t="inlineStr">
        <is>
          <t>0194248062750</t>
        </is>
      </c>
      <c r="B14672" t="inlineStr">
        <is>
          <t>Bareminerals Bare Pro 24-Hour Matte Comfort Liquid Foundation - 30 Ml</t>
        </is>
      </c>
      <c r="C14672" t="inlineStr">
        <is>
          <t>Foundation</t>
        </is>
      </c>
      <c r="D14672" t="inlineStr">
        <is>
          <t>Bareminerals</t>
        </is>
      </c>
      <c r="E14672" t="n">
        <v>30.63</v>
      </c>
      <c r="F14672" t="n">
        <v>1</v>
      </c>
      <c r="G14672" t="n">
        <v>2</v>
      </c>
      <c r="H14672" s="5">
        <f>HYPERLINK("https://api.qogita.com/variants/link/0194248062750/", "View Product")</f>
        <v/>
      </c>
    </row>
    <row r="14673">
      <c r="A14673" t="inlineStr">
        <is>
          <t>0194250000122</t>
        </is>
      </c>
      <c r="B14673" t="inlineStr">
        <is>
          <t>Laura Mercier Secret Camouflage Concealer Duo Stick 1N Fair with Neutral Undertones for Women 0.06 oz Pink</t>
        </is>
      </c>
      <c r="C14673" t="inlineStr">
        <is>
          <t>Concealer</t>
        </is>
      </c>
      <c r="D14673" t="inlineStr">
        <is>
          <t>Laura Mercier</t>
        </is>
      </c>
      <c r="E14673" t="n">
        <v>27.96</v>
      </c>
      <c r="F14673" t="n">
        <v>1</v>
      </c>
      <c r="G14673" t="n">
        <v>4</v>
      </c>
      <c r="H14673" s="5">
        <f>HYPERLINK("https://api.qogita.com/variants/link/0194250000122/", "View Product")</f>
        <v/>
      </c>
    </row>
    <row r="14674">
      <c r="A14674" t="inlineStr">
        <is>
          <t>0194250001570</t>
        </is>
      </c>
      <c r="B14674" t="inlineStr">
        <is>
          <t>Oil Free Natural Skin Perfector Tinted Moisturizer 50 ml Shade 0W1 Pearl</t>
        </is>
      </c>
      <c r="C14674" t="inlineStr">
        <is>
          <t>Bb Cream &amp; Cc Cream</t>
        </is>
      </c>
      <c r="D14674" t="inlineStr">
        <is>
          <t>Laura Mercier</t>
        </is>
      </c>
      <c r="E14674" t="n">
        <v>37.27</v>
      </c>
      <c r="F14674" t="n">
        <v>1</v>
      </c>
      <c r="G14674" t="n">
        <v>4</v>
      </c>
      <c r="H14674" s="5">
        <f>HYPERLINK("https://api.qogita.com/variants/link/0194250001570/", "View Product")</f>
        <v/>
      </c>
    </row>
    <row r="14675">
      <c r="A14675" t="inlineStr">
        <is>
          <t>0194250010558</t>
        </is>
      </c>
      <c r="B14675" t="inlineStr">
        <is>
          <t>Laura Mercier Flawless Weightless Perfecting Foundation 2w2 Warm Linen</t>
        </is>
      </c>
      <c r="C14675" t="inlineStr">
        <is>
          <t>Foundation</t>
        </is>
      </c>
      <c r="D14675" t="inlineStr">
        <is>
          <t>Laura Mercier</t>
        </is>
      </c>
      <c r="E14675" t="n">
        <v>36.23</v>
      </c>
      <c r="F14675" t="n">
        <v>1</v>
      </c>
      <c r="G14675" t="n">
        <v>4</v>
      </c>
      <c r="H14675" s="5">
        <f>HYPERLINK("https://api.qogita.com/variants/link/0194250010558/", "View Product")</f>
        <v/>
      </c>
    </row>
    <row r="14676">
      <c r="A14676" t="inlineStr">
        <is>
          <t>0194250010817</t>
        </is>
      </c>
      <c r="B14676" t="inlineStr">
        <is>
          <t>Laura Mercier Women's Real Flawless Foundation 1oz 30ml 4W1 Suntan Tan</t>
        </is>
      </c>
      <c r="C14676" t="inlineStr">
        <is>
          <t>Foundation</t>
        </is>
      </c>
      <c r="D14676" t="inlineStr">
        <is>
          <t>Laura Mercier</t>
        </is>
      </c>
      <c r="E14676" t="n">
        <v>35.33</v>
      </c>
      <c r="F14676" t="n">
        <v>1</v>
      </c>
      <c r="G14676" t="n">
        <v>9</v>
      </c>
      <c r="H14676" s="5">
        <f>HYPERLINK("https://api.qogita.com/variants/link/0194250010817/", "View Product")</f>
        <v/>
      </c>
    </row>
    <row r="14677">
      <c r="A14677" t="inlineStr">
        <is>
          <t>0194250011036</t>
        </is>
      </c>
      <c r="B14677" t="inlineStr">
        <is>
          <t>Laura Mercier Real Flawless Foundation - 30 Ml</t>
        </is>
      </c>
      <c r="C14677" t="inlineStr">
        <is>
          <t>Foundation</t>
        </is>
      </c>
      <c r="D14677" t="inlineStr">
        <is>
          <t>Laura Mercier</t>
        </is>
      </c>
      <c r="E14677" t="n">
        <v>35.28</v>
      </c>
      <c r="F14677" t="n">
        <v>1</v>
      </c>
      <c r="G14677" t="n">
        <v>5</v>
      </c>
      <c r="H14677" s="5">
        <f>HYPERLINK("https://api.qogita.com/variants/link/0194250011036/", "View Product")</f>
        <v/>
      </c>
    </row>
    <row r="14678">
      <c r="A14678" t="inlineStr">
        <is>
          <t>0194250018462</t>
        </is>
      </c>
      <c r="B14678" t="inlineStr">
        <is>
          <t>Laura Mercier Tinted Moisturizer Blush La Piscine Pale Baby Pink 0.5oz</t>
        </is>
      </c>
      <c r="C14678" t="inlineStr">
        <is>
          <t>Blush</t>
        </is>
      </c>
      <c r="D14678" t="inlineStr">
        <is>
          <t>Laura Mercier</t>
        </is>
      </c>
      <c r="E14678" t="n">
        <v>22.45</v>
      </c>
      <c r="F14678" t="n">
        <v>1</v>
      </c>
      <c r="G14678" t="n">
        <v>5</v>
      </c>
      <c r="H14678" s="5">
        <f>HYPERLINK("https://api.qogita.com/variants/link/0194250018462/", "View Product")</f>
        <v/>
      </c>
    </row>
    <row r="14679">
      <c r="A14679" t="inlineStr">
        <is>
          <t>0194250022216</t>
        </is>
      </c>
      <c r="B14679" t="inlineStr">
        <is>
          <t>Laura Mercier Lip Glace 150 Melon Sorbet for Women 0.15 oz Lip Gloss 4.25g</t>
        </is>
      </c>
      <c r="C14679" t="inlineStr">
        <is>
          <t>Lip Gloss</t>
        </is>
      </c>
      <c r="D14679" t="inlineStr">
        <is>
          <t>Laura Mercier</t>
        </is>
      </c>
      <c r="E14679" t="n">
        <v>19.77</v>
      </c>
      <c r="F14679" t="n">
        <v>1</v>
      </c>
      <c r="G14679" t="n">
        <v>5</v>
      </c>
      <c r="H14679" s="5">
        <f>HYPERLINK("https://api.qogita.com/variants/link/0194250022216/", "View Product")</f>
        <v/>
      </c>
    </row>
    <row r="14680">
      <c r="A14680" t="inlineStr">
        <is>
          <t>0194250022315</t>
        </is>
      </c>
      <c r="B14680" t="inlineStr">
        <is>
          <t>Laura Mercier Lip Glace Hydrating Moisturizing Lip Balm Gloss Sugar Plum</t>
        </is>
      </c>
      <c r="C14680" t="inlineStr">
        <is>
          <t>Lip Gloss</t>
        </is>
      </c>
      <c r="D14680" t="inlineStr">
        <is>
          <t>Laura Mercier</t>
        </is>
      </c>
      <c r="E14680" t="n">
        <v>20.04</v>
      </c>
      <c r="F14680" t="n">
        <v>1</v>
      </c>
      <c r="G14680" t="n">
        <v>3</v>
      </c>
      <c r="H14680" s="5">
        <f>HYPERLINK("https://api.qogita.com/variants/link/0194250022315/", "View Product")</f>
        <v/>
      </c>
    </row>
    <row r="14681">
      <c r="A14681" t="inlineStr">
        <is>
          <t>0194250025682</t>
        </is>
      </c>
      <c r="B14681" t="inlineStr">
        <is>
          <t>Laura Mercier Roseglow Highlighting Powder for Women 0.2 oz</t>
        </is>
      </c>
      <c r="C14681" t="inlineStr">
        <is>
          <t>Highlighter</t>
        </is>
      </c>
      <c r="D14681" t="inlineStr">
        <is>
          <t>Laura Mercier</t>
        </is>
      </c>
      <c r="E14681" t="n">
        <v>25.28</v>
      </c>
      <c r="F14681" t="n">
        <v>1</v>
      </c>
      <c r="G14681" t="n">
        <v>9</v>
      </c>
      <c r="H14681" s="5">
        <f>HYPERLINK("https://api.qogita.com/variants/link/0194250025682/", "View Product")</f>
        <v/>
      </c>
    </row>
    <row r="14682">
      <c r="A14682" t="inlineStr">
        <is>
          <t>0194250039016</t>
        </is>
      </c>
      <c r="B14682" t="inlineStr">
        <is>
          <t>Roseglow Blush Color Infusion Very Berry by Laura Mercier for Women 0.2 oz</t>
        </is>
      </c>
      <c r="C14682" t="inlineStr">
        <is>
          <t>Blush</t>
        </is>
      </c>
      <c r="D14682" t="inlineStr">
        <is>
          <t>Laura Mercier</t>
        </is>
      </c>
      <c r="E14682" t="n">
        <v>25.46</v>
      </c>
      <c r="F14682" t="n">
        <v>1</v>
      </c>
      <c r="G14682" t="n">
        <v>5</v>
      </c>
      <c r="H14682" s="5">
        <f>HYPERLINK("https://api.qogita.com/variants/link/0194250039016/", "View Product")</f>
        <v/>
      </c>
    </row>
    <row r="14683">
      <c r="A14683" t="inlineStr">
        <is>
          <t>0194250043020</t>
        </is>
      </c>
      <c r="B14683" t="inlineStr">
        <is>
          <t>Laura Mercier Tinted Moisturizer Blush Parasol for Women 0.5oz</t>
        </is>
      </c>
      <c r="C14683" t="inlineStr">
        <is>
          <t>Blush</t>
        </is>
      </c>
      <c r="D14683" t="inlineStr">
        <is>
          <t>Laura Mercier</t>
        </is>
      </c>
      <c r="E14683" t="n">
        <v>21.76</v>
      </c>
      <c r="F14683" t="n">
        <v>1</v>
      </c>
      <c r="G14683" t="n">
        <v>13</v>
      </c>
      <c r="H14683" s="5">
        <f>HYPERLINK("https://api.qogita.com/variants/link/0194250043020/", "View Product")</f>
        <v/>
      </c>
    </row>
    <row r="14684">
      <c r="A14684" t="inlineStr">
        <is>
          <t>0194250043105</t>
        </is>
      </c>
      <c r="B14684" t="inlineStr">
        <is>
          <t>Laura Mercier Tinted Moisturizer Blush Mistral Blush Women 0.5 oz Rose Cranberry</t>
        </is>
      </c>
      <c r="C14684" t="inlineStr">
        <is>
          <t>Blush</t>
        </is>
      </c>
      <c r="D14684" t="inlineStr">
        <is>
          <t>Laura Mercier</t>
        </is>
      </c>
      <c r="E14684" t="n">
        <v>24.4</v>
      </c>
      <c r="F14684" t="n">
        <v>1</v>
      </c>
      <c r="G14684" t="n">
        <v>5</v>
      </c>
      <c r="H14684" s="5">
        <f>HYPERLINK("https://api.qogita.com/variants/link/0194250043105/", "View Product")</f>
        <v/>
      </c>
    </row>
    <row r="14685">
      <c r="A14685" t="inlineStr">
        <is>
          <t>0194250043129</t>
        </is>
      </c>
      <c r="B14685" t="inlineStr">
        <is>
          <t>Laura Mercier Tinted Moisturizer Blush Sun Drenched Blush Women 0.5 oz</t>
        </is>
      </c>
      <c r="C14685" t="inlineStr">
        <is>
          <t>Blush</t>
        </is>
      </c>
      <c r="D14685" t="inlineStr">
        <is>
          <t>Laura Mercier</t>
        </is>
      </c>
      <c r="E14685" t="n">
        <v>19.77</v>
      </c>
      <c r="F14685" t="n">
        <v>1</v>
      </c>
      <c r="G14685" t="n">
        <v>5</v>
      </c>
      <c r="H14685" s="5">
        <f>HYPERLINK("https://api.qogita.com/variants/link/0194250043129/", "View Product")</f>
        <v/>
      </c>
    </row>
    <row r="14686">
      <c r="A14686" t="inlineStr">
        <is>
          <t>0194250046533</t>
        </is>
      </c>
      <c r="B14686" t="inlineStr">
        <is>
          <t>Laura Mercier High Vibe Lip Color Lipstick Bliss</t>
        </is>
      </c>
      <c r="C14686" t="inlineStr">
        <is>
          <t>Lipstick</t>
        </is>
      </c>
      <c r="D14686" t="inlineStr">
        <is>
          <t>Laura Mercier</t>
        </is>
      </c>
      <c r="E14686" t="n">
        <v>21.83</v>
      </c>
      <c r="F14686" t="n">
        <v>1</v>
      </c>
      <c r="G14686" t="n">
        <v>7</v>
      </c>
      <c r="H14686" s="5">
        <f>HYPERLINK("https://api.qogita.com/variants/link/0194250046533/", "View Product")</f>
        <v/>
      </c>
    </row>
    <row r="14687">
      <c r="A14687" t="inlineStr">
        <is>
          <t>0194250047493</t>
        </is>
      </c>
      <c r="B14687" t="inlineStr">
        <is>
          <t>Laura Mercier Ultra-Blur Talc-Free Translucent Loose Setting Powder</t>
        </is>
      </c>
      <c r="C14687" t="inlineStr">
        <is>
          <t>Powder</t>
        </is>
      </c>
      <c r="D14687" t="inlineStr">
        <is>
          <t>Laura Mercier</t>
        </is>
      </c>
      <c r="E14687" t="n">
        <v>41.2</v>
      </c>
      <c r="F14687" t="n">
        <v>1</v>
      </c>
      <c r="G14687" t="n">
        <v>5</v>
      </c>
      <c r="H14687" s="5">
        <f>HYPERLINK("https://api.qogita.com/variants/link/0194250047493/", "View Product")</f>
        <v/>
      </c>
    </row>
    <row r="14688">
      <c r="A14688" t="inlineStr">
        <is>
          <t>0194250047578</t>
        </is>
      </c>
      <c r="B14688" t="inlineStr">
        <is>
          <t>Laura Mercier Mini Ultra-Blur Talc-Free Translucent Loose Setting Powder Translucent Honey</t>
        </is>
      </c>
      <c r="C14688" t="inlineStr">
        <is>
          <t>Powder</t>
        </is>
      </c>
      <c r="D14688" t="inlineStr">
        <is>
          <t>Laura Mercier</t>
        </is>
      </c>
      <c r="E14688" t="n">
        <v>22.07</v>
      </c>
      <c r="F14688" t="n">
        <v>1</v>
      </c>
      <c r="G14688" t="n">
        <v>4</v>
      </c>
      <c r="H14688" s="5">
        <f>HYPERLINK("https://api.qogita.com/variants/link/0194250047578/", "View Product")</f>
        <v/>
      </c>
    </row>
    <row r="14689">
      <c r="A14689" t="inlineStr">
        <is>
          <t>0194250050318</t>
        </is>
      </c>
      <c r="B14689" t="inlineStr">
        <is>
          <t>Laura Mercier High Vibe Lip Color Lipstick - 2 Grams</t>
        </is>
      </c>
      <c r="C14689" t="inlineStr">
        <is>
          <t>Lipstick</t>
        </is>
      </c>
      <c r="D14689" t="inlineStr">
        <is>
          <t>Laura Mercier</t>
        </is>
      </c>
      <c r="E14689" t="n">
        <v>25.29</v>
      </c>
      <c r="F14689" t="n">
        <v>1</v>
      </c>
      <c r="G14689" t="n">
        <v>5</v>
      </c>
      <c r="H14689" s="5">
        <f>HYPERLINK("https://api.qogita.com/variants/link/0194250050318/", "View Product")</f>
        <v/>
      </c>
    </row>
    <row r="14690">
      <c r="A14690" t="inlineStr">
        <is>
          <t>0194250050417</t>
        </is>
      </c>
      <c r="B14690" t="inlineStr">
        <is>
          <t>Laura Mercier High Vibe Lip Color Lipstick Blaze</t>
        </is>
      </c>
      <c r="C14690" t="inlineStr">
        <is>
          <t>Lipstick</t>
        </is>
      </c>
      <c r="D14690" t="inlineStr">
        <is>
          <t>Laura Mercier</t>
        </is>
      </c>
      <c r="E14690" t="n">
        <v>21.83</v>
      </c>
      <c r="F14690" t="n">
        <v>1</v>
      </c>
      <c r="G14690" t="n">
        <v>2</v>
      </c>
      <c r="H14690" s="5">
        <f>HYPERLINK("https://api.qogita.com/variants/link/0194250050417/", "View Product")</f>
        <v/>
      </c>
    </row>
    <row r="14691">
      <c r="A14691" t="inlineStr">
        <is>
          <t>0194250050516</t>
        </is>
      </c>
      <c r="B14691" t="inlineStr">
        <is>
          <t>Laura Mercier High Vibe Lip Color - Lipstick 2 G 182 Bright</t>
        </is>
      </c>
      <c r="C14691" t="inlineStr">
        <is>
          <t>Lipstick</t>
        </is>
      </c>
      <c r="D14691" t="inlineStr">
        <is>
          <t>Laura Mercier</t>
        </is>
      </c>
      <c r="E14691" t="n">
        <v>24.64</v>
      </c>
      <c r="F14691" t="n">
        <v>1</v>
      </c>
      <c r="G14691" t="n">
        <v>5</v>
      </c>
      <c r="H14691" s="5">
        <f>HYPERLINK("https://api.qogita.com/variants/link/0194250050516/", "View Product")</f>
        <v/>
      </c>
    </row>
    <row r="14692">
      <c r="A14692" t="inlineStr">
        <is>
          <t>0194250050530</t>
        </is>
      </c>
      <c r="B14692" t="inlineStr">
        <is>
          <t>Laura Mercier High Vibe Lip Color - Lipstick 2 G 183 Dash</t>
        </is>
      </c>
      <c r="C14692" t="inlineStr">
        <is>
          <t>Lipstick</t>
        </is>
      </c>
      <c r="D14692" t="inlineStr">
        <is>
          <t>Laura Mercier</t>
        </is>
      </c>
      <c r="E14692" t="n">
        <v>24.64</v>
      </c>
      <c r="F14692" t="n">
        <v>1</v>
      </c>
      <c r="G14692" t="n">
        <v>5</v>
      </c>
      <c r="H14692" s="5">
        <f>HYPERLINK("https://api.qogita.com/variants/link/0194250050530/", "View Product")</f>
        <v/>
      </c>
    </row>
    <row r="14693">
      <c r="A14693" t="inlineStr">
        <is>
          <t>0194250050875</t>
        </is>
      </c>
      <c r="B14693" t="inlineStr">
        <is>
          <t>Laura Mercier Caviar Stick Matte Eye Shadow Peach Puff</t>
        </is>
      </c>
      <c r="C14693" t="inlineStr">
        <is>
          <t>Eyeshadow</t>
        </is>
      </c>
      <c r="D14693" t="inlineStr">
        <is>
          <t>Laura Mercier</t>
        </is>
      </c>
      <c r="E14693" t="n">
        <v>23.26</v>
      </c>
      <c r="F14693" t="n">
        <v>1</v>
      </c>
      <c r="G14693" t="n">
        <v>14</v>
      </c>
      <c r="H14693" s="5">
        <f>HYPERLINK("https://api.qogita.com/variants/link/0194250050875/", "View Product")</f>
        <v/>
      </c>
    </row>
    <row r="14694">
      <c r="A14694" t="inlineStr">
        <is>
          <t>0194250054804</t>
        </is>
      </c>
      <c r="B14694" t="inlineStr">
        <is>
          <t>Caviar Tightline Eyeliner 1.2 g Shade Smoke</t>
        </is>
      </c>
      <c r="C14694" t="inlineStr">
        <is>
          <t>Eyeliner</t>
        </is>
      </c>
      <c r="D14694" t="inlineStr">
        <is>
          <t>Laura Mercier</t>
        </is>
      </c>
      <c r="E14694" t="n">
        <v>20.46</v>
      </c>
      <c r="F14694" t="n">
        <v>1</v>
      </c>
      <c r="G14694" t="n">
        <v>6</v>
      </c>
      <c r="H14694" s="5">
        <f>HYPERLINK("https://api.qogita.com/variants/link/0194250054804/", "View Product")</f>
        <v/>
      </c>
    </row>
    <row r="14695">
      <c r="A14695" t="inlineStr">
        <is>
          <t>0194250058628</t>
        </is>
      </c>
      <c r="B14695" t="inlineStr">
        <is>
          <t>Laura Mercier Caviar Stick Eye Shadow</t>
        </is>
      </c>
      <c r="C14695" t="inlineStr">
        <is>
          <t>Eyeshadow</t>
        </is>
      </c>
      <c r="D14695" t="inlineStr">
        <is>
          <t>Laura Mercier</t>
        </is>
      </c>
      <c r="E14695" t="n">
        <v>24.42</v>
      </c>
      <c r="F14695" t="n">
        <v>1</v>
      </c>
      <c r="G14695" t="n">
        <v>8</v>
      </c>
      <c r="H14695" s="5">
        <f>HYPERLINK("https://api.qogita.com/variants/link/0194250058628/", "View Product")</f>
        <v/>
      </c>
    </row>
    <row r="14696">
      <c r="A14696" t="inlineStr">
        <is>
          <t>0194250058789</t>
        </is>
      </c>
      <c r="B14696" t="inlineStr">
        <is>
          <t>Laura Mercier Caviar Stick Matte Eye Shadow Caramel</t>
        </is>
      </c>
      <c r="C14696" t="inlineStr">
        <is>
          <t>Eyeshadow</t>
        </is>
      </c>
      <c r="D14696" t="inlineStr">
        <is>
          <t>Laura Mercier</t>
        </is>
      </c>
      <c r="E14696" t="n">
        <v>25.01</v>
      </c>
      <c r="F14696" t="n">
        <v>1</v>
      </c>
      <c r="G14696" t="n">
        <v>5</v>
      </c>
      <c r="H14696" s="5">
        <f>HYPERLINK("https://api.qogita.com/variants/link/0194250058789/", "View Product")</f>
        <v/>
      </c>
    </row>
    <row r="14697">
      <c r="A14697" t="inlineStr">
        <is>
          <t>0194250059403</t>
        </is>
      </c>
      <c r="B14697" t="inlineStr">
        <is>
          <t>Liquid Corrector (Real Flawless Concealer) 5.4 ml Shade 1N1</t>
        </is>
      </c>
      <c r="C14697" t="inlineStr">
        <is>
          <t>Concealer</t>
        </is>
      </c>
      <c r="D14697" t="inlineStr">
        <is>
          <t>Laura Mercier</t>
        </is>
      </c>
      <c r="E14697" t="n">
        <v>26.85</v>
      </c>
      <c r="F14697" t="n">
        <v>1</v>
      </c>
      <c r="G14697" t="n">
        <v>5</v>
      </c>
      <c r="H14697" s="5">
        <f>HYPERLINK("https://api.qogita.com/variants/link/0194250059403/", "View Product")</f>
        <v/>
      </c>
    </row>
    <row r="14698">
      <c r="A14698" t="inlineStr">
        <is>
          <t>0194250059625</t>
        </is>
      </c>
      <c r="B14698" t="inlineStr">
        <is>
          <t>Liquid Corrector (Real Flawless Concealer) 5.4 ml Shade 4N2</t>
        </is>
      </c>
      <c r="C14698" t="inlineStr">
        <is>
          <t>Concealer</t>
        </is>
      </c>
      <c r="D14698" t="inlineStr">
        <is>
          <t>Laura Mercier</t>
        </is>
      </c>
      <c r="E14698" t="n">
        <v>21.55</v>
      </c>
      <c r="F14698" t="n">
        <v>1</v>
      </c>
      <c r="G14698" t="n">
        <v>7</v>
      </c>
      <c r="H14698" s="5">
        <f>HYPERLINK("https://api.qogita.com/variants/link/0194250059625/", "View Product")</f>
        <v/>
      </c>
    </row>
    <row r="14699">
      <c r="A14699" t="inlineStr">
        <is>
          <t>0194250059649</t>
        </is>
      </c>
      <c r="B14699" t="inlineStr">
        <is>
          <t>Liquid Corrector (Real Flawless Concealer) 5.4 ml Shade 5C1</t>
        </is>
      </c>
      <c r="C14699" t="inlineStr">
        <is>
          <t>Concealer</t>
        </is>
      </c>
      <c r="D14699" t="inlineStr">
        <is>
          <t>Laura Mercier</t>
        </is>
      </c>
      <c r="E14699" t="n">
        <v>21.55</v>
      </c>
      <c r="F14699" t="n">
        <v>1</v>
      </c>
      <c r="G14699" t="n">
        <v>7</v>
      </c>
      <c r="H14699" s="5">
        <f>HYPERLINK("https://api.qogita.com/variants/link/0194250059649/", "View Product")</f>
        <v/>
      </c>
    </row>
    <row r="14700">
      <c r="A14700" t="inlineStr">
        <is>
          <t>0194250066692</t>
        </is>
      </c>
      <c r="B14700" t="inlineStr">
        <is>
          <t>Laura Mercier Caviar Smoothing Matte Lipstick Refill - 3.8 G</t>
        </is>
      </c>
      <c r="C14700" t="inlineStr">
        <is>
          <t>Lipstick</t>
        </is>
      </c>
      <c r="D14700" t="inlineStr">
        <is>
          <t>Laura Mercier</t>
        </is>
      </c>
      <c r="E14700" t="n">
        <v>20.52</v>
      </c>
      <c r="F14700" t="n">
        <v>1</v>
      </c>
      <c r="G14700" t="n">
        <v>5</v>
      </c>
      <c r="H14700" s="5">
        <f>HYPERLINK("https://api.qogita.com/variants/link/0194250066692/", "View Product")</f>
        <v/>
      </c>
    </row>
    <row r="14701">
      <c r="A14701" t="inlineStr">
        <is>
          <t>0194250066777</t>
        </is>
      </c>
      <c r="B14701" t="inlineStr">
        <is>
          <t>Laura Mercier Caviar Smoothing Matte Lipstick Refill - 3.8 G</t>
        </is>
      </c>
      <c r="C14701" t="inlineStr">
        <is>
          <t>Lipstick</t>
        </is>
      </c>
      <c r="D14701" t="inlineStr">
        <is>
          <t>Laura Mercier</t>
        </is>
      </c>
      <c r="E14701" t="n">
        <v>20.52</v>
      </c>
      <c r="F14701" t="n">
        <v>1</v>
      </c>
      <c r="G14701" t="n">
        <v>5</v>
      </c>
      <c r="H14701" s="5">
        <f>HYPERLINK("https://api.qogita.com/variants/link/0194250066777/", "View Product")</f>
        <v/>
      </c>
    </row>
    <row r="14702">
      <c r="A14702" t="inlineStr">
        <is>
          <t>0194250066869</t>
        </is>
      </c>
      <c r="B14702" t="inlineStr">
        <is>
          <t>Laura Mercier Caviar Perfecting Lip Liner - 1.1 Grams</t>
        </is>
      </c>
      <c r="C14702" t="inlineStr">
        <is>
          <t>Lip Liner</t>
        </is>
      </c>
      <c r="D14702" t="inlineStr">
        <is>
          <t>Laura Mercier</t>
        </is>
      </c>
      <c r="E14702" t="n">
        <v>20.52</v>
      </c>
      <c r="F14702" t="n">
        <v>1</v>
      </c>
      <c r="G14702" t="n">
        <v>3</v>
      </c>
      <c r="H14702" s="5">
        <f>HYPERLINK("https://api.qogita.com/variants/link/0194250066869/", "View Product")</f>
        <v/>
      </c>
    </row>
    <row r="14703">
      <c r="A14703" t="inlineStr">
        <is>
          <t>0194250067163</t>
        </is>
      </c>
      <c r="B14703" t="inlineStr">
        <is>
          <t>Laura Mercier Illuminating Primer Pure Canvas Primer</t>
        </is>
      </c>
      <c r="C14703" t="inlineStr">
        <is>
          <t>Face Cream</t>
        </is>
      </c>
      <c r="D14703" t="inlineStr">
        <is>
          <t>Laura Mercier</t>
        </is>
      </c>
      <c r="E14703" t="n">
        <v>18.4</v>
      </c>
      <c r="F14703" t="n">
        <v>1</v>
      </c>
      <c r="G14703" t="n">
        <v>5</v>
      </c>
      <c r="H14703" s="5">
        <f>HYPERLINK("https://api.qogita.com/variants/link/0194250067163/", "View Product")</f>
        <v/>
      </c>
    </row>
    <row r="14704">
      <c r="A14704" t="inlineStr">
        <is>
          <t>0194250078541</t>
        </is>
      </c>
      <c r="B14704" t="inlineStr">
        <is>
          <t>Laura Mercier Caviar Extravagant Mascara Black 0.28 Fl Oz</t>
        </is>
      </c>
      <c r="C14704" t="inlineStr">
        <is>
          <t>Mascara</t>
        </is>
      </c>
      <c r="D14704" t="inlineStr">
        <is>
          <t>Laura Mercier</t>
        </is>
      </c>
      <c r="E14704" t="n">
        <v>23.54</v>
      </c>
      <c r="F14704" t="n">
        <v>1</v>
      </c>
      <c r="G14704" t="n">
        <v>4</v>
      </c>
      <c r="H14704" s="5">
        <f>HYPERLINK("https://api.qogita.com/variants/link/0194250078541/", "View Product")</f>
        <v/>
      </c>
    </row>
    <row r="14705">
      <c r="A14705" t="inlineStr">
        <is>
          <t>0194250078770</t>
        </is>
      </c>
      <c r="B14705" t="inlineStr">
        <is>
          <t>Laura Mercier Caviar Stick Eye Shadow - Shimmer Eye Shadow 1.64 G</t>
        </is>
      </c>
      <c r="C14705" t="inlineStr">
        <is>
          <t>Eyeshadow</t>
        </is>
      </c>
      <c r="D14705" t="inlineStr">
        <is>
          <t>Laura Mercier</t>
        </is>
      </c>
      <c r="E14705" t="n">
        <v>27.89</v>
      </c>
      <c r="F14705" t="n">
        <v>1</v>
      </c>
      <c r="G14705" t="n">
        <v>3</v>
      </c>
      <c r="H14705" s="5">
        <f>HYPERLINK("https://api.qogita.com/variants/link/0194250078770/", "View Product")</f>
        <v/>
      </c>
    </row>
    <row r="14706">
      <c r="A14706" t="inlineStr">
        <is>
          <t>0194250078800</t>
        </is>
      </c>
      <c r="B14706" t="inlineStr">
        <is>
          <t>Laura Mercier Caviar Stick Eye Shadow - Shimmer Eye Shadow 1.64 G</t>
        </is>
      </c>
      <c r="C14706" t="inlineStr">
        <is>
          <t>Eyeshadow</t>
        </is>
      </c>
      <c r="D14706" t="inlineStr">
        <is>
          <t>Laura Mercier</t>
        </is>
      </c>
      <c r="E14706" t="n">
        <v>27.89</v>
      </c>
      <c r="F14706" t="n">
        <v>1</v>
      </c>
      <c r="G14706" t="n">
        <v>4</v>
      </c>
      <c r="H14706" s="5">
        <f>HYPERLINK("https://api.qogita.com/variants/link/0194250078800/", "View Product")</f>
        <v/>
      </c>
    </row>
    <row r="14707">
      <c r="A14707" t="inlineStr">
        <is>
          <t>0194251012322</t>
        </is>
      </c>
      <c r="B14707" t="inlineStr">
        <is>
          <t>Pure Aqua Glow Cushion Foundation Case</t>
        </is>
      </c>
      <c r="C14707" t="inlineStr">
        <is>
          <t>Foundation</t>
        </is>
      </c>
      <c r="D14707" t="inlineStr">
        <is>
          <t>Pure</t>
        </is>
      </c>
      <c r="E14707" t="n">
        <v>15.19</v>
      </c>
      <c r="F14707" t="n">
        <v>1</v>
      </c>
      <c r="G14707" t="n">
        <v>3</v>
      </c>
      <c r="H14707" s="5">
        <f>HYPERLINK("https://api.qogita.com/variants/link/0194251012322/", "View Product")</f>
        <v/>
      </c>
    </row>
    <row r="14708">
      <c r="A14708" t="inlineStr">
        <is>
          <t>0197575005025</t>
        </is>
      </c>
      <c r="B14708" t="inlineStr">
        <is>
          <t>Victoria's Secret Wild Willow Body Mist Spray</t>
        </is>
      </c>
      <c r="C14708" t="inlineStr">
        <is>
          <t>Body Care Sets</t>
        </is>
      </c>
      <c r="D14708" t="inlineStr">
        <is>
          <t>Victoria's Secret</t>
        </is>
      </c>
      <c r="E14708" t="n">
        <v>11.71</v>
      </c>
      <c r="F14708" t="n">
        <v>1</v>
      </c>
      <c r="G14708" t="n">
        <v>3</v>
      </c>
      <c r="H14708" s="5">
        <f>HYPERLINK("https://api.qogita.com/variants/link/0197575005025/", "View Product")</f>
        <v/>
      </c>
    </row>
    <row r="14709">
      <c r="A14709" t="inlineStr">
        <is>
          <t>0309971665004</t>
        </is>
      </c>
      <c r="B14709" t="inlineStr">
        <is>
          <t>Cutex All-In-One Strengthener 13.6ml</t>
        </is>
      </c>
      <c r="C14709" t="inlineStr">
        <is>
          <t>Nail Care Sets</t>
        </is>
      </c>
      <c r="D14709" t="inlineStr">
        <is>
          <t>Revlon</t>
        </is>
      </c>
      <c r="E14709" t="n">
        <v>6.62</v>
      </c>
      <c r="F14709" t="n">
        <v>1</v>
      </c>
      <c r="G14709" t="n">
        <v>3</v>
      </c>
      <c r="H14709" s="5">
        <f>HYPERLINK("https://api.qogita.com/variants/link/0309971665004/", "View Product")</f>
        <v/>
      </c>
    </row>
    <row r="14710">
      <c r="A14710" t="inlineStr">
        <is>
          <t>0309974677042</t>
        </is>
      </c>
      <c r="B14710" t="inlineStr">
        <is>
          <t>Revlon Colorstay Liquid Foundation Makeup for Normal/Dry Skin SPF 20 Longwear</t>
        </is>
      </c>
      <c r="C14710" t="inlineStr">
        <is>
          <t>Foundation</t>
        </is>
      </c>
      <c r="D14710" t="inlineStr">
        <is>
          <t>Revlon</t>
        </is>
      </c>
      <c r="E14710" t="n">
        <v>5</v>
      </c>
      <c r="F14710" t="n">
        <v>1</v>
      </c>
      <c r="G14710" t="n">
        <v>10</v>
      </c>
      <c r="H14710" s="5">
        <f>HYPERLINK("https://api.qogita.com/variants/link/0309974677042/", "View Product")</f>
        <v/>
      </c>
    </row>
    <row r="14711">
      <c r="A14711" t="inlineStr">
        <is>
          <t>0309974677066</t>
        </is>
      </c>
      <c r="B14711" t="inlineStr">
        <is>
          <t>Revlon Colorstay Longwear Makeup for Normal/Dry Skin SPF 20 Medium Beige</t>
        </is>
      </c>
      <c r="C14711" t="inlineStr">
        <is>
          <t>Foundation</t>
        </is>
      </c>
      <c r="D14711" t="inlineStr">
        <is>
          <t>Revlon</t>
        </is>
      </c>
      <c r="E14711" t="n">
        <v>4.92</v>
      </c>
      <c r="F14711" t="n">
        <v>1</v>
      </c>
      <c r="G14711" t="n">
        <v>6</v>
      </c>
      <c r="H14711" s="5">
        <f>HYPERLINK("https://api.qogita.com/variants/link/0309974677066/", "View Product")</f>
        <v/>
      </c>
    </row>
    <row r="14712">
      <c r="A14712" t="inlineStr">
        <is>
          <t>0309974677103</t>
        </is>
      </c>
      <c r="B14712" t="inlineStr">
        <is>
          <t>Revlon Colorstay Foundation Toast 370 30ml</t>
        </is>
      </c>
      <c r="C14712" t="inlineStr">
        <is>
          <t>Foundation</t>
        </is>
      </c>
      <c r="D14712" t="inlineStr">
        <is>
          <t>Revlon</t>
        </is>
      </c>
      <c r="E14712" t="n">
        <v>4.82</v>
      </c>
      <c r="F14712" t="n">
        <v>1</v>
      </c>
      <c r="G14712" t="n">
        <v>10</v>
      </c>
      <c r="H14712" s="5">
        <f>HYPERLINK("https://api.qogita.com/variants/link/0309974677103/", "View Product")</f>
        <v/>
      </c>
    </row>
    <row r="14713">
      <c r="A14713" t="inlineStr">
        <is>
          <t>0309974700078</t>
        </is>
      </c>
      <c r="B14713" t="inlineStr">
        <is>
          <t>Revlon Colorstay Liquid Foundation Makeup for Combination/Oily Skin SPF 15</t>
        </is>
      </c>
      <c r="C14713" t="inlineStr">
        <is>
          <t>Foundation</t>
        </is>
      </c>
      <c r="D14713" t="inlineStr">
        <is>
          <t>Revlon</t>
        </is>
      </c>
      <c r="E14713" t="n">
        <v>4.8</v>
      </c>
      <c r="F14713" t="n">
        <v>1</v>
      </c>
      <c r="G14713" t="n">
        <v>13</v>
      </c>
      <c r="H14713" s="5">
        <f>HYPERLINK("https://api.qogita.com/variants/link/0309974700078/", "View Product")</f>
        <v/>
      </c>
    </row>
    <row r="14714">
      <c r="A14714" t="inlineStr">
        <is>
          <t>0309976131061</t>
        </is>
      </c>
      <c r="B14714" t="inlineStr">
        <is>
          <t>Revlon ColorStay Concealer Longwearing Full Coverage Color Correcting Makeup 060</t>
        </is>
      </c>
      <c r="C14714" t="inlineStr">
        <is>
          <t>Concealer</t>
        </is>
      </c>
      <c r="D14714" t="inlineStr">
        <is>
          <t>Revlon</t>
        </is>
      </c>
      <c r="E14714" t="n">
        <v>4.59</v>
      </c>
      <c r="F14714" t="n">
        <v>1</v>
      </c>
      <c r="G14714" t="n">
        <v>3</v>
      </c>
      <c r="H14714" s="5">
        <f>HYPERLINK("https://api.qogita.com/variants/link/0309976131061/", "View Product")</f>
        <v/>
      </c>
    </row>
    <row r="14715">
      <c r="A14715" t="inlineStr">
        <is>
          <t>0309979057993</t>
        </is>
      </c>
      <c r="B14715" t="inlineStr">
        <is>
          <t>Ciara by Revlon Women's Cologne Spray 2.3 oz</t>
        </is>
      </c>
      <c r="C14715" t="inlineStr">
        <is>
          <t>Eau De Cologne</t>
        </is>
      </c>
      <c r="D14715" t="inlineStr">
        <is>
          <t>Revlon</t>
        </is>
      </c>
      <c r="E14715" t="n">
        <v>9.41</v>
      </c>
      <c r="F14715" t="n">
        <v>1</v>
      </c>
      <c r="G14715" t="n">
        <v>10</v>
      </c>
      <c r="H14715" s="5">
        <f>HYPERLINK("https://api.qogita.com/variants/link/0309979057993/", "View Product")</f>
        <v/>
      </c>
    </row>
    <row r="14716">
      <c r="A14716" t="inlineStr">
        <is>
          <t>0360052361451</t>
        </is>
      </c>
      <c r="B14716" t="inlineStr">
        <is>
          <t>L'Oréal Paris Infaillible 32H Fresh Wear Natural Beige 30 ml Foundation</t>
        </is>
      </c>
      <c r="C14716" t="inlineStr">
        <is>
          <t>Foundation</t>
        </is>
      </c>
      <c r="D14716" t="inlineStr">
        <is>
          <t>L'Oréal</t>
        </is>
      </c>
      <c r="E14716" t="n">
        <v>9.199999999999999</v>
      </c>
      <c r="F14716" t="n">
        <v>1</v>
      </c>
      <c r="G14716" t="n">
        <v>5</v>
      </c>
      <c r="H14716" s="5">
        <f>HYPERLINK("https://api.qogita.com/variants/link/0360052361451/", "View Product")</f>
        <v/>
      </c>
    </row>
    <row r="14717">
      <c r="A14717" t="inlineStr">
        <is>
          <t>0602004135315</t>
        </is>
      </c>
      <c r="B14717" t="inlineStr">
        <is>
          <t>Benefit Gimme Brow + Volumizing Pencil</t>
        </is>
      </c>
      <c r="C14717" t="inlineStr">
        <is>
          <t>Eyebrow Pencil</t>
        </is>
      </c>
      <c r="D14717" t="inlineStr">
        <is>
          <t>Benefit Cosmetics</t>
        </is>
      </c>
      <c r="E14717" t="n">
        <v>18.87</v>
      </c>
      <c r="F14717" t="n">
        <v>1</v>
      </c>
      <c r="G14717" t="n">
        <v>23</v>
      </c>
      <c r="H14717" s="5">
        <f>HYPERLINK("https://api.qogita.com/variants/link/0602004135315/", "View Product")</f>
        <v/>
      </c>
    </row>
    <row r="14718">
      <c r="A14718" t="inlineStr">
        <is>
          <t>0604565817143</t>
        </is>
      </c>
      <c r="B14718" t="inlineStr">
        <is>
          <t>Vitamin C &amp; Caffeine Facial Cleansing Gel 100 ml</t>
        </is>
      </c>
      <c r="C14718" t="inlineStr">
        <is>
          <t>Cleansing Gel</t>
        </is>
      </c>
      <c r="D14718" t="inlineStr">
        <is>
          <t>Carbon Theory</t>
        </is>
      </c>
      <c r="E14718" t="n">
        <v>6.64</v>
      </c>
      <c r="F14718" t="n">
        <v>1</v>
      </c>
      <c r="G14718" t="n">
        <v>4</v>
      </c>
      <c r="H14718" s="5">
        <f>HYPERLINK("https://api.qogita.com/variants/link/0604565817143/", "View Product")</f>
        <v/>
      </c>
    </row>
    <row r="14719">
      <c r="A14719" t="inlineStr">
        <is>
          <t>0607710004016</t>
        </is>
      </c>
      <c r="B14719" t="inlineStr">
        <is>
          <t>Smashbox Halo Healthy Glow 4-In-1 Perfecting Pen - 35 Ml</t>
        </is>
      </c>
      <c r="C14719" t="inlineStr">
        <is>
          <t>Bb Cream &amp; Cc Cream</t>
        </is>
      </c>
      <c r="D14719" t="inlineStr">
        <is>
          <t>Smashbox</t>
        </is>
      </c>
      <c r="E14719" t="n">
        <v>20.96</v>
      </c>
      <c r="F14719" t="n">
        <v>1</v>
      </c>
      <c r="G14719" t="n">
        <v>9</v>
      </c>
      <c r="H14719" s="5">
        <f>HYPERLINK("https://api.qogita.com/variants/link/0607710004016/", "View Product")</f>
        <v/>
      </c>
    </row>
    <row r="14720">
      <c r="A14720" t="inlineStr">
        <is>
          <t>0607710006683</t>
        </is>
      </c>
      <c r="B14720" t="inlineStr">
        <is>
          <t>Smashbox Photo Finish Endurance Setting Spray</t>
        </is>
      </c>
      <c r="C14720" t="inlineStr">
        <is>
          <t>Setting Spray</t>
        </is>
      </c>
      <c r="D14720" t="inlineStr">
        <is>
          <t>Smashbox</t>
        </is>
      </c>
      <c r="E14720" t="n">
        <v>13.3</v>
      </c>
      <c r="F14720" t="n">
        <v>1</v>
      </c>
      <c r="G14720" t="n">
        <v>3</v>
      </c>
      <c r="H14720" s="5">
        <f>HYPERLINK("https://api.qogita.com/variants/link/0607710006683/", "View Product")</f>
        <v/>
      </c>
    </row>
    <row r="14721">
      <c r="A14721" t="inlineStr">
        <is>
          <t>0607710006744</t>
        </is>
      </c>
      <c r="B14721" t="inlineStr">
        <is>
          <t>Smashbox Shimmering Skin Perfector Highlighter 7 Grams</t>
        </is>
      </c>
      <c r="C14721" t="inlineStr">
        <is>
          <t>Highlighter</t>
        </is>
      </c>
      <c r="D14721" t="inlineStr">
        <is>
          <t>Smashbox</t>
        </is>
      </c>
      <c r="E14721" t="n">
        <v>29.97</v>
      </c>
      <c r="F14721" t="n">
        <v>1</v>
      </c>
      <c r="G14721" t="n">
        <v>10</v>
      </c>
      <c r="H14721" s="5">
        <f>HYPERLINK("https://api.qogita.com/variants/link/0607710006744/", "View Product")</f>
        <v/>
      </c>
    </row>
    <row r="14722">
      <c r="A14722" t="inlineStr">
        <is>
          <t>0607710030435</t>
        </is>
      </c>
      <c r="B14722" t="inlineStr">
        <is>
          <t>Smashbox Always Sharp Waterproof Kohl Liner Violetta 0.01oz 0.28g</t>
        </is>
      </c>
      <c r="C14722" t="inlineStr">
        <is>
          <t>Eyeliner</t>
        </is>
      </c>
      <c r="D14722" t="inlineStr">
        <is>
          <t>Smashbox</t>
        </is>
      </c>
      <c r="E14722" t="n">
        <v>17.77</v>
      </c>
      <c r="F14722" t="n">
        <v>1</v>
      </c>
      <c r="G14722" t="n">
        <v>12</v>
      </c>
      <c r="H14722" s="5">
        <f>HYPERLINK("https://api.qogita.com/variants/link/0607710030435/", "View Product")</f>
        <v/>
      </c>
    </row>
    <row r="14723">
      <c r="A14723" t="inlineStr">
        <is>
          <t>0607710050983</t>
        </is>
      </c>
      <c r="B14723" t="inlineStr">
        <is>
          <t>SmashBox Always On Liquid Lipstick Bawse for Women 0.13 oz</t>
        </is>
      </c>
      <c r="C14723" t="inlineStr">
        <is>
          <t>Lipstick</t>
        </is>
      </c>
      <c r="D14723" t="inlineStr">
        <is>
          <t>Smashbox</t>
        </is>
      </c>
      <c r="E14723" t="n">
        <v>18.86</v>
      </c>
      <c r="F14723" t="n">
        <v>1</v>
      </c>
      <c r="G14723" t="n">
        <v>9</v>
      </c>
      <c r="H14723" s="5">
        <f>HYPERLINK("https://api.qogita.com/variants/link/0607710050983/", "View Product")</f>
        <v/>
      </c>
    </row>
    <row r="14724">
      <c r="A14724" t="inlineStr">
        <is>
          <t>0607710086272</t>
        </is>
      </c>
      <c r="B14724" t="inlineStr">
        <is>
          <t>Smashbox Always On Skin-Balancing Foundation - 30 Ml</t>
        </is>
      </c>
      <c r="C14724" t="inlineStr">
        <is>
          <t>Foundation</t>
        </is>
      </c>
      <c r="D14724" t="inlineStr">
        <is>
          <t>Smashbox</t>
        </is>
      </c>
      <c r="E14724" t="n">
        <v>32.1</v>
      </c>
      <c r="F14724" t="n">
        <v>1</v>
      </c>
      <c r="G14724" t="n">
        <v>4</v>
      </c>
      <c r="H14724" s="5">
        <f>HYPERLINK("https://api.qogita.com/variants/link/0607710086272/", "View Product")</f>
        <v/>
      </c>
    </row>
    <row r="14725">
      <c r="A14725" t="inlineStr">
        <is>
          <t>0607710086494</t>
        </is>
      </c>
      <c r="B14725" t="inlineStr">
        <is>
          <t>Smashbox Always On Skin-Balancing Foundation - 30 Ml</t>
        </is>
      </c>
      <c r="C14725" t="inlineStr">
        <is>
          <t>Foundation</t>
        </is>
      </c>
      <c r="D14725" t="inlineStr">
        <is>
          <t>Smashbox</t>
        </is>
      </c>
      <c r="E14725" t="n">
        <v>32.1</v>
      </c>
      <c r="F14725" t="n">
        <v>1</v>
      </c>
      <c r="G14725" t="n">
        <v>9</v>
      </c>
      <c r="H14725" s="5">
        <f>HYPERLINK("https://api.qogita.com/variants/link/0607710086494/", "View Product")</f>
        <v/>
      </c>
    </row>
    <row r="14726">
      <c r="A14726" t="inlineStr">
        <is>
          <t>0607710090316</t>
        </is>
      </c>
      <c r="B14726" t="inlineStr">
        <is>
          <t>Smashbox Be Legendary Cream Lipstick Prime Plush Lipstick - 34 Grams</t>
        </is>
      </c>
      <c r="C14726" t="inlineStr">
        <is>
          <t>Lipstick</t>
        </is>
      </c>
      <c r="D14726" t="inlineStr">
        <is>
          <t>Smashbox</t>
        </is>
      </c>
      <c r="E14726" t="n">
        <v>19.58</v>
      </c>
      <c r="F14726" t="n">
        <v>1</v>
      </c>
      <c r="G14726" t="n">
        <v>5</v>
      </c>
      <c r="H14726" s="5">
        <f>HYPERLINK("https://api.qogita.com/variants/link/0607710090316/", "View Product")</f>
        <v/>
      </c>
    </row>
    <row r="14727">
      <c r="A14727" t="inlineStr">
        <is>
          <t>0607710096271</t>
        </is>
      </c>
      <c r="B14727" t="inlineStr">
        <is>
          <t>Smashbox Halo Healthy Glow All-In-One Tinted Moisturizer With Spf 25 - 12 Ml</t>
        </is>
      </c>
      <c r="C14727" t="inlineStr">
        <is>
          <t>Bb Cream &amp; Cc Cream</t>
        </is>
      </c>
      <c r="D14727" t="inlineStr">
        <is>
          <t>Smashbox</t>
        </is>
      </c>
      <c r="E14727" t="n">
        <v>15.39</v>
      </c>
      <c r="F14727" t="n">
        <v>1</v>
      </c>
      <c r="G14727" t="n">
        <v>5</v>
      </c>
      <c r="H14727" s="5">
        <f>HYPERLINK("https://api.qogita.com/variants/link/0607710096271/", "View Product")</f>
        <v/>
      </c>
    </row>
    <row r="14728">
      <c r="A14728" t="inlineStr">
        <is>
          <t>0608597529449</t>
        </is>
      </c>
      <c r="B14728" t="inlineStr">
        <is>
          <t>Dapper Dan Premium Quality Beard Oil 30ml</t>
        </is>
      </c>
      <c r="C14728" t="inlineStr">
        <is>
          <t>Beard Care Accessories</t>
        </is>
      </c>
      <c r="D14728" t="inlineStr">
        <is>
          <t>Dapper Dan</t>
        </is>
      </c>
      <c r="E14728" t="n">
        <v>12.35</v>
      </c>
      <c r="F14728" t="n">
        <v>1</v>
      </c>
      <c r="G14728" t="n">
        <v>3</v>
      </c>
      <c r="H14728" s="5">
        <f>HYPERLINK("https://api.qogita.com/variants/link/0608597529449/", "View Product")</f>
        <v/>
      </c>
    </row>
    <row r="14729">
      <c r="A14729" t="inlineStr">
        <is>
          <t>0608940519769</t>
        </is>
      </c>
      <c r="B14729" t="inlineStr">
        <is>
          <t>Paris Hilton Men EDT Spray 100ml</t>
        </is>
      </c>
      <c r="C14729" t="inlineStr">
        <is>
          <t>Eau De Toilette</t>
        </is>
      </c>
      <c r="D14729" t="inlineStr">
        <is>
          <t>Paris Hilton</t>
        </is>
      </c>
      <c r="E14729" t="n">
        <v>23.33</v>
      </c>
      <c r="F14729" t="n">
        <v>1</v>
      </c>
      <c r="G14729" t="n">
        <v>15</v>
      </c>
      <c r="H14729" s="5">
        <f>HYPERLINK("https://api.qogita.com/variants/link/0608940519769/", "View Product")</f>
        <v/>
      </c>
    </row>
    <row r="14730">
      <c r="A14730" t="inlineStr">
        <is>
          <t>0608940553893</t>
        </is>
      </c>
      <c r="B14730" t="inlineStr">
        <is>
          <t>Kenneth Cole Black Men Eau de Toilette Spray 100ml</t>
        </is>
      </c>
      <c r="C14730" t="inlineStr">
        <is>
          <t>Eau De Toilette</t>
        </is>
      </c>
      <c r="D14730" t="inlineStr">
        <is>
          <t>Kenneth Cole</t>
        </is>
      </c>
      <c r="E14730" t="n">
        <v>20.71</v>
      </c>
      <c r="F14730" t="n">
        <v>1</v>
      </c>
      <c r="G14730" t="n">
        <v>284</v>
      </c>
      <c r="H14730" s="5">
        <f>HYPERLINK("https://api.qogita.com/variants/link/0608940553893/", "View Product")</f>
        <v/>
      </c>
    </row>
    <row r="14731">
      <c r="A14731" t="inlineStr">
        <is>
          <t>0608940565971</t>
        </is>
      </c>
      <c r="B14731" t="inlineStr">
        <is>
          <t>Vince Camuto Eterno Eau de Toilette Spray 100ml</t>
        </is>
      </c>
      <c r="C14731" t="inlineStr">
        <is>
          <t>Eau De Toilette</t>
        </is>
      </c>
      <c r="D14731" t="inlineStr">
        <is>
          <t>Vince Camuto</t>
        </is>
      </c>
      <c r="E14731" t="n">
        <v>26.56</v>
      </c>
      <c r="F14731" t="n">
        <v>1</v>
      </c>
      <c r="G14731" t="n">
        <v>9</v>
      </c>
      <c r="H14731" s="5">
        <f>HYPERLINK("https://api.qogita.com/variants/link/0608940565971/", "View Product")</f>
        <v/>
      </c>
    </row>
    <row r="14732">
      <c r="A14732" t="inlineStr">
        <is>
          <t>0608940573914</t>
        </is>
      </c>
      <c r="B14732" t="inlineStr">
        <is>
          <t>Kenneth Cole for Her EDP 100ml</t>
        </is>
      </c>
      <c r="C14732" t="inlineStr">
        <is>
          <t>Eau De Parfum</t>
        </is>
      </c>
      <c r="D14732" t="inlineStr">
        <is>
          <t>Kenneth Cole</t>
        </is>
      </c>
      <c r="E14732" t="n">
        <v>18.02</v>
      </c>
      <c r="F14732" t="n">
        <v>1</v>
      </c>
      <c r="G14732" t="n">
        <v>2</v>
      </c>
      <c r="H14732" s="5">
        <f>HYPERLINK("https://api.qogita.com/variants/link/0608940573914/", "View Product")</f>
        <v/>
      </c>
    </row>
    <row r="14733">
      <c r="A14733" t="inlineStr">
        <is>
          <t>0608940578643</t>
        </is>
      </c>
      <c r="B14733" t="inlineStr">
        <is>
          <t>Fancy Forever by Jessica Simpson for Women 3.4 oz EDP Spray</t>
        </is>
      </c>
      <c r="C14733" t="inlineStr">
        <is>
          <t>Eau De Parfum</t>
        </is>
      </c>
      <c r="D14733" t="inlineStr">
        <is>
          <t>Jessica Simpson</t>
        </is>
      </c>
      <c r="E14733" t="n">
        <v>17.85</v>
      </c>
      <c r="F14733" t="n">
        <v>1</v>
      </c>
      <c r="G14733" t="n">
        <v>5</v>
      </c>
      <c r="H14733" s="5">
        <f>HYPERLINK("https://api.qogita.com/variants/link/0608940578643/", "View Product")</f>
        <v/>
      </c>
    </row>
    <row r="14734">
      <c r="A14734" t="inlineStr">
        <is>
          <t>0608940579572</t>
        </is>
      </c>
      <c r="B14734" t="inlineStr">
        <is>
          <t>Paris Hilton Platinum Rush Fragrance Mist 8 Oz</t>
        </is>
      </c>
      <c r="C14734" t="inlineStr">
        <is>
          <t>Eau De Toilette</t>
        </is>
      </c>
      <c r="D14734" t="inlineStr">
        <is>
          <t>Paris Hilton</t>
        </is>
      </c>
      <c r="E14734" t="n">
        <v>8.34</v>
      </c>
      <c r="F14734" t="n">
        <v>1</v>
      </c>
      <c r="G14734" t="n">
        <v>2</v>
      </c>
      <c r="H14734" s="5">
        <f>HYPERLINK("https://api.qogita.com/variants/link/0608940579572/", "View Product")</f>
        <v/>
      </c>
    </row>
    <row r="14735">
      <c r="A14735" t="inlineStr">
        <is>
          <t>0608940580493</t>
        </is>
      </c>
      <c r="B14735" t="inlineStr">
        <is>
          <t>Kenneth Cole Mankind Unlimited Eau de Toilette Cologne for Men 3.40 Fl Oz</t>
        </is>
      </c>
      <c r="C14735" t="inlineStr">
        <is>
          <t>Eau De Toilette</t>
        </is>
      </c>
      <c r="D14735" t="inlineStr">
        <is>
          <t>Kenneth Cole</t>
        </is>
      </c>
      <c r="E14735" t="n">
        <v>22.97</v>
      </c>
      <c r="F14735" t="n">
        <v>1</v>
      </c>
      <c r="G14735" t="n">
        <v>5</v>
      </c>
      <c r="H14735" s="5">
        <f>HYPERLINK("https://api.qogita.com/variants/link/0608940580493/", "View Product")</f>
        <v/>
      </c>
    </row>
    <row r="14736">
      <c r="A14736" t="inlineStr">
        <is>
          <t>0608940580561</t>
        </is>
      </c>
      <c r="B14736" t="inlineStr">
        <is>
          <t>Pink Rush by Paris Hilton for Women 3.4 oz EDP Spray 100ml</t>
        </is>
      </c>
      <c r="C14736" t="inlineStr">
        <is>
          <t>Eau De Parfum</t>
        </is>
      </c>
      <c r="D14736" t="inlineStr">
        <is>
          <t>Paris Hilton</t>
        </is>
      </c>
      <c r="E14736" t="n">
        <v>21.78</v>
      </c>
      <c r="F14736" t="n">
        <v>1</v>
      </c>
      <c r="G14736" t="n">
        <v>5</v>
      </c>
      <c r="H14736" s="5">
        <f>HYPERLINK("https://api.qogita.com/variants/link/0608940580561/", "View Product")</f>
        <v/>
      </c>
    </row>
    <row r="14737">
      <c r="A14737" t="inlineStr">
        <is>
          <t>0608940582206</t>
        </is>
      </c>
      <c r="B14737" t="inlineStr">
        <is>
          <t>Billie Eilish For Women EDP 100ml</t>
        </is>
      </c>
      <c r="C14737" t="inlineStr">
        <is>
          <t>Eau De Parfum</t>
        </is>
      </c>
      <c r="D14737" t="inlineStr">
        <is>
          <t>Billie Eilish</t>
        </is>
      </c>
      <c r="E14737" t="n">
        <v>50.13</v>
      </c>
      <c r="F14737" t="n">
        <v>1</v>
      </c>
      <c r="G14737" t="n">
        <v>5298</v>
      </c>
      <c r="H14737" s="5">
        <f>HYPERLINK("https://api.qogita.com/variants/link/0608940582206/", "View Product")</f>
        <v/>
      </c>
    </row>
    <row r="14738">
      <c r="A14738" t="inlineStr">
        <is>
          <t>0608940582701</t>
        </is>
      </c>
      <c r="B14738" t="inlineStr">
        <is>
          <t>Billie Eilish Shower Gel for Women with Sugared Petals, Vanilla &amp; Musk 5 Fl Oz</t>
        </is>
      </c>
      <c r="C14738" t="inlineStr">
        <is>
          <t>Shower Gel</t>
        </is>
      </c>
      <c r="D14738" t="inlineStr">
        <is>
          <t>Billie Eilish</t>
        </is>
      </c>
      <c r="E14738" t="n">
        <v>13.32</v>
      </c>
      <c r="F14738" t="n">
        <v>1</v>
      </c>
      <c r="G14738" t="n">
        <v>7</v>
      </c>
      <c r="H14738" s="5">
        <f>HYPERLINK("https://api.qogita.com/variants/link/0608940582701/", "View Product")</f>
        <v/>
      </c>
    </row>
    <row r="14739">
      <c r="A14739" t="inlineStr">
        <is>
          <t>0608940583173</t>
        </is>
      </c>
      <c r="B14739" t="inlineStr">
        <is>
          <t>Kenneth Cole Mankind Rise Eau de Toilette Cologne for Men 3.4 Fl Oz</t>
        </is>
      </c>
      <c r="C14739" t="inlineStr">
        <is>
          <t>Eau De Toilette</t>
        </is>
      </c>
      <c r="D14739" t="inlineStr">
        <is>
          <t>Kenneth Cole</t>
        </is>
      </c>
      <c r="E14739" t="n">
        <v>22.87</v>
      </c>
      <c r="F14739" t="n">
        <v>1</v>
      </c>
      <c r="G14739" t="n">
        <v>20</v>
      </c>
      <c r="H14739" s="5">
        <f>HYPERLINK("https://api.qogita.com/variants/link/0608940583173/", "View Product")</f>
        <v/>
      </c>
    </row>
    <row r="14740">
      <c r="A14740" t="inlineStr">
        <is>
          <t>0608940583753</t>
        </is>
      </c>
      <c r="B14740" t="inlineStr">
        <is>
          <t>Billie Eilish No 2 for Women 3.4 oz EDP Spray</t>
        </is>
      </c>
      <c r="C14740" t="inlineStr">
        <is>
          <t>Eau De Parfum</t>
        </is>
      </c>
      <c r="D14740" t="inlineStr">
        <is>
          <t>Billie Eilish</t>
        </is>
      </c>
      <c r="E14740" t="n">
        <v>37.11</v>
      </c>
      <c r="F14740" t="n">
        <v>1</v>
      </c>
      <c r="G14740" t="n">
        <v>1067</v>
      </c>
      <c r="H14740" s="5">
        <f>HYPERLINK("https://api.qogita.com/variants/link/0608940583753/", "View Product")</f>
        <v/>
      </c>
    </row>
    <row r="14741">
      <c r="A14741" t="inlineStr">
        <is>
          <t>0608940583807</t>
        </is>
      </c>
      <c r="B14741" t="inlineStr">
        <is>
          <t>Paris Hilton Body Mist Pink Rush 236ml</t>
        </is>
      </c>
      <c r="C14741" t="inlineStr">
        <is>
          <t>Eau De Toilette</t>
        </is>
      </c>
      <c r="D14741" t="inlineStr">
        <is>
          <t>Paris Hilton</t>
        </is>
      </c>
      <c r="E14741" t="n">
        <v>7.26</v>
      </c>
      <c r="F14741" t="n">
        <v>1</v>
      </c>
      <c r="G14741" t="n">
        <v>3</v>
      </c>
      <c r="H14741" s="5">
        <f>HYPERLINK("https://api.qogita.com/variants/link/0608940583807/", "View Product")</f>
        <v/>
      </c>
    </row>
    <row r="14742">
      <c r="A14742" t="inlineStr">
        <is>
          <t>0608940584224</t>
        </is>
      </c>
      <c r="B14742" t="inlineStr">
        <is>
          <t>Moonlight Blue Eau de Toilette Volume 100 ml</t>
        </is>
      </c>
      <c r="C14742" t="inlineStr">
        <is>
          <t>Eau De Toilette</t>
        </is>
      </c>
      <c r="D14742" t="inlineStr">
        <is>
          <t>Kenneth Cole</t>
        </is>
      </c>
      <c r="E14742" t="n">
        <v>21.06</v>
      </c>
      <c r="F14742" t="n">
        <v>1</v>
      </c>
      <c r="G14742" t="n">
        <v>23</v>
      </c>
      <c r="H14742" s="5">
        <f>HYPERLINK("https://api.qogita.com/variants/link/0608940584224/", "View Product")</f>
        <v/>
      </c>
    </row>
    <row r="14743">
      <c r="A14743" t="inlineStr">
        <is>
          <t>0614514103012</t>
        </is>
      </c>
      <c r="B14743" t="inlineStr">
        <is>
          <t>Rasasi Khaltat Al Khasa Ma Dhan Al Oudh Eau De Parfum 50 ml unisex</t>
        </is>
      </c>
      <c r="C14743" t="inlineStr">
        <is>
          <t>Eau De Parfum</t>
        </is>
      </c>
      <c r="D14743" t="inlineStr">
        <is>
          <t>Rasasi</t>
        </is>
      </c>
      <c r="E14743" t="n">
        <v>18.43</v>
      </c>
      <c r="F14743" t="n">
        <v>1</v>
      </c>
      <c r="G14743" t="n">
        <v>4</v>
      </c>
      <c r="H14743" s="5">
        <f>HYPERLINK("https://api.qogita.com/variants/link/0614514103012/", "View Product")</f>
        <v/>
      </c>
    </row>
    <row r="14744">
      <c r="A14744" t="inlineStr">
        <is>
          <t>0614514132012</t>
        </is>
      </c>
      <c r="B14744" t="inlineStr">
        <is>
          <t>Faqat Lil Rijal by Rasasi for Men 1.66 Oz EDP Spray</t>
        </is>
      </c>
      <c r="C14744" t="inlineStr">
        <is>
          <t>Eau De Parfum</t>
        </is>
      </c>
      <c r="D14744" t="inlineStr">
        <is>
          <t>Rasasi</t>
        </is>
      </c>
      <c r="E14744" t="n">
        <v>17.24</v>
      </c>
      <c r="F14744" t="n">
        <v>1</v>
      </c>
      <c r="G14744" t="n">
        <v>2</v>
      </c>
      <c r="H14744" s="5">
        <f>HYPERLINK("https://api.qogita.com/variants/link/0614514132012/", "View Product")</f>
        <v/>
      </c>
    </row>
    <row r="14745">
      <c r="A14745" t="inlineStr">
        <is>
          <t>0614514178010</t>
        </is>
      </c>
      <c r="B14745" t="inlineStr">
        <is>
          <t>Dareej Men Eau de Parfum by Rasasi Spray 100ml Spicy</t>
        </is>
      </c>
      <c r="C14745" t="inlineStr">
        <is>
          <t>Eau De Parfum</t>
        </is>
      </c>
      <c r="D14745" t="inlineStr">
        <is>
          <t>Rasasi</t>
        </is>
      </c>
      <c r="E14745" t="n">
        <v>11.63</v>
      </c>
      <c r="F14745" t="n">
        <v>1</v>
      </c>
      <c r="G14745" t="n">
        <v>83</v>
      </c>
      <c r="H14745" s="5">
        <f>HYPERLINK("https://api.qogita.com/variants/link/0614514178010/", "View Product")</f>
        <v/>
      </c>
    </row>
    <row r="14746">
      <c r="A14746" t="inlineStr">
        <is>
          <t>0614514204016</t>
        </is>
      </c>
      <c r="B14746" t="inlineStr">
        <is>
          <t>Rasasi La Yuqawam Eau De Parfum for Women 75ml</t>
        </is>
      </c>
      <c r="C14746" t="inlineStr">
        <is>
          <t>Eau De Parfum</t>
        </is>
      </c>
      <c r="D14746" t="inlineStr">
        <is>
          <t>Rasasi</t>
        </is>
      </c>
      <c r="E14746" t="n">
        <v>45.85</v>
      </c>
      <c r="F14746" t="n">
        <v>1</v>
      </c>
      <c r="G14746" t="n">
        <v>6</v>
      </c>
      <c r="H14746" s="5">
        <f>HYPERLINK("https://api.qogita.com/variants/link/0614514204016/", "View Product")</f>
        <v/>
      </c>
    </row>
    <row r="14747">
      <c r="A14747" t="inlineStr">
        <is>
          <t>0614514204092</t>
        </is>
      </c>
      <c r="B14747" t="inlineStr">
        <is>
          <t>La Yuqawam Jasmine Wisp EDP for Women 75ml Sensuous Pour Femme Spray Floral Vanilla Scent with Citrus - Signature Arabian Perfumery by RASASI Perfumes</t>
        </is>
      </c>
      <c r="C14747" t="inlineStr">
        <is>
          <t>Eau De Parfum</t>
        </is>
      </c>
      <c r="D14747" t="inlineStr">
        <is>
          <t>Rasasi</t>
        </is>
      </c>
      <c r="E14747" t="n">
        <v>32.59</v>
      </c>
      <c r="F14747" t="n">
        <v>1</v>
      </c>
      <c r="G14747" t="n">
        <v>63</v>
      </c>
      <c r="H14747" s="5">
        <f>HYPERLINK("https://api.qogita.com/variants/link/0614514204092/", "View Product")</f>
        <v/>
      </c>
    </row>
    <row r="14748">
      <c r="A14748" t="inlineStr">
        <is>
          <t>0614514228012</t>
        </is>
      </c>
      <c r="B14748" t="inlineStr">
        <is>
          <t>Rasasi Entebaa Pour Femme</t>
        </is>
      </c>
      <c r="C14748" t="inlineStr">
        <is>
          <t>Eau De Parfum</t>
        </is>
      </c>
      <c r="D14748" t="inlineStr">
        <is>
          <t>Rasasi</t>
        </is>
      </c>
      <c r="E14748" t="n">
        <v>16.04</v>
      </c>
      <c r="F14748" t="n">
        <v>1</v>
      </c>
      <c r="G14748" t="n">
        <v>18</v>
      </c>
      <c r="H14748" s="5">
        <f>HYPERLINK("https://api.qogita.com/variants/link/0614514228012/", "View Product")</f>
        <v/>
      </c>
    </row>
    <row r="14749">
      <c r="A14749" t="inlineStr">
        <is>
          <t>0614514229026</t>
        </is>
      </c>
      <c r="B14749" t="inlineStr">
        <is>
          <t>Rumz al Rasasi Zebra Women 9325 by Rasasi</t>
        </is>
      </c>
      <c r="C14749" t="inlineStr">
        <is>
          <t>Eau De Parfum</t>
        </is>
      </c>
      <c r="D14749" t="inlineStr">
        <is>
          <t>Rasasi</t>
        </is>
      </c>
      <c r="E14749" t="n">
        <v>19.53</v>
      </c>
      <c r="F14749" t="n">
        <v>1</v>
      </c>
      <c r="G14749" t="n">
        <v>443</v>
      </c>
      <c r="H14749" s="5">
        <f>HYPERLINK("https://api.qogita.com/variants/link/0614514229026/", "View Product")</f>
        <v/>
      </c>
    </row>
    <row r="14750">
      <c r="A14750" t="inlineStr">
        <is>
          <t>0614514236093</t>
        </is>
      </c>
      <c r="B14750" t="inlineStr">
        <is>
          <t>Boruzz Jazeebiyat Musk Tabriz 50ml EDP</t>
        </is>
      </c>
      <c r="C14750" t="inlineStr">
        <is>
          <t>Eau De Parfum</t>
        </is>
      </c>
      <c r="D14750" t="inlineStr">
        <is>
          <t>Rasasi</t>
        </is>
      </c>
      <c r="E14750" t="n">
        <v>78.43000000000001</v>
      </c>
      <c r="F14750" t="n">
        <v>1</v>
      </c>
      <c r="G14750" t="n">
        <v>6</v>
      </c>
      <c r="H14750" s="5">
        <f>HYPERLINK("https://api.qogita.com/variants/link/0614514236093/", "View Product")</f>
        <v/>
      </c>
    </row>
    <row r="14751">
      <c r="A14751" t="inlineStr">
        <is>
          <t>0614514253038</t>
        </is>
      </c>
      <c r="B14751" t="inlineStr">
        <is>
          <t>Junoon Satin for Men 50ml</t>
        </is>
      </c>
      <c r="C14751" t="inlineStr">
        <is>
          <t>Eau De Parfum</t>
        </is>
      </c>
      <c r="D14751" t="inlineStr">
        <is>
          <t>Rasasi</t>
        </is>
      </c>
      <c r="E14751" t="n">
        <v>30.3</v>
      </c>
      <c r="F14751" t="n">
        <v>1</v>
      </c>
      <c r="G14751" t="n">
        <v>15</v>
      </c>
      <c r="H14751" s="5">
        <f>HYPERLINK("https://api.qogita.com/variants/link/0614514253038/", "View Product")</f>
        <v/>
      </c>
    </row>
    <row r="14752">
      <c r="A14752" t="inlineStr">
        <is>
          <t>0614514253045</t>
        </is>
      </c>
      <c r="B14752" t="inlineStr">
        <is>
          <t>Junoon Velvet for Men 50ml by Rasasi</t>
        </is>
      </c>
      <c r="C14752" t="inlineStr">
        <is>
          <t>Eau De Parfum</t>
        </is>
      </c>
      <c r="D14752" t="inlineStr">
        <is>
          <t>Rasasi</t>
        </is>
      </c>
      <c r="E14752" t="n">
        <v>26.22</v>
      </c>
      <c r="F14752" t="n">
        <v>1</v>
      </c>
      <c r="G14752" t="n">
        <v>12</v>
      </c>
      <c r="H14752" s="5">
        <f>HYPERLINK("https://api.qogita.com/variants/link/0614514253045/", "View Product")</f>
        <v/>
      </c>
    </row>
    <row r="14753">
      <c r="A14753" t="inlineStr">
        <is>
          <t>0614514331057</t>
        </is>
      </c>
      <c r="B14753" t="inlineStr">
        <is>
          <t>Rasasi Hawas Elixir Eau De Parfum 100ml</t>
        </is>
      </c>
      <c r="C14753" t="inlineStr">
        <is>
          <t>Eau De Parfum</t>
        </is>
      </c>
      <c r="D14753" t="inlineStr">
        <is>
          <t>Rasasi</t>
        </is>
      </c>
      <c r="E14753" t="n">
        <v>20.07</v>
      </c>
      <c r="F14753" t="n">
        <v>1</v>
      </c>
      <c r="G14753" t="n">
        <v>1206</v>
      </c>
      <c r="H14753" s="5">
        <f>HYPERLINK("https://api.qogita.com/variants/link/0614514331057/", "View Product")</f>
        <v/>
      </c>
    </row>
    <row r="14754">
      <c r="A14754" t="inlineStr">
        <is>
          <t>0614514338025</t>
        </is>
      </c>
      <c r="B14754" t="inlineStr">
        <is>
          <t>Rasasi Qasamat Morhaf Eau De Parfum Spray 65ml</t>
        </is>
      </c>
      <c r="C14754" t="inlineStr">
        <is>
          <t>Eau De Parfum</t>
        </is>
      </c>
      <c r="D14754" t="inlineStr">
        <is>
          <t>Rasasi</t>
        </is>
      </c>
      <c r="E14754" t="n">
        <v>21.82</v>
      </c>
      <c r="F14754" t="n">
        <v>1</v>
      </c>
      <c r="G14754" t="n">
        <v>16</v>
      </c>
      <c r="H14754" s="5">
        <f>HYPERLINK("https://api.qogita.com/variants/link/0614514338025/", "View Product")</f>
        <v/>
      </c>
    </row>
    <row r="14755">
      <c r="A14755" t="inlineStr">
        <is>
          <t>0614514338049</t>
        </is>
      </c>
      <c r="B14755" t="inlineStr">
        <is>
          <t>Rasasi Qasamat Rasana Unisex Eau De Parfum Spray 65ml</t>
        </is>
      </c>
      <c r="C14755" t="inlineStr">
        <is>
          <t>Eau De Parfum</t>
        </is>
      </c>
      <c r="D14755" t="inlineStr">
        <is>
          <t>Rasasi</t>
        </is>
      </c>
      <c r="E14755" t="n">
        <v>19.24</v>
      </c>
      <c r="F14755" t="n">
        <v>1</v>
      </c>
      <c r="G14755" t="n">
        <v>26</v>
      </c>
      <c r="H14755" s="5">
        <f>HYPERLINK("https://api.qogita.com/variants/link/0614514338049/", "View Product")</f>
        <v/>
      </c>
    </row>
    <row r="14756">
      <c r="A14756" t="inlineStr">
        <is>
          <t>0614514402047</t>
        </is>
      </c>
      <c r="B14756" t="inlineStr">
        <is>
          <t>Shaghaf EDP Spray for Women by Rasasi</t>
        </is>
      </c>
      <c r="C14756" t="inlineStr">
        <is>
          <t>Eau De Parfum</t>
        </is>
      </c>
      <c r="D14756" t="inlineStr">
        <is>
          <t>Rasasi</t>
        </is>
      </c>
      <c r="E14756" t="n">
        <v>21.12</v>
      </c>
      <c r="F14756" t="n">
        <v>1</v>
      </c>
      <c r="G14756" t="n">
        <v>29</v>
      </c>
      <c r="H14756" s="5">
        <f>HYPERLINK("https://api.qogita.com/variants/link/0614514402047/", "View Product")</f>
        <v/>
      </c>
    </row>
    <row r="14757">
      <c r="A14757" t="inlineStr">
        <is>
          <t>0614514424018</t>
        </is>
      </c>
      <c r="B14757" t="inlineStr">
        <is>
          <t>Rasasi Eshq All Over Spray Alcohol Free 100ml (3.4oz)</t>
        </is>
      </c>
      <c r="C14757" t="inlineStr">
        <is>
          <t>Eau De Parfum</t>
        </is>
      </c>
      <c r="D14757" t="inlineStr">
        <is>
          <t>Rasasi</t>
        </is>
      </c>
      <c r="E14757" t="n">
        <v>32.86</v>
      </c>
      <c r="F14757" t="n">
        <v>1</v>
      </c>
      <c r="G14757" t="n">
        <v>5</v>
      </c>
      <c r="H14757" s="5">
        <f>HYPERLINK("https://api.qogita.com/variants/link/0614514424018/", "View Product")</f>
        <v/>
      </c>
    </row>
    <row r="14758">
      <c r="A14758" t="inlineStr">
        <is>
          <t>0614514438084</t>
        </is>
      </c>
      <c r="B14758" t="inlineStr">
        <is>
          <t>Ibreez By Rasasi For Women 3.38 Oz EDP Spray</t>
        </is>
      </c>
      <c r="C14758" t="inlineStr">
        <is>
          <t>Eau De Parfum</t>
        </is>
      </c>
      <c r="D14758" t="inlineStr">
        <is>
          <t>Rasasi</t>
        </is>
      </c>
      <c r="E14758" t="n">
        <v>13.57</v>
      </c>
      <c r="F14758" t="n">
        <v>1</v>
      </c>
      <c r="G14758" t="n">
        <v>3</v>
      </c>
      <c r="H14758" s="5">
        <f>HYPERLINK("https://api.qogita.com/variants/link/0614514438084/", "View Product")</f>
        <v/>
      </c>
    </row>
    <row r="14759">
      <c r="A14759" t="inlineStr">
        <is>
          <t>0615908426151</t>
        </is>
      </c>
      <c r="B14759" t="inlineStr">
        <is>
          <t>Bed Head by TIGI Ego Boost Leave In Hair Conditioner for Damaged Hair 237ml</t>
        </is>
      </c>
      <c r="C14759" t="inlineStr">
        <is>
          <t>Leave-In Conditioner</t>
        </is>
      </c>
      <c r="D14759" t="inlineStr">
        <is>
          <t>Tigi</t>
        </is>
      </c>
      <c r="E14759" t="n">
        <v>7.95</v>
      </c>
      <c r="F14759" t="n">
        <v>1</v>
      </c>
      <c r="G14759" t="n">
        <v>14</v>
      </c>
      <c r="H14759" s="5">
        <f>HYPERLINK("https://api.qogita.com/variants/link/0615908426151/", "View Product")</f>
        <v/>
      </c>
    </row>
    <row r="14760">
      <c r="A14760" t="inlineStr">
        <is>
          <t>0615908430141</t>
        </is>
      </c>
      <c r="B14760" t="inlineStr">
        <is>
          <t>Tigi Copyright Custom Care Multi Tasking Styling Foam 125mL</t>
        </is>
      </c>
      <c r="C14760" t="inlineStr">
        <is>
          <t>Mousse</t>
        </is>
      </c>
      <c r="D14760" t="inlineStr">
        <is>
          <t>Tigi</t>
        </is>
      </c>
      <c r="E14760" t="n">
        <v>4.62</v>
      </c>
      <c r="F14760" t="n">
        <v>1</v>
      </c>
      <c r="G14760" t="n">
        <v>16</v>
      </c>
      <c r="H14760" s="5">
        <f>HYPERLINK("https://api.qogita.com/variants/link/0615908430141/", "View Product")</f>
        <v/>
      </c>
    </row>
    <row r="14761">
      <c r="A14761" t="inlineStr">
        <is>
          <t>0615908430165</t>
        </is>
      </c>
      <c r="B14761" t="inlineStr">
        <is>
          <t>Tigi Copyright Custom Create Creamy Finishing - Wax - 55g</t>
        </is>
      </c>
      <c r="C14761" t="inlineStr">
        <is>
          <t>Wax</t>
        </is>
      </c>
      <c r="D14761" t="inlineStr">
        <is>
          <t>Tigi</t>
        </is>
      </c>
      <c r="E14761" t="n">
        <v>5</v>
      </c>
      <c r="F14761" t="n">
        <v>1</v>
      </c>
      <c r="G14761" t="n">
        <v>106</v>
      </c>
      <c r="H14761" s="5">
        <f>HYPERLINK("https://api.qogita.com/variants/link/0615908430165/", "View Product")</f>
        <v/>
      </c>
    </row>
    <row r="14762">
      <c r="A14762" t="inlineStr">
        <is>
          <t>0615908430400</t>
        </is>
      </c>
      <c r="B14762" t="inlineStr">
        <is>
          <t>TIGI Copyright Custom Care Color Conditioner 1.69oz</t>
        </is>
      </c>
      <c r="C14762" t="inlineStr">
        <is>
          <t>Conditioner</t>
        </is>
      </c>
      <c r="D14762" t="inlineStr">
        <is>
          <t>Tigi</t>
        </is>
      </c>
      <c r="E14762" t="n">
        <v>3.72</v>
      </c>
      <c r="F14762" t="n">
        <v>1</v>
      </c>
      <c r="G14762" t="n">
        <v>19</v>
      </c>
      <c r="H14762" s="5">
        <f>HYPERLINK("https://api.qogita.com/variants/link/0615908430400/", "View Product")</f>
        <v/>
      </c>
    </row>
    <row r="14763">
      <c r="A14763" t="inlineStr">
        <is>
          <t>0615908430424</t>
        </is>
      </c>
      <c r="B14763" t="inlineStr">
        <is>
          <t>TIGI Copyright Violet Toning Shampoo 970ml</t>
        </is>
      </c>
      <c r="C14763" t="inlineStr">
        <is>
          <t>Shampoo</t>
        </is>
      </c>
      <c r="D14763" t="inlineStr">
        <is>
          <t>Tigi</t>
        </is>
      </c>
      <c r="E14763" t="n">
        <v>8.23</v>
      </c>
      <c r="F14763" t="n">
        <v>1</v>
      </c>
      <c r="G14763" t="n">
        <v>64</v>
      </c>
      <c r="H14763" s="5">
        <f>HYPERLINK("https://api.qogita.com/variants/link/0615908430424/", "View Product")</f>
        <v/>
      </c>
    </row>
    <row r="14764">
      <c r="A14764" t="inlineStr">
        <is>
          <t>0615908431346</t>
        </is>
      </c>
      <c r="B14764" t="inlineStr">
        <is>
          <t>Bed Head by TIGI Small Talk Hair Thickening Cream for Fine Hair 125ml</t>
        </is>
      </c>
      <c r="C14764" t="inlineStr">
        <is>
          <t>Styling Creams</t>
        </is>
      </c>
      <c r="D14764" t="inlineStr">
        <is>
          <t>Tigi</t>
        </is>
      </c>
      <c r="E14764" t="n">
        <v>4.57</v>
      </c>
      <c r="F14764" t="n">
        <v>1</v>
      </c>
      <c r="G14764" t="n">
        <v>6</v>
      </c>
      <c r="H14764" s="5">
        <f>HYPERLINK("https://api.qogita.com/variants/link/0615908431346/", "View Product")</f>
        <v/>
      </c>
    </row>
    <row r="14765">
      <c r="A14765" t="inlineStr">
        <is>
          <t>4045787999754</t>
        </is>
      </c>
      <c r="B14765" t="inlineStr">
        <is>
          <t>Schwarzkopf Professional Osis+ Glow Serum - 50ml</t>
        </is>
      </c>
      <c r="C14765" t="inlineStr">
        <is>
          <t>Hair Oil &amp; Hair Serum</t>
        </is>
      </c>
      <c r="D14765" t="inlineStr">
        <is>
          <t>Schwarzkopf</t>
        </is>
      </c>
      <c r="E14765" t="n">
        <v>8.06</v>
      </c>
      <c r="F14765" t="n">
        <v>1</v>
      </c>
      <c r="G14765" t="n">
        <v>44</v>
      </c>
      <c r="H14765" s="5">
        <f>HYPERLINK("https://api.qogita.com/variants/link/4045787999754/", "View Product")</f>
        <v/>
      </c>
    </row>
    <row r="14766">
      <c r="A14766" t="inlineStr">
        <is>
          <t>4045787999778</t>
        </is>
      </c>
      <c r="B14766" t="inlineStr">
        <is>
          <t>Osis+ Hairbody Spray Providing Fill 200ml</t>
        </is>
      </c>
      <c r="C14766" t="inlineStr">
        <is>
          <t>Hairspray</t>
        </is>
      </c>
      <c r="D14766" t="inlineStr">
        <is>
          <t>Osis</t>
        </is>
      </c>
      <c r="E14766" t="n">
        <v>7.28</v>
      </c>
      <c r="F14766" t="n">
        <v>1</v>
      </c>
      <c r="G14766" t="n">
        <v>30</v>
      </c>
      <c r="H14766" s="5">
        <f>HYPERLINK("https://api.qogita.com/variants/link/4045787999778/", "View Product")</f>
        <v/>
      </c>
    </row>
    <row r="14767">
      <c r="A14767" t="inlineStr">
        <is>
          <t>4051395182525</t>
        </is>
      </c>
      <c r="B14767" t="inlineStr">
        <is>
          <t>Tom Tailor Adventurous Extreme Gift Set</t>
        </is>
      </c>
      <c r="C14767" t="inlineStr">
        <is>
          <t>Fragrance</t>
        </is>
      </c>
      <c r="D14767" t="inlineStr">
        <is>
          <t>Tom Tailor</t>
        </is>
      </c>
      <c r="E14767" t="n">
        <v>11.37</v>
      </c>
      <c r="F14767" t="n">
        <v>1</v>
      </c>
      <c r="G14767" t="n">
        <v>10</v>
      </c>
      <c r="H14767" s="5">
        <f>HYPERLINK("https://api.qogita.com/variants/link/4051395182525/", "View Product")</f>
        <v/>
      </c>
    </row>
    <row r="14768">
      <c r="A14768" t="inlineStr">
        <is>
          <t>4051395192166</t>
        </is>
      </c>
      <c r="B14768" t="inlineStr">
        <is>
          <t>Tom Tailor True Values For Him EDT 50ml</t>
        </is>
      </c>
      <c r="C14768" t="inlineStr">
        <is>
          <t>Eau De Toilette</t>
        </is>
      </c>
      <c r="D14768" t="inlineStr">
        <is>
          <t>Tom Tailor</t>
        </is>
      </c>
      <c r="E14768" t="n">
        <v>11.72</v>
      </c>
      <c r="F14768" t="n">
        <v>1</v>
      </c>
      <c r="G14768" t="n">
        <v>3</v>
      </c>
      <c r="H14768" s="5">
        <f>HYPERLINK("https://api.qogita.com/variants/link/4051395192166/", "View Product")</f>
        <v/>
      </c>
    </row>
    <row r="14769">
      <c r="A14769" t="inlineStr">
        <is>
          <t>4051395402197</t>
        </is>
      </c>
      <c r="B14769" t="inlineStr">
        <is>
          <t>Bugatti Signature Grey Eau De Toilette</t>
        </is>
      </c>
      <c r="C14769" t="inlineStr">
        <is>
          <t>Eau De Toilette</t>
        </is>
      </c>
      <c r="D14769" t="inlineStr">
        <is>
          <t>Bugatti</t>
        </is>
      </c>
      <c r="E14769" t="n">
        <v>18.84</v>
      </c>
      <c r="F14769" t="n">
        <v>1</v>
      </c>
      <c r="G14769" t="n">
        <v>14</v>
      </c>
      <c r="H14769" s="5">
        <f>HYPERLINK("https://api.qogita.com/variants/link/4051395402197/", "View Product")</f>
        <v/>
      </c>
    </row>
    <row r="14770">
      <c r="A14770" t="inlineStr">
        <is>
          <t>4051395413186</t>
        </is>
      </c>
      <c r="B14770" t="inlineStr">
        <is>
          <t>Bugatti Performance Intense Black Eau De Toilette</t>
        </is>
      </c>
      <c r="C14770" t="inlineStr">
        <is>
          <t>Eau De Toilette</t>
        </is>
      </c>
      <c r="D14770" t="inlineStr">
        <is>
          <t>Bugatti</t>
        </is>
      </c>
      <c r="E14770" t="n">
        <v>18.65</v>
      </c>
      <c r="F14770" t="n">
        <v>1</v>
      </c>
      <c r="G14770" t="n">
        <v>58</v>
      </c>
      <c r="H14770" s="5">
        <f>HYPERLINK("https://api.qogita.com/variants/link/4051395413186/", "View Product")</f>
        <v/>
      </c>
    </row>
    <row r="14771">
      <c r="A14771" t="inlineStr">
        <is>
          <t>4051395451164</t>
        </is>
      </c>
      <c r="B14771" t="inlineStr">
        <is>
          <t>Bugatti Eleganza Eau de Parfum for Women 60ml - Sensual Perfume for All Ages and Occasions - Elegant Combination of Strawberry, Blackcurrant, Iris &amp; Vanilla - Fruity, Powdery &amp; Warm</t>
        </is>
      </c>
      <c r="C14771" t="inlineStr">
        <is>
          <t>Eau De Parfum</t>
        </is>
      </c>
      <c r="D14771" t="inlineStr">
        <is>
          <t>Bugatti</t>
        </is>
      </c>
      <c r="E14771" t="n">
        <v>18.66</v>
      </c>
      <c r="F14771" t="n">
        <v>1</v>
      </c>
      <c r="G14771" t="n">
        <v>4</v>
      </c>
      <c r="H14771" s="5">
        <f>HYPERLINK("https://api.qogita.com/variants/link/4051395451164/", "View Product")</f>
        <v/>
      </c>
    </row>
    <row r="14772">
      <c r="A14772" t="inlineStr">
        <is>
          <t>4052136001174</t>
        </is>
      </c>
      <c r="B14772" t="inlineStr">
        <is>
          <t>Artdeco Magic Fix Lipstick Fixation 5ml</t>
        </is>
      </c>
      <c r="C14772" t="inlineStr">
        <is>
          <t>Lipstick</t>
        </is>
      </c>
      <c r="D14772" t="inlineStr">
        <is>
          <t>Artdeco</t>
        </is>
      </c>
      <c r="E14772" t="n">
        <v>9.16</v>
      </c>
      <c r="F14772" t="n">
        <v>1</v>
      </c>
      <c r="G14772" t="n">
        <v>22</v>
      </c>
      <c r="H14772" s="5">
        <f>HYPERLINK("https://api.qogita.com/variants/link/4052136001174/", "View Product")</f>
        <v/>
      </c>
    </row>
    <row r="14773">
      <c r="A14773" t="inlineStr">
        <is>
          <t>4052136001976</t>
        </is>
      </c>
      <c r="B14773" t="inlineStr">
        <is>
          <t>Artdeco Water Intense Mascara All In One Waterproof Mascara 10 Ml 71 Black</t>
        </is>
      </c>
      <c r="C14773" t="inlineStr">
        <is>
          <t>Mascara</t>
        </is>
      </c>
      <c r="D14773" t="inlineStr">
        <is>
          <t>Artdeco</t>
        </is>
      </c>
      <c r="E14773" t="n">
        <v>8.029999999999999</v>
      </c>
      <c r="F14773" t="n">
        <v>1</v>
      </c>
      <c r="G14773" t="n">
        <v>3</v>
      </c>
      <c r="H14773" s="5">
        <f>HYPERLINK("https://api.qogita.com/variants/link/4052136001976/", "View Product")</f>
        <v/>
      </c>
    </row>
    <row r="14774">
      <c r="A14774" t="inlineStr">
        <is>
          <t>4052136005202</t>
        </is>
      </c>
      <c r="B14774" t="inlineStr">
        <is>
          <t>Artdeco Sensitive Fine Liner Eyeliner In Black, 1ml</t>
        </is>
      </c>
      <c r="C14774" t="inlineStr">
        <is>
          <t>Eyeliner</t>
        </is>
      </c>
      <c r="D14774" t="inlineStr">
        <is>
          <t>Artdeco</t>
        </is>
      </c>
      <c r="E14774" t="n">
        <v>6.9</v>
      </c>
      <c r="F14774" t="n">
        <v>1</v>
      </c>
      <c r="G14774" t="n">
        <v>6</v>
      </c>
      <c r="H14774" s="5">
        <f>HYPERLINK("https://api.qogita.com/variants/link/4052136005202/", "View Product")</f>
        <v/>
      </c>
    </row>
    <row r="14775">
      <c r="A14775" t="inlineStr">
        <is>
          <t>4052136039429</t>
        </is>
      </c>
      <c r="B14775" t="inlineStr">
        <is>
          <t>Artdeco Volume Supreme Mascara - 01 Black, 15ml</t>
        </is>
      </c>
      <c r="C14775" t="inlineStr">
        <is>
          <t>Mascara</t>
        </is>
      </c>
      <c r="D14775" t="inlineStr">
        <is>
          <t>Artdeco</t>
        </is>
      </c>
      <c r="E14775" t="n">
        <v>7.41</v>
      </c>
      <c r="F14775" t="n">
        <v>1</v>
      </c>
      <c r="G14775" t="n">
        <v>14</v>
      </c>
      <c r="H14775" s="5">
        <f>HYPERLINK("https://api.qogita.com/variants/link/4052136039429/", "View Product")</f>
        <v/>
      </c>
    </row>
    <row r="14776">
      <c r="A14776" t="inlineStr">
        <is>
          <t>4052136055948</t>
        </is>
      </c>
      <c r="B14776" t="inlineStr">
        <is>
          <t>Artdeco Bronzing Powder Compact Long Lasting - 10g</t>
        </is>
      </c>
      <c r="C14776" t="inlineStr">
        <is>
          <t>Bronzer</t>
        </is>
      </c>
      <c r="D14776" t="inlineStr">
        <is>
          <t>Artdeco</t>
        </is>
      </c>
      <c r="E14776" t="n">
        <v>13.36</v>
      </c>
      <c r="F14776" t="n">
        <v>1</v>
      </c>
      <c r="G14776" t="n">
        <v>3</v>
      </c>
      <c r="H14776" s="5">
        <f>HYPERLINK("https://api.qogita.com/variants/link/4052136055948/", "View Product")</f>
        <v/>
      </c>
    </row>
    <row r="14777">
      <c r="A14777" t="inlineStr">
        <is>
          <t>4052136056655</t>
        </is>
      </c>
      <c r="B14777" t="inlineStr">
        <is>
          <t>Artdeco Skin Yoga Face Hyaluronic Intensive Serum</t>
        </is>
      </c>
      <c r="C14777" t="inlineStr">
        <is>
          <t>Hyaluronic Acid Serum</t>
        </is>
      </c>
      <c r="D14777" t="inlineStr">
        <is>
          <t>Artdeco</t>
        </is>
      </c>
      <c r="E14777" t="n">
        <v>15.41</v>
      </c>
      <c r="F14777" t="n">
        <v>1</v>
      </c>
      <c r="G14777" t="n">
        <v>5</v>
      </c>
      <c r="H14777" s="5">
        <f>HYPERLINK("https://api.qogita.com/variants/link/4052136056655/", "View Product")</f>
        <v/>
      </c>
    </row>
    <row r="14778">
      <c r="A14778" t="inlineStr">
        <is>
          <t>4052136057911</t>
        </is>
      </c>
      <c r="B14778" t="inlineStr">
        <is>
          <t>Artdeco Sun Protection Powder Foundation Spf50 90 Light Sand</t>
        </is>
      </c>
      <c r="C14778" t="inlineStr">
        <is>
          <t>Face Sun Protection</t>
        </is>
      </c>
      <c r="D14778" t="inlineStr">
        <is>
          <t>Artdeco</t>
        </is>
      </c>
      <c r="E14778" t="n">
        <v>14.72</v>
      </c>
      <c r="F14778" t="n">
        <v>1</v>
      </c>
      <c r="G14778" t="n">
        <v>4</v>
      </c>
      <c r="H14778" s="5">
        <f>HYPERLINK("https://api.qogita.com/variants/link/4052136057911/", "View Product")</f>
        <v/>
      </c>
    </row>
    <row r="14779">
      <c r="A14779" t="inlineStr">
        <is>
          <t>4052136059328</t>
        </is>
      </c>
      <c r="B14779" t="inlineStr">
        <is>
          <t>Artdeco Long Wear Concealer Waterproof Concealer 14 Soft Ivory 7ml</t>
        </is>
      </c>
      <c r="C14779" t="inlineStr">
        <is>
          <t>Concealer</t>
        </is>
      </c>
      <c r="D14779" t="inlineStr">
        <is>
          <t>Artdeco</t>
        </is>
      </c>
      <c r="E14779" t="n">
        <v>8.619999999999999</v>
      </c>
      <c r="F14779" t="n">
        <v>1</v>
      </c>
      <c r="G14779" t="n">
        <v>3</v>
      </c>
      <c r="H14779" s="5">
        <f>HYPERLINK("https://api.qogita.com/variants/link/4052136059328/", "View Product")</f>
        <v/>
      </c>
    </row>
    <row r="14780">
      <c r="A14780" t="inlineStr">
        <is>
          <t>4052136062144</t>
        </is>
      </c>
      <c r="B14780" t="inlineStr">
        <is>
          <t>Artdeco 2 in 1 Brow Perfector with Brow Brush Driftwood</t>
        </is>
      </c>
      <c r="C14780" t="inlineStr">
        <is>
          <t>Eyebrow Brushes</t>
        </is>
      </c>
      <c r="D14780" t="inlineStr">
        <is>
          <t>Artdeco</t>
        </is>
      </c>
      <c r="E14780" t="n">
        <v>6.06</v>
      </c>
      <c r="F14780" t="n">
        <v>1</v>
      </c>
      <c r="G14780" t="n">
        <v>4</v>
      </c>
      <c r="H14780" s="5">
        <f>HYPERLINK("https://api.qogita.com/variants/link/4052136062144/", "View Product")</f>
        <v/>
      </c>
    </row>
    <row r="14781">
      <c r="A14781" t="inlineStr">
        <is>
          <t>4052136082838</t>
        </is>
      </c>
      <c r="B14781" t="inlineStr">
        <is>
          <t>Artdeco Art Couture Nail Lacquer 778 Earthy Mauve 10 Ml</t>
        </is>
      </c>
      <c r="C14781" t="inlineStr">
        <is>
          <t>Nail Polish</t>
        </is>
      </c>
      <c r="D14781" t="inlineStr">
        <is>
          <t>Artdeco</t>
        </is>
      </c>
      <c r="E14781" t="n">
        <v>4.5</v>
      </c>
      <c r="F14781" t="n">
        <v>1</v>
      </c>
      <c r="G14781" t="n">
        <v>2</v>
      </c>
      <c r="H14781" s="5">
        <f>HYPERLINK("https://api.qogita.com/variants/link/4052136082838/", "View Product")</f>
        <v/>
      </c>
    </row>
    <row r="14782">
      <c r="A14782" t="inlineStr">
        <is>
          <t>4052136086133</t>
        </is>
      </c>
      <c r="B14782" t="inlineStr">
        <is>
          <t>Artdeco Skin Yoga Sooth Tonic, 1 X 200 Ml</t>
        </is>
      </c>
      <c r="C14782" t="inlineStr">
        <is>
          <t>Facial Spray</t>
        </is>
      </c>
      <c r="D14782" t="inlineStr">
        <is>
          <t>Artdeco</t>
        </is>
      </c>
      <c r="E14782" t="n">
        <v>11.67</v>
      </c>
      <c r="F14782" t="n">
        <v>1</v>
      </c>
      <c r="G14782" t="n">
        <v>19</v>
      </c>
      <c r="H14782" s="5">
        <f>HYPERLINK("https://api.qogita.com/variants/link/4052136086133/", "View Product")</f>
        <v/>
      </c>
    </row>
    <row r="14783">
      <c r="A14783" t="inlineStr">
        <is>
          <t>4052136090420</t>
        </is>
      </c>
      <c r="B14783" t="inlineStr">
        <is>
          <t>Artdeco Calming Sensitive Face Cream 50ml</t>
        </is>
      </c>
      <c r="C14783" t="inlineStr">
        <is>
          <t>Face Cream</t>
        </is>
      </c>
      <c r="D14783" t="inlineStr">
        <is>
          <t>Artdeco</t>
        </is>
      </c>
      <c r="E14783" t="n">
        <v>13.06</v>
      </c>
      <c r="F14783" t="n">
        <v>1</v>
      </c>
      <c r="G14783" t="n">
        <v>2</v>
      </c>
      <c r="H14783" s="5">
        <f>HYPERLINK("https://api.qogita.com/variants/link/4052136090420/", "View Product")</f>
        <v/>
      </c>
    </row>
    <row r="14784">
      <c r="A14784" t="inlineStr">
        <is>
          <t>4052136096514</t>
        </is>
      </c>
      <c r="B14784" t="inlineStr">
        <is>
          <t>Artdeco Skin Yoga Face Instant Lifting Perfection Cream Face Cream 50ml</t>
        </is>
      </c>
      <c r="C14784" t="inlineStr">
        <is>
          <t>Face Cream</t>
        </is>
      </c>
      <c r="D14784" t="inlineStr">
        <is>
          <t>Artdeco</t>
        </is>
      </c>
      <c r="E14784" t="n">
        <v>18.99</v>
      </c>
      <c r="F14784" t="n">
        <v>1</v>
      </c>
      <c r="G14784" t="n">
        <v>3</v>
      </c>
      <c r="H14784" s="5">
        <f>HYPERLINK("https://api.qogita.com/variants/link/4052136096514/", "View Product")</f>
        <v/>
      </c>
    </row>
    <row r="14785">
      <c r="A14785" t="inlineStr">
        <is>
          <t>4052136101621</t>
        </is>
      </c>
      <c r="B14785" t="inlineStr">
        <is>
          <t>Artdeco Long Lasting Liquid Liner Intense 12 Blue Line 15ml</t>
        </is>
      </c>
      <c r="C14785" t="inlineStr">
        <is>
          <t>Eyeliner</t>
        </is>
      </c>
      <c r="D14785" t="inlineStr">
        <is>
          <t>Artdeco</t>
        </is>
      </c>
      <c r="E14785" t="n">
        <v>7.36</v>
      </c>
      <c r="F14785" t="n">
        <v>1</v>
      </c>
      <c r="G14785" t="n">
        <v>3</v>
      </c>
      <c r="H14785" s="5">
        <f>HYPERLINK("https://api.qogita.com/variants/link/4052136101621/", "View Product")</f>
        <v/>
      </c>
    </row>
    <row r="14786">
      <c r="A14786" t="inlineStr">
        <is>
          <t>4052136105285</t>
        </is>
      </c>
      <c r="B14786" t="inlineStr">
        <is>
          <t>Artdeco Gel Twist Brow Liner Long-Lasting Eyebrow Pencil 7 Blonde 0.8g</t>
        </is>
      </c>
      <c r="C14786" t="inlineStr">
        <is>
          <t>Eyebrow Pencil</t>
        </is>
      </c>
      <c r="D14786" t="inlineStr">
        <is>
          <t>Artdeco</t>
        </is>
      </c>
      <c r="E14786" t="n">
        <v>6.26</v>
      </c>
      <c r="F14786" t="n">
        <v>1</v>
      </c>
      <c r="G14786" t="n">
        <v>3</v>
      </c>
      <c r="H14786" s="5">
        <f>HYPERLINK("https://api.qogita.com/variants/link/4052136105285/", "View Product")</f>
        <v/>
      </c>
    </row>
    <row r="14787">
      <c r="A14787" t="inlineStr">
        <is>
          <t>4052136105551</t>
        </is>
      </c>
      <c r="B14787" t="inlineStr">
        <is>
          <t>ARTDECO Ultra Fine Brow Liner Eyebrow Pencil No. 12 Deep Brunette</t>
        </is>
      </c>
      <c r="C14787" t="inlineStr">
        <is>
          <t>Eyebrow Pencil</t>
        </is>
      </c>
      <c r="D14787" t="inlineStr">
        <is>
          <t>Artdeco</t>
        </is>
      </c>
      <c r="E14787" t="n">
        <v>7.3</v>
      </c>
      <c r="F14787" t="n">
        <v>1</v>
      </c>
      <c r="G14787" t="n">
        <v>4</v>
      </c>
      <c r="H14787" s="5">
        <f>HYPERLINK("https://api.qogita.com/variants/link/4052136105551/", "View Product")</f>
        <v/>
      </c>
    </row>
    <row r="14788">
      <c r="A14788" t="inlineStr">
        <is>
          <t>4052136144932</t>
        </is>
      </c>
      <c r="B14788" t="inlineStr">
        <is>
          <t>Artdeco Classical Moisturizing Lipstick 802 Spicy Red 4 G</t>
        </is>
      </c>
      <c r="C14788" t="inlineStr">
        <is>
          <t>Lipstick</t>
        </is>
      </c>
      <c r="D14788" t="inlineStr">
        <is>
          <t>Artdeco</t>
        </is>
      </c>
      <c r="E14788" t="n">
        <v>7.85</v>
      </c>
      <c r="F14788" t="n">
        <v>1</v>
      </c>
      <c r="G14788" t="n">
        <v>3</v>
      </c>
      <c r="H14788" s="5">
        <f>HYPERLINK("https://api.qogita.com/variants/link/4052136144932/", "View Product")</f>
        <v/>
      </c>
    </row>
    <row r="14789">
      <c r="A14789" t="inlineStr">
        <is>
          <t>4052136144949</t>
        </is>
      </c>
      <c r="B14789" t="inlineStr">
        <is>
          <t>Artdeco Perfect Color Lipstick Moisturizing Lipstick 4 G 825 Royal Rose</t>
        </is>
      </c>
      <c r="C14789" t="inlineStr">
        <is>
          <t>Lipstick</t>
        </is>
      </c>
      <c r="D14789" t="inlineStr">
        <is>
          <t>Artdeco</t>
        </is>
      </c>
      <c r="E14789" t="n">
        <v>8.130000000000001</v>
      </c>
      <c r="F14789" t="n">
        <v>1</v>
      </c>
      <c r="G14789" t="n">
        <v>7</v>
      </c>
      <c r="H14789" s="5">
        <f>HYPERLINK("https://api.qogita.com/variants/link/4052136144949/", "View Product")</f>
        <v/>
      </c>
    </row>
    <row r="14790">
      <c r="A14790" t="inlineStr">
        <is>
          <t>4052136145229</t>
        </is>
      </c>
      <c r="B14790" t="inlineStr">
        <is>
          <t>Artdeco Eyeshadow Pearl 110 Pearly Timeless Rose 8 Grams</t>
        </is>
      </c>
      <c r="C14790" t="inlineStr">
        <is>
          <t>Eyeshadow</t>
        </is>
      </c>
      <c r="D14790" t="inlineStr">
        <is>
          <t>Artdeco</t>
        </is>
      </c>
      <c r="E14790" t="n">
        <v>4.43</v>
      </c>
      <c r="F14790" t="n">
        <v>1</v>
      </c>
      <c r="G14790" t="n">
        <v>18</v>
      </c>
      <c r="H14790" s="5">
        <f>HYPERLINK("https://api.qogita.com/variants/link/4052136145229/", "View Product")</f>
        <v/>
      </c>
    </row>
    <row r="14791">
      <c r="A14791" t="inlineStr">
        <is>
          <t>4052136145250</t>
        </is>
      </c>
      <c r="B14791" t="inlineStr">
        <is>
          <t>Artdeco Pearlescent Eyeshadow 08 G</t>
        </is>
      </c>
      <c r="C14791" t="inlineStr">
        <is>
          <t>Eyeshadow</t>
        </is>
      </c>
      <c r="D14791" t="inlineStr">
        <is>
          <t>Artdeco</t>
        </is>
      </c>
      <c r="E14791" t="n">
        <v>3.02</v>
      </c>
      <c r="F14791" t="n">
        <v>1</v>
      </c>
      <c r="G14791" t="n">
        <v>5</v>
      </c>
      <c r="H14791" s="5">
        <f>HYPERLINK("https://api.qogita.com/variants/link/4052136145250/", "View Product")</f>
        <v/>
      </c>
    </row>
    <row r="14792">
      <c r="A14792" t="inlineStr">
        <is>
          <t>4052136145779</t>
        </is>
      </c>
      <c r="B14792" t="inlineStr">
        <is>
          <t>ARTDECO Mineral Lip Styler Long-lasting Lipliner with Integrated Sharpener 0.4g 26 Mineral Flowerbed</t>
        </is>
      </c>
      <c r="C14792" t="inlineStr">
        <is>
          <t>Lip Liner</t>
        </is>
      </c>
      <c r="D14792" t="inlineStr">
        <is>
          <t>Artdeco</t>
        </is>
      </c>
      <c r="E14792" t="n">
        <v>6.06</v>
      </c>
      <c r="F14792" t="n">
        <v>1</v>
      </c>
      <c r="G14792" t="n">
        <v>5</v>
      </c>
      <c r="H14792" s="5">
        <f>HYPERLINK("https://api.qogita.com/variants/link/4052136145779/", "View Product")</f>
        <v/>
      </c>
    </row>
    <row r="14793">
      <c r="A14793" t="inlineStr">
        <is>
          <t>4052136148961</t>
        </is>
      </c>
      <c r="B14793" t="inlineStr">
        <is>
          <t>ARTDECO Hydra Lip Booster Moisturising Lip Gloss with Boosting Effect 6ml 41 Translucent Syringa</t>
        </is>
      </c>
      <c r="C14793" t="inlineStr">
        <is>
          <t>Lip Gloss</t>
        </is>
      </c>
      <c r="D14793" t="inlineStr">
        <is>
          <t>Artdeco</t>
        </is>
      </c>
      <c r="E14793" t="n">
        <v>6.58</v>
      </c>
      <c r="F14793" t="n">
        <v>1</v>
      </c>
      <c r="G14793" t="n">
        <v>2</v>
      </c>
      <c r="H14793" s="5">
        <f>HYPERLINK("https://api.qogita.com/variants/link/4052136148961/", "View Product")</f>
        <v/>
      </c>
    </row>
    <row r="14794">
      <c r="A14794" t="inlineStr">
        <is>
          <t>4052136152586</t>
        </is>
      </c>
      <c r="B14794" t="inlineStr">
        <is>
          <t>Artdeco Nail Polish Nail Lacquer Art Couture 10 Ml Pearl Phoenix</t>
        </is>
      </c>
      <c r="C14794" t="inlineStr">
        <is>
          <t>Nail Polish</t>
        </is>
      </c>
      <c r="D14794" t="inlineStr">
        <is>
          <t>Artdeco</t>
        </is>
      </c>
      <c r="E14794" t="n">
        <v>5.73</v>
      </c>
      <c r="F14794" t="n">
        <v>1</v>
      </c>
      <c r="G14794" t="n">
        <v>5</v>
      </c>
      <c r="H14794" s="5">
        <f>HYPERLINK("https://api.qogita.com/variants/link/4052136152586/", "View Product")</f>
        <v/>
      </c>
    </row>
    <row r="14795">
      <c r="A14795" t="inlineStr">
        <is>
          <t>4052136170108</t>
        </is>
      </c>
      <c r="B14795" t="inlineStr">
        <is>
          <t>Artdeco Classical Moisturizing Lipstick 4 G 810 Confident Style</t>
        </is>
      </c>
      <c r="C14795" t="inlineStr">
        <is>
          <t>Lipstick</t>
        </is>
      </c>
      <c r="D14795" t="inlineStr">
        <is>
          <t>Artdeco</t>
        </is>
      </c>
      <c r="E14795" t="n">
        <v>7.85</v>
      </c>
      <c r="F14795" t="n">
        <v>1</v>
      </c>
      <c r="G14795" t="n">
        <v>5</v>
      </c>
      <c r="H14795" s="5">
        <f>HYPERLINK("https://api.qogita.com/variants/link/4052136170108/", "View Product")</f>
        <v/>
      </c>
    </row>
    <row r="14796">
      <c r="A14796" t="inlineStr">
        <is>
          <t>4052136212662</t>
        </is>
      </c>
      <c r="B14796" t="inlineStr">
        <is>
          <t>Artdeco Eyebrow Designer Pencil With Brush 6 Medium Blonde 1g</t>
        </is>
      </c>
      <c r="C14796" t="inlineStr">
        <is>
          <t>Eyebrow Pencil</t>
        </is>
      </c>
      <c r="D14796" t="inlineStr">
        <is>
          <t>Artdeco</t>
        </is>
      </c>
      <c r="E14796" t="n">
        <v>7.57</v>
      </c>
      <c r="F14796" t="n">
        <v>1</v>
      </c>
      <c r="G14796" t="n">
        <v>7</v>
      </c>
      <c r="H14796" s="5">
        <f>HYPERLINK("https://api.qogita.com/variants/link/4052136212662/", "View Product")</f>
        <v/>
      </c>
    </row>
    <row r="14797">
      <c r="A14797" t="inlineStr">
        <is>
          <t>4052136212686</t>
        </is>
      </c>
      <c r="B14797" t="inlineStr">
        <is>
          <t>ARTDECO High Performance Eyeshadow Stylo 3 in 1 Stick 1.4g - Color 10 Telepathic</t>
        </is>
      </c>
      <c r="C14797" t="inlineStr">
        <is>
          <t>Eyeshadow</t>
        </is>
      </c>
      <c r="D14797" t="inlineStr">
        <is>
          <t>Artdeco</t>
        </is>
      </c>
      <c r="E14797" t="n">
        <v>7.36</v>
      </c>
      <c r="F14797" t="n">
        <v>1</v>
      </c>
      <c r="G14797" t="n">
        <v>5</v>
      </c>
      <c r="H14797" s="5">
        <f>HYPERLINK("https://api.qogita.com/variants/link/4052136212686/", "View Product")</f>
        <v/>
      </c>
    </row>
    <row r="14798">
      <c r="A14798" t="inlineStr">
        <is>
          <t>4052136221725</t>
        </is>
      </c>
      <c r="B14798" t="inlineStr">
        <is>
          <t>Artdeco Mineral Eye Styler Eye Pencil 98a Mineral Reef Sand 0.4g</t>
        </is>
      </c>
      <c r="C14798" t="inlineStr">
        <is>
          <t>Eye Pencil</t>
        </is>
      </c>
      <c r="D14798" t="inlineStr">
        <is>
          <t>Artdeco</t>
        </is>
      </c>
      <c r="E14798" t="n">
        <v>6.26</v>
      </c>
      <c r="F14798" t="n">
        <v>1</v>
      </c>
      <c r="G14798" t="n">
        <v>8</v>
      </c>
      <c r="H14798" s="5">
        <f>HYPERLINK("https://api.qogita.com/variants/link/4052136221725/", "View Product")</f>
        <v/>
      </c>
    </row>
    <row r="14799">
      <c r="A14799" t="inlineStr">
        <is>
          <t>4052136222890</t>
        </is>
      </c>
      <c r="B14799" t="inlineStr">
        <is>
          <t>Artdeco Face Serums and Liquids Ideal for Women</t>
        </is>
      </c>
      <c r="C14799" t="inlineStr">
        <is>
          <t>Hydrating Serum</t>
        </is>
      </c>
      <c r="D14799" t="inlineStr">
        <is>
          <t>Artdeco</t>
        </is>
      </c>
      <c r="E14799" t="n">
        <v>16.74</v>
      </c>
      <c r="F14799" t="n">
        <v>1</v>
      </c>
      <c r="G14799" t="n">
        <v>6</v>
      </c>
      <c r="H14799" s="5">
        <f>HYPERLINK("https://api.qogita.com/variants/link/4052136222890/", "View Product")</f>
        <v/>
      </c>
    </row>
    <row r="14800">
      <c r="A14800" t="inlineStr">
        <is>
          <t>4052136226386</t>
        </is>
      </c>
      <c r="B14800" t="inlineStr">
        <is>
          <t>ARTDECO Plumping Lip Fluid Lip Gloss for Full Shiny Lips with Wet-Look Shine 3ml 21 Glossy Nude</t>
        </is>
      </c>
      <c r="C14800" t="inlineStr">
        <is>
          <t>Lip Gloss</t>
        </is>
      </c>
      <c r="D14800" t="inlineStr">
        <is>
          <t>Artdeco</t>
        </is>
      </c>
      <c r="E14800" t="n">
        <v>7.3</v>
      </c>
      <c r="F14800" t="n">
        <v>1</v>
      </c>
      <c r="G14800" t="n">
        <v>9</v>
      </c>
      <c r="H14800" s="5">
        <f>HYPERLINK("https://api.qogita.com/variants/link/4052136226386/", "View Product")</f>
        <v/>
      </c>
    </row>
    <row r="14801">
      <c r="A14801" t="inlineStr">
        <is>
          <t>4052136226393</t>
        </is>
      </c>
      <c r="B14801" t="inlineStr">
        <is>
          <t>Artdeco Plumping Lip Fluid 28 Goddess 3 Ml</t>
        </is>
      </c>
      <c r="C14801" t="inlineStr">
        <is>
          <t>Lip Plumper</t>
        </is>
      </c>
      <c r="D14801" t="inlineStr">
        <is>
          <t>Artdeco</t>
        </is>
      </c>
      <c r="E14801" t="n">
        <v>7.3</v>
      </c>
      <c r="F14801" t="n">
        <v>1</v>
      </c>
      <c r="G14801" t="n">
        <v>6</v>
      </c>
      <c r="H14801" s="5">
        <f>HYPERLINK("https://api.qogita.com/variants/link/4052136226393/", "View Product")</f>
        <v/>
      </c>
    </row>
    <row r="14802">
      <c r="A14802" t="inlineStr">
        <is>
          <t>4052136226416</t>
        </is>
      </c>
      <c r="B14802" t="inlineStr">
        <is>
          <t>Artdeco Plumping Lip Fluid 43 Fiery Red 3ml</t>
        </is>
      </c>
      <c r="C14802" t="inlineStr">
        <is>
          <t>Lip Plumper</t>
        </is>
      </c>
      <c r="D14802" t="inlineStr">
        <is>
          <t>Artdeco</t>
        </is>
      </c>
      <c r="E14802" t="n">
        <v>8.06</v>
      </c>
      <c r="F14802" t="n">
        <v>1</v>
      </c>
      <c r="G14802" t="n">
        <v>2</v>
      </c>
      <c r="H14802" s="5">
        <f>HYPERLINK("https://api.qogita.com/variants/link/4052136226416/", "View Product")</f>
        <v/>
      </c>
    </row>
    <row r="14803">
      <c r="A14803" t="inlineStr">
        <is>
          <t>4059729030542</t>
        </is>
      </c>
      <c r="B14803" t="inlineStr">
        <is>
          <t>Catrice Eye Brow Stylist 025 Perfect Brown 14 G</t>
        </is>
      </c>
      <c r="C14803" t="inlineStr">
        <is>
          <t>Eyebrow Pencil</t>
        </is>
      </c>
      <c r="D14803" t="inlineStr">
        <is>
          <t>Catrice</t>
        </is>
      </c>
      <c r="E14803" t="n">
        <v>3.92</v>
      </c>
      <c r="F14803" t="n">
        <v>1</v>
      </c>
      <c r="G14803" t="n">
        <v>2</v>
      </c>
      <c r="H14803" s="5">
        <f>HYPERLINK("https://api.qogita.com/variants/link/4059729030542/", "View Product")</f>
        <v/>
      </c>
    </row>
    <row r="14804">
      <c r="A14804" t="inlineStr">
        <is>
          <t>4059729254368</t>
        </is>
      </c>
      <c r="B14804" t="inlineStr">
        <is>
          <t>24ever Ink Liner Eyeliner With Pen 01 Intense Black 1.2ml</t>
        </is>
      </c>
      <c r="C14804" t="inlineStr">
        <is>
          <t>Eyeliner</t>
        </is>
      </c>
      <c r="D14804" t="inlineStr">
        <is>
          <t>24ever</t>
        </is>
      </c>
      <c r="E14804" t="n">
        <v>3.94</v>
      </c>
      <c r="F14804" t="n">
        <v>1</v>
      </c>
      <c r="G14804" t="n">
        <v>2</v>
      </c>
      <c r="H14804" s="5">
        <f>HYPERLINK("https://api.qogita.com/variants/link/4059729254368/", "View Product")</f>
        <v/>
      </c>
    </row>
    <row r="14805">
      <c r="A14805" t="inlineStr">
        <is>
          <t>4059729419545</t>
        </is>
      </c>
      <c r="B14805" t="inlineStr">
        <is>
          <t>Catrice The Vitamin C Fresh Glow Primer with Vitamins for Dry Skin 30ml</t>
        </is>
      </c>
      <c r="C14805" t="inlineStr">
        <is>
          <t>Primer</t>
        </is>
      </c>
      <c r="D14805" t="inlineStr">
        <is>
          <t>Catrice</t>
        </is>
      </c>
      <c r="E14805" t="n">
        <v>5.88</v>
      </c>
      <c r="F14805" t="n">
        <v>1</v>
      </c>
      <c r="G14805" t="n">
        <v>2</v>
      </c>
      <c r="H14805" s="5">
        <f>HYPERLINK("https://api.qogita.com/variants/link/4059729419545/", "View Product")</f>
        <v/>
      </c>
    </row>
    <row r="14806">
      <c r="A14806" t="inlineStr">
        <is>
          <t>4059729421333</t>
        </is>
      </c>
      <c r="B14806" t="inlineStr">
        <is>
          <t>Essence Cosmetics Lash Without Limits Extreme Lengthening Volume Mascara 13 Ml 01 Ultra Black</t>
        </is>
      </c>
      <c r="C14806" t="inlineStr">
        <is>
          <t>Mascara</t>
        </is>
      </c>
      <c r="D14806" t="inlineStr">
        <is>
          <t>Essence</t>
        </is>
      </c>
      <c r="E14806" t="n">
        <v>4.79</v>
      </c>
      <c r="F14806" t="n">
        <v>1</v>
      </c>
      <c r="G14806" t="n">
        <v>3</v>
      </c>
      <c r="H14806" s="5">
        <f>HYPERLINK("https://api.qogita.com/variants/link/4059729421333/", "View Product")</f>
        <v/>
      </c>
    </row>
    <row r="14807">
      <c r="A14807" t="inlineStr">
        <is>
          <t>4059729515476</t>
        </is>
      </c>
      <c r="B14807" t="inlineStr">
        <is>
          <t>Catrice Melt And Plump Volumizing Lip Balm 020hypnudetized 18g</t>
        </is>
      </c>
      <c r="C14807" t="inlineStr">
        <is>
          <t>Lip Balm</t>
        </is>
      </c>
      <c r="D14807" t="inlineStr">
        <is>
          <t>Catrice</t>
        </is>
      </c>
      <c r="E14807" t="n">
        <v>5.32</v>
      </c>
      <c r="F14807" t="n">
        <v>1</v>
      </c>
      <c r="G14807" t="n">
        <v>2</v>
      </c>
      <c r="H14807" s="5">
        <f>HYPERLINK("https://api.qogita.com/variants/link/4059729515476/", "View Product")</f>
        <v/>
      </c>
    </row>
    <row r="14808">
      <c r="A14808" t="inlineStr">
        <is>
          <t>4063528000712</t>
        </is>
      </c>
      <c r="B14808" t="inlineStr">
        <is>
          <t>Invisibobble Sprunchie Rosie Fortescue Sprunchie Rosie Star Stylish Hair Band</t>
        </is>
      </c>
      <c r="C14808" t="inlineStr">
        <is>
          <t>Hair Elastics</t>
        </is>
      </c>
      <c r="D14808" t="inlineStr">
        <is>
          <t>Invisibobble</t>
        </is>
      </c>
      <c r="E14808" t="n">
        <v>12.16</v>
      </c>
      <c r="F14808" t="n">
        <v>1</v>
      </c>
      <c r="G14808" t="n">
        <v>2</v>
      </c>
      <c r="H14808" s="5">
        <f>HYPERLINK("https://api.qogita.com/variants/link/4063528000712/", "View Product")</f>
        <v/>
      </c>
    </row>
    <row r="14809">
      <c r="A14809" t="inlineStr">
        <is>
          <t>4063528004499</t>
        </is>
      </c>
      <c r="B14809" t="inlineStr">
        <is>
          <t>Urban Safari Wrapstar &amp; Waver Hair Tie Set With Ribbon + 3 Hair Clips</t>
        </is>
      </c>
      <c r="C14809" t="inlineStr">
        <is>
          <t>Hair Clips &amp; Hair Clamps</t>
        </is>
      </c>
      <c r="D14809" t="inlineStr">
        <is>
          <t>Urban Safari</t>
        </is>
      </c>
      <c r="E14809" t="n">
        <v>12.81</v>
      </c>
      <c r="F14809" t="n">
        <v>1</v>
      </c>
      <c r="G14809" t="n">
        <v>2</v>
      </c>
      <c r="H14809" s="5">
        <f>HYPERLINK("https://api.qogita.com/variants/link/4063528004499/", "View Product")</f>
        <v/>
      </c>
    </row>
    <row r="14810">
      <c r="A14810" t="inlineStr">
        <is>
          <t>4063528008916</t>
        </is>
      </c>
      <c r="B14810" t="inlineStr">
        <is>
          <t>Foamie Moisturizing Shower Body Bar Cherry Kiss With Cherry Blossom And Rice Milk 80 G</t>
        </is>
      </c>
      <c r="C14810" t="inlineStr">
        <is>
          <t>Soap</t>
        </is>
      </c>
      <c r="D14810" t="inlineStr">
        <is>
          <t>Foamie</t>
        </is>
      </c>
      <c r="E14810" t="n">
        <v>5.01</v>
      </c>
      <c r="F14810" t="n">
        <v>1</v>
      </c>
      <c r="G14810" t="n">
        <v>12</v>
      </c>
      <c r="H14810" s="5">
        <f>HYPERLINK("https://api.qogita.com/variants/link/4063528008916/", "View Product")</f>
        <v/>
      </c>
    </row>
    <row r="14811">
      <c r="A14811" t="inlineStr">
        <is>
          <t>4063528008923</t>
        </is>
      </c>
      <c r="B14811" t="inlineStr">
        <is>
          <t>FOAMIE Shower Body Bar Coconut &amp; Cacao Butter 100% Vegan and Cruelty Free</t>
        </is>
      </c>
      <c r="C14811" t="inlineStr">
        <is>
          <t>Soap</t>
        </is>
      </c>
      <c r="D14811" t="inlineStr">
        <is>
          <t>Foamie</t>
        </is>
      </c>
      <c r="E14811" t="n">
        <v>5.01</v>
      </c>
      <c r="F14811" t="n">
        <v>1</v>
      </c>
      <c r="G14811" t="n">
        <v>4</v>
      </c>
      <c r="H14811" s="5">
        <f>HYPERLINK("https://api.qogita.com/variants/link/4063528008923/", "View Product")</f>
        <v/>
      </c>
    </row>
    <row r="14812">
      <c r="A14812" t="inlineStr">
        <is>
          <t>4063528009739</t>
        </is>
      </c>
      <c r="B14812" t="inlineStr">
        <is>
          <t>FOAMIE Aloe Shampoo Bar for Dry Hair - Plastic-Free pH-Balanced Soap-Free No Sulphates or Parabens - Made in the UK</t>
        </is>
      </c>
      <c r="C14812" t="inlineStr">
        <is>
          <t>Shampoo</t>
        </is>
      </c>
      <c r="D14812" t="inlineStr">
        <is>
          <t>Foamie</t>
        </is>
      </c>
      <c r="E14812" t="n">
        <v>5.31</v>
      </c>
      <c r="F14812" t="n">
        <v>1</v>
      </c>
      <c r="G14812" t="n">
        <v>29</v>
      </c>
      <c r="H14812" s="5">
        <f>HYPERLINK("https://api.qogita.com/variants/link/4063528009739/", "View Product")</f>
        <v/>
      </c>
    </row>
    <row r="14813">
      <c r="A14813" t="inlineStr">
        <is>
          <t>4063528010582</t>
        </is>
      </c>
      <c r="B14813" t="inlineStr">
        <is>
          <t>Invisibobble Twins Hair Tie Prima Ballerina I Hair Accessories Pink For Girls</t>
        </is>
      </c>
      <c r="C14813" t="inlineStr">
        <is>
          <t>Hair Elastics</t>
        </is>
      </c>
      <c r="D14813" t="inlineStr">
        <is>
          <t>Invisibobble</t>
        </is>
      </c>
      <c r="E14813" t="n">
        <v>5.01</v>
      </c>
      <c r="F14813" t="n">
        <v>1</v>
      </c>
      <c r="G14813" t="n">
        <v>5</v>
      </c>
      <c r="H14813" s="5">
        <f>HYPERLINK("https://api.qogita.com/variants/link/4063528010582/", "View Product")</f>
        <v/>
      </c>
    </row>
    <row r="14814">
      <c r="A14814" t="inlineStr">
        <is>
          <t>4063528013958</t>
        </is>
      </c>
      <c r="B14814" t="inlineStr">
        <is>
          <t>Foamie Aloe You Very Much Body Shaving Bar 70 G</t>
        </is>
      </c>
      <c r="C14814" t="inlineStr">
        <is>
          <t>Body Care Sets</t>
        </is>
      </c>
      <c r="D14814" t="inlineStr">
        <is>
          <t>Foamie</t>
        </is>
      </c>
      <c r="E14814" t="n">
        <v>4.63</v>
      </c>
      <c r="F14814" t="n">
        <v>1</v>
      </c>
      <c r="G14814" t="n">
        <v>10</v>
      </c>
      <c r="H14814" s="5">
        <f>HYPERLINK("https://api.qogita.com/variants/link/4063528013958/", "View Product")</f>
        <v/>
      </c>
    </row>
    <row r="14815">
      <c r="A14815" t="inlineStr">
        <is>
          <t>4063528017949</t>
        </is>
      </c>
      <c r="B14815" t="inlineStr">
        <is>
          <t>Foamie 2-in-1 Kids Turtely Cute Mango Coconut 80g</t>
        </is>
      </c>
      <c r="C14815" t="inlineStr">
        <is>
          <t>Baby Shower Gel &amp; Soap</t>
        </is>
      </c>
      <c r="D14815" t="inlineStr">
        <is>
          <t>Foamie</t>
        </is>
      </c>
      <c r="E14815" t="n">
        <v>5.31</v>
      </c>
      <c r="F14815" t="n">
        <v>1</v>
      </c>
      <c r="G14815" t="n">
        <v>3</v>
      </c>
      <c r="H14815" s="5">
        <f>HYPERLINK("https://api.qogita.com/variants/link/4063528017949/", "View Product")</f>
        <v/>
      </c>
    </row>
    <row r="14816">
      <c r="A14816" t="inlineStr">
        <is>
          <t>4063528027740</t>
        </is>
      </c>
      <c r="B14816" t="inlineStr">
        <is>
          <t>Invisibobble Slim Hair Ties Pink 3 Thin Hair Ties for Girls &amp; Women Elegant Look &amp; Strong Hold Designed in the Heart of Munich</t>
        </is>
      </c>
      <c r="C14816" t="inlineStr">
        <is>
          <t>Hair Elastics</t>
        </is>
      </c>
      <c r="D14816" t="inlineStr">
        <is>
          <t>Invisibobble</t>
        </is>
      </c>
      <c r="E14816" t="n">
        <v>1.47</v>
      </c>
      <c r="F14816" t="n">
        <v>1</v>
      </c>
      <c r="G14816" t="n">
        <v>5</v>
      </c>
      <c r="H14816" s="5">
        <f>HYPERLINK("https://api.qogita.com/variants/link/4063528027740/", "View Product")</f>
        <v/>
      </c>
    </row>
    <row r="14817">
      <c r="A14817" t="inlineStr">
        <is>
          <t>4063528029553</t>
        </is>
      </c>
      <c r="B14817" t="inlineStr">
        <is>
          <t>Invisibobble Barrette Hair Clips Brown &amp; White</t>
        </is>
      </c>
      <c r="C14817" t="inlineStr">
        <is>
          <t>Hair Clips &amp; Hair Clamps</t>
        </is>
      </c>
      <c r="D14817" t="inlineStr">
        <is>
          <t>Invisibobble</t>
        </is>
      </c>
      <c r="E14817" t="n">
        <v>5.71</v>
      </c>
      <c r="F14817" t="n">
        <v>1</v>
      </c>
      <c r="G14817" t="n">
        <v>3</v>
      </c>
      <c r="H14817" s="5">
        <f>HYPERLINK("https://api.qogita.com/variants/link/4063528029553/", "View Product")</f>
        <v/>
      </c>
    </row>
    <row r="14818">
      <c r="A14818" t="inlineStr">
        <is>
          <t>4063528049124</t>
        </is>
      </c>
      <c r="B14818" t="inlineStr">
        <is>
          <t>Make-Up Removing Balm Magic Clean se (Make-Up Removing Balm) 50 g</t>
        </is>
      </c>
      <c r="C14818" t="inlineStr">
        <is>
          <t>Makeup Remover</t>
        </is>
      </c>
      <c r="D14818" t="inlineStr">
        <is>
          <t>Foamie</t>
        </is>
      </c>
      <c r="E14818" t="n">
        <v>8.710000000000001</v>
      </c>
      <c r="F14818" t="n">
        <v>1</v>
      </c>
      <c r="G14818" t="n">
        <v>7</v>
      </c>
      <c r="H14818" s="5">
        <f>HYPERLINK("https://api.qogita.com/variants/link/4063528049124/", "View Product")</f>
        <v/>
      </c>
    </row>
    <row r="14819">
      <c r="A14819" t="inlineStr">
        <is>
          <t>4063528056856</t>
        </is>
      </c>
      <c r="B14819" t="inlineStr">
        <is>
          <t>Natucain Sprunchie Hair Band Stylish And Comfortable Hair Accessory</t>
        </is>
      </c>
      <c r="C14819" t="inlineStr">
        <is>
          <t>Headbands</t>
        </is>
      </c>
      <c r="D14819" t="inlineStr">
        <is>
          <t>Invisibobble</t>
        </is>
      </c>
      <c r="E14819" t="n">
        <v>8.529999999999999</v>
      </c>
      <c r="F14819" t="n">
        <v>1</v>
      </c>
      <c r="G14819" t="n">
        <v>4</v>
      </c>
      <c r="H14819" s="5">
        <f>HYPERLINK("https://api.qogita.com/variants/link/4063528056856/", "View Product")</f>
        <v/>
      </c>
    </row>
    <row r="14820">
      <c r="A14820" t="inlineStr">
        <is>
          <t>4063528057945</t>
        </is>
      </c>
      <c r="B14820" t="inlineStr">
        <is>
          <t>Invisibobble Sprunchie Alegria Chant Get Enough Hair Band 2 Pieces</t>
        </is>
      </c>
      <c r="C14820" t="inlineStr">
        <is>
          <t>Hair Elastics</t>
        </is>
      </c>
      <c r="D14820" t="inlineStr">
        <is>
          <t>Invisibobble</t>
        </is>
      </c>
      <c r="E14820" t="n">
        <v>8.51</v>
      </c>
      <c r="F14820" t="n">
        <v>1</v>
      </c>
      <c r="G14820" t="n">
        <v>8</v>
      </c>
      <c r="H14820" s="5">
        <f>HYPERLINK("https://api.qogita.com/variants/link/4063528057945/", "View Product")</f>
        <v/>
      </c>
    </row>
    <row r="14821">
      <c r="A14821" t="inlineStr">
        <is>
          <t>4063528058263</t>
        </is>
      </c>
      <c r="B14821" t="inlineStr">
        <is>
          <t>Invisibobble Black Scrunchie Power Black Panther Hair Ties Strong Hold for Sports Gray Black Scrunchies Designed in the Heart of Munich</t>
        </is>
      </c>
      <c r="C14821" t="inlineStr">
        <is>
          <t>Hair Elastics</t>
        </is>
      </c>
      <c r="D14821" t="inlineStr">
        <is>
          <t>Invisibobble</t>
        </is>
      </c>
      <c r="E14821" t="n">
        <v>6.96</v>
      </c>
      <c r="F14821" t="n">
        <v>1</v>
      </c>
      <c r="G14821" t="n">
        <v>6</v>
      </c>
      <c r="H14821" s="5">
        <f>HYPERLINK("https://api.qogita.com/variants/link/4063528058263/", "View Product")</f>
        <v/>
      </c>
    </row>
    <row r="14822">
      <c r="A14822" t="inlineStr">
        <is>
          <t>4063528058430</t>
        </is>
      </c>
      <c r="B14822" t="inlineStr">
        <is>
          <t>Invisibobble Hair Ties with Spiral Binding, Multicolored, Reflective, Power X6 - Hair Ties for Sports, Extra Strong, Colorful Hair Ties, Thick Hair</t>
        </is>
      </c>
      <c r="C14822" t="inlineStr">
        <is>
          <t>Hair Elastics</t>
        </is>
      </c>
      <c r="D14822" t="inlineStr">
        <is>
          <t>Invisibobble</t>
        </is>
      </c>
      <c r="E14822" t="n">
        <v>8.51</v>
      </c>
      <c r="F14822" t="n">
        <v>1</v>
      </c>
      <c r="G14822" t="n">
        <v>32</v>
      </c>
      <c r="H14822" s="5">
        <f>HYPERLINK("https://api.qogita.com/variants/link/4063528058430/", "View Product")</f>
        <v/>
      </c>
    </row>
    <row r="14823">
      <c r="A14823" t="inlineStr">
        <is>
          <t>4063528059802</t>
        </is>
      </c>
      <c r="B14823" t="inlineStr">
        <is>
          <t>Invisibobble Power True Black Hair Band 3 Pieces</t>
        </is>
      </c>
      <c r="C14823" t="inlineStr">
        <is>
          <t>Hair Elastics</t>
        </is>
      </c>
      <c r="D14823" t="inlineStr">
        <is>
          <t>Invisibobble</t>
        </is>
      </c>
      <c r="E14823" t="n">
        <v>5.23</v>
      </c>
      <c r="F14823" t="n">
        <v>1</v>
      </c>
      <c r="G14823" t="n">
        <v>8</v>
      </c>
      <c r="H14823" s="5">
        <f>HYPERLINK("https://api.qogita.com/variants/link/4063528059802/", "View Product")</f>
        <v/>
      </c>
    </row>
    <row r="14824">
      <c r="A14824" t="inlineStr">
        <is>
          <t>4063528061270</t>
        </is>
      </c>
      <c r="B14824" t="inlineStr">
        <is>
          <t>Invisibobble Sprunchie Slim The Snuggle Is Real 2 Pcs Hair Elastics</t>
        </is>
      </c>
      <c r="C14824" t="inlineStr">
        <is>
          <t>Hair Elastics</t>
        </is>
      </c>
      <c r="D14824" t="inlineStr">
        <is>
          <t>Invisibobble</t>
        </is>
      </c>
      <c r="E14824" t="n">
        <v>8.51</v>
      </c>
      <c r="F14824" t="n">
        <v>1</v>
      </c>
      <c r="G14824" t="n">
        <v>11</v>
      </c>
      <c r="H14824" s="5">
        <f>HYPERLINK("https://api.qogita.com/variants/link/4063528061270/", "View Product")</f>
        <v/>
      </c>
    </row>
    <row r="14825">
      <c r="A14825" t="inlineStr">
        <is>
          <t>4063528063274</t>
        </is>
      </c>
      <c r="B14825" t="inlineStr">
        <is>
          <t>Invisibobble Black &amp; Leo Scrunchie The Iconic Beauties Hair Bobbles Strong Hold for Girls &amp; Women Velvet Black Leopard Print Designed in the Heart of Munich Black/Leo 2023</t>
        </is>
      </c>
      <c r="C14825" t="inlineStr">
        <is>
          <t>Hair Elastics</t>
        </is>
      </c>
      <c r="D14825" t="inlineStr">
        <is>
          <t>Invisibobble</t>
        </is>
      </c>
      <c r="E14825" t="n">
        <v>8.51</v>
      </c>
      <c r="F14825" t="n">
        <v>1</v>
      </c>
      <c r="G14825" t="n">
        <v>11</v>
      </c>
      <c r="H14825" s="5">
        <f>HYPERLINK("https://api.qogita.com/variants/link/4063528063274/", "View Product")</f>
        <v/>
      </c>
    </row>
    <row r="14826">
      <c r="A14826" t="inlineStr">
        <is>
          <t>4063528063687</t>
        </is>
      </c>
      <c r="B14826" t="inlineStr">
        <is>
          <t>Invisibobble LOOP Be Gentle Hair Ties 3 Pack - Designed for Fine Thin Hair Types - Strong Hold All Day Long - Slick Back Ponytail Hairstyle - Updo Accessory From Day to Night - Less Damage Less Marks</t>
        </is>
      </c>
      <c r="C14826" t="inlineStr">
        <is>
          <t>Hair Elastics</t>
        </is>
      </c>
      <c r="D14826" t="inlineStr">
        <is>
          <t>Invisibobble</t>
        </is>
      </c>
      <c r="E14826" t="n">
        <v>7.7</v>
      </c>
      <c r="F14826" t="n">
        <v>1</v>
      </c>
      <c r="G14826" t="n">
        <v>5</v>
      </c>
      <c r="H14826" s="5">
        <f>HYPERLINK("https://api.qogita.com/variants/link/4063528063687/", "View Product")</f>
        <v/>
      </c>
    </row>
    <row r="14827">
      <c r="A14827" t="inlineStr">
        <is>
          <t>4063528066985</t>
        </is>
      </c>
      <c r="B14827" t="inlineStr">
        <is>
          <t>Original Premium Pretzel Brown Hair Band 3 pieces</t>
        </is>
      </c>
      <c r="C14827" t="inlineStr">
        <is>
          <t>Headbands</t>
        </is>
      </c>
      <c r="D14827" t="inlineStr">
        <is>
          <t>Invisibobble</t>
        </is>
      </c>
      <c r="E14827" t="n">
        <v>5.71</v>
      </c>
      <c r="F14827" t="n">
        <v>1</v>
      </c>
      <c r="G14827" t="n">
        <v>5</v>
      </c>
      <c r="H14827" s="5">
        <f>HYPERLINK("https://api.qogita.com/variants/link/4063528066985/", "View Product")</f>
        <v/>
      </c>
    </row>
    <row r="14828">
      <c r="A14828" t="inlineStr">
        <is>
          <t>4063528067012</t>
        </is>
      </c>
      <c r="B14828" t="inlineStr">
        <is>
          <t>Original Premium Bronze Hair Band Set of 3, Pretty</t>
        </is>
      </c>
      <c r="C14828" t="inlineStr">
        <is>
          <t>Hair Elastics</t>
        </is>
      </c>
      <c r="D14828" t="inlineStr">
        <is>
          <t>Invisibobble</t>
        </is>
      </c>
      <c r="E14828" t="n">
        <v>5.71</v>
      </c>
      <c r="F14828" t="n">
        <v>1</v>
      </c>
      <c r="G14828" t="n">
        <v>5</v>
      </c>
      <c r="H14828" s="5">
        <f>HYPERLINK("https://api.qogita.com/variants/link/4063528067012/", "View Product")</f>
        <v/>
      </c>
    </row>
    <row r="14829">
      <c r="A14829" t="inlineStr">
        <is>
          <t>4063528067043</t>
        </is>
      </c>
      <c r="B14829" t="inlineStr">
        <is>
          <t>Invisibobble Slim Premium Crystal Clear Hair Band 3 Pieces</t>
        </is>
      </c>
      <c r="C14829" t="inlineStr">
        <is>
          <t>Hair Elastics</t>
        </is>
      </c>
      <c r="D14829" t="inlineStr">
        <is>
          <t>Invisibobble</t>
        </is>
      </c>
      <c r="E14829" t="n">
        <v>5.71</v>
      </c>
      <c r="F14829" t="n">
        <v>1</v>
      </c>
      <c r="G14829" t="n">
        <v>2</v>
      </c>
      <c r="H14829" s="5">
        <f>HYPERLINK("https://api.qogita.com/variants/link/4063528067043/", "View Product")</f>
        <v/>
      </c>
    </row>
    <row r="14830">
      <c r="A14830" t="inlineStr">
        <is>
          <t>4063528067135</t>
        </is>
      </c>
      <c r="B14830" t="inlineStr">
        <is>
          <t>Invisibobble Sprunchie Slim Premium Creme De Caramel Hair Band 2 Pieces</t>
        </is>
      </c>
      <c r="C14830" t="inlineStr">
        <is>
          <t>Hair Elastics</t>
        </is>
      </c>
      <c r="D14830" t="inlineStr">
        <is>
          <t>Invisibobble</t>
        </is>
      </c>
      <c r="E14830" t="n">
        <v>10.2</v>
      </c>
      <c r="F14830" t="n">
        <v>1</v>
      </c>
      <c r="G14830" t="n">
        <v>5</v>
      </c>
      <c r="H14830" s="5">
        <f>HYPERLINK("https://api.qogita.com/variants/link/4063528067135/", "View Product")</f>
        <v/>
      </c>
    </row>
    <row r="14831">
      <c r="A14831" t="inlineStr">
        <is>
          <t>4063528069795</t>
        </is>
      </c>
      <c r="B14831" t="inlineStr">
        <is>
          <t>Invisibobble Classic Beauty Set</t>
        </is>
      </c>
      <c r="C14831" t="inlineStr">
        <is>
          <t>Hair Elastics</t>
        </is>
      </c>
      <c r="D14831" t="inlineStr">
        <is>
          <t>Invisibobble</t>
        </is>
      </c>
      <c r="E14831" t="n">
        <v>12.26</v>
      </c>
      <c r="F14831" t="n">
        <v>1</v>
      </c>
      <c r="G14831" t="n">
        <v>6</v>
      </c>
      <c r="H14831" s="5">
        <f>HYPERLINK("https://api.qogita.com/variants/link/4063528069795/", "View Product")</f>
        <v/>
      </c>
    </row>
    <row r="14832">
      <c r="A14832" t="inlineStr">
        <is>
          <t>4063528072443</t>
        </is>
      </c>
      <c r="B14832" t="inlineStr">
        <is>
          <t>Invisibobble Rubber Band Sprunchie Slim Hairiffic 2 Pieces</t>
        </is>
      </c>
      <c r="C14832" t="inlineStr">
        <is>
          <t>Hair Elastics</t>
        </is>
      </c>
      <c r="D14832" t="inlineStr">
        <is>
          <t>Invisibobble</t>
        </is>
      </c>
      <c r="E14832" t="n">
        <v>8.18</v>
      </c>
      <c r="F14832" t="n">
        <v>1</v>
      </c>
      <c r="G14832" t="n">
        <v>7</v>
      </c>
      <c r="H14832" s="5">
        <f>HYPERLINK("https://api.qogita.com/variants/link/4063528072443/", "View Product")</f>
        <v/>
      </c>
    </row>
    <row r="14833">
      <c r="A14833" t="inlineStr">
        <is>
          <t>4063528072634</t>
        </is>
      </c>
      <c r="B14833" t="inlineStr">
        <is>
          <t>Invisibobble Clipstar Petit Bijoux Hair Clip 4 Pieces</t>
        </is>
      </c>
      <c r="C14833" t="inlineStr">
        <is>
          <t>Hair Clips &amp; Hair Clamps</t>
        </is>
      </c>
      <c r="D14833" t="inlineStr">
        <is>
          <t>Invisibobble</t>
        </is>
      </c>
      <c r="E14833" t="n">
        <v>7.6</v>
      </c>
      <c r="F14833" t="n">
        <v>1</v>
      </c>
      <c r="G14833" t="n">
        <v>2</v>
      </c>
      <c r="H14833" s="5">
        <f>HYPERLINK("https://api.qogita.com/variants/link/4063528072634/", "View Product")</f>
        <v/>
      </c>
    </row>
    <row r="14834">
      <c r="A14834" t="inlineStr">
        <is>
          <t>4063528078254</t>
        </is>
      </c>
      <c r="B14834" t="inlineStr">
        <is>
          <t>NEQI Repair Reveal Mask Repairs Deep Hair Damage Sulfate-Free Professional Care at Home 250ml</t>
        </is>
      </c>
      <c r="C14834" t="inlineStr">
        <is>
          <t>Hair Masks</t>
        </is>
      </c>
      <c r="D14834" t="inlineStr">
        <is>
          <t>Neqi</t>
        </is>
      </c>
      <c r="E14834" t="n">
        <v>8.710000000000001</v>
      </c>
      <c r="F14834" t="n">
        <v>1</v>
      </c>
      <c r="G14834" t="n">
        <v>5</v>
      </c>
      <c r="H14834" s="5">
        <f>HYPERLINK("https://api.qogita.com/variants/link/4063528078254/", "View Product")</f>
        <v/>
      </c>
    </row>
    <row r="14835">
      <c r="A14835" t="inlineStr">
        <is>
          <t>4063528078346</t>
        </is>
      </c>
      <c r="B14835" t="inlineStr">
        <is>
          <t>NEQI Moisture Mystery Leave-in Cream Deep Care Weightless for Damaged Hair Repairs and Protects 200ml</t>
        </is>
      </c>
      <c r="C14835" t="inlineStr">
        <is>
          <t>Leave-In Conditioner</t>
        </is>
      </c>
      <c r="D14835" t="inlineStr">
        <is>
          <t>Neqi</t>
        </is>
      </c>
      <c r="E14835" t="n">
        <v>8.710000000000001</v>
      </c>
      <c r="F14835" t="n">
        <v>1</v>
      </c>
      <c r="G14835" t="n">
        <v>23</v>
      </c>
      <c r="H14835" s="5">
        <f>HYPERLINK("https://api.qogita.com/variants/link/4063528078346/", "View Product")</f>
        <v/>
      </c>
    </row>
    <row r="14836">
      <c r="A14836" t="inlineStr">
        <is>
          <t>4063528078377</t>
        </is>
      </c>
      <c r="B14836" t="inlineStr">
        <is>
          <t>Neqi Volume Victory Shampoo</t>
        </is>
      </c>
      <c r="C14836" t="inlineStr">
        <is>
          <t>Shampoo</t>
        </is>
      </c>
      <c r="D14836" t="inlineStr">
        <is>
          <t>Neqi</t>
        </is>
      </c>
      <c r="E14836" t="n">
        <v>8.710000000000001</v>
      </c>
      <c r="F14836" t="n">
        <v>1</v>
      </c>
      <c r="G14836" t="n">
        <v>6</v>
      </c>
      <c r="H14836" s="5">
        <f>HYPERLINK("https://api.qogita.com/variants/link/4063528078377/", "View Product")</f>
        <v/>
      </c>
    </row>
    <row r="14837">
      <c r="A14837" t="inlineStr">
        <is>
          <t>4063528078407</t>
        </is>
      </c>
      <c r="B14837" t="inlineStr">
        <is>
          <t>Neqi Volume Victory Conditioner</t>
        </is>
      </c>
      <c r="C14837" t="inlineStr">
        <is>
          <t>Conditioner</t>
        </is>
      </c>
      <c r="D14837" t="inlineStr">
        <is>
          <t>Neqi</t>
        </is>
      </c>
      <c r="E14837" t="n">
        <v>8.710000000000001</v>
      </c>
      <c r="F14837" t="n">
        <v>1</v>
      </c>
      <c r="G14837" t="n">
        <v>11</v>
      </c>
      <c r="H14837" s="5">
        <f>HYPERLINK("https://api.qogita.com/variants/link/4063528078407/", "View Product")</f>
        <v/>
      </c>
    </row>
    <row r="14838">
      <c r="A14838" t="inlineStr">
        <is>
          <t>4063528079428</t>
        </is>
      </c>
      <c r="B14838" t="inlineStr">
        <is>
          <t>Invisibobble Everclaw - Leo Baby Hair Tie</t>
        </is>
      </c>
      <c r="C14838" t="inlineStr">
        <is>
          <t>Hair Elastics</t>
        </is>
      </c>
      <c r="D14838" t="inlineStr">
        <is>
          <t>Invisibobble</t>
        </is>
      </c>
      <c r="E14838" t="n">
        <v>5.71</v>
      </c>
      <c r="F14838" t="n">
        <v>1</v>
      </c>
      <c r="G14838" t="n">
        <v>4</v>
      </c>
      <c r="H14838" s="5">
        <f>HYPERLINK("https://api.qogita.com/variants/link/4063528079428/", "View Product")</f>
        <v/>
      </c>
    </row>
    <row r="14839">
      <c r="A14839" t="inlineStr">
        <is>
          <t>4063528079527</t>
        </is>
      </c>
      <c r="B14839" t="inlineStr">
        <is>
          <t>Invisibobble Shower Cap Set Luxewrap Leo - Stylish And Functional Hair Protection</t>
        </is>
      </c>
      <c r="C14839" t="inlineStr">
        <is>
          <t>Hair Elastics</t>
        </is>
      </c>
      <c r="D14839" t="inlineStr">
        <is>
          <t>Invisibobble</t>
        </is>
      </c>
      <c r="E14839" t="n">
        <v>11.56</v>
      </c>
      <c r="F14839" t="n">
        <v>1</v>
      </c>
      <c r="G14839" t="n">
        <v>8</v>
      </c>
      <c r="H14839" s="5">
        <f>HYPERLINK("https://api.qogita.com/variants/link/4063528079527/", "View Product")</f>
        <v/>
      </c>
    </row>
    <row r="14840">
      <c r="A14840" t="inlineStr">
        <is>
          <t>4063528082800</t>
        </is>
      </c>
      <c r="B14840" t="inlineStr">
        <is>
          <t>Invisibobble Hair Clips Clipstar Glow Happy Heart - 2 Pieces</t>
        </is>
      </c>
      <c r="C14840" t="inlineStr">
        <is>
          <t>Hair Clips &amp; Hair Clamps</t>
        </is>
      </c>
      <c r="D14840" t="inlineStr">
        <is>
          <t>Invisibobble</t>
        </is>
      </c>
      <c r="E14840" t="n">
        <v>3.2</v>
      </c>
      <c r="F14840" t="n">
        <v>1</v>
      </c>
      <c r="G14840" t="n">
        <v>14</v>
      </c>
      <c r="H14840" s="5">
        <f>HYPERLINK("https://api.qogita.com/variants/link/4063528082800/", "View Product")</f>
        <v/>
      </c>
    </row>
    <row r="14841">
      <c r="A14841" t="inlineStr">
        <is>
          <t>4063528082831</t>
        </is>
      </c>
      <c r="B14841" t="inlineStr">
        <is>
          <t>Invisibobble Hair Clips Clipstar Frutti Fun - 4 Pieces</t>
        </is>
      </c>
      <c r="C14841" t="inlineStr">
        <is>
          <t>Hair Clips &amp; Hair Clamps</t>
        </is>
      </c>
      <c r="D14841" t="inlineStr">
        <is>
          <t>Invisibobble</t>
        </is>
      </c>
      <c r="E14841" t="n">
        <v>4.54</v>
      </c>
      <c r="F14841" t="n">
        <v>1</v>
      </c>
      <c r="G14841" t="n">
        <v>16</v>
      </c>
      <c r="H14841" s="5">
        <f>HYPERLINK("https://api.qogita.com/variants/link/4063528082831/", "View Product")</f>
        <v/>
      </c>
    </row>
    <row r="14842">
      <c r="A14842" t="inlineStr">
        <is>
          <t>4063528082893</t>
        </is>
      </c>
      <c r="B14842" t="inlineStr">
        <is>
          <t>Invisibobble Clipstar Glow Frutti Strawberry Hair Clips - 2 Pieces</t>
        </is>
      </c>
      <c r="C14842" t="inlineStr">
        <is>
          <t>Hair Clips &amp; Hair Clamps</t>
        </is>
      </c>
      <c r="D14842" t="inlineStr">
        <is>
          <t>Invisibobble</t>
        </is>
      </c>
      <c r="E14842" t="n">
        <v>3.86</v>
      </c>
      <c r="F14842" t="n">
        <v>1</v>
      </c>
      <c r="G14842" t="n">
        <v>18</v>
      </c>
      <c r="H14842" s="5">
        <f>HYPERLINK("https://api.qogita.com/variants/link/4063528082893/", "View Product")</f>
        <v/>
      </c>
    </row>
    <row r="14843">
      <c r="A14843" t="inlineStr">
        <is>
          <t>4063528084002</t>
        </is>
      </c>
      <c r="B14843" t="inlineStr">
        <is>
          <t>Invisibobble Clipstar M Oasis Refreshed Bloom 2 Piece Hair Clip Set</t>
        </is>
      </c>
      <c r="C14843" t="inlineStr">
        <is>
          <t>Hair Clips &amp; Hair Clamps</t>
        </is>
      </c>
      <c r="D14843" t="inlineStr">
        <is>
          <t>Invisibobble</t>
        </is>
      </c>
      <c r="E14843" t="n">
        <v>10.16</v>
      </c>
      <c r="F14843" t="n">
        <v>1</v>
      </c>
      <c r="G14843" t="n">
        <v>5</v>
      </c>
      <c r="H14843" s="5">
        <f>HYPERLINK("https://api.qogita.com/variants/link/4063528084002/", "View Product")</f>
        <v/>
      </c>
    </row>
    <row r="14844">
      <c r="A14844" t="inlineStr">
        <is>
          <t>4063528086358</t>
        </is>
      </c>
      <c r="B14844" t="inlineStr">
        <is>
          <t>Neqi The Blossom Hair Perfume - 75 Ml</t>
        </is>
      </c>
      <c r="C14844" t="inlineStr">
        <is>
          <t>Eau De Parfum</t>
        </is>
      </c>
      <c r="D14844" t="inlineStr">
        <is>
          <t>Neqi</t>
        </is>
      </c>
      <c r="E14844" t="n">
        <v>8.710000000000001</v>
      </c>
      <c r="F14844" t="n">
        <v>1</v>
      </c>
      <c r="G14844" t="n">
        <v>9</v>
      </c>
      <c r="H14844" s="5">
        <f>HYPERLINK("https://api.qogita.com/variants/link/4063528086358/", "View Product")</f>
        <v/>
      </c>
    </row>
    <row r="14845">
      <c r="A14845" t="inlineStr">
        <is>
          <t>4063528087171</t>
        </is>
      </c>
      <c r="B14845" t="inlineStr">
        <is>
          <t>Invisibobble Clipstar Cacao Cream Hair Clip Large Hair Claw</t>
        </is>
      </c>
      <c r="C14845" t="inlineStr">
        <is>
          <t>Hair Clips &amp; Hair Clamps</t>
        </is>
      </c>
      <c r="D14845" t="inlineStr">
        <is>
          <t>Invisibobble</t>
        </is>
      </c>
      <c r="E14845" t="n">
        <v>7.6</v>
      </c>
      <c r="F14845" t="n">
        <v>1</v>
      </c>
      <c r="G14845" t="n">
        <v>5</v>
      </c>
      <c r="H14845" s="5">
        <f>HYPERLINK("https://api.qogita.com/variants/link/4063528087171/", "View Product")</f>
        <v/>
      </c>
    </row>
    <row r="14846">
      <c r="A14846" t="inlineStr">
        <is>
          <t>4064665019612</t>
        </is>
      </c>
      <c r="B14846" t="inlineStr">
        <is>
          <t>Opi Nature Strong Nail Polish Strong As Shell 15ml</t>
        </is>
      </c>
      <c r="C14846" t="inlineStr">
        <is>
          <t>Nail Polish</t>
        </is>
      </c>
      <c r="D14846" t="inlineStr">
        <is>
          <t>OPI</t>
        </is>
      </c>
      <c r="E14846" t="n">
        <v>11.24</v>
      </c>
      <c r="F14846" t="n">
        <v>1</v>
      </c>
      <c r="G14846" t="n">
        <v>3</v>
      </c>
      <c r="H14846" s="5">
        <f>HYPERLINK("https://api.qogita.com/variants/link/4064665019612/", "View Product")</f>
        <v/>
      </c>
    </row>
    <row r="14847">
      <c r="A14847" t="inlineStr">
        <is>
          <t>4064665019674</t>
        </is>
      </c>
      <c r="B14847" t="inlineStr">
        <is>
          <t>Opi Nature Strong Nail Polish We Canyon Do Better 15 Ml</t>
        </is>
      </c>
      <c r="C14847" t="inlineStr">
        <is>
          <t>Nail Polish</t>
        </is>
      </c>
      <c r="D14847" t="inlineStr">
        <is>
          <t>OPI</t>
        </is>
      </c>
      <c r="E14847" t="n">
        <v>11.24</v>
      </c>
      <c r="F14847" t="n">
        <v>1</v>
      </c>
      <c r="G14847" t="n">
        <v>5</v>
      </c>
      <c r="H14847" s="5">
        <f>HYPERLINK("https://api.qogita.com/variants/link/4064665019674/", "View Product")</f>
        <v/>
      </c>
    </row>
    <row r="14848">
      <c r="A14848" t="inlineStr">
        <is>
          <t>4064665019711</t>
        </is>
      </c>
      <c r="B14848" t="inlineStr">
        <is>
          <t>Opi Nature Strong Nail Polish Thistle Make You Bloom 15 Ml</t>
        </is>
      </c>
      <c r="C14848" t="inlineStr">
        <is>
          <t>Nail Polish</t>
        </is>
      </c>
      <c r="D14848" t="inlineStr">
        <is>
          <t>OPI</t>
        </is>
      </c>
      <c r="E14848" t="n">
        <v>10</v>
      </c>
      <c r="F14848" t="n">
        <v>1</v>
      </c>
      <c r="G14848" t="n">
        <v>3</v>
      </c>
      <c r="H14848" s="5">
        <f>HYPERLINK("https://api.qogita.com/variants/link/4064665019711/", "View Product")</f>
        <v/>
      </c>
    </row>
    <row r="14849">
      <c r="A14849" t="inlineStr">
        <is>
          <t>4064665019780</t>
        </is>
      </c>
      <c r="B14849" t="inlineStr">
        <is>
          <t>Opi Nature Strong Give A Garnet Nail Polish 15ml</t>
        </is>
      </c>
      <c r="C14849" t="inlineStr">
        <is>
          <t>Nail Polish</t>
        </is>
      </c>
      <c r="D14849" t="inlineStr">
        <is>
          <t>OPI</t>
        </is>
      </c>
      <c r="E14849" t="n">
        <v>9.720000000000001</v>
      </c>
      <c r="F14849" t="n">
        <v>1</v>
      </c>
      <c r="G14849" t="n">
        <v>2</v>
      </c>
      <c r="H14849" s="5">
        <f>HYPERLINK("https://api.qogita.com/variants/link/4064665019780/", "View Product")</f>
        <v/>
      </c>
    </row>
    <row r="14850">
      <c r="A14850" t="inlineStr">
        <is>
          <t>4064665019827</t>
        </is>
      </c>
      <c r="B14850" t="inlineStr">
        <is>
          <t>Opi Nature Strong Nail Polish Achieve Grapeness 15 Ml</t>
        </is>
      </c>
      <c r="C14850" t="inlineStr">
        <is>
          <t>Nail Polish</t>
        </is>
      </c>
      <c r="D14850" t="inlineStr">
        <is>
          <t>OPI</t>
        </is>
      </c>
      <c r="E14850" t="n">
        <v>9.82</v>
      </c>
      <c r="F14850" t="n">
        <v>1</v>
      </c>
      <c r="G14850" t="n">
        <v>4</v>
      </c>
      <c r="H14850" s="5">
        <f>HYPERLINK("https://api.qogita.com/variants/link/4064665019827/", "View Product")</f>
        <v/>
      </c>
    </row>
    <row r="14851">
      <c r="A14851" t="inlineStr">
        <is>
          <t>4064665019889</t>
        </is>
      </c>
      <c r="B14851" t="inlineStr">
        <is>
          <t>Opi Nature Strong Dawn Of A New Gray Nail Polish 15ml</t>
        </is>
      </c>
      <c r="C14851" t="inlineStr">
        <is>
          <t>Nail Polish</t>
        </is>
      </c>
      <c r="D14851" t="inlineStr">
        <is>
          <t>OPI</t>
        </is>
      </c>
      <c r="E14851" t="n">
        <v>11.24</v>
      </c>
      <c r="F14851" t="n">
        <v>1</v>
      </c>
      <c r="G14851" t="n">
        <v>4</v>
      </c>
      <c r="H14851" s="5">
        <f>HYPERLINK("https://api.qogita.com/variants/link/4064665019889/", "View Product")</f>
        <v/>
      </c>
    </row>
    <row r="14852">
      <c r="A14852" t="inlineStr">
        <is>
          <t>4064665093193</t>
        </is>
      </c>
      <c r="B14852" t="inlineStr">
        <is>
          <t>Opi Kind Of A Twig Deal Nail Polish 15ml</t>
        </is>
      </c>
      <c r="C14852" t="inlineStr">
        <is>
          <t>Nail Polish</t>
        </is>
      </c>
      <c r="D14852" t="inlineStr">
        <is>
          <t>OPI</t>
        </is>
      </c>
      <c r="E14852" t="n">
        <v>9.82</v>
      </c>
      <c r="F14852" t="n">
        <v>1</v>
      </c>
      <c r="G14852" t="n">
        <v>3</v>
      </c>
      <c r="H14852" s="5">
        <f>HYPERLINK("https://api.qogita.com/variants/link/4064665093193/", "View Product")</f>
        <v/>
      </c>
    </row>
    <row r="14853">
      <c r="A14853" t="inlineStr">
        <is>
          <t>4064665093223</t>
        </is>
      </c>
      <c r="B14853" t="inlineStr">
        <is>
          <t>Opi Nature Strong Leaf By Example Nail Polish 15ml</t>
        </is>
      </c>
      <c r="C14853" t="inlineStr">
        <is>
          <t>Nail Polish</t>
        </is>
      </c>
      <c r="D14853" t="inlineStr">
        <is>
          <t>OPI</t>
        </is>
      </c>
      <c r="E14853" t="n">
        <v>9.82</v>
      </c>
      <c r="F14853" t="n">
        <v>1</v>
      </c>
      <c r="G14853" t="n">
        <v>4</v>
      </c>
      <c r="H14853" s="5">
        <f>HYPERLINK("https://api.qogita.com/variants/link/4064665093223/", "View Product")</f>
        <v/>
      </c>
    </row>
    <row r="14854">
      <c r="A14854" t="inlineStr">
        <is>
          <t>4064665105490</t>
        </is>
      </c>
      <c r="B14854" t="inlineStr">
        <is>
          <t>Opi Infinite Shine Gellike Lacquer 15 Ml</t>
        </is>
      </c>
      <c r="C14854" t="inlineStr">
        <is>
          <t>Nail Care Sets</t>
        </is>
      </c>
      <c r="D14854" t="inlineStr">
        <is>
          <t>OPI</t>
        </is>
      </c>
      <c r="E14854" t="n">
        <v>13.63</v>
      </c>
      <c r="F14854" t="n">
        <v>1</v>
      </c>
      <c r="G14854" t="n">
        <v>3</v>
      </c>
      <c r="H14854" s="5">
        <f>HYPERLINK("https://api.qogita.com/variants/link/4064665105490/", "View Product")</f>
        <v/>
      </c>
    </row>
    <row r="14855">
      <c r="A14855" t="inlineStr">
        <is>
          <t>4064665105513</t>
        </is>
      </c>
      <c r="B14855" t="inlineStr">
        <is>
          <t>OPI Infinite Shine Long-Wear Soft Crème Finish Opaque Gray Nail Polish 0.5 fl oz</t>
        </is>
      </c>
      <c r="C14855" t="inlineStr">
        <is>
          <t>Nail Polish</t>
        </is>
      </c>
      <c r="D14855" t="inlineStr">
        <is>
          <t>OPI</t>
        </is>
      </c>
      <c r="E14855" t="n">
        <v>11.13</v>
      </c>
      <c r="F14855" t="n">
        <v>1</v>
      </c>
      <c r="G14855" t="n">
        <v>3</v>
      </c>
      <c r="H14855" s="5">
        <f>HYPERLINK("https://api.qogita.com/variants/link/4064665105513/", "View Product")</f>
        <v/>
      </c>
    </row>
    <row r="14856">
      <c r="A14856" t="inlineStr">
        <is>
          <t>4064665105520</t>
        </is>
      </c>
      <c r="B14856" t="inlineStr">
        <is>
          <t>Opi Infinite Shine Gellike Lacquer Ready Sunset Glow 15 Ml</t>
        </is>
      </c>
      <c r="C14856" t="inlineStr">
        <is>
          <t>Nail Oil</t>
        </is>
      </c>
      <c r="D14856" t="inlineStr">
        <is>
          <t>OPI</t>
        </is>
      </c>
      <c r="E14856" t="n">
        <v>11.13</v>
      </c>
      <c r="F14856" t="n">
        <v>1</v>
      </c>
      <c r="G14856" t="n">
        <v>5</v>
      </c>
      <c r="H14856" s="5">
        <f>HYPERLINK("https://api.qogita.com/variants/link/4064665105520/", "View Product")</f>
        <v/>
      </c>
    </row>
    <row r="14857">
      <c r="A14857" t="inlineStr">
        <is>
          <t>4064665105636</t>
        </is>
      </c>
      <c r="B14857" t="inlineStr">
        <is>
          <t>OPI Infinite Shine Long-Wear Dark Crème Finish Opaque Purple Nail Polish 0.5 fl oz</t>
        </is>
      </c>
      <c r="C14857" t="inlineStr">
        <is>
          <t>Nail Polish</t>
        </is>
      </c>
      <c r="D14857" t="inlineStr">
        <is>
          <t>OPI</t>
        </is>
      </c>
      <c r="E14857" t="n">
        <v>11.13</v>
      </c>
      <c r="F14857" t="n">
        <v>1</v>
      </c>
      <c r="G14857" t="n">
        <v>5</v>
      </c>
      <c r="H14857" s="5">
        <f>HYPERLINK("https://api.qogita.com/variants/link/4064665105636/", "View Product")</f>
        <v/>
      </c>
    </row>
    <row r="14858">
      <c r="A14858" t="inlineStr">
        <is>
          <t>4064665105834</t>
        </is>
      </c>
      <c r="B14858" t="inlineStr">
        <is>
          <t>OPI Infinite Shine Long-Wear Bright Crème Finish Sheer Coral Nail Polish 0.5 fl oz</t>
        </is>
      </c>
      <c r="C14858" t="inlineStr">
        <is>
          <t>Nail Polish</t>
        </is>
      </c>
      <c r="D14858" t="inlineStr">
        <is>
          <t>OPI</t>
        </is>
      </c>
      <c r="E14858" t="n">
        <v>11.13</v>
      </c>
      <c r="F14858" t="n">
        <v>1</v>
      </c>
      <c r="G14858" t="n">
        <v>5</v>
      </c>
      <c r="H14858" s="5">
        <f>HYPERLINK("https://api.qogita.com/variants/link/4064665105834/", "View Product")</f>
        <v/>
      </c>
    </row>
    <row r="14859">
      <c r="A14859" t="inlineStr">
        <is>
          <t>4064665105971</t>
        </is>
      </c>
      <c r="B14859" t="inlineStr">
        <is>
          <t>Opi Nail Lacquer Nail Polish Gliterally Shimmer 15 Ml</t>
        </is>
      </c>
      <c r="C14859" t="inlineStr">
        <is>
          <t>Nail Polish</t>
        </is>
      </c>
      <c r="D14859" t="inlineStr">
        <is>
          <t>OPI</t>
        </is>
      </c>
      <c r="E14859" t="n">
        <v>9.380000000000001</v>
      </c>
      <c r="F14859" t="n">
        <v>1</v>
      </c>
      <c r="G14859" t="n">
        <v>4</v>
      </c>
      <c r="H14859" s="5">
        <f>HYPERLINK("https://api.qogita.com/variants/link/4064665105971/", "View Product")</f>
        <v/>
      </c>
    </row>
    <row r="14860">
      <c r="A14860" t="inlineStr">
        <is>
          <t>4064665105988</t>
        </is>
      </c>
      <c r="B14860" t="inlineStr">
        <is>
          <t>Opi Nail Lacquer Opi Your Way Buttafly 15 Ml</t>
        </is>
      </c>
      <c r="C14860" t="inlineStr">
        <is>
          <t>Nail Polish</t>
        </is>
      </c>
      <c r="D14860" t="inlineStr">
        <is>
          <t>OPI</t>
        </is>
      </c>
      <c r="E14860" t="n">
        <v>9.380000000000001</v>
      </c>
      <c r="F14860" t="n">
        <v>1</v>
      </c>
      <c r="G14860" t="n">
        <v>5</v>
      </c>
      <c r="H14860" s="5">
        <f>HYPERLINK("https://api.qogita.com/variants/link/4064665105988/", "View Product")</f>
        <v/>
      </c>
    </row>
    <row r="14861">
      <c r="A14861" t="inlineStr">
        <is>
          <t>4064665106220</t>
        </is>
      </c>
      <c r="B14861" t="inlineStr">
        <is>
          <t>Opi Infinite Shine Basic Baddie Longwear Lacquer 15 Ml</t>
        </is>
      </c>
      <c r="C14861" t="inlineStr">
        <is>
          <t>Nail Oil</t>
        </is>
      </c>
      <c r="D14861" t="inlineStr">
        <is>
          <t>OPI</t>
        </is>
      </c>
      <c r="E14861" t="n">
        <v>10.79</v>
      </c>
      <c r="F14861" t="n">
        <v>1</v>
      </c>
      <c r="G14861" t="n">
        <v>3</v>
      </c>
      <c r="H14861" s="5">
        <f>HYPERLINK("https://api.qogita.com/variants/link/4064665106220/", "View Product")</f>
        <v/>
      </c>
    </row>
    <row r="14862">
      <c r="A14862" t="inlineStr">
        <is>
          <t>4064665114799</t>
        </is>
      </c>
      <c r="B14862" t="inlineStr">
        <is>
          <t>Opi Infinite Shine Gellike Lacquer 15 Ml In Malaga Wine</t>
        </is>
      </c>
      <c r="C14862" t="inlineStr">
        <is>
          <t>Nail Polish</t>
        </is>
      </c>
      <c r="D14862" t="inlineStr">
        <is>
          <t>OPI</t>
        </is>
      </c>
      <c r="E14862" t="n">
        <v>11.13</v>
      </c>
      <c r="F14862" t="n">
        <v>1</v>
      </c>
      <c r="G14862" t="n">
        <v>2</v>
      </c>
      <c r="H14862" s="5">
        <f>HYPERLINK("https://api.qogita.com/variants/link/4064665114799/", "View Product")</f>
        <v/>
      </c>
    </row>
    <row r="14863">
      <c r="A14863" t="inlineStr">
        <is>
          <t>4064665115369</t>
        </is>
      </c>
      <c r="B14863" t="inlineStr">
        <is>
          <t>Opi Gelcolor Gel Nail Polish 15 Ml</t>
        </is>
      </c>
      <c r="C14863" t="inlineStr">
        <is>
          <t>Gel Polish</t>
        </is>
      </c>
      <c r="D14863" t="inlineStr">
        <is>
          <t>OPI</t>
        </is>
      </c>
      <c r="E14863" t="n">
        <v>25.11</v>
      </c>
      <c r="F14863" t="n">
        <v>1</v>
      </c>
      <c r="G14863" t="n">
        <v>3</v>
      </c>
      <c r="H14863" s="5">
        <f>HYPERLINK("https://api.qogita.com/variants/link/4064665115369/", "View Product")</f>
        <v/>
      </c>
    </row>
    <row r="14864">
      <c r="A14864" t="inlineStr">
        <is>
          <t>4064665115406</t>
        </is>
      </c>
      <c r="B14864" t="inlineStr">
        <is>
          <t>Opi Gelcolor Nail Polish Up To 3 Weeks Wear Smudge Proof Cures In 30</t>
        </is>
      </c>
      <c r="C14864" t="inlineStr">
        <is>
          <t>Gel Polish</t>
        </is>
      </c>
      <c r="D14864" t="inlineStr">
        <is>
          <t>OPI</t>
        </is>
      </c>
      <c r="E14864" t="n">
        <v>25.11</v>
      </c>
      <c r="F14864" t="n">
        <v>1</v>
      </c>
      <c r="G14864" t="n">
        <v>2</v>
      </c>
      <c r="H14864" s="5">
        <f>HYPERLINK("https://api.qogita.com/variants/link/4064665115406/", "View Product")</f>
        <v/>
      </c>
    </row>
    <row r="14865">
      <c r="A14865" t="inlineStr">
        <is>
          <t>4064665115437</t>
        </is>
      </c>
      <c r="B14865" t="inlineStr">
        <is>
          <t>Opi Gelcolor Gel Nail Polish 15 Ml</t>
        </is>
      </c>
      <c r="C14865" t="inlineStr">
        <is>
          <t>Gel Polish</t>
        </is>
      </c>
      <c r="D14865" t="inlineStr">
        <is>
          <t>OPI</t>
        </is>
      </c>
      <c r="E14865" t="n">
        <v>25.11</v>
      </c>
      <c r="F14865" t="n">
        <v>1</v>
      </c>
      <c r="G14865" t="n">
        <v>3</v>
      </c>
      <c r="H14865" s="5">
        <f>HYPERLINK("https://api.qogita.com/variants/link/4064665115437/", "View Product")</f>
        <v/>
      </c>
    </row>
    <row r="14866">
      <c r="A14866" t="inlineStr">
        <is>
          <t>4064665115468</t>
        </is>
      </c>
      <c r="B14866" t="inlineStr">
        <is>
          <t>Opi Gelcolor Nail Polish Up To 3 Weeks Wear Smudge Proof Cures In 30</t>
        </is>
      </c>
      <c r="C14866" t="inlineStr">
        <is>
          <t>Gel Polish</t>
        </is>
      </c>
      <c r="D14866" t="inlineStr">
        <is>
          <t>OPI</t>
        </is>
      </c>
      <c r="E14866" t="n">
        <v>25.11</v>
      </c>
      <c r="F14866" t="n">
        <v>1</v>
      </c>
      <c r="G14866" t="n">
        <v>3</v>
      </c>
      <c r="H14866" s="5">
        <f>HYPERLINK("https://api.qogita.com/variants/link/4064665115468/", "View Product")</f>
        <v/>
      </c>
    </row>
    <row r="14867">
      <c r="A14867" t="inlineStr">
        <is>
          <t>4064665116755</t>
        </is>
      </c>
      <c r="B14867" t="inlineStr">
        <is>
          <t>OPI GelColor Gel Nail Polish Opaque Soft Blue Creme UV Cure</t>
        </is>
      </c>
      <c r="C14867" t="inlineStr">
        <is>
          <t>Gel Polish</t>
        </is>
      </c>
      <c r="D14867" t="inlineStr">
        <is>
          <t>OPI</t>
        </is>
      </c>
      <c r="E14867" t="n">
        <v>25.11</v>
      </c>
      <c r="F14867" t="n">
        <v>1</v>
      </c>
      <c r="G14867" t="n">
        <v>5</v>
      </c>
      <c r="H14867" s="5">
        <f>HYPERLINK("https://api.qogita.com/variants/link/4064665116755/", "View Product")</f>
        <v/>
      </c>
    </row>
    <row r="14868">
      <c r="A14868" t="inlineStr">
        <is>
          <t>4064665116779</t>
        </is>
      </c>
      <c r="B14868" t="inlineStr">
        <is>
          <t>Opi Gelcolor Gel Nail Polish 15 Ml</t>
        </is>
      </c>
      <c r="C14868" t="inlineStr">
        <is>
          <t>Gel Polish</t>
        </is>
      </c>
      <c r="D14868" t="inlineStr">
        <is>
          <t>OPI</t>
        </is>
      </c>
      <c r="E14868" t="n">
        <v>25.11</v>
      </c>
      <c r="F14868" t="n">
        <v>1</v>
      </c>
      <c r="G14868" t="n">
        <v>3</v>
      </c>
      <c r="H14868" s="5">
        <f>HYPERLINK("https://api.qogita.com/variants/link/4064665116779/", "View Product")</f>
        <v/>
      </c>
    </row>
    <row r="14869">
      <c r="A14869" t="inlineStr">
        <is>
          <t>4064665116816</t>
        </is>
      </c>
      <c r="B14869" t="inlineStr">
        <is>
          <t>Opi Gelcolor Gel Nail Polish 15 Ml</t>
        </is>
      </c>
      <c r="C14869" t="inlineStr">
        <is>
          <t>Gel Polish</t>
        </is>
      </c>
      <c r="D14869" t="inlineStr">
        <is>
          <t>OPI</t>
        </is>
      </c>
      <c r="E14869" t="n">
        <v>25.11</v>
      </c>
      <c r="F14869" t="n">
        <v>1</v>
      </c>
      <c r="G14869" t="n">
        <v>3</v>
      </c>
      <c r="H14869" s="5">
        <f>HYPERLINK("https://api.qogita.com/variants/link/4064665116816/", "View Product")</f>
        <v/>
      </c>
    </row>
    <row r="14870">
      <c r="A14870" t="inlineStr">
        <is>
          <t>4064665118681</t>
        </is>
      </c>
      <c r="B14870" t="inlineStr">
        <is>
          <t>Opi Gelcolor Gel Nail Polish 15 Ml</t>
        </is>
      </c>
      <c r="C14870" t="inlineStr">
        <is>
          <t>Gel Polish</t>
        </is>
      </c>
      <c r="D14870" t="inlineStr">
        <is>
          <t>OPI</t>
        </is>
      </c>
      <c r="E14870" t="n">
        <v>25.11</v>
      </c>
      <c r="F14870" t="n">
        <v>1</v>
      </c>
      <c r="G14870" t="n">
        <v>3</v>
      </c>
      <c r="H14870" s="5">
        <f>HYPERLINK("https://api.qogita.com/variants/link/4064665118681/", "View Product")</f>
        <v/>
      </c>
    </row>
    <row r="14871">
      <c r="A14871" t="inlineStr">
        <is>
          <t>4064665124606</t>
        </is>
      </c>
      <c r="B14871" t="inlineStr">
        <is>
          <t>OPI Infinite Shine Long-Wear Bright Crème Finish Opaque Pink Nail Polish 0.5 fl oz - Flamingo Your Own Way</t>
        </is>
      </c>
      <c r="C14871" t="inlineStr">
        <is>
          <t>Nail Polish</t>
        </is>
      </c>
      <c r="D14871" t="inlineStr">
        <is>
          <t>OPI</t>
        </is>
      </c>
      <c r="E14871" t="n">
        <v>11.13</v>
      </c>
      <c r="F14871" t="n">
        <v>1</v>
      </c>
      <c r="G14871" t="n">
        <v>4</v>
      </c>
      <c r="H14871" s="5">
        <f>HYPERLINK("https://api.qogita.com/variants/link/4064665124606/", "View Product")</f>
        <v/>
      </c>
    </row>
    <row r="14872">
      <c r="A14872" t="inlineStr">
        <is>
          <t>4064665124637</t>
        </is>
      </c>
      <c r="B14872" t="inlineStr">
        <is>
          <t>OPI Infinite Shine Long-Wear Soft Crème Finish Sheer Neutral Nail Polish 0.5 fl oz</t>
        </is>
      </c>
      <c r="C14872" t="inlineStr">
        <is>
          <t>Nail Polish</t>
        </is>
      </c>
      <c r="D14872" t="inlineStr">
        <is>
          <t>OPI</t>
        </is>
      </c>
      <c r="E14872" t="n">
        <v>11.13</v>
      </c>
      <c r="F14872" t="n">
        <v>1</v>
      </c>
      <c r="G14872" t="n">
        <v>5</v>
      </c>
      <c r="H14872" s="5">
        <f>HYPERLINK("https://api.qogita.com/variants/link/4064665124637/", "View Product")</f>
        <v/>
      </c>
    </row>
    <row r="14873">
      <c r="A14873" t="inlineStr">
        <is>
          <t>4064665124712</t>
        </is>
      </c>
      <c r="B14873" t="inlineStr">
        <is>
          <t>Opi Infinite Shine Gellike Lacquer 15 Ml</t>
        </is>
      </c>
      <c r="C14873" t="inlineStr">
        <is>
          <t>Nail Oil</t>
        </is>
      </c>
      <c r="D14873" t="inlineStr">
        <is>
          <t>OPI</t>
        </is>
      </c>
      <c r="E14873" t="n">
        <v>11.13</v>
      </c>
      <c r="F14873" t="n">
        <v>1</v>
      </c>
      <c r="G14873" t="n">
        <v>3</v>
      </c>
      <c r="H14873" s="5">
        <f>HYPERLINK("https://api.qogita.com/variants/link/4064665124712/", "View Product")</f>
        <v/>
      </c>
    </row>
    <row r="14874">
      <c r="A14874" t="inlineStr">
        <is>
          <t>4064665140644</t>
        </is>
      </c>
      <c r="B14874" t="inlineStr">
        <is>
          <t>Opi Gelcolor Gel Nail Polish Opaque Dark Black &amp; Gray Creme UV Cure</t>
        </is>
      </c>
      <c r="C14874" t="inlineStr">
        <is>
          <t>Gel Polish</t>
        </is>
      </c>
      <c r="D14874" t="inlineStr">
        <is>
          <t>OPI</t>
        </is>
      </c>
      <c r="E14874" t="n">
        <v>25.11</v>
      </c>
      <c r="F14874" t="n">
        <v>1</v>
      </c>
      <c r="G14874" t="n">
        <v>2</v>
      </c>
      <c r="H14874" s="5">
        <f>HYPERLINK("https://api.qogita.com/variants/link/4064665140644/", "View Product")</f>
        <v/>
      </c>
    </row>
    <row r="14875">
      <c r="A14875" t="inlineStr">
        <is>
          <t>4064665140842</t>
        </is>
      </c>
      <c r="B14875" t="inlineStr">
        <is>
          <t>Opi Gelcolor Gel Nail Polish 15 Ml</t>
        </is>
      </c>
      <c r="C14875" t="inlineStr">
        <is>
          <t>Gel Polish</t>
        </is>
      </c>
      <c r="D14875" t="inlineStr">
        <is>
          <t>OPI</t>
        </is>
      </c>
      <c r="E14875" t="n">
        <v>25.11</v>
      </c>
      <c r="F14875" t="n">
        <v>1</v>
      </c>
      <c r="G14875" t="n">
        <v>2</v>
      </c>
      <c r="H14875" s="5">
        <f>HYPERLINK("https://api.qogita.com/variants/link/4064665140842/", "View Product")</f>
        <v/>
      </c>
    </row>
    <row r="14876">
      <c r="A14876" t="inlineStr">
        <is>
          <t>4064665160079</t>
        </is>
      </c>
      <c r="B14876" t="inlineStr">
        <is>
          <t>Opi Gelcolor Gel Nail Polish 15 Ml</t>
        </is>
      </c>
      <c r="C14876" t="inlineStr">
        <is>
          <t>Gel Polish</t>
        </is>
      </c>
      <c r="D14876" t="inlineStr">
        <is>
          <t>OPI</t>
        </is>
      </c>
      <c r="E14876" t="n">
        <v>25.11</v>
      </c>
      <c r="F14876" t="n">
        <v>1</v>
      </c>
      <c r="G14876" t="n">
        <v>2</v>
      </c>
      <c r="H14876" s="5">
        <f>HYPERLINK("https://api.qogita.com/variants/link/4064665160079/", "View Product")</f>
        <v/>
      </c>
    </row>
    <row r="14877">
      <c r="A14877" t="inlineStr">
        <is>
          <t>4064665160086</t>
        </is>
      </c>
      <c r="B14877" t="inlineStr">
        <is>
          <t>OPI GelColor Gel Nail Polish Opaque Light Neutral Creme UV Cure</t>
        </is>
      </c>
      <c r="C14877" t="inlineStr">
        <is>
          <t>Gel Polish</t>
        </is>
      </c>
      <c r="D14877" t="inlineStr">
        <is>
          <t>OPI</t>
        </is>
      </c>
      <c r="E14877" t="n">
        <v>25.11</v>
      </c>
      <c r="F14877" t="n">
        <v>1</v>
      </c>
      <c r="G14877" t="n">
        <v>3</v>
      </c>
      <c r="H14877" s="5">
        <f>HYPERLINK("https://api.qogita.com/variants/link/4064665160086/", "View Product")</f>
        <v/>
      </c>
    </row>
    <row r="14878">
      <c r="A14878" t="inlineStr">
        <is>
          <t>4064665160093</t>
        </is>
      </c>
      <c r="B14878" t="inlineStr">
        <is>
          <t>OPI GelColor Gel Nail Polish Opaque Soft Blue Creme UV Cure</t>
        </is>
      </c>
      <c r="C14878" t="inlineStr">
        <is>
          <t>Gel Polish</t>
        </is>
      </c>
      <c r="D14878" t="inlineStr">
        <is>
          <t>OPI</t>
        </is>
      </c>
      <c r="E14878" t="n">
        <v>25.11</v>
      </c>
      <c r="F14878" t="n">
        <v>1</v>
      </c>
      <c r="G14878" t="n">
        <v>3</v>
      </c>
      <c r="H14878" s="5">
        <f>HYPERLINK("https://api.qogita.com/variants/link/4064665160093/", "View Product")</f>
        <v/>
      </c>
    </row>
    <row r="14879">
      <c r="A14879" t="inlineStr">
        <is>
          <t>4064665160109</t>
        </is>
      </c>
      <c r="B14879" t="inlineStr">
        <is>
          <t>OPI GelColor Gel Nail Polish Opaque Soft Blue Creme UV Cure</t>
        </is>
      </c>
      <c r="C14879" t="inlineStr">
        <is>
          <t>Gel Polish</t>
        </is>
      </c>
      <c r="D14879" t="inlineStr">
        <is>
          <t>OPI</t>
        </is>
      </c>
      <c r="E14879" t="n">
        <v>25.11</v>
      </c>
      <c r="F14879" t="n">
        <v>1</v>
      </c>
      <c r="G14879" t="n">
        <v>3</v>
      </c>
      <c r="H14879" s="5">
        <f>HYPERLINK("https://api.qogita.com/variants/link/4064665160109/", "View Product")</f>
        <v/>
      </c>
    </row>
    <row r="14880">
      <c r="A14880" t="inlineStr">
        <is>
          <t>4064665160123</t>
        </is>
      </c>
      <c r="B14880" t="inlineStr">
        <is>
          <t>OPI GelColor Gel Nail Polish Opaque Soft Blue Creme UV Cure</t>
        </is>
      </c>
      <c r="C14880" t="inlineStr">
        <is>
          <t>Gel Polish</t>
        </is>
      </c>
      <c r="D14880" t="inlineStr">
        <is>
          <t>OPI</t>
        </is>
      </c>
      <c r="E14880" t="n">
        <v>25.11</v>
      </c>
      <c r="F14880" t="n">
        <v>1</v>
      </c>
      <c r="G14880" t="n">
        <v>3</v>
      </c>
      <c r="H14880" s="5">
        <f>HYPERLINK("https://api.qogita.com/variants/link/4064665160123/", "View Product")</f>
        <v/>
      </c>
    </row>
    <row r="14881">
      <c r="A14881" t="inlineStr">
        <is>
          <t>4064665160253</t>
        </is>
      </c>
      <c r="B14881" t="inlineStr">
        <is>
          <t>Opi Gelcolor Gel Nail Polish 15 Ml</t>
        </is>
      </c>
      <c r="C14881" t="inlineStr">
        <is>
          <t>Gel Polish</t>
        </is>
      </c>
      <c r="D14881" t="inlineStr">
        <is>
          <t>OPI</t>
        </is>
      </c>
      <c r="E14881" t="n">
        <v>25.11</v>
      </c>
      <c r="F14881" t="n">
        <v>1</v>
      </c>
      <c r="G14881" t="n">
        <v>3</v>
      </c>
      <c r="H14881" s="5">
        <f>HYPERLINK("https://api.qogita.com/variants/link/4064665160253/", "View Product")</f>
        <v/>
      </c>
    </row>
    <row r="14882">
      <c r="A14882" t="inlineStr">
        <is>
          <t>4064665161250</t>
        </is>
      </c>
      <c r="B14882" t="inlineStr">
        <is>
          <t>Opi Nail Lacquer - Wicked Collection - Witch O'Clock, 15ml</t>
        </is>
      </c>
      <c r="C14882" t="inlineStr">
        <is>
          <t>Nail Polish</t>
        </is>
      </c>
      <c r="D14882" t="inlineStr">
        <is>
          <t>OPI</t>
        </is>
      </c>
      <c r="E14882" t="n">
        <v>4.88</v>
      </c>
      <c r="F14882" t="n">
        <v>1</v>
      </c>
      <c r="G14882" t="n">
        <v>11</v>
      </c>
      <c r="H14882" s="5">
        <f>HYPERLINK("https://api.qogita.com/variants/link/4064665161250/", "View Product")</f>
        <v/>
      </c>
    </row>
    <row r="14883">
      <c r="A14883" t="inlineStr">
        <is>
          <t>4064665196351</t>
        </is>
      </c>
      <c r="B14883" t="inlineStr">
        <is>
          <t>Opi Xpresson Gel Nails Lincoln Park After Dark 30 Count</t>
        </is>
      </c>
      <c r="C14883" t="inlineStr">
        <is>
          <t>Nail Care Sets</t>
        </is>
      </c>
      <c r="D14883" t="inlineStr">
        <is>
          <t>OPI</t>
        </is>
      </c>
      <c r="E14883" t="n">
        <v>11.44</v>
      </c>
      <c r="F14883" t="n">
        <v>1</v>
      </c>
      <c r="G14883" t="n">
        <v>2</v>
      </c>
      <c r="H14883" s="5">
        <f>HYPERLINK("https://api.qogita.com/variants/link/4064665196351/", "View Product")</f>
        <v/>
      </c>
    </row>
    <row r="14884">
      <c r="A14884" t="inlineStr">
        <is>
          <t>4064665223026</t>
        </is>
      </c>
      <c r="B14884" t="inlineStr">
        <is>
          <t>Opi I'M Dreaming Infinite Shine Nail Polish Set 14 Pieces</t>
        </is>
      </c>
      <c r="C14884" t="inlineStr">
        <is>
          <t>Nail Sets</t>
        </is>
      </c>
      <c r="D14884" t="inlineStr">
        <is>
          <t>OPI</t>
        </is>
      </c>
      <c r="E14884" t="n">
        <v>111.5</v>
      </c>
      <c r="F14884" t="n">
        <v>1</v>
      </c>
      <c r="G14884" t="n">
        <v>2</v>
      </c>
      <c r="H14884" s="5">
        <f>HYPERLINK("https://api.qogita.com/variants/link/4064665223026/", "View Product")</f>
        <v/>
      </c>
    </row>
    <row r="14885">
      <c r="A14885" t="inlineStr">
        <is>
          <t>4064666000633</t>
        </is>
      </c>
      <c r="B14885" t="inlineStr">
        <is>
          <t>System Professional Balance Shampoo - Soothing Shampoo For Sensitive Skin</t>
        </is>
      </c>
      <c r="C14885" t="inlineStr">
        <is>
          <t>Shampoo</t>
        </is>
      </c>
      <c r="D14885" t="inlineStr">
        <is>
          <t>System Professional</t>
        </is>
      </c>
      <c r="E14885" t="n">
        <v>13.55</v>
      </c>
      <c r="F14885" t="n">
        <v>1</v>
      </c>
      <c r="G14885" t="n">
        <v>7</v>
      </c>
      <c r="H14885" s="5">
        <f>HYPERLINK("https://api.qogita.com/variants/link/4064666000633/", "View Product")</f>
        <v/>
      </c>
    </row>
    <row r="14886">
      <c r="A14886" t="inlineStr">
        <is>
          <t>4064666000671</t>
        </is>
      </c>
      <c r="B14886" t="inlineStr">
        <is>
          <t>System Professional Smoothen Shampoo For Unruly And Frizzy Hair</t>
        </is>
      </c>
      <c r="C14886" t="inlineStr">
        <is>
          <t>Shampoo</t>
        </is>
      </c>
      <c r="D14886" t="inlineStr">
        <is>
          <t>System Professional</t>
        </is>
      </c>
      <c r="E14886" t="n">
        <v>13.8</v>
      </c>
      <c r="F14886" t="n">
        <v>1</v>
      </c>
      <c r="G14886" t="n">
        <v>16</v>
      </c>
      <c r="H14886" s="5">
        <f>HYPERLINK("https://api.qogita.com/variants/link/4064666000671/", "View Product")</f>
        <v/>
      </c>
    </row>
    <row r="14887">
      <c r="A14887" t="inlineStr">
        <is>
          <t>4064666002712</t>
        </is>
      </c>
      <c r="B14887" t="inlineStr">
        <is>
          <t>System Professional Color Save Shampoo For Colored Hair</t>
        </is>
      </c>
      <c r="C14887" t="inlineStr">
        <is>
          <t>Shampoo</t>
        </is>
      </c>
      <c r="D14887" t="inlineStr">
        <is>
          <t>System Professional</t>
        </is>
      </c>
      <c r="E14887" t="n">
        <v>6.71</v>
      </c>
      <c r="F14887" t="n">
        <v>1</v>
      </c>
      <c r="G14887" t="n">
        <v>2</v>
      </c>
      <c r="H14887" s="5">
        <f>HYPERLINK("https://api.qogita.com/variants/link/4064666002712/", "View Product")</f>
        <v/>
      </c>
    </row>
    <row r="14888">
      <c r="A14888" t="inlineStr">
        <is>
          <t>4064666003474</t>
        </is>
      </c>
      <c r="B14888" t="inlineStr">
        <is>
          <t>System Professional Hydrate Shampoo</t>
        </is>
      </c>
      <c r="C14888" t="inlineStr">
        <is>
          <t>Shampoo</t>
        </is>
      </c>
      <c r="D14888" t="inlineStr">
        <is>
          <t>System Professional</t>
        </is>
      </c>
      <c r="E14888" t="n">
        <v>33.28</v>
      </c>
      <c r="F14888" t="n">
        <v>1</v>
      </c>
      <c r="G14888" t="n">
        <v>11</v>
      </c>
      <c r="H14888" s="5">
        <f>HYPERLINK("https://api.qogita.com/variants/link/4064666003474/", "View Product")</f>
        <v/>
      </c>
    </row>
    <row r="14889">
      <c r="A14889" t="inlineStr">
        <is>
          <t>4064666005799</t>
        </is>
      </c>
      <c r="B14889" t="inlineStr">
        <is>
          <t>System Professional Volumize Mask Hair Mask For Volume</t>
        </is>
      </c>
      <c r="C14889" t="inlineStr">
        <is>
          <t>Hair Masks</t>
        </is>
      </c>
      <c r="D14889" t="inlineStr">
        <is>
          <t>System Professional</t>
        </is>
      </c>
      <c r="E14889" t="n">
        <v>35.28</v>
      </c>
      <c r="F14889" t="n">
        <v>1</v>
      </c>
      <c r="G14889" t="n">
        <v>7</v>
      </c>
      <c r="H14889" s="5">
        <f>HYPERLINK("https://api.qogita.com/variants/link/4064666005799/", "View Product")</f>
        <v/>
      </c>
    </row>
    <row r="14890">
      <c r="A14890" t="inlineStr">
        <is>
          <t>4064666005874</t>
        </is>
      </c>
      <c r="B14890" t="inlineStr">
        <is>
          <t>System Professional Smoothen Shampoo For Unruly And Frizzy Hair</t>
        </is>
      </c>
      <c r="C14890" t="inlineStr">
        <is>
          <t>Shampoo</t>
        </is>
      </c>
      <c r="D14890" t="inlineStr">
        <is>
          <t>System Professional</t>
        </is>
      </c>
      <c r="E14890" t="n">
        <v>6.78</v>
      </c>
      <c r="F14890" t="n">
        <v>1</v>
      </c>
      <c r="G14890" t="n">
        <v>8</v>
      </c>
      <c r="H14890" s="5">
        <f>HYPERLINK("https://api.qogita.com/variants/link/4064666005874/", "View Product")</f>
        <v/>
      </c>
    </row>
    <row r="14891">
      <c r="A14891" t="inlineStr">
        <is>
          <t>4064666011202</t>
        </is>
      </c>
      <c r="B14891" t="inlineStr">
        <is>
          <t>Londa Professional Toneplex Shampoo With Purple Pigment Pearl Blonde 1000ml</t>
        </is>
      </c>
      <c r="C14891" t="inlineStr">
        <is>
          <t>Shampoo</t>
        </is>
      </c>
      <c r="D14891" t="inlineStr">
        <is>
          <t>Londa Professional</t>
        </is>
      </c>
      <c r="E14891" t="n">
        <v>10.53</v>
      </c>
      <c r="F14891" t="n">
        <v>1</v>
      </c>
      <c r="G14891" t="n">
        <v>32</v>
      </c>
      <c r="H14891" s="5">
        <f>HYPERLINK("https://api.qogita.com/variants/link/4064666011202/", "View Product")</f>
        <v/>
      </c>
    </row>
    <row r="14892">
      <c r="A14892" t="inlineStr">
        <is>
          <t>4064666035369</t>
        </is>
      </c>
      <c r="B14892" t="inlineStr">
        <is>
          <t>Marula Oil Blend Scalp Primer 150ml</t>
        </is>
      </c>
      <c r="C14892" t="inlineStr">
        <is>
          <t>Scalp Care</t>
        </is>
      </c>
      <c r="D14892" t="inlineStr">
        <is>
          <t>Wella</t>
        </is>
      </c>
      <c r="E14892" t="n">
        <v>10.44</v>
      </c>
      <c r="F14892" t="n">
        <v>1</v>
      </c>
      <c r="G14892" t="n">
        <v>4</v>
      </c>
      <c r="H14892" s="5">
        <f>HYPERLINK("https://api.qogita.com/variants/link/4064666035369/", "View Product")</f>
        <v/>
      </c>
    </row>
    <row r="14893">
      <c r="A14893" t="inlineStr">
        <is>
          <t>4064666041506</t>
        </is>
      </c>
      <c r="B14893" t="inlineStr">
        <is>
          <t>EIMI Wella Professionals Nutricurls Fresh Up Curl Refreshing Detangling Spray 150ml</t>
        </is>
      </c>
      <c r="C14893" t="inlineStr">
        <is>
          <t>Leave-In Conditioner</t>
        </is>
      </c>
      <c r="D14893" t="inlineStr">
        <is>
          <t>Eimi</t>
        </is>
      </c>
      <c r="E14893" t="n">
        <v>7.27</v>
      </c>
      <c r="F14893" t="n">
        <v>1</v>
      </c>
      <c r="G14893" t="n">
        <v>6</v>
      </c>
      <c r="H14893" s="5">
        <f>HYPERLINK("https://api.qogita.com/variants/link/4064666041506/", "View Product")</f>
        <v/>
      </c>
    </row>
    <row r="14894">
      <c r="A14894" t="inlineStr">
        <is>
          <t>4064666042565</t>
        </is>
      </c>
      <c r="B14894" t="inlineStr">
        <is>
          <t>Sebastian Professional Twisted Curl Shampoo 1000ml Shampoo For Wavy And Curly Hair</t>
        </is>
      </c>
      <c r="C14894" t="inlineStr">
        <is>
          <t>Shampoo</t>
        </is>
      </c>
      <c r="D14894" t="inlineStr">
        <is>
          <t>Sebastian Professional</t>
        </is>
      </c>
      <c r="E14894" t="n">
        <v>31.69</v>
      </c>
      <c r="F14894" t="n">
        <v>1</v>
      </c>
      <c r="G14894" t="n">
        <v>2</v>
      </c>
      <c r="H14894" s="5">
        <f>HYPERLINK("https://api.qogita.com/variants/link/4064666042565/", "View Product")</f>
        <v/>
      </c>
    </row>
    <row r="14895">
      <c r="A14895" t="inlineStr">
        <is>
          <t>4064666043562</t>
        </is>
      </c>
      <c r="B14895" t="inlineStr">
        <is>
          <t>Wella Professionals Sp Volumize Shampoo For Fine And Delicate Hair 250ml</t>
        </is>
      </c>
      <c r="C14895" t="inlineStr">
        <is>
          <t>Shampoo</t>
        </is>
      </c>
      <c r="D14895" t="inlineStr">
        <is>
          <t>Wella Professionals</t>
        </is>
      </c>
      <c r="E14895" t="n">
        <v>5.33</v>
      </c>
      <c r="F14895" t="n">
        <v>1</v>
      </c>
      <c r="G14895" t="n">
        <v>10</v>
      </c>
      <c r="H14895" s="5">
        <f>HYPERLINK("https://api.qogita.com/variants/link/4064666043562/", "View Product")</f>
        <v/>
      </c>
    </row>
    <row r="14896">
      <c r="A14896" t="inlineStr">
        <is>
          <t>4064666044194</t>
        </is>
      </c>
      <c r="B14896" t="inlineStr">
        <is>
          <t>Sebastian Professional Taming Elixir 500ml Hydrating Frizztaming Smoothing Serum</t>
        </is>
      </c>
      <c r="C14896" t="inlineStr">
        <is>
          <t>Hair Oil &amp; Hair Serum</t>
        </is>
      </c>
      <c r="D14896" t="inlineStr">
        <is>
          <t>Sebastian Professional</t>
        </is>
      </c>
      <c r="E14896" t="n">
        <v>37.79</v>
      </c>
      <c r="F14896" t="n">
        <v>1</v>
      </c>
      <c r="G14896" t="n">
        <v>2</v>
      </c>
      <c r="H14896" s="5">
        <f>HYPERLINK("https://api.qogita.com/variants/link/4064666044194/", "View Product")</f>
        <v/>
      </c>
    </row>
    <row r="14897">
      <c r="A14897" t="inlineStr">
        <is>
          <t>4064666058160</t>
        </is>
      </c>
      <c r="B14897" t="inlineStr">
        <is>
          <t>Wella Shinefinity Zero Lift Glaze 60ml 09/65</t>
        </is>
      </c>
      <c r="C14897" t="inlineStr">
        <is>
          <t>Hair Dye</t>
        </is>
      </c>
      <c r="D14897" t="inlineStr">
        <is>
          <t>Wella</t>
        </is>
      </c>
      <c r="E14897" t="n">
        <v>7.02</v>
      </c>
      <c r="F14897" t="n">
        <v>1</v>
      </c>
      <c r="G14897" t="n">
        <v>3</v>
      </c>
      <c r="H14897" s="5">
        <f>HYPERLINK("https://api.qogita.com/variants/link/4064666058160/", "View Product")</f>
        <v/>
      </c>
    </row>
    <row r="14898">
      <c r="A14898" t="inlineStr">
        <is>
          <t>4064666097435</t>
        </is>
      </c>
      <c r="B14898" t="inlineStr">
        <is>
          <t>Wella SP System Professional Care Color Save Conditioner 200ml</t>
        </is>
      </c>
      <c r="C14898" t="inlineStr">
        <is>
          <t>Conditioner</t>
        </is>
      </c>
      <c r="D14898" t="inlineStr">
        <is>
          <t>Wella</t>
        </is>
      </c>
      <c r="E14898" t="n">
        <v>7.36</v>
      </c>
      <c r="F14898" t="n">
        <v>1</v>
      </c>
      <c r="G14898" t="n">
        <v>20</v>
      </c>
      <c r="H14898" s="5">
        <f>HYPERLINK("https://api.qogita.com/variants/link/4064666097435/", "View Product")</f>
        <v/>
      </c>
    </row>
    <row r="14899">
      <c r="A14899" t="inlineStr">
        <is>
          <t>4064666097497</t>
        </is>
      </c>
      <c r="B14899" t="inlineStr">
        <is>
          <t>Wella Professional Sp Color Save Mask Mask For Colored Hair</t>
        </is>
      </c>
      <c r="C14899" t="inlineStr">
        <is>
          <t>Hair Masks</t>
        </is>
      </c>
      <c r="D14899" t="inlineStr">
        <is>
          <t>Wella Professionals</t>
        </is>
      </c>
      <c r="E14899" t="n">
        <v>8.23</v>
      </c>
      <c r="F14899" t="n">
        <v>1</v>
      </c>
      <c r="G14899" t="n">
        <v>3</v>
      </c>
      <c r="H14899" s="5">
        <f>HYPERLINK("https://api.qogita.com/variants/link/4064666097497/", "View Product")</f>
        <v/>
      </c>
    </row>
    <row r="14900">
      <c r="A14900" t="inlineStr">
        <is>
          <t>4064666097565</t>
        </is>
      </c>
      <c r="B14900" t="inlineStr">
        <is>
          <t>Wella Professionals Sp Color Save Conditioner For Colored Hair 1l</t>
        </is>
      </c>
      <c r="C14900" t="inlineStr">
        <is>
          <t>Conditioner</t>
        </is>
      </c>
      <c r="D14900" t="inlineStr">
        <is>
          <t>Wella Professionals</t>
        </is>
      </c>
      <c r="E14900" t="n">
        <v>16.96</v>
      </c>
      <c r="F14900" t="n">
        <v>1</v>
      </c>
      <c r="G14900" t="n">
        <v>13</v>
      </c>
      <c r="H14900" s="5">
        <f>HYPERLINK("https://api.qogita.com/variants/link/4064666097565/", "View Product")</f>
        <v/>
      </c>
    </row>
    <row r="14901">
      <c r="A14901" t="inlineStr">
        <is>
          <t>4064666102238</t>
        </is>
      </c>
      <c r="B14901" t="inlineStr">
        <is>
          <t>Nioxin System 1 Conditioner Skin Revitalizer For Fine Slightly Thinning Natural Hair</t>
        </is>
      </c>
      <c r="C14901" t="inlineStr">
        <is>
          <t>Conditioner</t>
        </is>
      </c>
      <c r="D14901" t="inlineStr">
        <is>
          <t>Nioxin</t>
        </is>
      </c>
      <c r="E14901" t="n">
        <v>13.79</v>
      </c>
      <c r="F14901" t="n">
        <v>1</v>
      </c>
      <c r="G14901" t="n">
        <v>20</v>
      </c>
      <c r="H14901" s="5">
        <f>HYPERLINK("https://api.qogita.com/variants/link/4064666102238/", "View Product")</f>
        <v/>
      </c>
    </row>
    <row r="14902">
      <c r="A14902" t="inlineStr">
        <is>
          <t>4064666102351</t>
        </is>
      </c>
      <c r="B14902" t="inlineStr">
        <is>
          <t>Sebastian Professional Hydre Moisturizing Treatment 500ml</t>
        </is>
      </c>
      <c r="C14902" t="inlineStr">
        <is>
          <t>Hair Masks</t>
        </is>
      </c>
      <c r="D14902" t="inlineStr">
        <is>
          <t>Sebastian Professional</t>
        </is>
      </c>
      <c r="E14902" t="n">
        <v>30.33</v>
      </c>
      <c r="F14902" t="n">
        <v>1</v>
      </c>
      <c r="G14902" t="n">
        <v>16</v>
      </c>
      <c r="H14902" s="5">
        <f>HYPERLINK("https://api.qogita.com/variants/link/4064666102351/", "View Product")</f>
        <v/>
      </c>
    </row>
    <row r="14903">
      <c r="A14903" t="inlineStr">
        <is>
          <t>4064666102375</t>
        </is>
      </c>
      <c r="B14903" t="inlineStr">
        <is>
          <t>Sebastian Dark Oil Conditioner 1000ml Professional Hair Care</t>
        </is>
      </c>
      <c r="C14903" t="inlineStr">
        <is>
          <t>Conditioner</t>
        </is>
      </c>
      <c r="D14903" t="inlineStr">
        <is>
          <t>Sebastian</t>
        </is>
      </c>
      <c r="E14903" t="n">
        <v>42.67</v>
      </c>
      <c r="F14903" t="n">
        <v>1</v>
      </c>
      <c r="G14903" t="n">
        <v>4</v>
      </c>
      <c r="H14903" s="5">
        <f>HYPERLINK("https://api.qogita.com/variants/link/4064666102375/", "View Product")</f>
        <v/>
      </c>
    </row>
    <row r="14904">
      <c r="A14904" t="inlineStr">
        <is>
          <t>4064666102399</t>
        </is>
      </c>
      <c r="B14904" t="inlineStr">
        <is>
          <t>Sebastian Professional Dark Oil Lightweight Shampoo 1000ml Nourishing Shampoo For Shine And Softness Of Hair</t>
        </is>
      </c>
      <c r="C14904" t="inlineStr">
        <is>
          <t>Shampoo</t>
        </is>
      </c>
      <c r="D14904" t="inlineStr">
        <is>
          <t>Sebastian Professional</t>
        </is>
      </c>
      <c r="E14904" t="n">
        <v>32.51</v>
      </c>
      <c r="F14904" t="n">
        <v>1</v>
      </c>
      <c r="G14904" t="n">
        <v>47</v>
      </c>
      <c r="H14904" s="5">
        <f>HYPERLINK("https://api.qogita.com/variants/link/4064666102399/", "View Product")</f>
        <v/>
      </c>
    </row>
    <row r="14905">
      <c r="A14905" t="inlineStr">
        <is>
          <t>4064666102429</t>
        </is>
      </c>
      <c r="B14905" t="inlineStr">
        <is>
          <t>Sebastian Professional Dark Oil Lightweight Conditioner 250ml Conditioner For Shine And Softness Of Hair</t>
        </is>
      </c>
      <c r="C14905" t="inlineStr">
        <is>
          <t>Conditioner</t>
        </is>
      </c>
      <c r="D14905" t="inlineStr">
        <is>
          <t>Sebastian Professional</t>
        </is>
      </c>
      <c r="E14905" t="n">
        <v>13.34</v>
      </c>
      <c r="F14905" t="n">
        <v>1</v>
      </c>
      <c r="G14905" t="n">
        <v>22</v>
      </c>
      <c r="H14905" s="5">
        <f>HYPERLINK("https://api.qogita.com/variants/link/4064666102429/", "View Product")</f>
        <v/>
      </c>
    </row>
    <row r="14906">
      <c r="A14906" t="inlineStr">
        <is>
          <t>4064666102566</t>
        </is>
      </c>
      <c r="B14906" t="inlineStr">
        <is>
          <t>Wella Professional Sp Balance Scalp Mask Hair Care</t>
        </is>
      </c>
      <c r="C14906" t="inlineStr">
        <is>
          <t>Hair Masks</t>
        </is>
      </c>
      <c r="D14906" t="inlineStr">
        <is>
          <t>Wella Professionals</t>
        </is>
      </c>
      <c r="E14906" t="n">
        <v>8.529999999999999</v>
      </c>
      <c r="F14906" t="n">
        <v>1</v>
      </c>
      <c r="G14906" t="n">
        <v>12</v>
      </c>
      <c r="H14906" s="5">
        <f>HYPERLINK("https://api.qogita.com/variants/link/4064666102566/", "View Product")</f>
        <v/>
      </c>
    </row>
    <row r="14907">
      <c r="A14907" t="inlineStr">
        <is>
          <t>4064666102627</t>
        </is>
      </c>
      <c r="B14907" t="inlineStr">
        <is>
          <t>Sp Luxe Oil Keratin Restore Mask - 150ml</t>
        </is>
      </c>
      <c r="C14907" t="inlineStr">
        <is>
          <t>Hair Masks</t>
        </is>
      </c>
      <c r="D14907" t="inlineStr">
        <is>
          <t>Sp</t>
        </is>
      </c>
      <c r="E14907" t="n">
        <v>8.43</v>
      </c>
      <c r="F14907" t="n">
        <v>1</v>
      </c>
      <c r="G14907" t="n">
        <v>8</v>
      </c>
      <c r="H14907" s="5">
        <f>HYPERLINK("https://api.qogita.com/variants/link/4064666102627/", "View Product")</f>
        <v/>
      </c>
    </row>
    <row r="14908">
      <c r="A14908" t="inlineStr">
        <is>
          <t>4064666179049</t>
        </is>
      </c>
      <c r="B14908" t="inlineStr">
        <is>
          <t>Londa Calm Soothing Conditioner 250ml</t>
        </is>
      </c>
      <c r="C14908" t="inlineStr">
        <is>
          <t>Conditioner</t>
        </is>
      </c>
      <c r="D14908" t="inlineStr">
        <is>
          <t>Londa</t>
        </is>
      </c>
      <c r="E14908" t="n">
        <v>6.69</v>
      </c>
      <c r="F14908" t="n">
        <v>1</v>
      </c>
      <c r="G14908" t="n">
        <v>16</v>
      </c>
      <c r="H14908" s="5">
        <f>HYPERLINK("https://api.qogita.com/variants/link/4064666179049/", "View Product")</f>
        <v/>
      </c>
    </row>
    <row r="14909">
      <c r="A14909" t="inlineStr">
        <is>
          <t>4064666211114</t>
        </is>
      </c>
      <c r="B14909" t="inlineStr">
        <is>
          <t>Londa Lightplex Bond Retention Conditioner 250ml</t>
        </is>
      </c>
      <c r="C14909" t="inlineStr">
        <is>
          <t>Conditioner</t>
        </is>
      </c>
      <c r="D14909" t="inlineStr">
        <is>
          <t>Londa</t>
        </is>
      </c>
      <c r="E14909" t="n">
        <v>8.26</v>
      </c>
      <c r="F14909" t="n">
        <v>1</v>
      </c>
      <c r="G14909" t="n">
        <v>9</v>
      </c>
      <c r="H14909" s="5">
        <f>HYPERLINK("https://api.qogita.com/variants/link/4064666211114/", "View Product")</f>
        <v/>
      </c>
    </row>
    <row r="14910">
      <c r="A14910" t="inlineStr">
        <is>
          <t>4064666212081</t>
        </is>
      </c>
      <c r="B14910" t="inlineStr">
        <is>
          <t>Wella Professionals Welloxon Perfect 9% Hydrogen Peroxide 1000ml</t>
        </is>
      </c>
      <c r="C14910" t="inlineStr">
        <is>
          <t>Bleaching</t>
        </is>
      </c>
      <c r="D14910" t="inlineStr">
        <is>
          <t>Wella</t>
        </is>
      </c>
      <c r="E14910" t="n">
        <v>6.83</v>
      </c>
      <c r="F14910" t="n">
        <v>1</v>
      </c>
      <c r="G14910" t="n">
        <v>28</v>
      </c>
      <c r="H14910" s="5">
        <f>HYPERLINK("https://api.qogita.com/variants/link/4064666212081/", "View Product")</f>
        <v/>
      </c>
    </row>
    <row r="14911">
      <c r="A14911" t="inlineStr">
        <is>
          <t>4064666213118</t>
        </is>
      </c>
      <c r="B14911" t="inlineStr">
        <is>
          <t>Sebastian Professional Seb Man The Hero Reworkable Gel 75ml</t>
        </is>
      </c>
      <c r="C14911" t="inlineStr">
        <is>
          <t>Gel</t>
        </is>
      </c>
      <c r="D14911" t="inlineStr">
        <is>
          <t>Sebastian Professional</t>
        </is>
      </c>
      <c r="E14911" t="n">
        <v>14.58</v>
      </c>
      <c r="F14911" t="n">
        <v>1</v>
      </c>
      <c r="G14911" t="n">
        <v>43</v>
      </c>
      <c r="H14911" s="5">
        <f>HYPERLINK("https://api.qogita.com/variants/link/4064666213118/", "View Product")</f>
        <v/>
      </c>
    </row>
    <row r="14912">
      <c r="A14912" t="inlineStr">
        <is>
          <t>4064666213125</t>
        </is>
      </c>
      <c r="B14912" t="inlineStr">
        <is>
          <t>Seb Man The Groom Nourishing Oil for Hair and Beard</t>
        </is>
      </c>
      <c r="C14912" t="inlineStr">
        <is>
          <t>Hair Oil &amp; Hair Serum</t>
        </is>
      </c>
      <c r="D14912" t="inlineStr">
        <is>
          <t>Sebastian</t>
        </is>
      </c>
      <c r="E14912" t="n">
        <v>12.57</v>
      </c>
      <c r="F14912" t="n">
        <v>1</v>
      </c>
      <c r="G14912" t="n">
        <v>28</v>
      </c>
      <c r="H14912" s="5">
        <f>HYPERLINK("https://api.qogita.com/variants/link/4064666213125/", "View Product")</f>
        <v/>
      </c>
    </row>
    <row r="14913">
      <c r="A14913" t="inlineStr">
        <is>
          <t>4064666213156</t>
        </is>
      </c>
      <c r="B14913" t="inlineStr">
        <is>
          <t>Wella EIMI Curl Shaper 72h Styling Cream 0.15kg</t>
        </is>
      </c>
      <c r="C14913" t="inlineStr">
        <is>
          <t>Styling Creams</t>
        </is>
      </c>
      <c r="D14913" t="inlineStr">
        <is>
          <t>Wella</t>
        </is>
      </c>
      <c r="E14913" t="n">
        <v>8.9</v>
      </c>
      <c r="F14913" t="n">
        <v>1</v>
      </c>
      <c r="G14913" t="n">
        <v>7</v>
      </c>
      <c r="H14913" s="5">
        <f>HYPERLINK("https://api.qogita.com/variants/link/4064666213156/", "View Product")</f>
        <v/>
      </c>
    </row>
    <row r="14914">
      <c r="A14914" t="inlineStr">
        <is>
          <t>4064666213613</t>
        </is>
      </c>
      <c r="B14914" t="inlineStr">
        <is>
          <t>Wella Professionals Oil Reflections Conditioning Hair Oil with Chamomile Oil</t>
        </is>
      </c>
      <c r="C14914" t="inlineStr">
        <is>
          <t>Hair Oil &amp; Hair Serum</t>
        </is>
      </c>
      <c r="D14914" t="inlineStr">
        <is>
          <t>Wella Professionals</t>
        </is>
      </c>
      <c r="E14914" t="n">
        <v>12.65</v>
      </c>
      <c r="F14914" t="n">
        <v>1</v>
      </c>
      <c r="G14914" t="n">
        <v>2</v>
      </c>
      <c r="H14914" s="5">
        <f>HYPERLINK("https://api.qogita.com/variants/link/4064666213613/", "View Product")</f>
        <v/>
      </c>
    </row>
    <row r="14915">
      <c r="A14915" t="inlineStr">
        <is>
          <t>4064666213897</t>
        </is>
      </c>
      <c r="B14915" t="inlineStr">
        <is>
          <t>Wella Professionals Eimi Extra Volume Mousse 75ml</t>
        </is>
      </c>
      <c r="C14915" t="inlineStr">
        <is>
          <t>Mousse</t>
        </is>
      </c>
      <c r="D14915" t="inlineStr">
        <is>
          <t>Wella Professionals</t>
        </is>
      </c>
      <c r="E14915" t="n">
        <v>4.73</v>
      </c>
      <c r="F14915" t="n">
        <v>1</v>
      </c>
      <c r="G14915" t="n">
        <v>7</v>
      </c>
      <c r="H14915" s="5">
        <f>HYPERLINK("https://api.qogita.com/variants/link/4064666213897/", "View Product")</f>
        <v/>
      </c>
    </row>
    <row r="14916">
      <c r="A14916" t="inlineStr">
        <is>
          <t>4064666219646</t>
        </is>
      </c>
      <c r="B14916" t="inlineStr">
        <is>
          <t>Sebastian Seb Man The Dandy Pomade 75ml</t>
        </is>
      </c>
      <c r="C14916" t="inlineStr">
        <is>
          <t>Styling Creams</t>
        </is>
      </c>
      <c r="D14916" t="inlineStr">
        <is>
          <t>Sebastian</t>
        </is>
      </c>
      <c r="E14916" t="n">
        <v>9.640000000000001</v>
      </c>
      <c r="F14916" t="n">
        <v>1</v>
      </c>
      <c r="G14916" t="n">
        <v>34</v>
      </c>
      <c r="H14916" s="5">
        <f>HYPERLINK("https://api.qogita.com/variants/link/4064666219646/", "View Product")</f>
        <v/>
      </c>
    </row>
    <row r="14917">
      <c r="A14917" t="inlineStr">
        <is>
          <t>4064666224633</t>
        </is>
      </c>
      <c r="B14917" t="inlineStr">
        <is>
          <t>Sebastian Thickefy Foam - 200 ml</t>
        </is>
      </c>
      <c r="C14917" t="inlineStr">
        <is>
          <t>Mousse</t>
        </is>
      </c>
      <c r="D14917" t="inlineStr">
        <is>
          <t>Sebastian Professional</t>
        </is>
      </c>
      <c r="E14917" t="n">
        <v>16.49</v>
      </c>
      <c r="F14917" t="n">
        <v>1</v>
      </c>
      <c r="G14917" t="n">
        <v>17</v>
      </c>
      <c r="H14917" s="5">
        <f>HYPERLINK("https://api.qogita.com/variants/link/4064666224633/", "View Product")</f>
        <v/>
      </c>
    </row>
    <row r="14918">
      <c r="A14918" t="inlineStr">
        <is>
          <t>4064666224848</t>
        </is>
      </c>
      <c r="B14918" t="inlineStr">
        <is>
          <t>Sebastian Professional Nutricurls Waves Curls Conditioner Nourishing Conditioner For Wavy And Curly Hair 200ml</t>
        </is>
      </c>
      <c r="C14918" t="inlineStr">
        <is>
          <t>Conditioner</t>
        </is>
      </c>
      <c r="D14918" t="inlineStr">
        <is>
          <t>Sebastian Professional</t>
        </is>
      </c>
      <c r="E14918" t="n">
        <v>11.61</v>
      </c>
      <c r="F14918" t="n">
        <v>1</v>
      </c>
      <c r="G14918" t="n">
        <v>19</v>
      </c>
      <c r="H14918" s="5">
        <f>HYPERLINK("https://api.qogita.com/variants/link/4064666224848/", "View Product")</f>
        <v/>
      </c>
    </row>
    <row r="14919">
      <c r="A14919" t="inlineStr">
        <is>
          <t>4064666244716</t>
        </is>
      </c>
      <c r="B14919" t="inlineStr">
        <is>
          <t>SEB MAN The Smoother Conditioner 250ml</t>
        </is>
      </c>
      <c r="C14919" t="inlineStr">
        <is>
          <t>Conditioner</t>
        </is>
      </c>
      <c r="D14919" t="inlineStr">
        <is>
          <t>Seb Man</t>
        </is>
      </c>
      <c r="E14919" t="n">
        <v>6.35</v>
      </c>
      <c r="F14919" t="n">
        <v>1</v>
      </c>
      <c r="G14919" t="n">
        <v>28</v>
      </c>
      <c r="H14919" s="5">
        <f>HYPERLINK("https://api.qogita.com/variants/link/4064666244716/", "View Product")</f>
        <v/>
      </c>
    </row>
    <row r="14920">
      <c r="A14920" t="inlineStr">
        <is>
          <t>4064666302300</t>
        </is>
      </c>
      <c r="B14920" t="inlineStr">
        <is>
          <t>Londa TonePlex Shampoo Pearl Blond 250ml</t>
        </is>
      </c>
      <c r="C14920" t="inlineStr">
        <is>
          <t>Shampoo</t>
        </is>
      </c>
      <c r="D14920" t="inlineStr">
        <is>
          <t>Londa Professional</t>
        </is>
      </c>
      <c r="E14920" t="n">
        <v>3.61</v>
      </c>
      <c r="F14920" t="n">
        <v>1</v>
      </c>
      <c r="G14920" t="n">
        <v>32</v>
      </c>
      <c r="H14920" s="5">
        <f>HYPERLINK("https://api.qogita.com/variants/link/4064666302300/", "View Product")</f>
        <v/>
      </c>
    </row>
    <row r="14921">
      <c r="A14921" t="inlineStr">
        <is>
          <t>4064666306872</t>
        </is>
      </c>
      <c r="B14921" t="inlineStr">
        <is>
          <t>Londa Professional Scalp Vital Booster Shampoo 250ml For All Hair Types</t>
        </is>
      </c>
      <c r="C14921" t="inlineStr">
        <is>
          <t>Shampoo</t>
        </is>
      </c>
      <c r="D14921" t="inlineStr">
        <is>
          <t>Londa Professional</t>
        </is>
      </c>
      <c r="E14921" t="n">
        <v>3.24</v>
      </c>
      <c r="F14921" t="n">
        <v>1</v>
      </c>
      <c r="G14921" t="n">
        <v>2</v>
      </c>
      <c r="H14921" s="5">
        <f>HYPERLINK("https://api.qogita.com/variants/link/4064666306872/", "View Product")</f>
        <v/>
      </c>
    </row>
    <row r="14922">
      <c r="A14922" t="inlineStr">
        <is>
          <t>4064666307008</t>
        </is>
      </c>
      <c r="B14922" t="inlineStr">
        <is>
          <t>Sebastian Professional Trilliance Conditioner 250ml</t>
        </is>
      </c>
      <c r="C14922" t="inlineStr">
        <is>
          <t>Conditioner</t>
        </is>
      </c>
      <c r="D14922" t="inlineStr">
        <is>
          <t>Sebastian Professional</t>
        </is>
      </c>
      <c r="E14922" t="n">
        <v>13.3</v>
      </c>
      <c r="F14922" t="n">
        <v>1</v>
      </c>
      <c r="G14922" t="n">
        <v>11</v>
      </c>
      <c r="H14922" s="5">
        <f>HYPERLINK("https://api.qogita.com/variants/link/4064666307008/", "View Product")</f>
        <v/>
      </c>
    </row>
    <row r="14923">
      <c r="A14923" t="inlineStr">
        <is>
          <t>4064666308289</t>
        </is>
      </c>
      <c r="B14923" t="inlineStr">
        <is>
          <t>System Professional Purify Mask 200ml</t>
        </is>
      </c>
      <c r="C14923" t="inlineStr">
        <is>
          <t>Hair Masks</t>
        </is>
      </c>
      <c r="D14923" t="inlineStr">
        <is>
          <t>System Professional</t>
        </is>
      </c>
      <c r="E14923" t="n">
        <v>23.38</v>
      </c>
      <c r="F14923" t="n">
        <v>1</v>
      </c>
      <c r="G14923" t="n">
        <v>7</v>
      </c>
      <c r="H14923" s="5">
        <f>HYPERLINK("https://api.qogita.com/variants/link/4064666308289/", "View Product")</f>
        <v/>
      </c>
    </row>
    <row r="14924">
      <c r="A14924" t="inlineStr">
        <is>
          <t>4064666309927</t>
        </is>
      </c>
      <c r="B14924" t="inlineStr">
        <is>
          <t>Sebastian Professional Volupt Shampoo 250ml Volume Boosting Shampoo For Fine Hair</t>
        </is>
      </c>
      <c r="C14924" t="inlineStr">
        <is>
          <t>Shampoo</t>
        </is>
      </c>
      <c r="D14924" t="inlineStr">
        <is>
          <t>Sebastian Professional</t>
        </is>
      </c>
      <c r="E14924" t="n">
        <v>11.22</v>
      </c>
      <c r="F14924" t="n">
        <v>1</v>
      </c>
      <c r="G14924" t="n">
        <v>14</v>
      </c>
      <c r="H14924" s="5">
        <f>HYPERLINK("https://api.qogita.com/variants/link/4064666309927/", "View Product")</f>
        <v/>
      </c>
    </row>
    <row r="14925">
      <c r="A14925" t="inlineStr">
        <is>
          <t>4064666309934</t>
        </is>
      </c>
      <c r="B14925" t="inlineStr">
        <is>
          <t>Sebastian Professional Volupt Shampoo 1000ml Hair Volume Shampoo</t>
        </is>
      </c>
      <c r="C14925" t="inlineStr">
        <is>
          <t>Shampoo</t>
        </is>
      </c>
      <c r="D14925" t="inlineStr">
        <is>
          <t>Sebastian Professional</t>
        </is>
      </c>
      <c r="E14925" t="n">
        <v>28.69</v>
      </c>
      <c r="F14925" t="n">
        <v>1</v>
      </c>
      <c r="G14925" t="n">
        <v>8</v>
      </c>
      <c r="H14925" s="5">
        <f>HYPERLINK("https://api.qogita.com/variants/link/4064666309934/", "View Product")</f>
        <v/>
      </c>
    </row>
    <row r="14926">
      <c r="A14926" t="inlineStr">
        <is>
          <t>4064666311470</t>
        </is>
      </c>
      <c r="B14926" t="inlineStr">
        <is>
          <t>Sebastian Cellophanes Honey Blonde 300ml</t>
        </is>
      </c>
      <c r="C14926" t="inlineStr">
        <is>
          <t>Color Rinse</t>
        </is>
      </c>
      <c r="D14926" t="inlineStr">
        <is>
          <t>Sebastian Professional</t>
        </is>
      </c>
      <c r="E14926" t="n">
        <v>34.84</v>
      </c>
      <c r="F14926" t="n">
        <v>1</v>
      </c>
      <c r="G14926" t="n">
        <v>18</v>
      </c>
      <c r="H14926" s="5">
        <f>HYPERLINK("https://api.qogita.com/variants/link/4064666311470/", "View Product")</f>
        <v/>
      </c>
    </row>
    <row r="14927">
      <c r="A14927" t="inlineStr">
        <is>
          <t>4064666314433</t>
        </is>
      </c>
      <c r="B14927" t="inlineStr">
        <is>
          <t>Sebastian Professional Dark Oil Lightweight Fragrant Hair Mist 200ml</t>
        </is>
      </c>
      <c r="C14927" t="inlineStr">
        <is>
          <t>Hair Oil &amp; Hair Serum</t>
        </is>
      </c>
      <c r="D14927" t="inlineStr">
        <is>
          <t>Sebastian Professional</t>
        </is>
      </c>
      <c r="E14927" t="n">
        <v>12.64</v>
      </c>
      <c r="F14927" t="n">
        <v>1</v>
      </c>
      <c r="G14927" t="n">
        <v>7</v>
      </c>
      <c r="H14927" s="5">
        <f>HYPERLINK("https://api.qogita.com/variants/link/4064666314433/", "View Product")</f>
        <v/>
      </c>
    </row>
    <row r="14928">
      <c r="A14928" t="inlineStr">
        <is>
          <t>4064666317403</t>
        </is>
      </c>
      <c r="B14928" t="inlineStr">
        <is>
          <t>Sebastian Professional Penetraitt Hair Mask Regenerating Mask For Weakened Hair 500ml</t>
        </is>
      </c>
      <c r="C14928" t="inlineStr">
        <is>
          <t>Hair Masks</t>
        </is>
      </c>
      <c r="D14928" t="inlineStr">
        <is>
          <t>Sebastian Professional</t>
        </is>
      </c>
      <c r="E14928" t="n">
        <v>30.75</v>
      </c>
      <c r="F14928" t="n">
        <v>1</v>
      </c>
      <c r="G14928" t="n">
        <v>7</v>
      </c>
      <c r="H14928" s="5">
        <f>HYPERLINK("https://api.qogita.com/variants/link/4064666317403/", "View Product")</f>
        <v/>
      </c>
    </row>
    <row r="14929">
      <c r="A14929" t="inlineStr">
        <is>
          <t>4064666317991</t>
        </is>
      </c>
      <c r="B14929" t="inlineStr">
        <is>
          <t>Londa Professional Visible Repair Conditioner Express Treatment For Damaged Hair 1000ml</t>
        </is>
      </c>
      <c r="C14929" t="inlineStr">
        <is>
          <t>Conditioner</t>
        </is>
      </c>
      <c r="D14929" t="inlineStr">
        <is>
          <t>Londa Professional</t>
        </is>
      </c>
      <c r="E14929" t="n">
        <v>9.82</v>
      </c>
      <c r="F14929" t="n">
        <v>1</v>
      </c>
      <c r="G14929" t="n">
        <v>59</v>
      </c>
      <c r="H14929" s="5">
        <f>HYPERLINK("https://api.qogita.com/variants/link/4064666317991/", "View Product")</f>
        <v/>
      </c>
    </row>
    <row r="14930">
      <c r="A14930" t="inlineStr">
        <is>
          <t>4064666321615</t>
        </is>
      </c>
      <c r="B14930" t="inlineStr">
        <is>
          <t>Wella Professionals Sp Hydrate Conditioner Moisturizing Hair Conditioner 1l</t>
        </is>
      </c>
      <c r="C14930" t="inlineStr">
        <is>
          <t>Conditioner</t>
        </is>
      </c>
      <c r="D14930" t="inlineStr">
        <is>
          <t>Wella Professionals</t>
        </is>
      </c>
      <c r="E14930" t="n">
        <v>14.72</v>
      </c>
      <c r="F14930" t="n">
        <v>1</v>
      </c>
      <c r="G14930" t="n">
        <v>2</v>
      </c>
      <c r="H14930" s="5">
        <f>HYPERLINK("https://api.qogita.com/variants/link/4064666321615/", "View Product")</f>
        <v/>
      </c>
    </row>
    <row r="14931">
      <c r="A14931" t="inlineStr">
        <is>
          <t>4064666321646</t>
        </is>
      </c>
      <c r="B14931" t="inlineStr">
        <is>
          <t>Wella SP Smoothen Conditioner 200ml</t>
        </is>
      </c>
      <c r="C14931" t="inlineStr">
        <is>
          <t>Conditioner</t>
        </is>
      </c>
      <c r="D14931" t="inlineStr">
        <is>
          <t>Wella</t>
        </is>
      </c>
      <c r="E14931" t="n">
        <v>7.72</v>
      </c>
      <c r="F14931" t="n">
        <v>1</v>
      </c>
      <c r="G14931" t="n">
        <v>4</v>
      </c>
      <c r="H14931" s="5">
        <f>HYPERLINK("https://api.qogita.com/variants/link/4064666321646/", "View Product")</f>
        <v/>
      </c>
    </row>
    <row r="14932">
      <c r="A14932" t="inlineStr">
        <is>
          <t>4064666326108</t>
        </is>
      </c>
      <c r="B14932" t="inlineStr">
        <is>
          <t>Wella Professionals Sp Luxe Oil Reconstructive Elixir - 100ml</t>
        </is>
      </c>
      <c r="C14932" t="inlineStr">
        <is>
          <t>Hair Oil &amp; Hair Serum</t>
        </is>
      </c>
      <c r="D14932" t="inlineStr">
        <is>
          <t>Wella Professionals</t>
        </is>
      </c>
      <c r="E14932" t="n">
        <v>7.86</v>
      </c>
      <c r="F14932" t="n">
        <v>1</v>
      </c>
      <c r="G14932" t="n">
        <v>53</v>
      </c>
      <c r="H14932" s="5">
        <f>HYPERLINK("https://api.qogita.com/variants/link/4064666326108/", "View Product")</f>
        <v/>
      </c>
    </row>
    <row r="14933">
      <c r="A14933" t="inlineStr">
        <is>
          <t>4064666337821</t>
        </is>
      </c>
      <c r="B14933" t="inlineStr">
        <is>
          <t>Wella Professionals Elements Gentle Renewing Shampoo 100ml</t>
        </is>
      </c>
      <c r="C14933" t="inlineStr">
        <is>
          <t>Shampoo</t>
        </is>
      </c>
      <c r="D14933" t="inlineStr">
        <is>
          <t>Wella Professionals</t>
        </is>
      </c>
      <c r="E14933" t="n">
        <v>4.36</v>
      </c>
      <c r="F14933" t="n">
        <v>1</v>
      </c>
      <c r="G14933" t="n">
        <v>4</v>
      </c>
      <c r="H14933" s="5">
        <f>HYPERLINK("https://api.qogita.com/variants/link/4064666337821/", "View Product")</f>
        <v/>
      </c>
    </row>
    <row r="14934">
      <c r="A14934" t="inlineStr">
        <is>
          <t>4064666338880</t>
        </is>
      </c>
      <c r="B14934" t="inlineStr">
        <is>
          <t>Wella Professionals Wella Invigo Color Service Postcolor Treatment 1000ml</t>
        </is>
      </c>
      <c r="C14934" t="inlineStr">
        <is>
          <t>Conditioner</t>
        </is>
      </c>
      <c r="D14934" t="inlineStr">
        <is>
          <t>Wella Professionals</t>
        </is>
      </c>
      <c r="E14934" t="n">
        <v>20.97</v>
      </c>
      <c r="F14934" t="n">
        <v>1</v>
      </c>
      <c r="G14934" t="n">
        <v>9</v>
      </c>
      <c r="H14934" s="5">
        <f>HYPERLINK("https://api.qogita.com/variants/link/4064666338880/", "View Product")</f>
        <v/>
      </c>
    </row>
    <row r="14935">
      <c r="A14935" t="inlineStr">
        <is>
          <t>4064666338910</t>
        </is>
      </c>
      <c r="B14935" t="inlineStr">
        <is>
          <t>Wella Professional Invigo Color Service Skin Protection Cream 75ml</t>
        </is>
      </c>
      <c r="C14935" t="inlineStr">
        <is>
          <t>Uv Protection</t>
        </is>
      </c>
      <c r="D14935" t="inlineStr">
        <is>
          <t>Wella</t>
        </is>
      </c>
      <c r="E14935" t="n">
        <v>7.51</v>
      </c>
      <c r="F14935" t="n">
        <v>1</v>
      </c>
      <c r="G14935" t="n">
        <v>68</v>
      </c>
      <c r="H14935" s="5">
        <f>HYPERLINK("https://api.qogita.com/variants/link/4064666338910/", "View Product")</f>
        <v/>
      </c>
    </row>
    <row r="14936">
      <c r="A14936" t="inlineStr">
        <is>
          <t>4064666338941</t>
        </is>
      </c>
      <c r="B14936" t="inlineStr">
        <is>
          <t>Wella Professionals Invigo Sun Shampoo 300ml Cleansing Shampoo For Hair Stressed By The Sun</t>
        </is>
      </c>
      <c r="C14936" t="inlineStr">
        <is>
          <t>Shampoo</t>
        </is>
      </c>
      <c r="D14936" t="inlineStr">
        <is>
          <t>Wella Professionals</t>
        </is>
      </c>
      <c r="E14936" t="n">
        <v>7.43</v>
      </c>
      <c r="F14936" t="n">
        <v>1</v>
      </c>
      <c r="G14936" t="n">
        <v>2</v>
      </c>
      <c r="H14936" s="5">
        <f>HYPERLINK("https://api.qogita.com/variants/link/4064666338941/", "View Product")</f>
        <v/>
      </c>
    </row>
    <row r="14937">
      <c r="A14937" t="inlineStr">
        <is>
          <t>4064666339160</t>
        </is>
      </c>
      <c r="B14937" t="inlineStr">
        <is>
          <t>Wella Professionals Invigo Color Brilliance Color Protection Shampoo For Fine And Normal Hair 100ml</t>
        </is>
      </c>
      <c r="C14937" t="inlineStr">
        <is>
          <t>Shampoo</t>
        </is>
      </c>
      <c r="D14937" t="inlineStr">
        <is>
          <t>Wella Professionals</t>
        </is>
      </c>
      <c r="E14937" t="n">
        <v>4.33</v>
      </c>
      <c r="F14937" t="n">
        <v>1</v>
      </c>
      <c r="G14937" t="n">
        <v>11</v>
      </c>
      <c r="H14937" s="5">
        <f>HYPERLINK("https://api.qogita.com/variants/link/4064666339160/", "View Product")</f>
        <v/>
      </c>
    </row>
    <row r="14938">
      <c r="A14938" t="inlineStr">
        <is>
          <t>4064666339214</t>
        </is>
      </c>
      <c r="B14938" t="inlineStr">
        <is>
          <t>Wella Professionals Invigo Color Brilliance Shampoo For Coarse Hair 500ml</t>
        </is>
      </c>
      <c r="C14938" t="inlineStr">
        <is>
          <t>Shampoo</t>
        </is>
      </c>
      <c r="D14938" t="inlineStr">
        <is>
          <t>Wella Professionals</t>
        </is>
      </c>
      <c r="E14938" t="n">
        <v>11.29</v>
      </c>
      <c r="F14938" t="n">
        <v>1</v>
      </c>
      <c r="G14938" t="n">
        <v>8</v>
      </c>
      <c r="H14938" s="5">
        <f>HYPERLINK("https://api.qogita.com/variants/link/4064666339214/", "View Product")</f>
        <v/>
      </c>
    </row>
    <row r="14939">
      <c r="A14939" t="inlineStr">
        <is>
          <t>4064666339245</t>
        </is>
      </c>
      <c r="B14939" t="inlineStr">
        <is>
          <t>Wella Professionals Invigo Color Brilliance Conditioner Fine To Medium Coloured Hair 200ml</t>
        </is>
      </c>
      <c r="C14939" t="inlineStr">
        <is>
          <t>Conditioner</t>
        </is>
      </c>
      <c r="D14939" t="inlineStr">
        <is>
          <t>Wella Professionals</t>
        </is>
      </c>
      <c r="E14939" t="n">
        <v>9.609999999999999</v>
      </c>
      <c r="F14939" t="n">
        <v>1</v>
      </c>
      <c r="G14939" t="n">
        <v>23</v>
      </c>
      <c r="H14939" s="5">
        <f>HYPERLINK("https://api.qogita.com/variants/link/4064666339245/", "View Product")</f>
        <v/>
      </c>
    </row>
    <row r="14940">
      <c r="A14940" t="inlineStr">
        <is>
          <t>4064666339252</t>
        </is>
      </c>
      <c r="B14940" t="inlineStr">
        <is>
          <t>Wella Professionals Invigo Color Brilliance Conditioner For Coarse Coloured Hair 200ml</t>
        </is>
      </c>
      <c r="C14940" t="inlineStr">
        <is>
          <t>Conditioner</t>
        </is>
      </c>
      <c r="D14940" t="inlineStr">
        <is>
          <t>Wella Professionals</t>
        </is>
      </c>
      <c r="E14940" t="n">
        <v>8.779999999999999</v>
      </c>
      <c r="F14940" t="n">
        <v>1</v>
      </c>
      <c r="G14940" t="n">
        <v>2</v>
      </c>
      <c r="H14940" s="5">
        <f>HYPERLINK("https://api.qogita.com/variants/link/4064666339252/", "View Product")</f>
        <v/>
      </c>
    </row>
    <row r="14941">
      <c r="A14941" t="inlineStr">
        <is>
          <t>4064666339764</t>
        </is>
      </c>
      <c r="B14941" t="inlineStr">
        <is>
          <t>WELLA Professionals Invigo Colour Brilliance Miracle BB Spray 150ml</t>
        </is>
      </c>
      <c r="C14941" t="inlineStr">
        <is>
          <t>Leave-In Conditioner</t>
        </is>
      </c>
      <c r="D14941" t="inlineStr">
        <is>
          <t>Wella</t>
        </is>
      </c>
      <c r="E14941" t="n">
        <v>11.34</v>
      </c>
      <c r="F14941" t="n">
        <v>1</v>
      </c>
      <c r="G14941" t="n">
        <v>3</v>
      </c>
      <c r="H14941" s="5">
        <f>HYPERLINK("https://api.qogita.com/variants/link/4064666339764/", "View Product")</f>
        <v/>
      </c>
    </row>
    <row r="14942">
      <c r="A14942" t="inlineStr">
        <is>
          <t>4064666582962</t>
        </is>
      </c>
      <c r="B14942" t="inlineStr">
        <is>
          <t>Wella Professionals Fusion Intense Repair Shampoo 250ml</t>
        </is>
      </c>
      <c r="C14942" t="inlineStr">
        <is>
          <t>Shampoo</t>
        </is>
      </c>
      <c r="D14942" t="inlineStr">
        <is>
          <t>Wella Professionals</t>
        </is>
      </c>
      <c r="E14942" t="n">
        <v>8.93</v>
      </c>
      <c r="F14942" t="n">
        <v>1</v>
      </c>
      <c r="G14942" t="n">
        <v>17</v>
      </c>
      <c r="H14942" s="5">
        <f>HYPERLINK("https://api.qogita.com/variants/link/4064666582962/", "View Product")</f>
        <v/>
      </c>
    </row>
    <row r="14943">
      <c r="A14943" t="inlineStr">
        <is>
          <t>4064666583259</t>
        </is>
      </c>
      <c r="B14943" t="inlineStr">
        <is>
          <t>Wella Professionals Oil Reflections Luminous Reveal Shampoo 250ml</t>
        </is>
      </c>
      <c r="C14943" t="inlineStr">
        <is>
          <t>Shampoo</t>
        </is>
      </c>
      <c r="D14943" t="inlineStr">
        <is>
          <t>Wella</t>
        </is>
      </c>
      <c r="E14943" t="n">
        <v>8.09</v>
      </c>
      <c r="F14943" t="n">
        <v>1</v>
      </c>
      <c r="G14943" t="n">
        <v>8</v>
      </c>
      <c r="H14943" s="5">
        <f>HYPERLINK("https://api.qogita.com/variants/link/4064666583259/", "View Product")</f>
        <v/>
      </c>
    </row>
    <row r="14944">
      <c r="A14944" t="inlineStr">
        <is>
          <t>4064666583341</t>
        </is>
      </c>
      <c r="B14944" t="inlineStr">
        <is>
          <t>Wella Color Motion Color Protection Shampoo 100ml For Colored Hair</t>
        </is>
      </c>
      <c r="C14944" t="inlineStr">
        <is>
          <t>Shampoo</t>
        </is>
      </c>
      <c r="D14944" t="inlineStr">
        <is>
          <t>Wella</t>
        </is>
      </c>
      <c r="E14944" t="n">
        <v>5.06</v>
      </c>
      <c r="F14944" t="n">
        <v>1</v>
      </c>
      <c r="G14944" t="n">
        <v>8</v>
      </c>
      <c r="H14944" s="5">
        <f>HYPERLINK("https://api.qogita.com/variants/link/4064666583341/", "View Product")</f>
        <v/>
      </c>
    </row>
    <row r="14945">
      <c r="A14945" t="inlineStr">
        <is>
          <t>4064666585260</t>
        </is>
      </c>
      <c r="B14945" t="inlineStr">
        <is>
          <t>Wella Professionals Invigo Scalp Balance Shampoo Sensitive Scalp 1000ml</t>
        </is>
      </c>
      <c r="C14945" t="inlineStr">
        <is>
          <t>Shampoo</t>
        </is>
      </c>
      <c r="D14945" t="inlineStr">
        <is>
          <t>Wella Professionals</t>
        </is>
      </c>
      <c r="E14945" t="n">
        <v>16.58</v>
      </c>
      <c r="F14945" t="n">
        <v>1</v>
      </c>
      <c r="G14945" t="n">
        <v>8</v>
      </c>
      <c r="H14945" s="5">
        <f>HYPERLINK("https://api.qogita.com/variants/link/4064666585260/", "View Product")</f>
        <v/>
      </c>
    </row>
    <row r="14946">
      <c r="A14946" t="inlineStr">
        <is>
          <t>4064666585338</t>
        </is>
      </c>
      <c r="B14946" t="inlineStr">
        <is>
          <t>Wella Invigo Scalp Balance Anti-Hair Loss Serum 6ml</t>
        </is>
      </c>
      <c r="C14946" t="inlineStr">
        <is>
          <t>Scalp Care</t>
        </is>
      </c>
      <c r="D14946" t="inlineStr">
        <is>
          <t>Wella</t>
        </is>
      </c>
      <c r="E14946" t="n">
        <v>16.69</v>
      </c>
      <c r="F14946" t="n">
        <v>1</v>
      </c>
      <c r="G14946" t="n">
        <v>11</v>
      </c>
      <c r="H14946" s="5">
        <f>HYPERLINK("https://api.qogita.com/variants/link/4064666585338/", "View Product")</f>
        <v/>
      </c>
    </row>
    <row r="14947">
      <c r="A14947" t="inlineStr">
        <is>
          <t>4064666585765</t>
        </is>
      </c>
      <c r="B14947" t="inlineStr">
        <is>
          <t>Wella Professionals Invigo Nutrienrich Shampoo 300ml</t>
        </is>
      </c>
      <c r="C14947" t="inlineStr">
        <is>
          <t>Shampoo</t>
        </is>
      </c>
      <c r="D14947" t="inlineStr">
        <is>
          <t>Wella Professionals</t>
        </is>
      </c>
      <c r="E14947" t="n">
        <v>8.52</v>
      </c>
      <c r="F14947" t="n">
        <v>1</v>
      </c>
      <c r="G14947" t="n">
        <v>2</v>
      </c>
      <c r="H14947" s="5">
        <f>HYPERLINK("https://api.qogita.com/variants/link/4064666585765/", "View Product")</f>
        <v/>
      </c>
    </row>
    <row r="14948">
      <c r="A14948" t="inlineStr">
        <is>
          <t>4064666717845</t>
        </is>
      </c>
      <c r="B14948" t="inlineStr">
        <is>
          <t>Wella Shinefinity 60 ml 0100 Hair Color</t>
        </is>
      </c>
      <c r="C14948" t="inlineStr">
        <is>
          <t>Hair Dye</t>
        </is>
      </c>
      <c r="D14948" t="inlineStr">
        <is>
          <t>Wella</t>
        </is>
      </c>
      <c r="E14948" t="n">
        <v>7.37</v>
      </c>
      <c r="F14948" t="n">
        <v>1</v>
      </c>
      <c r="G14948" t="n">
        <v>3</v>
      </c>
      <c r="H14948" s="5">
        <f>HYPERLINK("https://api.qogita.com/variants/link/4064666717845/", "View Product")</f>
        <v/>
      </c>
    </row>
    <row r="14949">
      <c r="A14949" t="inlineStr">
        <is>
          <t>4064666758329</t>
        </is>
      </c>
      <c r="B14949" t="inlineStr">
        <is>
          <t>System Professional Luxeblond Mask For Regenerating Blond Hair</t>
        </is>
      </c>
      <c r="C14949" t="inlineStr">
        <is>
          <t>Hair Masks</t>
        </is>
      </c>
      <c r="D14949" t="inlineStr">
        <is>
          <t>System Professional</t>
        </is>
      </c>
      <c r="E14949" t="n">
        <v>35.01</v>
      </c>
      <c r="F14949" t="n">
        <v>1</v>
      </c>
      <c r="G14949" t="n">
        <v>4</v>
      </c>
      <c r="H14949" s="5">
        <f>HYPERLINK("https://api.qogita.com/variants/link/4064666758329/", "View Product")</f>
        <v/>
      </c>
    </row>
    <row r="14950">
      <c r="A14950" t="inlineStr">
        <is>
          <t>4064666792880</t>
        </is>
      </c>
      <c r="B14950" t="inlineStr">
        <is>
          <t>Londa Professional Expand It Strong Hold Mousse 200 Ml</t>
        </is>
      </c>
      <c r="C14950" t="inlineStr">
        <is>
          <t>Mousse</t>
        </is>
      </c>
      <c r="D14950" t="inlineStr">
        <is>
          <t>Londa Professional</t>
        </is>
      </c>
      <c r="E14950" t="n">
        <v>6.87</v>
      </c>
      <c r="F14950" t="n">
        <v>1</v>
      </c>
      <c r="G14950" t="n">
        <v>45</v>
      </c>
      <c r="H14950" s="5">
        <f>HYPERLINK("https://api.qogita.com/variants/link/4064666792880/", "View Product")</f>
        <v/>
      </c>
    </row>
    <row r="14951">
      <c r="A14951" t="inlineStr">
        <is>
          <t>4064666842660</t>
        </is>
      </c>
      <c r="B14951" t="inlineStr">
        <is>
          <t>Nioxin System 4 Shampoo Dyed and Damaged Hair with Advanced Weakening 300 ml</t>
        </is>
      </c>
      <c r="C14951" t="inlineStr">
        <is>
          <t>Shampoo</t>
        </is>
      </c>
      <c r="D14951" t="inlineStr">
        <is>
          <t>Nioxin</t>
        </is>
      </c>
      <c r="E14951" t="n">
        <v>11.93</v>
      </c>
      <c r="F14951" t="n">
        <v>1</v>
      </c>
      <c r="G14951" t="n">
        <v>4</v>
      </c>
      <c r="H14951" s="5">
        <f>HYPERLINK("https://api.qogita.com/variants/link/4064666842660/", "View Product")</f>
        <v/>
      </c>
    </row>
    <row r="14952">
      <c r="A14952" t="inlineStr">
        <is>
          <t>4064666842707</t>
        </is>
      </c>
      <c r="B14952" t="inlineStr">
        <is>
          <t>Nioxin System 3 Shampoo Cleanser For Fine Color Thinning Hair</t>
        </is>
      </c>
      <c r="C14952" t="inlineStr">
        <is>
          <t>Shampoo</t>
        </is>
      </c>
      <c r="D14952" t="inlineStr">
        <is>
          <t>Nioxin</t>
        </is>
      </c>
      <c r="E14952" t="n">
        <v>12.99</v>
      </c>
      <c r="F14952" t="n">
        <v>1</v>
      </c>
      <c r="G14952" t="n">
        <v>19</v>
      </c>
      <c r="H14952" s="5">
        <f>HYPERLINK("https://api.qogita.com/variants/link/4064666842707/", "View Product")</f>
        <v/>
      </c>
    </row>
    <row r="14953">
      <c r="A14953" t="inlineStr">
        <is>
          <t>4064666843773</t>
        </is>
      </c>
      <c r="B14953" t="inlineStr">
        <is>
          <t>Sebastian Professional Nobreaker Rebalancing Bonding Preshampoo Cream 200ml</t>
        </is>
      </c>
      <c r="C14953" t="inlineStr">
        <is>
          <t>Shampoo</t>
        </is>
      </c>
      <c r="D14953" t="inlineStr">
        <is>
          <t>Sebastian Professional</t>
        </is>
      </c>
      <c r="E14953" t="n">
        <v>9.050000000000001</v>
      </c>
      <c r="F14953" t="n">
        <v>1</v>
      </c>
      <c r="G14953" t="n">
        <v>23</v>
      </c>
      <c r="H14953" s="5">
        <f>HYPERLINK("https://api.qogita.com/variants/link/4064666843773/", "View Product")</f>
        <v/>
      </c>
    </row>
    <row r="14954">
      <c r="A14954" t="inlineStr">
        <is>
          <t>4064666897851</t>
        </is>
      </c>
      <c r="B14954" t="inlineStr">
        <is>
          <t>Nioxin Scalp Recovery Pyrithione Zinc Moisturizing Conditioner - 200 Ml</t>
        </is>
      </c>
      <c r="C14954" t="inlineStr">
        <is>
          <t>Conditioner</t>
        </is>
      </c>
      <c r="D14954" t="inlineStr">
        <is>
          <t>Nioxin</t>
        </is>
      </c>
      <c r="E14954" t="n">
        <v>13.51</v>
      </c>
      <c r="F14954" t="n">
        <v>1</v>
      </c>
      <c r="G14954" t="n">
        <v>21</v>
      </c>
      <c r="H14954" s="5">
        <f>HYPERLINK("https://api.qogita.com/variants/link/4064666897851/", "View Product")</f>
        <v/>
      </c>
    </row>
    <row r="14955">
      <c r="A14955" t="inlineStr">
        <is>
          <t>4064666898148</t>
        </is>
      </c>
      <c r="B14955" t="inlineStr">
        <is>
          <t>Nioxin Hair Spray - Fixative Spray For Medium To Thick Hair 300ml</t>
        </is>
      </c>
      <c r="C14955" t="inlineStr">
        <is>
          <t>Hairspray</t>
        </is>
      </c>
      <c r="D14955" t="inlineStr">
        <is>
          <t>Nioxin</t>
        </is>
      </c>
      <c r="E14955" t="n">
        <v>15.36</v>
      </c>
      <c r="F14955" t="n">
        <v>1</v>
      </c>
      <c r="G14955" t="n">
        <v>10</v>
      </c>
      <c r="H14955" s="5">
        <f>HYPERLINK("https://api.qogita.com/variants/link/4064666898148/", "View Product")</f>
        <v/>
      </c>
    </row>
    <row r="14956">
      <c r="A14956" t="inlineStr">
        <is>
          <t>4064666898186</t>
        </is>
      </c>
      <c r="B14956" t="inlineStr">
        <is>
          <t>Nioxin 3d Expert Derma-Brasion Scalp Renew Treatment 75 Ml</t>
        </is>
      </c>
      <c r="C14956" t="inlineStr">
        <is>
          <t>Scalp Care</t>
        </is>
      </c>
      <c r="D14956" t="inlineStr">
        <is>
          <t>Nioxin</t>
        </is>
      </c>
      <c r="E14956" t="n">
        <v>16</v>
      </c>
      <c r="F14956" t="n">
        <v>1</v>
      </c>
      <c r="G14956" t="n">
        <v>17</v>
      </c>
      <c r="H14956" s="5">
        <f>HYPERLINK("https://api.qogita.com/variants/link/4064666898186/", "View Product")</f>
        <v/>
      </c>
    </row>
    <row r="14957">
      <c r="A14957" t="inlineStr">
        <is>
          <t>4064666898957</t>
        </is>
      </c>
      <c r="B14957" t="inlineStr">
        <is>
          <t>Wella Professionals Eimi Ocean Spritz 150ml - Hair Styling Spray</t>
        </is>
      </c>
      <c r="C14957" t="inlineStr">
        <is>
          <t>Styling Sprays</t>
        </is>
      </c>
      <c r="D14957" t="inlineStr">
        <is>
          <t>Wella Professionals</t>
        </is>
      </c>
      <c r="E14957" t="n">
        <v>8.869999999999999</v>
      </c>
      <c r="F14957" t="n">
        <v>1</v>
      </c>
      <c r="G14957" t="n">
        <v>15</v>
      </c>
      <c r="H14957" s="5">
        <f>HYPERLINK("https://api.qogita.com/variants/link/4064666898957/", "View Product")</f>
        <v/>
      </c>
    </row>
    <row r="14958">
      <c r="A14958" t="inlineStr">
        <is>
          <t>4064666900780</t>
        </is>
      </c>
      <c r="B14958" t="inlineStr">
        <is>
          <t>Wella Color Touch Plus 40 - 60 Ml Hair Color</t>
        </is>
      </c>
      <c r="C14958" t="inlineStr">
        <is>
          <t>Hair Dye</t>
        </is>
      </c>
      <c r="D14958" t="inlineStr">
        <is>
          <t>Wella</t>
        </is>
      </c>
      <c r="E14958" t="n">
        <v>7.27</v>
      </c>
      <c r="F14958" t="n">
        <v>1</v>
      </c>
      <c r="G14958" t="n">
        <v>5</v>
      </c>
      <c r="H14958" s="5">
        <f>HYPERLINK("https://api.qogita.com/variants/link/4064666900780/", "View Product")</f>
        <v/>
      </c>
    </row>
    <row r="14959">
      <c r="A14959" t="inlineStr">
        <is>
          <t>4064666906133</t>
        </is>
      </c>
      <c r="B14959" t="inlineStr">
        <is>
          <t>Wella Professionals Ultimate Smooth Nourishing Oil Serum 100ml</t>
        </is>
      </c>
      <c r="C14959" t="inlineStr">
        <is>
          <t>Hair Oil &amp; Hair Serum</t>
        </is>
      </c>
      <c r="D14959" t="inlineStr">
        <is>
          <t>Wella Professionals</t>
        </is>
      </c>
      <c r="E14959" t="n">
        <v>31.07</v>
      </c>
      <c r="F14959" t="n">
        <v>1</v>
      </c>
      <c r="G14959" t="n">
        <v>10</v>
      </c>
      <c r="H14959" s="5">
        <f>HYPERLINK("https://api.qogita.com/variants/link/4064666906133/", "View Product")</f>
        <v/>
      </c>
    </row>
    <row r="14960">
      <c r="A14960" t="inlineStr">
        <is>
          <t>4064666937052</t>
        </is>
      </c>
      <c r="B14960" t="inlineStr">
        <is>
          <t>Wella Professionals Color Touch 10/81 - Semi-Permanent Hair Color</t>
        </is>
      </c>
      <c r="C14960" t="inlineStr">
        <is>
          <t>Hair Dye</t>
        </is>
      </c>
      <c r="D14960" t="inlineStr">
        <is>
          <t>Wella Professionals</t>
        </is>
      </c>
      <c r="E14960" t="n">
        <v>7.02</v>
      </c>
      <c r="F14960" t="n">
        <v>1</v>
      </c>
      <c r="G14960" t="n">
        <v>5</v>
      </c>
      <c r="H14960" s="5">
        <f>HYPERLINK("https://api.qogita.com/variants/link/4064666937052/", "View Product")</f>
        <v/>
      </c>
    </row>
    <row r="14961">
      <c r="A14961" t="inlineStr">
        <is>
          <t>4064666945286</t>
        </is>
      </c>
      <c r="B14961" t="inlineStr">
        <is>
          <t>Wella Professionals Ultimate Smooth Conditioner 200ml</t>
        </is>
      </c>
      <c r="C14961" t="inlineStr">
        <is>
          <t>Conditioner</t>
        </is>
      </c>
      <c r="D14961" t="inlineStr">
        <is>
          <t>Wella Professionals</t>
        </is>
      </c>
      <c r="E14961" t="n">
        <v>19.65</v>
      </c>
      <c r="F14961" t="n">
        <v>1</v>
      </c>
      <c r="G14961" t="n">
        <v>2</v>
      </c>
      <c r="H14961" s="5">
        <f>HYPERLINK("https://api.qogita.com/variants/link/4064666945286/", "View Product")</f>
        <v/>
      </c>
    </row>
    <row r="14962">
      <c r="A14962" t="inlineStr">
        <is>
          <t>4064941006671</t>
        </is>
      </c>
      <c r="B14962" t="inlineStr">
        <is>
          <t>Kylie Cosmetics Set Matte Liquid Lipstick Lip Liner</t>
        </is>
      </c>
      <c r="C14962" t="inlineStr">
        <is>
          <t>Lip Sets</t>
        </is>
      </c>
      <c r="D14962" t="inlineStr">
        <is>
          <t>Kylie Cosmetics</t>
        </is>
      </c>
      <c r="E14962" t="n">
        <v>30.34</v>
      </c>
      <c r="F14962" t="n">
        <v>1</v>
      </c>
      <c r="G14962" t="n">
        <v>3</v>
      </c>
      <c r="H14962" s="5">
        <f>HYPERLINK("https://api.qogita.com/variants/link/4064941006671/", "View Product")</f>
        <v/>
      </c>
    </row>
    <row r="14963">
      <c r="A14963" t="inlineStr">
        <is>
          <t>4064941006824</t>
        </is>
      </c>
      <c r="B14963" t="inlineStr">
        <is>
          <t>Kylie Cosmetics Matte Lip Kit 300 Koko K for Women</t>
        </is>
      </c>
      <c r="C14963" t="inlineStr">
        <is>
          <t>Lip Sets</t>
        </is>
      </c>
      <c r="D14963" t="inlineStr">
        <is>
          <t>Kylie Cosmetics</t>
        </is>
      </c>
      <c r="E14963" t="n">
        <v>29.71</v>
      </c>
      <c r="F14963" t="n">
        <v>1</v>
      </c>
      <c r="G14963" t="n">
        <v>5</v>
      </c>
      <c r="H14963" s="5">
        <f>HYPERLINK("https://api.qogita.com/variants/link/4064941006824/", "View Product")</f>
        <v/>
      </c>
    </row>
    <row r="14964">
      <c r="A14964" t="inlineStr">
        <is>
          <t>4064941006985</t>
        </is>
      </c>
      <c r="B14964" t="inlineStr">
        <is>
          <t>Kylie Cosmetics Set Velvet Liquid Lipstick + Lip Liner</t>
        </is>
      </c>
      <c r="C14964" t="inlineStr">
        <is>
          <t>Lip Sets</t>
        </is>
      </c>
      <c r="D14964" t="inlineStr">
        <is>
          <t>Kylie Cosmetics</t>
        </is>
      </c>
      <c r="E14964" t="n">
        <v>29.9</v>
      </c>
      <c r="F14964" t="n">
        <v>1</v>
      </c>
      <c r="G14964" t="n">
        <v>4</v>
      </c>
      <c r="H14964" s="5">
        <f>HYPERLINK("https://api.qogita.com/variants/link/4064941006985/", "View Product")</f>
        <v/>
      </c>
    </row>
    <row r="14965">
      <c r="A14965" t="inlineStr">
        <is>
          <t>4064941007081</t>
        </is>
      </c>
      <c r="B14965" t="inlineStr">
        <is>
          <t>Kylie Cosmetics Matte Liquid Lipstick - 3 Ml</t>
        </is>
      </c>
      <c r="C14965" t="inlineStr">
        <is>
          <t>Lipstick</t>
        </is>
      </c>
      <c r="D14965" t="inlineStr">
        <is>
          <t>Kylie Cosmetics</t>
        </is>
      </c>
      <c r="E14965" t="n">
        <v>18.3</v>
      </c>
      <c r="F14965" t="n">
        <v>1</v>
      </c>
      <c r="G14965" t="n">
        <v>9</v>
      </c>
      <c r="H14965" s="5">
        <f>HYPERLINK("https://api.qogita.com/variants/link/4064941007081/", "View Product")</f>
        <v/>
      </c>
    </row>
    <row r="14966">
      <c r="A14966" t="inlineStr">
        <is>
          <t>4064941007487</t>
        </is>
      </c>
      <c r="B14966" t="inlineStr">
        <is>
          <t>Kylie Cosmetics Matte Liquid Lipstick - 3 Ml</t>
        </is>
      </c>
      <c r="C14966" t="inlineStr">
        <is>
          <t>Lipstick</t>
        </is>
      </c>
      <c r="D14966" t="inlineStr">
        <is>
          <t>Kylie Cosmetics</t>
        </is>
      </c>
      <c r="E14966" t="n">
        <v>18.3</v>
      </c>
      <c r="F14966" t="n">
        <v>1</v>
      </c>
      <c r="G14966" t="n">
        <v>9</v>
      </c>
      <c r="H14966" s="5">
        <f>HYPERLINK("https://api.qogita.com/variants/link/4064941007487/", "View Product")</f>
        <v/>
      </c>
    </row>
    <row r="14967">
      <c r="A14967" t="inlineStr">
        <is>
          <t>4064941007524</t>
        </is>
      </c>
      <c r="B14967" t="inlineStr">
        <is>
          <t>Kylie Cosmetics Matte Liquid Lipstick - 3 Ml</t>
        </is>
      </c>
      <c r="C14967" t="inlineStr">
        <is>
          <t>Lipstick</t>
        </is>
      </c>
      <c r="D14967" t="inlineStr">
        <is>
          <t>Kylie Cosmetics</t>
        </is>
      </c>
      <c r="E14967" t="n">
        <v>18.73</v>
      </c>
      <c r="F14967" t="n">
        <v>1</v>
      </c>
      <c r="G14967" t="n">
        <v>5</v>
      </c>
      <c r="H14967" s="5">
        <f>HYPERLINK("https://api.qogita.com/variants/link/4064941007524/", "View Product")</f>
        <v/>
      </c>
    </row>
    <row r="14968">
      <c r="A14968" t="inlineStr">
        <is>
          <t>4064941008514</t>
        </is>
      </c>
      <c r="B14968" t="inlineStr">
        <is>
          <t>Kylie Cosmetics Pressed Blush Powder 335 Baddie On The Block</t>
        </is>
      </c>
      <c r="C14968" t="inlineStr">
        <is>
          <t>Blush</t>
        </is>
      </c>
      <c r="D14968" t="inlineStr">
        <is>
          <t>Kylie Cosmetics</t>
        </is>
      </c>
      <c r="E14968" t="n">
        <v>18.7</v>
      </c>
      <c r="F14968" t="n">
        <v>1</v>
      </c>
      <c r="G14968" t="n">
        <v>5</v>
      </c>
      <c r="H14968" s="5">
        <f>HYPERLINK("https://api.qogita.com/variants/link/4064941008514/", "View Product")</f>
        <v/>
      </c>
    </row>
    <row r="14969">
      <c r="A14969" t="inlineStr">
        <is>
          <t>4064941008576</t>
        </is>
      </c>
      <c r="B14969" t="inlineStr">
        <is>
          <t>Kylie Cosmetics Matte Lip Kit 401 Victoria for Women</t>
        </is>
      </c>
      <c r="C14969" t="inlineStr">
        <is>
          <t>Lip Sets</t>
        </is>
      </c>
      <c r="D14969" t="inlineStr">
        <is>
          <t>Kylie Cosmetics</t>
        </is>
      </c>
      <c r="E14969" t="n">
        <v>30.34</v>
      </c>
      <c r="F14969" t="n">
        <v>1</v>
      </c>
      <c r="G14969" t="n">
        <v>5</v>
      </c>
      <c r="H14969" s="5">
        <f>HYPERLINK("https://api.qogita.com/variants/link/4064941008576/", "View Product")</f>
        <v/>
      </c>
    </row>
    <row r="14970">
      <c r="A14970" t="inlineStr">
        <is>
          <t>4064941008675</t>
        </is>
      </c>
      <c r="B14970" t="inlineStr">
        <is>
          <t>Kylie Cosmetics Matte Lip Kit 700 Bare for Women</t>
        </is>
      </c>
      <c r="C14970" t="inlineStr">
        <is>
          <t>Lip Sets</t>
        </is>
      </c>
      <c r="D14970" t="inlineStr">
        <is>
          <t>Kylie Cosmetics</t>
        </is>
      </c>
      <c r="E14970" t="n">
        <v>29.71</v>
      </c>
      <c r="F14970" t="n">
        <v>1</v>
      </c>
      <c r="G14970" t="n">
        <v>5</v>
      </c>
      <c r="H14970" s="5">
        <f>HYPERLINK("https://api.qogita.com/variants/link/4064941008675/", "View Product")</f>
        <v/>
      </c>
    </row>
    <row r="14971">
      <c r="A14971" t="inlineStr">
        <is>
          <t>4064941009085</t>
        </is>
      </c>
      <c r="B14971" t="inlineStr">
        <is>
          <t>Kylie Cosmetics Gel Eye Pencil - 1.2 Grams</t>
        </is>
      </c>
      <c r="C14971" t="inlineStr">
        <is>
          <t>Eye Pencil</t>
        </is>
      </c>
      <c r="D14971" t="inlineStr">
        <is>
          <t>Kylie Cosmetics</t>
        </is>
      </c>
      <c r="E14971" t="n">
        <v>15.31</v>
      </c>
      <c r="F14971" t="n">
        <v>1</v>
      </c>
      <c r="G14971" t="n">
        <v>2</v>
      </c>
      <c r="H14971" s="5">
        <f>HYPERLINK("https://api.qogita.com/variants/link/4064941009085/", "View Product")</f>
        <v/>
      </c>
    </row>
    <row r="14972">
      <c r="A14972" t="inlineStr">
        <is>
          <t>4064941009863</t>
        </is>
      </c>
      <c r="B14972" t="inlineStr">
        <is>
          <t>Kylie Cosmetics Matte Lipstick - 3.5 G</t>
        </is>
      </c>
      <c r="C14972" t="inlineStr">
        <is>
          <t>Lipstick</t>
        </is>
      </c>
      <c r="D14972" t="inlineStr">
        <is>
          <t>Kylie Cosmetics</t>
        </is>
      </c>
      <c r="E14972" t="n">
        <v>20.51</v>
      </c>
      <c r="F14972" t="n">
        <v>1</v>
      </c>
      <c r="G14972" t="n">
        <v>5</v>
      </c>
      <c r="H14972" s="5">
        <f>HYPERLINK("https://api.qogita.com/variants/link/4064941009863/", "View Product")</f>
        <v/>
      </c>
    </row>
    <row r="14973">
      <c r="A14973" t="inlineStr">
        <is>
          <t>4064941010425</t>
        </is>
      </c>
      <c r="B14973" t="inlineStr">
        <is>
          <t>Kylie Cosmetics Power Plush Longwear Foundation 30 Ml</t>
        </is>
      </c>
      <c r="C14973" t="inlineStr">
        <is>
          <t>Foundation</t>
        </is>
      </c>
      <c r="D14973" t="inlineStr">
        <is>
          <t>Kylie Cosmetics</t>
        </is>
      </c>
      <c r="E14973" t="n">
        <v>28.77</v>
      </c>
      <c r="F14973" t="n">
        <v>1</v>
      </c>
      <c r="G14973" t="n">
        <v>3</v>
      </c>
      <c r="H14973" s="5">
        <f>HYPERLINK("https://api.qogita.com/variants/link/4064941010425/", "View Product")</f>
        <v/>
      </c>
    </row>
    <row r="14974">
      <c r="A14974" t="inlineStr">
        <is>
          <t>4064941048978</t>
        </is>
      </c>
      <c r="B14974" t="inlineStr">
        <is>
          <t>Kylie Cosmetics Power Plush Longwear Concealer - 5 Ml</t>
        </is>
      </c>
      <c r="C14974" t="inlineStr">
        <is>
          <t>Concealer</t>
        </is>
      </c>
      <c r="D14974" t="inlineStr">
        <is>
          <t>Kylie Cosmetics</t>
        </is>
      </c>
      <c r="E14974" t="n">
        <v>23.46</v>
      </c>
      <c r="F14974" t="n">
        <v>1</v>
      </c>
      <c r="G14974" t="n">
        <v>3</v>
      </c>
      <c r="H14974" s="5">
        <f>HYPERLINK("https://api.qogita.com/variants/link/4064941048978/", "View Product")</f>
        <v/>
      </c>
    </row>
    <row r="14975">
      <c r="A14975" t="inlineStr">
        <is>
          <t>4064941049050</t>
        </is>
      </c>
      <c r="B14975" t="inlineStr">
        <is>
          <t>Kylie Cosmetics Power Plush Longwear Concealer - 5 Ml</t>
        </is>
      </c>
      <c r="C14975" t="inlineStr">
        <is>
          <t>Concealer</t>
        </is>
      </c>
      <c r="D14975" t="inlineStr">
        <is>
          <t>Kylie Cosmetics</t>
        </is>
      </c>
      <c r="E14975" t="n">
        <v>23.46</v>
      </c>
      <c r="F14975" t="n">
        <v>1</v>
      </c>
      <c r="G14975" t="n">
        <v>3</v>
      </c>
      <c r="H14975" s="5">
        <f>HYPERLINK("https://api.qogita.com/variants/link/4064941049050/", "View Product")</f>
        <v/>
      </c>
    </row>
    <row r="14976">
      <c r="A14976" t="inlineStr">
        <is>
          <t>4064941117230</t>
        </is>
      </c>
      <c r="B14976" t="inlineStr">
        <is>
          <t>Kylie Cosmetics Lip Gloss High Gloss - 3.3 G</t>
        </is>
      </c>
      <c r="C14976" t="inlineStr">
        <is>
          <t>Lip Gloss</t>
        </is>
      </c>
      <c r="D14976" t="inlineStr">
        <is>
          <t>Kylie Cosmetics</t>
        </is>
      </c>
      <c r="E14976" t="n">
        <v>17.06</v>
      </c>
      <c r="F14976" t="n">
        <v>1</v>
      </c>
      <c r="G14976" t="n">
        <v>3</v>
      </c>
      <c r="H14976" s="5">
        <f>HYPERLINK("https://api.qogita.com/variants/link/4064941117230/", "View Product")</f>
        <v/>
      </c>
    </row>
    <row r="14977">
      <c r="A14977" t="inlineStr">
        <is>
          <t>4064941127840</t>
        </is>
      </c>
      <c r="B14977" t="inlineStr">
        <is>
          <t>Kylie High Gloss Lip Gloss</t>
        </is>
      </c>
      <c r="C14977" t="inlineStr">
        <is>
          <t>Lip Gloss</t>
        </is>
      </c>
      <c r="D14977" t="inlineStr">
        <is>
          <t>Kylie Cosmetics</t>
        </is>
      </c>
      <c r="E14977" t="n">
        <v>27.2</v>
      </c>
      <c r="F14977" t="n">
        <v>1</v>
      </c>
      <c r="G14977" t="n">
        <v>5</v>
      </c>
      <c r="H14977" s="5">
        <f>HYPERLINK("https://api.qogita.com/variants/link/4064941127840/", "View Product")</f>
        <v/>
      </c>
    </row>
    <row r="14978">
      <c r="A14978" t="inlineStr">
        <is>
          <t>4064941130697</t>
        </is>
      </c>
      <c r="B14978" t="inlineStr">
        <is>
          <t>Kylie Cosmetics Supple Kiss Lip Gloss Lip Glaze - 3 Ml</t>
        </is>
      </c>
      <c r="C14978" t="inlineStr">
        <is>
          <t>Lip Gloss</t>
        </is>
      </c>
      <c r="D14978" t="inlineStr">
        <is>
          <t>Kylie Cosmetics</t>
        </is>
      </c>
      <c r="E14978" t="n">
        <v>16.95</v>
      </c>
      <c r="F14978" t="n">
        <v>1</v>
      </c>
      <c r="G14978" t="n">
        <v>4</v>
      </c>
      <c r="H14978" s="5">
        <f>HYPERLINK("https://api.qogita.com/variants/link/4064941130697/", "View Product")</f>
        <v/>
      </c>
    </row>
    <row r="14979">
      <c r="A14979" t="inlineStr">
        <is>
          <t>4067971076249</t>
        </is>
      </c>
      <c r="B14979" t="inlineStr">
        <is>
          <t>Schwarzkopf Professional Bc Moisture Kick Hydrating Spray Conditioner 200ml</t>
        </is>
      </c>
      <c r="C14979" t="inlineStr">
        <is>
          <t>Conditioner</t>
        </is>
      </c>
      <c r="D14979" t="inlineStr">
        <is>
          <t>Schwarzkopf</t>
        </is>
      </c>
      <c r="E14979" t="n">
        <v>8.16</v>
      </c>
      <c r="F14979" t="n">
        <v>1</v>
      </c>
      <c r="G14979" t="n">
        <v>26</v>
      </c>
      <c r="H14979" s="5">
        <f>HYPERLINK("https://api.qogita.com/variants/link/4067971076249/", "View Product")</f>
        <v/>
      </c>
    </row>
    <row r="14980">
      <c r="A14980" t="inlineStr">
        <is>
          <t>4068359080872</t>
        </is>
      </c>
      <c r="B14980" t="inlineStr">
        <is>
          <t>Wella Professionals Color Brilliance Gift Set</t>
        </is>
      </c>
      <c r="C14980" t="inlineStr">
        <is>
          <t>Hair Care Sets</t>
        </is>
      </c>
      <c r="D14980" t="inlineStr">
        <is>
          <t>Wella Professionals</t>
        </is>
      </c>
      <c r="E14980" t="n">
        <v>27.2</v>
      </c>
      <c r="F14980" t="n">
        <v>1</v>
      </c>
      <c r="G14980" t="n">
        <v>6</v>
      </c>
      <c r="H14980" s="5">
        <f>HYPERLINK("https://api.qogita.com/variants/link/4068359080872/", "View Product")</f>
        <v/>
      </c>
    </row>
    <row r="14981">
      <c r="A14981" t="inlineStr">
        <is>
          <t>4084500456396</t>
        </is>
      </c>
      <c r="B14981" t="inlineStr">
        <is>
          <t>Wella Professionals Magma Hair Color 120ml</t>
        </is>
      </c>
      <c r="C14981" t="inlineStr">
        <is>
          <t>Hair Dye</t>
        </is>
      </c>
      <c r="D14981" t="inlineStr">
        <is>
          <t>Wella Professionals</t>
        </is>
      </c>
      <c r="E14981" t="n">
        <v>19.46</v>
      </c>
      <c r="F14981" t="n">
        <v>1</v>
      </c>
      <c r="G14981" t="n">
        <v>3</v>
      </c>
      <c r="H14981" s="5">
        <f>HYPERLINK("https://api.qogita.com/variants/link/4084500456396/", "View Product")</f>
        <v/>
      </c>
    </row>
    <row r="14982">
      <c r="A14982" t="inlineStr">
        <is>
          <t>4084500488465</t>
        </is>
      </c>
      <c r="B14982" t="inlineStr">
        <is>
          <t>Old Spice Wolfthorn Deostick 50ml</t>
        </is>
      </c>
      <c r="C14982" t="inlineStr">
        <is>
          <t>Deodorant &amp; Anti-Perspirant</t>
        </is>
      </c>
      <c r="D14982" t="inlineStr">
        <is>
          <t>Old Spice</t>
        </is>
      </c>
      <c r="E14982" t="n">
        <v>2.77</v>
      </c>
      <c r="F14982" t="n">
        <v>1</v>
      </c>
      <c r="G14982" t="n">
        <v>7</v>
      </c>
      <c r="H14982" s="5">
        <f>HYPERLINK("https://api.qogita.com/variants/link/4084500488465/", "View Product")</f>
        <v/>
      </c>
    </row>
    <row r="14983">
      <c r="A14983" t="inlineStr">
        <is>
          <t>4084500489479</t>
        </is>
      </c>
      <c r="B14983" t="inlineStr">
        <is>
          <t>Old Spice Bearglove Deodorant Stick 50 Ml For Men</t>
        </is>
      </c>
      <c r="C14983" t="inlineStr">
        <is>
          <t>Deodorant &amp; Anti-Perspirant</t>
        </is>
      </c>
      <c r="D14983" t="inlineStr">
        <is>
          <t>Old Spice</t>
        </is>
      </c>
      <c r="E14983" t="n">
        <v>2.78</v>
      </c>
      <c r="F14983" t="n">
        <v>1</v>
      </c>
      <c r="G14983" t="n">
        <v>21</v>
      </c>
      <c r="H14983" s="5">
        <f>HYPERLINK("https://api.qogita.com/variants/link/4084500489479/", "View Product")</f>
        <v/>
      </c>
    </row>
    <row r="14984">
      <c r="A14984" t="inlineStr">
        <is>
          <t>4086900100428</t>
        </is>
      </c>
      <c r="B14984" t="inlineStr">
        <is>
          <t>PRIMAVERA Organic Lavender Essential Oil 10ml - Aroma Oil, Fragrance Oil, Aromatherapy - Balancing, Calming, Relaxing - Vegan</t>
        </is>
      </c>
      <c r="C14984" t="inlineStr">
        <is>
          <t>Incense</t>
        </is>
      </c>
      <c r="D14984" t="inlineStr">
        <is>
          <t>Primavera</t>
        </is>
      </c>
      <c r="E14984" t="n">
        <v>14.3</v>
      </c>
      <c r="F14984" t="n">
        <v>1</v>
      </c>
      <c r="G14984" t="n">
        <v>2</v>
      </c>
      <c r="H14984" s="5">
        <f>HYPERLINK("https://api.qogita.com/variants/link/4086900100428/", "View Product")</f>
        <v/>
      </c>
    </row>
    <row r="14985">
      <c r="A14985" t="inlineStr">
        <is>
          <t>4086900101371</t>
        </is>
      </c>
      <c r="B14985" t="inlineStr">
        <is>
          <t>Primavera Life Organic Red Mandarin 5ml</t>
        </is>
      </c>
      <c r="C14985" t="inlineStr">
        <is>
          <t>Refillable Fragrances &amp; Refills</t>
        </is>
      </c>
      <c r="D14985" t="inlineStr">
        <is>
          <t>Primavera</t>
        </is>
      </c>
      <c r="E14985" t="n">
        <v>9.44</v>
      </c>
      <c r="F14985" t="n">
        <v>1</v>
      </c>
      <c r="G14985" t="n">
        <v>3</v>
      </c>
      <c r="H14985" s="5">
        <f>HYPERLINK("https://api.qogita.com/variants/link/4086900101371/", "View Product")</f>
        <v/>
      </c>
    </row>
    <row r="14986">
      <c r="A14986" t="inlineStr">
        <is>
          <t>4086900101821</t>
        </is>
      </c>
      <c r="B14986" t="inlineStr">
        <is>
          <t>PRIMAVERA Organic Tea Tree Essential Oil 10ml - Cleansing, Antibacterial, Disinfecting Aromatherapy Oil - Vegan</t>
        </is>
      </c>
      <c r="C14986" t="inlineStr">
        <is>
          <t>Aromatherapy &amp; Essential Oils</t>
        </is>
      </c>
      <c r="D14986" t="inlineStr">
        <is>
          <t>Primavera</t>
        </is>
      </c>
      <c r="E14986" t="n">
        <v>11.25</v>
      </c>
      <c r="F14986" t="n">
        <v>1</v>
      </c>
      <c r="G14986" t="n">
        <v>2</v>
      </c>
      <c r="H14986" s="5">
        <f>HYPERLINK("https://api.qogita.com/variants/link/4086900101821/", "View Product")</f>
        <v/>
      </c>
    </row>
    <row r="14987">
      <c r="A14987" t="inlineStr">
        <is>
          <t>4086900105423</t>
        </is>
      </c>
      <c r="B14987" t="inlineStr">
        <is>
          <t>PRIMAVERA Lavender Essential Oil Demeter 5ml - Balancing, Calming, Relaxing Aromatherapy Oil - Vegan</t>
        </is>
      </c>
      <c r="C14987" t="inlineStr">
        <is>
          <t>Incense</t>
        </is>
      </c>
      <c r="D14987" t="inlineStr">
        <is>
          <t>Primavera</t>
        </is>
      </c>
      <c r="E14987" t="n">
        <v>10.31</v>
      </c>
      <c r="F14987" t="n">
        <v>1</v>
      </c>
      <c r="G14987" t="n">
        <v>3</v>
      </c>
      <c r="H14987" s="5">
        <f>HYPERLINK("https://api.qogita.com/variants/link/4086900105423/", "View Product")</f>
        <v/>
      </c>
    </row>
    <row r="14988">
      <c r="A14988" t="inlineStr">
        <is>
          <t>4086900185012</t>
        </is>
      </c>
      <c r="B14988" t="inlineStr">
        <is>
          <t>Primavera Yoga Flow Essential Oils Blend 5 Ml</t>
        </is>
      </c>
      <c r="C14988" t="inlineStr">
        <is>
          <t>Incense</t>
        </is>
      </c>
      <c r="D14988" t="inlineStr">
        <is>
          <t>Primavera</t>
        </is>
      </c>
      <c r="E14988" t="n">
        <v>10.8</v>
      </c>
      <c r="F14988" t="n">
        <v>1</v>
      </c>
      <c r="G14988" t="n">
        <v>4</v>
      </c>
      <c r="H14988" s="5">
        <f>HYPERLINK("https://api.qogita.com/variants/link/4086900185012/", "View Product")</f>
        <v/>
      </c>
    </row>
    <row r="14989">
      <c r="A14989" t="inlineStr">
        <is>
          <t>4086900186002</t>
        </is>
      </c>
      <c r="B14989" t="inlineStr">
        <is>
          <t>Primavera Kids Easy Learning Fragrance Blend 5 Ml - Aroma Oil, Fragrance Oil, Essential</t>
        </is>
      </c>
      <c r="C14989" t="inlineStr">
        <is>
          <t>Incense</t>
        </is>
      </c>
      <c r="D14989" t="inlineStr">
        <is>
          <t>Primavera</t>
        </is>
      </c>
      <c r="E14989" t="n">
        <v>10.53</v>
      </c>
      <c r="F14989" t="n">
        <v>1</v>
      </c>
      <c r="G14989" t="n">
        <v>3</v>
      </c>
      <c r="H14989" s="5">
        <f>HYPERLINK("https://api.qogita.com/variants/link/4086900186002/", "View Product")</f>
        <v/>
      </c>
    </row>
    <row r="14990">
      <c r="A14990" t="inlineStr">
        <is>
          <t>4086900186033</t>
        </is>
      </c>
      <c r="B14990" t="inlineStr">
        <is>
          <t>Primavera Play Along! Scent Mixture 5 Ml Vegan – Scented Oil, Room Scent For One</t>
        </is>
      </c>
      <c r="C14990" t="inlineStr">
        <is>
          <t>Diffusers</t>
        </is>
      </c>
      <c r="D14990" t="inlineStr">
        <is>
          <t>Primavera</t>
        </is>
      </c>
      <c r="E14990" t="n">
        <v>10.51</v>
      </c>
      <c r="F14990" t="n">
        <v>1</v>
      </c>
      <c r="G14990" t="n">
        <v>2</v>
      </c>
      <c r="H14990" s="5">
        <f>HYPERLINK("https://api.qogita.com/variants/link/4086900186033/", "View Product")</f>
        <v/>
      </c>
    </row>
    <row r="14991">
      <c r="A14991" t="inlineStr">
        <is>
          <t>4086900197107</t>
        </is>
      </c>
      <c r="B14991" t="inlineStr">
        <is>
          <t>Primavera Magic Moment Organic Room Spray 50ml - 100% Natural Fragrance</t>
        </is>
      </c>
      <c r="C14991" t="inlineStr">
        <is>
          <t>Diffusers</t>
        </is>
      </c>
      <c r="D14991" t="inlineStr">
        <is>
          <t>Primavera</t>
        </is>
      </c>
      <c r="E14991" t="n">
        <v>15.31</v>
      </c>
      <c r="F14991" t="n">
        <v>1</v>
      </c>
      <c r="G14991" t="n">
        <v>5</v>
      </c>
      <c r="H14991" s="5">
        <f>HYPERLINK("https://api.qogita.com/variants/link/4086900197107/", "View Product")</f>
        <v/>
      </c>
    </row>
    <row r="14992">
      <c r="A14992" t="inlineStr">
        <is>
          <t>4086900266001</t>
        </is>
      </c>
      <c r="B14992" t="inlineStr">
        <is>
          <t>PRIMAVERA Lebensfreude Dry Oil 100ml Lime and Ginger Scent - Vegan Natural Cosmetics</t>
        </is>
      </c>
      <c r="C14992" t="inlineStr">
        <is>
          <t>Body Oil</t>
        </is>
      </c>
      <c r="D14992" t="inlineStr">
        <is>
          <t>Primavera</t>
        </is>
      </c>
      <c r="E14992" t="n">
        <v>22.15</v>
      </c>
      <c r="F14992" t="n">
        <v>1</v>
      </c>
      <c r="G14992" t="n">
        <v>2</v>
      </c>
      <c r="H14992" s="5">
        <f>HYPERLINK("https://api.qogita.com/variants/link/4086900266001/", "View Product")</f>
        <v/>
      </c>
    </row>
    <row r="14993">
      <c r="A14993" t="inlineStr">
        <is>
          <t>4086900277601</t>
        </is>
      </c>
      <c r="B14993" t="inlineStr">
        <is>
          <t>PRIMAVERA Lip Balm Care &amp; Repair 4.6g Vegan Natural Cosmetics - Nourishing and Long-Lasting Lip Care</t>
        </is>
      </c>
      <c r="C14993" t="inlineStr">
        <is>
          <t>Lip Balm</t>
        </is>
      </c>
      <c r="D14993" t="inlineStr">
        <is>
          <t>Primavera</t>
        </is>
      </c>
      <c r="E14993" t="n">
        <v>6.18</v>
      </c>
      <c r="F14993" t="n">
        <v>1</v>
      </c>
      <c r="G14993" t="n">
        <v>2</v>
      </c>
      <c r="H14993" s="5">
        <f>HYPERLINK("https://api.qogita.com/variants/link/4086900277601/", "View Product")</f>
        <v/>
      </c>
    </row>
    <row r="14994">
      <c r="A14994" t="inlineStr">
        <is>
          <t>4086900400429</t>
        </is>
      </c>
      <c r="B14994" t="inlineStr">
        <is>
          <t>Primavera Ceramic Aroma Lamp Creamy White</t>
        </is>
      </c>
      <c r="C14994" t="inlineStr">
        <is>
          <t>Diffusers</t>
        </is>
      </c>
      <c r="D14994" t="inlineStr">
        <is>
          <t>Primavera</t>
        </is>
      </c>
      <c r="E14994" t="n">
        <v>27.18</v>
      </c>
      <c r="F14994" t="n">
        <v>1</v>
      </c>
      <c r="G14994" t="n">
        <v>2</v>
      </c>
      <c r="H14994" s="5">
        <f>HYPERLINK("https://api.qogita.com/variants/link/4086900400429/", "View Product")</f>
        <v/>
      </c>
    </row>
    <row r="14995">
      <c r="A14995" t="inlineStr">
        <is>
          <t>4086900444805</t>
        </is>
      </c>
      <c r="B14995" t="inlineStr">
        <is>
          <t>PRIMAVERA Aromatherapy Essential Oils Gift Box 3 x 5ml Lavender, Tea Tree, Peppermint - Vegan</t>
        </is>
      </c>
      <c r="C14995" t="inlineStr">
        <is>
          <t>Incense</t>
        </is>
      </c>
      <c r="D14995" t="inlineStr">
        <is>
          <t>Primavera</t>
        </is>
      </c>
      <c r="E14995" t="n">
        <v>20.59</v>
      </c>
      <c r="F14995" t="n">
        <v>1</v>
      </c>
      <c r="G14995" t="n">
        <v>2</v>
      </c>
      <c r="H14995" s="5">
        <f>HYPERLINK("https://api.qogita.com/variants/link/4086900444805/", "View Product")</f>
        <v/>
      </c>
    </row>
    <row r="14996">
      <c r="A14996" t="inlineStr">
        <is>
          <t>4086900746008</t>
        </is>
      </c>
      <c r="B14996" t="inlineStr">
        <is>
          <t>Primavera Aloe Vera Hydrating Gel 75 Ml</t>
        </is>
      </c>
      <c r="C14996" t="inlineStr">
        <is>
          <t>Facial Spray</t>
        </is>
      </c>
      <c r="D14996" t="inlineStr">
        <is>
          <t>Primavera</t>
        </is>
      </c>
      <c r="E14996" t="n">
        <v>16.04</v>
      </c>
      <c r="F14996" t="n">
        <v>1</v>
      </c>
      <c r="G14996" t="n">
        <v>3</v>
      </c>
      <c r="H14996" s="5">
        <f>HYPERLINK("https://api.qogita.com/variants/link/4086900746008/", "View Product")</f>
        <v/>
      </c>
    </row>
    <row r="14997">
      <c r="A14997" t="inlineStr">
        <is>
          <t>4103040022820</t>
        </is>
      </c>
      <c r="B14997" t="inlineStr">
        <is>
          <t>Sebamed PRO! moisturizing serum fights premature skin aging 30ml</t>
        </is>
      </c>
      <c r="C14997" t="inlineStr">
        <is>
          <t>Anti-Aging Serum</t>
        </is>
      </c>
      <c r="D14997" t="inlineStr">
        <is>
          <t>Sebamed</t>
        </is>
      </c>
      <c r="E14997" t="n">
        <v>16.51</v>
      </c>
      <c r="F14997" t="n">
        <v>1</v>
      </c>
      <c r="G14997" t="n">
        <v>5</v>
      </c>
      <c r="H14997" s="5">
        <f>HYPERLINK("https://api.qogita.com/variants/link/4103040022820/", "View Product")</f>
        <v/>
      </c>
    </row>
    <row r="14998">
      <c r="A14998" t="inlineStr">
        <is>
          <t>4103040022868</t>
        </is>
      </c>
      <c r="B14998" t="inlineStr">
        <is>
          <t>Sebamed Regenerating Skin Cream Pro 50 Ml Antiaging Cream</t>
        </is>
      </c>
      <c r="C14998" t="inlineStr">
        <is>
          <t>Anti-Aging Facial Care</t>
        </is>
      </c>
      <c r="D14998" t="inlineStr">
        <is>
          <t>Sebamed</t>
        </is>
      </c>
      <c r="E14998" t="n">
        <v>16.51</v>
      </c>
      <c r="F14998" t="n">
        <v>1</v>
      </c>
      <c r="G14998" t="n">
        <v>3</v>
      </c>
      <c r="H14998" s="5">
        <f>HYPERLINK("https://api.qogita.com/variants/link/4103040022868/", "View Product")</f>
        <v/>
      </c>
    </row>
    <row r="14999">
      <c r="A14999" t="inlineStr">
        <is>
          <t>4103040022882</t>
        </is>
      </c>
      <c r="B14999" t="inlineStr">
        <is>
          <t>Sebamed Pro! Active Protection Cream</t>
        </is>
      </c>
      <c r="C14999" t="inlineStr">
        <is>
          <t>Face Cream</t>
        </is>
      </c>
      <c r="D14999" t="inlineStr">
        <is>
          <t>Nuwa</t>
        </is>
      </c>
      <c r="E14999" t="n">
        <v>19.68</v>
      </c>
      <c r="F14999" t="n">
        <v>1</v>
      </c>
      <c r="G14999" t="n">
        <v>7</v>
      </c>
      <c r="H14999" s="5">
        <f>HYPERLINK("https://api.qogita.com/variants/link/4103040022882/", "View Product")</f>
        <v/>
      </c>
    </row>
    <row r="15000">
      <c r="A15000" t="inlineStr">
        <is>
          <t>4103040026347</t>
        </is>
      </c>
      <c r="B15000" t="inlineStr">
        <is>
          <t>SEBAMED Baby Protective Facial Cream Ultra Mild Gentle Hydrating Face Moisturizer for Delicate Skin 50mL</t>
        </is>
      </c>
      <c r="C15000" t="inlineStr">
        <is>
          <t>Face Cream</t>
        </is>
      </c>
      <c r="D15000" t="inlineStr">
        <is>
          <t>Sebamed</t>
        </is>
      </c>
      <c r="E15000" t="n">
        <v>16.51</v>
      </c>
      <c r="F15000" t="n">
        <v>1</v>
      </c>
      <c r="G15000" t="n">
        <v>6</v>
      </c>
      <c r="H15000" s="5">
        <f>HYPERLINK("https://api.qogita.com/variants/link/4103040026347/", "View Product")</f>
        <v/>
      </c>
    </row>
    <row r="15001">
      <c r="A15001" t="inlineStr">
        <is>
          <t>4103040036667</t>
        </is>
      </c>
      <c r="B15001" t="inlineStr">
        <is>
          <t>Sebamed Anti-Redness Intensive Regenerating Face Cream - 50 Ml</t>
        </is>
      </c>
      <c r="C15001" t="inlineStr">
        <is>
          <t>Face Cream</t>
        </is>
      </c>
      <c r="D15001" t="inlineStr">
        <is>
          <t>Sebamed</t>
        </is>
      </c>
      <c r="E15001" t="n">
        <v>9.77</v>
      </c>
      <c r="F15001" t="n">
        <v>1</v>
      </c>
      <c r="G15001" t="n">
        <v>5</v>
      </c>
      <c r="H15001" s="5">
        <f>HYPERLINK("https://api.qogita.com/variants/link/4103040036667/", "View Product")</f>
        <v/>
      </c>
    </row>
    <row r="15002">
      <c r="A15002" t="inlineStr">
        <is>
          <t>4103040040688</t>
        </is>
      </c>
      <c r="B15002" t="inlineStr">
        <is>
          <t>Baby Cleansing Wipes 60 Units</t>
        </is>
      </c>
      <c r="C15002" t="inlineStr">
        <is>
          <t>Baby Wipes &amp; Diapers</t>
        </is>
      </c>
      <c r="D15002" t="inlineStr">
        <is>
          <t>Sebamed</t>
        </is>
      </c>
      <c r="E15002" t="n">
        <v>6.86</v>
      </c>
      <c r="F15002" t="n">
        <v>1</v>
      </c>
      <c r="G15002" t="n">
        <v>7</v>
      </c>
      <c r="H15002" s="5">
        <f>HYPERLINK("https://api.qogita.com/variants/link/4103040040688/", "View Product")</f>
        <v/>
      </c>
    </row>
    <row r="15003">
      <c r="A15003" t="inlineStr">
        <is>
          <t>4103040044204</t>
        </is>
      </c>
      <c r="B15003" t="inlineStr">
        <is>
          <t>Sebamed Lifting Serum With Hyaluronic Acid Anti-Ageing - 30 Ml</t>
        </is>
      </c>
      <c r="C15003" t="inlineStr">
        <is>
          <t>Anti-Aging Serum</t>
        </is>
      </c>
      <c r="D15003" t="inlineStr">
        <is>
          <t>Sebamed</t>
        </is>
      </c>
      <c r="E15003" t="n">
        <v>12.15</v>
      </c>
      <c r="F15003" t="n">
        <v>1</v>
      </c>
      <c r="G15003" t="n">
        <v>9</v>
      </c>
      <c r="H15003" s="5">
        <f>HYPERLINK("https://api.qogita.com/variants/link/4103040044204/", "View Product")</f>
        <v/>
      </c>
    </row>
    <row r="15004">
      <c r="A15004" t="inlineStr">
        <is>
          <t>4103040110374</t>
        </is>
      </c>
      <c r="B15004" t="inlineStr">
        <is>
          <t>Blossom Classic Fresh Deodorant Roll-On 50 ml</t>
        </is>
      </c>
      <c r="C15004" t="inlineStr">
        <is>
          <t>Deodorant &amp; Anti-Perspirant</t>
        </is>
      </c>
      <c r="D15004" t="inlineStr">
        <is>
          <t>Sebamed</t>
        </is>
      </c>
      <c r="E15004" t="n">
        <v>4.88</v>
      </c>
      <c r="F15004" t="n">
        <v>1</v>
      </c>
      <c r="G15004" t="n">
        <v>10</v>
      </c>
      <c r="H15004" s="5">
        <f>HYPERLINK("https://api.qogita.com/variants/link/4103040110374/", "View Product")</f>
        <v/>
      </c>
    </row>
    <row r="15005">
      <c r="A15005" t="inlineStr">
        <is>
          <t>4103040113924</t>
        </is>
      </c>
      <c r="B15005" t="inlineStr">
        <is>
          <t>Sebamed Baby Bubble Bath 200ml</t>
        </is>
      </c>
      <c r="C15005" t="inlineStr">
        <is>
          <t>Baby Bath</t>
        </is>
      </c>
      <c r="D15005" t="inlineStr">
        <is>
          <t>Sebamed</t>
        </is>
      </c>
      <c r="E15005" t="n">
        <v>6.34</v>
      </c>
      <c r="F15005" t="n">
        <v>1</v>
      </c>
      <c r="G15005" t="n">
        <v>6</v>
      </c>
      <c r="H15005" s="5">
        <f>HYPERLINK("https://api.qogita.com/variants/link/4103040113924/", "View Product")</f>
        <v/>
      </c>
    </row>
    <row r="15006">
      <c r="A15006" t="inlineStr">
        <is>
          <t>4103040119209</t>
        </is>
      </c>
      <c r="B15006" t="inlineStr">
        <is>
          <t>Sebamed 24h Care Deodorant Spray Lime 75ml</t>
        </is>
      </c>
      <c r="C15006" t="inlineStr">
        <is>
          <t>Deodorant &amp; Anti-Perspirant</t>
        </is>
      </c>
      <c r="D15006" t="inlineStr">
        <is>
          <t>Sebamed</t>
        </is>
      </c>
      <c r="E15006" t="n">
        <v>7.28</v>
      </c>
      <c r="F15006" t="n">
        <v>1</v>
      </c>
      <c r="G15006" t="n">
        <v>19</v>
      </c>
      <c r="H15006" s="5">
        <f>HYPERLINK("https://api.qogita.com/variants/link/4103040119209/", "View Product")</f>
        <v/>
      </c>
    </row>
    <row r="15007">
      <c r="A15007" t="inlineStr">
        <is>
          <t>4103040119896</t>
        </is>
      </c>
      <c r="B15007" t="inlineStr">
        <is>
          <t>Sebamed Hair Care Repair Conditioner For Normal And Dry Hair 200ml</t>
        </is>
      </c>
      <c r="C15007" t="inlineStr">
        <is>
          <t>Conditioner</t>
        </is>
      </c>
      <c r="D15007" t="inlineStr">
        <is>
          <t>Sebamed</t>
        </is>
      </c>
      <c r="E15007" t="n">
        <v>6.74</v>
      </c>
      <c r="F15007" t="n">
        <v>1</v>
      </c>
      <c r="G15007" t="n">
        <v>14</v>
      </c>
      <c r="H15007" s="5">
        <f>HYPERLINK("https://api.qogita.com/variants/link/4103040119896/", "View Product")</f>
        <v/>
      </c>
    </row>
    <row r="15008">
      <c r="A15008" t="inlineStr">
        <is>
          <t>4103040134974</t>
        </is>
      </c>
      <c r="B15008" t="inlineStr">
        <is>
          <t>Sebamed Syndet Clear Face Cleansing Bar 100 G For Problematic Skin</t>
        </is>
      </c>
      <c r="C15008" t="inlineStr">
        <is>
          <t>Facial Soap</t>
        </is>
      </c>
      <c r="D15008" t="inlineStr">
        <is>
          <t>Sebamed</t>
        </is>
      </c>
      <c r="E15008" t="n">
        <v>5.92</v>
      </c>
      <c r="F15008" t="n">
        <v>1</v>
      </c>
      <c r="G15008" t="n">
        <v>12</v>
      </c>
      <c r="H15008" s="5">
        <f>HYPERLINK("https://api.qogita.com/variants/link/4103040134974/", "View Product")</f>
        <v/>
      </c>
    </row>
    <row r="15009">
      <c r="A15009" t="inlineStr">
        <is>
          <t>4103040158819</t>
        </is>
      </c>
      <c r="B15009" t="inlineStr">
        <is>
          <t>Sebamed Rollon Balm For Men 50 Ml</t>
        </is>
      </c>
      <c r="C15009" t="inlineStr">
        <is>
          <t>Deodorant &amp; Anti-Perspirant</t>
        </is>
      </c>
      <c r="D15009" t="inlineStr">
        <is>
          <t>Sebamed</t>
        </is>
      </c>
      <c r="E15009" t="n">
        <v>4.88</v>
      </c>
      <c r="F15009" t="n">
        <v>1</v>
      </c>
      <c r="G15009" t="n">
        <v>29</v>
      </c>
      <c r="H15009" s="5">
        <f>HYPERLINK("https://api.qogita.com/variants/link/4103040158819/", "View Product")</f>
        <v/>
      </c>
    </row>
    <row r="15010">
      <c r="A15010" t="inlineStr">
        <is>
          <t>4103040176936</t>
        </is>
      </c>
      <c r="B15010" t="inlineStr">
        <is>
          <t>Sebamed Baby Massage Oil 150ml Gentle Care and Protection for Baby Sensitive Skin</t>
        </is>
      </c>
      <c r="C15010" t="inlineStr">
        <is>
          <t>Baby &amp; Child</t>
        </is>
      </c>
      <c r="D15010" t="inlineStr">
        <is>
          <t>Sebamed</t>
        </is>
      </c>
      <c r="E15010" t="n">
        <v>6.58</v>
      </c>
      <c r="F15010" t="n">
        <v>1</v>
      </c>
      <c r="G15010" t="n">
        <v>33</v>
      </c>
      <c r="H15010" s="5">
        <f>HYPERLINK("https://api.qogita.com/variants/link/4103040176936/", "View Product")</f>
        <v/>
      </c>
    </row>
    <row r="15011">
      <c r="A15011" t="inlineStr">
        <is>
          <t>4103040897916</t>
        </is>
      </c>
      <c r="B15011" t="inlineStr">
        <is>
          <t>Sebamed Spa Shower 200ml</t>
        </is>
      </c>
      <c r="C15011" t="inlineStr">
        <is>
          <t>Shower Gel</t>
        </is>
      </c>
      <c r="D15011" t="inlineStr">
        <is>
          <t>Sebamed</t>
        </is>
      </c>
      <c r="E15011" t="n">
        <v>4.85</v>
      </c>
      <c r="F15011" t="n">
        <v>1</v>
      </c>
      <c r="G15011" t="n">
        <v>29</v>
      </c>
      <c r="H15011" s="5">
        <f>HYPERLINK("https://api.qogita.com/variants/link/4103040897916/", "View Product")</f>
        <v/>
      </c>
    </row>
    <row r="15012">
      <c r="A15012" t="inlineStr">
        <is>
          <t>4103040898265</t>
        </is>
      </c>
      <c r="B15012" t="inlineStr">
        <is>
          <t>Sebamed After Sun Soothing Balm 150mL</t>
        </is>
      </c>
      <c r="C15012" t="inlineStr">
        <is>
          <t>Aftersun</t>
        </is>
      </c>
      <c r="D15012" t="inlineStr">
        <is>
          <t>Sebamed</t>
        </is>
      </c>
      <c r="E15012" t="n">
        <v>6.74</v>
      </c>
      <c r="F15012" t="n">
        <v>1</v>
      </c>
      <c r="G15012" t="n">
        <v>8</v>
      </c>
      <c r="H15012" s="5">
        <f>HYPERLINK("https://api.qogita.com/variants/link/4103040898265/", "View Product")</f>
        <v/>
      </c>
    </row>
    <row r="15013">
      <c r="A15013" t="inlineStr">
        <is>
          <t>4103040898500</t>
        </is>
      </c>
      <c r="B15013" t="inlineStr">
        <is>
          <t>Sebamed Multi Protect Sun SPF 30 Cream</t>
        </is>
      </c>
      <c r="C15013" t="inlineStr">
        <is>
          <t>Body Sun Protection</t>
        </is>
      </c>
      <c r="D15013" t="inlineStr">
        <is>
          <t>Sebamed</t>
        </is>
      </c>
      <c r="E15013" t="n">
        <v>8.289999999999999</v>
      </c>
      <c r="F15013" t="n">
        <v>1</v>
      </c>
      <c r="G15013" t="n">
        <v>13</v>
      </c>
      <c r="H15013" s="5">
        <f>HYPERLINK("https://api.qogita.com/variants/link/4103040898500/", "View Product")</f>
        <v/>
      </c>
    </row>
    <row r="15014">
      <c r="A15014" t="inlineStr">
        <is>
          <t>4103040899026</t>
        </is>
      </c>
      <c r="B15014" t="inlineStr">
        <is>
          <t>Sebamed Sun Care Multi Protect Sun Lotion SPF30 150ml</t>
        </is>
      </c>
      <c r="C15014" t="inlineStr">
        <is>
          <t>Body Sun Protection</t>
        </is>
      </c>
      <c r="D15014" t="inlineStr">
        <is>
          <t>Sebamed</t>
        </is>
      </c>
      <c r="E15014" t="n">
        <v>8.56</v>
      </c>
      <c r="F15014" t="n">
        <v>1</v>
      </c>
      <c r="G15014" t="n">
        <v>8</v>
      </c>
      <c r="H15014" s="5">
        <f>HYPERLINK("https://api.qogita.com/variants/link/4103040899026/", "View Product")</f>
        <v/>
      </c>
    </row>
    <row r="15015">
      <c r="A15015" t="inlineStr">
        <is>
          <t>4103040906021</t>
        </is>
      </c>
      <c r="B15015" t="inlineStr">
        <is>
          <t>Sebamed Classic Healing And Protective Ointment</t>
        </is>
      </c>
      <c r="C15015" t="inlineStr">
        <is>
          <t>Neurodermatitis</t>
        </is>
      </c>
      <c r="D15015" t="inlineStr">
        <is>
          <t>Sebamed</t>
        </is>
      </c>
      <c r="E15015" t="n">
        <v>5.57</v>
      </c>
      <c r="F15015" t="n">
        <v>1</v>
      </c>
      <c r="G15015" t="n">
        <v>7</v>
      </c>
      <c r="H15015" s="5">
        <f>HYPERLINK("https://api.qogita.com/variants/link/4103040906021/", "View Product")</f>
        <v/>
      </c>
    </row>
    <row r="15016">
      <c r="A15016" t="inlineStr">
        <is>
          <t>4103040915887</t>
        </is>
      </c>
      <c r="B15016" t="inlineStr">
        <is>
          <t>Sebamed Repair Foot Cream Urea 10% 100ml</t>
        </is>
      </c>
      <c r="C15016" t="inlineStr">
        <is>
          <t>Foot Cream</t>
        </is>
      </c>
      <c r="D15016" t="inlineStr">
        <is>
          <t>Sebamed</t>
        </is>
      </c>
      <c r="E15016" t="n">
        <v>7.91</v>
      </c>
      <c r="F15016" t="n">
        <v>1</v>
      </c>
      <c r="G15016" t="n">
        <v>15</v>
      </c>
      <c r="H15016" s="5">
        <f>HYPERLINK("https://api.qogita.com/variants/link/4103040915887/", "View Product")</f>
        <v/>
      </c>
    </row>
    <row r="15017">
      <c r="A15017" t="inlineStr">
        <is>
          <t>4210201072195</t>
        </is>
      </c>
      <c r="B15017" t="inlineStr">
        <is>
          <t>Braun Replacement Head With Foil For Combi Pack Series 5 Flex Motion 52s Silver Electric Shaver</t>
        </is>
      </c>
      <c r="C15017" t="inlineStr">
        <is>
          <t>Shaving</t>
        </is>
      </c>
      <c r="D15017" t="inlineStr">
        <is>
          <t>Braun</t>
        </is>
      </c>
      <c r="E15017" t="n">
        <v>42.64</v>
      </c>
      <c r="F15017" t="n">
        <v>1</v>
      </c>
      <c r="G15017" t="n">
        <v>2</v>
      </c>
      <c r="H15017" s="5">
        <f>HYPERLINK("https://api.qogita.com/variants/link/4210201072195/", "View Product")</f>
        <v/>
      </c>
    </row>
    <row r="15018">
      <c r="A15018" t="inlineStr">
        <is>
          <t>4210201138334</t>
        </is>
      </c>
      <c r="B15018" t="inlineStr">
        <is>
          <t>Oral B Floss Action Brush Heads</t>
        </is>
      </c>
      <c r="C15018" t="inlineStr">
        <is>
          <t>Electric Toothbrushes</t>
        </is>
      </c>
      <c r="D15018" t="inlineStr">
        <is>
          <t>Oral-B</t>
        </is>
      </c>
      <c r="E15018" t="n">
        <v>6.26</v>
      </c>
      <c r="F15018" t="n">
        <v>1</v>
      </c>
      <c r="G15018" t="n">
        <v>10</v>
      </c>
      <c r="H15018" s="5">
        <f>HYPERLINK("https://api.qogita.com/variants/link/4210201138334/", "View Product")</f>
        <v/>
      </c>
    </row>
    <row r="15019">
      <c r="A15019" t="inlineStr">
        <is>
          <t>4210201381877</t>
        </is>
      </c>
      <c r="B15019" t="inlineStr">
        <is>
          <t>Oral B Io6 Series Duo Pack Electric Toothbrush White Pink Sand Extra Handle 2 Pieces</t>
        </is>
      </c>
      <c r="C15019" t="inlineStr">
        <is>
          <t>Electric Toothbrushes</t>
        </is>
      </c>
      <c r="D15019" t="inlineStr">
        <is>
          <t>Oral-B</t>
        </is>
      </c>
      <c r="E15019" t="n">
        <v>251.46</v>
      </c>
      <c r="F15019" t="n">
        <v>1</v>
      </c>
      <c r="G15019" t="n">
        <v>2</v>
      </c>
      <c r="H15019" s="5">
        <f>HYPERLINK("https://api.qogita.com/variants/link/4210201381877/", "View Product")</f>
        <v/>
      </c>
    </row>
    <row r="15020">
      <c r="A15020" t="inlineStr">
        <is>
          <t>4210201415343</t>
        </is>
      </c>
      <c r="B15020" t="inlineStr">
        <is>
          <t>Oral B Io Series 5 Quite White Toothbrush</t>
        </is>
      </c>
      <c r="C15020" t="inlineStr">
        <is>
          <t>Electric Toothbrushes</t>
        </is>
      </c>
      <c r="D15020" t="inlineStr">
        <is>
          <t>Oral-B</t>
        </is>
      </c>
      <c r="E15020" t="n">
        <v>135.01</v>
      </c>
      <c r="F15020" t="n">
        <v>1</v>
      </c>
      <c r="G15020" t="n">
        <v>2</v>
      </c>
      <c r="H15020" s="5">
        <f>HYPERLINK("https://api.qogita.com/variants/link/4210201415343/", "View Product")</f>
        <v/>
      </c>
    </row>
    <row r="15021">
      <c r="A15021" t="inlineStr">
        <is>
          <t>4210201428695</t>
        </is>
      </c>
      <c r="B15021" t="inlineStr">
        <is>
          <t>Oral B Electric Toothbrush Io Series 5 Matt Black Quite White Duo Pack</t>
        </is>
      </c>
      <c r="C15021" t="inlineStr">
        <is>
          <t>Electric Toothbrushes</t>
        </is>
      </c>
      <c r="D15021" t="inlineStr">
        <is>
          <t>Oral-B</t>
        </is>
      </c>
      <c r="E15021" t="n">
        <v>207.46</v>
      </c>
      <c r="F15021" t="n">
        <v>1</v>
      </c>
      <c r="G15021" t="n">
        <v>3</v>
      </c>
      <c r="H15021" s="5">
        <f>HYPERLINK("https://api.qogita.com/variants/link/4210201428695/", "View Product")</f>
        <v/>
      </c>
    </row>
    <row r="15022">
      <c r="A15022" t="inlineStr">
        <is>
          <t>4211125570026</t>
        </is>
      </c>
      <c r="B15022" t="inlineStr">
        <is>
          <t>Beurer Mp 84 Rechargeable Manicure Pedicure Set 3 Years Warranty</t>
        </is>
      </c>
      <c r="C15022" t="inlineStr">
        <is>
          <t>Manicure Sets</t>
        </is>
      </c>
      <c r="D15022" t="inlineStr">
        <is>
          <t>Beurer</t>
        </is>
      </c>
      <c r="E15022" t="n">
        <v>111.15</v>
      </c>
      <c r="F15022" t="n">
        <v>1</v>
      </c>
      <c r="G15022" t="n">
        <v>3</v>
      </c>
      <c r="H15022" s="5">
        <f>HYPERLINK("https://api.qogita.com/variants/link/4211125570026/", "View Product")</f>
        <v/>
      </c>
    </row>
    <row r="15023">
      <c r="A15023" t="inlineStr">
        <is>
          <t>4211125637057</t>
        </is>
      </c>
      <c r="B15023" t="inlineStr">
        <is>
          <t>Beurer Fb 35 Foot Spa With Aromatherapy 3 Years Warranty</t>
        </is>
      </c>
      <c r="C15023" t="inlineStr">
        <is>
          <t>Foot Bath</t>
        </is>
      </c>
      <c r="D15023" t="inlineStr">
        <is>
          <t>Beurer</t>
        </is>
      </c>
      <c r="E15023" t="n">
        <v>74.91</v>
      </c>
      <c r="F15023" t="n">
        <v>1</v>
      </c>
      <c r="G15023" t="n">
        <v>2</v>
      </c>
      <c r="H15023" s="5">
        <f>HYPERLINK("https://api.qogita.com/variants/link/4211125637057/", "View Product")</f>
        <v/>
      </c>
    </row>
    <row r="15024">
      <c r="A15024" t="inlineStr">
        <is>
          <t>4250120710655</t>
        </is>
      </c>
      <c r="B15024" t="inlineStr">
        <is>
          <t>Vivian Gray 1065 Temptation Luxury Hand Lotion 30ml Gold</t>
        </is>
      </c>
      <c r="C15024" t="inlineStr">
        <is>
          <t>Body Lotion</t>
        </is>
      </c>
      <c r="D15024" t="inlineStr">
        <is>
          <t>Vivian Gray</t>
        </is>
      </c>
      <c r="E15024" t="n">
        <v>2.94</v>
      </c>
      <c r="F15024" t="n">
        <v>1</v>
      </c>
      <c r="G15024" t="n">
        <v>38</v>
      </c>
      <c r="H15024" s="5">
        <f>HYPERLINK("https://api.qogita.com/variants/link/4250120710655/", "View Product")</f>
        <v/>
      </c>
    </row>
    <row r="15025">
      <c r="A15025" t="inlineStr">
        <is>
          <t>4250120713137</t>
        </is>
      </c>
      <c r="B15025" t="inlineStr">
        <is>
          <t>Vivian Gray 1313 Naturals Green Tea Hand Cream 30ml</t>
        </is>
      </c>
      <c r="C15025" t="inlineStr">
        <is>
          <t>Hand Cream</t>
        </is>
      </c>
      <c r="D15025" t="inlineStr">
        <is>
          <t>Vivian Gray</t>
        </is>
      </c>
      <c r="E15025" t="n">
        <v>2.8</v>
      </c>
      <c r="F15025" t="n">
        <v>1</v>
      </c>
      <c r="G15025" t="n">
        <v>6</v>
      </c>
      <c r="H15025" s="5">
        <f>HYPERLINK("https://api.qogita.com/variants/link/4250120713137/", "View Product")</f>
        <v/>
      </c>
    </row>
    <row r="15026">
      <c r="A15026" t="inlineStr">
        <is>
          <t>4250120716121</t>
        </is>
      </c>
      <c r="B15026" t="inlineStr">
        <is>
          <t>Vivian Gray Sensual Jasmine Shower Gel 350 Ml</t>
        </is>
      </c>
      <c r="C15026" t="inlineStr">
        <is>
          <t>Shower Gel</t>
        </is>
      </c>
      <c r="D15026" t="inlineStr">
        <is>
          <t>Vivian Gray</t>
        </is>
      </c>
      <c r="E15026" t="n">
        <v>5.09</v>
      </c>
      <c r="F15026" t="n">
        <v>1</v>
      </c>
      <c r="G15026" t="n">
        <v>10</v>
      </c>
      <c r="H15026" s="5">
        <f>HYPERLINK("https://api.qogita.com/variants/link/4250120716121/", "View Product")</f>
        <v/>
      </c>
    </row>
    <row r="15027">
      <c r="A15027" t="inlineStr">
        <is>
          <t>4250120716190</t>
        </is>
      </c>
      <c r="B15027" t="inlineStr">
        <is>
          <t>Vivian Gray Sensual Jasmine Shower Gel And Body Lotion Cosmetic Set</t>
        </is>
      </c>
      <c r="C15027" t="inlineStr">
        <is>
          <t>Body Care Sets</t>
        </is>
      </c>
      <c r="D15027" t="inlineStr">
        <is>
          <t>Vivian Gray</t>
        </is>
      </c>
      <c r="E15027" t="n">
        <v>10.8</v>
      </c>
      <c r="F15027" t="n">
        <v>1</v>
      </c>
      <c r="G15027" t="n">
        <v>3</v>
      </c>
      <c r="H15027" s="5">
        <f>HYPERLINK("https://api.qogita.com/variants/link/4250120716190/", "View Product")</f>
        <v/>
      </c>
    </row>
    <row r="15028">
      <c r="A15028" t="inlineStr">
        <is>
          <t>4250120716206</t>
        </is>
      </c>
      <c r="B15028" t="inlineStr">
        <is>
          <t>Vivian Gray Wild Orchid Cream Soap 350 Ml</t>
        </is>
      </c>
      <c r="C15028" t="inlineStr">
        <is>
          <t>Soap</t>
        </is>
      </c>
      <c r="D15028" t="inlineStr">
        <is>
          <t>Vivian Gray</t>
        </is>
      </c>
      <c r="E15028" t="n">
        <v>5.09</v>
      </c>
      <c r="F15028" t="n">
        <v>1</v>
      </c>
      <c r="G15028" t="n">
        <v>5</v>
      </c>
      <c r="H15028" s="5">
        <f>HYPERLINK("https://api.qogita.com/variants/link/4250120716206/", "View Product")</f>
        <v/>
      </c>
    </row>
    <row r="15029">
      <c r="A15029" t="inlineStr">
        <is>
          <t>4250120716299</t>
        </is>
      </c>
      <c r="B15029" t="inlineStr">
        <is>
          <t>Vivian Gray Wild Orchid Cosmetic Set Shower Gel And Body Lotion</t>
        </is>
      </c>
      <c r="C15029" t="inlineStr">
        <is>
          <t>Body Care Sets</t>
        </is>
      </c>
      <c r="D15029" t="inlineStr">
        <is>
          <t>Vivian Gray</t>
        </is>
      </c>
      <c r="E15029" t="n">
        <v>10.8</v>
      </c>
      <c r="F15029" t="n">
        <v>1</v>
      </c>
      <c r="G15029" t="n">
        <v>15</v>
      </c>
      <c r="H15029" s="5">
        <f>HYPERLINK("https://api.qogita.com/variants/link/4250120716299/", "View Product")</f>
        <v/>
      </c>
    </row>
    <row r="15030">
      <c r="A15030" t="inlineStr">
        <is>
          <t>4250120720104</t>
        </is>
      </c>
      <c r="B15030" t="inlineStr">
        <is>
          <t>Vivian Gray Creamy Liquid Hand Soap Aroma Selection Lotus &amp; Rose 400 Ml</t>
        </is>
      </c>
      <c r="C15030" t="inlineStr">
        <is>
          <t>Hand Soap</t>
        </is>
      </c>
      <c r="D15030" t="inlineStr">
        <is>
          <t>Vivian Gray</t>
        </is>
      </c>
      <c r="E15030" t="n">
        <v>4.8</v>
      </c>
      <c r="F15030" t="n">
        <v>1</v>
      </c>
      <c r="G15030" t="n">
        <v>5</v>
      </c>
      <c r="H15030" s="5">
        <f>HYPERLINK("https://api.qogita.com/variants/link/4250120720104/", "View Product")</f>
        <v/>
      </c>
    </row>
    <row r="15031">
      <c r="A15031" t="inlineStr">
        <is>
          <t>4250120720227</t>
        </is>
      </c>
      <c r="B15031" t="inlineStr">
        <is>
          <t>Vivian Gray Aroma Selection Amber &amp; Cedar Body Lotion 500 Ml</t>
        </is>
      </c>
      <c r="C15031" t="inlineStr">
        <is>
          <t>Body Lotion</t>
        </is>
      </c>
      <c r="D15031" t="inlineStr">
        <is>
          <t>Vivian Gray</t>
        </is>
      </c>
      <c r="E15031" t="n">
        <v>5.64</v>
      </c>
      <c r="F15031" t="n">
        <v>1</v>
      </c>
      <c r="G15031" t="n">
        <v>10</v>
      </c>
      <c r="H15031" s="5">
        <f>HYPERLINK("https://api.qogita.com/variants/link/4250120720227/", "View Product")</f>
        <v/>
      </c>
    </row>
    <row r="15032">
      <c r="A15032" t="inlineStr">
        <is>
          <t>4250120720944</t>
        </is>
      </c>
      <c r="B15032" t="inlineStr">
        <is>
          <t>Pure Cream Soap 400 ml</t>
        </is>
      </c>
      <c r="C15032" t="inlineStr">
        <is>
          <t>Soap</t>
        </is>
      </c>
      <c r="D15032" t="inlineStr">
        <is>
          <t>Vivian Gray</t>
        </is>
      </c>
      <c r="E15032" t="n">
        <v>4.4</v>
      </c>
      <c r="F15032" t="n">
        <v>1</v>
      </c>
      <c r="G15032" t="n">
        <v>3</v>
      </c>
      <c r="H15032" s="5">
        <f>HYPERLINK("https://api.qogita.com/variants/link/4250120720944/", "View Product")</f>
        <v/>
      </c>
    </row>
    <row r="15033">
      <c r="A15033" t="inlineStr">
        <is>
          <t>4250120721187</t>
        </is>
      </c>
      <c r="B15033" t="inlineStr">
        <is>
          <t>Vivian Gray Velvet Romance Set Body Care Gift Set</t>
        </is>
      </c>
      <c r="C15033" t="inlineStr">
        <is>
          <t>Body Care Sets</t>
        </is>
      </c>
      <c r="D15033" t="inlineStr">
        <is>
          <t>Vivian Gray</t>
        </is>
      </c>
      <c r="E15033" t="n">
        <v>10.8</v>
      </c>
      <c r="F15033" t="n">
        <v>1</v>
      </c>
      <c r="G15033" t="n">
        <v>9</v>
      </c>
      <c r="H15033" s="5">
        <f>HYPERLINK("https://api.qogita.com/variants/link/4250120721187/", "View Product")</f>
        <v/>
      </c>
    </row>
    <row r="15034">
      <c r="A15034" t="inlineStr">
        <is>
          <t>4250120721415</t>
        </is>
      </c>
      <c r="B15034" t="inlineStr">
        <is>
          <t>Vivian Gray Funky Pink Shower Gel 500 Ml</t>
        </is>
      </c>
      <c r="C15034" t="inlineStr">
        <is>
          <t>Shower Gel</t>
        </is>
      </c>
      <c r="D15034" t="inlineStr">
        <is>
          <t>Vivian Gray</t>
        </is>
      </c>
      <c r="E15034" t="n">
        <v>4.79</v>
      </c>
      <c r="F15034" t="n">
        <v>1</v>
      </c>
      <c r="G15034" t="n">
        <v>4</v>
      </c>
      <c r="H15034" s="5">
        <f>HYPERLINK("https://api.qogita.com/variants/link/4250120721415/", "View Product")</f>
        <v/>
      </c>
    </row>
    <row r="15035">
      <c r="A15035" t="inlineStr">
        <is>
          <t>4250120721514</t>
        </is>
      </c>
      <c r="B15035" t="inlineStr">
        <is>
          <t>Vivian Gray Purple Deluxe Shower Gel 500 Ml</t>
        </is>
      </c>
      <c r="C15035" t="inlineStr">
        <is>
          <t>Shower Gel</t>
        </is>
      </c>
      <c r="D15035" t="inlineStr">
        <is>
          <t>Vivian Gray</t>
        </is>
      </c>
      <c r="E15035" t="n">
        <v>4.79</v>
      </c>
      <c r="F15035" t="n">
        <v>1</v>
      </c>
      <c r="G15035" t="n">
        <v>2</v>
      </c>
      <c r="H15035" s="5">
        <f>HYPERLINK("https://api.qogita.com/variants/link/4250120721514/", "View Product")</f>
        <v/>
      </c>
    </row>
    <row r="15036">
      <c r="A15036" t="inlineStr">
        <is>
          <t>4250120735221</t>
        </is>
      </c>
      <c r="B15036" t="inlineStr">
        <is>
          <t>Vivian Gray 3522 Gemstone Ylang &amp; Vanilla Shower Gel 300ml</t>
        </is>
      </c>
      <c r="C15036" t="inlineStr">
        <is>
          <t>Shower Gel</t>
        </is>
      </c>
      <c r="D15036" t="inlineStr">
        <is>
          <t>Vivian Gray</t>
        </is>
      </c>
      <c r="E15036" t="n">
        <v>4.58</v>
      </c>
      <c r="F15036" t="n">
        <v>1</v>
      </c>
      <c r="G15036" t="n">
        <v>12</v>
      </c>
      <c r="H15036" s="5">
        <f>HYPERLINK("https://api.qogita.com/variants/link/4250120735221/", "View Product")</f>
        <v/>
      </c>
    </row>
    <row r="15037">
      <c r="A15037" t="inlineStr">
        <is>
          <t>4250120735399</t>
        </is>
      </c>
      <c r="B15037" t="inlineStr">
        <is>
          <t>Vivian Gray Cosmetic Set White Musc Pineapple Shower Gel And Body Lotion</t>
        </is>
      </c>
      <c r="C15037" t="inlineStr">
        <is>
          <t>Body Care Sets</t>
        </is>
      </c>
      <c r="D15037" t="inlineStr">
        <is>
          <t>Vivian Gray</t>
        </is>
      </c>
      <c r="E15037" t="n">
        <v>7.96</v>
      </c>
      <c r="F15037" t="n">
        <v>1</v>
      </c>
      <c r="G15037" t="n">
        <v>26</v>
      </c>
      <c r="H15037" s="5">
        <f>HYPERLINK("https://api.qogita.com/variants/link/4250120735399/", "View Product")</f>
        <v/>
      </c>
    </row>
    <row r="15038">
      <c r="A15038" t="inlineStr">
        <is>
          <t>4250120735481</t>
        </is>
      </c>
      <c r="B15038" t="inlineStr">
        <is>
          <t>Vivian Gray Cosmetic Set Bergamot Lemongrass Cream Soap Hand Lotion</t>
        </is>
      </c>
      <c r="C15038" t="inlineStr">
        <is>
          <t>Body Care Sets</t>
        </is>
      </c>
      <c r="D15038" t="inlineStr">
        <is>
          <t>Vivian Gray</t>
        </is>
      </c>
      <c r="E15038" t="n">
        <v>7.96</v>
      </c>
      <c r="F15038" t="n">
        <v>1</v>
      </c>
      <c r="G15038" t="n">
        <v>13</v>
      </c>
      <c r="H15038" s="5">
        <f>HYPERLINK("https://api.qogita.com/variants/link/4250120735481/", "View Product")</f>
        <v/>
      </c>
    </row>
    <row r="15039">
      <c r="A15039" t="inlineStr">
        <is>
          <t>4250120736235</t>
        </is>
      </c>
      <c r="B15039" t="inlineStr">
        <is>
          <t>Vivian Gray Wonderful White Valley Liquid Soap 500 Ml</t>
        </is>
      </c>
      <c r="C15039" t="inlineStr">
        <is>
          <t>Soap</t>
        </is>
      </c>
      <c r="D15039" t="inlineStr">
        <is>
          <t>Vivian Gray</t>
        </is>
      </c>
      <c r="E15039" t="n">
        <v>6.81</v>
      </c>
      <c r="F15039" t="n">
        <v>1</v>
      </c>
      <c r="G15039" t="n">
        <v>17</v>
      </c>
      <c r="H15039" s="5">
        <f>HYPERLINK("https://api.qogita.com/variants/link/4250120736235/", "View Product")</f>
        <v/>
      </c>
    </row>
    <row r="15040">
      <c r="A15040" t="inlineStr">
        <is>
          <t>4250120741604</t>
        </is>
      </c>
      <c r="B15040" t="inlineStr">
        <is>
          <t>Strass Soap Dispenser filled with 250ml Liquid Soap</t>
        </is>
      </c>
      <c r="C15040" t="inlineStr">
        <is>
          <t>Soap &amp; Lotion Dispensers</t>
        </is>
      </c>
      <c r="D15040" t="inlineStr">
        <is>
          <t>Vivian Gray</t>
        </is>
      </c>
      <c r="E15040" t="n">
        <v>4.58</v>
      </c>
      <c r="F15040" t="n">
        <v>1</v>
      </c>
      <c r="G15040" t="n">
        <v>10</v>
      </c>
      <c r="H15040" s="5">
        <f>HYPERLINK("https://api.qogita.com/variants/link/4250120741604/", "View Product")</f>
        <v/>
      </c>
    </row>
    <row r="15041">
      <c r="A15041" t="inlineStr">
        <is>
          <t>4250120750101</t>
        </is>
      </c>
      <c r="B15041" t="inlineStr">
        <is>
          <t>Vivian Gray Fantastic Dark Musk Cedarwood Perfumed Liquid Soap - 300 Ml</t>
        </is>
      </c>
      <c r="C15041" t="inlineStr">
        <is>
          <t>Soap</t>
        </is>
      </c>
      <c r="D15041" t="inlineStr">
        <is>
          <t>Vivian Gray</t>
        </is>
      </c>
      <c r="E15041" t="n">
        <v>4.99</v>
      </c>
      <c r="F15041" t="n">
        <v>1</v>
      </c>
      <c r="G15041" t="n">
        <v>6</v>
      </c>
      <c r="H15041" s="5">
        <f>HYPERLINK("https://api.qogita.com/variants/link/4250120750101/", "View Product")</f>
        <v/>
      </c>
    </row>
    <row r="15042">
      <c r="A15042" t="inlineStr">
        <is>
          <t>4250120750200</t>
        </is>
      </c>
      <c r="B15042" t="inlineStr">
        <is>
          <t>Vivian Gray Fantastic Amberwood Patchouli Perfumed Liquid Soap 300 Ml</t>
        </is>
      </c>
      <c r="C15042" t="inlineStr">
        <is>
          <t>Soap</t>
        </is>
      </c>
      <c r="D15042" t="inlineStr">
        <is>
          <t>Vivian Gray</t>
        </is>
      </c>
      <c r="E15042" t="n">
        <v>4.99</v>
      </c>
      <c r="F15042" t="n">
        <v>1</v>
      </c>
      <c r="G15042" t="n">
        <v>12</v>
      </c>
      <c r="H15042" s="5">
        <f>HYPERLINK("https://api.qogita.com/variants/link/4250120750200/", "View Product")</f>
        <v/>
      </c>
    </row>
    <row r="15043">
      <c r="A15043" t="inlineStr">
        <is>
          <t>4250120780139</t>
        </is>
      </c>
      <c r="B15043" t="inlineStr">
        <is>
          <t>VIVANEL 8013 Lotus &amp; Rose Cream Soap 350ml</t>
        </is>
      </c>
      <c r="C15043" t="inlineStr">
        <is>
          <t>Soap</t>
        </is>
      </c>
      <c r="D15043" t="inlineStr">
        <is>
          <t>Vivenel</t>
        </is>
      </c>
      <c r="E15043" t="n">
        <v>5.09</v>
      </c>
      <c r="F15043" t="n">
        <v>1</v>
      </c>
      <c r="G15043" t="n">
        <v>6</v>
      </c>
      <c r="H15043" s="5">
        <f>HYPERLINK("https://api.qogita.com/variants/link/4250120780139/", "View Product")</f>
        <v/>
      </c>
    </row>
    <row r="15044">
      <c r="A15044" t="inlineStr">
        <is>
          <t>4250120780344</t>
        </is>
      </c>
      <c r="B15044" t="inlineStr">
        <is>
          <t>VIVANEL 8034 Grapefruit &amp; Vetiver Eau de Toilette Pocket Flask 10ml White</t>
        </is>
      </c>
      <c r="C15044" t="inlineStr">
        <is>
          <t>Eau De Toilette</t>
        </is>
      </c>
      <c r="D15044" t="inlineStr">
        <is>
          <t>‎Vivanel</t>
        </is>
      </c>
      <c r="E15044" t="n">
        <v>3.44</v>
      </c>
      <c r="F15044" t="n">
        <v>1</v>
      </c>
      <c r="G15044" t="n">
        <v>5</v>
      </c>
      <c r="H15044" s="5">
        <f>HYPERLINK("https://api.qogita.com/variants/link/4250120780344/", "View Product")</f>
        <v/>
      </c>
    </row>
    <row r="15045">
      <c r="A15045" t="inlineStr">
        <is>
          <t>4250120790039</t>
        </is>
      </c>
      <c r="B15045" t="inlineStr">
        <is>
          <t>Vivian Gray True Nature Citrus Bergamot Body Lotion 300 Ml</t>
        </is>
      </c>
      <c r="C15045" t="inlineStr">
        <is>
          <t>Body Lotion</t>
        </is>
      </c>
      <c r="D15045" t="inlineStr">
        <is>
          <t>Vivian Gray</t>
        </is>
      </c>
      <c r="E15045" t="n">
        <v>6.87</v>
      </c>
      <c r="F15045" t="n">
        <v>1</v>
      </c>
      <c r="G15045" t="n">
        <v>8</v>
      </c>
      <c r="H15045" s="5">
        <f>HYPERLINK("https://api.qogita.com/variants/link/4250120790039/", "View Product")</f>
        <v/>
      </c>
    </row>
    <row r="15046">
      <c r="A15046" t="inlineStr">
        <is>
          <t>4250120790046</t>
        </is>
      </c>
      <c r="B15046" t="inlineStr">
        <is>
          <t>Vivian Gray True Nature Citrus Bergamot 75 Ml Moisturizer</t>
        </is>
      </c>
      <c r="C15046" t="inlineStr">
        <is>
          <t>Face Cream</t>
        </is>
      </c>
      <c r="D15046" t="inlineStr">
        <is>
          <t>Vivian Gray</t>
        </is>
      </c>
      <c r="E15046" t="n">
        <v>5</v>
      </c>
      <c r="F15046" t="n">
        <v>1</v>
      </c>
      <c r="G15046" t="n">
        <v>9</v>
      </c>
      <c r="H15046" s="5">
        <f>HYPERLINK("https://api.qogita.com/variants/link/4250120790046/", "View Product")</f>
        <v/>
      </c>
    </row>
    <row r="15047">
      <c r="A15047" t="inlineStr">
        <is>
          <t>4250120790138</t>
        </is>
      </c>
      <c r="B15047" t="inlineStr">
        <is>
          <t>Vivian Gray True Nature Ylang Orange 300 Ml Body Lotion</t>
        </is>
      </c>
      <c r="C15047" t="inlineStr">
        <is>
          <t>Body Lotion</t>
        </is>
      </c>
      <c r="D15047" t="inlineStr">
        <is>
          <t>Vivian Gray</t>
        </is>
      </c>
      <c r="E15047" t="n">
        <v>6.87</v>
      </c>
      <c r="F15047" t="n">
        <v>1</v>
      </c>
      <c r="G15047" t="n">
        <v>9</v>
      </c>
      <c r="H15047" s="5">
        <f>HYPERLINK("https://api.qogita.com/variants/link/4250120790138/", "View Product")</f>
        <v/>
      </c>
    </row>
    <row r="15048">
      <c r="A15048" t="inlineStr">
        <is>
          <t>4250120790336</t>
        </is>
      </c>
      <c r="B15048" t="inlineStr">
        <is>
          <t>Vivian Gray True Nature Cedar Patchouli 300 Ml Body Lotion</t>
        </is>
      </c>
      <c r="C15048" t="inlineStr">
        <is>
          <t>Body Lotion</t>
        </is>
      </c>
      <c r="D15048" t="inlineStr">
        <is>
          <t>Vivian Gray</t>
        </is>
      </c>
      <c r="E15048" t="n">
        <v>6.87</v>
      </c>
      <c r="F15048" t="n">
        <v>1</v>
      </c>
      <c r="G15048" t="n">
        <v>10</v>
      </c>
      <c r="H15048" s="5">
        <f>HYPERLINK("https://api.qogita.com/variants/link/4250120790336/", "View Product")</f>
        <v/>
      </c>
    </row>
    <row r="15049">
      <c r="A15049" t="inlineStr">
        <is>
          <t>4250587738506</t>
        </is>
      </c>
      <c r="B15049" t="inlineStr">
        <is>
          <t>Essence Cosmetics Mattifying Compact Powder 10 Light Beige 12g</t>
        </is>
      </c>
      <c r="C15049" t="inlineStr">
        <is>
          <t>Powder</t>
        </is>
      </c>
      <c r="D15049" t="inlineStr">
        <is>
          <t>Essence</t>
        </is>
      </c>
      <c r="E15049" t="n">
        <v>4.22</v>
      </c>
      <c r="F15049" t="n">
        <v>1</v>
      </c>
      <c r="G15049" t="n">
        <v>2</v>
      </c>
      <c r="H15049" s="5">
        <f>HYPERLINK("https://api.qogita.com/variants/link/4250587738506/", "View Product")</f>
        <v/>
      </c>
    </row>
    <row r="15050">
      <c r="A15050" t="inlineStr">
        <is>
          <t>4250947598306</t>
        </is>
      </c>
      <c r="B15050" t="inlineStr">
        <is>
          <t>Catrice Hd Liquid Coverage Foundation 030 Sand Beige 30ml Lasts Up To 24 Hours</t>
        </is>
      </c>
      <c r="C15050" t="inlineStr">
        <is>
          <t>Foundation</t>
        </is>
      </c>
      <c r="D15050" t="inlineStr">
        <is>
          <t>Catrice</t>
        </is>
      </c>
      <c r="E15050" t="n">
        <v>7.57</v>
      </c>
      <c r="F15050" t="n">
        <v>1</v>
      </c>
      <c r="G15050" t="n">
        <v>2</v>
      </c>
      <c r="H15050" s="5">
        <f>HYPERLINK("https://api.qogita.com/variants/link/4250947598306/", "View Product")</f>
        <v/>
      </c>
    </row>
    <row r="15051">
      <c r="A15051" t="inlineStr">
        <is>
          <t>4251232221619</t>
        </is>
      </c>
      <c r="B15051" t="inlineStr">
        <is>
          <t>Essence Cosmetics Lash Princess Sculpted Volume Mascara 12ml Black</t>
        </is>
      </c>
      <c r="C15051" t="inlineStr">
        <is>
          <t>Mascara</t>
        </is>
      </c>
      <c r="D15051" t="inlineStr">
        <is>
          <t>Essence</t>
        </is>
      </c>
      <c r="E15051" t="n">
        <v>4.79</v>
      </c>
      <c r="F15051" t="n">
        <v>1</v>
      </c>
      <c r="G15051" t="n">
        <v>2</v>
      </c>
      <c r="H15051" s="5">
        <f>HYPERLINK("https://api.qogita.com/variants/link/4251232221619/", "View Product")</f>
        <v/>
      </c>
    </row>
    <row r="15052">
      <c r="A15052" t="inlineStr">
        <is>
          <t>4251232284348</t>
        </is>
      </c>
      <c r="B15052" t="inlineStr">
        <is>
          <t>Catrice All Matt Plus Shine Control Powder 001 Universal 10 Grams</t>
        </is>
      </c>
      <c r="C15052" t="inlineStr">
        <is>
          <t>Powder</t>
        </is>
      </c>
      <c r="D15052" t="inlineStr">
        <is>
          <t>Catrice</t>
        </is>
      </c>
      <c r="E15052" t="n">
        <v>4.63</v>
      </c>
      <c r="F15052" t="n">
        <v>1</v>
      </c>
      <c r="G15052" t="n">
        <v>2</v>
      </c>
      <c r="H15052" s="5">
        <f>HYPERLINK("https://api.qogita.com/variants/link/4251232284348/", "View Product")</f>
        <v/>
      </c>
    </row>
    <row r="15053">
      <c r="A15053" t="inlineStr">
        <is>
          <t>4260180218145</t>
        </is>
      </c>
      <c r="B15053" t="inlineStr">
        <is>
          <t>M2 Beaut Hybrid Second Skin Eye Mask Collagen 7 Pieces</t>
        </is>
      </c>
      <c r="C15053" t="inlineStr">
        <is>
          <t>Eye Masks &amp; Eye Pads</t>
        </is>
      </c>
      <c r="D15053" t="inlineStr">
        <is>
          <t>M2 Beauté</t>
        </is>
      </c>
      <c r="E15053" t="n">
        <v>37.24</v>
      </c>
      <c r="F15053" t="n">
        <v>1</v>
      </c>
      <c r="G15053" t="n">
        <v>2</v>
      </c>
      <c r="H15053" s="5">
        <f>HYPERLINK("https://api.qogita.com/variants/link/4260180218145/", "View Product")</f>
        <v/>
      </c>
    </row>
    <row r="15054">
      <c r="A15054" t="inlineStr">
        <is>
          <t>4260180218633</t>
        </is>
      </c>
      <c r="B15054" t="inlineStr">
        <is>
          <t>M2 Beaute Eyebrow Enhancer Strengthening Gel For Eyebrows Blonde 6ml</t>
        </is>
      </c>
      <c r="C15054" t="inlineStr">
        <is>
          <t>Eyebrow Gel</t>
        </is>
      </c>
      <c r="D15054" t="inlineStr">
        <is>
          <t>M2 Beauté</t>
        </is>
      </c>
      <c r="E15054" t="n">
        <v>20.37</v>
      </c>
      <c r="F15054" t="n">
        <v>1</v>
      </c>
      <c r="G15054" t="n">
        <v>2</v>
      </c>
      <c r="H15054" s="5">
        <f>HYPERLINK("https://api.qogita.com/variants/link/4260180218633/", "View Product")</f>
        <v/>
      </c>
    </row>
    <row r="15055">
      <c r="A15055" t="inlineStr">
        <is>
          <t>4260393779877</t>
        </is>
      </c>
      <c r="B15055" t="inlineStr">
        <is>
          <t>Magicstripes Wake Me Up Collagen Eye Patches - Pack of 5</t>
        </is>
      </c>
      <c r="C15055" t="inlineStr">
        <is>
          <t>Eye Masks &amp; Eye Pads</t>
        </is>
      </c>
      <c r="D15055" t="inlineStr">
        <is>
          <t>Magicstripes</t>
        </is>
      </c>
      <c r="E15055" t="n">
        <v>28.84</v>
      </c>
      <c r="F15055" t="n">
        <v>1</v>
      </c>
      <c r="G15055" t="n">
        <v>2</v>
      </c>
      <c r="H15055" s="5">
        <f>HYPERLINK("https://api.qogita.com/variants/link/4260393779877/", "View Product")</f>
        <v/>
      </c>
    </row>
    <row r="15056">
      <c r="A15056" t="inlineStr">
        <is>
          <t>4260521261038</t>
        </is>
      </c>
      <c r="B15056" t="inlineStr">
        <is>
          <t>Dr. Barbara Sturm Super Anti-Aging Hand Cream 50ml Women's Skin Care</t>
        </is>
      </c>
      <c r="C15056" t="inlineStr">
        <is>
          <t>Hand Cream</t>
        </is>
      </c>
      <c r="D15056" t="inlineStr">
        <is>
          <t>Dr. Barbara Sturm</t>
        </is>
      </c>
      <c r="E15056" t="n">
        <v>47.08</v>
      </c>
      <c r="F15056" t="n">
        <v>1</v>
      </c>
      <c r="G15056" t="n">
        <v>3</v>
      </c>
      <c r="H15056" s="5">
        <f>HYPERLINK("https://api.qogita.com/variants/link/4260521261038/", "View Product")</f>
        <v/>
      </c>
    </row>
    <row r="15057">
      <c r="A15057" t="inlineStr">
        <is>
          <t>4260521261908</t>
        </is>
      </c>
      <c r="B15057" t="inlineStr">
        <is>
          <t>Dr. Barbara Sturm Super Anti-Aging Scalp Serum</t>
        </is>
      </c>
      <c r="C15057" t="inlineStr">
        <is>
          <t>Scalp Care</t>
        </is>
      </c>
      <c r="D15057" t="inlineStr">
        <is>
          <t>Dr. Barbara Sturm</t>
        </is>
      </c>
      <c r="E15057" t="n">
        <v>65.75</v>
      </c>
      <c r="F15057" t="n">
        <v>1</v>
      </c>
      <c r="G15057" t="n">
        <v>8</v>
      </c>
      <c r="H15057" s="5">
        <f>HYPERLINK("https://api.qogita.com/variants/link/4260521261908/", "View Product")</f>
        <v/>
      </c>
    </row>
    <row r="15058">
      <c r="A15058" t="inlineStr">
        <is>
          <t>4743318148397</t>
        </is>
      </c>
      <c r="B15058" t="inlineStr">
        <is>
          <t>Natura Siberica Oblepikha Honey Body Scrub 300ml</t>
        </is>
      </c>
      <c r="C15058" t="inlineStr">
        <is>
          <t>Body Scrub &amp; Peeling</t>
        </is>
      </c>
      <c r="D15058" t="inlineStr">
        <is>
          <t>Natura Siberica</t>
        </is>
      </c>
      <c r="E15058" t="n">
        <v>8.82</v>
      </c>
      <c r="F15058" t="n">
        <v>1</v>
      </c>
      <c r="G15058" t="n">
        <v>7</v>
      </c>
      <c r="H15058" s="5">
        <f>HYPERLINK("https://api.qogita.com/variants/link/4743318148397/", "View Product")</f>
        <v/>
      </c>
    </row>
    <row r="15059">
      <c r="A15059" t="inlineStr">
        <is>
          <t>4744183010352</t>
        </is>
      </c>
      <c r="B15059" t="inlineStr">
        <is>
          <t>Absolut Poly Collagen Wrinkle Filler Triple Anti-Age Effect 40ml</t>
        </is>
      </c>
      <c r="C15059" t="inlineStr">
        <is>
          <t>Collagen Serum</t>
        </is>
      </c>
      <c r="D15059" t="inlineStr">
        <is>
          <t>Natura Siberica</t>
        </is>
      </c>
      <c r="E15059" t="n">
        <v>19.65</v>
      </c>
      <c r="F15059" t="n">
        <v>1</v>
      </c>
      <c r="G15059" t="n">
        <v>9</v>
      </c>
      <c r="H15059" s="5">
        <f>HYPERLINK("https://api.qogita.com/variants/link/4744183010352/", "View Product")</f>
        <v/>
      </c>
    </row>
    <row r="15060">
      <c r="A15060" t="inlineStr">
        <is>
          <t>4770001331903</t>
        </is>
      </c>
      <c r="B15060" t="inlineStr">
        <is>
          <t>Ecodenta Fluoride Free Toothpaste Triple Force Teeth Cleaning Plaque Removal</t>
        </is>
      </c>
      <c r="C15060" t="inlineStr">
        <is>
          <t>Toothpaste</t>
        </is>
      </c>
      <c r="D15060" t="inlineStr">
        <is>
          <t>Ecodenta</t>
        </is>
      </c>
      <c r="E15060" t="n">
        <v>3.71</v>
      </c>
      <c r="F15060" t="n">
        <v>1</v>
      </c>
      <c r="G15060" t="n">
        <v>160</v>
      </c>
      <c r="H15060" s="5">
        <f>HYPERLINK("https://api.qogita.com/variants/link/4770001331903/", "View Product")</f>
        <v/>
      </c>
    </row>
    <row r="15061">
      <c r="A15061" t="inlineStr">
        <is>
          <t>4770001337264</t>
        </is>
      </c>
      <c r="B15061" t="inlineStr">
        <is>
          <t>Ecodenta Extra Extra Whitening Mouthwash With Black Charcoal 500 Ml</t>
        </is>
      </c>
      <c r="C15061" t="inlineStr">
        <is>
          <t>Mouthwash</t>
        </is>
      </c>
      <c r="D15061" t="inlineStr">
        <is>
          <t>Ecodenta</t>
        </is>
      </c>
      <c r="E15061" t="n">
        <v>5.5</v>
      </c>
      <c r="F15061" t="n">
        <v>1</v>
      </c>
      <c r="G15061" t="n">
        <v>89</v>
      </c>
      <c r="H15061" s="5">
        <f>HYPERLINK("https://api.qogita.com/variants/link/4770001337264/", "View Product")</f>
        <v/>
      </c>
    </row>
    <row r="15062">
      <c r="A15062" t="inlineStr">
        <is>
          <t>4820121590305</t>
        </is>
      </c>
      <c r="B15062" t="inlineStr">
        <is>
          <t>Staleks Beauty Care 10 Type 3 Eyebrow Tweezers Wide Slanted Tip</t>
        </is>
      </c>
      <c r="C15062" t="inlineStr">
        <is>
          <t>Other</t>
        </is>
      </c>
      <c r="D15062" t="inlineStr">
        <is>
          <t>Staleks</t>
        </is>
      </c>
      <c r="E15062" t="n">
        <v>6.11</v>
      </c>
      <c r="F15062" t="n">
        <v>1</v>
      </c>
      <c r="G15062" t="n">
        <v>2</v>
      </c>
      <c r="H15062" s="5">
        <f>HYPERLINK("https://api.qogita.com/variants/link/4820121590305/", "View Product")</f>
        <v/>
      </c>
    </row>
    <row r="15063">
      <c r="A15063" t="inlineStr">
        <is>
          <t>4820121590381</t>
        </is>
      </c>
      <c r="B15063" t="inlineStr">
        <is>
          <t>Staleks Professional Cuticle Nippers Expert 11 - 11 Mm</t>
        </is>
      </c>
      <c r="C15063" t="inlineStr">
        <is>
          <t>Nail Clippers &amp; Tools</t>
        </is>
      </c>
      <c r="D15063" t="inlineStr">
        <is>
          <t>Staleks</t>
        </is>
      </c>
      <c r="E15063" t="n">
        <v>26.53</v>
      </c>
      <c r="F15063" t="n">
        <v>1</v>
      </c>
      <c r="G15063" t="n">
        <v>5</v>
      </c>
      <c r="H15063" s="5">
        <f>HYPERLINK("https://api.qogita.com/variants/link/4820121590381/", "View Product")</f>
        <v/>
      </c>
    </row>
    <row r="15064">
      <c r="A15064" t="inlineStr">
        <is>
          <t>4820121590480</t>
        </is>
      </c>
      <c r="B15064" t="inlineStr">
        <is>
          <t>Staleks Beauty &amp; Care 10 Type 1 Matte Cuticle Scissors</t>
        </is>
      </c>
      <c r="C15064" t="inlineStr">
        <is>
          <t>Nail Clippers &amp; Tools</t>
        </is>
      </c>
      <c r="D15064" t="inlineStr">
        <is>
          <t>Staleks</t>
        </is>
      </c>
      <c r="E15064" t="n">
        <v>9.91</v>
      </c>
      <c r="F15064" t="n">
        <v>1</v>
      </c>
      <c r="G15064" t="n">
        <v>9</v>
      </c>
      <c r="H15064" s="5">
        <f>HYPERLINK("https://api.qogita.com/variants/link/4820121590480/", "View Product")</f>
        <v/>
      </c>
    </row>
    <row r="15065">
      <c r="A15065" t="inlineStr">
        <is>
          <t>4820121591449</t>
        </is>
      </c>
      <c r="B15065" t="inlineStr">
        <is>
          <t>Staleks Pro Nail Nippers EXPERT NE-60-16 Full Jaw 0.63 Inch</t>
        </is>
      </c>
      <c r="C15065" t="inlineStr">
        <is>
          <t>Nail Clippers &amp; Tools</t>
        </is>
      </c>
      <c r="D15065" t="inlineStr">
        <is>
          <t>Staleks Pro</t>
        </is>
      </c>
      <c r="E15065" t="n">
        <v>27.86</v>
      </c>
      <c r="F15065" t="n">
        <v>1</v>
      </c>
      <c r="G15065" t="n">
        <v>7</v>
      </c>
      <c r="H15065" s="5">
        <f>HYPERLINK("https://api.qogita.com/variants/link/4820121591449/", "View Product")</f>
        <v/>
      </c>
    </row>
    <row r="15066">
      <c r="A15066" t="inlineStr">
        <is>
          <t>4820121595935</t>
        </is>
      </c>
      <c r="B15066" t="inlineStr">
        <is>
          <t>Beauty&amp;Care Clean Skin Set 30 Units With Strainer Spoon And Loop</t>
        </is>
      </c>
      <c r="C15066" t="inlineStr">
        <is>
          <t>Face</t>
        </is>
      </c>
      <c r="D15066" t="inlineStr">
        <is>
          <t>Beauty &amp; Care</t>
        </is>
      </c>
      <c r="E15066" t="n">
        <v>10.8</v>
      </c>
      <c r="F15066" t="n">
        <v>1</v>
      </c>
      <c r="G15066" t="n">
        <v>2</v>
      </c>
      <c r="H15066" s="5">
        <f>HYPERLINK("https://api.qogita.com/variants/link/4820121595935/", "View Product")</f>
        <v/>
      </c>
    </row>
    <row r="15067">
      <c r="A15067" t="inlineStr">
        <is>
          <t>4820121599711</t>
        </is>
      </c>
      <c r="B15067" t="inlineStr">
        <is>
          <t>Staleks Professional Cuticle Nippers Expert 90 5 Mm Precision Nail Care Tool</t>
        </is>
      </c>
      <c r="C15067" t="inlineStr">
        <is>
          <t>Nail Clippers &amp; Tools</t>
        </is>
      </c>
      <c r="D15067" t="inlineStr">
        <is>
          <t>Staleks</t>
        </is>
      </c>
      <c r="E15067" t="n">
        <v>25.87</v>
      </c>
      <c r="F15067" t="n">
        <v>1</v>
      </c>
      <c r="G15067" t="n">
        <v>2</v>
      </c>
      <c r="H15067" s="5">
        <f>HYPERLINK("https://api.qogita.com/variants/link/4820121599711/", "View Product")</f>
        <v/>
      </c>
    </row>
    <row r="15068">
      <c r="A15068" t="inlineStr">
        <is>
          <t>4820241061556</t>
        </is>
      </c>
      <c r="B15068" t="inlineStr">
        <is>
          <t>Staleks Classic 62 Type 2 Nail Scissors</t>
        </is>
      </c>
      <c r="C15068" t="inlineStr">
        <is>
          <t>Nail Clippers &amp; Tools</t>
        </is>
      </c>
      <c r="D15068" t="inlineStr">
        <is>
          <t>Staleks</t>
        </is>
      </c>
      <c r="E15068" t="n">
        <v>7.57</v>
      </c>
      <c r="F15068" t="n">
        <v>1</v>
      </c>
      <c r="G15068" t="n">
        <v>16</v>
      </c>
      <c r="H15068" s="5">
        <f>HYPERLINK("https://api.qogita.com/variants/link/4820241061556/", "View Product")</f>
        <v/>
      </c>
    </row>
    <row r="15069">
      <c r="A15069" t="inlineStr">
        <is>
          <t>4820241063369</t>
        </is>
      </c>
      <c r="B15069" t="inlineStr">
        <is>
          <t>Staleks Cuticle Scissors Unique Curve of Handles Classic Blades Exclusive SX 20/1m</t>
        </is>
      </c>
      <c r="C15069" t="inlineStr">
        <is>
          <t>Nail Clippers &amp; Tools</t>
        </is>
      </c>
      <c r="D15069" t="inlineStr">
        <is>
          <t>Staleks</t>
        </is>
      </c>
      <c r="E15069" t="n">
        <v>24.9</v>
      </c>
      <c r="F15069" t="n">
        <v>1</v>
      </c>
      <c r="G15069" t="n">
        <v>13</v>
      </c>
      <c r="H15069" s="5">
        <f>HYPERLINK("https://api.qogita.com/variants/link/4820241063369/", "View Product")</f>
        <v/>
      </c>
    </row>
    <row r="15070">
      <c r="A15070" t="inlineStr">
        <is>
          <t>4820241064229</t>
        </is>
      </c>
      <c r="B15070" t="inlineStr">
        <is>
          <t>Staleks Smart 40 Type 3 Professional Cuticle Scissors</t>
        </is>
      </c>
      <c r="C15070" t="inlineStr">
        <is>
          <t>Nail Clippers &amp; Tools</t>
        </is>
      </c>
      <c r="D15070" t="inlineStr">
        <is>
          <t>Staleks</t>
        </is>
      </c>
      <c r="E15070" t="n">
        <v>13.1</v>
      </c>
      <c r="F15070" t="n">
        <v>1</v>
      </c>
      <c r="G15070" t="n">
        <v>5</v>
      </c>
      <c r="H15070" s="5">
        <f>HYPERLINK("https://api.qogita.com/variants/link/4820241064229/", "View Product")</f>
        <v/>
      </c>
    </row>
    <row r="15071">
      <c r="A15071" t="inlineStr">
        <is>
          <t>4820241065547</t>
        </is>
      </c>
      <c r="B15071" t="inlineStr">
        <is>
          <t>Staleks Pro L Roughness 180 White Refill Pads For Pedicure Disc 50 Pcs</t>
        </is>
      </c>
      <c r="C15071" t="inlineStr">
        <is>
          <t>Foot Care Sets</t>
        </is>
      </c>
      <c r="D15071" t="inlineStr">
        <is>
          <t>Staleks</t>
        </is>
      </c>
      <c r="E15071" t="n">
        <v>4.47</v>
      </c>
      <c r="F15071" t="n">
        <v>1</v>
      </c>
      <c r="G15071" t="n">
        <v>2</v>
      </c>
      <c r="H15071" s="5">
        <f>HYPERLINK("https://api.qogita.com/variants/link/4820241065547/", "View Product")</f>
        <v/>
      </c>
    </row>
    <row r="15072">
      <c r="A15072" t="inlineStr">
        <is>
          <t>4820241066155</t>
        </is>
      </c>
      <c r="B15072" t="inlineStr">
        <is>
          <t>Staleks Pro Smart 20 Papmam Soft Interchangeable Files Case 30 Pcs</t>
        </is>
      </c>
      <c r="C15072" t="inlineStr">
        <is>
          <t>Nail Clippers &amp; Tools</t>
        </is>
      </c>
      <c r="D15072" t="inlineStr">
        <is>
          <t>Staleks</t>
        </is>
      </c>
      <c r="E15072" t="n">
        <v>4.47</v>
      </c>
      <c r="F15072" t="n">
        <v>1</v>
      </c>
      <c r="G15072" t="n">
        <v>4</v>
      </c>
      <c r="H15072" s="5">
        <f>HYPERLINK("https://api.qogita.com/variants/link/4820241066155/", "View Product")</f>
        <v/>
      </c>
    </row>
    <row r="15073">
      <c r="A15073" t="inlineStr">
        <is>
          <t>4820241066162</t>
        </is>
      </c>
      <c r="B15073" t="inlineStr">
        <is>
          <t>Staleks Spare Sandpaper With Foam Smart 30 Grit 180 Disposable Files - 30 Pieces</t>
        </is>
      </c>
      <c r="C15073" t="inlineStr">
        <is>
          <t>Nail Clippers &amp; Tools</t>
        </is>
      </c>
      <c r="D15073" t="inlineStr">
        <is>
          <t>Staleks</t>
        </is>
      </c>
      <c r="E15073" t="n">
        <v>4.47</v>
      </c>
      <c r="F15073" t="n">
        <v>1</v>
      </c>
      <c r="G15073" t="n">
        <v>4</v>
      </c>
      <c r="H15073" s="5">
        <f>HYPERLINK("https://api.qogita.com/variants/link/4820241066162/", "View Product")</f>
        <v/>
      </c>
    </row>
    <row r="15074">
      <c r="A15074" t="inlineStr">
        <is>
          <t>4820241066179</t>
        </is>
      </c>
      <c r="B15074" t="inlineStr">
        <is>
          <t>Staleks Pro Smart 20 Papmam Soft Interchangeable Files Case 30 Pcs</t>
        </is>
      </c>
      <c r="C15074" t="inlineStr">
        <is>
          <t>Nail Clippers &amp; Tools</t>
        </is>
      </c>
      <c r="D15074" t="inlineStr">
        <is>
          <t>Staleks</t>
        </is>
      </c>
      <c r="E15074" t="n">
        <v>4.47</v>
      </c>
      <c r="F15074" t="n">
        <v>1</v>
      </c>
      <c r="G15074" t="n">
        <v>3</v>
      </c>
      <c r="H15074" s="5">
        <f>HYPERLINK("https://api.qogita.com/variants/link/4820241066179/", "View Product")</f>
        <v/>
      </c>
    </row>
    <row r="15075">
      <c r="A15075" t="inlineStr">
        <is>
          <t>4820241066629</t>
        </is>
      </c>
      <c r="B15075" t="inlineStr">
        <is>
          <t>Staleks Pro Expert 180 Grit Nail File Roll</t>
        </is>
      </c>
      <c r="C15075" t="inlineStr">
        <is>
          <t>Nail Clippers &amp; Tools</t>
        </is>
      </c>
      <c r="D15075" t="inlineStr">
        <is>
          <t>Staleks</t>
        </is>
      </c>
      <c r="E15075" t="n">
        <v>12.1</v>
      </c>
      <c r="F15075" t="n">
        <v>1</v>
      </c>
      <c r="G15075" t="n">
        <v>9</v>
      </c>
      <c r="H15075" s="5">
        <f>HYPERLINK("https://api.qogita.com/variants/link/4820241066629/", "View Product")</f>
        <v/>
      </c>
    </row>
    <row r="15076">
      <c r="A15076" t="inlineStr">
        <is>
          <t>4820241067305</t>
        </is>
      </c>
      <c r="B15076" t="inlineStr">
        <is>
          <t>Staleks Expert 51 Type 3 Professional Cuticle Scissors With Hook</t>
        </is>
      </c>
      <c r="C15076" t="inlineStr">
        <is>
          <t>Nail Clippers &amp; Tools</t>
        </is>
      </c>
      <c r="D15076" t="inlineStr">
        <is>
          <t>Staleks</t>
        </is>
      </c>
      <c r="E15076" t="n">
        <v>15.71</v>
      </c>
      <c r="F15076" t="n">
        <v>1</v>
      </c>
      <c r="G15076" t="n">
        <v>4</v>
      </c>
      <c r="H15076" s="5">
        <f>HYPERLINK("https://api.qogita.com/variants/link/4820241067305/", "View Product")</f>
        <v/>
      </c>
    </row>
    <row r="15077">
      <c r="A15077" t="inlineStr">
        <is>
          <t>4820241067336</t>
        </is>
      </c>
      <c r="B15077" t="inlineStr">
        <is>
          <t>Pro Expert Set Of Replacement Nail File Tips 100/180 25 Pieces</t>
        </is>
      </c>
      <c r="C15077" t="inlineStr">
        <is>
          <t>Nail Clippers &amp; Tools</t>
        </is>
      </c>
      <c r="D15077" t="inlineStr">
        <is>
          <t>ProExpert</t>
        </is>
      </c>
      <c r="E15077" t="n">
        <v>6.84</v>
      </c>
      <c r="F15077" t="n">
        <v>1</v>
      </c>
      <c r="G15077" t="n">
        <v>5</v>
      </c>
      <c r="H15077" s="5">
        <f>HYPERLINK("https://api.qogita.com/variants/link/4820241067336/", "View Product")</f>
        <v/>
      </c>
    </row>
    <row r="15078">
      <c r="A15078" t="inlineStr">
        <is>
          <t>4820241067657</t>
        </is>
      </c>
      <c r="B15078" t="inlineStr">
        <is>
          <t>Staleks Asymmetric Uniq 20 Type 4 Professional Cuticle Scissors</t>
        </is>
      </c>
      <c r="C15078" t="inlineStr">
        <is>
          <t>Nail Clippers &amp; Tools</t>
        </is>
      </c>
      <c r="D15078" t="inlineStr">
        <is>
          <t>Staleks</t>
        </is>
      </c>
      <c r="E15078" t="n">
        <v>15.06</v>
      </c>
      <c r="F15078" t="n">
        <v>1</v>
      </c>
      <c r="G15078" t="n">
        <v>3</v>
      </c>
      <c r="H15078" s="5">
        <f>HYPERLINK("https://api.qogita.com/variants/link/4820241067657/", "View Product")</f>
        <v/>
      </c>
    </row>
    <row r="15079">
      <c r="A15079" t="inlineStr">
        <is>
          <t>4820241069224</t>
        </is>
      </c>
      <c r="B15079" t="inlineStr">
        <is>
          <t>Staleks Uniq PQ-10/1 Round Manicure Instrument with Silicone Handle</t>
        </is>
      </c>
      <c r="C15079" t="inlineStr">
        <is>
          <t>Nail Clippers &amp; Tools</t>
        </is>
      </c>
      <c r="D15079" t="inlineStr">
        <is>
          <t>Staleks</t>
        </is>
      </c>
      <c r="E15079" t="n">
        <v>6.22</v>
      </c>
      <c r="F15079" t="n">
        <v>1</v>
      </c>
      <c r="G15079" t="n">
        <v>7</v>
      </c>
      <c r="H15079" s="5">
        <f>HYPERLINK("https://api.qogita.com/variants/link/4820241069224/", "View Product")</f>
        <v/>
      </c>
    </row>
    <row r="15080">
      <c r="A15080" t="inlineStr">
        <is>
          <t>4823126600550</t>
        </is>
      </c>
      <c r="B15080" t="inlineStr">
        <is>
          <t>Staleks Treat.S Regenerating Oil For Pedicure</t>
        </is>
      </c>
      <c r="C15080" t="inlineStr">
        <is>
          <t>Foot Care Sets</t>
        </is>
      </c>
      <c r="D15080" t="inlineStr">
        <is>
          <t>Staleks</t>
        </is>
      </c>
      <c r="E15080" t="n">
        <v>15.71</v>
      </c>
      <c r="F15080" t="n">
        <v>1</v>
      </c>
      <c r="G15080" t="n">
        <v>2</v>
      </c>
      <c r="H15080" s="5">
        <f>HYPERLINK("https://api.qogita.com/variants/link/4823126600550/", "View Product")</f>
        <v/>
      </c>
    </row>
    <row r="15081">
      <c r="A15081" t="inlineStr">
        <is>
          <t>4823126600741</t>
        </is>
      </c>
      <c r="B15081" t="inlineStr">
        <is>
          <t>Staleks Manicure Attachment Combo Uniq 14 Bent Blade</t>
        </is>
      </c>
      <c r="C15081" t="inlineStr">
        <is>
          <t>Nail Clippers &amp; Tools</t>
        </is>
      </c>
      <c r="D15081" t="inlineStr">
        <is>
          <t>Staleks</t>
        </is>
      </c>
      <c r="E15081" t="n">
        <v>4.07</v>
      </c>
      <c r="F15081" t="n">
        <v>1</v>
      </c>
      <c r="G15081" t="n">
        <v>5</v>
      </c>
      <c r="H15081" s="5">
        <f>HYPERLINK("https://api.qogita.com/variants/link/4823126600741/", "View Product")</f>
        <v/>
      </c>
    </row>
    <row r="15082">
      <c r="A15082" t="inlineStr">
        <is>
          <t>4823126600758</t>
        </is>
      </c>
      <c r="B15082" t="inlineStr">
        <is>
          <t>Staleks Manicure Attachment Combo Uniq 15 Straight Blade</t>
        </is>
      </c>
      <c r="C15082" t="inlineStr">
        <is>
          <t>Nail Clippers &amp; Tools</t>
        </is>
      </c>
      <c r="D15082" t="inlineStr">
        <is>
          <t>Staleks</t>
        </is>
      </c>
      <c r="E15082" t="n">
        <v>4.07</v>
      </c>
      <c r="F15082" t="n">
        <v>1</v>
      </c>
      <c r="G15082" t="n">
        <v>4</v>
      </c>
      <c r="H15082" s="5">
        <f>HYPERLINK("https://api.qogita.com/variants/link/4823126600758/", "View Product")</f>
        <v/>
      </c>
    </row>
    <row r="15083">
      <c r="A15083" t="inlineStr">
        <is>
          <t>4823126600857</t>
        </is>
      </c>
      <c r="B15083" t="inlineStr">
        <is>
          <t>Staleks Manicure Attachment Combo Uniq 17 Rounded Wide Pusher</t>
        </is>
      </c>
      <c r="C15083" t="inlineStr">
        <is>
          <t>Nail Clippers &amp; Tools</t>
        </is>
      </c>
      <c r="D15083" t="inlineStr">
        <is>
          <t>Staleks</t>
        </is>
      </c>
      <c r="E15083" t="n">
        <v>4.07</v>
      </c>
      <c r="F15083" t="n">
        <v>1</v>
      </c>
      <c r="G15083" t="n">
        <v>5</v>
      </c>
      <c r="H15083" s="5">
        <f>HYPERLINK("https://api.qogita.com/variants/link/4823126600857/", "View Product")</f>
        <v/>
      </c>
    </row>
    <row r="15084">
      <c r="A15084" t="inlineStr">
        <is>
          <t>4897028693934</t>
        </is>
      </c>
      <c r="B15084" t="inlineStr">
        <is>
          <t>Travalo Classic HD Pink Perfume Atomizer</t>
        </is>
      </c>
      <c r="C15084" t="inlineStr">
        <is>
          <t>Refillable Fragrances &amp; Refills</t>
        </is>
      </c>
      <c r="D15084" t="inlineStr">
        <is>
          <t>Travalo</t>
        </is>
      </c>
      <c r="E15084" t="n">
        <v>7.15</v>
      </c>
      <c r="F15084" t="n">
        <v>1</v>
      </c>
      <c r="G15084" t="n">
        <v>725</v>
      </c>
      <c r="H15084" s="5">
        <f>HYPERLINK("https://api.qogita.com/variants/link/4897028693934/", "View Product")</f>
        <v/>
      </c>
    </row>
    <row r="15085">
      <c r="A15085" t="inlineStr">
        <is>
          <t>4897028694078</t>
        </is>
      </c>
      <c r="B15085" t="inlineStr">
        <is>
          <t>Travalo Classic Blue Perfume Atomizer</t>
        </is>
      </c>
      <c r="C15085" t="inlineStr">
        <is>
          <t>Refillable Fragrances &amp; Refills</t>
        </is>
      </c>
      <c r="D15085" t="inlineStr">
        <is>
          <t>Travalo</t>
        </is>
      </c>
      <c r="E15085" t="n">
        <v>7.35</v>
      </c>
      <c r="F15085" t="n">
        <v>1</v>
      </c>
      <c r="G15085" t="n">
        <v>31</v>
      </c>
      <c r="H15085" s="5">
        <f>HYPERLINK("https://api.qogita.com/variants/link/4897028694078/", "View Product")</f>
        <v/>
      </c>
    </row>
    <row r="15086">
      <c r="A15086" t="inlineStr">
        <is>
          <t>4935421717359</t>
        </is>
      </c>
      <c r="B15086" t="inlineStr">
        <is>
          <t>Helena Rubinstein Prodigy Cellglow Rich Dewy Essence 200ml</t>
        </is>
      </c>
      <c r="C15086" t="inlineStr">
        <is>
          <t>Glow Serum</t>
        </is>
      </c>
      <c r="D15086" t="inlineStr">
        <is>
          <t>Helena Rubinstein</t>
        </is>
      </c>
      <c r="E15086" t="n">
        <v>160.7</v>
      </c>
      <c r="F15086" t="n">
        <v>1</v>
      </c>
      <c r="G15086" t="n">
        <v>2</v>
      </c>
      <c r="H15086" s="5">
        <f>HYPERLINK("https://api.qogita.com/variants/link/4935421717359/", "View Product")</f>
        <v/>
      </c>
    </row>
    <row r="15087">
      <c r="A15087" t="inlineStr">
        <is>
          <t>4935421733090</t>
        </is>
      </c>
      <c r="B15087" t="inlineStr">
        <is>
          <t>Lan Absol Ult Rep Bi Ampoule 12ml</t>
        </is>
      </c>
      <c r="C15087" t="inlineStr">
        <is>
          <t>Ampoules</t>
        </is>
      </c>
      <c r="D15087" t="inlineStr">
        <is>
          <t>Lancôme</t>
        </is>
      </c>
      <c r="E15087" t="n">
        <v>129.53</v>
      </c>
      <c r="F15087" t="n">
        <v>1</v>
      </c>
      <c r="G15087" t="n">
        <v>7</v>
      </c>
      <c r="H15087" s="5">
        <f>HYPERLINK("https://api.qogita.com/variants/link/4935421733090/", "View Product")</f>
        <v/>
      </c>
    </row>
    <row r="15088">
      <c r="A15088" t="inlineStr">
        <is>
          <t>4935421761765</t>
        </is>
      </c>
      <c r="B15088" t="inlineStr">
        <is>
          <t>Yves Saint Laurent Rouge Volupte Candy Glaze Lipstick Glossy Lipstick 32 G 5 Pink Satisfaction</t>
        </is>
      </c>
      <c r="C15088" t="inlineStr">
        <is>
          <t>Lipstick</t>
        </is>
      </c>
      <c r="D15088" t="inlineStr">
        <is>
          <t>Yves Saint Laurent</t>
        </is>
      </c>
      <c r="E15088" t="n">
        <v>32.25</v>
      </c>
      <c r="F15088" t="n">
        <v>1</v>
      </c>
      <c r="G15088" t="n">
        <v>5</v>
      </c>
      <c r="H15088" s="5">
        <f>HYPERLINK("https://api.qogita.com/variants/link/4935421761765/", "View Product")</f>
        <v/>
      </c>
    </row>
    <row r="15089">
      <c r="A15089" t="inlineStr">
        <is>
          <t>4973167187012</t>
        </is>
      </c>
      <c r="B15089" t="inlineStr">
        <is>
          <t>Sensai Cellular Performance Lifting Radiance Cream 40ml</t>
        </is>
      </c>
      <c r="C15089" t="inlineStr">
        <is>
          <t>Anti-Aging Facial Care</t>
        </is>
      </c>
      <c r="D15089" t="inlineStr">
        <is>
          <t>Sensai</t>
        </is>
      </c>
      <c r="E15089" t="n">
        <v>185.27</v>
      </c>
      <c r="F15089" t="n">
        <v>1</v>
      </c>
      <c r="G15089" t="n">
        <v>5</v>
      </c>
      <c r="H15089" s="5">
        <f>HYPERLINK("https://api.qogita.com/variants/link/4973167187012/", "View Product")</f>
        <v/>
      </c>
    </row>
    <row r="15090">
      <c r="A15090" t="inlineStr">
        <is>
          <t>4973167257241</t>
        </is>
      </c>
      <c r="B15090" t="inlineStr">
        <is>
          <t>Sensai Silk Shower Cream 200ml</t>
        </is>
      </c>
      <c r="C15090" t="inlineStr">
        <is>
          <t>Shower Gel</t>
        </is>
      </c>
      <c r="D15090" t="inlineStr">
        <is>
          <t>Sensai</t>
        </is>
      </c>
      <c r="E15090" t="n">
        <v>39.34</v>
      </c>
      <c r="F15090" t="n">
        <v>1</v>
      </c>
      <c r="G15090" t="n">
        <v>5</v>
      </c>
      <c r="H15090" s="5">
        <f>HYPERLINK("https://api.qogita.com/variants/link/4973167257241/", "View Product")</f>
        <v/>
      </c>
    </row>
    <row r="15091">
      <c r="A15091" t="inlineStr">
        <is>
          <t>4973167294222</t>
        </is>
      </c>
      <c r="B15091" t="inlineStr">
        <is>
          <t>Sensai Bloom Blush 02 Peach</t>
        </is>
      </c>
      <c r="C15091" t="inlineStr">
        <is>
          <t>Blush</t>
        </is>
      </c>
      <c r="D15091" t="inlineStr">
        <is>
          <t>Sensai</t>
        </is>
      </c>
      <c r="E15091" t="n">
        <v>37.36</v>
      </c>
      <c r="F15091" t="n">
        <v>1</v>
      </c>
      <c r="G15091" t="n">
        <v>9</v>
      </c>
      <c r="H15091" s="5">
        <f>HYPERLINK("https://api.qogita.com/variants/link/4973167294222/", "View Product")</f>
        <v/>
      </c>
    </row>
    <row r="15092">
      <c r="A15092" t="inlineStr">
        <is>
          <t>4973167343708</t>
        </is>
      </c>
      <c r="B15092" t="inlineStr">
        <is>
          <t>Sensai Lip Pencil 04 Feminine Mauve 1 G</t>
        </is>
      </c>
      <c r="C15092" t="inlineStr">
        <is>
          <t>Lip Liner</t>
        </is>
      </c>
      <c r="D15092" t="inlineStr">
        <is>
          <t>Sensai</t>
        </is>
      </c>
      <c r="E15092" t="n">
        <v>26.94</v>
      </c>
      <c r="F15092" t="n">
        <v>1</v>
      </c>
      <c r="G15092" t="n">
        <v>9</v>
      </c>
      <c r="H15092" s="5">
        <f>HYPERLINK("https://api.qogita.com/variants/link/4973167343708/", "View Product")</f>
        <v/>
      </c>
    </row>
    <row r="15093">
      <c r="A15093" t="inlineStr">
        <is>
          <t>4973167383643</t>
        </is>
      </c>
      <c r="B15093" t="inlineStr">
        <is>
          <t>Sensai Absolute Silk Cream 40ml Daily Skin Cream</t>
        </is>
      </c>
      <c r="C15093" t="inlineStr">
        <is>
          <t>Day Cream</t>
        </is>
      </c>
      <c r="D15093" t="inlineStr">
        <is>
          <t>Sensai</t>
        </is>
      </c>
      <c r="E15093" t="n">
        <v>127.33</v>
      </c>
      <c r="F15093" t="n">
        <v>1</v>
      </c>
      <c r="G15093" t="n">
        <v>8</v>
      </c>
      <c r="H15093" s="5">
        <f>HYPERLINK("https://api.qogita.com/variants/link/4973167383643/", "View Product")</f>
        <v/>
      </c>
    </row>
    <row r="15094">
      <c r="A15094" t="inlineStr">
        <is>
          <t>4973167525852</t>
        </is>
      </c>
      <c r="B15094" t="inlineStr">
        <is>
          <t>Sensai Total Finish Powder Makeup Refill Spf 10 Soft Beige 11g</t>
        </is>
      </c>
      <c r="C15094" t="inlineStr">
        <is>
          <t>Powder</t>
        </is>
      </c>
      <c r="D15094" t="inlineStr">
        <is>
          <t>Sensai</t>
        </is>
      </c>
      <c r="E15094" t="n">
        <v>34.13</v>
      </c>
      <c r="F15094" t="n">
        <v>1</v>
      </c>
      <c r="G15094" t="n">
        <v>4</v>
      </c>
      <c r="H15094" s="5">
        <f>HYPERLINK("https://api.qogita.com/variants/link/4973167525852/", "View Product")</f>
        <v/>
      </c>
    </row>
    <row r="15095">
      <c r="A15095" t="inlineStr">
        <is>
          <t>4973167525869</t>
        </is>
      </c>
      <c r="B15095" t="inlineStr">
        <is>
          <t>Sensai Sensai Total Finish Spf 10 Refill Tf203 Natural Beige 11g</t>
        </is>
      </c>
      <c r="C15095" t="inlineStr">
        <is>
          <t>Foundation</t>
        </is>
      </c>
      <c r="D15095" t="inlineStr">
        <is>
          <t>Sensai</t>
        </is>
      </c>
      <c r="E15095" t="n">
        <v>34.02</v>
      </c>
      <c r="F15095" t="n">
        <v>1</v>
      </c>
      <c r="G15095" t="n">
        <v>14</v>
      </c>
      <c r="H15095" s="5">
        <f>HYPERLINK("https://api.qogita.com/variants/link/4973167525869/", "View Product")</f>
        <v/>
      </c>
    </row>
    <row r="15096">
      <c r="A15096" t="inlineStr">
        <is>
          <t>4973167698419</t>
        </is>
      </c>
      <c r="B15096" t="inlineStr">
        <is>
          <t>Sensai Cellular Performance Advanced Day Cream 50ml</t>
        </is>
      </c>
      <c r="C15096" t="inlineStr">
        <is>
          <t>Day Cream</t>
        </is>
      </c>
      <c r="D15096" t="inlineStr">
        <is>
          <t>Sensai</t>
        </is>
      </c>
      <c r="E15096" t="n">
        <v>84.23999999999999</v>
      </c>
      <c r="F15096" t="n">
        <v>1</v>
      </c>
      <c r="G15096" t="n">
        <v>13</v>
      </c>
      <c r="H15096" s="5">
        <f>HYPERLINK("https://api.qogita.com/variants/link/4973167698419/", "View Product")</f>
        <v/>
      </c>
    </row>
    <row r="15097">
      <c r="A15097" t="inlineStr">
        <is>
          <t>4973167816288</t>
        </is>
      </c>
      <c r="B15097" t="inlineStr">
        <is>
          <t>Sensai Sensai Designing Liquid Eyeliner 02 Deep Brown 06 Ml</t>
        </is>
      </c>
      <c r="C15097" t="inlineStr">
        <is>
          <t>Eyeliner</t>
        </is>
      </c>
      <c r="D15097" t="inlineStr">
        <is>
          <t>Sensai</t>
        </is>
      </c>
      <c r="E15097" t="n">
        <v>34.25</v>
      </c>
      <c r="F15097" t="n">
        <v>1</v>
      </c>
      <c r="G15097" t="n">
        <v>5</v>
      </c>
      <c r="H15097" s="5">
        <f>HYPERLINK("https://api.qogita.com/variants/link/4973167816288/", "View Product")</f>
        <v/>
      </c>
    </row>
    <row r="15098">
      <c r="A15098" t="inlineStr">
        <is>
          <t>4973167836972</t>
        </is>
      </c>
      <c r="B15098" t="inlineStr">
        <is>
          <t>Sensai Sensai Ultimate The Cleansing Oil 150ml</t>
        </is>
      </c>
      <c r="C15098" t="inlineStr">
        <is>
          <t>Cleansing Oil</t>
        </is>
      </c>
      <c r="D15098" t="inlineStr">
        <is>
          <t>Sensai</t>
        </is>
      </c>
      <c r="E15098" t="n">
        <v>84.63</v>
      </c>
      <c r="F15098" t="n">
        <v>1</v>
      </c>
      <c r="G15098" t="n">
        <v>2</v>
      </c>
      <c r="H15098" s="5">
        <f>HYPERLINK("https://api.qogita.com/variants/link/4973167836972/", "View Product")</f>
        <v/>
      </c>
    </row>
    <row r="15099">
      <c r="A15099" t="inlineStr">
        <is>
          <t>4973167840818</t>
        </is>
      </c>
      <c r="B15099" t="inlineStr">
        <is>
          <t>Flawless Satin Moisture Foundation SPF 25</t>
        </is>
      </c>
      <c r="C15099" t="inlineStr">
        <is>
          <t>Foundation</t>
        </is>
      </c>
      <c r="D15099" t="inlineStr">
        <is>
          <t>Sensai</t>
        </is>
      </c>
      <c r="E15099" t="n">
        <v>39.96</v>
      </c>
      <c r="F15099" t="n">
        <v>1</v>
      </c>
      <c r="G15099" t="n">
        <v>8</v>
      </c>
      <c r="H15099" s="5">
        <f>HYPERLINK("https://api.qogita.com/variants/link/4973167840818/", "View Product")</f>
        <v/>
      </c>
    </row>
    <row r="15100">
      <c r="A15100" t="inlineStr">
        <is>
          <t>4973167840825</t>
        </is>
      </c>
      <c r="B15100" t="inlineStr">
        <is>
          <t>Sensai Flawless Satin Moisture Foundation Spf 25 30 Ml</t>
        </is>
      </c>
      <c r="C15100" t="inlineStr">
        <is>
          <t>Foundation</t>
        </is>
      </c>
      <c r="D15100" t="inlineStr">
        <is>
          <t>Sensai</t>
        </is>
      </c>
      <c r="E15100" t="n">
        <v>39.56</v>
      </c>
      <c r="F15100" t="n">
        <v>1</v>
      </c>
      <c r="G15100" t="n">
        <v>4</v>
      </c>
      <c r="H15100" s="5">
        <f>HYPERLINK("https://api.qogita.com/variants/link/4973167840825/", "View Product")</f>
        <v/>
      </c>
    </row>
    <row r="15101">
      <c r="A15101" t="inlineStr">
        <is>
          <t>4973167903711</t>
        </is>
      </c>
      <c r="B15101" t="inlineStr">
        <is>
          <t>Sensai Silky Purifying Mud Soap Wash &amp; Mask 125ml 2 In 1 Face Soap And Mask</t>
        </is>
      </c>
      <c r="C15101" t="inlineStr">
        <is>
          <t>Facial Soap</t>
        </is>
      </c>
      <c r="D15101" t="inlineStr">
        <is>
          <t>Sensai</t>
        </is>
      </c>
      <c r="E15101" t="n">
        <v>38.6</v>
      </c>
      <c r="F15101" t="n">
        <v>1</v>
      </c>
      <c r="G15101" t="n">
        <v>3</v>
      </c>
      <c r="H15101" s="5">
        <f>HYPERLINK("https://api.qogita.com/variants/link/4973167903711/", "View Product")</f>
        <v/>
      </c>
    </row>
    <row r="15102">
      <c r="A15102" t="inlineStr">
        <is>
          <t>4973167903735</t>
        </is>
      </c>
      <c r="B15102" t="inlineStr">
        <is>
          <t>Sensai Kanebo Silky Purifying Milky Soap 150ml For Dry Skin</t>
        </is>
      </c>
      <c r="C15102" t="inlineStr">
        <is>
          <t>Facial Soap</t>
        </is>
      </c>
      <c r="D15102" t="inlineStr">
        <is>
          <t>Sensai</t>
        </is>
      </c>
      <c r="E15102" t="n">
        <v>38.72</v>
      </c>
      <c r="F15102" t="n">
        <v>1</v>
      </c>
      <c r="G15102" t="n">
        <v>4</v>
      </c>
      <c r="H15102" s="5">
        <f>HYPERLINK("https://api.qogita.com/variants/link/4973167903735/", "View Product")</f>
        <v/>
      </c>
    </row>
    <row r="15103">
      <c r="A15103" t="inlineStr">
        <is>
          <t>4973167904596</t>
        </is>
      </c>
      <c r="B15103" t="inlineStr">
        <is>
          <t>Sensai Sensai Silky Peeling Powder 40g</t>
        </is>
      </c>
      <c r="C15103" t="inlineStr">
        <is>
          <t>Facial Scrub &amp; Peeling</t>
        </is>
      </c>
      <c r="D15103" t="inlineStr">
        <is>
          <t>Sensai</t>
        </is>
      </c>
      <c r="E15103" t="n">
        <v>52.96</v>
      </c>
      <c r="F15103" t="n">
        <v>1</v>
      </c>
      <c r="G15103" t="n">
        <v>17</v>
      </c>
      <c r="H15103" s="5">
        <f>HYPERLINK("https://api.qogita.com/variants/link/4973167904596/", "View Product")</f>
        <v/>
      </c>
    </row>
    <row r="15104">
      <c r="A15104" t="inlineStr">
        <is>
          <t>4973167904619</t>
        </is>
      </c>
      <c r="B15104" t="inlineStr">
        <is>
          <t>Sensai Kanebo Cellular Performance Lotion I Light 125ml Moisturizing Tonic</t>
        </is>
      </c>
      <c r="C15104" t="inlineStr">
        <is>
          <t>Facial Spray</t>
        </is>
      </c>
      <c r="D15104" t="inlineStr">
        <is>
          <t>Sensai</t>
        </is>
      </c>
      <c r="E15104" t="n">
        <v>59.86</v>
      </c>
      <c r="F15104" t="n">
        <v>1</v>
      </c>
      <c r="G15104" t="n">
        <v>9</v>
      </c>
      <c r="H15104" s="5">
        <f>HYPERLINK("https://api.qogita.com/variants/link/4973167904619/", "View Product")</f>
        <v/>
      </c>
    </row>
    <row r="15105">
      <c r="A15105" t="inlineStr">
        <is>
          <t>4973167905432</t>
        </is>
      </c>
      <c r="B15105" t="inlineStr">
        <is>
          <t>Sensai Cellular Performance Moist Emulsion II 50ml</t>
        </is>
      </c>
      <c r="C15105" t="inlineStr">
        <is>
          <t>Face Cream</t>
        </is>
      </c>
      <c r="D15105" t="inlineStr">
        <is>
          <t>Sensai</t>
        </is>
      </c>
      <c r="E15105" t="n">
        <v>44.17</v>
      </c>
      <c r="F15105" t="n">
        <v>1</v>
      </c>
      <c r="G15105" t="n">
        <v>6</v>
      </c>
      <c r="H15105" s="5">
        <f>HYPERLINK("https://api.qogita.com/variants/link/4973167905432/", "View Product")</f>
        <v/>
      </c>
    </row>
    <row r="15106">
      <c r="A15106" t="inlineStr">
        <is>
          <t>4973167907351</t>
        </is>
      </c>
      <c r="B15106" t="inlineStr">
        <is>
          <t>Sensai Sensai Cellular Performance Cream Foundation Cf12 Soft Beige 30ml With Spf 15</t>
        </is>
      </c>
      <c r="C15106" t="inlineStr">
        <is>
          <t>Foundation</t>
        </is>
      </c>
      <c r="D15106" t="inlineStr">
        <is>
          <t>Sensai</t>
        </is>
      </c>
      <c r="E15106" t="n">
        <v>64.73</v>
      </c>
      <c r="F15106" t="n">
        <v>1</v>
      </c>
      <c r="G15106" t="n">
        <v>7</v>
      </c>
      <c r="H15106" s="5">
        <f>HYPERLINK("https://api.qogita.com/variants/link/4973167907351/", "View Product")</f>
        <v/>
      </c>
    </row>
    <row r="15107">
      <c r="A15107" t="inlineStr">
        <is>
          <t>4973167907368</t>
        </is>
      </c>
      <c r="B15107" t="inlineStr">
        <is>
          <t>Sensai Cellular Performance Cream Foundation Cf13 Warm Beige 30 Ml</t>
        </is>
      </c>
      <c r="C15107" t="inlineStr">
        <is>
          <t>Foundation</t>
        </is>
      </c>
      <c r="D15107" t="inlineStr">
        <is>
          <t>Sensai</t>
        </is>
      </c>
      <c r="E15107" t="n">
        <v>64.18000000000001</v>
      </c>
      <c r="F15107" t="n">
        <v>1</v>
      </c>
      <c r="G15107" t="n">
        <v>5</v>
      </c>
      <c r="H15107" s="5">
        <f>HYPERLINK("https://api.qogita.com/variants/link/4973167907368/", "View Product")</f>
        <v/>
      </c>
    </row>
    <row r="15108">
      <c r="A15108" t="inlineStr">
        <is>
          <t>4973167909263</t>
        </is>
      </c>
      <c r="B15108" t="inlineStr">
        <is>
          <t>Sensai Kanebo Ultimate The Concentrate 30ml Regenerating Serum</t>
        </is>
      </c>
      <c r="C15108" t="inlineStr">
        <is>
          <t>Anti-Aging Serum</t>
        </is>
      </c>
      <c r="D15108" t="inlineStr">
        <is>
          <t>Sensai</t>
        </is>
      </c>
      <c r="E15108" t="n">
        <v>490.89</v>
      </c>
      <c r="F15108" t="n">
        <v>1</v>
      </c>
      <c r="G15108" t="n">
        <v>2</v>
      </c>
      <c r="H15108" s="5">
        <f>HYPERLINK("https://api.qogita.com/variants/link/4973167909263/", "View Product")</f>
        <v/>
      </c>
    </row>
    <row r="15109">
      <c r="A15109" t="inlineStr">
        <is>
          <t>4973167911150</t>
        </is>
      </c>
      <c r="B15109" t="inlineStr">
        <is>
          <t>Sensai Dual Essence Skin Serum 30ml</t>
        </is>
      </c>
      <c r="C15109" t="inlineStr">
        <is>
          <t>Hydrating Serum</t>
        </is>
      </c>
      <c r="D15109" t="inlineStr">
        <is>
          <t>Sensai</t>
        </is>
      </c>
      <c r="E15109" t="n">
        <v>124.19</v>
      </c>
      <c r="F15109" t="n">
        <v>1</v>
      </c>
      <c r="G15109" t="n">
        <v>5</v>
      </c>
      <c r="H15109" s="5">
        <f>HYPERLINK("https://api.qogita.com/variants/link/4973167911150/", "View Product")</f>
        <v/>
      </c>
    </row>
    <row r="15110">
      <c r="A15110" t="inlineStr">
        <is>
          <t>4973167943328</t>
        </is>
      </c>
      <c r="B15110" t="inlineStr">
        <is>
          <t>Sensai Silky Purifying Clear Gel Wash 145ml</t>
        </is>
      </c>
      <c r="C15110" t="inlineStr">
        <is>
          <t>Cleansing Gel</t>
        </is>
      </c>
      <c r="D15110" t="inlineStr">
        <is>
          <t>Sensai</t>
        </is>
      </c>
      <c r="E15110" t="n">
        <v>39.33</v>
      </c>
      <c r="F15110" t="n">
        <v>1</v>
      </c>
      <c r="G15110" t="n">
        <v>3</v>
      </c>
      <c r="H15110" s="5">
        <f>HYPERLINK("https://api.qogita.com/variants/link/4973167943328/", "View Product")</f>
        <v/>
      </c>
    </row>
    <row r="15111">
      <c r="A15111" t="inlineStr">
        <is>
          <t>4973167943434</t>
        </is>
      </c>
      <c r="B15111" t="inlineStr">
        <is>
          <t>Sensai Total Lip Gloss In Colours 03 Shininome Coral 45 Ml</t>
        </is>
      </c>
      <c r="C15111" t="inlineStr">
        <is>
          <t>Lip Gloss</t>
        </is>
      </c>
      <c r="D15111" t="inlineStr">
        <is>
          <t>Sensai</t>
        </is>
      </c>
      <c r="E15111" t="n">
        <v>35</v>
      </c>
      <c r="F15111" t="n">
        <v>1</v>
      </c>
      <c r="G15111" t="n">
        <v>3</v>
      </c>
      <c r="H15111" s="5">
        <f>HYPERLINK("https://api.qogita.com/variants/link/4973167943434/", "View Product")</f>
        <v/>
      </c>
    </row>
    <row r="15112">
      <c r="A15112" t="inlineStr">
        <is>
          <t>4973167954133</t>
        </is>
      </c>
      <c r="B15112" t="inlineStr">
        <is>
          <t>Sensai Kanebo Sensai Cellular Performance Extra Intensive Mask 75ml</t>
        </is>
      </c>
      <c r="C15112" t="inlineStr">
        <is>
          <t>Anti-Aging Mask</t>
        </is>
      </c>
      <c r="D15112" t="inlineStr">
        <is>
          <t>Sensai</t>
        </is>
      </c>
      <c r="E15112" t="n">
        <v>188.14</v>
      </c>
      <c r="F15112" t="n">
        <v>1</v>
      </c>
      <c r="G15112" t="n">
        <v>2</v>
      </c>
      <c r="H15112" s="5">
        <f>HYPERLINK("https://api.qogita.com/variants/link/4973167954133/", "View Product")</f>
        <v/>
      </c>
    </row>
    <row r="15113">
      <c r="A15113" t="inlineStr">
        <is>
          <t>5000174440256</t>
        </is>
      </c>
      <c r="B15113" t="inlineStr">
        <is>
          <t>Old Spice White Water After Shave 100 Ml</t>
        </is>
      </c>
      <c r="C15113" t="inlineStr">
        <is>
          <t>Aftershave</t>
        </is>
      </c>
      <c r="D15113" t="inlineStr">
        <is>
          <t>Old Spice</t>
        </is>
      </c>
      <c r="E15113" t="n">
        <v>11.05</v>
      </c>
      <c r="F15113" t="n">
        <v>1</v>
      </c>
      <c r="G15113" t="n">
        <v>18</v>
      </c>
      <c r="H15113" s="5">
        <f>HYPERLINK("https://api.qogita.com/variants/link/5000174440256/", "View Product")</f>
        <v/>
      </c>
    </row>
    <row r="15114">
      <c r="A15114" t="inlineStr">
        <is>
          <t>5000386001047</t>
        </is>
      </c>
      <c r="B15114" t="inlineStr">
        <is>
          <t>Revlon Charlie Red/White/Gold Eau Fraiche Spray for Women 100ml</t>
        </is>
      </c>
      <c r="C15114" t="inlineStr">
        <is>
          <t>Eau De Toilette</t>
        </is>
      </c>
      <c r="D15114" t="inlineStr">
        <is>
          <t>Revlon</t>
        </is>
      </c>
      <c r="E15114" t="n">
        <v>3.58</v>
      </c>
      <c r="F15114" t="n">
        <v>1</v>
      </c>
      <c r="G15114" t="n">
        <v>56</v>
      </c>
      <c r="H15114" s="5">
        <f>HYPERLINK("https://api.qogita.com/variants/link/5000386001047/", "View Product")</f>
        <v/>
      </c>
    </row>
    <row r="15115">
      <c r="A15115" t="inlineStr">
        <is>
          <t>5000386018366</t>
        </is>
      </c>
      <c r="B15115" t="inlineStr">
        <is>
          <t>Revlon Charlie Red Deodorant Spray 75ml</t>
        </is>
      </c>
      <c r="C15115" t="inlineStr">
        <is>
          <t>Deodorant &amp; Anti-Perspirant</t>
        </is>
      </c>
      <c r="D15115" t="inlineStr">
        <is>
          <t>Revlon</t>
        </is>
      </c>
      <c r="E15115" t="n">
        <v>2.19</v>
      </c>
      <c r="F15115" t="n">
        <v>1</v>
      </c>
      <c r="G15115" t="n">
        <v>10</v>
      </c>
      <c r="H15115" s="5">
        <f>HYPERLINK("https://api.qogita.com/variants/link/5000386018366/", "View Product")</f>
        <v/>
      </c>
    </row>
    <row r="15116">
      <c r="A15116" t="inlineStr">
        <is>
          <t>5010123703431</t>
        </is>
      </c>
      <c r="B15116" t="inlineStr">
        <is>
          <t>Listerine Fresh Burst Antiplaque Mouthwash</t>
        </is>
      </c>
      <c r="C15116" t="inlineStr">
        <is>
          <t>Mouthwash</t>
        </is>
      </c>
      <c r="D15116" t="inlineStr">
        <is>
          <t>Listerine</t>
        </is>
      </c>
      <c r="E15116" t="n">
        <v>4.79</v>
      </c>
      <c r="F15116" t="n">
        <v>1</v>
      </c>
      <c r="G15116" t="n">
        <v>5</v>
      </c>
      <c r="H15116" s="5">
        <f>HYPERLINK("https://api.qogita.com/variants/link/5010123703431/", "View Product")</f>
        <v/>
      </c>
    </row>
    <row r="15117">
      <c r="A15117" t="inlineStr">
        <is>
          <t>5010724527375</t>
        </is>
      </c>
      <c r="B15117" t="inlineStr">
        <is>
          <t>Batiste Blush Dry Shampoo 200ml With A Floral Flirty Fragrance</t>
        </is>
      </c>
      <c r="C15117" t="inlineStr">
        <is>
          <t>Dry Shampoo</t>
        </is>
      </c>
      <c r="D15117" t="inlineStr">
        <is>
          <t>Batiste</t>
        </is>
      </c>
      <c r="E15117" t="n">
        <v>2.98</v>
      </c>
      <c r="F15117" t="n">
        <v>1</v>
      </c>
      <c r="G15117" t="n">
        <v>25</v>
      </c>
      <c r="H15117" s="5">
        <f>HYPERLINK("https://api.qogita.com/variants/link/5010724527375/", "View Product")</f>
        <v/>
      </c>
    </row>
    <row r="15118">
      <c r="A15118" t="inlineStr">
        <is>
          <t>5010724527443</t>
        </is>
      </c>
      <c r="B15118" t="inlineStr">
        <is>
          <t>Batiste Dry Shampoo Hint Of Colour Dark 200 Ml</t>
        </is>
      </c>
      <c r="C15118" t="inlineStr">
        <is>
          <t>Dry Shampoo</t>
        </is>
      </c>
      <c r="D15118" t="inlineStr">
        <is>
          <t>Batiste</t>
        </is>
      </c>
      <c r="E15118" t="n">
        <v>3.28</v>
      </c>
      <c r="F15118" t="n">
        <v>1</v>
      </c>
      <c r="G15118" t="n">
        <v>95</v>
      </c>
      <c r="H15118" s="5">
        <f>HYPERLINK("https://api.qogita.com/variants/link/5010724527443/", "View Product")</f>
        <v/>
      </c>
    </row>
    <row r="15119">
      <c r="A15119" t="inlineStr">
        <is>
          <t>5010724532966</t>
        </is>
      </c>
      <c r="B15119" t="inlineStr">
        <is>
          <t>Batiste Dry Shampoo and Volume 200ml with Plumping Collagen</t>
        </is>
      </c>
      <c r="C15119" t="inlineStr">
        <is>
          <t>Dry Shampoo</t>
        </is>
      </c>
      <c r="D15119" t="inlineStr">
        <is>
          <t>Batiste</t>
        </is>
      </c>
      <c r="E15119" t="n">
        <v>4.07</v>
      </c>
      <c r="F15119" t="n">
        <v>1</v>
      </c>
      <c r="G15119" t="n">
        <v>32</v>
      </c>
      <c r="H15119" s="5">
        <f>HYPERLINK("https://api.qogita.com/variants/link/5010724532966/", "View Product")</f>
        <v/>
      </c>
    </row>
    <row r="15120">
      <c r="A15120" t="inlineStr">
        <is>
          <t>5010724532973</t>
        </is>
      </c>
      <c r="B15120" t="inlineStr">
        <is>
          <t>Batiste Hair Benefits Defrizz Dry Shampoo 200ml</t>
        </is>
      </c>
      <c r="C15120" t="inlineStr">
        <is>
          <t>Dry Shampoo</t>
        </is>
      </c>
      <c r="D15120" t="inlineStr">
        <is>
          <t>Batiste</t>
        </is>
      </c>
      <c r="E15120" t="n">
        <v>4.12</v>
      </c>
      <c r="F15120" t="n">
        <v>1</v>
      </c>
      <c r="G15120" t="n">
        <v>8</v>
      </c>
      <c r="H15120" s="5">
        <f>HYPERLINK("https://api.qogita.com/variants/link/5010724532973/", "View Product")</f>
        <v/>
      </c>
    </row>
    <row r="15121">
      <c r="A15121" t="inlineStr">
        <is>
          <t>5010724537497</t>
        </is>
      </c>
      <c r="B15121" t="inlineStr">
        <is>
          <t>Batiste Divine Dark Hair Dry Shampoo 350ml</t>
        </is>
      </c>
      <c r="C15121" t="inlineStr">
        <is>
          <t>Dry Shampoo</t>
        </is>
      </c>
      <c r="D15121" t="inlineStr">
        <is>
          <t>Batiste</t>
        </is>
      </c>
      <c r="E15121" t="n">
        <v>4.24</v>
      </c>
      <c r="F15121" t="n">
        <v>1</v>
      </c>
      <c r="G15121" t="n">
        <v>3</v>
      </c>
      <c r="H15121" s="5">
        <f>HYPERLINK("https://api.qogita.com/variants/link/5010724537497/", "View Product")</f>
        <v/>
      </c>
    </row>
    <row r="15122">
      <c r="A15122" t="inlineStr">
        <is>
          <t>5011408039757</t>
        </is>
      </c>
      <c r="B15122" t="inlineStr">
        <is>
          <t>L'Oreal Paris Revitalift Firming Eye Cream 15 Ml</t>
        </is>
      </c>
      <c r="C15122" t="inlineStr">
        <is>
          <t>Eye Cream</t>
        </is>
      </c>
      <c r="D15122" t="inlineStr">
        <is>
          <t>L'Oréal Paris</t>
        </is>
      </c>
      <c r="E15122" t="n">
        <v>12.15</v>
      </c>
      <c r="F15122" t="n">
        <v>1</v>
      </c>
      <c r="G15122" t="n">
        <v>12</v>
      </c>
      <c r="H15122" s="5">
        <f>HYPERLINK("https://api.qogita.com/variants/link/5011408039757/", "View Product")</f>
        <v/>
      </c>
    </row>
    <row r="15123">
      <c r="A15123" t="inlineStr">
        <is>
          <t>5014147000019</t>
        </is>
      </c>
      <c r="B15123" t="inlineStr">
        <is>
          <t>Dear Barber Mini Styling Collection - Fibre 20ml, Mattifier 20ml, Shaping Cream 20ml, Pomade 20ml</t>
        </is>
      </c>
      <c r="C15123" t="inlineStr">
        <is>
          <t>Styling Creams</t>
        </is>
      </c>
      <c r="D15123" t="inlineStr">
        <is>
          <t>Dear Barber</t>
        </is>
      </c>
      <c r="E15123" t="n">
        <v>6.86</v>
      </c>
      <c r="F15123" t="n">
        <v>1</v>
      </c>
      <c r="G15123" t="n">
        <v>8</v>
      </c>
      <c r="H15123" s="5">
        <f>HYPERLINK("https://api.qogita.com/variants/link/5014147000019/", "View Product")</f>
        <v/>
      </c>
    </row>
    <row r="15124">
      <c r="A15124" t="inlineStr">
        <is>
          <t>5014147000385</t>
        </is>
      </c>
      <c r="B15124" t="inlineStr">
        <is>
          <t>Dear Barber Water-Based Pomade 100ml</t>
        </is>
      </c>
      <c r="C15124" t="inlineStr">
        <is>
          <t>Gel</t>
        </is>
      </c>
      <c r="D15124" t="inlineStr">
        <is>
          <t>Dear Barber</t>
        </is>
      </c>
      <c r="E15124" t="n">
        <v>7.16</v>
      </c>
      <c r="F15124" t="n">
        <v>1</v>
      </c>
      <c r="G15124" t="n">
        <v>5</v>
      </c>
      <c r="H15124" s="5">
        <f>HYPERLINK("https://api.qogita.com/variants/link/5014147000385/", "View Product")</f>
        <v/>
      </c>
    </row>
    <row r="15125">
      <c r="A15125" t="inlineStr">
        <is>
          <t>5014147001269</t>
        </is>
      </c>
      <c r="B15125" t="inlineStr">
        <is>
          <t>Dear Barber Hair &amp; Beard Shampoo for Men 250ml Nourishing and Moisturising</t>
        </is>
      </c>
      <c r="C15125" t="inlineStr">
        <is>
          <t>Shampoo</t>
        </is>
      </c>
      <c r="D15125" t="inlineStr">
        <is>
          <t>Dear Barber</t>
        </is>
      </c>
      <c r="E15125" t="n">
        <v>5.94</v>
      </c>
      <c r="F15125" t="n">
        <v>1</v>
      </c>
      <c r="G15125" t="n">
        <v>2</v>
      </c>
      <c r="H15125" s="5">
        <f>HYPERLINK("https://api.qogita.com/variants/link/5014147001269/", "View Product")</f>
        <v/>
      </c>
    </row>
    <row r="15126">
      <c r="A15126" t="inlineStr">
        <is>
          <t>5014147001467</t>
        </is>
      </c>
      <c r="B15126" t="inlineStr">
        <is>
          <t>Dear Barber Fibre Strong Hold Styling Paste 20ml</t>
        </is>
      </c>
      <c r="C15126" t="inlineStr">
        <is>
          <t>Styling Creams</t>
        </is>
      </c>
      <c r="D15126" t="inlineStr">
        <is>
          <t>Dear Barber</t>
        </is>
      </c>
      <c r="E15126" t="n">
        <v>2.84</v>
      </c>
      <c r="F15126" t="n">
        <v>1</v>
      </c>
      <c r="G15126" t="n">
        <v>10</v>
      </c>
      <c r="H15126" s="5">
        <f>HYPERLINK("https://api.qogita.com/variants/link/5014147001467/", "View Product")</f>
        <v/>
      </c>
    </row>
    <row r="15127">
      <c r="A15127" t="inlineStr">
        <is>
          <t>5016365004220</t>
        </is>
      </c>
      <c r="B15127" t="inlineStr">
        <is>
          <t>Scottish Fine Soaps Liquid Hand Soap Ginger Clove &amp; Mistletoe 300 Ml</t>
        </is>
      </c>
      <c r="C15127" t="inlineStr">
        <is>
          <t>Hand Soap</t>
        </is>
      </c>
      <c r="D15127" t="inlineStr">
        <is>
          <t>Scottish Fine Soaps</t>
        </is>
      </c>
      <c r="E15127" t="n">
        <v>5.95</v>
      </c>
      <c r="F15127" t="n">
        <v>1</v>
      </c>
      <c r="G15127" t="n">
        <v>8</v>
      </c>
      <c r="H15127" s="5">
        <f>HYPERLINK("https://api.qogita.com/variants/link/5016365004220/", "View Product")</f>
        <v/>
      </c>
    </row>
    <row r="15128">
      <c r="A15128" t="inlineStr">
        <is>
          <t>5019301160486</t>
        </is>
      </c>
      <c r="B15128" t="inlineStr">
        <is>
          <t>Barry M Bold Waterproof Eyeliner 12 G Rose Gold</t>
        </is>
      </c>
      <c r="C15128" t="inlineStr">
        <is>
          <t>Eyeliner</t>
        </is>
      </c>
      <c r="D15128" t="inlineStr">
        <is>
          <t>Barry M</t>
        </is>
      </c>
      <c r="E15128" t="n">
        <v>6.2</v>
      </c>
      <c r="F15128" t="n">
        <v>1</v>
      </c>
      <c r="G15128" t="n">
        <v>2</v>
      </c>
      <c r="H15128" s="5">
        <f>HYPERLINK("https://api.qogita.com/variants/link/5019301160486/", "View Product")</f>
        <v/>
      </c>
    </row>
    <row r="15129">
      <c r="A15129" t="inlineStr">
        <is>
          <t>5019487083791</t>
        </is>
      </c>
      <c r="B15129" t="inlineStr">
        <is>
          <t>60 Second Neck Toner (Neck and Chin Strengthening Device) Variant Cream</t>
        </is>
      </c>
      <c r="C15129" t="inlineStr">
        <is>
          <t>Neck &amp; Decollete</t>
        </is>
      </c>
      <c r="D15129" t="inlineStr">
        <is>
          <t>Rio-Beauty</t>
        </is>
      </c>
      <c r="E15129" t="n">
        <v>47.64</v>
      </c>
      <c r="F15129" t="n">
        <v>1</v>
      </c>
      <c r="G15129" t="n">
        <v>4</v>
      </c>
      <c r="H15129" s="5">
        <f>HYPERLINK("https://api.qogita.com/variants/link/5019487083791/", "View Product")</f>
        <v/>
      </c>
    </row>
    <row r="15130">
      <c r="A15130" t="inlineStr">
        <is>
          <t>5019487087201</t>
        </is>
      </c>
      <c r="B15130" t="inlineStr">
        <is>
          <t>Rio Beauty Alora Aroma Diffuser, Humidifier And Night Light Dhor-Uk</t>
        </is>
      </c>
      <c r="C15130" t="inlineStr">
        <is>
          <t>Diffusers</t>
        </is>
      </c>
      <c r="D15130" t="inlineStr">
        <is>
          <t>Rio Beauty</t>
        </is>
      </c>
      <c r="E15130" t="n">
        <v>43.57</v>
      </c>
      <c r="F15130" t="n">
        <v>1</v>
      </c>
      <c r="G15130" t="n">
        <v>3</v>
      </c>
      <c r="H15130" s="5">
        <f>HYPERLINK("https://api.qogita.com/variants/link/5019487087201/", "View Product")</f>
        <v/>
      </c>
    </row>
    <row r="15131">
      <c r="A15131" t="inlineStr">
        <is>
          <t>5019487088277</t>
        </is>
      </c>
      <c r="B15131" t="inlineStr">
        <is>
          <t>Aroma Diffuser with Space Projector</t>
        </is>
      </c>
      <c r="C15131" t="inlineStr">
        <is>
          <t>Diffusers</t>
        </is>
      </c>
      <c r="D15131" t="inlineStr">
        <is>
          <t>Rio-Beauty</t>
        </is>
      </c>
      <c r="E15131" t="n">
        <v>42.27</v>
      </c>
      <c r="F15131" t="n">
        <v>1</v>
      </c>
      <c r="G15131" t="n">
        <v>4</v>
      </c>
      <c r="H15131" s="5">
        <f>HYPERLINK("https://api.qogita.com/variants/link/5019487088277/", "View Product")</f>
        <v/>
      </c>
    </row>
    <row r="15132">
      <c r="A15132" t="inlineStr">
        <is>
          <t>5019487090591</t>
        </is>
      </c>
      <c r="B15132" t="inlineStr">
        <is>
          <t>Rio Collagen and Retinol Eye Patches 5 Packs of 2 - FALI</t>
        </is>
      </c>
      <c r="C15132" t="inlineStr">
        <is>
          <t>Eye Masks &amp; Eye Pads</t>
        </is>
      </c>
      <c r="D15132" t="inlineStr">
        <is>
          <t>Rio</t>
        </is>
      </c>
      <c r="E15132" t="n">
        <v>20.75</v>
      </c>
      <c r="F15132" t="n">
        <v>1</v>
      </c>
      <c r="G15132" t="n">
        <v>3</v>
      </c>
      <c r="H15132" s="5">
        <f>HYPERLINK("https://api.qogita.com/variants/link/5019487090591/", "View Product")</f>
        <v/>
      </c>
    </row>
    <row r="15133">
      <c r="A15133" t="inlineStr">
        <is>
          <t>5023977064009</t>
        </is>
      </c>
      <c r="B15133" t="inlineStr">
        <is>
          <t>Worth Je Reviens Body Spray 75ml</t>
        </is>
      </c>
      <c r="C15133" t="inlineStr">
        <is>
          <t>Eau De Toilette</t>
        </is>
      </c>
      <c r="D15133" t="inlineStr">
        <is>
          <t>Worth</t>
        </is>
      </c>
      <c r="E15133" t="n">
        <v>3.11</v>
      </c>
      <c r="F15133" t="n">
        <v>1</v>
      </c>
      <c r="G15133" t="n">
        <v>21</v>
      </c>
      <c r="H15133" s="5">
        <f>HYPERLINK("https://api.qogita.com/variants/link/5023977064009/", "View Product")</f>
        <v/>
      </c>
    </row>
    <row r="15134">
      <c r="A15134" t="inlineStr">
        <is>
          <t>5025452000595</t>
        </is>
      </c>
      <c r="B15134" t="inlineStr">
        <is>
          <t>Salt Of The Earth Natural Deodorant Ball With Lavender And Vanilla 75 Ml</t>
        </is>
      </c>
      <c r="C15134" t="inlineStr">
        <is>
          <t>Deodorant &amp; Anti-Perspirant</t>
        </is>
      </c>
      <c r="D15134" t="inlineStr">
        <is>
          <t>Salt Of The Earth</t>
        </is>
      </c>
      <c r="E15134" t="n">
        <v>9.24</v>
      </c>
      <c r="F15134" t="n">
        <v>1</v>
      </c>
      <c r="G15134" t="n">
        <v>29</v>
      </c>
      <c r="H15134" s="5">
        <f>HYPERLINK("https://api.qogita.com/variants/link/5025452000595/", "View Product")</f>
        <v/>
      </c>
    </row>
    <row r="15135">
      <c r="A15135" t="inlineStr">
        <is>
          <t>5025452000762</t>
        </is>
      </c>
      <c r="B15135" t="inlineStr">
        <is>
          <t>Salt Of The Earth Ocean Coconut Natural Deodorant Spray 100 Ml</t>
        </is>
      </c>
      <c r="C15135" t="inlineStr">
        <is>
          <t>Deodorant &amp; Anti-Perspirant</t>
        </is>
      </c>
      <c r="D15135" t="inlineStr">
        <is>
          <t>Salt Of The Earth</t>
        </is>
      </c>
      <c r="E15135" t="n">
        <v>10.27</v>
      </c>
      <c r="F15135" t="n">
        <v>1</v>
      </c>
      <c r="G15135" t="n">
        <v>5</v>
      </c>
      <c r="H15135" s="5">
        <f>HYPERLINK("https://api.qogita.com/variants/link/5025452000762/", "View Product")</f>
        <v/>
      </c>
    </row>
    <row r="15136">
      <c r="A15136" t="inlineStr">
        <is>
          <t>5025452000830</t>
        </is>
      </c>
      <c r="B15136" t="inlineStr">
        <is>
          <t>Salt Of The Earth Natural Deodorant Ginger And Jasmine 100 Ml</t>
        </is>
      </c>
      <c r="C15136" t="inlineStr">
        <is>
          <t>Deodorant &amp; Anti-Perspirant</t>
        </is>
      </c>
      <c r="D15136" t="inlineStr">
        <is>
          <t>Salt Of The Earth</t>
        </is>
      </c>
      <c r="E15136" t="n">
        <v>10.27</v>
      </c>
      <c r="F15136" t="n">
        <v>1</v>
      </c>
      <c r="G15136" t="n">
        <v>6</v>
      </c>
      <c r="H15136" s="5">
        <f>HYPERLINK("https://api.qogita.com/variants/link/5025452000830/", "View Product")</f>
        <v/>
      </c>
    </row>
    <row r="15137">
      <c r="A15137" t="inlineStr">
        <is>
          <t>5025452001707</t>
        </is>
      </c>
      <c r="B15137" t="inlineStr">
        <is>
          <t>Salt Of The Earth Natural Rollon Deodorant Unscented 75 Ml</t>
        </is>
      </c>
      <c r="C15137" t="inlineStr">
        <is>
          <t>Deodorant &amp; Anti-Perspirant</t>
        </is>
      </c>
      <c r="D15137" t="inlineStr">
        <is>
          <t>Salt Of The Earth</t>
        </is>
      </c>
      <c r="E15137" t="n">
        <v>8.82</v>
      </c>
      <c r="F15137" t="n">
        <v>1</v>
      </c>
      <c r="G15137" t="n">
        <v>9</v>
      </c>
      <c r="H15137" s="5">
        <f>HYPERLINK("https://api.qogita.com/variants/link/5025452001707/", "View Product")</f>
        <v/>
      </c>
    </row>
    <row r="15138">
      <c r="A15138" t="inlineStr">
        <is>
          <t>5025452001714</t>
        </is>
      </c>
      <c r="B15138" t="inlineStr">
        <is>
          <t>Salt Of The Earth Deoroller Lavender &amp; Vanilla Natural Rollon Deodorant 75 Ml</t>
        </is>
      </c>
      <c r="C15138" t="inlineStr">
        <is>
          <t>Deodorant &amp; Anti-Perspirant</t>
        </is>
      </c>
      <c r="D15138" t="inlineStr">
        <is>
          <t>Salt Of The Earth</t>
        </is>
      </c>
      <c r="E15138" t="n">
        <v>9.800000000000001</v>
      </c>
      <c r="F15138" t="n">
        <v>1</v>
      </c>
      <c r="G15138" t="n">
        <v>3</v>
      </c>
      <c r="H15138" s="5">
        <f>HYPERLINK("https://api.qogita.com/variants/link/5025452001714/", "View Product")</f>
        <v/>
      </c>
    </row>
    <row r="15139">
      <c r="A15139" t="inlineStr">
        <is>
          <t>5025452001820</t>
        </is>
      </c>
      <c r="B15139" t="inlineStr">
        <is>
          <t>Salt Of The Earth Vetiver &amp; Citrus Deo Rollon 75 Ml Refillable Natural Deodorant</t>
        </is>
      </c>
      <c r="C15139" t="inlineStr">
        <is>
          <t>Deodorant &amp; Anti-Perspirant</t>
        </is>
      </c>
      <c r="D15139" t="inlineStr">
        <is>
          <t>Salt Of The Earth</t>
        </is>
      </c>
      <c r="E15139" t="n">
        <v>9.800000000000001</v>
      </c>
      <c r="F15139" t="n">
        <v>1</v>
      </c>
      <c r="G15139" t="n">
        <v>13</v>
      </c>
      <c r="H15139" s="5">
        <f>HYPERLINK("https://api.qogita.com/variants/link/5025452001820/", "View Product")</f>
        <v/>
      </c>
    </row>
    <row r="15140">
      <c r="A15140" t="inlineStr">
        <is>
          <t>5025452001882</t>
        </is>
      </c>
      <c r="B15140" t="inlineStr">
        <is>
          <t>Salt Of The Earth Peony Blossom Deo Rollon 75 Ml</t>
        </is>
      </c>
      <c r="C15140" t="inlineStr">
        <is>
          <t>Deodorant &amp; Anti-Perspirant</t>
        </is>
      </c>
      <c r="D15140" t="inlineStr">
        <is>
          <t>Salt Of The Earth</t>
        </is>
      </c>
      <c r="E15140" t="n">
        <v>9.800000000000001</v>
      </c>
      <c r="F15140" t="n">
        <v>1</v>
      </c>
      <c r="G15140" t="n">
        <v>6</v>
      </c>
      <c r="H15140" s="5">
        <f>HYPERLINK("https://api.qogita.com/variants/link/5025452001882/", "View Product")</f>
        <v/>
      </c>
    </row>
    <row r="15141">
      <c r="A15141" t="inlineStr">
        <is>
          <t>5028197103651</t>
        </is>
      </c>
      <c r="B15141" t="inlineStr">
        <is>
          <t>The Body Shop Vitamin E Eye Cream Moisturizing Eye Cream With Vitamin E</t>
        </is>
      </c>
      <c r="C15141" t="inlineStr">
        <is>
          <t>Eye Cream</t>
        </is>
      </c>
      <c r="D15141" t="inlineStr">
        <is>
          <t>The Body Shop</t>
        </is>
      </c>
      <c r="E15141" t="n">
        <v>14.22</v>
      </c>
      <c r="F15141" t="n">
        <v>1</v>
      </c>
      <c r="G15141" t="n">
        <v>26</v>
      </c>
      <c r="H15141" s="5">
        <f>HYPERLINK("https://api.qogita.com/variants/link/5028197103651/", "View Product")</f>
        <v/>
      </c>
    </row>
    <row r="15142">
      <c r="A15142" t="inlineStr">
        <is>
          <t>5028197156664</t>
        </is>
      </c>
      <c r="B15142" t="inlineStr">
        <is>
          <t>The Body Shop Intensely Revitalizing Eye Creamgel 20 Ml</t>
        </is>
      </c>
      <c r="C15142" t="inlineStr">
        <is>
          <t>Eye Gel</t>
        </is>
      </c>
      <c r="D15142" t="inlineStr">
        <is>
          <t>The Body Shop</t>
        </is>
      </c>
      <c r="E15142" t="n">
        <v>26.35</v>
      </c>
      <c r="F15142" t="n">
        <v>1</v>
      </c>
      <c r="G15142" t="n">
        <v>7</v>
      </c>
      <c r="H15142" s="5">
        <f>HYPERLINK("https://api.qogita.com/variants/link/5028197156664/", "View Product")</f>
        <v/>
      </c>
    </row>
    <row r="15143">
      <c r="A15143" t="inlineStr">
        <is>
          <t>5028197176266</t>
        </is>
      </c>
      <c r="B15143" t="inlineStr">
        <is>
          <t>The Body Shop Boost Essential Oil Blend 20ml</t>
        </is>
      </c>
      <c r="C15143" t="inlineStr">
        <is>
          <t>Aromatherapy &amp; Essential Oils</t>
        </is>
      </c>
      <c r="D15143" t="inlineStr">
        <is>
          <t>The Body Shop</t>
        </is>
      </c>
      <c r="E15143" t="n">
        <v>17.97</v>
      </c>
      <c r="F15143" t="n">
        <v>1</v>
      </c>
      <c r="G15143" t="n">
        <v>7</v>
      </c>
      <c r="H15143" s="5">
        <f>HYPERLINK("https://api.qogita.com/variants/link/5028197176266/", "View Product")</f>
        <v/>
      </c>
    </row>
    <row r="15144">
      <c r="A15144" t="inlineStr">
        <is>
          <t>5028197249298</t>
        </is>
      </c>
      <c r="B15144" t="inlineStr">
        <is>
          <t>The Body Shop Pink Grapefruit Shower Gel 60ml</t>
        </is>
      </c>
      <c r="C15144" t="inlineStr">
        <is>
          <t>Shower Gel</t>
        </is>
      </c>
      <c r="D15144" t="inlineStr">
        <is>
          <t>The Body Shop</t>
        </is>
      </c>
      <c r="E15144" t="n">
        <v>4.65</v>
      </c>
      <c r="F15144" t="n">
        <v>1</v>
      </c>
      <c r="G15144" t="n">
        <v>5</v>
      </c>
      <c r="H15144" s="5">
        <f>HYPERLINK("https://api.qogita.com/variants/link/5028197249298/", "View Product")</f>
        <v/>
      </c>
    </row>
    <row r="15145">
      <c r="A15145" t="inlineStr">
        <is>
          <t>5028197249793</t>
        </is>
      </c>
      <c r="B15145" t="inlineStr">
        <is>
          <t>The Body Shop Shea Soap Face &amp; Body Cleansing Bar 100g</t>
        </is>
      </c>
      <c r="C15145" t="inlineStr">
        <is>
          <t>Soap</t>
        </is>
      </c>
      <c r="D15145" t="inlineStr">
        <is>
          <t>The Body Shop</t>
        </is>
      </c>
      <c r="E15145" t="n">
        <v>5.72</v>
      </c>
      <c r="F15145" t="n">
        <v>1</v>
      </c>
      <c r="G15145" t="n">
        <v>8</v>
      </c>
      <c r="H15145" s="5">
        <f>HYPERLINK("https://api.qogita.com/variants/link/5028197249793/", "View Product")</f>
        <v/>
      </c>
    </row>
    <row r="15146">
      <c r="A15146" t="inlineStr">
        <is>
          <t>5028197251253</t>
        </is>
      </c>
      <c r="B15146" t="inlineStr">
        <is>
          <t>The Body Shop Strawberry Cleansing Face &amp; Body Bar 100 G</t>
        </is>
      </c>
      <c r="C15146" t="inlineStr">
        <is>
          <t>Soap</t>
        </is>
      </c>
      <c r="D15146" t="inlineStr">
        <is>
          <t>The Body Shop</t>
        </is>
      </c>
      <c r="E15146" t="n">
        <v>4.55</v>
      </c>
      <c r="F15146" t="n">
        <v>1</v>
      </c>
      <c r="G15146" t="n">
        <v>18</v>
      </c>
      <c r="H15146" s="5">
        <f>HYPERLINK("https://api.qogita.com/variants/link/5028197251253/", "View Product")</f>
        <v/>
      </c>
    </row>
    <row r="15147">
      <c r="A15147" t="inlineStr">
        <is>
          <t>5028197253097</t>
        </is>
      </c>
      <c r="B15147" t="inlineStr">
        <is>
          <t>The Body Shop Peppermint Invigorating Foot And Leg Mist</t>
        </is>
      </c>
      <c r="C15147" t="inlineStr">
        <is>
          <t>Foot Spray</t>
        </is>
      </c>
      <c r="D15147" t="inlineStr">
        <is>
          <t>The Body Shop</t>
        </is>
      </c>
      <c r="E15147" t="n">
        <v>7.7</v>
      </c>
      <c r="F15147" t="n">
        <v>1</v>
      </c>
      <c r="G15147" t="n">
        <v>21</v>
      </c>
      <c r="H15147" s="5">
        <f>HYPERLINK("https://api.qogita.com/variants/link/5028197253097/", "View Product")</f>
        <v/>
      </c>
    </row>
    <row r="15148">
      <c r="A15148" t="inlineStr">
        <is>
          <t>5028197267698</t>
        </is>
      </c>
      <c r="B15148" t="inlineStr">
        <is>
          <t>The Body Shop Aloe Vera Day Cream for Sensitive Skin Vegan 50ml</t>
        </is>
      </c>
      <c r="C15148" t="inlineStr">
        <is>
          <t>Day Cream</t>
        </is>
      </c>
      <c r="D15148" t="inlineStr">
        <is>
          <t>The Body Shop</t>
        </is>
      </c>
      <c r="E15148" t="n">
        <v>15.97</v>
      </c>
      <c r="F15148" t="n">
        <v>1</v>
      </c>
      <c r="G15148" t="n">
        <v>46</v>
      </c>
      <c r="H15148" s="5">
        <f>HYPERLINK("https://api.qogita.com/variants/link/5028197267698/", "View Product")</f>
        <v/>
      </c>
    </row>
    <row r="15149">
      <c r="A15149" t="inlineStr">
        <is>
          <t>5028197271480</t>
        </is>
      </c>
      <c r="B15149" t="inlineStr">
        <is>
          <t>The Body Shop Vitamin C Microdermabrasion Glow Boosting 100ml with Camu Camu</t>
        </is>
      </c>
      <c r="C15149" t="inlineStr">
        <is>
          <t>Facial Scrub &amp; Peeling</t>
        </is>
      </c>
      <c r="D15149" t="inlineStr">
        <is>
          <t>The Body Shop</t>
        </is>
      </c>
      <c r="E15149" t="n">
        <v>20.36</v>
      </c>
      <c r="F15149" t="n">
        <v>1</v>
      </c>
      <c r="G15149" t="n">
        <v>12</v>
      </c>
      <c r="H15149" s="5">
        <f>HYPERLINK("https://api.qogita.com/variants/link/5028197271480/", "View Product")</f>
        <v/>
      </c>
    </row>
    <row r="15150">
      <c r="A15150" t="inlineStr">
        <is>
          <t>5028197271534</t>
        </is>
      </c>
      <c r="B15150" t="inlineStr">
        <is>
          <t>The Body Shop Vitamin C Glow Sheet Mask Illuminate with Camu Camu Berry Extract</t>
        </is>
      </c>
      <c r="C15150" t="inlineStr">
        <is>
          <t>Sheet Mask</t>
        </is>
      </c>
      <c r="D15150" t="inlineStr">
        <is>
          <t>The Body Shop</t>
        </is>
      </c>
      <c r="E15150" t="n">
        <v>5.3</v>
      </c>
      <c r="F15150" t="n">
        <v>1</v>
      </c>
      <c r="G15150" t="n">
        <v>3</v>
      </c>
      <c r="H15150" s="5">
        <f>HYPERLINK("https://api.qogita.com/variants/link/5028197271534/", "View Product")</f>
        <v/>
      </c>
    </row>
    <row r="15151">
      <c r="A15151" t="inlineStr">
        <is>
          <t>5028197312435</t>
        </is>
      </c>
      <c r="B15151" t="inlineStr">
        <is>
          <t>Moringa Hand Balm 30ml</t>
        </is>
      </c>
      <c r="C15151" t="inlineStr">
        <is>
          <t>Hand Cream</t>
        </is>
      </c>
      <c r="D15151" t="inlineStr">
        <is>
          <t>The Body Shop</t>
        </is>
      </c>
      <c r="E15151" t="n">
        <v>6.75</v>
      </c>
      <c r="F15151" t="n">
        <v>1</v>
      </c>
      <c r="G15151" t="n">
        <v>8</v>
      </c>
      <c r="H15151" s="5">
        <f>HYPERLINK("https://api.qogita.com/variants/link/5028197312435/", "View Product")</f>
        <v/>
      </c>
    </row>
    <row r="15152">
      <c r="A15152" t="inlineStr">
        <is>
          <t>5028197312862</t>
        </is>
      </c>
      <c r="B15152" t="inlineStr">
        <is>
          <t>The Body Shop Hand Cream 30ml Shea</t>
        </is>
      </c>
      <c r="C15152" t="inlineStr">
        <is>
          <t>Hand Cream</t>
        </is>
      </c>
      <c r="D15152" t="inlineStr">
        <is>
          <t>The Body Shop</t>
        </is>
      </c>
      <c r="E15152" t="n">
        <v>6.92</v>
      </c>
      <c r="F15152" t="n">
        <v>1</v>
      </c>
      <c r="G15152" t="n">
        <v>43</v>
      </c>
      <c r="H15152" s="5">
        <f>HYPERLINK("https://api.qogita.com/variants/link/5028197312862/", "View Product")</f>
        <v/>
      </c>
    </row>
    <row r="15153">
      <c r="A15153" t="inlineStr">
        <is>
          <t>5028197313074</t>
        </is>
      </c>
      <c r="B15153" t="inlineStr">
        <is>
          <t>The Body Shop Strawberry Hand Cream 30ml</t>
        </is>
      </c>
      <c r="C15153" t="inlineStr">
        <is>
          <t>Hand Cream</t>
        </is>
      </c>
      <c r="D15153" t="inlineStr">
        <is>
          <t>The Body Shop</t>
        </is>
      </c>
      <c r="E15153" t="n">
        <v>6.9</v>
      </c>
      <c r="F15153" t="n">
        <v>1</v>
      </c>
      <c r="G15153" t="n">
        <v>38</v>
      </c>
      <c r="H15153" s="5">
        <f>HYPERLINK("https://api.qogita.com/variants/link/5028197313074/", "View Product")</f>
        <v/>
      </c>
    </row>
    <row r="15154">
      <c r="A15154" t="inlineStr">
        <is>
          <t>5028197332648</t>
        </is>
      </c>
      <c r="B15154" t="inlineStr">
        <is>
          <t>The Body Shop Almond Milk Shower Cream</t>
        </is>
      </c>
      <c r="C15154" t="inlineStr">
        <is>
          <t>Shower Gel</t>
        </is>
      </c>
      <c r="D15154" t="inlineStr">
        <is>
          <t>The Body Shop</t>
        </is>
      </c>
      <c r="E15154" t="n">
        <v>4.84</v>
      </c>
      <c r="F15154" t="n">
        <v>1</v>
      </c>
      <c r="G15154" t="n">
        <v>17</v>
      </c>
      <c r="H15154" s="5">
        <f>HYPERLINK("https://api.qogita.com/variants/link/5028197332648/", "View Product")</f>
        <v/>
      </c>
    </row>
    <row r="15155">
      <c r="A15155" t="inlineStr">
        <is>
          <t>5028197332754</t>
        </is>
      </c>
      <c r="B15155" t="inlineStr">
        <is>
          <t>The Body Shop Strawberry Shower Gel</t>
        </is>
      </c>
      <c r="C15155" t="inlineStr">
        <is>
          <t>Shower Gel</t>
        </is>
      </c>
      <c r="D15155" t="inlineStr">
        <is>
          <t>The Body Shop</t>
        </is>
      </c>
      <c r="E15155" t="n">
        <v>4.83</v>
      </c>
      <c r="F15155" t="n">
        <v>1</v>
      </c>
      <c r="G15155" t="n">
        <v>37</v>
      </c>
      <c r="H15155" s="5">
        <f>HYPERLINK("https://api.qogita.com/variants/link/5028197332754/", "View Product")</f>
        <v/>
      </c>
    </row>
    <row r="15156">
      <c r="A15156" t="inlineStr">
        <is>
          <t>5028197334345</t>
        </is>
      </c>
      <c r="B15156" t="inlineStr">
        <is>
          <t>The Body Shop Tea Tree Moisturising Cream with Tea Tree Oil 40ml</t>
        </is>
      </c>
      <c r="C15156" t="inlineStr">
        <is>
          <t>Face Cream</t>
        </is>
      </c>
      <c r="D15156" t="inlineStr">
        <is>
          <t>The Body Shop</t>
        </is>
      </c>
      <c r="E15156" t="n">
        <v>12.95</v>
      </c>
      <c r="F15156" t="n">
        <v>1</v>
      </c>
      <c r="G15156" t="n">
        <v>37</v>
      </c>
      <c r="H15156" s="5">
        <f>HYPERLINK("https://api.qogita.com/variants/link/5028197334345/", "View Product")</f>
        <v/>
      </c>
    </row>
    <row r="15157">
      <c r="A15157" t="inlineStr">
        <is>
          <t>5028197335465</t>
        </is>
      </c>
      <c r="B15157" t="inlineStr">
        <is>
          <t>Moringa Shampoo - The Body Shop, 250ml</t>
        </is>
      </c>
      <c r="C15157" t="inlineStr">
        <is>
          <t>Shampoo</t>
        </is>
      </c>
      <c r="D15157" t="inlineStr">
        <is>
          <t>The Body Shop</t>
        </is>
      </c>
      <c r="E15157" t="n">
        <v>7.79</v>
      </c>
      <c r="F15157" t="n">
        <v>1</v>
      </c>
      <c r="G15157" t="n">
        <v>28</v>
      </c>
      <c r="H15157" s="5">
        <f>HYPERLINK("https://api.qogita.com/variants/link/5028197335465/", "View Product")</f>
        <v/>
      </c>
    </row>
    <row r="15158">
      <c r="A15158" t="inlineStr">
        <is>
          <t>5028197340780</t>
        </is>
      </c>
      <c r="B15158" t="inlineStr">
        <is>
          <t>The Body Shop Full Rose Eau De Parfum 75 Ml</t>
        </is>
      </c>
      <c r="C15158" t="inlineStr">
        <is>
          <t>Eau De Parfum</t>
        </is>
      </c>
      <c r="D15158" t="inlineStr">
        <is>
          <t>The Body Shop</t>
        </is>
      </c>
      <c r="E15158" t="n">
        <v>54.41</v>
      </c>
      <c r="F15158" t="n">
        <v>1</v>
      </c>
      <c r="G15158" t="n">
        <v>2</v>
      </c>
      <c r="H15158" s="5">
        <f>HYPERLINK("https://api.qogita.com/variants/link/5028197340780/", "View Product")</f>
        <v/>
      </c>
    </row>
    <row r="15159">
      <c r="A15159" t="inlineStr">
        <is>
          <t>5028197340810</t>
        </is>
      </c>
      <c r="B15159" t="inlineStr">
        <is>
          <t>The Body Shop Full Ylang Ylang Eau De Parfum 75 Ml</t>
        </is>
      </c>
      <c r="C15159" t="inlineStr">
        <is>
          <t>Eau De Parfum</t>
        </is>
      </c>
      <c r="D15159" t="inlineStr">
        <is>
          <t>The Body Shop</t>
        </is>
      </c>
      <c r="E15159" t="n">
        <v>54.77</v>
      </c>
      <c r="F15159" t="n">
        <v>1</v>
      </c>
      <c r="G15159" t="n">
        <v>3</v>
      </c>
      <c r="H15159" s="5">
        <f>HYPERLINK("https://api.qogita.com/variants/link/5028197340810/", "View Product")</f>
        <v/>
      </c>
    </row>
    <row r="15160">
      <c r="A15160" t="inlineStr">
        <is>
          <t>5028197345341</t>
        </is>
      </c>
      <c r="B15160" t="inlineStr">
        <is>
          <t>Shea Body Lotion 200ml</t>
        </is>
      </c>
      <c r="C15160" t="inlineStr">
        <is>
          <t>Body Lotion</t>
        </is>
      </c>
      <c r="D15160" t="inlineStr">
        <is>
          <t>The Body Shop</t>
        </is>
      </c>
      <c r="E15160" t="n">
        <v>10.48</v>
      </c>
      <c r="F15160" t="n">
        <v>1</v>
      </c>
      <c r="G15160" t="n">
        <v>23</v>
      </c>
      <c r="H15160" s="5">
        <f>HYPERLINK("https://api.qogita.com/variants/link/5028197345341/", "View Product")</f>
        <v/>
      </c>
    </row>
    <row r="15161">
      <c r="A15161" t="inlineStr">
        <is>
          <t>5028197370350</t>
        </is>
      </c>
      <c r="B15161" t="inlineStr">
        <is>
          <t>The Body Shop Mango Body Yogurt Cream Normal To Dry Hydrating Body Yogurt</t>
        </is>
      </c>
      <c r="C15161" t="inlineStr">
        <is>
          <t>Body Lotion</t>
        </is>
      </c>
      <c r="D15161" t="inlineStr">
        <is>
          <t>The Body Shop</t>
        </is>
      </c>
      <c r="E15161" t="n">
        <v>12.26</v>
      </c>
      <c r="F15161" t="n">
        <v>1</v>
      </c>
      <c r="G15161" t="n">
        <v>85</v>
      </c>
      <c r="H15161" s="5">
        <f>HYPERLINK("https://api.qogita.com/variants/link/5028197370350/", "View Product")</f>
        <v/>
      </c>
    </row>
    <row r="15162">
      <c r="A15162" t="inlineStr">
        <is>
          <t>5028197370374</t>
        </is>
      </c>
      <c r="B15162" t="inlineStr">
        <is>
          <t>The Body Shop Almond Milk Body Yogurt 200 Ml For Dry And Sensitive Skin</t>
        </is>
      </c>
      <c r="C15162" t="inlineStr">
        <is>
          <t>Body Lotion</t>
        </is>
      </c>
      <c r="D15162" t="inlineStr">
        <is>
          <t>The Body Shop</t>
        </is>
      </c>
      <c r="E15162" t="n">
        <v>10.58</v>
      </c>
      <c r="F15162" t="n">
        <v>1</v>
      </c>
      <c r="G15162" t="n">
        <v>32</v>
      </c>
      <c r="H15162" s="5">
        <f>HYPERLINK("https://api.qogita.com/variants/link/5028197370374/", "View Product")</f>
        <v/>
      </c>
    </row>
    <row r="15163">
      <c r="A15163" t="inlineStr">
        <is>
          <t>5028197370404</t>
        </is>
      </c>
      <c r="B15163" t="inlineStr">
        <is>
          <t>The Body Shop British Rose Body Yogurt Cream Normal To Dry</t>
        </is>
      </c>
      <c r="C15163" t="inlineStr">
        <is>
          <t>Body Butter</t>
        </is>
      </c>
      <c r="D15163" t="inlineStr">
        <is>
          <t>The Body Shop</t>
        </is>
      </c>
      <c r="E15163" t="n">
        <v>10.09</v>
      </c>
      <c r="F15163" t="n">
        <v>1</v>
      </c>
      <c r="G15163" t="n">
        <v>24</v>
      </c>
      <c r="H15163" s="5">
        <f>HYPERLINK("https://api.qogita.com/variants/link/5028197370404/", "View Product")</f>
        <v/>
      </c>
    </row>
    <row r="15164">
      <c r="A15164" t="inlineStr">
        <is>
          <t>5028197370459</t>
        </is>
      </c>
      <c r="B15164" t="inlineStr">
        <is>
          <t>The Body Shop Strawberry Body Yogurt 200ml</t>
        </is>
      </c>
      <c r="C15164" t="inlineStr">
        <is>
          <t>Body Lotion</t>
        </is>
      </c>
      <c r="D15164" t="inlineStr">
        <is>
          <t>The Body Shop</t>
        </is>
      </c>
      <c r="E15164" t="n">
        <v>12.16</v>
      </c>
      <c r="F15164" t="n">
        <v>1</v>
      </c>
      <c r="G15164" t="n">
        <v>197</v>
      </c>
      <c r="H15164" s="5">
        <f>HYPERLINK("https://api.qogita.com/variants/link/5028197370459/", "View Product")</f>
        <v/>
      </c>
    </row>
    <row r="15165">
      <c r="A15165" t="inlineStr">
        <is>
          <t>5028197376741</t>
        </is>
      </c>
      <c r="B15165" t="inlineStr">
        <is>
          <t>The Body Shop Body Scrub</t>
        </is>
      </c>
      <c r="C15165" t="inlineStr">
        <is>
          <t>Body Scrub &amp; Peeling</t>
        </is>
      </c>
      <c r="D15165" t="inlineStr">
        <is>
          <t>The Body Shop</t>
        </is>
      </c>
      <c r="E15165" t="n">
        <v>15.35</v>
      </c>
      <c r="F15165" t="n">
        <v>1</v>
      </c>
      <c r="G15165" t="n">
        <v>2</v>
      </c>
      <c r="H15165" s="5">
        <f>HYPERLINK("https://api.qogita.com/variants/link/5028197376741/", "View Product")</f>
        <v/>
      </c>
    </row>
    <row r="15166">
      <c r="A15166" t="inlineStr">
        <is>
          <t>5028197376772</t>
        </is>
      </c>
      <c r="B15166" t="inlineStr">
        <is>
          <t>THE BODY SHOP Body Scrub for Adults Unisex</t>
        </is>
      </c>
      <c r="C15166" t="inlineStr">
        <is>
          <t>Body Scrub &amp; Peeling</t>
        </is>
      </c>
      <c r="D15166" t="inlineStr">
        <is>
          <t>The Body Shop</t>
        </is>
      </c>
      <c r="E15166" t="n">
        <v>16.91</v>
      </c>
      <c r="F15166" t="n">
        <v>1</v>
      </c>
      <c r="G15166" t="n">
        <v>9</v>
      </c>
      <c r="H15166" s="5">
        <f>HYPERLINK("https://api.qogita.com/variants/link/5028197376772/", "View Product")</f>
        <v/>
      </c>
    </row>
    <row r="15167">
      <c r="A15167" t="inlineStr">
        <is>
          <t>5028197420574</t>
        </is>
      </c>
      <c r="B15167" t="inlineStr">
        <is>
          <t>The Body Shop Coconut Body Care Gift Set</t>
        </is>
      </c>
      <c r="C15167" t="inlineStr">
        <is>
          <t>Body Care Sets</t>
        </is>
      </c>
      <c r="D15167" t="inlineStr">
        <is>
          <t>The Body Shop</t>
        </is>
      </c>
      <c r="E15167" t="n">
        <v>50.6</v>
      </c>
      <c r="F15167" t="n">
        <v>1</v>
      </c>
      <c r="G15167" t="n">
        <v>56</v>
      </c>
      <c r="H15167" s="5">
        <f>HYPERLINK("https://api.qogita.com/variants/link/5028197420574/", "View Product")</f>
        <v/>
      </c>
    </row>
    <row r="15168">
      <c r="A15168" t="inlineStr">
        <is>
          <t>5028197420895</t>
        </is>
      </c>
      <c r="B15168" t="inlineStr">
        <is>
          <t>The Body Shop Pamper Me Please Face Mask Kit</t>
        </is>
      </c>
      <c r="C15168" t="inlineStr">
        <is>
          <t>Hydrating Mask</t>
        </is>
      </c>
      <c r="D15168" t="inlineStr">
        <is>
          <t>The Body Shop</t>
        </is>
      </c>
      <c r="E15168" t="n">
        <v>30.7</v>
      </c>
      <c r="F15168" t="n">
        <v>1</v>
      </c>
      <c r="G15168" t="n">
        <v>46</v>
      </c>
      <c r="H15168" s="5">
        <f>HYPERLINK("https://api.qogita.com/variants/link/5028197420895/", "View Product")</f>
        <v/>
      </c>
    </row>
    <row r="15169">
      <c r="A15169" t="inlineStr">
        <is>
          <t>5028197427344</t>
        </is>
      </c>
      <c r="B15169" t="inlineStr">
        <is>
          <t>The Body Shop Bluebell Perfumed Body Mist 100 Ml</t>
        </is>
      </c>
      <c r="C15169" t="inlineStr">
        <is>
          <t>Eau De Toilette</t>
        </is>
      </c>
      <c r="D15169" t="inlineStr">
        <is>
          <t>The Body Shop</t>
        </is>
      </c>
      <c r="E15169" t="n">
        <v>19</v>
      </c>
      <c r="F15169" t="n">
        <v>1</v>
      </c>
      <c r="G15169" t="n">
        <v>2</v>
      </c>
      <c r="H15169" s="5">
        <f>HYPERLINK("https://api.qogita.com/variants/link/5028197427344/", "View Product")</f>
        <v/>
      </c>
    </row>
    <row r="15170">
      <c r="A15170" t="inlineStr">
        <is>
          <t>5028197429249</t>
        </is>
      </c>
      <c r="B15170" t="inlineStr">
        <is>
          <t>The Body Shop Tea Tree Face Oil - 20 Ml</t>
        </is>
      </c>
      <c r="C15170" t="inlineStr">
        <is>
          <t>Facial Oil</t>
        </is>
      </c>
      <c r="D15170" t="inlineStr">
        <is>
          <t>The Body Shop</t>
        </is>
      </c>
      <c r="E15170" t="n">
        <v>32.77</v>
      </c>
      <c r="F15170" t="n">
        <v>1</v>
      </c>
      <c r="G15170" t="n">
        <v>10</v>
      </c>
      <c r="H15170" s="5">
        <f>HYPERLINK("https://api.qogita.com/variants/link/5028197429249/", "View Product")</f>
        <v/>
      </c>
    </row>
    <row r="15171">
      <c r="A15171" t="inlineStr">
        <is>
          <t>5028197884710</t>
        </is>
      </c>
      <c r="B15171" t="inlineStr">
        <is>
          <t>The Body Shop Strawberry Body Butter Moisturizing Body Butter With The Scent Of Strawberries For Normal Skin</t>
        </is>
      </c>
      <c r="C15171" t="inlineStr">
        <is>
          <t>Body Butter</t>
        </is>
      </c>
      <c r="D15171" t="inlineStr">
        <is>
          <t>The Body Shop</t>
        </is>
      </c>
      <c r="E15171" t="n">
        <v>6.52</v>
      </c>
      <c r="F15171" t="n">
        <v>1</v>
      </c>
      <c r="G15171" t="n">
        <v>32</v>
      </c>
      <c r="H15171" s="5">
        <f>HYPERLINK("https://api.qogita.com/variants/link/5028197884710/", "View Product")</f>
        <v/>
      </c>
    </row>
    <row r="15172">
      <c r="A15172" t="inlineStr">
        <is>
          <t>5028197973735</t>
        </is>
      </c>
      <c r="B15172" t="inlineStr">
        <is>
          <t>The Body Shop Pink Grapefruit Body Butter</t>
        </is>
      </c>
      <c r="C15172" t="inlineStr">
        <is>
          <t>Body Butter</t>
        </is>
      </c>
      <c r="D15172" t="inlineStr">
        <is>
          <t>The Body Shop</t>
        </is>
      </c>
      <c r="E15172" t="n">
        <v>7.02</v>
      </c>
      <c r="F15172" t="n">
        <v>1</v>
      </c>
      <c r="G15172" t="n">
        <v>5</v>
      </c>
      <c r="H15172" s="5">
        <f>HYPERLINK("https://api.qogita.com/variants/link/5028197973735/", "View Product")</f>
        <v/>
      </c>
    </row>
    <row r="15173">
      <c r="A15173" t="inlineStr">
        <is>
          <t>5028197973810</t>
        </is>
      </c>
      <c r="B15173" t="inlineStr">
        <is>
          <t>The Body Shop Mango Body Butter For Dry Skin 50 Ml</t>
        </is>
      </c>
      <c r="C15173" t="inlineStr">
        <is>
          <t>Body Butter</t>
        </is>
      </c>
      <c r="D15173" t="inlineStr">
        <is>
          <t>The Body Shop</t>
        </is>
      </c>
      <c r="E15173" t="n">
        <v>6.88</v>
      </c>
      <c r="F15173" t="n">
        <v>1</v>
      </c>
      <c r="G15173" t="n">
        <v>5</v>
      </c>
      <c r="H15173" s="5">
        <f>HYPERLINK("https://api.qogita.com/variants/link/5028197973810/", "View Product")</f>
        <v/>
      </c>
    </row>
    <row r="15174">
      <c r="A15174" t="inlineStr">
        <is>
          <t>5028197975234</t>
        </is>
      </c>
      <c r="B15174" t="inlineStr">
        <is>
          <t>The Body Shop Moringa Bath and Shower Gel for Dry Skin 250ml</t>
        </is>
      </c>
      <c r="C15174" t="inlineStr">
        <is>
          <t>Shower Gel</t>
        </is>
      </c>
      <c r="D15174" t="inlineStr">
        <is>
          <t>The Body Shop</t>
        </is>
      </c>
      <c r="E15174" t="n">
        <v>7.26</v>
      </c>
      <c r="F15174" t="n">
        <v>1</v>
      </c>
      <c r="G15174" t="n">
        <v>80</v>
      </c>
      <c r="H15174" s="5">
        <f>HYPERLINK("https://api.qogita.com/variants/link/5028197975234/", "View Product")</f>
        <v/>
      </c>
    </row>
    <row r="15175">
      <c r="A15175" t="inlineStr">
        <is>
          <t>5029066043504</t>
        </is>
      </c>
      <c r="B15175" t="inlineStr">
        <is>
          <t>Makeup Revolution Ultra Sculpt and Contour Kit Ultra Light/Med C04 10.8g</t>
        </is>
      </c>
      <c r="C15175" t="inlineStr">
        <is>
          <t>Complexion Sets &amp; Pallets</t>
        </is>
      </c>
      <c r="D15175" t="inlineStr">
        <is>
          <t>Makeup Revolution</t>
        </is>
      </c>
      <c r="E15175" t="n">
        <v>5.4</v>
      </c>
      <c r="F15175" t="n">
        <v>1</v>
      </c>
      <c r="G15175" t="n">
        <v>31</v>
      </c>
      <c r="H15175" s="5">
        <f>HYPERLINK("https://api.qogita.com/variants/link/5029066043504/", "View Product")</f>
        <v/>
      </c>
    </row>
    <row r="15176">
      <c r="A15176" t="inlineStr">
        <is>
          <t>5029066094018</t>
        </is>
      </c>
      <c r="B15176" t="inlineStr">
        <is>
          <t>Makeup Revolution Ultra Strobe And Light Palette 11g</t>
        </is>
      </c>
      <c r="C15176" t="inlineStr">
        <is>
          <t>Highlighter</t>
        </is>
      </c>
      <c r="D15176" t="inlineStr">
        <is>
          <t>Makeup Revolution</t>
        </is>
      </c>
      <c r="E15176" t="n">
        <v>10.34</v>
      </c>
      <c r="F15176" t="n">
        <v>1</v>
      </c>
      <c r="G15176" t="n">
        <v>2</v>
      </c>
      <c r="H15176" s="5">
        <f>HYPERLINK("https://api.qogita.com/variants/link/5029066094018/", "View Product")</f>
        <v/>
      </c>
    </row>
    <row r="15177">
      <c r="A15177" t="inlineStr">
        <is>
          <t>5030805000030</t>
        </is>
      </c>
      <c r="B15177" t="inlineStr">
        <is>
          <t>Hand Cream 40ml</t>
        </is>
      </c>
      <c r="C15177" t="inlineStr">
        <is>
          <t>Hand Cream</t>
        </is>
      </c>
      <c r="D15177" t="inlineStr">
        <is>
          <t>Molton Brown</t>
        </is>
      </c>
      <c r="E15177" t="n">
        <v>9.279999999999999</v>
      </c>
      <c r="F15177" t="n">
        <v>1</v>
      </c>
      <c r="G15177" t="n">
        <v>18</v>
      </c>
      <c r="H15177" s="5">
        <f>HYPERLINK("https://api.qogita.com/variants/link/5030805000030/", "View Product")</f>
        <v/>
      </c>
    </row>
    <row r="15178">
      <c r="A15178" t="inlineStr">
        <is>
          <t>5030805000078</t>
        </is>
      </c>
      <c r="B15178" t="inlineStr">
        <is>
          <t>Heavenly Gingerlily Hand Cream 40 ml</t>
        </is>
      </c>
      <c r="C15178" t="inlineStr">
        <is>
          <t>Hand Cream</t>
        </is>
      </c>
      <c r="D15178" t="inlineStr">
        <is>
          <t>Molton Brown</t>
        </is>
      </c>
      <c r="E15178" t="n">
        <v>9.9</v>
      </c>
      <c r="F15178" t="n">
        <v>1</v>
      </c>
      <c r="G15178" t="n">
        <v>26</v>
      </c>
      <c r="H15178" s="5">
        <f>HYPERLINK("https://api.qogita.com/variants/link/5030805000078/", "View Product")</f>
        <v/>
      </c>
    </row>
    <row r="15179">
      <c r="A15179" t="inlineStr">
        <is>
          <t>5030805002546</t>
        </is>
      </c>
      <c r="B15179" t="inlineStr">
        <is>
          <t>Molton Brown Blissful Templetree Bath &amp; Shower Gel 300ml</t>
        </is>
      </c>
      <c r="C15179" t="inlineStr">
        <is>
          <t>Shower Gel</t>
        </is>
      </c>
      <c r="D15179" t="inlineStr">
        <is>
          <t>Molton Brown</t>
        </is>
      </c>
      <c r="E15179" t="n">
        <v>19.02</v>
      </c>
      <c r="F15179" t="n">
        <v>1</v>
      </c>
      <c r="G15179" t="n">
        <v>111</v>
      </c>
      <c r="H15179" s="5">
        <f>HYPERLINK("https://api.qogita.com/variants/link/5030805002546/", "View Product")</f>
        <v/>
      </c>
    </row>
    <row r="15180">
      <c r="A15180" t="inlineStr">
        <is>
          <t>5030805003000</t>
        </is>
      </c>
      <c r="B15180" t="inlineStr">
        <is>
          <t>Molton Brown Fiery Pink Pepper Body Lotion 300ml New Version</t>
        </is>
      </c>
      <c r="C15180" t="inlineStr">
        <is>
          <t>Body Lotion</t>
        </is>
      </c>
      <c r="D15180" t="inlineStr">
        <is>
          <t>Molton Brown</t>
        </is>
      </c>
      <c r="E15180" t="n">
        <v>21.79</v>
      </c>
      <c r="F15180" t="n">
        <v>1</v>
      </c>
      <c r="G15180" t="n">
        <v>29</v>
      </c>
      <c r="H15180" s="5">
        <f>HYPERLINK("https://api.qogita.com/variants/link/5030805003000/", "View Product")</f>
        <v/>
      </c>
    </row>
    <row r="15181">
      <c r="A15181" t="inlineStr">
        <is>
          <t>5030805003185</t>
        </is>
      </c>
      <c r="B15181" t="inlineStr">
        <is>
          <t>Molton Brown Neon Amber Bath and Shower Gel 300ml</t>
        </is>
      </c>
      <c r="C15181" t="inlineStr">
        <is>
          <t>Shower Gel</t>
        </is>
      </c>
      <c r="D15181" t="inlineStr">
        <is>
          <t>Molton Brown</t>
        </is>
      </c>
      <c r="E15181" t="n">
        <v>22.3</v>
      </c>
      <c r="F15181" t="n">
        <v>1</v>
      </c>
      <c r="G15181" t="n">
        <v>51</v>
      </c>
      <c r="H15181" s="5">
        <f>HYPERLINK("https://api.qogita.com/variants/link/5030805003185/", "View Product")</f>
        <v/>
      </c>
    </row>
    <row r="15182">
      <c r="A15182" t="inlineStr">
        <is>
          <t>5030805003321</t>
        </is>
      </c>
      <c r="B15182" t="inlineStr">
        <is>
          <t>Molton Brown Rose Dunes Bath &amp; Shower Gel 300ml New Version</t>
        </is>
      </c>
      <c r="C15182" t="inlineStr">
        <is>
          <t>Shower Gel</t>
        </is>
      </c>
      <c r="D15182" t="inlineStr">
        <is>
          <t>Molton Brown</t>
        </is>
      </c>
      <c r="E15182" t="n">
        <v>24.67</v>
      </c>
      <c r="F15182" t="n">
        <v>1</v>
      </c>
      <c r="G15182" t="n">
        <v>49</v>
      </c>
      <c r="H15182" s="5">
        <f>HYPERLINK("https://api.qogita.com/variants/link/5030805003321/", "View Product")</f>
        <v/>
      </c>
    </row>
    <row r="15183">
      <c r="A15183" t="inlineStr">
        <is>
          <t>5030805003604</t>
        </is>
      </c>
      <c r="B15183" t="inlineStr">
        <is>
          <t>Molton Brown Heavenly Gingerlily Hand Lotion 300ml</t>
        </is>
      </c>
      <c r="C15183" t="inlineStr">
        <is>
          <t>Hand Cream</t>
        </is>
      </c>
      <c r="D15183" t="inlineStr">
        <is>
          <t>Molton Brown</t>
        </is>
      </c>
      <c r="E15183" t="n">
        <v>17.58</v>
      </c>
      <c r="F15183" t="n">
        <v>1</v>
      </c>
      <c r="G15183" t="n">
        <v>23</v>
      </c>
      <c r="H15183" s="5">
        <f>HYPERLINK("https://api.qogita.com/variants/link/5030805003604/", "View Product")</f>
        <v/>
      </c>
    </row>
    <row r="15184">
      <c r="A15184" t="inlineStr">
        <is>
          <t>5030805003727</t>
        </is>
      </c>
      <c r="B15184" t="inlineStr">
        <is>
          <t>Molton Brown Mesmerising Oudh Accord and Gold Hand Lotion 300ml New Version</t>
        </is>
      </c>
      <c r="C15184" t="inlineStr">
        <is>
          <t>Hand Cream</t>
        </is>
      </c>
      <c r="D15184" t="inlineStr">
        <is>
          <t>Molton Brown</t>
        </is>
      </c>
      <c r="E15184" t="n">
        <v>19.71</v>
      </c>
      <c r="F15184" t="n">
        <v>1</v>
      </c>
      <c r="G15184" t="n">
        <v>13</v>
      </c>
      <c r="H15184" s="5">
        <f>HYPERLINK("https://api.qogita.com/variants/link/5030805003727/", "View Product")</f>
        <v/>
      </c>
    </row>
    <row r="15185">
      <c r="A15185" t="inlineStr">
        <is>
          <t>5030805005905</t>
        </is>
      </c>
      <c r="B15185" t="inlineStr">
        <is>
          <t>Molton Brown Heavenly Gingerlily Caressing Bathing Oil 200ml</t>
        </is>
      </c>
      <c r="C15185" t="inlineStr">
        <is>
          <t>Bath Oil &amp; Bath Milk</t>
        </is>
      </c>
      <c r="D15185" t="inlineStr">
        <is>
          <t>Molton Brown</t>
        </is>
      </c>
      <c r="E15185" t="n">
        <v>30.51</v>
      </c>
      <c r="F15185" t="n">
        <v>1</v>
      </c>
      <c r="G15185" t="n">
        <v>17</v>
      </c>
      <c r="H15185" s="5">
        <f>HYPERLINK("https://api.qogita.com/variants/link/5030805005905/", "View Product")</f>
        <v/>
      </c>
    </row>
    <row r="15186">
      <c r="A15186" t="inlineStr">
        <is>
          <t>5030805008807</t>
        </is>
      </c>
      <c r="B15186" t="inlineStr">
        <is>
          <t>Molton Brown Recharge Black Pepper Travel Gift Set</t>
        </is>
      </c>
      <c r="C15186" t="inlineStr">
        <is>
          <t>Fragrance Sets</t>
        </is>
      </c>
      <c r="D15186" t="inlineStr">
        <is>
          <t>Molton Brown</t>
        </is>
      </c>
      <c r="E15186" t="n">
        <v>29.68</v>
      </c>
      <c r="F15186" t="n">
        <v>1</v>
      </c>
      <c r="G15186" t="n">
        <v>9</v>
      </c>
      <c r="H15186" s="5">
        <f>HYPERLINK("https://api.qogita.com/variants/link/5030805008807/", "View Product")</f>
        <v/>
      </c>
    </row>
    <row r="15187">
      <c r="A15187" t="inlineStr">
        <is>
          <t>5030805009545</t>
        </is>
      </c>
      <c r="B15187" t="inlineStr">
        <is>
          <t>Molton Brown Marvellous Mandarin and Spice Signature Candle</t>
        </is>
      </c>
      <c r="C15187" t="inlineStr">
        <is>
          <t>Candles</t>
        </is>
      </c>
      <c r="D15187" t="inlineStr">
        <is>
          <t>Molton Brown</t>
        </is>
      </c>
      <c r="E15187" t="n">
        <v>49.52</v>
      </c>
      <c r="F15187" t="n">
        <v>1</v>
      </c>
      <c r="G15187" t="n">
        <v>6</v>
      </c>
      <c r="H15187" s="5">
        <f>HYPERLINK("https://api.qogita.com/variants/link/5030805009545/", "View Product")</f>
        <v/>
      </c>
    </row>
    <row r="15188">
      <c r="A15188" t="inlineStr">
        <is>
          <t>5030805009583</t>
        </is>
      </c>
      <c r="B15188" t="inlineStr">
        <is>
          <t>Molton Brown Vintage With Elderflower Hand Lotion 300ml</t>
        </is>
      </c>
      <c r="C15188" t="inlineStr">
        <is>
          <t>Hand Cream</t>
        </is>
      </c>
      <c r="D15188" t="inlineStr">
        <is>
          <t>Molton Brown</t>
        </is>
      </c>
      <c r="E15188" t="n">
        <v>26.72</v>
      </c>
      <c r="F15188" t="n">
        <v>1</v>
      </c>
      <c r="G15188" t="n">
        <v>5</v>
      </c>
      <c r="H15188" s="5">
        <f>HYPERLINK("https://api.qogita.com/variants/link/5030805009583/", "View Product")</f>
        <v/>
      </c>
    </row>
    <row r="15189">
      <c r="A15189" t="inlineStr">
        <is>
          <t>5030805009644</t>
        </is>
      </c>
      <c r="B15189" t="inlineStr">
        <is>
          <t>Molton Brown Vintage Elderflower Bath And Shower Gel 75 Ml</t>
        </is>
      </c>
      <c r="C15189" t="inlineStr">
        <is>
          <t>Shower Gel</t>
        </is>
      </c>
      <c r="D15189" t="inlineStr">
        <is>
          <t>Molton Brown</t>
        </is>
      </c>
      <c r="E15189" t="n">
        <v>11.3</v>
      </c>
      <c r="F15189" t="n">
        <v>1</v>
      </c>
      <c r="G15189" t="n">
        <v>59</v>
      </c>
      <c r="H15189" s="5">
        <f>HYPERLINK("https://api.qogita.com/variants/link/5030805009644/", "View Product")</f>
        <v/>
      </c>
    </row>
    <row r="15190">
      <c r="A15190" t="inlineStr">
        <is>
          <t>5030805009729</t>
        </is>
      </c>
      <c r="B15190" t="inlineStr">
        <is>
          <t>Molton Brown Delicious Rhubarb &amp; Rose Bath &amp; Shower Gel 75 Ml</t>
        </is>
      </c>
      <c r="C15190" t="inlineStr">
        <is>
          <t>Shower Gel</t>
        </is>
      </c>
      <c r="D15190" t="inlineStr">
        <is>
          <t>Molton Brown</t>
        </is>
      </c>
      <c r="E15190" t="n">
        <v>9.609999999999999</v>
      </c>
      <c r="F15190" t="n">
        <v>1</v>
      </c>
      <c r="G15190" t="n">
        <v>41</v>
      </c>
      <c r="H15190" s="5">
        <f>HYPERLINK("https://api.qogita.com/variants/link/5030805009729/", "View Product")</f>
        <v/>
      </c>
    </row>
    <row r="15191">
      <c r="A15191" t="inlineStr">
        <is>
          <t>5030805009767</t>
        </is>
      </c>
      <c r="B15191" t="inlineStr">
        <is>
          <t>Molton Brown Recharge Black Pepper Bath And Shower Gel 75 Ml</t>
        </is>
      </c>
      <c r="C15191" t="inlineStr">
        <is>
          <t>Shower Gel</t>
        </is>
      </c>
      <c r="D15191" t="inlineStr">
        <is>
          <t>Molton Brown</t>
        </is>
      </c>
      <c r="E15191" t="n">
        <v>9.85</v>
      </c>
      <c r="F15191" t="n">
        <v>1</v>
      </c>
      <c r="G15191" t="n">
        <v>24</v>
      </c>
      <c r="H15191" s="5">
        <f>HYPERLINK("https://api.qogita.com/variants/link/5030805009767/", "View Product")</f>
        <v/>
      </c>
    </row>
    <row r="15192">
      <c r="A15192" t="inlineStr">
        <is>
          <t>5030805012897</t>
        </is>
      </c>
      <c r="B15192" t="inlineStr">
        <is>
          <t>Molton Brown Coastal Cypress &amp; Sea Fennel Glass Bottle for Fine Liquids</t>
        </is>
      </c>
      <c r="C15192" t="inlineStr">
        <is>
          <t>Diffusers</t>
        </is>
      </c>
      <c r="D15192" t="inlineStr">
        <is>
          <t>Molton Brown</t>
        </is>
      </c>
      <c r="E15192" t="n">
        <v>20.35</v>
      </c>
      <c r="F15192" t="n">
        <v>1</v>
      </c>
      <c r="G15192" t="n">
        <v>43</v>
      </c>
      <c r="H15192" s="5">
        <f>HYPERLINK("https://api.qogita.com/variants/link/5030805012897/", "View Product")</f>
        <v/>
      </c>
    </row>
    <row r="15193">
      <c r="A15193" t="inlineStr">
        <is>
          <t>5030805013016</t>
        </is>
      </c>
      <c r="B15193" t="inlineStr">
        <is>
          <t>Molton Brown Coastal Cypress and Sea Fennel Bath and Shower Gel Refill 400ml</t>
        </is>
      </c>
      <c r="C15193" t="inlineStr">
        <is>
          <t>Shower Gel</t>
        </is>
      </c>
      <c r="D15193" t="inlineStr">
        <is>
          <t>Molton Brown</t>
        </is>
      </c>
      <c r="E15193" t="n">
        <v>39.03</v>
      </c>
      <c r="F15193" t="n">
        <v>1</v>
      </c>
      <c r="G15193" t="n">
        <v>104</v>
      </c>
      <c r="H15193" s="5">
        <f>HYPERLINK("https://api.qogita.com/variants/link/5030805013016/", "View Product")</f>
        <v/>
      </c>
    </row>
    <row r="15194">
      <c r="A15194" t="inlineStr">
        <is>
          <t>5030805013290</t>
        </is>
      </c>
      <c r="B15194" t="inlineStr">
        <is>
          <t>Molton Brown Dark Leather Bath &amp; Shower Gel 300ml New Version</t>
        </is>
      </c>
      <c r="C15194" t="inlineStr">
        <is>
          <t>Shower Gel</t>
        </is>
      </c>
      <c r="D15194" t="inlineStr">
        <is>
          <t>Molton Brown</t>
        </is>
      </c>
      <c r="E15194" t="n">
        <v>23.55</v>
      </c>
      <c r="F15194" t="n">
        <v>1</v>
      </c>
      <c r="G15194" t="n">
        <v>6</v>
      </c>
      <c r="H15194" s="5">
        <f>HYPERLINK("https://api.qogita.com/variants/link/5030805013290/", "View Product")</f>
        <v/>
      </c>
    </row>
    <row r="15195">
      <c r="A15195" t="inlineStr">
        <is>
          <t>5030805014426</t>
        </is>
      </c>
      <c r="B15195" t="inlineStr">
        <is>
          <t>Molton Brown Rhubarb &amp; Rose Diffuser</t>
        </is>
      </c>
      <c r="C15195" t="inlineStr">
        <is>
          <t>Diffusers</t>
        </is>
      </c>
      <c r="D15195" t="inlineStr">
        <is>
          <t>Molton Brown</t>
        </is>
      </c>
      <c r="E15195" t="n">
        <v>42.6</v>
      </c>
      <c r="F15195" t="n">
        <v>1</v>
      </c>
      <c r="G15195" t="n">
        <v>14</v>
      </c>
      <c r="H15195" s="5">
        <f>HYPERLINK("https://api.qogita.com/variants/link/5030805014426/", "View Product")</f>
        <v/>
      </c>
    </row>
    <row r="15196">
      <c r="A15196" t="inlineStr">
        <is>
          <t>5030805014600</t>
        </is>
      </c>
      <c r="B15196" t="inlineStr">
        <is>
          <t>Molton Brown Fiery Pink Pepper Infinite Bottle</t>
        </is>
      </c>
      <c r="C15196" t="inlineStr">
        <is>
          <t>Eau De Toilette</t>
        </is>
      </c>
      <c r="D15196" t="inlineStr">
        <is>
          <t>Molton Brown</t>
        </is>
      </c>
      <c r="E15196" t="n">
        <v>30.98</v>
      </c>
      <c r="F15196" t="n">
        <v>1</v>
      </c>
      <c r="G15196" t="n">
        <v>80</v>
      </c>
      <c r="H15196" s="5">
        <f>HYPERLINK("https://api.qogita.com/variants/link/5030805014600/", "View Product")</f>
        <v/>
      </c>
    </row>
    <row r="15197">
      <c r="A15197" t="inlineStr">
        <is>
          <t>5030805015102</t>
        </is>
      </c>
      <c r="B15197" t="inlineStr">
        <is>
          <t>Molton Brown Fiery Pink Pepper Perfumed Soap</t>
        </is>
      </c>
      <c r="C15197" t="inlineStr">
        <is>
          <t>Soap</t>
        </is>
      </c>
      <c r="D15197" t="inlineStr">
        <is>
          <t>Molton Brown</t>
        </is>
      </c>
      <c r="E15197" t="n">
        <v>15.7</v>
      </c>
      <c r="F15197" t="n">
        <v>1</v>
      </c>
      <c r="G15197" t="n">
        <v>22</v>
      </c>
      <c r="H15197" s="5">
        <f>HYPERLINK("https://api.qogita.com/variants/link/5030805015102/", "View Product")</f>
        <v/>
      </c>
    </row>
    <row r="15198">
      <c r="A15198" t="inlineStr">
        <is>
          <t>5030805015126</t>
        </is>
      </c>
      <c r="B15198" t="inlineStr">
        <is>
          <t>Molton Brown Delicious Rhubarb and Rose Perfumed Soap</t>
        </is>
      </c>
      <c r="C15198" t="inlineStr">
        <is>
          <t>Soap</t>
        </is>
      </c>
      <c r="D15198" t="inlineStr">
        <is>
          <t>Molton Brown</t>
        </is>
      </c>
      <c r="E15198" t="n">
        <v>19.6</v>
      </c>
      <c r="F15198" t="n">
        <v>1</v>
      </c>
      <c r="G15198" t="n">
        <v>4</v>
      </c>
      <c r="H15198" s="5">
        <f>HYPERLINK("https://api.qogita.com/variants/link/5030805015126/", "View Product")</f>
        <v/>
      </c>
    </row>
    <row r="15199">
      <c r="A15199" t="inlineStr">
        <is>
          <t>5030805017717</t>
        </is>
      </c>
      <c r="B15199" t="inlineStr">
        <is>
          <t>Molton Brown Vitamin Lipsaver 10ml</t>
        </is>
      </c>
      <c r="C15199" t="inlineStr">
        <is>
          <t>Lip Oil</t>
        </is>
      </c>
      <c r="D15199" t="inlineStr">
        <is>
          <t>Molton Brown</t>
        </is>
      </c>
      <c r="E15199" t="n">
        <v>8.56</v>
      </c>
      <c r="F15199" t="n">
        <v>1</v>
      </c>
      <c r="G15199" t="n">
        <v>5</v>
      </c>
      <c r="H15199" s="5">
        <f>HYPERLINK("https://api.qogita.com/variants/link/5030805017717/", "View Product")</f>
        <v/>
      </c>
    </row>
    <row r="15200">
      <c r="A15200" t="inlineStr">
        <is>
          <t>5030805021950</t>
        </is>
      </c>
      <c r="B15200" t="inlineStr">
        <is>
          <t>Molton Brown Extra Rich Bai Ji Hydrator 100 Ml</t>
        </is>
      </c>
      <c r="C15200" t="inlineStr">
        <is>
          <t>Hydrating Serum</t>
        </is>
      </c>
      <c r="D15200" t="inlineStr">
        <is>
          <t>Molton Brown</t>
        </is>
      </c>
      <c r="E15200" t="n">
        <v>23.35</v>
      </c>
      <c r="F15200" t="n">
        <v>1</v>
      </c>
      <c r="G15200" t="n">
        <v>4</v>
      </c>
      <c r="H15200" s="5">
        <f>HYPERLINK("https://api.qogita.com/variants/link/5030805021950/", "View Product")</f>
        <v/>
      </c>
    </row>
    <row r="15201">
      <c r="A15201" t="inlineStr">
        <is>
          <t>5030805023084</t>
        </is>
      </c>
      <c r="B15201" t="inlineStr">
        <is>
          <t>Molton Brown Floral &amp; Spicy Hand Care Gift Set</t>
        </is>
      </c>
      <c r="C15201" t="inlineStr">
        <is>
          <t>Hand Care Sets</t>
        </is>
      </c>
      <c r="D15201" t="inlineStr">
        <is>
          <t>Molton Brown</t>
        </is>
      </c>
      <c r="E15201" t="n">
        <v>36.48</v>
      </c>
      <c r="F15201" t="n">
        <v>1</v>
      </c>
      <c r="G15201" t="n">
        <v>29</v>
      </c>
      <c r="H15201" s="5">
        <f>HYPERLINK("https://api.qogita.com/variants/link/5030805023084/", "View Product")</f>
        <v/>
      </c>
    </row>
    <row r="15202">
      <c r="A15202" t="inlineStr">
        <is>
          <t>5030805023565</t>
        </is>
      </c>
      <c r="B15202" t="inlineStr">
        <is>
          <t>Molton Brown Vintage With Elderflower Fine Liquid Hand Wash 300 Ml</t>
        </is>
      </c>
      <c r="C15202" t="inlineStr">
        <is>
          <t>Hand Soap</t>
        </is>
      </c>
      <c r="D15202" t="inlineStr">
        <is>
          <t>Molton Brown</t>
        </is>
      </c>
      <c r="E15202" t="n">
        <v>25.38</v>
      </c>
      <c r="F15202" t="n">
        <v>1</v>
      </c>
      <c r="G15202" t="n">
        <v>10</v>
      </c>
      <c r="H15202" s="5">
        <f>HYPERLINK("https://api.qogita.com/variants/link/5030805023565/", "View Product")</f>
        <v/>
      </c>
    </row>
    <row r="15203">
      <c r="A15203" t="inlineStr">
        <is>
          <t>5030805023640</t>
        </is>
      </c>
      <c r="B15203" t="inlineStr">
        <is>
          <t>Molton Brown Vintage Elderflower Festive Bauble Bath And Shower Gel 75 Ml</t>
        </is>
      </c>
      <c r="C15203" t="inlineStr">
        <is>
          <t>Shower Gel</t>
        </is>
      </c>
      <c r="D15203" t="inlineStr">
        <is>
          <t>Molton Brown</t>
        </is>
      </c>
      <c r="E15203" t="n">
        <v>16.17</v>
      </c>
      <c r="F15203" t="n">
        <v>1</v>
      </c>
      <c r="G15203" t="n">
        <v>64</v>
      </c>
      <c r="H15203" s="5">
        <f>HYPERLINK("https://api.qogita.com/variants/link/5030805023640/", "View Product")</f>
        <v/>
      </c>
    </row>
    <row r="15204">
      <c r="A15204" t="inlineStr">
        <is>
          <t>5030805023688</t>
        </is>
      </c>
      <c r="B15204" t="inlineStr">
        <is>
          <t>Molton Brown Delicious Rhubarb Rose Festive Bauble Bath And Shower Gel 75 Ml</t>
        </is>
      </c>
      <c r="C15204" t="inlineStr">
        <is>
          <t>Shower Gel</t>
        </is>
      </c>
      <c r="D15204" t="inlineStr">
        <is>
          <t>Molton Brown</t>
        </is>
      </c>
      <c r="E15204" t="n">
        <v>14.51</v>
      </c>
      <c r="F15204" t="n">
        <v>1</v>
      </c>
      <c r="G15204" t="n">
        <v>66</v>
      </c>
      <c r="H15204" s="5">
        <f>HYPERLINK("https://api.qogita.com/variants/link/5030805023688/", "View Product")</f>
        <v/>
      </c>
    </row>
    <row r="15205">
      <c r="A15205" t="inlineStr">
        <is>
          <t>5030805023701</t>
        </is>
      </c>
      <c r="B15205" t="inlineStr">
        <is>
          <t>Molton Brown Fiery Pink Pepper Festive Bauble Bath And Shower Gel 75 Ml</t>
        </is>
      </c>
      <c r="C15205" t="inlineStr">
        <is>
          <t>Shower Gel</t>
        </is>
      </c>
      <c r="D15205" t="inlineStr">
        <is>
          <t>Molton Brown</t>
        </is>
      </c>
      <c r="E15205" t="n">
        <v>14.44</v>
      </c>
      <c r="F15205" t="n">
        <v>1</v>
      </c>
      <c r="G15205" t="n">
        <v>59</v>
      </c>
      <c r="H15205" s="5">
        <f>HYPERLINK("https://api.qogita.com/variants/link/5030805023701/", "View Product")</f>
        <v/>
      </c>
    </row>
    <row r="15206">
      <c r="A15206" t="inlineStr">
        <is>
          <t>5030805023749</t>
        </is>
      </c>
      <c r="B15206" t="inlineStr">
        <is>
          <t>Molton Brown Wild Mint Lavandin Festive Bauble Bath And Shower Gel 75 Ml</t>
        </is>
      </c>
      <c r="C15206" t="inlineStr">
        <is>
          <t>Shower Gel</t>
        </is>
      </c>
      <c r="D15206" t="inlineStr">
        <is>
          <t>Molton Brown</t>
        </is>
      </c>
      <c r="E15206" t="n">
        <v>14.59</v>
      </c>
      <c r="F15206" t="n">
        <v>1</v>
      </c>
      <c r="G15206" t="n">
        <v>52</v>
      </c>
      <c r="H15206" s="5">
        <f>HYPERLINK("https://api.qogita.com/variants/link/5030805023749/", "View Product")</f>
        <v/>
      </c>
    </row>
    <row r="15207">
      <c r="A15207" t="inlineStr">
        <is>
          <t>5030805024210</t>
        </is>
      </c>
      <c r="B15207" t="inlineStr">
        <is>
          <t>Molton Brown Sunlit Clementine &amp; Vetiver Bath &amp; Shower Gel 300ml</t>
        </is>
      </c>
      <c r="C15207" t="inlineStr">
        <is>
          <t>Shower Gel</t>
        </is>
      </c>
      <c r="D15207" t="inlineStr">
        <is>
          <t>Molton Brown</t>
        </is>
      </c>
      <c r="E15207" t="n">
        <v>20.63</v>
      </c>
      <c r="F15207" t="n">
        <v>1</v>
      </c>
      <c r="G15207" t="n">
        <v>32</v>
      </c>
      <c r="H15207" s="5">
        <f>HYPERLINK("https://api.qogita.com/variants/link/5030805024210/", "View Product")</f>
        <v/>
      </c>
    </row>
    <row r="15208">
      <c r="A15208" t="inlineStr">
        <is>
          <t>5030805025798</t>
        </is>
      </c>
      <c r="B15208" t="inlineStr">
        <is>
          <t>Molton Brown Delicious Rhubarb and Rose Bath and Shower Gel Refill 400ml</t>
        </is>
      </c>
      <c r="C15208" t="inlineStr">
        <is>
          <t>Shower Gel</t>
        </is>
      </c>
      <c r="D15208" t="inlineStr">
        <is>
          <t>Molton Brown</t>
        </is>
      </c>
      <c r="E15208" t="n">
        <v>22.93</v>
      </c>
      <c r="F15208" t="n">
        <v>1</v>
      </c>
      <c r="G15208" t="n">
        <v>48</v>
      </c>
      <c r="H15208" s="5">
        <f>HYPERLINK("https://api.qogita.com/variants/link/5030805025798/", "View Product")</f>
        <v/>
      </c>
    </row>
    <row r="15209">
      <c r="A15209" t="inlineStr">
        <is>
          <t>5034843000984</t>
        </is>
      </c>
      <c r="B15209" t="inlineStr">
        <is>
          <t>La Riche Directions Semi-Permanent Hair Colour Dye Tubs - All Colours</t>
        </is>
      </c>
      <c r="C15209" t="inlineStr">
        <is>
          <t>Hair Dye</t>
        </is>
      </c>
      <c r="D15209" t="inlineStr">
        <is>
          <t>La Riche</t>
        </is>
      </c>
      <c r="E15209" t="n">
        <v>5.15</v>
      </c>
      <c r="F15209" t="n">
        <v>1</v>
      </c>
      <c r="G15209" t="n">
        <v>4</v>
      </c>
      <c r="H15209" s="5">
        <f>HYPERLINK("https://api.qogita.com/variants/link/5034843000984/", "View Product")</f>
        <v/>
      </c>
    </row>
    <row r="15210">
      <c r="A15210" t="inlineStr">
        <is>
          <t>5034843001059</t>
        </is>
      </c>
      <c r="B15210" t="inlineStr">
        <is>
          <t>La Riche Directions Semi-Permanent Hair Color 88ml Tubs Tulip</t>
        </is>
      </c>
      <c r="C15210" t="inlineStr">
        <is>
          <t>Hair Dye</t>
        </is>
      </c>
      <c r="D15210" t="inlineStr">
        <is>
          <t>La Riche</t>
        </is>
      </c>
      <c r="E15210" t="n">
        <v>3.92</v>
      </c>
      <c r="F15210" t="n">
        <v>1</v>
      </c>
      <c r="G15210" t="n">
        <v>4</v>
      </c>
      <c r="H15210" s="5">
        <f>HYPERLINK("https://api.qogita.com/variants/link/5034843001059/", "View Product")</f>
        <v/>
      </c>
    </row>
    <row r="15211">
      <c r="A15211" t="inlineStr">
        <is>
          <t>5034843001080</t>
        </is>
      </c>
      <c r="B15211" t="inlineStr">
        <is>
          <t>La Riche Directions Semi-Permanent Hair Colour Dye Tubs - All Colours</t>
        </is>
      </c>
      <c r="C15211" t="inlineStr">
        <is>
          <t>Hair Dye</t>
        </is>
      </c>
      <c r="D15211" t="inlineStr">
        <is>
          <t>La Riche</t>
        </is>
      </c>
      <c r="E15211" t="n">
        <v>3.92</v>
      </c>
      <c r="F15211" t="n">
        <v>1</v>
      </c>
      <c r="G15211" t="n">
        <v>14</v>
      </c>
      <c r="H15211" s="5">
        <f>HYPERLINK("https://api.qogita.com/variants/link/5034843001080/", "View Product")</f>
        <v/>
      </c>
    </row>
    <row r="15212">
      <c r="A15212" t="inlineStr">
        <is>
          <t>5034843001233</t>
        </is>
      </c>
      <c r="B15212" t="inlineStr">
        <is>
          <t>La Riche Directions Hair Dye Color Cream of Your Choice 88ml</t>
        </is>
      </c>
      <c r="C15212" t="inlineStr">
        <is>
          <t>Hair Dye</t>
        </is>
      </c>
      <c r="D15212" t="inlineStr">
        <is>
          <t>La Riche</t>
        </is>
      </c>
      <c r="E15212" t="n">
        <v>3.96</v>
      </c>
      <c r="F15212" t="n">
        <v>1</v>
      </c>
      <c r="G15212" t="n">
        <v>5</v>
      </c>
      <c r="H15212" s="5">
        <f>HYPERLINK("https://api.qogita.com/variants/link/5034843001233/", "View Product")</f>
        <v/>
      </c>
    </row>
    <row r="15213">
      <c r="A15213" t="inlineStr">
        <is>
          <t>5034843001318</t>
        </is>
      </c>
      <c r="B15213" t="inlineStr">
        <is>
          <t>La Riche Directions Pastel Pink Hair Tint Color Cream 88ml</t>
        </is>
      </c>
      <c r="C15213" t="inlineStr">
        <is>
          <t>Hair Dye</t>
        </is>
      </c>
      <c r="D15213" t="inlineStr">
        <is>
          <t>La Riche</t>
        </is>
      </c>
      <c r="E15213" t="n">
        <v>3.92</v>
      </c>
      <c r="F15213" t="n">
        <v>1</v>
      </c>
      <c r="G15213" t="n">
        <v>4</v>
      </c>
      <c r="H15213" s="5">
        <f>HYPERLINK("https://api.qogita.com/variants/link/5034843001318/", "View Product")</f>
        <v/>
      </c>
    </row>
    <row r="15214">
      <c r="A15214" t="inlineStr">
        <is>
          <t>5034843001363</t>
        </is>
      </c>
      <c r="B15214" t="inlineStr">
        <is>
          <t>La Riche Directions Semi-Permanent Hair Color 88ml Tubs Apricot</t>
        </is>
      </c>
      <c r="C15214" t="inlineStr">
        <is>
          <t>Hair Dye</t>
        </is>
      </c>
      <c r="D15214" t="inlineStr">
        <is>
          <t>La Riche</t>
        </is>
      </c>
      <c r="E15214" t="n">
        <v>3.96</v>
      </c>
      <c r="F15214" t="n">
        <v>1</v>
      </c>
      <c r="G15214" t="n">
        <v>19</v>
      </c>
      <c r="H15214" s="5">
        <f>HYPERLINK("https://api.qogita.com/variants/link/5034843001363/", "View Product")</f>
        <v/>
      </c>
    </row>
    <row r="15215">
      <c r="A15215" t="inlineStr">
        <is>
          <t>5034843001875</t>
        </is>
      </c>
      <c r="B15215" t="inlineStr">
        <is>
          <t>New La Riche Directions Semi-Permanent Hair Color 88ml Fluorescent Yellow - Pack of 4</t>
        </is>
      </c>
      <c r="C15215" t="inlineStr">
        <is>
          <t>Hair Dye</t>
        </is>
      </c>
      <c r="D15215" t="inlineStr">
        <is>
          <t>La Riche</t>
        </is>
      </c>
      <c r="E15215" t="n">
        <v>3.92</v>
      </c>
      <c r="F15215" t="n">
        <v>1</v>
      </c>
      <c r="G15215" t="n">
        <v>4</v>
      </c>
      <c r="H15215" s="5">
        <f>HYPERLINK("https://api.qogita.com/variants/link/5034843001875/", "View Product")</f>
        <v/>
      </c>
    </row>
    <row r="15216">
      <c r="A15216" t="inlineStr">
        <is>
          <t>5037028265475</t>
        </is>
      </c>
      <c r="B15216" t="inlineStr">
        <is>
          <t>Bomb Cosmetics Sparkling Bath Bomb Play It Cool 160 Grams</t>
        </is>
      </c>
      <c r="C15216" t="inlineStr">
        <is>
          <t>Bath Salts &amp; Bath Bombs</t>
        </is>
      </c>
      <c r="D15216" t="inlineStr">
        <is>
          <t>Bomb Cosmetics</t>
        </is>
      </c>
      <c r="E15216" t="n">
        <v>4.41</v>
      </c>
      <c r="F15216" t="n">
        <v>1</v>
      </c>
      <c r="G15216" t="n">
        <v>14</v>
      </c>
      <c r="H15216" s="5">
        <f>HYPERLINK("https://api.qogita.com/variants/link/5037028265475/", "View Product")</f>
        <v/>
      </c>
    </row>
    <row r="15217">
      <c r="A15217" t="inlineStr">
        <is>
          <t>5037028273098</t>
        </is>
      </c>
      <c r="B15217" t="inlineStr">
        <is>
          <t>The Land Of Nod Bath Gift Set 5 Pieces</t>
        </is>
      </c>
      <c r="C15217" t="inlineStr">
        <is>
          <t>Baby Bath</t>
        </is>
      </c>
      <c r="D15217" t="inlineStr">
        <is>
          <t>The Land Of Nod</t>
        </is>
      </c>
      <c r="E15217" t="n">
        <v>16.46</v>
      </c>
      <c r="F15217" t="n">
        <v>1</v>
      </c>
      <c r="G15217" t="n">
        <v>3</v>
      </c>
      <c r="H15217" s="5">
        <f>HYPERLINK("https://api.qogita.com/variants/link/5037028273098/", "View Product")</f>
        <v/>
      </c>
    </row>
    <row r="15218">
      <c r="A15218" t="inlineStr">
        <is>
          <t>5037028274545</t>
        </is>
      </c>
      <c r="B15218" t="inlineStr">
        <is>
          <t>Bomb Cosmetics Love You To Pizza 5 Piece Handmade Wrapped Bath Gift Set</t>
        </is>
      </c>
      <c r="C15218" t="inlineStr">
        <is>
          <t>Shower &amp; Bath Sets</t>
        </is>
      </c>
      <c r="D15218" t="inlineStr">
        <is>
          <t>Bomb Cosmetics</t>
        </is>
      </c>
      <c r="E15218" t="n">
        <v>15.64</v>
      </c>
      <c r="F15218" t="n">
        <v>1</v>
      </c>
      <c r="G15218" t="n">
        <v>19</v>
      </c>
      <c r="H15218" s="5">
        <f>HYPERLINK("https://api.qogita.com/variants/link/5037028274545/", "View Product")</f>
        <v/>
      </c>
    </row>
    <row r="15219">
      <c r="A15219" t="inlineStr">
        <is>
          <t>5037028275092</t>
        </is>
      </c>
      <c r="B15219" t="inlineStr">
        <is>
          <t>Bomb Cosmetics It's Your Birthday Bath Gift Set</t>
        </is>
      </c>
      <c r="C15219" t="inlineStr">
        <is>
          <t>Body Care Sets</t>
        </is>
      </c>
      <c r="D15219" t="inlineStr">
        <is>
          <t>Bomb Cosmetics</t>
        </is>
      </c>
      <c r="E15219" t="n">
        <v>16.44</v>
      </c>
      <c r="F15219" t="n">
        <v>1</v>
      </c>
      <c r="G15219" t="n">
        <v>17</v>
      </c>
      <c r="H15219" s="5">
        <f>HYPERLINK("https://api.qogita.com/variants/link/5037028275092/", "View Product")</f>
        <v/>
      </c>
    </row>
    <row r="15220">
      <c r="A15220" t="inlineStr">
        <is>
          <t>5037028276631</t>
        </is>
      </c>
      <c r="B15220" t="inlineStr">
        <is>
          <t>Xoxo Bath Gift Set 5 Pieces</t>
        </is>
      </c>
      <c r="C15220" t="inlineStr">
        <is>
          <t>Body Care Sets</t>
        </is>
      </c>
      <c r="D15220" t="inlineStr">
        <is>
          <t>Xoxo</t>
        </is>
      </c>
      <c r="E15220" t="n">
        <v>16.46</v>
      </c>
      <c r="F15220" t="n">
        <v>1</v>
      </c>
      <c r="G15220" t="n">
        <v>14</v>
      </c>
      <c r="H15220" s="5">
        <f>HYPERLINK("https://api.qogita.com/variants/link/5037028276631/", "View Product")</f>
        <v/>
      </c>
    </row>
    <row r="15221">
      <c r="A15221" t="inlineStr">
        <is>
          <t>5037028276655</t>
        </is>
      </c>
      <c r="B15221" t="inlineStr">
        <is>
          <t>Bomb Cosmetics Christmas You're A Cracker Handmade Bath &amp; Body Set</t>
        </is>
      </c>
      <c r="C15221" t="inlineStr">
        <is>
          <t>Body Care Sets</t>
        </is>
      </c>
      <c r="D15221" t="inlineStr">
        <is>
          <t>Bomb Cosmetics</t>
        </is>
      </c>
      <c r="E15221" t="n">
        <v>16.46</v>
      </c>
      <c r="F15221" t="n">
        <v>1</v>
      </c>
      <c r="G15221" t="n">
        <v>14</v>
      </c>
      <c r="H15221" s="5">
        <f>HYPERLINK("https://api.qogita.com/variants/link/5037028276655/", "View Product")</f>
        <v/>
      </c>
    </row>
    <row r="15222">
      <c r="A15222" t="inlineStr">
        <is>
          <t>5037028278505</t>
        </is>
      </c>
      <c r="B15222" t="inlineStr">
        <is>
          <t>Bomb Cosmetics Jingle Bell Rock Mini Cracker Gift with Pure Essential Oils</t>
        </is>
      </c>
      <c r="C15222" t="inlineStr">
        <is>
          <t>Incense</t>
        </is>
      </c>
      <c r="D15222" t="inlineStr">
        <is>
          <t>Bomb Cosmetics</t>
        </is>
      </c>
      <c r="E15222" t="n">
        <v>16.46</v>
      </c>
      <c r="F15222" t="n">
        <v>1</v>
      </c>
      <c r="G15222" t="n">
        <v>9</v>
      </c>
      <c r="H15222" s="5">
        <f>HYPERLINK("https://api.qogita.com/variants/link/5037028278505/", "View Product")</f>
        <v/>
      </c>
    </row>
    <row r="15223">
      <c r="A15223" t="inlineStr">
        <is>
          <t>5038483178515</t>
        </is>
      </c>
      <c r="B15223" t="inlineStr">
        <is>
          <t>Scholl Fresh Step Foot Spray Antiperspirant 150 Ml</t>
        </is>
      </c>
      <c r="C15223" t="inlineStr">
        <is>
          <t>Foot Spray</t>
        </is>
      </c>
      <c r="D15223" t="inlineStr">
        <is>
          <t>Scholl</t>
        </is>
      </c>
      <c r="E15223" t="n">
        <v>6.13</v>
      </c>
      <c r="F15223" t="n">
        <v>1</v>
      </c>
      <c r="G15223" t="n">
        <v>34</v>
      </c>
      <c r="H15223" s="5">
        <f>HYPERLINK("https://api.qogita.com/variants/link/5038483178515/", "View Product")</f>
        <v/>
      </c>
    </row>
    <row r="15224">
      <c r="A15224" t="inlineStr">
        <is>
          <t>5038483178539</t>
        </is>
      </c>
      <c r="B15224" t="inlineStr">
        <is>
          <t>Scholl Foot Deodorant Spray Fresh Step 150 Ml</t>
        </is>
      </c>
      <c r="C15224" t="inlineStr">
        <is>
          <t>Foot Spray</t>
        </is>
      </c>
      <c r="D15224" t="inlineStr">
        <is>
          <t>Scholl</t>
        </is>
      </c>
      <c r="E15224" t="n">
        <v>4.97</v>
      </c>
      <c r="F15224" t="n">
        <v>1</v>
      </c>
      <c r="G15224" t="n">
        <v>21</v>
      </c>
      <c r="H15224" s="5">
        <f>HYPERLINK("https://api.qogita.com/variants/link/5038483178539/", "View Product")</f>
        <v/>
      </c>
    </row>
    <row r="15225">
      <c r="A15225" t="inlineStr">
        <is>
          <t>5038483384046</t>
        </is>
      </c>
      <c r="B15225" t="inlineStr">
        <is>
          <t>Scholl Toenail Scissors Nail Clippers</t>
        </is>
      </c>
      <c r="C15225" t="inlineStr">
        <is>
          <t>Nail Clippers &amp; Tools</t>
        </is>
      </c>
      <c r="D15225" t="inlineStr">
        <is>
          <t>Scholl</t>
        </is>
      </c>
      <c r="E15225" t="n">
        <v>13.51</v>
      </c>
      <c r="F15225" t="n">
        <v>1</v>
      </c>
      <c r="G15225" t="n">
        <v>41</v>
      </c>
      <c r="H15225" s="5">
        <f>HYPERLINK("https://api.qogita.com/variants/link/5038483384046/", "View Product")</f>
        <v/>
      </c>
    </row>
    <row r="15226">
      <c r="A15226" t="inlineStr">
        <is>
          <t>5038580000405</t>
        </is>
      </c>
      <c r="B15226" t="inlineStr">
        <is>
          <t>Yankee Candle Large Jar Scented Candle Mango Peach Salsa 623g</t>
        </is>
      </c>
      <c r="C15226" t="inlineStr">
        <is>
          <t>Candles</t>
        </is>
      </c>
      <c r="D15226" t="inlineStr">
        <is>
          <t>Yankee Candle</t>
        </is>
      </c>
      <c r="E15226" t="n">
        <v>16.74</v>
      </c>
      <c r="F15226" t="n">
        <v>1</v>
      </c>
      <c r="G15226" t="n">
        <v>7</v>
      </c>
      <c r="H15226" s="5">
        <f>HYPERLINK("https://api.qogita.com/variants/link/5038580000405/", "View Product")</f>
        <v/>
      </c>
    </row>
    <row r="15227">
      <c r="A15227" t="inlineStr">
        <is>
          <t>5038580000450</t>
        </is>
      </c>
      <c r="B15227" t="inlineStr">
        <is>
          <t>Yankee Candle Scented Candle Midnight Jasmine Large Jar Long Burning</t>
        </is>
      </c>
      <c r="C15227" t="inlineStr">
        <is>
          <t>Candles</t>
        </is>
      </c>
      <c r="D15227" t="inlineStr">
        <is>
          <t>Yankee Candle</t>
        </is>
      </c>
      <c r="E15227" t="n">
        <v>18.84</v>
      </c>
      <c r="F15227" t="n">
        <v>1</v>
      </c>
      <c r="G15227" t="n">
        <v>5</v>
      </c>
      <c r="H15227" s="5">
        <f>HYPERLINK("https://api.qogita.com/variants/link/5038580000450/", "View Product")</f>
        <v/>
      </c>
    </row>
    <row r="15228">
      <c r="A15228" t="inlineStr">
        <is>
          <t>5038580000467</t>
        </is>
      </c>
      <c r="B15228" t="inlineStr">
        <is>
          <t>Yankee Candle Midnight Jasmine Scented Candle Medium Jar - Burn Time: Up to 75 Hours</t>
        </is>
      </c>
      <c r="C15228" t="inlineStr">
        <is>
          <t>Candles</t>
        </is>
      </c>
      <c r="D15228" t="inlineStr">
        <is>
          <t>Yankee Candle</t>
        </is>
      </c>
      <c r="E15228" t="n">
        <v>15.48</v>
      </c>
      <c r="F15228" t="n">
        <v>1</v>
      </c>
      <c r="G15228" t="n">
        <v>11</v>
      </c>
      <c r="H15228" s="5">
        <f>HYPERLINK("https://api.qogita.com/variants/link/5038580000467/", "View Product")</f>
        <v/>
      </c>
    </row>
    <row r="15229">
      <c r="A15229" t="inlineStr">
        <is>
          <t>5038580001211</t>
        </is>
      </c>
      <c r="B15229" t="inlineStr">
        <is>
          <t>Yankee Candle Baby Powder Candle Aromatic Candle Classic Big 623 G</t>
        </is>
      </c>
      <c r="C15229" t="inlineStr">
        <is>
          <t>Candles</t>
        </is>
      </c>
      <c r="D15229" t="inlineStr">
        <is>
          <t>Yankee Candle</t>
        </is>
      </c>
      <c r="E15229" t="n">
        <v>16.37</v>
      </c>
      <c r="F15229" t="n">
        <v>1</v>
      </c>
      <c r="G15229" t="n">
        <v>157</v>
      </c>
      <c r="H15229" s="5">
        <f>HYPERLINK("https://api.qogita.com/variants/link/5038580001211/", "View Product")</f>
        <v/>
      </c>
    </row>
    <row r="15230">
      <c r="A15230" t="inlineStr">
        <is>
          <t>5038580003741</t>
        </is>
      </c>
      <c r="B15230" t="inlineStr">
        <is>
          <t>Yankee Candle Large Jar Scented Candle Pink Sands - Burn Time Up To 150 Hours</t>
        </is>
      </c>
      <c r="C15230" t="inlineStr">
        <is>
          <t>Candles</t>
        </is>
      </c>
      <c r="D15230" t="inlineStr">
        <is>
          <t>Yankee Candle</t>
        </is>
      </c>
      <c r="E15230" t="n">
        <v>19.08</v>
      </c>
      <c r="F15230" t="n">
        <v>1</v>
      </c>
      <c r="G15230" t="n">
        <v>2</v>
      </c>
      <c r="H15230" s="5">
        <f>HYPERLINK("https://api.qogita.com/variants/link/5038580003741/", "View Product")</f>
        <v/>
      </c>
    </row>
    <row r="15231">
      <c r="A15231" t="inlineStr">
        <is>
          <t>5038580005608</t>
        </is>
      </c>
      <c r="B15231" t="inlineStr">
        <is>
          <t>Yankee Candle Car Jar Ultimate Air Freshener Midsummer's Night</t>
        </is>
      </c>
      <c r="C15231" t="inlineStr">
        <is>
          <t>Incense</t>
        </is>
      </c>
      <c r="D15231" t="inlineStr">
        <is>
          <t>Yankee Candle</t>
        </is>
      </c>
      <c r="E15231" t="n">
        <v>4.56</v>
      </c>
      <c r="F15231" t="n">
        <v>1</v>
      </c>
      <c r="G15231" t="n">
        <v>29</v>
      </c>
      <c r="H15231" s="5">
        <f>HYPERLINK("https://api.qogita.com/variants/link/5038580005608/", "View Product")</f>
        <v/>
      </c>
    </row>
    <row r="15232">
      <c r="A15232" t="inlineStr">
        <is>
          <t>5038580059755</t>
        </is>
      </c>
      <c r="B15232" t="inlineStr">
        <is>
          <t>Yankee Candle Car Jar Ultimate Air Freshener Vanilla Cupcake</t>
        </is>
      </c>
      <c r="C15232" t="inlineStr">
        <is>
          <t>Incense</t>
        </is>
      </c>
      <c r="D15232" t="inlineStr">
        <is>
          <t>Yankee Candle</t>
        </is>
      </c>
      <c r="E15232" t="n">
        <v>4.56</v>
      </c>
      <c r="F15232" t="n">
        <v>1</v>
      </c>
      <c r="G15232" t="n">
        <v>25</v>
      </c>
      <c r="H15232" s="5">
        <f>HYPERLINK("https://api.qogita.com/variants/link/5038580059755/", "View Product")</f>
        <v/>
      </c>
    </row>
    <row r="15233">
      <c r="A15233" t="inlineStr">
        <is>
          <t>5038580062069</t>
        </is>
      </c>
      <c r="B15233" t="inlineStr">
        <is>
          <t>Yankee Candle Mango Peach Salsa Candle Scented Candle Classic Small Candle 104 Grams</t>
        </is>
      </c>
      <c r="C15233" t="inlineStr">
        <is>
          <t>Candles</t>
        </is>
      </c>
      <c r="D15233" t="inlineStr">
        <is>
          <t>Yankee Candle</t>
        </is>
      </c>
      <c r="E15233" t="n">
        <v>7.29</v>
      </c>
      <c r="F15233" t="n">
        <v>1</v>
      </c>
      <c r="G15233" t="n">
        <v>9</v>
      </c>
      <c r="H15233" s="5">
        <f>HYPERLINK("https://api.qogita.com/variants/link/5038580062069/", "View Product")</f>
        <v/>
      </c>
    </row>
    <row r="15234">
      <c r="A15234" t="inlineStr">
        <is>
          <t>5038581028903</t>
        </is>
      </c>
      <c r="B15234" t="inlineStr">
        <is>
          <t>Yankee Candle Home Inspiration Large Vanilla Frosting Scented Candle 538 G</t>
        </is>
      </c>
      <c r="C15234" t="inlineStr">
        <is>
          <t>Candles</t>
        </is>
      </c>
      <c r="D15234" t="inlineStr">
        <is>
          <t>Yankee Candle</t>
        </is>
      </c>
      <c r="E15234" t="n">
        <v>15.43</v>
      </c>
      <c r="F15234" t="n">
        <v>1</v>
      </c>
      <c r="G15234" t="n">
        <v>202</v>
      </c>
      <c r="H15234" s="5">
        <f>HYPERLINK("https://api.qogita.com/variants/link/5038581028903/", "View Product")</f>
        <v/>
      </c>
    </row>
    <row r="15235">
      <c r="A15235" t="inlineStr">
        <is>
          <t>5038581054377</t>
        </is>
      </c>
      <c r="B15235" t="inlineStr">
        <is>
          <t>Woodwick Scented Candle Trilogy Fireside Redwood Sandalwood Clove And Warm Woods 609 G And 6095 G</t>
        </is>
      </c>
      <c r="C15235" t="inlineStr">
        <is>
          <t>Candles</t>
        </is>
      </c>
      <c r="D15235" t="inlineStr">
        <is>
          <t>Woodwick</t>
        </is>
      </c>
      <c r="E15235" t="n">
        <v>20.55</v>
      </c>
      <c r="F15235" t="n">
        <v>1</v>
      </c>
      <c r="G15235" t="n">
        <v>438</v>
      </c>
      <c r="H15235" s="5">
        <f>HYPERLINK("https://api.qogita.com/variants/link/5038581054377/", "View Product")</f>
        <v/>
      </c>
    </row>
    <row r="15236">
      <c r="A15236" t="inlineStr">
        <is>
          <t>5038581054476</t>
        </is>
      </c>
      <c r="B15236" t="inlineStr">
        <is>
          <t>Woodwick Trilogy Sun Ripened Berries Scented Candle Vase 275 G</t>
        </is>
      </c>
      <c r="C15236" t="inlineStr">
        <is>
          <t>Candles</t>
        </is>
      </c>
      <c r="D15236" t="inlineStr">
        <is>
          <t>Woodwick</t>
        </is>
      </c>
      <c r="E15236" t="n">
        <v>15.47</v>
      </c>
      <c r="F15236" t="n">
        <v>1</v>
      </c>
      <c r="G15236" t="n">
        <v>324</v>
      </c>
      <c r="H15236" s="5">
        <f>HYPERLINK("https://api.qogita.com/variants/link/5038581054476/", "View Product")</f>
        <v/>
      </c>
    </row>
    <row r="15237">
      <c r="A15237" t="inlineStr">
        <is>
          <t>5038581054605</t>
        </is>
      </c>
      <c r="B15237" t="inlineStr">
        <is>
          <t>Woodwick Black Cherry Scented Candle Vase 6095 G</t>
        </is>
      </c>
      <c r="C15237" t="inlineStr">
        <is>
          <t>Candles</t>
        </is>
      </c>
      <c r="D15237" t="inlineStr">
        <is>
          <t>Woodwick</t>
        </is>
      </c>
      <c r="E15237" t="n">
        <v>20.58</v>
      </c>
      <c r="F15237" t="n">
        <v>1</v>
      </c>
      <c r="G15237" t="n">
        <v>655</v>
      </c>
      <c r="H15237" s="5">
        <f>HYPERLINK("https://api.qogita.com/variants/link/5038581054605/", "View Product")</f>
        <v/>
      </c>
    </row>
    <row r="15238">
      <c r="A15238" t="inlineStr">
        <is>
          <t>5038581054674</t>
        </is>
      </c>
      <c r="B15238" t="inlineStr">
        <is>
          <t>Woodwick Frasier Fir Scented Candle Vase 6095 G</t>
        </is>
      </c>
      <c r="C15238" t="inlineStr">
        <is>
          <t>Candles</t>
        </is>
      </c>
      <c r="D15238" t="inlineStr">
        <is>
          <t>Woodwick</t>
        </is>
      </c>
      <c r="E15238" t="n">
        <v>20.54</v>
      </c>
      <c r="F15238" t="n">
        <v>1</v>
      </c>
      <c r="G15238" t="n">
        <v>248</v>
      </c>
      <c r="H15238" s="5">
        <f>HYPERLINK("https://api.qogita.com/variants/link/5038581054674/", "View Product")</f>
        <v/>
      </c>
    </row>
    <row r="15239">
      <c r="A15239" t="inlineStr">
        <is>
          <t>5038581055305</t>
        </is>
      </c>
      <c r="B15239" t="inlineStr">
        <is>
          <t>Woodwick Vanilla Sea Salt Vase Scented Candle</t>
        </is>
      </c>
      <c r="C15239" t="inlineStr">
        <is>
          <t>Candles</t>
        </is>
      </c>
      <c r="D15239" t="inlineStr">
        <is>
          <t>Woodwick</t>
        </is>
      </c>
      <c r="E15239" t="n">
        <v>20.59</v>
      </c>
      <c r="F15239" t="n">
        <v>1</v>
      </c>
      <c r="G15239" t="n">
        <v>173</v>
      </c>
      <c r="H15239" s="5">
        <f>HYPERLINK("https://api.qogita.com/variants/link/5038581055305/", "View Product")</f>
        <v/>
      </c>
    </row>
    <row r="15240">
      <c r="A15240" t="inlineStr">
        <is>
          <t>5038581055312</t>
        </is>
      </c>
      <c r="B15240" t="inlineStr">
        <is>
          <t>Woodwick Scented Candle Ship Vanilla &amp; Sea Salt 4536 G</t>
        </is>
      </c>
      <c r="C15240" t="inlineStr">
        <is>
          <t>Candles</t>
        </is>
      </c>
      <c r="D15240" t="inlineStr">
        <is>
          <t>Woodwick</t>
        </is>
      </c>
      <c r="E15240" t="n">
        <v>20.48</v>
      </c>
      <c r="F15240" t="n">
        <v>1</v>
      </c>
      <c r="G15240" t="n">
        <v>1332</v>
      </c>
      <c r="H15240" s="5">
        <f>HYPERLINK("https://api.qogita.com/variants/link/5038581055312/", "View Product")</f>
        <v/>
      </c>
    </row>
    <row r="15241">
      <c r="A15241" t="inlineStr">
        <is>
          <t>5038581056449</t>
        </is>
      </c>
      <c r="B15241" t="inlineStr">
        <is>
          <t>Woodwick Black Cherry Scented Candle</t>
        </is>
      </c>
      <c r="C15241" t="inlineStr">
        <is>
          <t>Candles</t>
        </is>
      </c>
      <c r="D15241" t="inlineStr">
        <is>
          <t>Woodwick</t>
        </is>
      </c>
      <c r="E15241" t="n">
        <v>7.5</v>
      </c>
      <c r="F15241" t="n">
        <v>1</v>
      </c>
      <c r="G15241" t="n">
        <v>95</v>
      </c>
      <c r="H15241" s="5">
        <f>HYPERLINK("https://api.qogita.com/variants/link/5038581056449/", "View Product")</f>
        <v/>
      </c>
    </row>
    <row r="15242">
      <c r="A15242" t="inlineStr">
        <is>
          <t>5038581056531</t>
        </is>
      </c>
      <c r="B15242" t="inlineStr">
        <is>
          <t>Woodwick Linen Vase Scented Candle 85 Grams</t>
        </is>
      </c>
      <c r="C15242" t="inlineStr">
        <is>
          <t>Candles</t>
        </is>
      </c>
      <c r="D15242" t="inlineStr">
        <is>
          <t>Woodwick</t>
        </is>
      </c>
      <c r="E15242" t="n">
        <v>7.46</v>
      </c>
      <c r="F15242" t="n">
        <v>1</v>
      </c>
      <c r="G15242" t="n">
        <v>147</v>
      </c>
      <c r="H15242" s="5">
        <f>HYPERLINK("https://api.qogita.com/variants/link/5038581056531/", "View Product")</f>
        <v/>
      </c>
    </row>
    <row r="15243">
      <c r="A15243" t="inlineStr">
        <is>
          <t>5038581056876</t>
        </is>
      </c>
      <c r="B15243" t="inlineStr">
        <is>
          <t>Woodwick Fireside Scented Candle Boat 453 G</t>
        </is>
      </c>
      <c r="C15243" t="inlineStr">
        <is>
          <t>Candles</t>
        </is>
      </c>
      <c r="D15243" t="inlineStr">
        <is>
          <t>Woodwick</t>
        </is>
      </c>
      <c r="E15243" t="n">
        <v>20.52</v>
      </c>
      <c r="F15243" t="n">
        <v>1</v>
      </c>
      <c r="G15243" t="n">
        <v>751</v>
      </c>
      <c r="H15243" s="5">
        <f>HYPERLINK("https://api.qogita.com/variants/link/5038581056876/", "View Product")</f>
        <v/>
      </c>
    </row>
    <row r="15244">
      <c r="A15244" t="inlineStr">
        <is>
          <t>5038581056920</t>
        </is>
      </c>
      <c r="B15244" t="inlineStr">
        <is>
          <t>Woodwick Scented Candle Ship Linen 4536 G</t>
        </is>
      </c>
      <c r="C15244" t="inlineStr">
        <is>
          <t>Candles</t>
        </is>
      </c>
      <c r="D15244" t="inlineStr">
        <is>
          <t>Woodwick</t>
        </is>
      </c>
      <c r="E15244" t="n">
        <v>20.56</v>
      </c>
      <c r="F15244" t="n">
        <v>1</v>
      </c>
      <c r="G15244" t="n">
        <v>635</v>
      </c>
      <c r="H15244" s="5">
        <f>HYPERLINK("https://api.qogita.com/variants/link/5038581056920/", "View Product")</f>
        <v/>
      </c>
    </row>
    <row r="15245">
      <c r="A15245" t="inlineStr">
        <is>
          <t>5038581056944</t>
        </is>
      </c>
      <c r="B15245" t="inlineStr">
        <is>
          <t>Woodwick Sand &amp; Driftwood Scented Candle 453 Grams</t>
        </is>
      </c>
      <c r="C15245" t="inlineStr">
        <is>
          <t>Candles</t>
        </is>
      </c>
      <c r="D15245" t="inlineStr">
        <is>
          <t>Woodwick</t>
        </is>
      </c>
      <c r="E15245" t="n">
        <v>20.55</v>
      </c>
      <c r="F15245" t="n">
        <v>1</v>
      </c>
      <c r="G15245" t="n">
        <v>102</v>
      </c>
      <c r="H15245" s="5">
        <f>HYPERLINK("https://api.qogita.com/variants/link/5038581056944/", "View Product")</f>
        <v/>
      </c>
    </row>
    <row r="15246">
      <c r="A15246" t="inlineStr">
        <is>
          <t>5038581057026</t>
        </is>
      </c>
      <c r="B15246" t="inlineStr">
        <is>
          <t>Woodwick Seaside Mimosa Scented Candle Ship 4536 G</t>
        </is>
      </c>
      <c r="C15246" t="inlineStr">
        <is>
          <t>Candles</t>
        </is>
      </c>
      <c r="D15246" t="inlineStr">
        <is>
          <t>Woodwick</t>
        </is>
      </c>
      <c r="E15246" t="n">
        <v>20.5</v>
      </c>
      <c r="F15246" t="n">
        <v>1</v>
      </c>
      <c r="G15246" t="n">
        <v>72</v>
      </c>
      <c r="H15246" s="5">
        <f>HYPERLINK("https://api.qogita.com/variants/link/5038581057026/", "View Product")</f>
        <v/>
      </c>
    </row>
    <row r="15247">
      <c r="A15247" t="inlineStr">
        <is>
          <t>5038581057811</t>
        </is>
      </c>
      <c r="B15247" t="inlineStr">
        <is>
          <t>Woodwick Cinnamon Chai Vase Scented Candle 275 G</t>
        </is>
      </c>
      <c r="C15247" t="inlineStr">
        <is>
          <t>Candles</t>
        </is>
      </c>
      <c r="D15247" t="inlineStr">
        <is>
          <t>Woodwick</t>
        </is>
      </c>
      <c r="E15247" t="n">
        <v>14.73</v>
      </c>
      <c r="F15247" t="n">
        <v>1</v>
      </c>
      <c r="G15247" t="n">
        <v>421</v>
      </c>
      <c r="H15247" s="5">
        <f>HYPERLINK("https://api.qogita.com/variants/link/5038581057811/", "View Product")</f>
        <v/>
      </c>
    </row>
    <row r="15248">
      <c r="A15248" t="inlineStr">
        <is>
          <t>5038581057842</t>
        </is>
      </c>
      <c r="B15248" t="inlineStr">
        <is>
          <t>Woodwick Scented Candle Vase Island Coconut 275 G</t>
        </is>
      </c>
      <c r="C15248" t="inlineStr">
        <is>
          <t>Candles</t>
        </is>
      </c>
      <c r="D15248" t="inlineStr">
        <is>
          <t>Woodwick</t>
        </is>
      </c>
      <c r="E15248" t="n">
        <v>14.73</v>
      </c>
      <c r="F15248" t="n">
        <v>1</v>
      </c>
      <c r="G15248" t="n">
        <v>35</v>
      </c>
      <c r="H15248" s="5">
        <f>HYPERLINK("https://api.qogita.com/variants/link/5038581057842/", "View Product")</f>
        <v/>
      </c>
    </row>
    <row r="15249">
      <c r="A15249" t="inlineStr">
        <is>
          <t>5038581057903</t>
        </is>
      </c>
      <c r="B15249" t="inlineStr">
        <is>
          <t>Woodwick Frasier Fir Scented Candle Vase 275 G</t>
        </is>
      </c>
      <c r="C15249" t="inlineStr">
        <is>
          <t>Candles</t>
        </is>
      </c>
      <c r="D15249" t="inlineStr">
        <is>
          <t>Woodwick</t>
        </is>
      </c>
      <c r="E15249" t="n">
        <v>14.5</v>
      </c>
      <c r="F15249" t="n">
        <v>1</v>
      </c>
      <c r="G15249" t="n">
        <v>2</v>
      </c>
      <c r="H15249" s="5">
        <f>HYPERLINK("https://api.qogita.com/variants/link/5038581057903/", "View Product")</f>
        <v/>
      </c>
    </row>
    <row r="15250">
      <c r="A15250" t="inlineStr">
        <is>
          <t>5038581057996</t>
        </is>
      </c>
      <c r="B15250" t="inlineStr">
        <is>
          <t>Woodwick Scented Candle Vase Lavender Spa 275 G</t>
        </is>
      </c>
      <c r="C15250" t="inlineStr">
        <is>
          <t>Candles</t>
        </is>
      </c>
      <c r="D15250" t="inlineStr">
        <is>
          <t>Woodwick</t>
        </is>
      </c>
      <c r="E15250" t="n">
        <v>14.73</v>
      </c>
      <c r="F15250" t="n">
        <v>1</v>
      </c>
      <c r="G15250" t="n">
        <v>506</v>
      </c>
      <c r="H15250" s="5">
        <f>HYPERLINK("https://api.qogita.com/variants/link/5038581057996/", "View Product")</f>
        <v/>
      </c>
    </row>
    <row r="15251">
      <c r="A15251" t="inlineStr">
        <is>
          <t>5038581058092</t>
        </is>
      </c>
      <c r="B15251" t="inlineStr">
        <is>
          <t>Woodwick Scented Candle Vase White Tea &amp; Jasmine 275 G</t>
        </is>
      </c>
      <c r="C15251" t="inlineStr">
        <is>
          <t>Candles</t>
        </is>
      </c>
      <c r="D15251" t="inlineStr">
        <is>
          <t>Woodwick</t>
        </is>
      </c>
      <c r="E15251" t="n">
        <v>14.73</v>
      </c>
      <c r="F15251" t="n">
        <v>1</v>
      </c>
      <c r="G15251" t="n">
        <v>164</v>
      </c>
      <c r="H15251" s="5">
        <f>HYPERLINK("https://api.qogita.com/variants/link/5038581058092/", "View Product")</f>
        <v/>
      </c>
    </row>
    <row r="15252">
      <c r="A15252" t="inlineStr">
        <is>
          <t>5038581058146</t>
        </is>
      </c>
      <c r="B15252" t="inlineStr">
        <is>
          <t>Woodwick Medium Hourglass Scented Candle Spiced Blackberry with Crackling</t>
        </is>
      </c>
      <c r="C15252" t="inlineStr">
        <is>
          <t>Candles</t>
        </is>
      </c>
      <c r="D15252" t="inlineStr">
        <is>
          <t>Woodwick</t>
        </is>
      </c>
      <c r="E15252" t="n">
        <v>14.73</v>
      </c>
      <c r="F15252" t="n">
        <v>1</v>
      </c>
      <c r="G15252" t="n">
        <v>105</v>
      </c>
      <c r="H15252" s="5">
        <f>HYPERLINK("https://api.qogita.com/variants/link/5038581058146/", "View Product")</f>
        <v/>
      </c>
    </row>
    <row r="15253">
      <c r="A15253" t="inlineStr">
        <is>
          <t>5038581065908</t>
        </is>
      </c>
      <c r="B15253" t="inlineStr">
        <is>
          <t>Yankee Candle Home Inspiration Candle Pink Island Sunset Scented Candle 104g</t>
        </is>
      </c>
      <c r="C15253" t="inlineStr">
        <is>
          <t>Candles</t>
        </is>
      </c>
      <c r="D15253" t="inlineStr">
        <is>
          <t>Yankee Candle</t>
        </is>
      </c>
      <c r="E15253" t="n">
        <v>7.13</v>
      </c>
      <c r="F15253" t="n">
        <v>1</v>
      </c>
      <c r="G15253" t="n">
        <v>71</v>
      </c>
      <c r="H15253" s="5">
        <f>HYPERLINK("https://api.qogita.com/variants/link/5038581065908/", "View Product")</f>
        <v/>
      </c>
    </row>
    <row r="15254">
      <c r="A15254" t="inlineStr">
        <is>
          <t>5038581077840</t>
        </is>
      </c>
      <c r="B15254" t="inlineStr">
        <is>
          <t>Woodwick White Honey Vase Scented Candle</t>
        </is>
      </c>
      <c r="C15254" t="inlineStr">
        <is>
          <t>Candles</t>
        </is>
      </c>
      <c r="D15254" t="inlineStr">
        <is>
          <t>Woodwick</t>
        </is>
      </c>
      <c r="E15254" t="n">
        <v>7.53</v>
      </c>
      <c r="F15254" t="n">
        <v>1</v>
      </c>
      <c r="G15254" t="n">
        <v>32</v>
      </c>
      <c r="H15254" s="5">
        <f>HYPERLINK("https://api.qogita.com/variants/link/5038581077840/", "View Product")</f>
        <v/>
      </c>
    </row>
    <row r="15255">
      <c r="A15255" t="inlineStr">
        <is>
          <t>5038581077864</t>
        </is>
      </c>
      <c r="B15255" t="inlineStr">
        <is>
          <t>Woodwick Scented Candle Ship White Honey 4536 G</t>
        </is>
      </c>
      <c r="C15255" t="inlineStr">
        <is>
          <t>Candles</t>
        </is>
      </c>
      <c r="D15255" t="inlineStr">
        <is>
          <t>Woodwick</t>
        </is>
      </c>
      <c r="E15255" t="n">
        <v>19.02</v>
      </c>
      <c r="F15255" t="n">
        <v>1</v>
      </c>
      <c r="G15255" t="n">
        <v>4</v>
      </c>
      <c r="H15255" s="5">
        <f>HYPERLINK("https://api.qogita.com/variants/link/5038581077864/", "View Product")</f>
        <v/>
      </c>
    </row>
    <row r="15256">
      <c r="A15256" t="inlineStr">
        <is>
          <t>5038581077970</t>
        </is>
      </c>
      <c r="B15256" t="inlineStr">
        <is>
          <t>Woodwick Rosewood Scented Candle Vase 85 G</t>
        </is>
      </c>
      <c r="C15256" t="inlineStr">
        <is>
          <t>Candles</t>
        </is>
      </c>
      <c r="D15256" t="inlineStr">
        <is>
          <t>Woodwick</t>
        </is>
      </c>
      <c r="E15256" t="n">
        <v>7</v>
      </c>
      <c r="F15256" t="n">
        <v>1</v>
      </c>
      <c r="G15256" t="n">
        <v>22</v>
      </c>
      <c r="H15256" s="5">
        <f>HYPERLINK("https://api.qogita.com/variants/link/5038581077970/", "View Product")</f>
        <v/>
      </c>
    </row>
    <row r="15257">
      <c r="A15257" t="inlineStr">
        <is>
          <t>5038581087252</t>
        </is>
      </c>
      <c r="B15257" t="inlineStr">
        <is>
          <t>Woodwick Solar Ylang Vase Scented Candle 275 G</t>
        </is>
      </c>
      <c r="C15257" t="inlineStr">
        <is>
          <t>Candles</t>
        </is>
      </c>
      <c r="D15257" t="inlineStr">
        <is>
          <t>Woodwick</t>
        </is>
      </c>
      <c r="E15257" t="n">
        <v>14.73</v>
      </c>
      <c r="F15257" t="n">
        <v>1</v>
      </c>
      <c r="G15257" t="n">
        <v>29</v>
      </c>
      <c r="H15257" s="5">
        <f>HYPERLINK("https://api.qogita.com/variants/link/5038581087252/", "View Product")</f>
        <v/>
      </c>
    </row>
    <row r="15258">
      <c r="A15258" t="inlineStr">
        <is>
          <t>5038581087962</t>
        </is>
      </c>
      <c r="B15258" t="inlineStr">
        <is>
          <t>Yankee Candle Home Inspiration Small Scented Candle Pomegranate Coconut 104 G</t>
        </is>
      </c>
      <c r="C15258" t="inlineStr">
        <is>
          <t>Candles</t>
        </is>
      </c>
      <c r="D15258" t="inlineStr">
        <is>
          <t>Yankee Candle</t>
        </is>
      </c>
      <c r="E15258" t="n">
        <v>7.21</v>
      </c>
      <c r="F15258" t="n">
        <v>1</v>
      </c>
      <c r="G15258" t="n">
        <v>87</v>
      </c>
      <c r="H15258" s="5">
        <f>HYPERLINK("https://api.qogita.com/variants/link/5038581087962/", "View Product")</f>
        <v/>
      </c>
    </row>
    <row r="15259">
      <c r="A15259" t="inlineStr">
        <is>
          <t>5038581097169</t>
        </is>
      </c>
      <c r="B15259" t="inlineStr">
        <is>
          <t>Yankee Candle Pebble Melt Pure Cashmere Gray Aroma Lamp</t>
        </is>
      </c>
      <c r="C15259" t="inlineStr">
        <is>
          <t>Candles</t>
        </is>
      </c>
      <c r="D15259" t="inlineStr">
        <is>
          <t>Yankee Candle</t>
        </is>
      </c>
      <c r="E15259" t="n">
        <v>6.74</v>
      </c>
      <c r="F15259" t="n">
        <v>1</v>
      </c>
      <c r="G15259" t="n">
        <v>1072</v>
      </c>
      <c r="H15259" s="5">
        <f>HYPERLINK("https://api.qogita.com/variants/link/5038581097169/", "View Product")</f>
        <v/>
      </c>
    </row>
    <row r="15260">
      <c r="A15260" t="inlineStr">
        <is>
          <t>5038581103105</t>
        </is>
      </c>
      <c r="B15260" t="inlineStr">
        <is>
          <t>Woodwick Lavender &amp; Cedar Scented Candle 4536 G</t>
        </is>
      </c>
      <c r="C15260" t="inlineStr">
        <is>
          <t>Candles</t>
        </is>
      </c>
      <c r="D15260" t="inlineStr">
        <is>
          <t>Woodwick</t>
        </is>
      </c>
      <c r="E15260" t="n">
        <v>20.55</v>
      </c>
      <c r="F15260" t="n">
        <v>1</v>
      </c>
      <c r="G15260" t="n">
        <v>534</v>
      </c>
      <c r="H15260" s="5">
        <f>HYPERLINK("https://api.qogita.com/variants/link/5038581103105/", "View Product")</f>
        <v/>
      </c>
    </row>
    <row r="15261">
      <c r="A15261" t="inlineStr">
        <is>
          <t>5038581111087</t>
        </is>
      </c>
      <c r="B15261" t="inlineStr">
        <is>
          <t>Yankee Candle The Last Paradise Medium Jar Scented Candle 411g</t>
        </is>
      </c>
      <c r="C15261" t="inlineStr">
        <is>
          <t>Candles</t>
        </is>
      </c>
      <c r="D15261" t="inlineStr">
        <is>
          <t>Yankee Candle</t>
        </is>
      </c>
      <c r="E15261" t="n">
        <v>15.4</v>
      </c>
      <c r="F15261" t="n">
        <v>1</v>
      </c>
      <c r="G15261" t="n">
        <v>9</v>
      </c>
      <c r="H15261" s="5">
        <f>HYPERLINK("https://api.qogita.com/variants/link/5038581111087/", "View Product")</f>
        <v/>
      </c>
    </row>
    <row r="15262">
      <c r="A15262" t="inlineStr">
        <is>
          <t>5038581111148</t>
        </is>
      </c>
      <c r="B15262" t="inlineStr">
        <is>
          <t>Yankee Candle Coconut Rice Cream Candle Scented Candle Classic Medium 411 Grams</t>
        </is>
      </c>
      <c r="C15262" t="inlineStr">
        <is>
          <t>Candles</t>
        </is>
      </c>
      <c r="D15262" t="inlineStr">
        <is>
          <t>Yankee Candle</t>
        </is>
      </c>
      <c r="E15262" t="n">
        <v>13.1</v>
      </c>
      <c r="F15262" t="n">
        <v>1</v>
      </c>
      <c r="G15262" t="n">
        <v>67</v>
      </c>
      <c r="H15262" s="5">
        <f>HYPERLINK("https://api.qogita.com/variants/link/5038581111148/", "View Product")</f>
        <v/>
      </c>
    </row>
    <row r="15263">
      <c r="A15263" t="inlineStr">
        <is>
          <t>5038581112855</t>
        </is>
      </c>
      <c r="B15263" t="inlineStr">
        <is>
          <t>Yankee Candle Cliffside Sunrise Candle Medium Aromatic Candle 411 G</t>
        </is>
      </c>
      <c r="C15263" t="inlineStr">
        <is>
          <t>Candles</t>
        </is>
      </c>
      <c r="D15263" t="inlineStr">
        <is>
          <t>Yankee Candle</t>
        </is>
      </c>
      <c r="E15263" t="n">
        <v>13.4</v>
      </c>
      <c r="F15263" t="n">
        <v>1</v>
      </c>
      <c r="G15263" t="n">
        <v>67</v>
      </c>
      <c r="H15263" s="5">
        <f>HYPERLINK("https://api.qogita.com/variants/link/5038581112855/", "View Product")</f>
        <v/>
      </c>
    </row>
    <row r="15264">
      <c r="A15264" t="inlineStr">
        <is>
          <t>5038581113609</t>
        </is>
      </c>
      <c r="B15264" t="inlineStr">
        <is>
          <t>Woodwick Chilli Pepper Gelato Scented Candle Large 6095 G</t>
        </is>
      </c>
      <c r="C15264" t="inlineStr">
        <is>
          <t>Candles</t>
        </is>
      </c>
      <c r="D15264" t="inlineStr">
        <is>
          <t>Woodwick</t>
        </is>
      </c>
      <c r="E15264" t="n">
        <v>20.26</v>
      </c>
      <c r="F15264" t="n">
        <v>1</v>
      </c>
      <c r="G15264" t="n">
        <v>5</v>
      </c>
      <c r="H15264" s="5">
        <f>HYPERLINK("https://api.qogita.com/variants/link/5038581113609/", "View Product")</f>
        <v/>
      </c>
    </row>
    <row r="15265">
      <c r="A15265" t="inlineStr">
        <is>
          <t>5038581114194</t>
        </is>
      </c>
      <c r="B15265" t="inlineStr">
        <is>
          <t>Chesapeake Bay Confidence Freedom Candle Tumbler</t>
        </is>
      </c>
      <c r="C15265" t="inlineStr">
        <is>
          <t>Candles</t>
        </is>
      </c>
      <c r="D15265" t="inlineStr">
        <is>
          <t>Chesapeake Bay</t>
        </is>
      </c>
      <c r="E15265" t="n">
        <v>7.19</v>
      </c>
      <c r="F15265" t="n">
        <v>1</v>
      </c>
      <c r="G15265" t="n">
        <v>14</v>
      </c>
      <c r="H15265" s="5">
        <f>HYPERLINK("https://api.qogita.com/variants/link/5038581114194/", "View Product")</f>
        <v/>
      </c>
    </row>
    <row r="15266">
      <c r="A15266" t="inlineStr">
        <is>
          <t>5038581114200</t>
        </is>
      </c>
      <c r="B15266" t="inlineStr">
        <is>
          <t>Yankee Candle Joy &amp; Laughter Blueberry and Dahlia Scented Candle 96g</t>
        </is>
      </c>
      <c r="C15266" t="inlineStr">
        <is>
          <t>Candles</t>
        </is>
      </c>
      <c r="D15266" t="inlineStr">
        <is>
          <t>Yankee Candle</t>
        </is>
      </c>
      <c r="E15266" t="n">
        <v>6.85</v>
      </c>
      <c r="F15266" t="n">
        <v>1</v>
      </c>
      <c r="G15266" t="n">
        <v>9</v>
      </c>
      <c r="H15266" s="5">
        <f>HYPERLINK("https://api.qogita.com/variants/link/5038581114200/", "View Product")</f>
        <v/>
      </c>
    </row>
    <row r="15267">
      <c r="A15267" t="inlineStr">
        <is>
          <t>5038581114224</t>
        </is>
      </c>
      <c r="B15267" t="inlineStr">
        <is>
          <t>Chesapeake Bay Balance Harmony Candle With Three Wicks Scented Candle</t>
        </is>
      </c>
      <c r="C15267" t="inlineStr">
        <is>
          <t>Candles</t>
        </is>
      </c>
      <c r="D15267" t="inlineStr">
        <is>
          <t>Chesapeake Bay Candle</t>
        </is>
      </c>
      <c r="E15267" t="n">
        <v>6.85</v>
      </c>
      <c r="F15267" t="n">
        <v>1</v>
      </c>
      <c r="G15267" t="n">
        <v>5</v>
      </c>
      <c r="H15267" s="5">
        <f>HYPERLINK("https://api.qogita.com/variants/link/5038581114224/", "View Product")</f>
        <v/>
      </c>
    </row>
    <row r="15268">
      <c r="A15268" t="inlineStr">
        <is>
          <t>5038581114330</t>
        </is>
      </c>
      <c r="B15268" t="inlineStr">
        <is>
          <t>Awaken Invigorate Candle - Three Wicks</t>
        </is>
      </c>
      <c r="C15268" t="inlineStr">
        <is>
          <t>Candles</t>
        </is>
      </c>
      <c r="D15268" t="inlineStr">
        <is>
          <t>‎- Unknown</t>
        </is>
      </c>
      <c r="E15268" t="n">
        <v>12.15</v>
      </c>
      <c r="F15268" t="n">
        <v>1</v>
      </c>
      <c r="G15268" t="n">
        <v>4</v>
      </c>
      <c r="H15268" s="5">
        <f>HYPERLINK("https://api.qogita.com/variants/link/5038581114330/", "View Product")</f>
        <v/>
      </c>
    </row>
    <row r="15269">
      <c r="A15269" t="inlineStr">
        <is>
          <t>5038581114446</t>
        </is>
      </c>
      <c r="B15269" t="inlineStr">
        <is>
          <t>Chesapeake Bay Scented Candle | Serenity + Calm Large Tumbler Aromatherapy</t>
        </is>
      </c>
      <c r="C15269" t="inlineStr">
        <is>
          <t>Candles</t>
        </is>
      </c>
      <c r="D15269" t="inlineStr">
        <is>
          <t>Chesapeake Bay Candle</t>
        </is>
      </c>
      <c r="E15269" t="n">
        <v>17.13</v>
      </c>
      <c r="F15269" t="n">
        <v>1</v>
      </c>
      <c r="G15269" t="n">
        <v>5</v>
      </c>
      <c r="H15269" s="5">
        <f>HYPERLINK("https://api.qogita.com/variants/link/5038581114446/", "View Product")</f>
        <v/>
      </c>
    </row>
    <row r="15270">
      <c r="A15270" t="inlineStr">
        <is>
          <t>5038581114453</t>
        </is>
      </c>
      <c r="B15270" t="inlineStr">
        <is>
          <t>Chesapeake Bay Scented Candle | Stillness + Purity Large Tumbler Aromatherapy</t>
        </is>
      </c>
      <c r="C15270" t="inlineStr">
        <is>
          <t>Candles</t>
        </is>
      </c>
      <c r="D15270" t="inlineStr">
        <is>
          <t>Chesapeake Bay Candle</t>
        </is>
      </c>
      <c r="E15270" t="n">
        <v>17.13</v>
      </c>
      <c r="F15270" t="n">
        <v>1</v>
      </c>
      <c r="G15270" t="n">
        <v>9</v>
      </c>
      <c r="H15270" s="5">
        <f>HYPERLINK("https://api.qogita.com/variants/link/5038581114453/", "View Product")</f>
        <v/>
      </c>
    </row>
    <row r="15271">
      <c r="A15271" t="inlineStr">
        <is>
          <t>5038581114507</t>
        </is>
      </c>
      <c r="B15271" t="inlineStr">
        <is>
          <t>Chesapeake Bay Confidence Freedom Candle With Three Wicks - Scented Candle</t>
        </is>
      </c>
      <c r="C15271" t="inlineStr">
        <is>
          <t>Candles</t>
        </is>
      </c>
      <c r="D15271" t="inlineStr">
        <is>
          <t>Chesapeake Bay</t>
        </is>
      </c>
      <c r="E15271" t="n">
        <v>19.11</v>
      </c>
      <c r="F15271" t="n">
        <v>1</v>
      </c>
      <c r="G15271" t="n">
        <v>8</v>
      </c>
      <c r="H15271" s="5">
        <f>HYPERLINK("https://api.qogita.com/variants/link/5038581114507/", "View Product")</f>
        <v/>
      </c>
    </row>
    <row r="15272">
      <c r="A15272" t="inlineStr">
        <is>
          <t>5038581118123</t>
        </is>
      </c>
      <c r="B15272" t="inlineStr">
        <is>
          <t>Yankee Candle Beach Walk Candle Aromatic Candle Classic Large 623 G</t>
        </is>
      </c>
      <c r="C15272" t="inlineStr">
        <is>
          <t>Candles</t>
        </is>
      </c>
      <c r="D15272" t="inlineStr">
        <is>
          <t>Yankee Candle</t>
        </is>
      </c>
      <c r="E15272" t="n">
        <v>16.37</v>
      </c>
      <c r="F15272" t="n">
        <v>1</v>
      </c>
      <c r="G15272" t="n">
        <v>99</v>
      </c>
      <c r="H15272" s="5">
        <f>HYPERLINK("https://api.qogita.com/variants/link/5038581118123/", "View Product")</f>
        <v/>
      </c>
    </row>
    <row r="15273">
      <c r="A15273" t="inlineStr">
        <is>
          <t>5038581125084</t>
        </is>
      </c>
      <c r="B15273" t="inlineStr">
        <is>
          <t>Yankee Candle Soft Blanket Scented Candle 368g</t>
        </is>
      </c>
      <c r="C15273" t="inlineStr">
        <is>
          <t>Candles</t>
        </is>
      </c>
      <c r="D15273" t="inlineStr">
        <is>
          <t>Yankee Candle</t>
        </is>
      </c>
      <c r="E15273" t="n">
        <v>17.29</v>
      </c>
      <c r="F15273" t="n">
        <v>1</v>
      </c>
      <c r="G15273" t="n">
        <v>5</v>
      </c>
      <c r="H15273" s="5">
        <f>HYPERLINK("https://api.qogita.com/variants/link/5038581125084/", "View Product")</f>
        <v/>
      </c>
    </row>
    <row r="15274">
      <c r="A15274" t="inlineStr">
        <is>
          <t>5038581125121</t>
        </is>
      </c>
      <c r="B15274" t="inlineStr">
        <is>
          <t>Yankee Candle Black Cherry Scented Candle 368g</t>
        </is>
      </c>
      <c r="C15274" t="inlineStr">
        <is>
          <t>Candles</t>
        </is>
      </c>
      <c r="D15274" t="inlineStr">
        <is>
          <t>Yankee Candle</t>
        </is>
      </c>
      <c r="E15274" t="n">
        <v>15.35</v>
      </c>
      <c r="F15274" t="n">
        <v>1</v>
      </c>
      <c r="G15274" t="n">
        <v>11</v>
      </c>
      <c r="H15274" s="5">
        <f>HYPERLINK("https://api.qogita.com/variants/link/5038581125121/", "View Product")</f>
        <v/>
      </c>
    </row>
    <row r="15275">
      <c r="A15275" t="inlineStr">
        <is>
          <t>5038581128337</t>
        </is>
      </c>
      <c r="B15275" t="inlineStr">
        <is>
          <t>Yankee Candle Ocean Air Set Of Votive Candles</t>
        </is>
      </c>
      <c r="C15275" t="inlineStr">
        <is>
          <t>Candles</t>
        </is>
      </c>
      <c r="D15275" t="inlineStr">
        <is>
          <t>Yankee Candle</t>
        </is>
      </c>
      <c r="E15275" t="n">
        <v>7.66</v>
      </c>
      <c r="F15275" t="n">
        <v>1</v>
      </c>
      <c r="G15275" t="n">
        <v>43</v>
      </c>
      <c r="H15275" s="5">
        <f>HYPERLINK("https://api.qogita.com/variants/link/5038581128337/", "View Product")</f>
        <v/>
      </c>
    </row>
    <row r="15276">
      <c r="A15276" t="inlineStr">
        <is>
          <t>5038581128344</t>
        </is>
      </c>
      <c r="B15276" t="inlineStr">
        <is>
          <t>Yankee Candle Twinkling Lights Set Of Votive Candles In Glass</t>
        </is>
      </c>
      <c r="C15276" t="inlineStr">
        <is>
          <t>Candles</t>
        </is>
      </c>
      <c r="D15276" t="inlineStr">
        <is>
          <t>Yankee Candle</t>
        </is>
      </c>
      <c r="E15276" t="n">
        <v>7.78</v>
      </c>
      <c r="F15276" t="n">
        <v>1</v>
      </c>
      <c r="G15276" t="n">
        <v>15</v>
      </c>
      <c r="H15276" s="5">
        <f>HYPERLINK("https://api.qogita.com/variants/link/5038581128344/", "View Product")</f>
        <v/>
      </c>
    </row>
    <row r="15277">
      <c r="A15277" t="inlineStr">
        <is>
          <t>5038581128368</t>
        </is>
      </c>
      <c r="B15277" t="inlineStr">
        <is>
          <t>Yankee Candle White Gardenia Scented Candle</t>
        </is>
      </c>
      <c r="C15277" t="inlineStr">
        <is>
          <t>Candles</t>
        </is>
      </c>
      <c r="D15277" t="inlineStr">
        <is>
          <t>Yankee Candle</t>
        </is>
      </c>
      <c r="E15277" t="n">
        <v>3.04</v>
      </c>
      <c r="F15277" t="n">
        <v>1</v>
      </c>
      <c r="G15277" t="n">
        <v>3</v>
      </c>
      <c r="H15277" s="5">
        <f>HYPERLINK("https://api.qogita.com/variants/link/5038581128368/", "View Product")</f>
        <v/>
      </c>
    </row>
    <row r="15278">
      <c r="A15278" t="inlineStr">
        <is>
          <t>5038581128740</t>
        </is>
      </c>
      <c r="B15278" t="inlineStr">
        <is>
          <t>Yankee Candle Clean Cotton Scented Candle 567g</t>
        </is>
      </c>
      <c r="C15278" t="inlineStr">
        <is>
          <t>Candles</t>
        </is>
      </c>
      <c r="D15278" t="inlineStr">
        <is>
          <t>Yankee Candle</t>
        </is>
      </c>
      <c r="E15278" t="n">
        <v>19.18</v>
      </c>
      <c r="F15278" t="n">
        <v>1</v>
      </c>
      <c r="G15278" t="n">
        <v>55</v>
      </c>
      <c r="H15278" s="5">
        <f>HYPERLINK("https://api.qogita.com/variants/link/5038581128740/", "View Product")</f>
        <v/>
      </c>
    </row>
    <row r="15279">
      <c r="A15279" t="inlineStr">
        <is>
          <t>5038581128849</t>
        </is>
      </c>
      <c r="B15279" t="inlineStr">
        <is>
          <t>Yankee Candle Pink Sands Scented Candle 368g</t>
        </is>
      </c>
      <c r="C15279" t="inlineStr">
        <is>
          <t>Candles</t>
        </is>
      </c>
      <c r="D15279" t="inlineStr">
        <is>
          <t>Yankee Candle</t>
        </is>
      </c>
      <c r="E15279" t="n">
        <v>14.89</v>
      </c>
      <c r="F15279" t="n">
        <v>1</v>
      </c>
      <c r="G15279" t="n">
        <v>41</v>
      </c>
      <c r="H15279" s="5">
        <f>HYPERLINK("https://api.qogita.com/variants/link/5038581128849/", "View Product")</f>
        <v/>
      </c>
    </row>
    <row r="15280">
      <c r="A15280" t="inlineStr">
        <is>
          <t>5038581128863</t>
        </is>
      </c>
      <c r="B15280" t="inlineStr">
        <is>
          <t>Yankee Candle Signature Scented Candle | Large Long Burn Candle "Wild</t>
        </is>
      </c>
      <c r="C15280" t="inlineStr">
        <is>
          <t>Candles</t>
        </is>
      </c>
      <c r="D15280" t="inlineStr">
        <is>
          <t>Yankee Candle</t>
        </is>
      </c>
      <c r="E15280" t="n">
        <v>20.95</v>
      </c>
      <c r="F15280" t="n">
        <v>1</v>
      </c>
      <c r="G15280" t="n">
        <v>14</v>
      </c>
      <c r="H15280" s="5">
        <f>HYPERLINK("https://api.qogita.com/variants/link/5038581128863/", "View Product")</f>
        <v/>
      </c>
    </row>
    <row r="15281">
      <c r="A15281" t="inlineStr">
        <is>
          <t>5038581128931</t>
        </is>
      </c>
      <c r="B15281" t="inlineStr">
        <is>
          <t>Yankee Candle Seaside Woods Signature Candle Medium Glass 368 G</t>
        </is>
      </c>
      <c r="C15281" t="inlineStr">
        <is>
          <t>Candles</t>
        </is>
      </c>
      <c r="D15281" t="inlineStr">
        <is>
          <t>Yankee Candle</t>
        </is>
      </c>
      <c r="E15281" t="n">
        <v>14.89</v>
      </c>
      <c r="F15281" t="n">
        <v>1</v>
      </c>
      <c r="G15281" t="n">
        <v>7</v>
      </c>
      <c r="H15281" s="5">
        <f>HYPERLINK("https://api.qogita.com/variants/link/5038581128931/", "View Product")</f>
        <v/>
      </c>
    </row>
    <row r="15282">
      <c r="A15282" t="inlineStr">
        <is>
          <t>5038581129068</t>
        </is>
      </c>
      <c r="B15282" t="inlineStr">
        <is>
          <t>Aromatic Candle Signature Glass Medium Autumn Sunset 368g</t>
        </is>
      </c>
      <c r="C15282" t="inlineStr">
        <is>
          <t>Candles</t>
        </is>
      </c>
      <c r="D15282" t="inlineStr">
        <is>
          <t>Yankee Candle</t>
        </is>
      </c>
      <c r="E15282" t="n">
        <v>16.7</v>
      </c>
      <c r="F15282" t="n">
        <v>1</v>
      </c>
      <c r="G15282" t="n">
        <v>3</v>
      </c>
      <c r="H15282" s="5">
        <f>HYPERLINK("https://api.qogita.com/variants/link/5038581129068/", "View Product")</f>
        <v/>
      </c>
    </row>
    <row r="15283">
      <c r="A15283" t="inlineStr">
        <is>
          <t>5038581129099</t>
        </is>
      </c>
      <c r="B15283" t="inlineStr">
        <is>
          <t>Yankee Candle Vanilla Cupcake Signature Candle</t>
        </is>
      </c>
      <c r="C15283" t="inlineStr">
        <is>
          <t>Candles</t>
        </is>
      </c>
      <c r="D15283" t="inlineStr">
        <is>
          <t>Yankee Candle</t>
        </is>
      </c>
      <c r="E15283" t="n">
        <v>14.92</v>
      </c>
      <c r="F15283" t="n">
        <v>1</v>
      </c>
      <c r="G15283" t="n">
        <v>7</v>
      </c>
      <c r="H15283" s="5">
        <f>HYPERLINK("https://api.qogita.com/variants/link/5038581129099/", "View Product")</f>
        <v/>
      </c>
    </row>
    <row r="15284">
      <c r="A15284" t="inlineStr">
        <is>
          <t>5038581129297</t>
        </is>
      </c>
      <c r="B15284" t="inlineStr">
        <is>
          <t>Yankee Candle Vanilla Lime Signature Candle Aromatic Candle In Medium Glass 368 G</t>
        </is>
      </c>
      <c r="C15284" t="inlineStr">
        <is>
          <t>Candles</t>
        </is>
      </c>
      <c r="D15284" t="inlineStr">
        <is>
          <t>Yankee Candle</t>
        </is>
      </c>
      <c r="E15284" t="n">
        <v>18.85</v>
      </c>
      <c r="F15284" t="n">
        <v>1</v>
      </c>
      <c r="G15284" t="n">
        <v>6</v>
      </c>
      <c r="H15284" s="5">
        <f>HYPERLINK("https://api.qogita.com/variants/link/5038581129297/", "View Product")</f>
        <v/>
      </c>
    </row>
    <row r="15285">
      <c r="A15285" t="inlineStr">
        <is>
          <t>5038581129303</t>
        </is>
      </c>
      <c r="B15285" t="inlineStr">
        <is>
          <t>Yankee Candle Tropical Breeze Signature Candle Aromatic Candle In Large Glass 567 G</t>
        </is>
      </c>
      <c r="C15285" t="inlineStr">
        <is>
          <t>Candles</t>
        </is>
      </c>
      <c r="D15285" t="inlineStr">
        <is>
          <t>Yankee Candle</t>
        </is>
      </c>
      <c r="E15285" t="n">
        <v>18.61</v>
      </c>
      <c r="F15285" t="n">
        <v>1</v>
      </c>
      <c r="G15285" t="n">
        <v>11</v>
      </c>
      <c r="H15285" s="5">
        <f>HYPERLINK("https://api.qogita.com/variants/link/5038581129303/", "View Product")</f>
        <v/>
      </c>
    </row>
    <row r="15286">
      <c r="A15286" t="inlineStr">
        <is>
          <t>5038581129358</t>
        </is>
      </c>
      <c r="B15286" t="inlineStr">
        <is>
          <t>Yankee Candle Bayside Cedar Scented Candle 567g</t>
        </is>
      </c>
      <c r="C15286" t="inlineStr">
        <is>
          <t>Candles</t>
        </is>
      </c>
      <c r="D15286" t="inlineStr">
        <is>
          <t>Yankee Candle</t>
        </is>
      </c>
      <c r="E15286" t="n">
        <v>19.15</v>
      </c>
      <c r="F15286" t="n">
        <v>1</v>
      </c>
      <c r="G15286" t="n">
        <v>31</v>
      </c>
      <c r="H15286" s="5">
        <f>HYPERLINK("https://api.qogita.com/variants/link/5038581129358/", "View Product")</f>
        <v/>
      </c>
    </row>
    <row r="15287">
      <c r="A15287" t="inlineStr">
        <is>
          <t>5038581129396</t>
        </is>
      </c>
      <c r="B15287" t="inlineStr">
        <is>
          <t>Yankee Candle Midsummers Night Signature Candle 567 G</t>
        </is>
      </c>
      <c r="C15287" t="inlineStr">
        <is>
          <t>Candles</t>
        </is>
      </c>
      <c r="D15287" t="inlineStr">
        <is>
          <t>Yankee Candle</t>
        </is>
      </c>
      <c r="E15287" t="n">
        <v>19.69</v>
      </c>
      <c r="F15287" t="n">
        <v>1</v>
      </c>
      <c r="G15287" t="n">
        <v>44</v>
      </c>
      <c r="H15287" s="5">
        <f>HYPERLINK("https://api.qogita.com/variants/link/5038581129396/", "View Product")</f>
        <v/>
      </c>
    </row>
    <row r="15288">
      <c r="A15288" t="inlineStr">
        <is>
          <t>5038581129440</t>
        </is>
      </c>
      <c r="B15288" t="inlineStr">
        <is>
          <t>Yankee Candle White Gardenia Signature Candle 368 G</t>
        </is>
      </c>
      <c r="C15288" t="inlineStr">
        <is>
          <t>Candles</t>
        </is>
      </c>
      <c r="D15288" t="inlineStr">
        <is>
          <t>Yankee Candle</t>
        </is>
      </c>
      <c r="E15288" t="n">
        <v>14.89</v>
      </c>
      <c r="F15288" t="n">
        <v>1</v>
      </c>
      <c r="G15288" t="n">
        <v>16</v>
      </c>
      <c r="H15288" s="5">
        <f>HYPERLINK("https://api.qogita.com/variants/link/5038581129440/", "View Product")</f>
        <v/>
      </c>
    </row>
    <row r="15289">
      <c r="A15289" t="inlineStr">
        <is>
          <t>5038581129532</t>
        </is>
      </c>
      <c r="B15289" t="inlineStr">
        <is>
          <t>Yankee Candle Signature Scented Candle ; Large Sparkling Long Burn Candle</t>
        </is>
      </c>
      <c r="C15289" t="inlineStr">
        <is>
          <t>Candles</t>
        </is>
      </c>
      <c r="D15289" t="inlineStr">
        <is>
          <t>Yankee Candle</t>
        </is>
      </c>
      <c r="E15289" t="n">
        <v>20.95</v>
      </c>
      <c r="F15289" t="n">
        <v>1</v>
      </c>
      <c r="G15289" t="n">
        <v>5</v>
      </c>
      <c r="H15289" s="5">
        <f>HYPERLINK("https://api.qogita.com/variants/link/5038581129532/", "View Product")</f>
        <v/>
      </c>
    </row>
    <row r="15290">
      <c r="A15290" t="inlineStr">
        <is>
          <t>5038581129914</t>
        </is>
      </c>
      <c r="B15290" t="inlineStr">
        <is>
          <t>Woodwick Scented Candle Ship Wild Berry &amp; Beets 4536 G</t>
        </is>
      </c>
      <c r="C15290" t="inlineStr">
        <is>
          <t>Candles</t>
        </is>
      </c>
      <c r="D15290" t="inlineStr">
        <is>
          <t>Woodwick</t>
        </is>
      </c>
      <c r="E15290" t="n">
        <v>20.54</v>
      </c>
      <c r="F15290" t="n">
        <v>1</v>
      </c>
      <c r="G15290" t="n">
        <v>258</v>
      </c>
      <c r="H15290" s="5">
        <f>HYPERLINK("https://api.qogita.com/variants/link/5038581129914/", "View Product")</f>
        <v/>
      </c>
    </row>
    <row r="15291">
      <c r="A15291" t="inlineStr">
        <is>
          <t>5038581130408</t>
        </is>
      </c>
      <c r="B15291" t="inlineStr">
        <is>
          <t>Yankee Candle Iced Berry Lemonade Glass Votive 37g</t>
        </is>
      </c>
      <c r="C15291" t="inlineStr">
        <is>
          <t>Candles</t>
        </is>
      </c>
      <c r="D15291" t="inlineStr">
        <is>
          <t>Yankee Candle</t>
        </is>
      </c>
      <c r="E15291" t="n">
        <v>3.04</v>
      </c>
      <c r="F15291" t="n">
        <v>1</v>
      </c>
      <c r="G15291" t="n">
        <v>10</v>
      </c>
      <c r="H15291" s="5">
        <f>HYPERLINK("https://api.qogita.com/variants/link/5038581130408/", "View Product")</f>
        <v/>
      </c>
    </row>
    <row r="15292">
      <c r="A15292" t="inlineStr">
        <is>
          <t>5038581130507</t>
        </is>
      </c>
      <c r="B15292" t="inlineStr">
        <is>
          <t>Yankee Candle Lemon Lavender Filled Votive Candle</t>
        </is>
      </c>
      <c r="C15292" t="inlineStr">
        <is>
          <t>Candles</t>
        </is>
      </c>
      <c r="D15292" t="inlineStr">
        <is>
          <t>Yankee Candle</t>
        </is>
      </c>
      <c r="E15292" t="n">
        <v>3.04</v>
      </c>
      <c r="F15292" t="n">
        <v>1</v>
      </c>
      <c r="G15292" t="n">
        <v>4</v>
      </c>
      <c r="H15292" s="5">
        <f>HYPERLINK("https://api.qogita.com/variants/link/5038581130507/", "View Product")</f>
        <v/>
      </c>
    </row>
    <row r="15293">
      <c r="A15293" t="inlineStr">
        <is>
          <t>5038581133256</t>
        </is>
      </c>
      <c r="B15293" t="inlineStr">
        <is>
          <t>Woodwick Trilogy Amethyst Sky Medium Jar Candle</t>
        </is>
      </c>
      <c r="C15293" t="inlineStr">
        <is>
          <t>Candles</t>
        </is>
      </c>
      <c r="D15293" t="inlineStr">
        <is>
          <t>Woodwick</t>
        </is>
      </c>
      <c r="E15293" t="n">
        <v>14.75</v>
      </c>
      <c r="F15293" t="n">
        <v>1</v>
      </c>
      <c r="G15293" t="n">
        <v>43</v>
      </c>
      <c r="H15293" s="5">
        <f>HYPERLINK("https://api.qogita.com/variants/link/5038581133256/", "View Product")</f>
        <v/>
      </c>
    </row>
    <row r="15294">
      <c r="A15294" t="inlineStr">
        <is>
          <t>5038581134260</t>
        </is>
      </c>
      <c r="B15294" t="inlineStr">
        <is>
          <t>Yankee Candle Tranquil Garden Large Jar</t>
        </is>
      </c>
      <c r="C15294" t="inlineStr">
        <is>
          <t>Candles</t>
        </is>
      </c>
      <c r="D15294" t="inlineStr">
        <is>
          <t>Yankee Candle</t>
        </is>
      </c>
      <c r="E15294" t="n">
        <v>22.04</v>
      </c>
      <c r="F15294" t="n">
        <v>1</v>
      </c>
      <c r="G15294" t="n">
        <v>5</v>
      </c>
      <c r="H15294" s="5">
        <f>HYPERLINK("https://api.qogita.com/variants/link/5038581134260/", "View Product")</f>
        <v/>
      </c>
    </row>
    <row r="15295">
      <c r="A15295" t="inlineStr">
        <is>
          <t>5038581136592</t>
        </is>
      </c>
      <c r="B15295" t="inlineStr">
        <is>
          <t>Yankee Candle Toasted Marshmallow Scented Candle 538 G</t>
        </is>
      </c>
      <c r="C15295" t="inlineStr">
        <is>
          <t>Candles</t>
        </is>
      </c>
      <c r="D15295" t="inlineStr">
        <is>
          <t>Yankee Candle</t>
        </is>
      </c>
      <c r="E15295" t="n">
        <v>13.55</v>
      </c>
      <c r="F15295" t="n">
        <v>1</v>
      </c>
      <c r="G15295" t="n">
        <v>86</v>
      </c>
      <c r="H15295" s="5">
        <f>HYPERLINK("https://api.qogita.com/variants/link/5038581136592/", "View Product")</f>
        <v/>
      </c>
    </row>
    <row r="15296">
      <c r="A15296" t="inlineStr">
        <is>
          <t>5038581136943</t>
        </is>
      </c>
      <c r="B15296" t="inlineStr">
        <is>
          <t>Yankee Candle Snow Globe Wonderland Scented Wax Gift Set</t>
        </is>
      </c>
      <c r="C15296" t="inlineStr">
        <is>
          <t>Candles</t>
        </is>
      </c>
      <c r="D15296" t="inlineStr">
        <is>
          <t>Yankee Candle</t>
        </is>
      </c>
      <c r="E15296" t="n">
        <v>5.38</v>
      </c>
      <c r="F15296" t="n">
        <v>1</v>
      </c>
      <c r="G15296" t="n">
        <v>205</v>
      </c>
      <c r="H15296" s="5">
        <f>HYPERLINK("https://api.qogita.com/variants/link/5038581136943/", "View Product")</f>
        <v/>
      </c>
    </row>
    <row r="15297">
      <c r="A15297" t="inlineStr">
        <is>
          <t>5038581140957</t>
        </is>
      </c>
      <c r="B15297" t="inlineStr">
        <is>
          <t>Yankee Candle Peppermint Pinwheels Set Of Votive Candles In Glass</t>
        </is>
      </c>
      <c r="C15297" t="inlineStr">
        <is>
          <t>Candles</t>
        </is>
      </c>
      <c r="D15297" t="inlineStr">
        <is>
          <t>Yankee Candle</t>
        </is>
      </c>
      <c r="E15297" t="n">
        <v>7.78</v>
      </c>
      <c r="F15297" t="n">
        <v>1</v>
      </c>
      <c r="G15297" t="n">
        <v>44</v>
      </c>
      <c r="H15297" s="5">
        <f>HYPERLINK("https://api.qogita.com/variants/link/5038581140957/", "View Product")</f>
        <v/>
      </c>
    </row>
    <row r="15298">
      <c r="A15298" t="inlineStr">
        <is>
          <t>5038581141886</t>
        </is>
      </c>
      <c r="B15298" t="inlineStr">
        <is>
          <t>Woodwick Magnolia Birch Vase Scented Candle Vase Medium 275 G</t>
        </is>
      </c>
      <c r="C15298" t="inlineStr">
        <is>
          <t>Candles</t>
        </is>
      </c>
      <c r="D15298" t="inlineStr">
        <is>
          <t>Woodwick</t>
        </is>
      </c>
      <c r="E15298" t="n">
        <v>14.73</v>
      </c>
      <c r="F15298" t="n">
        <v>1</v>
      </c>
      <c r="G15298" t="n">
        <v>23</v>
      </c>
      <c r="H15298" s="5">
        <f>HYPERLINK("https://api.qogita.com/variants/link/5038581141886/", "View Product")</f>
        <v/>
      </c>
    </row>
    <row r="15299">
      <c r="A15299" t="inlineStr">
        <is>
          <t>5038581141985</t>
        </is>
      </c>
      <c r="B15299" t="inlineStr">
        <is>
          <t>Woodwick Scented Candle Ship Magnolia Birch 4536 G</t>
        </is>
      </c>
      <c r="C15299" t="inlineStr">
        <is>
          <t>Candles</t>
        </is>
      </c>
      <c r="D15299" t="inlineStr">
        <is>
          <t>Woodwick</t>
        </is>
      </c>
      <c r="E15299" t="n">
        <v>20.64</v>
      </c>
      <c r="F15299" t="n">
        <v>1</v>
      </c>
      <c r="G15299" t="n">
        <v>264</v>
      </c>
      <c r="H15299" s="5">
        <f>HYPERLINK("https://api.qogita.com/variants/link/5038581141985/", "View Product")</f>
        <v/>
      </c>
    </row>
    <row r="15300">
      <c r="A15300" t="inlineStr">
        <is>
          <t>5038581142166</t>
        </is>
      </c>
      <c r="B15300" t="inlineStr">
        <is>
          <t>Yankee Candle Pink Sands Scentplug Refills</t>
        </is>
      </c>
      <c r="C15300" t="inlineStr">
        <is>
          <t>Candles</t>
        </is>
      </c>
      <c r="D15300" t="inlineStr">
        <is>
          <t>Yankee Candle</t>
        </is>
      </c>
      <c r="E15300" t="n">
        <v>6.35</v>
      </c>
      <c r="F15300" t="n">
        <v>1</v>
      </c>
      <c r="G15300" t="n">
        <v>26</v>
      </c>
      <c r="H15300" s="5">
        <f>HYPERLINK("https://api.qogita.com/variants/link/5038581142166/", "View Product")</f>
        <v/>
      </c>
    </row>
    <row r="15301">
      <c r="A15301" t="inlineStr">
        <is>
          <t>5038581142883</t>
        </is>
      </c>
      <c r="B15301" t="inlineStr">
        <is>
          <t>Yankee Candle Soft Wool &amp; Amber Signature Tumbler Candle 567 G</t>
        </is>
      </c>
      <c r="C15301" t="inlineStr">
        <is>
          <t>Candles</t>
        </is>
      </c>
      <c r="D15301" t="inlineStr">
        <is>
          <t>Yankee Candle</t>
        </is>
      </c>
      <c r="E15301" t="n">
        <v>20.07</v>
      </c>
      <c r="F15301" t="n">
        <v>1</v>
      </c>
      <c r="G15301" t="n">
        <v>45</v>
      </c>
      <c r="H15301" s="5">
        <f>HYPERLINK("https://api.qogita.com/variants/link/5038581142883/", "View Product")</f>
        <v/>
      </c>
    </row>
    <row r="15302">
      <c r="A15302" t="inlineStr">
        <is>
          <t>5038581143163</t>
        </is>
      </c>
      <c r="B15302" t="inlineStr">
        <is>
          <t>Yankee Candle Black Cherry Signature Tumbler Candle Medium 340 G</t>
        </is>
      </c>
      <c r="C15302" t="inlineStr">
        <is>
          <t>Candles</t>
        </is>
      </c>
      <c r="D15302" t="inlineStr">
        <is>
          <t>Yankee Candle</t>
        </is>
      </c>
      <c r="E15302" t="n">
        <v>16.88</v>
      </c>
      <c r="F15302" t="n">
        <v>1</v>
      </c>
      <c r="G15302" t="n">
        <v>14</v>
      </c>
      <c r="H15302" s="5">
        <f>HYPERLINK("https://api.qogita.com/variants/link/5038581143163/", "View Product")</f>
        <v/>
      </c>
    </row>
    <row r="15303">
      <c r="A15303" t="inlineStr">
        <is>
          <t>5038581143170</t>
        </is>
      </c>
      <c r="B15303" t="inlineStr">
        <is>
          <t>Yankee Candle Lemon Lavender Signature Tumbler Candle 567 G</t>
        </is>
      </c>
      <c r="C15303" t="inlineStr">
        <is>
          <t>Candles</t>
        </is>
      </c>
      <c r="D15303" t="inlineStr">
        <is>
          <t>Yankee Candle</t>
        </is>
      </c>
      <c r="E15303" t="n">
        <v>20.2</v>
      </c>
      <c r="F15303" t="n">
        <v>1</v>
      </c>
      <c r="G15303" t="n">
        <v>142</v>
      </c>
      <c r="H15303" s="5">
        <f>HYPERLINK("https://api.qogita.com/variants/link/5038581143170/", "View Product")</f>
        <v/>
      </c>
    </row>
    <row r="15304">
      <c r="A15304" t="inlineStr">
        <is>
          <t>5038581143316</t>
        </is>
      </c>
      <c r="B15304" t="inlineStr">
        <is>
          <t>Yankee Candle Ocean Air Signature Tumbler Candle Large 567 G</t>
        </is>
      </c>
      <c r="C15304" t="inlineStr">
        <is>
          <t>Candles</t>
        </is>
      </c>
      <c r="D15304" t="inlineStr">
        <is>
          <t>Yankee Candle</t>
        </is>
      </c>
      <c r="E15304" t="n">
        <v>20.36</v>
      </c>
      <c r="F15304" t="n">
        <v>1</v>
      </c>
      <c r="G15304" t="n">
        <v>25</v>
      </c>
      <c r="H15304" s="5">
        <f>HYPERLINK("https://api.qogita.com/variants/link/5038581143316/", "View Product")</f>
        <v/>
      </c>
    </row>
    <row r="15305">
      <c r="A15305" t="inlineStr">
        <is>
          <t>5038581143378</t>
        </is>
      </c>
      <c r="B15305" t="inlineStr">
        <is>
          <t>Yankee Candle Ocean Air Signature Tumbler Candle Medium 340 G</t>
        </is>
      </c>
      <c r="C15305" t="inlineStr">
        <is>
          <t>Candles</t>
        </is>
      </c>
      <c r="D15305" t="inlineStr">
        <is>
          <t>Yankee Candle</t>
        </is>
      </c>
      <c r="E15305" t="n">
        <v>16.88</v>
      </c>
      <c r="F15305" t="n">
        <v>1</v>
      </c>
      <c r="G15305" t="n">
        <v>21</v>
      </c>
      <c r="H15305" s="5">
        <f>HYPERLINK("https://api.qogita.com/variants/link/5038581143378/", "View Product")</f>
        <v/>
      </c>
    </row>
    <row r="15306">
      <c r="A15306" t="inlineStr">
        <is>
          <t>5038581143408</t>
        </is>
      </c>
      <c r="B15306" t="inlineStr">
        <is>
          <t>Yankee Candle Clean Cotton Signature Tumbler Candle Medium 340 G</t>
        </is>
      </c>
      <c r="C15306" t="inlineStr">
        <is>
          <t>Candles</t>
        </is>
      </c>
      <c r="D15306" t="inlineStr">
        <is>
          <t>Yankee Candle</t>
        </is>
      </c>
      <c r="E15306" t="n">
        <v>20</v>
      </c>
      <c r="F15306" t="n">
        <v>1</v>
      </c>
      <c r="G15306" t="n">
        <v>86</v>
      </c>
      <c r="H15306" s="5">
        <f>HYPERLINK("https://api.qogita.com/variants/link/5038581143408/", "View Product")</f>
        <v/>
      </c>
    </row>
    <row r="15307">
      <c r="A15307" t="inlineStr">
        <is>
          <t>5038581143484</t>
        </is>
      </c>
      <c r="B15307" t="inlineStr">
        <is>
          <t>Yankee Candle Lakefront Lodge Signature Tumbler Candle 567 G</t>
        </is>
      </c>
      <c r="C15307" t="inlineStr">
        <is>
          <t>Candles</t>
        </is>
      </c>
      <c r="D15307" t="inlineStr">
        <is>
          <t>Yankee Candle</t>
        </is>
      </c>
      <c r="E15307" t="n">
        <v>20.31</v>
      </c>
      <c r="F15307" t="n">
        <v>1</v>
      </c>
      <c r="G15307" t="n">
        <v>16</v>
      </c>
      <c r="H15307" s="5">
        <f>HYPERLINK("https://api.qogita.com/variants/link/5038581143484/", "View Product")</f>
        <v/>
      </c>
    </row>
    <row r="15308">
      <c r="A15308" t="inlineStr">
        <is>
          <t>5038581143514</t>
        </is>
      </c>
      <c r="B15308" t="inlineStr">
        <is>
          <t>Yankee Candle Iced Berry Lemonade Signature Tumbler Candle 340 G</t>
        </is>
      </c>
      <c r="C15308" t="inlineStr">
        <is>
          <t>Candles</t>
        </is>
      </c>
      <c r="D15308" t="inlineStr">
        <is>
          <t>Yankee Candle</t>
        </is>
      </c>
      <c r="E15308" t="n">
        <v>16.88</v>
      </c>
      <c r="F15308" t="n">
        <v>1</v>
      </c>
      <c r="G15308" t="n">
        <v>8</v>
      </c>
      <c r="H15308" s="5">
        <f>HYPERLINK("https://api.qogita.com/variants/link/5038581143514/", "View Product")</f>
        <v/>
      </c>
    </row>
    <row r="15309">
      <c r="A15309" t="inlineStr">
        <is>
          <t>5038581143552</t>
        </is>
      </c>
      <c r="B15309" t="inlineStr">
        <is>
          <t>Yankee Candle Black Cherry Signature Tumbler Candle Large 567 G</t>
        </is>
      </c>
      <c r="C15309" t="inlineStr">
        <is>
          <t>Candles</t>
        </is>
      </c>
      <c r="D15309" t="inlineStr">
        <is>
          <t>Yankee Candle</t>
        </is>
      </c>
      <c r="E15309" t="n">
        <v>19.5</v>
      </c>
      <c r="F15309" t="n">
        <v>1</v>
      </c>
      <c r="G15309" t="n">
        <v>73</v>
      </c>
      <c r="H15309" s="5">
        <f>HYPERLINK("https://api.qogita.com/variants/link/5038581143552/", "View Product")</f>
        <v/>
      </c>
    </row>
    <row r="15310">
      <c r="A15310" t="inlineStr">
        <is>
          <t>5038581143606</t>
        </is>
      </c>
      <c r="B15310" t="inlineStr">
        <is>
          <t>Yankee Candle Fresh Cut Roses Large Tumbler Jar Candle</t>
        </is>
      </c>
      <c r="C15310" t="inlineStr">
        <is>
          <t>Candles</t>
        </is>
      </c>
      <c r="D15310" t="inlineStr">
        <is>
          <t>Yankee Candle</t>
        </is>
      </c>
      <c r="E15310" t="n">
        <v>20.34</v>
      </c>
      <c r="F15310" t="n">
        <v>1</v>
      </c>
      <c r="G15310" t="n">
        <v>34</v>
      </c>
      <c r="H15310" s="5">
        <f>HYPERLINK("https://api.qogita.com/variants/link/5038581143606/", "View Product")</f>
        <v/>
      </c>
    </row>
    <row r="15311">
      <c r="A15311" t="inlineStr">
        <is>
          <t>5038581143637</t>
        </is>
      </c>
      <c r="B15311" t="inlineStr">
        <is>
          <t>Yankee Candle Black Tea &amp; Lemon Signature Tumbler Candle 567 G</t>
        </is>
      </c>
      <c r="C15311" t="inlineStr">
        <is>
          <t>Candles</t>
        </is>
      </c>
      <c r="D15311" t="inlineStr">
        <is>
          <t>Yankee Candle</t>
        </is>
      </c>
      <c r="E15311" t="n">
        <v>20.64</v>
      </c>
      <c r="F15311" t="n">
        <v>1</v>
      </c>
      <c r="G15311" t="n">
        <v>8</v>
      </c>
      <c r="H15311" s="5">
        <f>HYPERLINK("https://api.qogita.com/variants/link/5038581143637/", "View Product")</f>
        <v/>
      </c>
    </row>
    <row r="15312">
      <c r="A15312" t="inlineStr">
        <is>
          <t>5038581143675</t>
        </is>
      </c>
      <c r="B15312" t="inlineStr">
        <is>
          <t>Yankee Candle Wild Orchid Signature Tumbler Candle 567 G</t>
        </is>
      </c>
      <c r="C15312" t="inlineStr">
        <is>
          <t>Candles</t>
        </is>
      </c>
      <c r="D15312" t="inlineStr">
        <is>
          <t>Yankee Candle</t>
        </is>
      </c>
      <c r="E15312" t="n">
        <v>20.09</v>
      </c>
      <c r="F15312" t="n">
        <v>1</v>
      </c>
      <c r="G15312" t="n">
        <v>8</v>
      </c>
      <c r="H15312" s="5">
        <f>HYPERLINK("https://api.qogita.com/variants/link/5038581143675/", "View Product")</f>
        <v/>
      </c>
    </row>
    <row r="15313">
      <c r="A15313" t="inlineStr">
        <is>
          <t>5038581143781</t>
        </is>
      </c>
      <c r="B15313" t="inlineStr">
        <is>
          <t>Yankee Candle Baby Powder Signature Tumbler Candle 567 G</t>
        </is>
      </c>
      <c r="C15313" t="inlineStr">
        <is>
          <t>Candles</t>
        </is>
      </c>
      <c r="D15313" t="inlineStr">
        <is>
          <t>Yankee Candle</t>
        </is>
      </c>
      <c r="E15313" t="n">
        <v>20.13</v>
      </c>
      <c r="F15313" t="n">
        <v>1</v>
      </c>
      <c r="G15313" t="n">
        <v>41</v>
      </c>
      <c r="H15313" s="5">
        <f>HYPERLINK("https://api.qogita.com/variants/link/5038581143781/", "View Product")</f>
        <v/>
      </c>
    </row>
    <row r="15314">
      <c r="A15314" t="inlineStr">
        <is>
          <t>5038581144641</t>
        </is>
      </c>
      <c r="B15314" t="inlineStr">
        <is>
          <t>Yankee Candle Soft Wool &amp; Amber Signature Candle 368 G</t>
        </is>
      </c>
      <c r="C15314" t="inlineStr">
        <is>
          <t>Candles</t>
        </is>
      </c>
      <c r="D15314" t="inlineStr">
        <is>
          <t>Yankee Candle</t>
        </is>
      </c>
      <c r="E15314" t="n">
        <v>14.89</v>
      </c>
      <c r="F15314" t="n">
        <v>1</v>
      </c>
      <c r="G15314" t="n">
        <v>23</v>
      </c>
      <c r="H15314" s="5">
        <f>HYPERLINK("https://api.qogita.com/variants/link/5038581144641/", "View Product")</f>
        <v/>
      </c>
    </row>
    <row r="15315">
      <c r="A15315" t="inlineStr">
        <is>
          <t>5038581144658</t>
        </is>
      </c>
      <c r="B15315" t="inlineStr">
        <is>
          <t>Yankee Candle Mango Ice Cream Signature Candle 567 G</t>
        </is>
      </c>
      <c r="C15315" t="inlineStr">
        <is>
          <t>Candles</t>
        </is>
      </c>
      <c r="D15315" t="inlineStr">
        <is>
          <t>Yankee Candle</t>
        </is>
      </c>
      <c r="E15315" t="n">
        <v>19.48</v>
      </c>
      <c r="F15315" t="n">
        <v>1</v>
      </c>
      <c r="G15315" t="n">
        <v>44</v>
      </c>
      <c r="H15315" s="5">
        <f>HYPERLINK("https://api.qogita.com/variants/link/5038581144658/", "View Product")</f>
        <v/>
      </c>
    </row>
    <row r="15316">
      <c r="A15316" t="inlineStr">
        <is>
          <t>5038581145105</t>
        </is>
      </c>
      <c r="B15316" t="inlineStr">
        <is>
          <t>Woodwick Evening Onyx Vase Scented Candle</t>
        </is>
      </c>
      <c r="C15316" t="inlineStr">
        <is>
          <t>Candles</t>
        </is>
      </c>
      <c r="D15316" t="inlineStr">
        <is>
          <t>Woodwick</t>
        </is>
      </c>
      <c r="E15316" t="n">
        <v>16.49</v>
      </c>
      <c r="F15316" t="n">
        <v>1</v>
      </c>
      <c r="G15316" t="n">
        <v>5</v>
      </c>
      <c r="H15316" s="5">
        <f>HYPERLINK("https://api.qogita.com/variants/link/5038581145105/", "View Product")</f>
        <v/>
      </c>
    </row>
    <row r="15317">
      <c r="A15317" t="inlineStr">
        <is>
          <t>5038581145297</t>
        </is>
      </c>
      <c r="B15317" t="inlineStr">
        <is>
          <t>Woodwick Evening Onyx Scented Candle</t>
        </is>
      </c>
      <c r="C15317" t="inlineStr">
        <is>
          <t>Candles</t>
        </is>
      </c>
      <c r="D15317" t="inlineStr">
        <is>
          <t>Woodwick</t>
        </is>
      </c>
      <c r="E15317" t="n">
        <v>20.56</v>
      </c>
      <c r="F15317" t="n">
        <v>1</v>
      </c>
      <c r="G15317" t="n">
        <v>551</v>
      </c>
      <c r="H15317" s="5">
        <f>HYPERLINK("https://api.qogita.com/variants/link/5038581145297/", "View Product")</f>
        <v/>
      </c>
    </row>
    <row r="15318">
      <c r="A15318" t="inlineStr">
        <is>
          <t>5038581145419</t>
        </is>
      </c>
      <c r="B15318" t="inlineStr">
        <is>
          <t>Woodwick Scented Candle Vase Pomegranate 6095 G</t>
        </is>
      </c>
      <c r="C15318" t="inlineStr">
        <is>
          <t>Candles</t>
        </is>
      </c>
      <c r="D15318" t="inlineStr">
        <is>
          <t>Woodwick</t>
        </is>
      </c>
      <c r="E15318" t="n">
        <v>20.36</v>
      </c>
      <c r="F15318" t="n">
        <v>1</v>
      </c>
      <c r="G15318" t="n">
        <v>544</v>
      </c>
      <c r="H15318" s="5">
        <f>HYPERLINK("https://api.qogita.com/variants/link/5038581145419/", "View Product")</f>
        <v/>
      </c>
    </row>
    <row r="15319">
      <c r="A15319" t="inlineStr">
        <is>
          <t>5038581145525</t>
        </is>
      </c>
      <c r="B15319" t="inlineStr">
        <is>
          <t>Ww Mini Hourglass Warm Wool 1725410e</t>
        </is>
      </c>
      <c r="C15319" t="inlineStr">
        <is>
          <t>Foundation</t>
        </is>
      </c>
      <c r="D15319" t="inlineStr">
        <is>
          <t>Woodwick</t>
        </is>
      </c>
      <c r="E15319" t="n">
        <v>7</v>
      </c>
      <c r="F15319" t="n">
        <v>1</v>
      </c>
      <c r="G15319" t="n">
        <v>81</v>
      </c>
      <c r="H15319" s="5">
        <f>HYPERLINK("https://api.qogita.com/variants/link/5038581145525/", "View Product")</f>
        <v/>
      </c>
    </row>
    <row r="15320">
      <c r="A15320" t="inlineStr">
        <is>
          <t>5038581148366</t>
        </is>
      </c>
      <c r="B15320" t="inlineStr">
        <is>
          <t>Woodwick Renew Ginger Turmeric Candle Scented Candle In Medium Glass 184 G</t>
        </is>
      </c>
      <c r="C15320" t="inlineStr">
        <is>
          <t>Candles</t>
        </is>
      </c>
      <c r="D15320" t="inlineStr">
        <is>
          <t>Woodwick</t>
        </is>
      </c>
      <c r="E15320" t="n">
        <v>15.47</v>
      </c>
      <c r="F15320" t="n">
        <v>1</v>
      </c>
      <c r="G15320" t="n">
        <v>45</v>
      </c>
      <c r="H15320" s="5">
        <f>HYPERLINK("https://api.qogita.com/variants/link/5038581148366/", "View Product")</f>
        <v/>
      </c>
    </row>
    <row r="15321">
      <c r="A15321" t="inlineStr">
        <is>
          <t>5038581148373</t>
        </is>
      </c>
      <c r="B15321" t="inlineStr">
        <is>
          <t>Woodwick Renew Lavender Cypress Candle Scented Candle Medium Glass 184 G</t>
        </is>
      </c>
      <c r="C15321" t="inlineStr">
        <is>
          <t>Candles</t>
        </is>
      </c>
      <c r="D15321" t="inlineStr">
        <is>
          <t>Woodwick</t>
        </is>
      </c>
      <c r="E15321" t="n">
        <v>15.49</v>
      </c>
      <c r="F15321" t="n">
        <v>1</v>
      </c>
      <c r="G15321" t="n">
        <v>43</v>
      </c>
      <c r="H15321" s="5">
        <f>HYPERLINK("https://api.qogita.com/variants/link/5038581148373/", "View Product")</f>
        <v/>
      </c>
    </row>
    <row r="15322">
      <c r="A15322" t="inlineStr">
        <is>
          <t>5038581148397</t>
        </is>
      </c>
      <c r="B15322" t="inlineStr">
        <is>
          <t>Woodwick Renew Incense &amp; Myrrh Candle Medium Glass 184 Grams</t>
        </is>
      </c>
      <c r="C15322" t="inlineStr">
        <is>
          <t>Candles</t>
        </is>
      </c>
      <c r="D15322" t="inlineStr">
        <is>
          <t>Woodwick</t>
        </is>
      </c>
      <c r="E15322" t="n">
        <v>15.54</v>
      </c>
      <c r="F15322" t="n">
        <v>1</v>
      </c>
      <c r="G15322" t="n">
        <v>52</v>
      </c>
      <c r="H15322" s="5">
        <f>HYPERLINK("https://api.qogita.com/variants/link/5038581148397/", "View Product")</f>
        <v/>
      </c>
    </row>
    <row r="15323">
      <c r="A15323" t="inlineStr">
        <is>
          <t>5038581148540</t>
        </is>
      </c>
      <c r="B15323" t="inlineStr">
        <is>
          <t>Woodwick Sagewood &amp; Seagrass Scented Candle Vase 275 G</t>
        </is>
      </c>
      <c r="C15323" t="inlineStr">
        <is>
          <t>Candles</t>
        </is>
      </c>
      <c r="D15323" t="inlineStr">
        <is>
          <t>Woodwick</t>
        </is>
      </c>
      <c r="E15323" t="n">
        <v>13.96</v>
      </c>
      <c r="F15323" t="n">
        <v>1</v>
      </c>
      <c r="G15323" t="n">
        <v>6</v>
      </c>
      <c r="H15323" s="5">
        <f>HYPERLINK("https://api.qogita.com/variants/link/5038581148540/", "View Product")</f>
        <v/>
      </c>
    </row>
    <row r="15324">
      <c r="A15324" t="inlineStr">
        <is>
          <t>5038581149233</t>
        </is>
      </c>
      <c r="B15324" t="inlineStr">
        <is>
          <t>Yankee Candle Home Inspiration Large Fresh Eucalyptus Scented Candle 538 G</t>
        </is>
      </c>
      <c r="C15324" t="inlineStr">
        <is>
          <t>Candles</t>
        </is>
      </c>
      <c r="D15324" t="inlineStr">
        <is>
          <t>Yankee Candle</t>
        </is>
      </c>
      <c r="E15324" t="n">
        <v>13.76</v>
      </c>
      <c r="F15324" t="n">
        <v>1</v>
      </c>
      <c r="G15324" t="n">
        <v>18</v>
      </c>
      <c r="H15324" s="5">
        <f>HYPERLINK("https://api.qogita.com/variants/link/5038581149233/", "View Product")</f>
        <v/>
      </c>
    </row>
    <row r="15325">
      <c r="A15325" t="inlineStr">
        <is>
          <t>5038581149455</t>
        </is>
      </c>
      <c r="B15325" t="inlineStr">
        <is>
          <t>Yankee Candle Scented Candle Home Inspiration Small Lavender Beach 104 G</t>
        </is>
      </c>
      <c r="C15325" t="inlineStr">
        <is>
          <t>Candles</t>
        </is>
      </c>
      <c r="D15325" t="inlineStr">
        <is>
          <t>Yankee Candle</t>
        </is>
      </c>
      <c r="E15325" t="n">
        <v>7.13</v>
      </c>
      <c r="F15325" t="n">
        <v>1</v>
      </c>
      <c r="G15325" t="n">
        <v>31</v>
      </c>
      <c r="H15325" s="5">
        <f>HYPERLINK("https://api.qogita.com/variants/link/5038581149455/", "View Product")</f>
        <v/>
      </c>
    </row>
    <row r="15326">
      <c r="A15326" t="inlineStr">
        <is>
          <t>5038581150109</t>
        </is>
      </c>
      <c r="B15326" t="inlineStr">
        <is>
          <t>Yankee Candle Wild Orchid Scentplug Refills 2 X 185 Ml</t>
        </is>
      </c>
      <c r="C15326" t="inlineStr">
        <is>
          <t>Diffusers</t>
        </is>
      </c>
      <c r="D15326" t="inlineStr">
        <is>
          <t>Yankee Candle</t>
        </is>
      </c>
      <c r="E15326" t="n">
        <v>6.35</v>
      </c>
      <c r="F15326" t="n">
        <v>1</v>
      </c>
      <c r="G15326" t="n">
        <v>31</v>
      </c>
      <c r="H15326" s="5">
        <f>HYPERLINK("https://api.qogita.com/variants/link/5038581150109/", "View Product")</f>
        <v/>
      </c>
    </row>
    <row r="15327">
      <c r="A15327" t="inlineStr">
        <is>
          <t>5038581151151</t>
        </is>
      </c>
      <c r="B15327" t="inlineStr">
        <is>
          <t>Yankee Candle Banoffee Waffle Signature Candle A Delightful Blend Of Waffles With Bananas And Caramel</t>
        </is>
      </c>
      <c r="C15327" t="inlineStr">
        <is>
          <t>Candles</t>
        </is>
      </c>
      <c r="D15327" t="inlineStr">
        <is>
          <t>Yankee Candle</t>
        </is>
      </c>
      <c r="E15327" t="n">
        <v>19.25</v>
      </c>
      <c r="F15327" t="n">
        <v>1</v>
      </c>
      <c r="G15327" t="n">
        <v>3</v>
      </c>
      <c r="H15327" s="5">
        <f>HYPERLINK("https://api.qogita.com/variants/link/5038581151151/", "View Product")</f>
        <v/>
      </c>
    </row>
    <row r="15328">
      <c r="A15328" t="inlineStr">
        <is>
          <t>5038581153940</t>
        </is>
      </c>
      <c r="B15328" t="inlineStr">
        <is>
          <t>Yankee Candle Evening Riverwalk Signature Tumbler Candle Large 567 G</t>
        </is>
      </c>
      <c r="C15328" t="inlineStr">
        <is>
          <t>Candles</t>
        </is>
      </c>
      <c r="D15328" t="inlineStr">
        <is>
          <t>Yankee Candle</t>
        </is>
      </c>
      <c r="E15328" t="n">
        <v>19.92</v>
      </c>
      <c r="F15328" t="n">
        <v>1</v>
      </c>
      <c r="G15328" t="n">
        <v>45</v>
      </c>
      <c r="H15328" s="5">
        <f>HYPERLINK("https://api.qogita.com/variants/link/5038581153940/", "View Product")</f>
        <v/>
      </c>
    </row>
    <row r="15329">
      <c r="A15329" t="inlineStr">
        <is>
          <t>5038581154046</t>
        </is>
      </c>
      <c r="B15329" t="inlineStr">
        <is>
          <t>Yankee Candle Aromatic Candle Signature Glass Large Autumn Daydream 567 G</t>
        </is>
      </c>
      <c r="C15329" t="inlineStr">
        <is>
          <t>Candles</t>
        </is>
      </c>
      <c r="D15329" t="inlineStr">
        <is>
          <t>Yankee Candle</t>
        </is>
      </c>
      <c r="E15329" t="n">
        <v>19.82</v>
      </c>
      <c r="F15329" t="n">
        <v>1</v>
      </c>
      <c r="G15329" t="n">
        <v>65</v>
      </c>
      <c r="H15329" s="5">
        <f>HYPERLINK("https://api.qogita.com/variants/link/5038581154046/", "View Product")</f>
        <v/>
      </c>
    </row>
    <row r="15330">
      <c r="A15330" t="inlineStr">
        <is>
          <t>5038581155722</t>
        </is>
      </c>
      <c r="B15330" t="inlineStr">
        <is>
          <t>Woodwick Santal Myrrh Vase Large Scented Candle With Sandalwood And Myrrh 6095 G</t>
        </is>
      </c>
      <c r="C15330" t="inlineStr">
        <is>
          <t>Candles</t>
        </is>
      </c>
      <c r="D15330" t="inlineStr">
        <is>
          <t>Woodwick</t>
        </is>
      </c>
      <c r="E15330" t="n">
        <v>20.33</v>
      </c>
      <c r="F15330" t="n">
        <v>1</v>
      </c>
      <c r="G15330" t="n">
        <v>81</v>
      </c>
      <c r="H15330" s="5">
        <f>HYPERLINK("https://api.qogita.com/variants/link/5038581155722/", "View Product")</f>
        <v/>
      </c>
    </row>
    <row r="15331">
      <c r="A15331" t="inlineStr">
        <is>
          <t>5038581155777</t>
        </is>
      </c>
      <c r="B15331" t="inlineStr">
        <is>
          <t>Woodwick Hinoki Dahlia Vase Scented Candle Vase 275 G</t>
        </is>
      </c>
      <c r="C15331" t="inlineStr">
        <is>
          <t>Candles</t>
        </is>
      </c>
      <c r="D15331" t="inlineStr">
        <is>
          <t>Woodwick</t>
        </is>
      </c>
      <c r="E15331" t="n">
        <v>14.73</v>
      </c>
      <c r="F15331" t="n">
        <v>1</v>
      </c>
      <c r="G15331" t="n">
        <v>76</v>
      </c>
      <c r="H15331" s="5">
        <f>HYPERLINK("https://api.qogita.com/variants/link/5038581155777/", "View Product")</f>
        <v/>
      </c>
    </row>
    <row r="15332">
      <c r="A15332" t="inlineStr">
        <is>
          <t>5038581155869</t>
        </is>
      </c>
      <c r="B15332" t="inlineStr">
        <is>
          <t>WoodWick Sandalwood Myrrh Mini Hourglass Scented Candle Decor Gift</t>
        </is>
      </c>
      <c r="C15332" t="inlineStr">
        <is>
          <t>Candles</t>
        </is>
      </c>
      <c r="D15332" t="inlineStr">
        <is>
          <t>Woodwick</t>
        </is>
      </c>
      <c r="E15332" t="n">
        <v>7.53</v>
      </c>
      <c r="F15332" t="n">
        <v>1</v>
      </c>
      <c r="G15332" t="n">
        <v>20</v>
      </c>
      <c r="H15332" s="5">
        <f>HYPERLINK("https://api.qogita.com/variants/link/5038581155869/", "View Product")</f>
        <v/>
      </c>
    </row>
    <row r="15333">
      <c r="A15333" t="inlineStr">
        <is>
          <t>5038581158228</t>
        </is>
      </c>
      <c r="B15333" t="inlineStr">
        <is>
          <t>Yankee Candle Home Inspiration Lemon Lime Popsicle Scented Candle 104 G</t>
        </is>
      </c>
      <c r="C15333" t="inlineStr">
        <is>
          <t>Candles</t>
        </is>
      </c>
      <c r="D15333" t="inlineStr">
        <is>
          <t>Yankee Candle</t>
        </is>
      </c>
      <c r="E15333" t="n">
        <v>7.13</v>
      </c>
      <c r="F15333" t="n">
        <v>1</v>
      </c>
      <c r="G15333" t="n">
        <v>78</v>
      </c>
      <c r="H15333" s="5">
        <f>HYPERLINK("https://api.qogita.com/variants/link/5038581158228/", "View Product")</f>
        <v/>
      </c>
    </row>
    <row r="15334">
      <c r="A15334" t="inlineStr">
        <is>
          <t>5038581158242</t>
        </is>
      </c>
      <c r="B15334" t="inlineStr">
        <is>
          <t>Yankee Candle Scented Candle Home Inspiration Small City Blooms 104 G</t>
        </is>
      </c>
      <c r="C15334" t="inlineStr">
        <is>
          <t>Candles</t>
        </is>
      </c>
      <c r="D15334" t="inlineStr">
        <is>
          <t>Yankee Candle</t>
        </is>
      </c>
      <c r="E15334" t="n">
        <v>7.13</v>
      </c>
      <c r="F15334" t="n">
        <v>1</v>
      </c>
      <c r="G15334" t="n">
        <v>56</v>
      </c>
      <c r="H15334" s="5">
        <f>HYPERLINK("https://api.qogita.com/variants/link/5038581158242/", "View Product")</f>
        <v/>
      </c>
    </row>
    <row r="15335">
      <c r="A15335" t="inlineStr">
        <is>
          <t>5038581158709</t>
        </is>
      </c>
      <c r="B15335" t="inlineStr">
        <is>
          <t>Yankee Candle Aloe &amp; Agave Signature Candle Medium Glass 368 G</t>
        </is>
      </c>
      <c r="C15335" t="inlineStr">
        <is>
          <t>Candles</t>
        </is>
      </c>
      <c r="D15335" t="inlineStr">
        <is>
          <t>Yankee Candle</t>
        </is>
      </c>
      <c r="E15335" t="n">
        <v>16.57</v>
      </c>
      <c r="F15335" t="n">
        <v>1</v>
      </c>
      <c r="G15335" t="n">
        <v>25</v>
      </c>
      <c r="H15335" s="5">
        <f>HYPERLINK("https://api.qogita.com/variants/link/5038581158709/", "View Product")</f>
        <v/>
      </c>
    </row>
    <row r="15336">
      <c r="A15336" t="inlineStr">
        <is>
          <t>5038581160276</t>
        </is>
      </c>
      <c r="B15336" t="inlineStr">
        <is>
          <t>Woodwick Scented Candle Vase Manuka Nectar 275 G</t>
        </is>
      </c>
      <c r="C15336" t="inlineStr">
        <is>
          <t>Candles</t>
        </is>
      </c>
      <c r="D15336" t="inlineStr">
        <is>
          <t>Woodwick</t>
        </is>
      </c>
      <c r="E15336" t="n">
        <v>14.73</v>
      </c>
      <c r="F15336" t="n">
        <v>1</v>
      </c>
      <c r="G15336" t="n">
        <v>33</v>
      </c>
      <c r="H15336" s="5">
        <f>HYPERLINK("https://api.qogita.com/variants/link/5038581160276/", "View Product")</f>
        <v/>
      </c>
    </row>
    <row r="15337">
      <c r="A15337" t="inlineStr">
        <is>
          <t>5038581161426</t>
        </is>
      </c>
      <c r="B15337" t="inlineStr">
        <is>
          <t>Yankee Pumpkin And Cinnamon Candle Jar 567g</t>
        </is>
      </c>
      <c r="C15337" t="inlineStr">
        <is>
          <t>Candles</t>
        </is>
      </c>
      <c r="D15337" t="inlineStr">
        <is>
          <t>Yankee Candle</t>
        </is>
      </c>
      <c r="E15337" t="n">
        <v>25.09</v>
      </c>
      <c r="F15337" t="n">
        <v>1</v>
      </c>
      <c r="G15337" t="n">
        <v>2</v>
      </c>
      <c r="H15337" s="5">
        <f>HYPERLINK("https://api.qogita.com/variants/link/5038581161426/", "View Product")</f>
        <v/>
      </c>
    </row>
    <row r="15338">
      <c r="A15338" t="inlineStr">
        <is>
          <t>5038581161891</t>
        </is>
      </c>
      <c r="B15338" t="inlineStr">
        <is>
          <t>Yankee Candle Woodland Weekend Memories Medium Signature Jar</t>
        </is>
      </c>
      <c r="C15338" t="inlineStr">
        <is>
          <t>Candles</t>
        </is>
      </c>
      <c r="D15338" t="inlineStr">
        <is>
          <t>Yankee Candle</t>
        </is>
      </c>
      <c r="E15338" t="n">
        <v>17.26</v>
      </c>
      <c r="F15338" t="n">
        <v>1</v>
      </c>
      <c r="G15338" t="n">
        <v>5</v>
      </c>
      <c r="H15338" s="5">
        <f>HYPERLINK("https://api.qogita.com/variants/link/5038581161891/", "View Product")</f>
        <v/>
      </c>
    </row>
    <row r="15339">
      <c r="A15339" t="inlineStr">
        <is>
          <t>5038581161983</t>
        </is>
      </c>
      <c r="B15339" t="inlineStr">
        <is>
          <t>Yankee Candle Aromatic Candle Signature Tumbler Small Woodland Weekend Memories - 122 Grams</t>
        </is>
      </c>
      <c r="C15339" t="inlineStr">
        <is>
          <t>Candles</t>
        </is>
      </c>
      <c r="D15339" t="inlineStr">
        <is>
          <t>Yankee Candle</t>
        </is>
      </c>
      <c r="E15339" t="n">
        <v>7.46</v>
      </c>
      <c r="F15339" t="n">
        <v>1</v>
      </c>
      <c r="G15339" t="n">
        <v>24</v>
      </c>
      <c r="H15339" s="5">
        <f>HYPERLINK("https://api.qogita.com/variants/link/5038581161983/", "View Product")</f>
        <v/>
      </c>
    </row>
    <row r="15340">
      <c r="A15340" t="inlineStr">
        <is>
          <t>5038581162386</t>
        </is>
      </c>
      <c r="B15340" t="inlineStr">
        <is>
          <t>Woodwick Scented Candle Vase Phantom Cherry 6095 G</t>
        </is>
      </c>
      <c r="C15340" t="inlineStr">
        <is>
          <t>Candles</t>
        </is>
      </c>
      <c r="D15340" t="inlineStr">
        <is>
          <t>Woodwick</t>
        </is>
      </c>
      <c r="E15340" t="n">
        <v>20.07</v>
      </c>
      <c r="F15340" t="n">
        <v>1</v>
      </c>
      <c r="G15340" t="n">
        <v>19</v>
      </c>
      <c r="H15340" s="5">
        <f>HYPERLINK("https://api.qogita.com/variants/link/5038581162386/", "View Product")</f>
        <v/>
      </c>
    </row>
    <row r="15341">
      <c r="A15341" t="inlineStr">
        <is>
          <t>5038581162478</t>
        </is>
      </c>
      <c r="B15341" t="inlineStr">
        <is>
          <t>Woodwick Gilded Sands Scented Candle Vase 275 G</t>
        </is>
      </c>
      <c r="C15341" t="inlineStr">
        <is>
          <t>Candles</t>
        </is>
      </c>
      <c r="D15341" t="inlineStr">
        <is>
          <t>Woodwick</t>
        </is>
      </c>
      <c r="E15341" t="n">
        <v>14.73</v>
      </c>
      <c r="F15341" t="n">
        <v>1</v>
      </c>
      <c r="G15341" t="n">
        <v>130</v>
      </c>
      <c r="H15341" s="5">
        <f>HYPERLINK("https://api.qogita.com/variants/link/5038581162478/", "View Product")</f>
        <v/>
      </c>
    </row>
    <row r="15342">
      <c r="A15342" t="inlineStr">
        <is>
          <t>5038581167824</t>
        </is>
      </c>
      <c r="B15342" t="inlineStr">
        <is>
          <t>Woodwick Scented Candle with Crackling Wick Rouge Oud Ellipse</t>
        </is>
      </c>
      <c r="C15342" t="inlineStr">
        <is>
          <t>Candles</t>
        </is>
      </c>
      <c r="D15342" t="inlineStr">
        <is>
          <t>Woodwick</t>
        </is>
      </c>
      <c r="E15342" t="n">
        <v>25.66</v>
      </c>
      <c r="F15342" t="n">
        <v>1</v>
      </c>
      <c r="G15342" t="n">
        <v>11</v>
      </c>
      <c r="H15342" s="5">
        <f>HYPERLINK("https://api.qogita.com/variants/link/5038581167824/", "View Product")</f>
        <v/>
      </c>
    </row>
    <row r="15343">
      <c r="A15343" t="inlineStr">
        <is>
          <t>5038581167831</t>
        </is>
      </c>
      <c r="B15343" t="inlineStr">
        <is>
          <t>Woodwick Scented Candle with Crackling Wick Golden Bourbon Large</t>
        </is>
      </c>
      <c r="C15343" t="inlineStr">
        <is>
          <t>Candles</t>
        </is>
      </c>
      <c r="D15343" t="inlineStr">
        <is>
          <t>Woodwick</t>
        </is>
      </c>
      <c r="E15343" t="n">
        <v>24.99</v>
      </c>
      <c r="F15343" t="n">
        <v>1</v>
      </c>
      <c r="G15343" t="n">
        <v>7</v>
      </c>
      <c r="H15343" s="5">
        <f>HYPERLINK("https://api.qogita.com/variants/link/5038581167831/", "View Product")</f>
        <v/>
      </c>
    </row>
    <row r="15344">
      <c r="A15344" t="inlineStr">
        <is>
          <t>5038581167855</t>
        </is>
      </c>
      <c r="B15344" t="inlineStr">
        <is>
          <t>Woodwick Scented Candle with Crackling Wick Large Hourglass Rouge Oud</t>
        </is>
      </c>
      <c r="C15344" t="inlineStr">
        <is>
          <t>Candles</t>
        </is>
      </c>
      <c r="D15344" t="inlineStr">
        <is>
          <t>Woodwick</t>
        </is>
      </c>
      <c r="E15344" t="n">
        <v>24.99</v>
      </c>
      <c r="F15344" t="n">
        <v>1</v>
      </c>
      <c r="G15344" t="n">
        <v>9</v>
      </c>
      <c r="H15344" s="5">
        <f>HYPERLINK("https://api.qogita.com/variants/link/5038581167855/", "View Product")</f>
        <v/>
      </c>
    </row>
    <row r="15345">
      <c r="A15345" t="inlineStr">
        <is>
          <t>5038581167886</t>
        </is>
      </c>
      <c r="B15345" t="inlineStr">
        <is>
          <t>Woodwick Scented Candle with Crackling Wick Rouge Oud Medium Hourglass</t>
        </is>
      </c>
      <c r="C15345" t="inlineStr">
        <is>
          <t>Candles</t>
        </is>
      </c>
      <c r="D15345" t="inlineStr">
        <is>
          <t>Woodwick</t>
        </is>
      </c>
      <c r="E15345" t="n">
        <v>17.9</v>
      </c>
      <c r="F15345" t="n">
        <v>1</v>
      </c>
      <c r="G15345" t="n">
        <v>13</v>
      </c>
      <c r="H15345" s="5">
        <f>HYPERLINK("https://api.qogita.com/variants/link/5038581167886/", "View Product")</f>
        <v/>
      </c>
    </row>
    <row r="15346">
      <c r="A15346" t="inlineStr">
        <is>
          <t>5045492043413</t>
        </is>
      </c>
      <c r="B15346" t="inlineStr">
        <is>
          <t>Mr. Burberry Moisturizer For Men 75 ml</t>
        </is>
      </c>
      <c r="C15346" t="inlineStr">
        <is>
          <t>Face Cream</t>
        </is>
      </c>
      <c r="D15346" t="inlineStr">
        <is>
          <t>Burberry</t>
        </is>
      </c>
      <c r="E15346" t="n">
        <v>15.1</v>
      </c>
      <c r="F15346" t="n">
        <v>1</v>
      </c>
      <c r="G15346" t="n">
        <v>3</v>
      </c>
      <c r="H15346" s="5">
        <f>HYPERLINK("https://api.qogita.com/variants/link/5045492043413/", "View Product")</f>
        <v/>
      </c>
    </row>
    <row r="15347">
      <c r="A15347" t="inlineStr">
        <is>
          <t>5050456001514</t>
        </is>
      </c>
      <c r="B15347" t="inlineStr">
        <is>
          <t>Jean-Louis Scherrer Pop Delights 03 Eau de Toilette Spray 100ml</t>
        </is>
      </c>
      <c r="C15347" t="inlineStr">
        <is>
          <t>Eau De Toilette</t>
        </is>
      </c>
      <c r="D15347" t="inlineStr">
        <is>
          <t>Jean Louis Scherrer</t>
        </is>
      </c>
      <c r="E15347" t="n">
        <v>13.65</v>
      </c>
      <c r="F15347" t="n">
        <v>1</v>
      </c>
      <c r="G15347" t="n">
        <v>2</v>
      </c>
      <c r="H15347" s="5">
        <f>HYPERLINK("https://api.qogita.com/variants/link/5050456001514/", "View Product")</f>
        <v/>
      </c>
    </row>
    <row r="15348">
      <c r="A15348" t="inlineStr">
        <is>
          <t>5050456001521</t>
        </is>
      </c>
      <c r="B15348" t="inlineStr">
        <is>
          <t>Jean Louis Scherrer Pop Delights 01 Eau de Toilette Spray 50ml</t>
        </is>
      </c>
      <c r="C15348" t="inlineStr">
        <is>
          <t>Eau De Toilette</t>
        </is>
      </c>
      <c r="D15348" t="inlineStr">
        <is>
          <t>Jean Louis Scherrer</t>
        </is>
      </c>
      <c r="E15348" t="n">
        <v>10.48</v>
      </c>
      <c r="F15348" t="n">
        <v>1</v>
      </c>
      <c r="G15348" t="n">
        <v>14</v>
      </c>
      <c r="H15348" s="5">
        <f>HYPERLINK("https://api.qogita.com/variants/link/5050456001521/", "View Product")</f>
        <v/>
      </c>
    </row>
    <row r="15349">
      <c r="A15349" t="inlineStr">
        <is>
          <t>5050456003051</t>
        </is>
      </c>
      <c r="B15349" t="inlineStr">
        <is>
          <t>Naomi Campbell Here To Shine Eau De Toilette Spray 30ml</t>
        </is>
      </c>
      <c r="C15349" t="inlineStr">
        <is>
          <t>Eau De Toilette</t>
        </is>
      </c>
      <c r="D15349" t="inlineStr">
        <is>
          <t>Naomi Campbell</t>
        </is>
      </c>
      <c r="E15349" t="n">
        <v>11.46</v>
      </c>
      <c r="F15349" t="n">
        <v>1</v>
      </c>
      <c r="G15349" t="n">
        <v>5</v>
      </c>
      <c r="H15349" s="5">
        <f>HYPERLINK("https://api.qogita.com/variants/link/5050456003051/", "View Product")</f>
        <v/>
      </c>
    </row>
    <row r="15350">
      <c r="A15350" t="inlineStr">
        <is>
          <t>5050456005697</t>
        </is>
      </c>
      <c r="B15350" t="inlineStr">
        <is>
          <t>Cerruti 1881 Eau De Toilette 100ml And Deodorant Spray 150ml Gift Set</t>
        </is>
      </c>
      <c r="C15350" t="inlineStr">
        <is>
          <t>Fragrance</t>
        </is>
      </c>
      <c r="D15350" t="inlineStr">
        <is>
          <t xml:space="preserve">Cerruti </t>
        </is>
      </c>
      <c r="E15350" t="n">
        <v>29.26</v>
      </c>
      <c r="F15350" t="n">
        <v>1</v>
      </c>
      <c r="G15350" t="n">
        <v>5</v>
      </c>
      <c r="H15350" s="5">
        <f>HYPERLINK("https://api.qogita.com/variants/link/5050456005697/", "View Product")</f>
        <v/>
      </c>
    </row>
    <row r="15351">
      <c r="A15351" t="inlineStr">
        <is>
          <t>5050456021932</t>
        </is>
      </c>
      <c r="B15351" t="inlineStr">
        <is>
          <t>Jean Patou Que Sais Je Heritage Collection Eau de Parfum Spray for Women 100ml</t>
        </is>
      </c>
      <c r="C15351" t="inlineStr">
        <is>
          <t>Eau De Parfum</t>
        </is>
      </c>
      <c r="D15351" t="inlineStr">
        <is>
          <t>Jean Patou</t>
        </is>
      </c>
      <c r="E15351" t="n">
        <v>51.77</v>
      </c>
      <c r="F15351" t="n">
        <v>1</v>
      </c>
      <c r="G15351" t="n">
        <v>4</v>
      </c>
      <c r="H15351" s="5">
        <f>HYPERLINK("https://api.qogita.com/variants/link/5050456021932/", "View Product")</f>
        <v/>
      </c>
    </row>
    <row r="15352">
      <c r="A15352" t="inlineStr">
        <is>
          <t>5050456044054</t>
        </is>
      </c>
      <c r="B15352" t="inlineStr">
        <is>
          <t>Jean Louis Sherrer Eau De Toilette 100ml</t>
        </is>
      </c>
      <c r="C15352" t="inlineStr">
        <is>
          <t>Eau De Toilette</t>
        </is>
      </c>
      <c r="D15352" t="inlineStr">
        <is>
          <t>Jean-Louis Scherrer</t>
        </is>
      </c>
      <c r="E15352" t="n">
        <v>34.63</v>
      </c>
      <c r="F15352" t="n">
        <v>1</v>
      </c>
      <c r="G15352" t="n">
        <v>65</v>
      </c>
      <c r="H15352" s="5">
        <f>HYPERLINK("https://api.qogita.com/variants/link/5050456044054/", "View Product")</f>
        <v/>
      </c>
    </row>
    <row r="15353">
      <c r="A15353" t="inlineStr">
        <is>
          <t>5050456080304</t>
        </is>
      </c>
      <c r="B15353" t="inlineStr">
        <is>
          <t>Jennifer Lopez Glow Eau De Toilette Spray 100ml</t>
        </is>
      </c>
      <c r="C15353" t="inlineStr">
        <is>
          <t>Eau De Toilette</t>
        </is>
      </c>
      <c r="D15353" t="inlineStr">
        <is>
          <t>Jennifer Lopez</t>
        </is>
      </c>
      <c r="E15353" t="n">
        <v>22.69</v>
      </c>
      <c r="F15353" t="n">
        <v>1</v>
      </c>
      <c r="G15353" t="n">
        <v>333</v>
      </c>
      <c r="H15353" s="5">
        <f>HYPERLINK("https://api.qogita.com/variants/link/5050456080304/", "View Product")</f>
        <v/>
      </c>
    </row>
    <row r="15354">
      <c r="A15354" t="inlineStr">
        <is>
          <t>5050456080601</t>
        </is>
      </c>
      <c r="B15354" t="inlineStr">
        <is>
          <t>Jennifer Lopez Still Eau De Parfum 100ml For Women</t>
        </is>
      </c>
      <c r="C15354" t="inlineStr">
        <is>
          <t>Eau De Parfum</t>
        </is>
      </c>
      <c r="D15354" t="inlineStr">
        <is>
          <t>Jennifer Lopez</t>
        </is>
      </c>
      <c r="E15354" t="n">
        <v>21.29</v>
      </c>
      <c r="F15354" t="n">
        <v>1</v>
      </c>
      <c r="G15354" t="n">
        <v>48</v>
      </c>
      <c r="H15354" s="5">
        <f>HYPERLINK("https://api.qogita.com/variants/link/5050456080601/", "View Product")</f>
        <v/>
      </c>
    </row>
    <row r="15355">
      <c r="A15355" t="inlineStr">
        <is>
          <t>5050456080700</t>
        </is>
      </c>
      <c r="B15355" t="inlineStr">
        <is>
          <t>Jennifer Lopez Live Eau De Parfum For Women 50 Ml Spray</t>
        </is>
      </c>
      <c r="C15355" t="inlineStr">
        <is>
          <t>Eau De Parfum</t>
        </is>
      </c>
      <c r="D15355" t="inlineStr">
        <is>
          <t>Jennifer Lopez</t>
        </is>
      </c>
      <c r="E15355" t="n">
        <v>13.93</v>
      </c>
      <c r="F15355" t="n">
        <v>1</v>
      </c>
      <c r="G15355" t="n">
        <v>27</v>
      </c>
      <c r="H15355" s="5">
        <f>HYPERLINK("https://api.qogita.com/variants/link/5050456080700/", "View Product")</f>
        <v/>
      </c>
    </row>
    <row r="15356">
      <c r="A15356" t="inlineStr">
        <is>
          <t>5050456080809</t>
        </is>
      </c>
      <c r="B15356" t="inlineStr">
        <is>
          <t>Jennifer Lopez Live Eau De Toilette 100ml For Women</t>
        </is>
      </c>
      <c r="C15356" t="inlineStr">
        <is>
          <t>Eau De Toilette</t>
        </is>
      </c>
      <c r="D15356" t="inlineStr">
        <is>
          <t>Jennifer Lopez</t>
        </is>
      </c>
      <c r="E15356" t="n">
        <v>17.06</v>
      </c>
      <c r="F15356" t="n">
        <v>1</v>
      </c>
      <c r="G15356" t="n">
        <v>56</v>
      </c>
      <c r="H15356" s="5">
        <f>HYPERLINK("https://api.qogita.com/variants/link/5050456080809/", "View Product")</f>
        <v/>
      </c>
    </row>
    <row r="15357">
      <c r="A15357" t="inlineStr">
        <is>
          <t>5050456312047</t>
        </is>
      </c>
      <c r="B15357" t="inlineStr">
        <is>
          <t>Ghost The Fragrance Eau De Toilette Spray 100ml</t>
        </is>
      </c>
      <c r="C15357" t="inlineStr">
        <is>
          <t>Eau De Toilette</t>
        </is>
      </c>
      <c r="D15357" t="inlineStr">
        <is>
          <t>Ghost</t>
        </is>
      </c>
      <c r="E15357" t="n">
        <v>33.95</v>
      </c>
      <c r="F15357" t="n">
        <v>1</v>
      </c>
      <c r="G15357" t="n">
        <v>3</v>
      </c>
      <c r="H15357" s="5">
        <f>HYPERLINK("https://api.qogita.com/variants/link/5050456312047/", "View Product")</f>
        <v/>
      </c>
    </row>
    <row r="15358">
      <c r="A15358" t="inlineStr">
        <is>
          <t>5050456521876</t>
        </is>
      </c>
      <c r="B15358" t="inlineStr">
        <is>
          <t>Playboy Play It Wild Skin Touch Body Spray 5 Oz</t>
        </is>
      </c>
      <c r="C15358" t="inlineStr">
        <is>
          <t>Eau De Toilette</t>
        </is>
      </c>
      <c r="D15358" t="inlineStr">
        <is>
          <t>Playboy</t>
        </is>
      </c>
      <c r="E15358" t="n">
        <v>3.48</v>
      </c>
      <c r="F15358" t="n">
        <v>1</v>
      </c>
      <c r="G15358" t="n">
        <v>10</v>
      </c>
      <c r="H15358" s="5">
        <f>HYPERLINK("https://api.qogita.com/variants/link/5050456521876/", "View Product")</f>
        <v/>
      </c>
    </row>
    <row r="15359">
      <c r="A15359" t="inlineStr">
        <is>
          <t>5050456523757</t>
        </is>
      </c>
      <c r="B15359" t="inlineStr">
        <is>
          <t>Cerruti Image Eau De Toilette Spray 75ml Women's Fragrance</t>
        </is>
      </c>
      <c r="C15359" t="inlineStr">
        <is>
          <t>Eau De Toilette</t>
        </is>
      </c>
      <c r="D15359" t="inlineStr">
        <is>
          <t xml:space="preserve">Cerruti </t>
        </is>
      </c>
      <c r="E15359" t="n">
        <v>12.22</v>
      </c>
      <c r="F15359" t="n">
        <v>1</v>
      </c>
      <c r="G15359" t="n">
        <v>269</v>
      </c>
      <c r="H15359" s="5">
        <f>HYPERLINK("https://api.qogita.com/variants/link/5050456523757/", "View Product")</f>
        <v/>
      </c>
    </row>
    <row r="15360">
      <c r="A15360" t="inlineStr">
        <is>
          <t>5050456523764</t>
        </is>
      </c>
      <c r="B15360" t="inlineStr">
        <is>
          <t>Cerruti Image Men Eau De Toilette Spray 100ml</t>
        </is>
      </c>
      <c r="C15360" t="inlineStr">
        <is>
          <t>Eau De Toilette</t>
        </is>
      </c>
      <c r="D15360" t="inlineStr">
        <is>
          <t xml:space="preserve">Cerruti </t>
        </is>
      </c>
      <c r="E15360" t="n">
        <v>17.49</v>
      </c>
      <c r="F15360" t="n">
        <v>1</v>
      </c>
      <c r="G15360" t="n">
        <v>12</v>
      </c>
      <c r="H15360" s="5">
        <f>HYPERLINK("https://api.qogita.com/variants/link/5050456523764/", "View Product")</f>
        <v/>
      </c>
    </row>
    <row r="15361">
      <c r="A15361" t="inlineStr">
        <is>
          <t>5050456524228</t>
        </is>
      </c>
      <c r="B15361" t="inlineStr">
        <is>
          <t>Playboy YOU 2.0 Loading Eau de Toilette Spray for Women 40ml</t>
        </is>
      </c>
      <c r="C15361" t="inlineStr">
        <is>
          <t>Eau De Toilette</t>
        </is>
      </c>
      <c r="D15361" t="inlineStr">
        <is>
          <t>Playboy</t>
        </is>
      </c>
      <c r="E15361" t="n">
        <v>6.7</v>
      </c>
      <c r="F15361" t="n">
        <v>1</v>
      </c>
      <c r="G15361" t="n">
        <v>15</v>
      </c>
      <c r="H15361" s="5">
        <f>HYPERLINK("https://api.qogita.com/variants/link/5050456524228/", "View Product")</f>
        <v/>
      </c>
    </row>
    <row r="15362">
      <c r="A15362" t="inlineStr">
        <is>
          <t>5050456524426</t>
        </is>
      </c>
      <c r="B15362" t="inlineStr">
        <is>
          <t>Playboy Like a Queen Fragrance Mist 250ml</t>
        </is>
      </c>
      <c r="C15362" t="inlineStr">
        <is>
          <t>Fragrance Sets</t>
        </is>
      </c>
      <c r="D15362" t="inlineStr">
        <is>
          <t>Playboy</t>
        </is>
      </c>
      <c r="E15362" t="n">
        <v>8.59</v>
      </c>
      <c r="F15362" t="n">
        <v>1</v>
      </c>
      <c r="G15362" t="n">
        <v>5</v>
      </c>
      <c r="H15362" s="5">
        <f>HYPERLINK("https://api.qogita.com/variants/link/5050456524426/", "View Product")</f>
        <v/>
      </c>
    </row>
    <row r="15363">
      <c r="A15363" t="inlineStr">
        <is>
          <t>5051198882034</t>
        </is>
      </c>
      <c r="B15363" t="inlineStr">
        <is>
          <t>Miller Harris Hydra Figue Eau De Parfum Spray 50ml</t>
        </is>
      </c>
      <c r="C15363" t="inlineStr">
        <is>
          <t>Eau De Parfum</t>
        </is>
      </c>
      <c r="D15363" t="inlineStr">
        <is>
          <t>Miller Harris</t>
        </is>
      </c>
      <c r="E15363" t="n">
        <v>72.93000000000001</v>
      </c>
      <c r="F15363" t="n">
        <v>1</v>
      </c>
      <c r="G15363" t="n">
        <v>3</v>
      </c>
      <c r="H15363" s="5">
        <f>HYPERLINK("https://api.qogita.com/variants/link/5051198882034/", "View Product")</f>
        <v/>
      </c>
    </row>
    <row r="15364">
      <c r="A15364" t="inlineStr">
        <is>
          <t>5051198883017</t>
        </is>
      </c>
      <c r="B15364" t="inlineStr">
        <is>
          <t>Miller Harris Black Datura 100ml Eau De Parfum Spray</t>
        </is>
      </c>
      <c r="C15364" t="inlineStr">
        <is>
          <t>Eau De Parfum</t>
        </is>
      </c>
      <c r="D15364" t="inlineStr">
        <is>
          <t>Miller Harris</t>
        </is>
      </c>
      <c r="E15364" t="n">
        <v>114.21</v>
      </c>
      <c r="F15364" t="n">
        <v>1</v>
      </c>
      <c r="G15364" t="n">
        <v>6</v>
      </c>
      <c r="H15364" s="5">
        <f>HYPERLINK("https://api.qogita.com/variants/link/5051198883017/", "View Product")</f>
        <v/>
      </c>
    </row>
    <row r="15365">
      <c r="A15365" t="inlineStr">
        <is>
          <t>5051198884076</t>
        </is>
      </c>
      <c r="B15365" t="inlineStr">
        <is>
          <t>Miller Harris Staccato Eau De Parfum 100ml</t>
        </is>
      </c>
      <c r="C15365" t="inlineStr">
        <is>
          <t>Eau De Parfum</t>
        </is>
      </c>
      <c r="D15365" t="inlineStr">
        <is>
          <t>Miller Harris</t>
        </is>
      </c>
      <c r="E15365" t="n">
        <v>115.74</v>
      </c>
      <c r="F15365" t="n">
        <v>1</v>
      </c>
      <c r="G15365" t="n">
        <v>3</v>
      </c>
      <c r="H15365" s="5">
        <f>HYPERLINK("https://api.qogita.com/variants/link/5051198884076/", "View Product")</f>
        <v/>
      </c>
    </row>
    <row r="15366">
      <c r="A15366" t="inlineStr">
        <is>
          <t>5054563948281</t>
        </is>
      </c>
      <c r="B15366" t="inlineStr">
        <is>
          <t>Parodontax Complete Protection - Whitening Toothpaste 75ml</t>
        </is>
      </c>
      <c r="C15366" t="inlineStr">
        <is>
          <t>Toothpaste</t>
        </is>
      </c>
      <c r="D15366" t="inlineStr">
        <is>
          <t>Parodontax</t>
        </is>
      </c>
      <c r="E15366" t="n">
        <v>3.88</v>
      </c>
      <c r="F15366" t="n">
        <v>1</v>
      </c>
      <c r="G15366" t="n">
        <v>36</v>
      </c>
      <c r="H15366" s="5">
        <f>HYPERLINK("https://api.qogita.com/variants/link/5054563948281/", "View Product")</f>
        <v/>
      </c>
    </row>
    <row r="15367">
      <c r="A15367" t="inlineStr">
        <is>
          <t>5055443679479</t>
        </is>
      </c>
      <c r="B15367" t="inlineStr">
        <is>
          <t>The Luxury Bathing Company Lavender Bergamot Sweet Dreams Gift Set</t>
        </is>
      </c>
      <c r="C15367" t="inlineStr">
        <is>
          <t>Toiletries Bags</t>
        </is>
      </c>
      <c r="D15367" t="inlineStr">
        <is>
          <t>The Luxury Bathing Company</t>
        </is>
      </c>
      <c r="E15367" t="n">
        <v>16.4</v>
      </c>
      <c r="F15367" t="n">
        <v>1</v>
      </c>
      <c r="G15367" t="n">
        <v>5</v>
      </c>
      <c r="H15367" s="5">
        <f>HYPERLINK("https://api.qogita.com/variants/link/5055443679479/", "View Product")</f>
        <v/>
      </c>
    </row>
    <row r="15368">
      <c r="A15368" t="inlineStr">
        <is>
          <t>5055586605311</t>
        </is>
      </c>
      <c r="B15368" t="inlineStr">
        <is>
          <t>Eight Triple Eight Coconut Shampoo 1000ml</t>
        </is>
      </c>
      <c r="C15368" t="inlineStr">
        <is>
          <t>Shampoo</t>
        </is>
      </c>
      <c r="D15368" t="inlineStr">
        <is>
          <t>808</t>
        </is>
      </c>
      <c r="E15368" t="n">
        <v>6</v>
      </c>
      <c r="F15368" t="n">
        <v>1</v>
      </c>
      <c r="G15368" t="n">
        <v>2</v>
      </c>
      <c r="H15368" s="5">
        <f>HYPERLINK("https://api.qogita.com/variants/link/5055586605311/", "View Product")</f>
        <v/>
      </c>
    </row>
    <row r="15369">
      <c r="A15369" t="inlineStr">
        <is>
          <t>5055810007720</t>
        </is>
      </c>
      <c r="B15369" t="inlineStr">
        <is>
          <t>Al Wataniah Shagaf Al Ward Eau De Parfum Spray 100ml</t>
        </is>
      </c>
      <c r="C15369" t="inlineStr">
        <is>
          <t>Eau De Parfum</t>
        </is>
      </c>
      <c r="D15369" t="inlineStr">
        <is>
          <t>Al Wataniah</t>
        </is>
      </c>
      <c r="E15369" t="n">
        <v>11.24</v>
      </c>
      <c r="F15369" t="n">
        <v>1</v>
      </c>
      <c r="G15369" t="n">
        <v>69</v>
      </c>
      <c r="H15369" s="5">
        <f>HYPERLINK("https://api.qogita.com/variants/link/5055810007720/", "View Product")</f>
        <v/>
      </c>
    </row>
    <row r="15370">
      <c r="A15370" t="inlineStr">
        <is>
          <t>5055810012120</t>
        </is>
      </c>
      <c r="B15370" t="inlineStr">
        <is>
          <t>Al Wataniah Alya Eau De Parfum Spray 100ml</t>
        </is>
      </c>
      <c r="C15370" t="inlineStr">
        <is>
          <t>Eau De Parfum</t>
        </is>
      </c>
      <c r="D15370" t="inlineStr">
        <is>
          <t>Al Wataniah</t>
        </is>
      </c>
      <c r="E15370" t="n">
        <v>12.87</v>
      </c>
      <c r="F15370" t="n">
        <v>1</v>
      </c>
      <c r="G15370" t="n">
        <v>26</v>
      </c>
      <c r="H15370" s="5">
        <f>HYPERLINK("https://api.qogita.com/variants/link/5055810012120/", "View Product")</f>
        <v/>
      </c>
    </row>
    <row r="15371">
      <c r="A15371" t="inlineStr">
        <is>
          <t>5055810014902</t>
        </is>
      </c>
      <c r="B15371" t="inlineStr">
        <is>
          <t>Al Wataniah Ameerati Eau De Parfum Spray 100ml</t>
        </is>
      </c>
      <c r="C15371" t="inlineStr">
        <is>
          <t>Eau De Parfum</t>
        </is>
      </c>
      <c r="D15371" t="inlineStr">
        <is>
          <t>Al Wataniah</t>
        </is>
      </c>
      <c r="E15371" t="n">
        <v>12.25</v>
      </c>
      <c r="F15371" t="n">
        <v>1</v>
      </c>
      <c r="G15371" t="n">
        <v>54</v>
      </c>
      <c r="H15371" s="5">
        <f>HYPERLINK("https://api.qogita.com/variants/link/5055810014902/", "View Product")</f>
        <v/>
      </c>
    </row>
    <row r="15372">
      <c r="A15372" t="inlineStr">
        <is>
          <t>5055810029999</t>
        </is>
      </c>
      <c r="B15372" t="inlineStr">
        <is>
          <t>Qasr Al Watan Eau de Parfum Volume 100 ml</t>
        </is>
      </c>
      <c r="C15372" t="inlineStr">
        <is>
          <t>Eau De Parfum</t>
        </is>
      </c>
      <c r="D15372" t="inlineStr">
        <is>
          <t>Al Wataniah</t>
        </is>
      </c>
      <c r="E15372" t="n">
        <v>18.16</v>
      </c>
      <c r="F15372" t="n">
        <v>1</v>
      </c>
      <c r="G15372" t="n">
        <v>25</v>
      </c>
      <c r="H15372" s="5">
        <f>HYPERLINK("https://api.qogita.com/variants/link/5055810029999/", "View Product")</f>
        <v/>
      </c>
    </row>
    <row r="15373">
      <c r="A15373" t="inlineStr">
        <is>
          <t>5055810030483</t>
        </is>
      </c>
      <c r="B15373" t="inlineStr">
        <is>
          <t>Al Wataniah Rawaee Regina Luxury Perfume for Women Eau De Parfum 100ml</t>
        </is>
      </c>
      <c r="C15373" t="inlineStr">
        <is>
          <t>Eau De Parfum</t>
        </is>
      </c>
      <c r="D15373" t="inlineStr">
        <is>
          <t>Al Wataniah</t>
        </is>
      </c>
      <c r="E15373" t="n">
        <v>19.06</v>
      </c>
      <c r="F15373" t="n">
        <v>1</v>
      </c>
      <c r="G15373" t="n">
        <v>30</v>
      </c>
      <c r="H15373" s="5">
        <f>HYPERLINK("https://api.qogita.com/variants/link/5055810030483/", "View Product")</f>
        <v/>
      </c>
    </row>
    <row r="15374">
      <c r="A15374" t="inlineStr">
        <is>
          <t>5055810030490</t>
        </is>
      </c>
      <c r="B15374" t="inlineStr">
        <is>
          <t>Al Wataniah Eternal Rawaee Monarch Eau De Parfum Spray 100ml</t>
        </is>
      </c>
      <c r="C15374" t="inlineStr">
        <is>
          <t>Eau De Parfum</t>
        </is>
      </c>
      <c r="D15374" t="inlineStr">
        <is>
          <t>Al Wataniah</t>
        </is>
      </c>
      <c r="E15374" t="n">
        <v>19.06</v>
      </c>
      <c r="F15374" t="n">
        <v>1</v>
      </c>
      <c r="G15374" t="n">
        <v>32</v>
      </c>
      <c r="H15374" s="5">
        <f>HYPERLINK("https://api.qogita.com/variants/link/5055810030490/", "View Product")</f>
        <v/>
      </c>
    </row>
    <row r="15375">
      <c r="A15375" t="inlineStr">
        <is>
          <t>5055810035853</t>
        </is>
      </c>
      <c r="B15375" t="inlineStr">
        <is>
          <t>Al Wataniah Rose Mystery Intense Eau De Parfum Spray 100ml</t>
        </is>
      </c>
      <c r="C15375" t="inlineStr">
        <is>
          <t>Eau De Parfum</t>
        </is>
      </c>
      <c r="D15375" t="inlineStr">
        <is>
          <t>Al Wataniah</t>
        </is>
      </c>
      <c r="E15375" t="n">
        <v>12.34</v>
      </c>
      <c r="F15375" t="n">
        <v>1</v>
      </c>
      <c r="G15375" t="n">
        <v>99</v>
      </c>
      <c r="H15375" s="5">
        <f>HYPERLINK("https://api.qogita.com/variants/link/5055810035853/", "View Product")</f>
        <v/>
      </c>
    </row>
    <row r="15376">
      <c r="A15376" t="inlineStr">
        <is>
          <t>5055810038960</t>
        </is>
      </c>
      <c r="B15376" t="inlineStr">
        <is>
          <t>Al Wataniah Roohi Eau De Parfum For Women - 100 Ml</t>
        </is>
      </c>
      <c r="C15376" t="inlineStr">
        <is>
          <t>Eau De Parfum</t>
        </is>
      </c>
      <c r="D15376" t="inlineStr">
        <is>
          <t>Al Wataniah</t>
        </is>
      </c>
      <c r="E15376" t="n">
        <v>15.85</v>
      </c>
      <c r="F15376" t="n">
        <v>1</v>
      </c>
      <c r="G15376" t="n">
        <v>14</v>
      </c>
      <c r="H15376" s="5">
        <f>HYPERLINK("https://api.qogita.com/variants/link/5055810038960/", "View Product")</f>
        <v/>
      </c>
    </row>
    <row r="15377">
      <c r="A15377" t="inlineStr">
        <is>
          <t>5055810038984</t>
        </is>
      </c>
      <c r="B15377" t="inlineStr">
        <is>
          <t>Al Wataniah Shouq - Eau De Parfum</t>
        </is>
      </c>
      <c r="C15377" t="inlineStr">
        <is>
          <t>Eau De Parfum</t>
        </is>
      </c>
      <c r="D15377" t="inlineStr">
        <is>
          <t>Al Wataniah</t>
        </is>
      </c>
      <c r="E15377" t="n">
        <v>12.7</v>
      </c>
      <c r="F15377" t="n">
        <v>1</v>
      </c>
      <c r="G15377" t="n">
        <v>32</v>
      </c>
      <c r="H15377" s="5">
        <f>HYPERLINK("https://api.qogita.com/variants/link/5055810038984/", "View Product")</f>
        <v/>
      </c>
    </row>
    <row r="15378">
      <c r="A15378" t="inlineStr">
        <is>
          <t>5055810039172</t>
        </is>
      </c>
      <c r="B15378" t="inlineStr">
        <is>
          <t>Tubbees Chocolate Fudge Scented Perfume By Grandeur 500ml EDP Kids Fragrance</t>
        </is>
      </c>
      <c r="C15378" t="inlineStr">
        <is>
          <t>Eau De Parfum</t>
        </is>
      </c>
      <c r="D15378" t="inlineStr">
        <is>
          <t>Grandeur</t>
        </is>
      </c>
      <c r="E15378" t="n">
        <v>8.029999999999999</v>
      </c>
      <c r="F15378" t="n">
        <v>1</v>
      </c>
      <c r="G15378" t="n">
        <v>41</v>
      </c>
      <c r="H15378" s="5">
        <f>HYPERLINK("https://api.qogita.com/variants/link/5055810039172/", "View Product")</f>
        <v/>
      </c>
    </row>
    <row r="15379">
      <c r="A15379" t="inlineStr">
        <is>
          <t>5055810039264</t>
        </is>
      </c>
      <c r="B15379" t="inlineStr">
        <is>
          <t>Al Wataniah Sophia Eau De Parfum</t>
        </is>
      </c>
      <c r="C15379" t="inlineStr">
        <is>
          <t>Eau De Parfum</t>
        </is>
      </c>
      <c r="D15379" t="inlineStr">
        <is>
          <t>Al Wataniah</t>
        </is>
      </c>
      <c r="E15379" t="n">
        <v>14.5</v>
      </c>
      <c r="F15379" t="n">
        <v>1</v>
      </c>
      <c r="G15379" t="n">
        <v>78</v>
      </c>
      <c r="H15379" s="5">
        <f>HYPERLINK("https://api.qogita.com/variants/link/5055810039264/", "View Product")</f>
        <v/>
      </c>
    </row>
    <row r="15380">
      <c r="A15380" t="inlineStr">
        <is>
          <t>5055810043032</t>
        </is>
      </c>
      <c r="B15380" t="inlineStr">
        <is>
          <t>Al Wataniah Massad Blue - Eau De Parfum</t>
        </is>
      </c>
      <c r="C15380" t="inlineStr">
        <is>
          <t>Eau De Parfum</t>
        </is>
      </c>
      <c r="D15380" t="inlineStr">
        <is>
          <t>Al Wataniah</t>
        </is>
      </c>
      <c r="E15380" t="n">
        <v>26.87</v>
      </c>
      <c r="F15380" t="n">
        <v>1</v>
      </c>
      <c r="G15380" t="n">
        <v>43</v>
      </c>
      <c r="H15380" s="5">
        <f>HYPERLINK("https://api.qogita.com/variants/link/5055810043032/", "View Product")</f>
        <v/>
      </c>
    </row>
    <row r="15381">
      <c r="A15381" t="inlineStr">
        <is>
          <t>5055810099169</t>
        </is>
      </c>
      <c r="B15381" t="inlineStr">
        <is>
          <t>Al Wataniah Sevilla Eau De Parfum - 75ml</t>
        </is>
      </c>
      <c r="C15381" t="inlineStr">
        <is>
          <t>Eau De Parfum</t>
        </is>
      </c>
      <c r="D15381" t="inlineStr">
        <is>
          <t>Al Wataniah</t>
        </is>
      </c>
      <c r="E15381" t="n">
        <v>14.93</v>
      </c>
      <c r="F15381" t="n">
        <v>1</v>
      </c>
      <c r="G15381" t="n">
        <v>14</v>
      </c>
      <c r="H15381" s="5">
        <f>HYPERLINK("https://api.qogita.com/variants/link/5055810099169/", "View Product")</f>
        <v/>
      </c>
    </row>
    <row r="15382">
      <c r="A15382" t="inlineStr">
        <is>
          <t>5055810099374</t>
        </is>
      </c>
      <c r="B15382" t="inlineStr">
        <is>
          <t>Al Wataniah Filza Imperial Eau De Parfum Spray 100ml</t>
        </is>
      </c>
      <c r="C15382" t="inlineStr">
        <is>
          <t>Eau De Parfum</t>
        </is>
      </c>
      <c r="D15382" t="inlineStr">
        <is>
          <t>Al Wataniah</t>
        </is>
      </c>
      <c r="E15382" t="n">
        <v>13.48</v>
      </c>
      <c r="F15382" t="n">
        <v>1</v>
      </c>
      <c r="G15382" t="n">
        <v>12</v>
      </c>
      <c r="H15382" s="5">
        <f>HYPERLINK("https://api.qogita.com/variants/link/5055810099374/", "View Product")</f>
        <v/>
      </c>
    </row>
    <row r="15383">
      <c r="A15383" t="inlineStr">
        <is>
          <t>5055810099404</t>
        </is>
      </c>
      <c r="B15383" t="inlineStr">
        <is>
          <t>Grandeur Tubbees Pink Sugar Eau De Parfum Spray 50ml</t>
        </is>
      </c>
      <c r="C15383" t="inlineStr">
        <is>
          <t>Eau De Parfum</t>
        </is>
      </c>
      <c r="D15383" t="inlineStr">
        <is>
          <t>Grandeur</t>
        </is>
      </c>
      <c r="E15383" t="n">
        <v>6.86</v>
      </c>
      <c r="F15383" t="n">
        <v>1</v>
      </c>
      <c r="G15383" t="n">
        <v>35</v>
      </c>
      <c r="H15383" s="5">
        <f>HYPERLINK("https://api.qogita.com/variants/link/5055810099404/", "View Product")</f>
        <v/>
      </c>
    </row>
    <row r="15384">
      <c r="A15384" t="inlineStr">
        <is>
          <t>5056002602068</t>
        </is>
      </c>
      <c r="B15384" t="inlineStr">
        <is>
          <t>Roja Parfums Apex Eau De Parfum For Men 100ml</t>
        </is>
      </c>
      <c r="C15384" t="inlineStr">
        <is>
          <t>Eau De Parfum</t>
        </is>
      </c>
      <c r="D15384" t="inlineStr">
        <is>
          <t>Roja Parfums</t>
        </is>
      </c>
      <c r="E15384" t="n">
        <v>209.37</v>
      </c>
      <c r="F15384" t="n">
        <v>1</v>
      </c>
      <c r="G15384" t="n">
        <v>4</v>
      </c>
      <c r="H15384" s="5">
        <f>HYPERLINK("https://api.qogita.com/variants/link/5056002602068/", "View Product")</f>
        <v/>
      </c>
    </row>
    <row r="15385">
      <c r="A15385" t="inlineStr">
        <is>
          <t>5056043216798</t>
        </is>
      </c>
      <c r="B15385" t="inlineStr">
        <is>
          <t>LABEL.M M-Plex Bond Repairing Shampoo 300ml</t>
        </is>
      </c>
      <c r="C15385" t="inlineStr">
        <is>
          <t>Shampoo</t>
        </is>
      </c>
      <c r="D15385" t="inlineStr">
        <is>
          <t>label.m</t>
        </is>
      </c>
      <c r="E15385" t="n">
        <v>18.79</v>
      </c>
      <c r="F15385" t="n">
        <v>1</v>
      </c>
      <c r="G15385" t="n">
        <v>11</v>
      </c>
      <c r="H15385" s="5">
        <f>HYPERLINK("https://api.qogita.com/variants/link/5056043216798/", "View Product")</f>
        <v/>
      </c>
    </row>
    <row r="15386">
      <c r="A15386" t="inlineStr">
        <is>
          <t>5056217812627</t>
        </is>
      </c>
      <c r="B15386" t="inlineStr">
        <is>
          <t>Nipfab Salicylic Fix Blackhead Steam Mask Deep Pore Cleansing Treatment</t>
        </is>
      </c>
      <c r="C15386" t="inlineStr">
        <is>
          <t>Blackhead Masks</t>
        </is>
      </c>
      <c r="D15386" t="inlineStr">
        <is>
          <t>Nip + Fab</t>
        </is>
      </c>
      <c r="E15386" t="n">
        <v>16.86</v>
      </c>
      <c r="F15386" t="n">
        <v>1</v>
      </c>
      <c r="G15386" t="n">
        <v>3</v>
      </c>
      <c r="H15386" s="5">
        <f>HYPERLINK("https://api.qogita.com/variants/link/5056217812627/", "View Product")</f>
        <v/>
      </c>
    </row>
    <row r="15387">
      <c r="A15387" t="inlineStr">
        <is>
          <t>5056217812801</t>
        </is>
      </c>
      <c r="B15387" t="inlineStr">
        <is>
          <t>Nipfab Peptide Fix 2-in-1 Tone &amp; Top-Up Mist SPF 50</t>
        </is>
      </c>
      <c r="C15387" t="inlineStr">
        <is>
          <t>Face Sun Protection</t>
        </is>
      </c>
      <c r="D15387" t="inlineStr">
        <is>
          <t>Nip + Fab</t>
        </is>
      </c>
      <c r="E15387" t="n">
        <v>25.2</v>
      </c>
      <c r="F15387" t="n">
        <v>1</v>
      </c>
      <c r="G15387" t="n">
        <v>3</v>
      </c>
      <c r="H15387" s="5">
        <f>HYPERLINK("https://api.qogita.com/variants/link/5056217812801/", "View Product")</f>
        <v/>
      </c>
    </row>
    <row r="15388">
      <c r="A15388" t="inlineStr">
        <is>
          <t>5056245021220</t>
        </is>
      </c>
      <c r="B15388" t="inlineStr">
        <is>
          <t>Penhaligon's The Tragedy Of Lord George Eau De Parfum Spray 75ml</t>
        </is>
      </c>
      <c r="C15388" t="inlineStr">
        <is>
          <t>Eau De Parfum</t>
        </is>
      </c>
      <c r="D15388" t="inlineStr">
        <is>
          <t>Penhaligon's London</t>
        </is>
      </c>
      <c r="E15388" t="n">
        <v>190.3</v>
      </c>
      <c r="F15388" t="n">
        <v>1</v>
      </c>
      <c r="G15388" t="n">
        <v>5</v>
      </c>
      <c r="H15388" s="5">
        <f>HYPERLINK("https://api.qogita.com/variants/link/5056245021220/", "View Product")</f>
        <v/>
      </c>
    </row>
    <row r="15389">
      <c r="A15389" t="inlineStr">
        <is>
          <t>5056264701721</t>
        </is>
      </c>
      <c r="B15389" t="inlineStr">
        <is>
          <t>Ren Clean Skincare Perfect Canvas Clean Jelly Oil Cleanser 100 Ml</t>
        </is>
      </c>
      <c r="C15389" t="inlineStr">
        <is>
          <t>Cleansing Oil</t>
        </is>
      </c>
      <c r="D15389" t="inlineStr">
        <is>
          <t>Ren Clean Skincare</t>
        </is>
      </c>
      <c r="E15389" t="n">
        <v>22.28</v>
      </c>
      <c r="F15389" t="n">
        <v>1</v>
      </c>
      <c r="G15389" t="n">
        <v>12</v>
      </c>
      <c r="H15389" s="5">
        <f>HYPERLINK("https://api.qogita.com/variants/link/5056264701721/", "View Product")</f>
        <v/>
      </c>
    </row>
    <row r="15390">
      <c r="A15390" t="inlineStr">
        <is>
          <t>5056264705248</t>
        </is>
      </c>
      <c r="B15390" t="inlineStr">
        <is>
          <t>Ren Cosmetics Evercalm Ultra Comforting Rescue Mask 50 Ml Hydrating Cream Mask For Face</t>
        </is>
      </c>
      <c r="C15390" t="inlineStr">
        <is>
          <t>Hydrating Mask</t>
        </is>
      </c>
      <c r="D15390" t="inlineStr">
        <is>
          <t>REN</t>
        </is>
      </c>
      <c r="E15390" t="n">
        <v>27.86</v>
      </c>
      <c r="F15390" t="n">
        <v>1</v>
      </c>
      <c r="G15390" t="n">
        <v>4</v>
      </c>
      <c r="H15390" s="5">
        <f>HYPERLINK("https://api.qogita.com/variants/link/5056264705248/", "View Product")</f>
        <v/>
      </c>
    </row>
    <row r="15391">
      <c r="A15391" t="inlineStr">
        <is>
          <t>5056264705620</t>
        </is>
      </c>
      <c r="B15391" t="inlineStr">
        <is>
          <t>Ren Evercalm Barrier Support Elixir Lightweight Face Oil 30ml</t>
        </is>
      </c>
      <c r="C15391" t="inlineStr">
        <is>
          <t>Facial Oil</t>
        </is>
      </c>
      <c r="D15391" t="inlineStr">
        <is>
          <t>REN</t>
        </is>
      </c>
      <c r="E15391" t="n">
        <v>37.69</v>
      </c>
      <c r="F15391" t="n">
        <v>1</v>
      </c>
      <c r="G15391" t="n">
        <v>5</v>
      </c>
      <c r="H15391" s="5">
        <f>HYPERLINK("https://api.qogita.com/variants/link/5056264705620/", "View Product")</f>
        <v/>
      </c>
    </row>
    <row r="15392">
      <c r="A15392" t="inlineStr">
        <is>
          <t>5056585802077</t>
        </is>
      </c>
      <c r="B15392" t="inlineStr">
        <is>
          <t>Scholl Expert Care Pedimas Foot Mask With Manuka Honey Moisturizing Foot Mask 1 Pair</t>
        </is>
      </c>
      <c r="C15392" t="inlineStr">
        <is>
          <t>Foot Mask</t>
        </is>
      </c>
      <c r="D15392" t="inlineStr">
        <is>
          <t>Scholl</t>
        </is>
      </c>
      <c r="E15392" t="n">
        <v>6.32</v>
      </c>
      <c r="F15392" t="n">
        <v>1</v>
      </c>
      <c r="G15392" t="n">
        <v>32</v>
      </c>
      <c r="H15392" s="5">
        <f>HYPERLINK("https://api.qogita.com/variants/link/5056585802077/", "View Product")</f>
        <v/>
      </c>
    </row>
    <row r="15393">
      <c r="A15393" t="inlineStr">
        <is>
          <t>5056585802237</t>
        </is>
      </c>
      <c r="B15393" t="inlineStr">
        <is>
          <t>Scholl Orthopedic Shoe Inserts Gelactiv Work Boot Shoe Inserts - 1 Pair</t>
        </is>
      </c>
      <c r="C15393" t="inlineStr">
        <is>
          <t>Sporting Tension</t>
        </is>
      </c>
      <c r="D15393" t="inlineStr">
        <is>
          <t>Scholl</t>
        </is>
      </c>
      <c r="E15393" t="n">
        <v>10.17</v>
      </c>
      <c r="F15393" t="n">
        <v>1</v>
      </c>
      <c r="G15393" t="n">
        <v>32</v>
      </c>
      <c r="H15393" s="5">
        <f>HYPERLINK("https://api.qogita.com/variants/link/5056585802237/", "View Product")</f>
        <v/>
      </c>
    </row>
    <row r="15394">
      <c r="A15394" t="inlineStr">
        <is>
          <t>5056634206030</t>
        </is>
      </c>
      <c r="B15394" t="inlineStr">
        <is>
          <t>Gift Set for Peaceful Sleep Pear &amp; Nectarine Blossom 2 pcs</t>
        </is>
      </c>
      <c r="C15394" t="inlineStr">
        <is>
          <t>Sleep</t>
        </is>
      </c>
      <c r="D15394" t="inlineStr">
        <is>
          <t>Grace Cole</t>
        </is>
      </c>
      <c r="E15394" t="n">
        <v>10.7</v>
      </c>
      <c r="F15394" t="n">
        <v>1</v>
      </c>
      <c r="G15394" t="n">
        <v>4</v>
      </c>
      <c r="H15394" s="5">
        <f>HYPERLINK("https://api.qogita.com/variants/link/5056634206030/", "View Product")</f>
        <v/>
      </c>
    </row>
    <row r="15395">
      <c r="A15395" t="inlineStr">
        <is>
          <t>5056634217890</t>
        </is>
      </c>
      <c r="B15395" t="inlineStr">
        <is>
          <t>Gift Set Hand Care Peony, Peach &amp; Raspberry 2 pcs</t>
        </is>
      </c>
      <c r="C15395" t="inlineStr">
        <is>
          <t>Hand Care Sets</t>
        </is>
      </c>
      <c r="D15395" t="inlineStr">
        <is>
          <t>Grace Cole</t>
        </is>
      </c>
      <c r="E15395" t="n">
        <v>17.55</v>
      </c>
      <c r="F15395" t="n">
        <v>1</v>
      </c>
      <c r="G15395" t="n">
        <v>5</v>
      </c>
      <c r="H15395" s="5">
        <f>HYPERLINK("https://api.qogita.com/variants/link/5056634217890/", "View Product")</f>
        <v/>
      </c>
    </row>
    <row r="15396">
      <c r="A15396" t="inlineStr">
        <is>
          <t>5056634244933</t>
        </is>
      </c>
      <c r="B15396" t="inlineStr">
        <is>
          <t>Grace Cole Body Care Gift Set Vanilla Almond 5 Pieces</t>
        </is>
      </c>
      <c r="C15396" t="inlineStr">
        <is>
          <t>Body Care Sets</t>
        </is>
      </c>
      <c r="D15396" t="inlineStr">
        <is>
          <t>Grace Cole</t>
        </is>
      </c>
      <c r="E15396" t="n">
        <v>15.61</v>
      </c>
      <c r="F15396" t="n">
        <v>1</v>
      </c>
      <c r="G15396" t="n">
        <v>5</v>
      </c>
      <c r="H15396" s="5">
        <f>HYPERLINK("https://api.qogita.com/variants/link/5056634244933/", "View Product")</f>
        <v/>
      </c>
    </row>
    <row r="15397">
      <c r="A15397" t="inlineStr">
        <is>
          <t>5056634254581</t>
        </is>
      </c>
      <c r="B15397" t="inlineStr">
        <is>
          <t>Grace Cole Body Care Gift Set In Tin Can - Black Pepper &amp; Tangerine, 4 Pieces</t>
        </is>
      </c>
      <c r="C15397" t="inlineStr">
        <is>
          <t>Body Care Sets</t>
        </is>
      </c>
      <c r="D15397" t="inlineStr">
        <is>
          <t>Grace Cole</t>
        </is>
      </c>
      <c r="E15397" t="n">
        <v>16.28</v>
      </c>
      <c r="F15397" t="n">
        <v>1</v>
      </c>
      <c r="G15397" t="n">
        <v>11</v>
      </c>
      <c r="H15397" s="5">
        <f>HYPERLINK("https://api.qogita.com/variants/link/5056634254581/", "View Product")</f>
        <v/>
      </c>
    </row>
    <row r="15398">
      <c r="A15398" t="inlineStr">
        <is>
          <t>5056634261152</t>
        </is>
      </c>
      <c r="B15398" t="inlineStr">
        <is>
          <t>Foaming Bath Bomb Cocoa &amp; Vanilla (Bath Fizzer) 150 g</t>
        </is>
      </c>
      <c r="C15398" t="inlineStr">
        <is>
          <t>Bath Salts &amp; Bath Bombs</t>
        </is>
      </c>
      <c r="D15398" t="inlineStr">
        <is>
          <t>Grace Cole</t>
        </is>
      </c>
      <c r="E15398" t="n">
        <v>4.26</v>
      </c>
      <c r="F15398" t="n">
        <v>1</v>
      </c>
      <c r="G15398" t="n">
        <v>21</v>
      </c>
      <c r="H15398" s="5">
        <f>HYPERLINK("https://api.qogita.com/variants/link/5056634261152/", "View Product")</f>
        <v/>
      </c>
    </row>
    <row r="15399">
      <c r="A15399" t="inlineStr">
        <is>
          <t>5056634262210</t>
        </is>
      </c>
      <c r="B15399" t="inlineStr">
        <is>
          <t>Grace Cole Body Care Gift Set Christmas Sweets Cocoa Vanilla 4 Pieces</t>
        </is>
      </c>
      <c r="C15399" t="inlineStr">
        <is>
          <t>Body Care Sets</t>
        </is>
      </c>
      <c r="D15399" t="inlineStr">
        <is>
          <t>Grace Cole</t>
        </is>
      </c>
      <c r="E15399" t="n">
        <v>13.41</v>
      </c>
      <c r="F15399" t="n">
        <v>1</v>
      </c>
      <c r="G15399" t="n">
        <v>16</v>
      </c>
      <c r="H15399" s="5">
        <f>HYPERLINK("https://api.qogita.com/variants/link/5056634262210/", "View Product")</f>
        <v/>
      </c>
    </row>
    <row r="15400">
      <c r="A15400" t="inlineStr">
        <is>
          <t>5056634265358</t>
        </is>
      </c>
      <c r="B15400" t="inlineStr">
        <is>
          <t>Grace Cole Gift Mini Body Care Set Pear Nectarine Flower 2 Pieces</t>
        </is>
      </c>
      <c r="C15400" t="inlineStr">
        <is>
          <t>Body Care Sets</t>
        </is>
      </c>
      <c r="D15400" t="inlineStr">
        <is>
          <t>Grace Cole</t>
        </is>
      </c>
      <c r="E15400" t="n">
        <v>5.91</v>
      </c>
      <c r="F15400" t="n">
        <v>1</v>
      </c>
      <c r="G15400" t="n">
        <v>4</v>
      </c>
      <c r="H15400" s="5">
        <f>HYPERLINK("https://api.qogita.com/variants/link/5056634265358/", "View Product")</f>
        <v/>
      </c>
    </row>
    <row r="15401">
      <c r="A15401" t="inlineStr">
        <is>
          <t>5056634285691</t>
        </is>
      </c>
      <c r="B15401" t="inlineStr">
        <is>
          <t>Grace Cole Bath Care Gift Set Christmas Sweets Cocoa Vanilla - 2 Pieces</t>
        </is>
      </c>
      <c r="C15401" t="inlineStr">
        <is>
          <t>Body Care Sets</t>
        </is>
      </c>
      <c r="D15401" t="inlineStr">
        <is>
          <t>Grace Cole</t>
        </is>
      </c>
      <c r="E15401" t="n">
        <v>5.91</v>
      </c>
      <c r="F15401" t="n">
        <v>1</v>
      </c>
      <c r="G15401" t="n">
        <v>22</v>
      </c>
      <c r="H15401" s="5">
        <f>HYPERLINK("https://api.qogita.com/variants/link/5056634285691/", "View Product")</f>
        <v/>
      </c>
    </row>
    <row r="15402">
      <c r="A15402" t="inlineStr">
        <is>
          <t>5056663800001</t>
        </is>
      </c>
      <c r="B15402" t="inlineStr">
        <is>
          <t>Roja Elysium Intense Parfum for Men 100ml</t>
        </is>
      </c>
      <c r="C15402" t="inlineStr">
        <is>
          <t>Eau De Parfum</t>
        </is>
      </c>
      <c r="D15402" t="inlineStr">
        <is>
          <t>Roja Parfums</t>
        </is>
      </c>
      <c r="E15402" t="n">
        <v>152.73</v>
      </c>
      <c r="F15402" t="n">
        <v>1</v>
      </c>
      <c r="G15402" t="n">
        <v>12</v>
      </c>
      <c r="H15402" s="5">
        <f>HYPERLINK("https://api.qogita.com/variants/link/5056663800001/", "View Product")</f>
        <v/>
      </c>
    </row>
    <row r="15403">
      <c r="A15403" t="inlineStr">
        <is>
          <t>5056663800285</t>
        </is>
      </c>
      <c r="B15403" t="inlineStr">
        <is>
          <t>Roja Parfums Roja 51 Pour Femme Eau De Parfum</t>
        </is>
      </c>
      <c r="C15403" t="inlineStr">
        <is>
          <t>Eau De Parfum</t>
        </is>
      </c>
      <c r="D15403" t="inlineStr">
        <is>
          <t>Roja Parfums</t>
        </is>
      </c>
      <c r="E15403" t="n">
        <v>149.25</v>
      </c>
      <c r="F15403" t="n">
        <v>1</v>
      </c>
      <c r="G15403" t="n">
        <v>22</v>
      </c>
      <c r="H15403" s="5">
        <f>HYPERLINK("https://api.qogita.com/variants/link/5056663800285/", "View Product")</f>
        <v/>
      </c>
    </row>
    <row r="15404">
      <c r="A15404" t="inlineStr">
        <is>
          <t>5056663800308</t>
        </is>
      </c>
      <c r="B15404" t="inlineStr">
        <is>
          <t>Roja Parfums Elixir Essence De Parfum Eau De Parfum 75ml</t>
        </is>
      </c>
      <c r="C15404" t="inlineStr">
        <is>
          <t>Eau De Parfum</t>
        </is>
      </c>
      <c r="D15404" t="inlineStr">
        <is>
          <t>Roja Parfums</t>
        </is>
      </c>
      <c r="E15404" t="n">
        <v>142.99</v>
      </c>
      <c r="F15404" t="n">
        <v>1</v>
      </c>
      <c r="G15404" t="n">
        <v>14</v>
      </c>
      <c r="H15404" s="5">
        <f>HYPERLINK("https://api.qogita.com/variants/link/5056663800308/", "View Product")</f>
        <v/>
      </c>
    </row>
    <row r="15405">
      <c r="A15405" t="inlineStr">
        <is>
          <t>5057566009676</t>
        </is>
      </c>
      <c r="B15405" t="inlineStr">
        <is>
          <t>Makeup Revolution Hyaluronic Acid Fixing Spray 100ml</t>
        </is>
      </c>
      <c r="C15405" t="inlineStr">
        <is>
          <t>Setting Spray</t>
        </is>
      </c>
      <c r="D15405" t="inlineStr">
        <is>
          <t>Makeup Revolution</t>
        </is>
      </c>
      <c r="E15405" t="n">
        <v>8.06</v>
      </c>
      <c r="F15405" t="n">
        <v>1</v>
      </c>
      <c r="G15405" t="n">
        <v>12</v>
      </c>
      <c r="H15405" s="5">
        <f>HYPERLINK("https://api.qogita.com/variants/link/5057566009676/", "View Product")</f>
        <v/>
      </c>
    </row>
    <row r="15406">
      <c r="A15406" t="inlineStr">
        <is>
          <t>5057566027731</t>
        </is>
      </c>
      <c r="B15406" t="inlineStr">
        <is>
          <t>Makeup Revolution Revolution Pro Regeneration Trends Mischief Mattes Eyeshadows Palette 144 G 18 Shades</t>
        </is>
      </c>
      <c r="C15406" t="inlineStr">
        <is>
          <t>Eye Sets &amp; Pallets</t>
        </is>
      </c>
      <c r="D15406" t="inlineStr">
        <is>
          <t>Makeup Revolution</t>
        </is>
      </c>
      <c r="E15406" t="n">
        <v>9.56</v>
      </c>
      <c r="F15406" t="n">
        <v>1</v>
      </c>
      <c r="G15406" t="n">
        <v>2</v>
      </c>
      <c r="H15406" s="5">
        <f>HYPERLINK("https://api.qogita.com/variants/link/5057566027731/", "View Product")</f>
        <v/>
      </c>
    </row>
    <row r="15407">
      <c r="A15407" t="inlineStr">
        <is>
          <t>5057566063883</t>
        </is>
      </c>
      <c r="B15407" t="inlineStr">
        <is>
          <t>Makeup Revolution Matte Base Powder Mattifying Powder 12 G</t>
        </is>
      </c>
      <c r="C15407" t="inlineStr">
        <is>
          <t>Powder</t>
        </is>
      </c>
      <c r="D15407" t="inlineStr">
        <is>
          <t>Makeup Revolution</t>
        </is>
      </c>
      <c r="E15407" t="n">
        <v>5.76</v>
      </c>
      <c r="F15407" t="n">
        <v>1</v>
      </c>
      <c r="G15407" t="n">
        <v>5</v>
      </c>
      <c r="H15407" s="5">
        <f>HYPERLINK("https://api.qogita.com/variants/link/5057566063883/", "View Product")</f>
        <v/>
      </c>
    </row>
    <row r="15408">
      <c r="A15408" t="inlineStr">
        <is>
          <t>5057566085779</t>
        </is>
      </c>
      <c r="B15408" t="inlineStr">
        <is>
          <t>Makeup Revolution Reloaded Holiday Romance Powder Bronzer Baked Bronzer 150 G</t>
        </is>
      </c>
      <c r="C15408" t="inlineStr">
        <is>
          <t>Bronzer</t>
        </is>
      </c>
      <c r="D15408" t="inlineStr">
        <is>
          <t>Makeup Revolution</t>
        </is>
      </c>
      <c r="E15408" t="n">
        <v>5.35</v>
      </c>
      <c r="F15408" t="n">
        <v>1</v>
      </c>
      <c r="G15408" t="n">
        <v>5</v>
      </c>
      <c r="H15408" s="5">
        <f>HYPERLINK("https://api.qogita.com/variants/link/5057566085779/", "View Product")</f>
        <v/>
      </c>
    </row>
    <row r="15409">
      <c r="A15409" t="inlineStr">
        <is>
          <t>5057566108843</t>
        </is>
      </c>
      <c r="B15409" t="inlineStr">
        <is>
          <t>Makeup Revolution X Alexis Stone The Transformation Eye Shadow Palette 84 Grams</t>
        </is>
      </c>
      <c r="C15409" t="inlineStr">
        <is>
          <t>Eye Sets &amp; Pallets</t>
        </is>
      </c>
      <c r="D15409" t="inlineStr">
        <is>
          <t>Makeup Revolution</t>
        </is>
      </c>
      <c r="E15409" t="n">
        <v>9.68</v>
      </c>
      <c r="F15409" t="n">
        <v>1</v>
      </c>
      <c r="G15409" t="n">
        <v>5</v>
      </c>
      <c r="H15409" s="5">
        <f>HYPERLINK("https://api.qogita.com/variants/link/5057566108843/", "View Product")</f>
        <v/>
      </c>
    </row>
    <row r="15410">
      <c r="A15410" t="inlineStr">
        <is>
          <t>5057566118576</t>
        </is>
      </c>
      <c r="B15410" t="inlineStr">
        <is>
          <t>Revolution Skincare Hyaluronic Acid Overnight Hydrating Mask 50 Ml</t>
        </is>
      </c>
      <c r="C15410" t="inlineStr">
        <is>
          <t>Hydrating Mask</t>
        </is>
      </c>
      <c r="D15410" t="inlineStr">
        <is>
          <t>Revolution Skincare</t>
        </is>
      </c>
      <c r="E15410" t="n">
        <v>9.550000000000001</v>
      </c>
      <c r="F15410" t="n">
        <v>1</v>
      </c>
      <c r="G15410" t="n">
        <v>3</v>
      </c>
      <c r="H15410" s="5">
        <f>HYPERLINK("https://api.qogita.com/variants/link/5057566118576/", "View Product")</f>
        <v/>
      </c>
    </row>
    <row r="15411">
      <c r="A15411" t="inlineStr">
        <is>
          <t>5057566125963</t>
        </is>
      </c>
      <c r="B15411" t="inlineStr">
        <is>
          <t>Revolution Pro Goddess Glow Primer Serum 30 Ml Makeup Base</t>
        </is>
      </c>
      <c r="C15411" t="inlineStr">
        <is>
          <t>Primer</t>
        </is>
      </c>
      <c r="D15411" t="inlineStr">
        <is>
          <t>Makeup Revolution</t>
        </is>
      </c>
      <c r="E15411" t="n">
        <v>11.48</v>
      </c>
      <c r="F15411" t="n">
        <v>1</v>
      </c>
      <c r="G15411" t="n">
        <v>3</v>
      </c>
      <c r="H15411" s="5">
        <f>HYPERLINK("https://api.qogita.com/variants/link/5057566125963/", "View Product")</f>
        <v/>
      </c>
    </row>
    <row r="15412">
      <c r="A15412" t="inlineStr">
        <is>
          <t>5057566145831</t>
        </is>
      </c>
      <c r="B15412" t="inlineStr">
        <is>
          <t>Makeup Revolution Ultra Blush Palette Sugar &amp; Spice 8 Shades</t>
        </is>
      </c>
      <c r="C15412" t="inlineStr">
        <is>
          <t>Blush</t>
        </is>
      </c>
      <c r="D15412" t="inlineStr">
        <is>
          <t>Makeup Revolution</t>
        </is>
      </c>
      <c r="E15412" t="n">
        <v>8.77</v>
      </c>
      <c r="F15412" t="n">
        <v>1</v>
      </c>
      <c r="G15412" t="n">
        <v>5</v>
      </c>
      <c r="H15412" s="5">
        <f>HYPERLINK("https://api.qogita.com/variants/link/5057566145831/", "View Product")</f>
        <v/>
      </c>
    </row>
    <row r="15413">
      <c r="A15413" t="inlineStr">
        <is>
          <t>5057566150279</t>
        </is>
      </c>
      <c r="B15413" t="inlineStr">
        <is>
          <t>Revolution Skincare London Smoothing Serum with 0.5% Retinol and Rose Hip Seed</t>
        </is>
      </c>
      <c r="C15413" t="inlineStr">
        <is>
          <t>Anti-Aging Serum</t>
        </is>
      </c>
      <c r="D15413" t="inlineStr">
        <is>
          <t>Revolution Beauty</t>
        </is>
      </c>
      <c r="E15413" t="n">
        <v>11.01</v>
      </c>
      <c r="F15413" t="n">
        <v>1</v>
      </c>
      <c r="G15413" t="n">
        <v>37</v>
      </c>
      <c r="H15413" s="5">
        <f>HYPERLINK("https://api.qogita.com/variants/link/5057566150279/", "View Product")</f>
        <v/>
      </c>
    </row>
    <row r="15414">
      <c r="A15414" t="inlineStr">
        <is>
          <t>5057566155250</t>
        </is>
      </c>
      <c r="B15414" t="inlineStr">
        <is>
          <t>Revolution Skincare Extra 15 Niacinamide Blemish Refining And Moisturising Serum 30 Ml</t>
        </is>
      </c>
      <c r="C15414" t="inlineStr">
        <is>
          <t>Hydrating Serum</t>
        </is>
      </c>
      <c r="D15414" t="inlineStr">
        <is>
          <t>Revolution Skincare</t>
        </is>
      </c>
      <c r="E15414" t="n">
        <v>11.6</v>
      </c>
      <c r="F15414" t="n">
        <v>1</v>
      </c>
      <c r="G15414" t="n">
        <v>29</v>
      </c>
      <c r="H15414" s="5">
        <f>HYPERLINK("https://api.qogita.com/variants/link/5057566155250/", "View Product")</f>
        <v/>
      </c>
    </row>
    <row r="15415">
      <c r="A15415" t="inlineStr">
        <is>
          <t>5057566157605</t>
        </is>
      </c>
      <c r="B15415" t="inlineStr">
        <is>
          <t>Makeup Revolution Speed &amp; Shine Top Coat Nail Polish 10ml</t>
        </is>
      </c>
      <c r="C15415" t="inlineStr">
        <is>
          <t>Top Coat</t>
        </is>
      </c>
      <c r="D15415" t="inlineStr">
        <is>
          <t>Revolution Beauty</t>
        </is>
      </c>
      <c r="E15415" t="n">
        <v>5.76</v>
      </c>
      <c r="F15415" t="n">
        <v>1</v>
      </c>
      <c r="G15415" t="n">
        <v>5</v>
      </c>
      <c r="H15415" s="5">
        <f>HYPERLINK("https://api.qogita.com/variants/link/5057566157605/", "View Product")</f>
        <v/>
      </c>
    </row>
    <row r="15416">
      <c r="A15416" t="inlineStr">
        <is>
          <t>5057566157629</t>
        </is>
      </c>
      <c r="B15416" t="inlineStr">
        <is>
          <t>Makeup Revolution Nourish &amp; Care Cuticle Oil for Nail Care with Almond Oil &amp; Vitamin E 0.5fl.oz/15ml</t>
        </is>
      </c>
      <c r="C15416" t="inlineStr">
        <is>
          <t>Nail Oil</t>
        </is>
      </c>
      <c r="D15416" t="inlineStr">
        <is>
          <t>Makeup Revolution</t>
        </is>
      </c>
      <c r="E15416" t="n">
        <v>6.56</v>
      </c>
      <c r="F15416" t="n">
        <v>1</v>
      </c>
      <c r="G15416" t="n">
        <v>5</v>
      </c>
      <c r="H15416" s="5">
        <f>HYPERLINK("https://api.qogita.com/variants/link/5057566157629/", "View Product")</f>
        <v/>
      </c>
    </row>
    <row r="15417">
      <c r="A15417" t="inlineStr">
        <is>
          <t>5057566170000</t>
        </is>
      </c>
      <c r="B15417" t="inlineStr">
        <is>
          <t>Makeup Revolution Lip Vinyl Lipgloss Black Forest 1pc</t>
        </is>
      </c>
      <c r="C15417" t="inlineStr">
        <is>
          <t>Lip Gloss</t>
        </is>
      </c>
      <c r="D15417" t="inlineStr">
        <is>
          <t>Makeup Revolution</t>
        </is>
      </c>
      <c r="E15417" t="n">
        <v>6.54</v>
      </c>
      <c r="F15417" t="n">
        <v>1</v>
      </c>
      <c r="G15417" t="n">
        <v>3</v>
      </c>
      <c r="H15417" s="5">
        <f>HYPERLINK("https://api.qogita.com/variants/link/5057566170000/", "View Product")</f>
        <v/>
      </c>
    </row>
    <row r="15418">
      <c r="A15418" t="inlineStr">
        <is>
          <t>5057566176200</t>
        </is>
      </c>
      <c r="B15418" t="inlineStr">
        <is>
          <t>Revolution Skincare London Mood Soothing Booster Serum 30ml</t>
        </is>
      </c>
      <c r="C15418" t="inlineStr">
        <is>
          <t>Hydrating Serum</t>
        </is>
      </c>
      <c r="D15418" t="inlineStr">
        <is>
          <t>Revolution Beauty</t>
        </is>
      </c>
      <c r="E15418" t="n">
        <v>11.38</v>
      </c>
      <c r="F15418" t="n">
        <v>1</v>
      </c>
      <c r="G15418" t="n">
        <v>4</v>
      </c>
      <c r="H15418" s="5">
        <f>HYPERLINK("https://api.qogita.com/variants/link/5057566176200/", "View Product")</f>
        <v/>
      </c>
    </row>
    <row r="15419">
      <c r="A15419" t="inlineStr">
        <is>
          <t>5057566183178</t>
        </is>
      </c>
      <c r="B15419" t="inlineStr">
        <is>
          <t>Revolution Skincare London Snow Mushroom Serum 30ml</t>
        </is>
      </c>
      <c r="C15419" t="inlineStr">
        <is>
          <t>Hydrating Serum</t>
        </is>
      </c>
      <c r="D15419" t="inlineStr">
        <is>
          <t>Revolution Beauty</t>
        </is>
      </c>
      <c r="E15419" t="n">
        <v>11.38</v>
      </c>
      <c r="F15419" t="n">
        <v>1</v>
      </c>
      <c r="G15419" t="n">
        <v>4</v>
      </c>
      <c r="H15419" s="5">
        <f>HYPERLINK("https://api.qogita.com/variants/link/5057566183178/", "View Product")</f>
        <v/>
      </c>
    </row>
    <row r="15420">
      <c r="A15420" t="inlineStr">
        <is>
          <t>5057566199476</t>
        </is>
      </c>
      <c r="B15420" t="inlineStr">
        <is>
          <t>Revolution Pro CC Perfecting Pressed Powder Warm Beige 5g</t>
        </is>
      </c>
      <c r="C15420" t="inlineStr">
        <is>
          <t>Powder</t>
        </is>
      </c>
      <c r="D15420" t="inlineStr">
        <is>
          <t>Revolution Beauty</t>
        </is>
      </c>
      <c r="E15420" t="n">
        <v>10.48</v>
      </c>
      <c r="F15420" t="n">
        <v>1</v>
      </c>
      <c r="G15420" t="n">
        <v>4</v>
      </c>
      <c r="H15420" s="5">
        <f>HYPERLINK("https://api.qogita.com/variants/link/5057566199476/", "View Product")</f>
        <v/>
      </c>
    </row>
    <row r="15421">
      <c r="A15421" t="inlineStr">
        <is>
          <t>5057566231916</t>
        </is>
      </c>
      <c r="B15421" t="inlineStr">
        <is>
          <t>Makeup Revolution Revolution Velvet Kiss Lip Crayon Cream Lipstick 12 G Chauffeur</t>
        </is>
      </c>
      <c r="C15421" t="inlineStr">
        <is>
          <t>Lipstick</t>
        </is>
      </c>
      <c r="D15421" t="inlineStr">
        <is>
          <t>Makeup Revolution</t>
        </is>
      </c>
      <c r="E15421" t="n">
        <v>6.56</v>
      </c>
      <c r="F15421" t="n">
        <v>1</v>
      </c>
      <c r="G15421" t="n">
        <v>4</v>
      </c>
      <c r="H15421" s="5">
        <f>HYPERLINK("https://api.qogita.com/variants/link/5057566231916/", "View Product")</f>
        <v/>
      </c>
    </row>
    <row r="15422">
      <c r="A15422" t="inlineStr">
        <is>
          <t>5057566262934</t>
        </is>
      </c>
      <c r="B15422" t="inlineStr">
        <is>
          <t>Revolution Skincare Brightening Boost Ginseng Eye Cream 15 Ml</t>
        </is>
      </c>
      <c r="C15422" t="inlineStr">
        <is>
          <t>Eye Cream</t>
        </is>
      </c>
      <c r="D15422" t="inlineStr">
        <is>
          <t>Revolution Skincare</t>
        </is>
      </c>
      <c r="E15422" t="n">
        <v>9.550000000000001</v>
      </c>
      <c r="F15422" t="n">
        <v>1</v>
      </c>
      <c r="G15422" t="n">
        <v>3</v>
      </c>
      <c r="H15422" s="5">
        <f>HYPERLINK("https://api.qogita.com/variants/link/5057566262934/", "View Product")</f>
        <v/>
      </c>
    </row>
    <row r="15423">
      <c r="A15423" t="inlineStr">
        <is>
          <t>5057566263030</t>
        </is>
      </c>
      <c r="B15423" t="inlineStr">
        <is>
          <t>Revolution Skincare Multi Acid Peeling Solution 30 Ml</t>
        </is>
      </c>
      <c r="C15423" t="inlineStr">
        <is>
          <t>Facial Scrub &amp; Peeling</t>
        </is>
      </c>
      <c r="D15423" t="inlineStr">
        <is>
          <t>Revolution Skincare</t>
        </is>
      </c>
      <c r="E15423" t="n">
        <v>8.699999999999999</v>
      </c>
      <c r="F15423" t="n">
        <v>1</v>
      </c>
      <c r="G15423" t="n">
        <v>41</v>
      </c>
      <c r="H15423" s="5">
        <f>HYPERLINK("https://api.qogita.com/variants/link/5057566263030/", "View Product")</f>
        <v/>
      </c>
    </row>
    <row r="15424">
      <c r="A15424" t="inlineStr">
        <is>
          <t>5057566264174</t>
        </is>
      </c>
      <c r="B15424" t="inlineStr">
        <is>
          <t>Revolution Skincare Biodegradable Purifying Charcoal Sheet Mask Set</t>
        </is>
      </c>
      <c r="C15424" t="inlineStr">
        <is>
          <t>Sheet Mask</t>
        </is>
      </c>
      <c r="D15424" t="inlineStr">
        <is>
          <t>Revolution Skincare</t>
        </is>
      </c>
      <c r="E15424" t="n">
        <v>6.02</v>
      </c>
      <c r="F15424" t="n">
        <v>1</v>
      </c>
      <c r="G15424" t="n">
        <v>4</v>
      </c>
      <c r="H15424" s="5">
        <f>HYPERLINK("https://api.qogita.com/variants/link/5057566264174/", "View Product")</f>
        <v/>
      </c>
    </row>
    <row r="15425">
      <c r="A15425" t="inlineStr">
        <is>
          <t>5057566283335</t>
        </is>
      </c>
      <c r="B15425" t="inlineStr">
        <is>
          <t>Fill Brow Brush - R1</t>
        </is>
      </c>
      <c r="C15425" t="inlineStr">
        <is>
          <t>Other</t>
        </is>
      </c>
      <c r="D15425" t="inlineStr">
        <is>
          <t>R1</t>
        </is>
      </c>
      <c r="E15425" t="n">
        <v>5.01</v>
      </c>
      <c r="F15425" t="n">
        <v>1</v>
      </c>
      <c r="G15425" t="n">
        <v>7</v>
      </c>
      <c r="H15425" s="5">
        <f>HYPERLINK("https://api.qogita.com/variants/link/5057566283335/", "View Product")</f>
        <v/>
      </c>
    </row>
    <row r="15426">
      <c r="A15426" t="inlineStr">
        <is>
          <t>5057566283410</t>
        </is>
      </c>
      <c r="B15426" t="inlineStr">
        <is>
          <t>Revolution Skincare Color Perfecting Eye Cream 9 Ml For Unifying The Eye Area</t>
        </is>
      </c>
      <c r="C15426" t="inlineStr">
        <is>
          <t>Eye Cream</t>
        </is>
      </c>
      <c r="D15426" t="inlineStr">
        <is>
          <t>Revolution Skincare</t>
        </is>
      </c>
      <c r="E15426" t="n">
        <v>9.52</v>
      </c>
      <c r="F15426" t="n">
        <v>1</v>
      </c>
      <c r="G15426" t="n">
        <v>4</v>
      </c>
      <c r="H15426" s="5">
        <f>HYPERLINK("https://api.qogita.com/variants/link/5057566283410/", "View Product")</f>
        <v/>
      </c>
    </row>
    <row r="15427">
      <c r="A15427" t="inlineStr">
        <is>
          <t>5057566295307</t>
        </is>
      </c>
      <c r="B15427" t="inlineStr">
        <is>
          <t>Pineapple Essence Spray</t>
        </is>
      </c>
      <c r="C15427" t="inlineStr">
        <is>
          <t>Diffusers</t>
        </is>
      </c>
      <c r="D15427" t="inlineStr">
        <is>
          <t>Revolution Skincare</t>
        </is>
      </c>
      <c r="E15427" t="n">
        <v>7.61</v>
      </c>
      <c r="F15427" t="n">
        <v>1</v>
      </c>
      <c r="G15427" t="n">
        <v>5</v>
      </c>
      <c r="H15427" s="5">
        <f>HYPERLINK("https://api.qogita.com/variants/link/5057566295307/", "View Product")</f>
        <v/>
      </c>
    </row>
    <row r="15428">
      <c r="A15428" t="inlineStr">
        <is>
          <t>5057566296397</t>
        </is>
      </c>
      <c r="B15428" t="inlineStr">
        <is>
          <t>Makeup Revolution Balayage Brow Eyebrow Pencil Dark Brown 38 Grams</t>
        </is>
      </c>
      <c r="C15428" t="inlineStr">
        <is>
          <t>Eyebrow Pencil</t>
        </is>
      </c>
      <c r="D15428" t="inlineStr">
        <is>
          <t>Makeup Revolution</t>
        </is>
      </c>
      <c r="E15428" t="n">
        <v>8.06</v>
      </c>
      <c r="F15428" t="n">
        <v>1</v>
      </c>
      <c r="G15428" t="n">
        <v>5</v>
      </c>
      <c r="H15428" s="5">
        <f>HYPERLINK("https://api.qogita.com/variants/link/5057566296397/", "View Product")</f>
        <v/>
      </c>
    </row>
    <row r="15429">
      <c r="A15429" t="inlineStr">
        <is>
          <t>5057566382199</t>
        </is>
      </c>
      <c r="B15429" t="inlineStr">
        <is>
          <t>Makeup Revolution R10 Defining Contour Brush</t>
        </is>
      </c>
      <c r="C15429" t="inlineStr">
        <is>
          <t>Brush Sets</t>
        </is>
      </c>
      <c r="D15429" t="inlineStr">
        <is>
          <t>Makeup Revolution</t>
        </is>
      </c>
      <c r="E15429" t="n">
        <v>7.24</v>
      </c>
      <c r="F15429" t="n">
        <v>1</v>
      </c>
      <c r="G15429" t="n">
        <v>3</v>
      </c>
      <c r="H15429" s="5">
        <f>HYPERLINK("https://api.qogita.com/variants/link/5057566382199/", "View Product")</f>
        <v/>
      </c>
    </row>
    <row r="15430">
      <c r="A15430" t="inlineStr">
        <is>
          <t>5057566398541</t>
        </is>
      </c>
      <c r="B15430" t="inlineStr">
        <is>
          <t>Makeup Revolution Ultimate Powder Sponge Makeup Sponge</t>
        </is>
      </c>
      <c r="C15430" t="inlineStr">
        <is>
          <t>Makeup Sponges</t>
        </is>
      </c>
      <c r="D15430" t="inlineStr">
        <is>
          <t>Makeup Revolution</t>
        </is>
      </c>
      <c r="E15430" t="n">
        <v>6.18</v>
      </c>
      <c r="F15430" t="n">
        <v>1</v>
      </c>
      <c r="G15430" t="n">
        <v>5</v>
      </c>
      <c r="H15430" s="5">
        <f>HYPERLINK("https://api.qogita.com/variants/link/5057566398541/", "View Product")</f>
        <v/>
      </c>
    </row>
    <row r="15431">
      <c r="A15431" t="inlineStr">
        <is>
          <t>5057566405997</t>
        </is>
      </c>
      <c r="B15431" t="inlineStr">
        <is>
          <t>Makeup Revolution X Friends Lip Gloss Joey</t>
        </is>
      </c>
      <c r="C15431" t="inlineStr">
        <is>
          <t>Lip Gloss</t>
        </is>
      </c>
      <c r="D15431" t="inlineStr">
        <is>
          <t>Makeup Revolution</t>
        </is>
      </c>
      <c r="E15431" t="n">
        <v>3.24</v>
      </c>
      <c r="F15431" t="n">
        <v>1</v>
      </c>
      <c r="G15431" t="n">
        <v>2</v>
      </c>
      <c r="H15431" s="5">
        <f>HYPERLINK("https://api.qogita.com/variants/link/5057566405997/", "View Product")</f>
        <v/>
      </c>
    </row>
    <row r="15432">
      <c r="A15432" t="inlineStr">
        <is>
          <t>5057566408349</t>
        </is>
      </c>
      <c r="B15432" t="inlineStr">
        <is>
          <t>Revolution Haircare Hyaluronic Hydrating Conditioner 250ml For Dry And Brittle Hair</t>
        </is>
      </c>
      <c r="C15432" t="inlineStr">
        <is>
          <t>Conditioner</t>
        </is>
      </c>
      <c r="D15432" t="inlineStr">
        <is>
          <t>Revolution Haircare</t>
        </is>
      </c>
      <c r="E15432" t="n">
        <v>10.56</v>
      </c>
      <c r="F15432" t="n">
        <v>1</v>
      </c>
      <c r="G15432" t="n">
        <v>3</v>
      </c>
      <c r="H15432" s="5">
        <f>HYPERLINK("https://api.qogita.com/variants/link/5057566408349/", "View Product")</f>
        <v/>
      </c>
    </row>
    <row r="15433">
      <c r="A15433" t="inlineStr">
        <is>
          <t>5057566410045</t>
        </is>
      </c>
      <c r="B15433" t="inlineStr">
        <is>
          <t>Revolution Pro Moments Bewitching Eyeshadow Palette 6 X 113 G</t>
        </is>
      </c>
      <c r="C15433" t="inlineStr">
        <is>
          <t>Eye Sets &amp; Pallets</t>
        </is>
      </c>
      <c r="D15433" t="inlineStr">
        <is>
          <t>Revolution Pro</t>
        </is>
      </c>
      <c r="E15433" t="n">
        <v>11.72</v>
      </c>
      <c r="F15433" t="n">
        <v>1</v>
      </c>
      <c r="G15433" t="n">
        <v>6</v>
      </c>
      <c r="H15433" s="5">
        <f>HYPERLINK("https://api.qogita.com/variants/link/5057566410045/", "View Product")</f>
        <v/>
      </c>
    </row>
    <row r="15434">
      <c r="A15434" t="inlineStr">
        <is>
          <t>5057566419611</t>
        </is>
      </c>
      <c r="B15434" t="inlineStr">
        <is>
          <t>Revolution Haircare Hyaluronic Hydrating Shampoo For Dry And Brittle Hair 250 Ml</t>
        </is>
      </c>
      <c r="C15434" t="inlineStr">
        <is>
          <t>Shampoo</t>
        </is>
      </c>
      <c r="D15434" t="inlineStr">
        <is>
          <t>Revolution Haircare</t>
        </is>
      </c>
      <c r="E15434" t="n">
        <v>10.66</v>
      </c>
      <c r="F15434" t="n">
        <v>1</v>
      </c>
      <c r="G15434" t="n">
        <v>3</v>
      </c>
      <c r="H15434" s="5">
        <f>HYPERLINK("https://api.qogita.com/variants/link/5057566419611/", "View Product")</f>
        <v/>
      </c>
    </row>
    <row r="15435">
      <c r="A15435" t="inlineStr">
        <is>
          <t>5057566430548</t>
        </is>
      </c>
      <c r="B15435" t="inlineStr">
        <is>
          <t>Makeup Revolution London Rehab Lash Care Serum 3ml</t>
        </is>
      </c>
      <c r="C15435" t="inlineStr">
        <is>
          <t>Eye Makeup Remover</t>
        </is>
      </c>
      <c r="D15435" t="inlineStr">
        <is>
          <t>Makeup Revolution</t>
        </is>
      </c>
      <c r="E15435" t="n">
        <v>10.56</v>
      </c>
      <c r="F15435" t="n">
        <v>1</v>
      </c>
      <c r="G15435" t="n">
        <v>9</v>
      </c>
      <c r="H15435" s="5">
        <f>HYPERLINK("https://api.qogita.com/variants/link/5057566430548/", "View Product")</f>
        <v/>
      </c>
    </row>
    <row r="15436">
      <c r="A15436" t="inlineStr">
        <is>
          <t>5057566430555</t>
        </is>
      </c>
      <c r="B15436" t="inlineStr">
        <is>
          <t>Makeup Revolution Rehab Brow Care Mask Nourishing Eyebrow Mask 12 G</t>
        </is>
      </c>
      <c r="C15436" t="inlineStr">
        <is>
          <t>Other</t>
        </is>
      </c>
      <c r="D15436" t="inlineStr">
        <is>
          <t>Makeup Revolution</t>
        </is>
      </c>
      <c r="E15436" t="n">
        <v>5.88</v>
      </c>
      <c r="F15436" t="n">
        <v>1</v>
      </c>
      <c r="G15436" t="n">
        <v>3</v>
      </c>
      <c r="H15436" s="5">
        <f>HYPERLINK("https://api.qogita.com/variants/link/5057566430555/", "View Product")</f>
        <v/>
      </c>
    </row>
    <row r="15437">
      <c r="A15437" t="inlineStr">
        <is>
          <t>5057566430623</t>
        </is>
      </c>
      <c r="B15437" t="inlineStr">
        <is>
          <t>Makeup Revolution Waterproof Renaissance Eyeliner 08 G</t>
        </is>
      </c>
      <c r="C15437" t="inlineStr">
        <is>
          <t>Eyeliner</t>
        </is>
      </c>
      <c r="D15437" t="inlineStr">
        <is>
          <t>Makeup Revolution</t>
        </is>
      </c>
      <c r="E15437" t="n">
        <v>7.3</v>
      </c>
      <c r="F15437" t="n">
        <v>1</v>
      </c>
      <c r="G15437" t="n">
        <v>11</v>
      </c>
      <c r="H15437" s="5">
        <f>HYPERLINK("https://api.qogita.com/variants/link/5057566430623/", "View Product")</f>
        <v/>
      </c>
    </row>
    <row r="15438">
      <c r="A15438" t="inlineStr">
        <is>
          <t>5057566442893</t>
        </is>
      </c>
      <c r="B15438" t="inlineStr">
        <is>
          <t>Makeup Revolution Protect Lip Serum Spf 10</t>
        </is>
      </c>
      <c r="C15438" t="inlineStr">
        <is>
          <t>Lip Serum</t>
        </is>
      </c>
      <c r="D15438" t="inlineStr">
        <is>
          <t>Makeup Revolution</t>
        </is>
      </c>
      <c r="E15438" t="n">
        <v>7.3</v>
      </c>
      <c r="F15438" t="n">
        <v>1</v>
      </c>
      <c r="G15438" t="n">
        <v>3</v>
      </c>
      <c r="H15438" s="5">
        <f>HYPERLINK("https://api.qogita.com/variants/link/5057566442893/", "View Product")</f>
        <v/>
      </c>
    </row>
    <row r="15439">
      <c r="A15439" t="inlineStr">
        <is>
          <t>5057566447560</t>
        </is>
      </c>
      <c r="B15439" t="inlineStr">
        <is>
          <t>Revolution Pro Rockstar Medium Brown Doublesided Eyebrow Pencil 025 G</t>
        </is>
      </c>
      <c r="C15439" t="inlineStr">
        <is>
          <t>Eyebrow Pencil</t>
        </is>
      </c>
      <c r="D15439" t="inlineStr">
        <is>
          <t>Revolution Pro</t>
        </is>
      </c>
      <c r="E15439" t="n">
        <v>6.7</v>
      </c>
      <c r="F15439" t="n">
        <v>1</v>
      </c>
      <c r="G15439" t="n">
        <v>4</v>
      </c>
      <c r="H15439" s="5">
        <f>HYPERLINK("https://api.qogita.com/variants/link/5057566447560/", "View Product")</f>
        <v/>
      </c>
    </row>
    <row r="15440">
      <c r="A15440" t="inlineStr">
        <is>
          <t>5057566450133</t>
        </is>
      </c>
      <c r="B15440" t="inlineStr">
        <is>
          <t>Makeup Revolution Reloaded Eyeshadow Palette Sugar Pie 15 Shades 16.5g</t>
        </is>
      </c>
      <c r="C15440" t="inlineStr">
        <is>
          <t>Eye Sets &amp; Pallets</t>
        </is>
      </c>
      <c r="D15440" t="inlineStr">
        <is>
          <t>Revolution Beauty</t>
        </is>
      </c>
      <c r="E15440" t="n">
        <v>6.56</v>
      </c>
      <c r="F15440" t="n">
        <v>1</v>
      </c>
      <c r="G15440" t="n">
        <v>6</v>
      </c>
      <c r="H15440" s="5">
        <f>HYPERLINK("https://api.qogita.com/variants/link/5057566450133/", "View Product")</f>
        <v/>
      </c>
    </row>
    <row r="15441">
      <c r="A15441" t="inlineStr">
        <is>
          <t>5057566460118</t>
        </is>
      </c>
      <c r="B15441" t="inlineStr">
        <is>
          <t>Makeup Revolution I Heart Revolution Bath Fizzer Unicorn Heart Glow Bath Bomb</t>
        </is>
      </c>
      <c r="C15441" t="inlineStr">
        <is>
          <t>Bath Salts &amp; Bath Bombs</t>
        </is>
      </c>
      <c r="D15441" t="inlineStr">
        <is>
          <t>Makeup Revolution</t>
        </is>
      </c>
      <c r="E15441" t="n">
        <v>5.37</v>
      </c>
      <c r="F15441" t="n">
        <v>1</v>
      </c>
      <c r="G15441" t="n">
        <v>3</v>
      </c>
      <c r="H15441" s="5">
        <f>HYPERLINK("https://api.qogita.com/variants/link/5057566460118/", "View Product")</f>
        <v/>
      </c>
    </row>
    <row r="15442">
      <c r="A15442" t="inlineStr">
        <is>
          <t>5057566479189</t>
        </is>
      </c>
      <c r="B15442" t="inlineStr">
        <is>
          <t>Revolution Relove Super Matte Primer</t>
        </is>
      </c>
      <c r="C15442" t="inlineStr">
        <is>
          <t>Primer</t>
        </is>
      </c>
      <c r="D15442" t="inlineStr">
        <is>
          <t>Revolution Relove</t>
        </is>
      </c>
      <c r="E15442" t="n">
        <v>5.86</v>
      </c>
      <c r="F15442" t="n">
        <v>1</v>
      </c>
      <c r="G15442" t="n">
        <v>6</v>
      </c>
      <c r="H15442" s="5">
        <f>HYPERLINK("https://api.qogita.com/variants/link/5057566479189/", "View Product")</f>
        <v/>
      </c>
    </row>
    <row r="15443">
      <c r="A15443" t="inlineStr">
        <is>
          <t>5057566480161</t>
        </is>
      </c>
      <c r="B15443" t="inlineStr">
        <is>
          <t>Makeup Revolution Baby Gloss Babe Lip Gloss 22 Ml</t>
        </is>
      </c>
      <c r="C15443" t="inlineStr">
        <is>
          <t>Lip Gloss</t>
        </is>
      </c>
      <c r="D15443" t="inlineStr">
        <is>
          <t>Makeup Revolution</t>
        </is>
      </c>
      <c r="E15443" t="n">
        <v>4.3</v>
      </c>
      <c r="F15443" t="n">
        <v>1</v>
      </c>
      <c r="G15443" t="n">
        <v>1</v>
      </c>
      <c r="H15443" s="5">
        <f>HYPERLINK("https://api.qogita.com/variants/link/5057566480161/", "View Product")</f>
        <v/>
      </c>
    </row>
    <row r="15444">
      <c r="A15444" t="inlineStr">
        <is>
          <t>5057566492140</t>
        </is>
      </c>
      <c r="B15444" t="inlineStr">
        <is>
          <t>Revolution Haircare Microfiber Hair Towel Wrap Fast Drying and Reduces Frizz Absorbent Turban Towel White/Coral - Pack of 2</t>
        </is>
      </c>
      <c r="C15444" t="inlineStr">
        <is>
          <t>Hair Elastics</t>
        </is>
      </c>
      <c r="D15444" t="inlineStr">
        <is>
          <t>Revolution Haircare</t>
        </is>
      </c>
      <c r="E15444" t="n">
        <v>9.56</v>
      </c>
      <c r="F15444" t="n">
        <v>1</v>
      </c>
      <c r="G15444" t="n">
        <v>6</v>
      </c>
      <c r="H15444" s="5">
        <f>HYPERLINK("https://api.qogita.com/variants/link/5057566492140/", "View Product")</f>
        <v/>
      </c>
    </row>
    <row r="15445">
      <c r="A15445" t="inlineStr">
        <is>
          <t>5057566496193</t>
        </is>
      </c>
      <c r="B15445" t="inlineStr">
        <is>
          <t>Revolution Pro Rockstar Volume Mascara - Black, 8 Ml</t>
        </is>
      </c>
      <c r="C15445" t="inlineStr">
        <is>
          <t>Mascara</t>
        </is>
      </c>
      <c r="D15445" t="inlineStr">
        <is>
          <t>Revolution Beauty</t>
        </is>
      </c>
      <c r="E15445" t="n">
        <v>6.9</v>
      </c>
      <c r="F15445" t="n">
        <v>1</v>
      </c>
      <c r="G15445" t="n">
        <v>2</v>
      </c>
      <c r="H15445" s="5">
        <f>HYPERLINK("https://api.qogita.com/variants/link/5057566496193/", "View Product")</f>
        <v/>
      </c>
    </row>
    <row r="15446">
      <c r="A15446" t="inlineStr">
        <is>
          <t>5057566509688</t>
        </is>
      </c>
      <c r="B15446" t="inlineStr">
        <is>
          <t>Makeup Revolution Revolution Pro Miracle Eye Cream Beautifying Eye Cream 15 Ml</t>
        </is>
      </c>
      <c r="C15446" t="inlineStr">
        <is>
          <t>Eye Cream</t>
        </is>
      </c>
      <c r="D15446" t="inlineStr">
        <is>
          <t>Makeup Revolution</t>
        </is>
      </c>
      <c r="E15446" t="n">
        <v>10.79</v>
      </c>
      <c r="F15446" t="n">
        <v>1</v>
      </c>
      <c r="G15446" t="n">
        <v>3</v>
      </c>
      <c r="H15446" s="5">
        <f>HYPERLINK("https://api.qogita.com/variants/link/5057566509688/", "View Product")</f>
        <v/>
      </c>
    </row>
    <row r="15447">
      <c r="A15447" t="inlineStr">
        <is>
          <t>5057566512763</t>
        </is>
      </c>
      <c r="B15447" t="inlineStr">
        <is>
          <t>Makeup Revolution London Lip Contour Kit Stunner Lip Gloss and Lip Liner Duo 1ml 1g</t>
        </is>
      </c>
      <c r="C15447" t="inlineStr">
        <is>
          <t>Lip Sets</t>
        </is>
      </c>
      <c r="D15447" t="inlineStr">
        <is>
          <t>Makeup Revolution</t>
        </is>
      </c>
      <c r="E15447" t="n">
        <v>7.88</v>
      </c>
      <c r="F15447" t="n">
        <v>1</v>
      </c>
      <c r="G15447" t="n">
        <v>2</v>
      </c>
      <c r="H15447" s="5">
        <f>HYPERLINK("https://api.qogita.com/variants/link/5057566512763/", "View Product")</f>
        <v/>
      </c>
    </row>
    <row r="15448">
      <c r="A15448" t="inlineStr">
        <is>
          <t>5057566512770</t>
        </is>
      </c>
      <c r="B15448" t="inlineStr">
        <is>
          <t>Makeup Revolution Lover Lip Contour Kit</t>
        </is>
      </c>
      <c r="C15448" t="inlineStr">
        <is>
          <t>Lip Sets</t>
        </is>
      </c>
      <c r="D15448" t="inlineStr">
        <is>
          <t>Makeup Revolution</t>
        </is>
      </c>
      <c r="E15448" t="n">
        <v>7.88</v>
      </c>
      <c r="F15448" t="n">
        <v>1</v>
      </c>
      <c r="G15448" t="n">
        <v>2</v>
      </c>
      <c r="H15448" s="5">
        <f>HYPERLINK("https://api.qogita.com/variants/link/5057566512770/", "View Product")</f>
        <v/>
      </c>
    </row>
    <row r="15449">
      <c r="A15449" t="inlineStr">
        <is>
          <t>5057566512800</t>
        </is>
      </c>
      <c r="B15449" t="inlineStr">
        <is>
          <t>Revolution Ultra Matte Finish Lip Contour Kit with Liquid Lipstick and Lip Liner</t>
        </is>
      </c>
      <c r="C15449" t="inlineStr">
        <is>
          <t>Lip Sets</t>
        </is>
      </c>
      <c r="D15449" t="inlineStr">
        <is>
          <t>Makeup Revolution</t>
        </is>
      </c>
      <c r="E15449" t="n">
        <v>7.88</v>
      </c>
      <c r="F15449" t="n">
        <v>1</v>
      </c>
      <c r="G15449" t="n">
        <v>3</v>
      </c>
      <c r="H15449" s="5">
        <f>HYPERLINK("https://api.qogita.com/variants/link/5057566512800/", "View Product")</f>
        <v/>
      </c>
    </row>
    <row r="15450">
      <c r="A15450" t="inlineStr">
        <is>
          <t>5057566516532</t>
        </is>
      </c>
      <c r="B15450" t="inlineStr">
        <is>
          <t>Microfil Eyebrow Pencil 0.1 gram Shade Medium Brown</t>
        </is>
      </c>
      <c r="C15450" t="inlineStr">
        <is>
          <t>Eyebrow Pencil</t>
        </is>
      </c>
      <c r="D15450" t="inlineStr">
        <is>
          <t>Revolution Beauty</t>
        </is>
      </c>
      <c r="E15450" t="n">
        <v>7.04</v>
      </c>
      <c r="F15450" t="n">
        <v>1</v>
      </c>
      <c r="G15450" t="n">
        <v>2</v>
      </c>
      <c r="H15450" s="5">
        <f>HYPERLINK("https://api.qogita.com/variants/link/5057566516532/", "View Product")</f>
        <v/>
      </c>
    </row>
    <row r="15451">
      <c r="A15451" t="inlineStr">
        <is>
          <t>5057566518222</t>
        </is>
      </c>
      <c r="B15451" t="inlineStr">
        <is>
          <t>Makeup Revolution Relove Eye Light Metallic Eyeshadow 19 Ml Bling Metallic</t>
        </is>
      </c>
      <c r="C15451" t="inlineStr">
        <is>
          <t>Eyeshadow</t>
        </is>
      </c>
      <c r="D15451" t="inlineStr">
        <is>
          <t>Makeup Revolution</t>
        </is>
      </c>
      <c r="E15451" t="n">
        <v>4.56</v>
      </c>
      <c r="F15451" t="n">
        <v>1</v>
      </c>
      <c r="G15451" t="n">
        <v>5</v>
      </c>
      <c r="H15451" s="5">
        <f>HYPERLINK("https://api.qogita.com/variants/link/5057566518222/", "View Product")</f>
        <v/>
      </c>
    </row>
    <row r="15452">
      <c r="A15452" t="inlineStr">
        <is>
          <t>5057566518482</t>
        </is>
      </c>
      <c r="B15452" t="inlineStr">
        <is>
          <t>Makeup Revolution Brush Queen Powder Brush Angled Multicolor</t>
        </is>
      </c>
      <c r="C15452" t="inlineStr">
        <is>
          <t>Powder Brushes</t>
        </is>
      </c>
      <c r="D15452" t="inlineStr">
        <is>
          <t>Makeup Revolution</t>
        </is>
      </c>
      <c r="E15452" t="n">
        <v>6.39</v>
      </c>
      <c r="F15452" t="n">
        <v>1</v>
      </c>
      <c r="G15452" t="n">
        <v>5</v>
      </c>
      <c r="H15452" s="5">
        <f>HYPERLINK("https://api.qogita.com/variants/link/5057566518482/", "View Product")</f>
        <v/>
      </c>
    </row>
    <row r="15453">
      <c r="A15453" t="inlineStr">
        <is>
          <t>5057566526722</t>
        </is>
      </c>
      <c r="B15453" t="inlineStr">
        <is>
          <t>Skin Care Set X Sali Hughes (Mini Kit)</t>
        </is>
      </c>
      <c r="C15453" t="inlineStr">
        <is>
          <t>Facial Care Sets</t>
        </is>
      </c>
      <c r="D15453" t="inlineStr">
        <is>
          <t>Revolution Beauty</t>
        </is>
      </c>
      <c r="E15453" t="n">
        <v>23.21</v>
      </c>
      <c r="F15453" t="n">
        <v>1</v>
      </c>
      <c r="G15453" t="n">
        <v>2</v>
      </c>
      <c r="H15453" s="5">
        <f>HYPERLINK("https://api.qogita.com/variants/link/5057566526722/", "View Product")</f>
        <v/>
      </c>
    </row>
    <row r="15454">
      <c r="A15454" t="inlineStr">
        <is>
          <t>5057566537810</t>
        </is>
      </c>
      <c r="B15454" t="inlineStr">
        <is>
          <t>Makeup Revolution Relove Water Activated Absurd Liner 68 G</t>
        </is>
      </c>
      <c r="C15454" t="inlineStr">
        <is>
          <t>Eyeliner</t>
        </is>
      </c>
      <c r="D15454" t="inlineStr">
        <is>
          <t>Makeup Revolution</t>
        </is>
      </c>
      <c r="E15454" t="n">
        <v>6.65</v>
      </c>
      <c r="F15454" t="n">
        <v>1</v>
      </c>
      <c r="G15454" t="n">
        <v>3</v>
      </c>
      <c r="H15454" s="5">
        <f>HYPERLINK("https://api.qogita.com/variants/link/5057566537810/", "View Product")</f>
        <v/>
      </c>
    </row>
    <row r="15455">
      <c r="A15455" t="inlineStr">
        <is>
          <t>5057566546942</t>
        </is>
      </c>
      <c r="B15455" t="inlineStr">
        <is>
          <t>Makeup Revolution Big Lash Reloaded Volume Mascara 8 Grams</t>
        </is>
      </c>
      <c r="C15455" t="inlineStr">
        <is>
          <t>Mascara</t>
        </is>
      </c>
      <c r="D15455" t="inlineStr">
        <is>
          <t>Makeup Revolution</t>
        </is>
      </c>
      <c r="E15455" t="n">
        <v>6.56</v>
      </c>
      <c r="F15455" t="n">
        <v>1</v>
      </c>
      <c r="G15455" t="n">
        <v>2</v>
      </c>
      <c r="H15455" s="5">
        <f>HYPERLINK("https://api.qogita.com/variants/link/5057566546942/", "View Product")</f>
        <v/>
      </c>
    </row>
    <row r="15456">
      <c r="A15456" t="inlineStr">
        <is>
          <t>5057566546973</t>
        </is>
      </c>
      <c r="B15456" t="inlineStr">
        <is>
          <t>Creaseless Clips 8 pcs</t>
        </is>
      </c>
      <c r="C15456" t="inlineStr">
        <is>
          <t>Hair Clips &amp; Hair Clamps</t>
        </is>
      </c>
      <c r="D15456" t="inlineStr">
        <is>
          <t>Dermacol</t>
        </is>
      </c>
      <c r="E15456" t="n">
        <v>7.44</v>
      </c>
      <c r="F15456" t="n">
        <v>1</v>
      </c>
      <c r="G15456" t="n">
        <v>8</v>
      </c>
      <c r="H15456" s="5">
        <f>HYPERLINK("https://api.qogita.com/variants/link/5057566546973/", "View Product")</f>
        <v/>
      </c>
    </row>
    <row r="15457">
      <c r="A15457" t="inlineStr">
        <is>
          <t>5057566552264</t>
        </is>
      </c>
      <c r="B15457" t="inlineStr">
        <is>
          <t>Makeup Revolution Create Precision Nose Lip Contour Brush</t>
        </is>
      </c>
      <c r="C15457" t="inlineStr">
        <is>
          <t>Lip Brushes</t>
        </is>
      </c>
      <c r="D15457" t="inlineStr">
        <is>
          <t>Nuwa</t>
        </is>
      </c>
      <c r="E15457" t="n">
        <v>5.06</v>
      </c>
      <c r="F15457" t="n">
        <v>1</v>
      </c>
      <c r="G15457" t="n">
        <v>2</v>
      </c>
      <c r="H15457" s="5">
        <f>HYPERLINK("https://api.qogita.com/variants/link/5057566552264/", "View Product")</f>
        <v/>
      </c>
    </row>
    <row r="15458">
      <c r="A15458" t="inlineStr">
        <is>
          <t>5057566554190</t>
        </is>
      </c>
      <c r="B15458" t="inlineStr">
        <is>
          <t>Revolution Revolutionary Woman Eau de Toilette 10ml</t>
        </is>
      </c>
      <c r="C15458" t="inlineStr">
        <is>
          <t>Eau De Toilette</t>
        </is>
      </c>
      <c r="D15458" t="inlineStr">
        <is>
          <t>Makeup Revolution</t>
        </is>
      </c>
      <c r="E15458" t="n">
        <v>5.58</v>
      </c>
      <c r="F15458" t="n">
        <v>1</v>
      </c>
      <c r="G15458" t="n">
        <v>3</v>
      </c>
      <c r="H15458" s="5">
        <f>HYPERLINK("https://api.qogita.com/variants/link/5057566554190/", "View Product")</f>
        <v/>
      </c>
    </row>
    <row r="15459">
      <c r="A15459" t="inlineStr">
        <is>
          <t>5057566554213</t>
        </is>
      </c>
      <c r="B15459" t="inlineStr">
        <is>
          <t>Makeup Revolution Timeless Eau De Toilette Purse Spray</t>
        </is>
      </c>
      <c r="C15459" t="inlineStr">
        <is>
          <t>Eau De Toilette</t>
        </is>
      </c>
      <c r="D15459" t="inlineStr">
        <is>
          <t>Makeup Revolution</t>
        </is>
      </c>
      <c r="E15459" t="n">
        <v>5.58</v>
      </c>
      <c r="F15459" t="n">
        <v>1</v>
      </c>
      <c r="G15459" t="n">
        <v>2</v>
      </c>
      <c r="H15459" s="5">
        <f>HYPERLINK("https://api.qogita.com/variants/link/5057566554213/", "View Product")</f>
        <v/>
      </c>
    </row>
    <row r="15460">
      <c r="A15460" t="inlineStr">
        <is>
          <t>5057566555913</t>
        </is>
      </c>
      <c r="B15460" t="inlineStr">
        <is>
          <t>Makeup Revolution Medium Brown Hair Stroke Brow Pen 5 Ml</t>
        </is>
      </c>
      <c r="C15460" t="inlineStr">
        <is>
          <t>Other</t>
        </is>
      </c>
      <c r="D15460" t="inlineStr">
        <is>
          <t>Makeup Revolution</t>
        </is>
      </c>
      <c r="E15460" t="n">
        <v>7.3</v>
      </c>
      <c r="F15460" t="n">
        <v>1</v>
      </c>
      <c r="G15460" t="n">
        <v>5</v>
      </c>
      <c r="H15460" s="5">
        <f>HYPERLINK("https://api.qogita.com/variants/link/5057566555913/", "View Product")</f>
        <v/>
      </c>
    </row>
    <row r="15461">
      <c r="A15461" t="inlineStr">
        <is>
          <t>5057566562775</t>
        </is>
      </c>
      <c r="B15461" t="inlineStr">
        <is>
          <t>Revolution Haircare Plex 9 Bond Restore Hydra Mask 220ml</t>
        </is>
      </c>
      <c r="C15461" t="inlineStr">
        <is>
          <t>Hair Masks</t>
        </is>
      </c>
      <c r="D15461" t="inlineStr">
        <is>
          <t>Revolution Haircare</t>
        </is>
      </c>
      <c r="E15461" t="n">
        <v>19.07</v>
      </c>
      <c r="F15461" t="n">
        <v>1</v>
      </c>
      <c r="G15461" t="n">
        <v>3</v>
      </c>
      <c r="H15461" s="5">
        <f>HYPERLINK("https://api.qogita.com/variants/link/5057566562775/", "View Product")</f>
        <v/>
      </c>
    </row>
    <row r="15462">
      <c r="A15462" t="inlineStr">
        <is>
          <t>5057566563505</t>
        </is>
      </c>
      <c r="B15462" t="inlineStr">
        <is>
          <t>Revolution Pro Hydra Bright Cream Blush Coral 12ml</t>
        </is>
      </c>
      <c r="C15462" t="inlineStr">
        <is>
          <t>Blush</t>
        </is>
      </c>
      <c r="D15462" t="inlineStr">
        <is>
          <t>Makeup Revolution</t>
        </is>
      </c>
      <c r="E15462" t="n">
        <v>7.92</v>
      </c>
      <c r="F15462" t="n">
        <v>1</v>
      </c>
      <c r="G15462" t="n">
        <v>5</v>
      </c>
      <c r="H15462" s="5">
        <f>HYPERLINK("https://api.qogita.com/variants/link/5057566563505/", "View Product")</f>
        <v/>
      </c>
    </row>
    <row r="15463">
      <c r="A15463" t="inlineStr">
        <is>
          <t>5057566565615</t>
        </is>
      </c>
      <c r="B15463" t="inlineStr">
        <is>
          <t>Glam Shadow Palette 5.5 grams Shade No Regrets Soft Nude</t>
        </is>
      </c>
      <c r="C15463" t="inlineStr">
        <is>
          <t>Eye Sets &amp; Pallets</t>
        </is>
      </c>
      <c r="D15463" t="inlineStr">
        <is>
          <t>Revolution Beauty</t>
        </is>
      </c>
      <c r="E15463" t="n">
        <v>7.3</v>
      </c>
      <c r="F15463" t="n">
        <v>1</v>
      </c>
      <c r="G15463" t="n">
        <v>3</v>
      </c>
      <c r="H15463" s="5">
        <f>HYPERLINK("https://api.qogita.com/variants/link/5057566565615/", "View Product")</f>
        <v/>
      </c>
    </row>
    <row r="15464">
      <c r="A15464" t="inlineStr">
        <is>
          <t>5057566572569</t>
        </is>
      </c>
      <c r="B15464" t="inlineStr">
        <is>
          <t>Makeup Revolution Shadow Bomb Cream Eyeshadow Dream Bronze 46 Ml</t>
        </is>
      </c>
      <c r="C15464" t="inlineStr">
        <is>
          <t>Eyeshadow</t>
        </is>
      </c>
      <c r="D15464" t="inlineStr">
        <is>
          <t>Makeup Revolution</t>
        </is>
      </c>
      <c r="E15464" t="n">
        <v>7.3</v>
      </c>
      <c r="F15464" t="n">
        <v>1</v>
      </c>
      <c r="G15464" t="n">
        <v>4</v>
      </c>
      <c r="H15464" s="5">
        <f>HYPERLINK("https://api.qogita.com/variants/link/5057566572569/", "View Product")</f>
        <v/>
      </c>
    </row>
    <row r="15465">
      <c r="A15465" t="inlineStr">
        <is>
          <t>5057566590228</t>
        </is>
      </c>
      <c r="B15465" t="inlineStr">
        <is>
          <t>Cosmetic Headband X Sali Hughes (Skincare Headband)</t>
        </is>
      </c>
      <c r="C15465" t="inlineStr">
        <is>
          <t>Facial Cleansing Tools</t>
        </is>
      </c>
      <c r="D15465" t="inlineStr">
        <is>
          <t>Revolution Beauty</t>
        </is>
      </c>
      <c r="E15465" t="n">
        <v>6.68</v>
      </c>
      <c r="F15465" t="n">
        <v>1</v>
      </c>
      <c r="G15465" t="n">
        <v>3</v>
      </c>
      <c r="H15465" s="5">
        <f>HYPERLINK("https://api.qogita.com/variants/link/5057566590228/", "View Product")</f>
        <v/>
      </c>
    </row>
    <row r="15466">
      <c r="A15466" t="inlineStr">
        <is>
          <t>5057566651967</t>
        </is>
      </c>
      <c r="B15466" t="inlineStr">
        <is>
          <t>Plex Bond Barrier Protecting Lip Cream 15 ml</t>
        </is>
      </c>
      <c r="C15466" t="inlineStr">
        <is>
          <t>Medicated Treatments</t>
        </is>
      </c>
      <c r="D15466" t="inlineStr">
        <is>
          <t>Revolution Beauty</t>
        </is>
      </c>
      <c r="E15466" t="n">
        <v>7.61</v>
      </c>
      <c r="F15466" t="n">
        <v>1</v>
      </c>
      <c r="G15466" t="n">
        <v>3</v>
      </c>
      <c r="H15466" s="5">
        <f>HYPERLINK("https://api.qogita.com/variants/link/5057566651967/", "View Product")</f>
        <v/>
      </c>
    </row>
    <row r="15467">
      <c r="A15467" t="inlineStr">
        <is>
          <t>5057566672566</t>
        </is>
      </c>
      <c r="B15467" t="inlineStr">
        <is>
          <t>Revolution Skincare London Skin 4X Hyaluronic Acid Face Serum 30ml</t>
        </is>
      </c>
      <c r="C15467" t="inlineStr">
        <is>
          <t>Hyaluronic Acid Serum</t>
        </is>
      </c>
      <c r="D15467" t="inlineStr">
        <is>
          <t>Revolution Skincare</t>
        </is>
      </c>
      <c r="E15467" t="n">
        <v>9.359999999999999</v>
      </c>
      <c r="F15467" t="n">
        <v>1</v>
      </c>
      <c r="G15467" t="n">
        <v>9</v>
      </c>
      <c r="H15467" s="5">
        <f>HYPERLINK("https://api.qogita.com/variants/link/5057566672566/", "View Product")</f>
        <v/>
      </c>
    </row>
    <row r="15468">
      <c r="A15468" t="inlineStr">
        <is>
          <t>5057566709750</t>
        </is>
      </c>
      <c r="B15468" t="inlineStr">
        <is>
          <t>Revolution Pro Cream Face Wand Trio Cream Contour Blush Highlighter Makeup Set Light 1x12ml 2x15ml Medium</t>
        </is>
      </c>
      <c r="C15468" t="inlineStr">
        <is>
          <t>Complexion Sets &amp; Pallets</t>
        </is>
      </c>
      <c r="D15468" t="inlineStr">
        <is>
          <t>Revolution Pro</t>
        </is>
      </c>
      <c r="E15468" t="n">
        <v>18.81</v>
      </c>
      <c r="F15468" t="n">
        <v>1</v>
      </c>
      <c r="G15468" t="n">
        <v>3</v>
      </c>
      <c r="H15468" s="5">
        <f>HYPERLINK("https://api.qogita.com/variants/link/5057566709750/", "View Product")</f>
        <v/>
      </c>
    </row>
    <row r="15469">
      <c r="A15469" t="inlineStr">
        <is>
          <t>5057566764506</t>
        </is>
      </c>
      <c r="B15469" t="inlineStr">
        <is>
          <t>Revolution Pro Miracle Night Cream Smoother Plumper Younger-Looking Skin 50ml</t>
        </is>
      </c>
      <c r="C15469" t="inlineStr">
        <is>
          <t>Night Cream</t>
        </is>
      </c>
      <c r="D15469" t="inlineStr">
        <is>
          <t>Revolution Pro</t>
        </is>
      </c>
      <c r="E15469" t="n">
        <v>16.11</v>
      </c>
      <c r="F15469" t="n">
        <v>1</v>
      </c>
      <c r="G15469" t="n">
        <v>4</v>
      </c>
      <c r="H15469" s="5">
        <f>HYPERLINK("https://api.qogita.com/variants/link/5057566764506/", "View Product")</f>
        <v/>
      </c>
    </row>
    <row r="15470">
      <c r="A15470" t="inlineStr">
        <is>
          <t>5057566769235</t>
        </is>
      </c>
      <c r="B15470" t="inlineStr">
        <is>
          <t>Revolution All About The Contour Gift Set Contour Sticks Brushes Palette</t>
        </is>
      </c>
      <c r="C15470" t="inlineStr">
        <is>
          <t>Contouring</t>
        </is>
      </c>
      <c r="D15470" t="inlineStr">
        <is>
          <t>Makeup Revolution</t>
        </is>
      </c>
      <c r="E15470" t="n">
        <v>23</v>
      </c>
      <c r="F15470" t="n">
        <v>1</v>
      </c>
      <c r="G15470" t="n">
        <v>2</v>
      </c>
      <c r="H15470" s="5">
        <f>HYPERLINK("https://api.qogita.com/variants/link/5057566769235/", "View Product")</f>
        <v/>
      </c>
    </row>
    <row r="15471">
      <c r="A15471" t="inlineStr">
        <is>
          <t>5057566775618</t>
        </is>
      </c>
      <c r="B15471" t="inlineStr">
        <is>
          <t>Revolution Pro Glossy Lips Gift Set</t>
        </is>
      </c>
      <c r="C15471" t="inlineStr">
        <is>
          <t>Lip Sets</t>
        </is>
      </c>
      <c r="D15471" t="inlineStr">
        <is>
          <t>Revolution Pro</t>
        </is>
      </c>
      <c r="E15471" t="n">
        <v>16.8</v>
      </c>
      <c r="F15471" t="n">
        <v>1</v>
      </c>
      <c r="G15471" t="n">
        <v>31</v>
      </c>
      <c r="H15471" s="5">
        <f>HYPERLINK("https://api.qogita.com/variants/link/5057566775618/", "View Product")</f>
        <v/>
      </c>
    </row>
    <row r="15472">
      <c r="A15472" t="inlineStr">
        <is>
          <t>5057566776868</t>
        </is>
      </c>
      <c r="B15472" t="inlineStr">
        <is>
          <t>Revolution Skincare X Jake Jamie Fruity Mask Trio Watermelon, Kiwi, and Papaya Face Masks</t>
        </is>
      </c>
      <c r="C15472" t="inlineStr">
        <is>
          <t>Glow Mask</t>
        </is>
      </c>
      <c r="D15472" t="inlineStr">
        <is>
          <t>Revolution Skincare</t>
        </is>
      </c>
      <c r="E15472" t="n">
        <v>26.9</v>
      </c>
      <c r="F15472" t="n">
        <v>1</v>
      </c>
      <c r="G15472" t="n">
        <v>14</v>
      </c>
      <c r="H15472" s="5">
        <f>HYPERLINK("https://api.qogita.com/variants/link/5057566776868/", "View Product")</f>
        <v/>
      </c>
    </row>
    <row r="15473">
      <c r="A15473" t="inlineStr">
        <is>
          <t>5057566790246</t>
        </is>
      </c>
      <c r="B15473" t="inlineStr">
        <is>
          <t>Makeup Revolution X Emily in Paris 12 Days of Paris Advent Calendar</t>
        </is>
      </c>
      <c r="C15473" t="inlineStr">
        <is>
          <t>Makeup Bags</t>
        </is>
      </c>
      <c r="D15473" t="inlineStr">
        <is>
          <t>Makeup Revolution</t>
        </is>
      </c>
      <c r="E15473" t="n">
        <v>19.68</v>
      </c>
      <c r="F15473" t="n">
        <v>1</v>
      </c>
      <c r="G15473" t="n">
        <v>66</v>
      </c>
      <c r="H15473" s="5">
        <f>HYPERLINK("https://api.qogita.com/variants/link/5057566790246/", "View Product")</f>
        <v/>
      </c>
    </row>
    <row r="15474">
      <c r="A15474" t="inlineStr">
        <is>
          <t>5057566795739</t>
        </is>
      </c>
      <c r="B15474" t="inlineStr">
        <is>
          <t>Revolution Pro Glow Edit Cream Highlighter - Rozjasňovač 15 ml Alight</t>
        </is>
      </c>
      <c r="C15474" t="inlineStr">
        <is>
          <t>Highlighter</t>
        </is>
      </c>
      <c r="D15474" t="inlineStr">
        <is>
          <t>Revolution Beauty</t>
        </is>
      </c>
      <c r="E15474" t="n">
        <v>7.6</v>
      </c>
      <c r="F15474" t="n">
        <v>1</v>
      </c>
      <c r="G15474" t="n">
        <v>2</v>
      </c>
      <c r="H15474" s="5">
        <f>HYPERLINK("https://api.qogita.com/variants/link/5057566795739/", "View Product")</f>
        <v/>
      </c>
    </row>
    <row r="15475">
      <c r="A15475" t="inlineStr">
        <is>
          <t>5057566826907</t>
        </is>
      </c>
      <c r="B15475" t="inlineStr">
        <is>
          <t>Revolution Beauty 24-Piece Holiday Beauty Advent Calendar Makeup Gift Set with Lip Gloss Nourishing Lip Masks Brushes Brow Gel Vegan Cruelty-Free</t>
        </is>
      </c>
      <c r="C15475" t="inlineStr">
        <is>
          <t>Lip Sets</t>
        </is>
      </c>
      <c r="D15475" t="inlineStr">
        <is>
          <t>Revolution Beauty</t>
        </is>
      </c>
      <c r="E15475" t="n">
        <v>33.82</v>
      </c>
      <c r="F15475" t="n">
        <v>1</v>
      </c>
      <c r="G15475" t="n">
        <v>555</v>
      </c>
      <c r="H15475" s="5">
        <f>HYPERLINK("https://api.qogita.com/variants/link/5057566826907/", "View Product")</f>
        <v/>
      </c>
    </row>
    <row r="15476">
      <c r="A15476" t="inlineStr">
        <is>
          <t>5060103310111</t>
        </is>
      </c>
      <c r="B15476" t="inlineStr">
        <is>
          <t>Escentric Molecule 03 Eau De Toilette 100ml</t>
        </is>
      </c>
      <c r="C15476" t="inlineStr">
        <is>
          <t>Eau De Toilette</t>
        </is>
      </c>
      <c r="D15476" t="inlineStr">
        <is>
          <t>Escentric Molecules</t>
        </is>
      </c>
      <c r="E15476" t="n">
        <v>65.33</v>
      </c>
      <c r="F15476" t="n">
        <v>1</v>
      </c>
      <c r="G15476" t="n">
        <v>20</v>
      </c>
      <c r="H15476" s="5">
        <f>HYPERLINK("https://api.qogita.com/variants/link/5060103310111/", "View Product")</f>
        <v/>
      </c>
    </row>
    <row r="15477">
      <c r="A15477" t="inlineStr">
        <is>
          <t>5060103310593</t>
        </is>
      </c>
      <c r="B15477" t="inlineStr">
        <is>
          <t>Escentric Molecules Escentric 05 Unisex Eau De Toilette Spray 100ml</t>
        </is>
      </c>
      <c r="C15477" t="inlineStr">
        <is>
          <t>Eau De Toilette</t>
        </is>
      </c>
      <c r="D15477" t="inlineStr">
        <is>
          <t>Escentric Molecules</t>
        </is>
      </c>
      <c r="E15477" t="n">
        <v>98.55</v>
      </c>
      <c r="F15477" t="n">
        <v>1</v>
      </c>
      <c r="G15477" t="n">
        <v>3</v>
      </c>
      <c r="H15477" s="5">
        <f>HYPERLINK("https://api.qogita.com/variants/link/5060103310593/", "View Product")</f>
        <v/>
      </c>
    </row>
    <row r="15478">
      <c r="A15478" t="inlineStr">
        <is>
          <t>5060120164087</t>
        </is>
      </c>
      <c r="B15478" t="inlineStr">
        <is>
          <t>Argan Oil Moroccan Argan Oil Extract Conditioner 300ml</t>
        </is>
      </c>
      <c r="C15478" t="inlineStr">
        <is>
          <t>Conditioner</t>
        </is>
      </c>
      <c r="D15478" t="inlineStr">
        <is>
          <t>Moroccanoil</t>
        </is>
      </c>
      <c r="E15478" t="n">
        <v>1.89</v>
      </c>
      <c r="F15478" t="n">
        <v>1</v>
      </c>
      <c r="G15478" t="n">
        <v>4</v>
      </c>
      <c r="H15478" s="5">
        <f>HYPERLINK("https://api.qogita.com/variants/link/5060120164087/", "View Product")</f>
        <v/>
      </c>
    </row>
    <row r="15479">
      <c r="A15479" t="inlineStr">
        <is>
          <t>5060120164919</t>
        </is>
      </c>
      <c r="B15479" t="inlineStr">
        <is>
          <t>Xpel Argan Oil Moisturizing Hand &amp; Body Wash 300ml</t>
        </is>
      </c>
      <c r="C15479" t="inlineStr">
        <is>
          <t>Shower Gel</t>
        </is>
      </c>
      <c r="D15479" t="inlineStr">
        <is>
          <t>Moroccanoil</t>
        </is>
      </c>
      <c r="E15479" t="n">
        <v>1.89</v>
      </c>
      <c r="F15479" t="n">
        <v>1</v>
      </c>
      <c r="G15479" t="n">
        <v>11</v>
      </c>
      <c r="H15479" s="5">
        <f>HYPERLINK("https://api.qogita.com/variants/link/5060120164919/", "View Product")</f>
        <v/>
      </c>
    </row>
    <row r="15480">
      <c r="A15480" t="inlineStr">
        <is>
          <t>5060120165862</t>
        </is>
      </c>
      <c r="B15480" t="inlineStr">
        <is>
          <t>Macadamia Oil Extract Shampoo For All Types Of Hair</t>
        </is>
      </c>
      <c r="C15480" t="inlineStr">
        <is>
          <t>Shampoo</t>
        </is>
      </c>
      <c r="D15480" t="inlineStr">
        <is>
          <t>Macadamia</t>
        </is>
      </c>
      <c r="E15480" t="n">
        <v>1.71</v>
      </c>
      <c r="F15480" t="n">
        <v>1</v>
      </c>
      <c r="G15480" t="n">
        <v>11</v>
      </c>
      <c r="H15480" s="5">
        <f>HYPERLINK("https://api.qogita.com/variants/link/5060120165862/", "View Product")</f>
        <v/>
      </c>
    </row>
    <row r="15481">
      <c r="A15481" t="inlineStr">
        <is>
          <t>5060120166388</t>
        </is>
      </c>
      <c r="B15481" t="inlineStr">
        <is>
          <t>Xpel Shimmer Of Silver Conditioner For Gray And Blond Hair</t>
        </is>
      </c>
      <c r="C15481" t="inlineStr">
        <is>
          <t>Conditioner</t>
        </is>
      </c>
      <c r="D15481" t="inlineStr">
        <is>
          <t>Xpel</t>
        </is>
      </c>
      <c r="E15481" t="n">
        <v>1.52</v>
      </c>
      <c r="F15481" t="n">
        <v>1</v>
      </c>
      <c r="G15481" t="n">
        <v>7</v>
      </c>
      <c r="H15481" s="5">
        <f>HYPERLINK("https://api.qogita.com/variants/link/5060120166388/", "View Product")</f>
        <v/>
      </c>
    </row>
    <row r="15482">
      <c r="A15482" t="inlineStr">
        <is>
          <t>5060120168115</t>
        </is>
      </c>
      <c r="B15482" t="inlineStr">
        <is>
          <t>Xpel Charcoal Toothpaste with Brush 100ml</t>
        </is>
      </c>
      <c r="C15482" t="inlineStr">
        <is>
          <t>Toothpaste</t>
        </is>
      </c>
      <c r="D15482" t="inlineStr">
        <is>
          <t>Xpel</t>
        </is>
      </c>
      <c r="E15482" t="n">
        <v>1.89</v>
      </c>
      <c r="F15482" t="n">
        <v>1</v>
      </c>
      <c r="G15482" t="n">
        <v>5</v>
      </c>
      <c r="H15482" s="5">
        <f>HYPERLINK("https://api.qogita.com/variants/link/5060120168115/", "View Product")</f>
        <v/>
      </c>
    </row>
    <row r="15483">
      <c r="A15483" t="inlineStr">
        <is>
          <t>5060120169303</t>
        </is>
      </c>
      <c r="B15483" t="inlineStr">
        <is>
          <t>XHC Nourishing Banana Shampoo 400ml</t>
        </is>
      </c>
      <c r="C15483" t="inlineStr">
        <is>
          <t>Shampoo</t>
        </is>
      </c>
      <c r="D15483" t="inlineStr">
        <is>
          <t>Xhc</t>
        </is>
      </c>
      <c r="E15483" t="n">
        <v>1.71</v>
      </c>
      <c r="F15483" t="n">
        <v>1</v>
      </c>
      <c r="G15483" t="n">
        <v>5</v>
      </c>
      <c r="H15483" s="5">
        <f>HYPERLINK("https://api.qogita.com/variants/link/5060120169303/", "View Product")</f>
        <v/>
      </c>
    </row>
    <row r="15484">
      <c r="A15484" t="inlineStr">
        <is>
          <t>5060120176547</t>
        </is>
      </c>
      <c r="B15484" t="inlineStr">
        <is>
          <t>XHC Keratin Shampoo</t>
        </is>
      </c>
      <c r="C15484" t="inlineStr">
        <is>
          <t>Shampoo</t>
        </is>
      </c>
      <c r="D15484" t="inlineStr">
        <is>
          <t>Xhc</t>
        </is>
      </c>
      <c r="E15484" t="n">
        <v>1.94</v>
      </c>
      <c r="F15484" t="n">
        <v>1</v>
      </c>
      <c r="G15484" t="n">
        <v>5</v>
      </c>
      <c r="H15484" s="5">
        <f>HYPERLINK("https://api.qogita.com/variants/link/5060120176547/", "View Product")</f>
        <v/>
      </c>
    </row>
    <row r="15485">
      <c r="A15485" t="inlineStr">
        <is>
          <t>5060120176585</t>
        </is>
      </c>
      <c r="B15485" t="inlineStr">
        <is>
          <t>XHC Biotin Shampoo</t>
        </is>
      </c>
      <c r="C15485" t="inlineStr">
        <is>
          <t>Shampoo</t>
        </is>
      </c>
      <c r="D15485" t="inlineStr">
        <is>
          <t>Xhc</t>
        </is>
      </c>
      <c r="E15485" t="n">
        <v>2.12</v>
      </c>
      <c r="F15485" t="n">
        <v>1</v>
      </c>
      <c r="G15485" t="n">
        <v>15</v>
      </c>
      <c r="H15485" s="5">
        <f>HYPERLINK("https://api.qogita.com/variants/link/5060120176585/", "View Product")</f>
        <v/>
      </c>
    </row>
    <row r="15486">
      <c r="A15486" t="inlineStr">
        <is>
          <t>5060130035513</t>
        </is>
      </c>
      <c r="B15486" t="inlineStr">
        <is>
          <t>Rosalique 3 in 1 Balm Cleanser for Sensitive Redness-Prone Skin Gentle Makeup Remover Luxurious Cleanser &amp; Soothing Mask</t>
        </is>
      </c>
      <c r="C15486" t="inlineStr">
        <is>
          <t>Makeup Remover</t>
        </is>
      </c>
      <c r="D15486" t="inlineStr">
        <is>
          <t>Rosalique</t>
        </is>
      </c>
      <c r="E15486" t="n">
        <v>36.47</v>
      </c>
      <c r="F15486" t="n">
        <v>1</v>
      </c>
      <c r="G15486" t="n">
        <v>5</v>
      </c>
      <c r="H15486" s="5">
        <f>HYPERLINK("https://api.qogita.com/variants/link/5060130035513/", "View Product")</f>
        <v/>
      </c>
    </row>
    <row r="15487">
      <c r="A15487" t="inlineStr">
        <is>
          <t>5060144640222</t>
        </is>
      </c>
      <c r="B15487" t="inlineStr">
        <is>
          <t>Bulldog Skincare for Men Sensitive Moisturizer Face Cream for Sensitive Skin 100ml</t>
        </is>
      </c>
      <c r="C15487" t="inlineStr">
        <is>
          <t>Face Cream</t>
        </is>
      </c>
      <c r="D15487" t="inlineStr">
        <is>
          <t>Bulldog</t>
        </is>
      </c>
      <c r="E15487" t="n">
        <v>7.75</v>
      </c>
      <c r="F15487" t="n">
        <v>1</v>
      </c>
      <c r="G15487" t="n">
        <v>7</v>
      </c>
      <c r="H15487" s="5">
        <f>HYPERLINK("https://api.qogita.com/variants/link/5060144640222/", "View Product")</f>
        <v/>
      </c>
    </row>
    <row r="15488">
      <c r="A15488" t="inlineStr">
        <is>
          <t>5060144643988</t>
        </is>
      </c>
      <c r="B15488" t="inlineStr">
        <is>
          <t>Bulldog Oil Control Moisturizer 100ml</t>
        </is>
      </c>
      <c r="C15488" t="inlineStr">
        <is>
          <t>Face Cream</t>
        </is>
      </c>
      <c r="D15488" t="inlineStr">
        <is>
          <t>Bulldog</t>
        </is>
      </c>
      <c r="E15488" t="n">
        <v>7.75</v>
      </c>
      <c r="F15488" t="n">
        <v>1</v>
      </c>
      <c r="G15488" t="n">
        <v>8</v>
      </c>
      <c r="H15488" s="5">
        <f>HYPERLINK("https://api.qogita.com/variants/link/5060144643988/", "View Product")</f>
        <v/>
      </c>
    </row>
    <row r="15489">
      <c r="A15489" t="inlineStr">
        <is>
          <t>5060144644077</t>
        </is>
      </c>
      <c r="B15489" t="inlineStr">
        <is>
          <t>Bulldog Original Body Lotion 250ml</t>
        </is>
      </c>
      <c r="C15489" t="inlineStr">
        <is>
          <t>Body Lotion</t>
        </is>
      </c>
      <c r="D15489" t="inlineStr">
        <is>
          <t>Bulldog</t>
        </is>
      </c>
      <c r="E15489" t="n">
        <v>7.64</v>
      </c>
      <c r="F15489" t="n">
        <v>1</v>
      </c>
      <c r="G15489" t="n">
        <v>6</v>
      </c>
      <c r="H15489" s="5">
        <f>HYPERLINK("https://api.qogita.com/variants/link/5060144644077/", "View Product")</f>
        <v/>
      </c>
    </row>
    <row r="15490">
      <c r="A15490" t="inlineStr">
        <is>
          <t>5060144648761</t>
        </is>
      </c>
      <c r="B15490" t="inlineStr">
        <is>
          <t>Bulldog Antidandruff Hair &amp; Scalp Shampoo With Jujube Bark 300 Ml</t>
        </is>
      </c>
      <c r="C15490" t="inlineStr">
        <is>
          <t>Shampoo</t>
        </is>
      </c>
      <c r="D15490" t="inlineStr">
        <is>
          <t>Bulldog</t>
        </is>
      </c>
      <c r="E15490" t="n">
        <v>6.58</v>
      </c>
      <c r="F15490" t="n">
        <v>1</v>
      </c>
      <c r="G15490" t="n">
        <v>8</v>
      </c>
      <c r="H15490" s="5">
        <f>HYPERLINK("https://api.qogita.com/variants/link/5060144648761/", "View Product")</f>
        <v/>
      </c>
    </row>
    <row r="15491">
      <c r="A15491" t="inlineStr">
        <is>
          <t>5060144649768</t>
        </is>
      </c>
      <c r="B15491" t="inlineStr">
        <is>
          <t>Bulldog Cedar Wood And Tonka Beans Shower Gel 500 Ml</t>
        </is>
      </c>
      <c r="C15491" t="inlineStr">
        <is>
          <t>Shower Gel</t>
        </is>
      </c>
      <c r="D15491" t="inlineStr">
        <is>
          <t>Bulldog</t>
        </is>
      </c>
      <c r="E15491" t="n">
        <v>7.3</v>
      </c>
      <c r="F15491" t="n">
        <v>1</v>
      </c>
      <c r="G15491" t="n">
        <v>14</v>
      </c>
      <c r="H15491" s="5">
        <f>HYPERLINK("https://api.qogita.com/variants/link/5060144649768/", "View Product")</f>
        <v/>
      </c>
    </row>
    <row r="15492">
      <c r="A15492" t="inlineStr">
        <is>
          <t>5060150185137</t>
        </is>
      </c>
      <c r="B15492" t="inlineStr">
        <is>
          <t>Color Wow Pop &amp; Lock High Gloss Shellac Hair Glossing Serum 55ml</t>
        </is>
      </c>
      <c r="C15492" t="inlineStr">
        <is>
          <t>Hair Oil &amp; Hair Serum</t>
        </is>
      </c>
      <c r="D15492" t="inlineStr">
        <is>
          <t>Color Wow</t>
        </is>
      </c>
      <c r="E15492" t="n">
        <v>20.77</v>
      </c>
      <c r="F15492" t="n">
        <v>1</v>
      </c>
      <c r="G15492" t="n">
        <v>7</v>
      </c>
      <c r="H15492" s="5">
        <f>HYPERLINK("https://api.qogita.com/variants/link/5060150185137/", "View Product")</f>
        <v/>
      </c>
    </row>
    <row r="15493">
      <c r="A15493" t="inlineStr">
        <is>
          <t>5060150185144</t>
        </is>
      </c>
      <c r="B15493" t="inlineStr">
        <is>
          <t>Color Wow Dream Cocktail Coconut Infused Moisturizing Hair Tonic 200ml</t>
        </is>
      </c>
      <c r="C15493" t="inlineStr">
        <is>
          <t>Hair Tonic</t>
        </is>
      </c>
      <c r="D15493" t="inlineStr">
        <is>
          <t>Color Wow</t>
        </is>
      </c>
      <c r="E15493" t="n">
        <v>21.97</v>
      </c>
      <c r="F15493" t="n">
        <v>1</v>
      </c>
      <c r="G15493" t="n">
        <v>11</v>
      </c>
      <c r="H15493" s="5">
        <f>HYPERLINK("https://api.qogita.com/variants/link/5060150185144/", "View Product")</f>
        <v/>
      </c>
    </row>
    <row r="15494">
      <c r="A15494" t="inlineStr">
        <is>
          <t>5060150185236</t>
        </is>
      </c>
      <c r="B15494" t="inlineStr">
        <is>
          <t>Color Wow Speed Dry Blow-Dry Spray - 150ml</t>
        </is>
      </c>
      <c r="C15494" t="inlineStr">
        <is>
          <t>Styling Sprays</t>
        </is>
      </c>
      <c r="D15494" t="inlineStr">
        <is>
          <t>Color Wow</t>
        </is>
      </c>
      <c r="E15494" t="n">
        <v>18.84</v>
      </c>
      <c r="F15494" t="n">
        <v>1</v>
      </c>
      <c r="G15494" t="n">
        <v>2</v>
      </c>
      <c r="H15494" s="5">
        <f>HYPERLINK("https://api.qogita.com/variants/link/5060150185236/", "View Product")</f>
        <v/>
      </c>
    </row>
    <row r="15495">
      <c r="A15495" t="inlineStr">
        <is>
          <t>5060150185465</t>
        </is>
      </c>
      <c r="B15495" t="inlineStr">
        <is>
          <t>COLOR WOW Root Cover Up Red - Single</t>
        </is>
      </c>
      <c r="C15495" t="inlineStr">
        <is>
          <t>Hairline Paint</t>
        </is>
      </c>
      <c r="D15495" t="inlineStr">
        <is>
          <t>Color Wow</t>
        </is>
      </c>
      <c r="E15495" t="n">
        <v>29.09</v>
      </c>
      <c r="F15495" t="n">
        <v>1</v>
      </c>
      <c r="G15495" t="n">
        <v>6</v>
      </c>
      <c r="H15495" s="5">
        <f>HYPERLINK("https://api.qogita.com/variants/link/5060150185465/", "View Product")</f>
        <v/>
      </c>
    </row>
    <row r="15496">
      <c r="A15496" t="inlineStr">
        <is>
          <t>5060150185656</t>
        </is>
      </c>
      <c r="B15496" t="inlineStr">
        <is>
          <t>Color Wow Money Masque Glossing And Softening Hair Mask 215ml</t>
        </is>
      </c>
      <c r="C15496" t="inlineStr">
        <is>
          <t>Hair Masks</t>
        </is>
      </c>
      <c r="D15496" t="inlineStr">
        <is>
          <t>Color Wow</t>
        </is>
      </c>
      <c r="E15496" t="n">
        <v>41.33</v>
      </c>
      <c r="F15496" t="n">
        <v>1</v>
      </c>
      <c r="G15496" t="n">
        <v>33</v>
      </c>
      <c r="H15496" s="5">
        <f>HYPERLINK("https://api.qogita.com/variants/link/5060150185656/", "View Product")</f>
        <v/>
      </c>
    </row>
    <row r="15497">
      <c r="A15497" t="inlineStr">
        <is>
          <t>5060150185663</t>
        </is>
      </c>
      <c r="B15497" t="inlineStr">
        <is>
          <t>Color Wow Xtra Large Bombshell Volumizer Hydrating Mousse Size 200 Ml</t>
        </is>
      </c>
      <c r="C15497" t="inlineStr">
        <is>
          <t>Mousse</t>
        </is>
      </c>
      <c r="D15497" t="inlineStr">
        <is>
          <t>Color Wow</t>
        </is>
      </c>
      <c r="E15497" t="n">
        <v>23.29</v>
      </c>
      <c r="F15497" t="n">
        <v>1</v>
      </c>
      <c r="G15497" t="n">
        <v>63</v>
      </c>
      <c r="H15497" s="5">
        <f>HYPERLINK("https://api.qogita.com/variants/link/5060150185663/", "View Product")</f>
        <v/>
      </c>
    </row>
    <row r="15498">
      <c r="A15498" t="inlineStr">
        <is>
          <t>5060150185731</t>
        </is>
      </c>
      <c r="B15498" t="inlineStr">
        <is>
          <t>Color Wow Money Mist Luxe Leave-In Conditioning Treatment for Glossy, Expensive Hair</t>
        </is>
      </c>
      <c r="C15498" t="inlineStr">
        <is>
          <t>Leave-In Conditioner</t>
        </is>
      </c>
      <c r="D15498" t="inlineStr">
        <is>
          <t>Color Wow</t>
        </is>
      </c>
      <c r="E15498" t="n">
        <v>29.93</v>
      </c>
      <c r="F15498" t="n">
        <v>1</v>
      </c>
      <c r="G15498" t="n">
        <v>27</v>
      </c>
      <c r="H15498" s="5">
        <f>HYPERLINK("https://api.qogita.com/variants/link/5060150185731/", "View Product")</f>
        <v/>
      </c>
    </row>
    <row r="15499">
      <c r="A15499" t="inlineStr">
        <is>
          <t>5060173370008</t>
        </is>
      </c>
      <c r="B15499" t="inlineStr">
        <is>
          <t>Tangle Teezer The Original Hairbrush In Pink Fizz</t>
        </is>
      </c>
      <c r="C15499" t="inlineStr">
        <is>
          <t>Detanglers</t>
        </is>
      </c>
      <c r="D15499" t="inlineStr">
        <is>
          <t>Tangle Teezer</t>
        </is>
      </c>
      <c r="E15499" t="n">
        <v>8.93</v>
      </c>
      <c r="F15499" t="n">
        <v>1</v>
      </c>
      <c r="G15499" t="n">
        <v>63</v>
      </c>
      <c r="H15499" s="5">
        <f>HYPERLINK("https://api.qogita.com/variants/link/5060173370008/", "View Product")</f>
        <v/>
      </c>
    </row>
    <row r="15500">
      <c r="A15500" t="inlineStr">
        <is>
          <t>5060173370558</t>
        </is>
      </c>
      <c r="B15500" t="inlineStr">
        <is>
          <t>Tangle Teezer Blow-Styling Smoothing Tool Hairbrush</t>
        </is>
      </c>
      <c r="C15500" t="inlineStr">
        <is>
          <t>Detanglers</t>
        </is>
      </c>
      <c r="D15500" t="inlineStr">
        <is>
          <t>Tangle Teezer</t>
        </is>
      </c>
      <c r="E15500" t="n">
        <v>18.55</v>
      </c>
      <c r="F15500" t="n">
        <v>1</v>
      </c>
      <c r="G15500" t="n">
        <v>17</v>
      </c>
      <c r="H15500" s="5">
        <f>HYPERLINK("https://api.qogita.com/variants/link/5060173370558/", "View Product")</f>
        <v/>
      </c>
    </row>
    <row r="15501">
      <c r="A15501" t="inlineStr">
        <is>
          <t>5060215061130</t>
        </is>
      </c>
      <c r="B15501" t="inlineStr">
        <is>
          <t>Boadicea The Victorious Complex Spray 100ml</t>
        </is>
      </c>
      <c r="C15501" t="inlineStr">
        <is>
          <t>Eau De Parfum</t>
        </is>
      </c>
      <c r="D15501" t="inlineStr">
        <is>
          <t>Boadicea The Victorious</t>
        </is>
      </c>
      <c r="E15501" t="n">
        <v>120.12</v>
      </c>
      <c r="F15501" t="n">
        <v>1</v>
      </c>
      <c r="G15501" t="n">
        <v>4</v>
      </c>
      <c r="H15501" s="5">
        <f>HYPERLINK("https://api.qogita.com/variants/link/5060215061130/", "View Product")</f>
        <v/>
      </c>
    </row>
    <row r="15502">
      <c r="A15502" t="inlineStr">
        <is>
          <t>5060238285629</t>
        </is>
      </c>
      <c r="B15502" t="inlineStr">
        <is>
          <t>Ormonde Jayne Xi'an Eau De Parfum</t>
        </is>
      </c>
      <c r="C15502" t="inlineStr">
        <is>
          <t>Eau De Parfum</t>
        </is>
      </c>
      <c r="D15502" t="inlineStr">
        <is>
          <t>Ormonde Jayne</t>
        </is>
      </c>
      <c r="E15502" t="n">
        <v>109.69</v>
      </c>
      <c r="F15502" t="n">
        <v>1</v>
      </c>
      <c r="G15502" t="n">
        <v>3</v>
      </c>
      <c r="H15502" s="5">
        <f>HYPERLINK("https://api.qogita.com/variants/link/5060238285629/", "View Product")</f>
        <v/>
      </c>
    </row>
    <row r="15503">
      <c r="A15503" t="inlineStr">
        <is>
          <t>5060238285650</t>
        </is>
      </c>
      <c r="B15503" t="inlineStr">
        <is>
          <t>Ormonde Jayne Muscat Eau De Parfum For Unisex</t>
        </is>
      </c>
      <c r="C15503" t="inlineStr">
        <is>
          <t>Eau De Parfum</t>
        </is>
      </c>
      <c r="D15503" t="inlineStr">
        <is>
          <t>Ormonde Jayne</t>
        </is>
      </c>
      <c r="E15503" t="n">
        <v>127.56</v>
      </c>
      <c r="F15503" t="n">
        <v>1</v>
      </c>
      <c r="G15503" t="n">
        <v>4</v>
      </c>
      <c r="H15503" s="5">
        <f>HYPERLINK("https://api.qogita.com/variants/link/5060238285650/", "View Product")</f>
        <v/>
      </c>
    </row>
    <row r="15504">
      <c r="A15504" t="inlineStr">
        <is>
          <t>5060238288477</t>
        </is>
      </c>
      <c r="B15504" t="inlineStr">
        <is>
          <t>Ormonde Jayne Vanille Des Afriques Intensive Perfume 3 oz 88 ml New Sealed</t>
        </is>
      </c>
      <c r="C15504" t="inlineStr">
        <is>
          <t>Eau De Parfum</t>
        </is>
      </c>
      <c r="D15504" t="inlineStr">
        <is>
          <t>Ormonde Jayne</t>
        </is>
      </c>
      <c r="E15504" t="n">
        <v>169.8</v>
      </c>
      <c r="F15504" t="n">
        <v>1</v>
      </c>
      <c r="G15504" t="n">
        <v>5</v>
      </c>
      <c r="H15504" s="5">
        <f>HYPERLINK("https://api.qogita.com/variants/link/5060238288477/", "View Product")</f>
        <v/>
      </c>
    </row>
    <row r="15505">
      <c r="A15505" t="inlineStr">
        <is>
          <t>5060270291954</t>
        </is>
      </c>
      <c r="B15505" t="inlineStr">
        <is>
          <t>Roja Parfums Roja Aoud Crystal Extrait De Parfum Spray Unisex 100ml</t>
        </is>
      </c>
      <c r="C15505" t="inlineStr">
        <is>
          <t>Extrait De Parfum</t>
        </is>
      </c>
      <c r="D15505" t="inlineStr">
        <is>
          <t>Roja Parfums</t>
        </is>
      </c>
      <c r="E15505" t="n">
        <v>270.21</v>
      </c>
      <c r="F15505" t="n">
        <v>1</v>
      </c>
      <c r="G15505" t="n">
        <v>11</v>
      </c>
      <c r="H15505" s="5">
        <f>HYPERLINK("https://api.qogita.com/variants/link/5060270291954/", "View Product")</f>
        <v/>
      </c>
    </row>
    <row r="15506">
      <c r="A15506" t="inlineStr">
        <is>
          <t>5060270292227</t>
        </is>
      </c>
      <c r="B15506" t="inlineStr">
        <is>
          <t>Roja Parfums Scandal Pour Homme Eau De Cologne</t>
        </is>
      </c>
      <c r="C15506" t="inlineStr">
        <is>
          <t>Eau De Cologne</t>
        </is>
      </c>
      <c r="D15506" t="inlineStr">
        <is>
          <t>Roja Parfums</t>
        </is>
      </c>
      <c r="E15506" t="n">
        <v>201.66</v>
      </c>
      <c r="F15506" t="n">
        <v>1</v>
      </c>
      <c r="G15506" t="n">
        <v>4</v>
      </c>
      <c r="H15506" s="5">
        <f>HYPERLINK("https://api.qogita.com/variants/link/5060270292227/", "View Product")</f>
        <v/>
      </c>
    </row>
    <row r="15507">
      <c r="A15507" t="inlineStr">
        <is>
          <t>5060270292739</t>
        </is>
      </c>
      <c r="B15507" t="inlineStr">
        <is>
          <t>Roja Parfums Enigma Parfum Spray 50ml</t>
        </is>
      </c>
      <c r="C15507" t="inlineStr">
        <is>
          <t>Eau De Parfum</t>
        </is>
      </c>
      <c r="D15507" t="inlineStr">
        <is>
          <t>Roja Parfums</t>
        </is>
      </c>
      <c r="E15507" t="n">
        <v>215.77</v>
      </c>
      <c r="F15507" t="n">
        <v>1</v>
      </c>
      <c r="G15507" t="n">
        <v>4</v>
      </c>
      <c r="H15507" s="5">
        <f>HYPERLINK("https://api.qogita.com/variants/link/5060270292739/", "View Product")</f>
        <v/>
      </c>
    </row>
    <row r="15508">
      <c r="A15508" t="inlineStr">
        <is>
          <t>5060338440010</t>
        </is>
      </c>
      <c r="B15508" t="inlineStr">
        <is>
          <t>Luxurious Shaving Soap</t>
        </is>
      </c>
      <c r="C15508" t="inlineStr">
        <is>
          <t>Aftershave</t>
        </is>
      </c>
      <c r="D15508" t="inlineStr">
        <is>
          <t>Captain Fawcett</t>
        </is>
      </c>
      <c r="E15508" t="n">
        <v>27.86</v>
      </c>
      <c r="F15508" t="n">
        <v>1</v>
      </c>
      <c r="G15508" t="n">
        <v>3</v>
      </c>
      <c r="H15508" s="5">
        <f>HYPERLINK("https://api.qogita.com/variants/link/5060338440010/", "View Product")</f>
        <v/>
      </c>
    </row>
    <row r="15509">
      <c r="A15509" t="inlineStr">
        <is>
          <t>5060338440119</t>
        </is>
      </c>
      <c r="B15509" t="inlineStr">
        <is>
          <t>Captain Fawcett Mustache Wax Lavender 15 Ml</t>
        </is>
      </c>
      <c r="C15509" t="inlineStr">
        <is>
          <t>Beard Care Accessories</t>
        </is>
      </c>
      <c r="D15509" t="inlineStr">
        <is>
          <t>Captain Fawcett</t>
        </is>
      </c>
      <c r="E15509" t="n">
        <v>12.43</v>
      </c>
      <c r="F15509" t="n">
        <v>1</v>
      </c>
      <c r="G15509" t="n">
        <v>4</v>
      </c>
      <c r="H15509" s="5">
        <f>HYPERLINK("https://api.qogita.com/variants/link/5060338440119/", "View Product")</f>
        <v/>
      </c>
    </row>
    <row r="15510">
      <c r="A15510" t="inlineStr">
        <is>
          <t>5060338440225</t>
        </is>
      </c>
      <c r="B15510" t="inlineStr">
        <is>
          <t>Captain Fawcett Beard Comb 300g</t>
        </is>
      </c>
      <c r="C15510" t="inlineStr">
        <is>
          <t>Combs</t>
        </is>
      </c>
      <c r="D15510" t="inlineStr">
        <is>
          <t>Captain Fawcett</t>
        </is>
      </c>
      <c r="E15510" t="n">
        <v>14.81</v>
      </c>
      <c r="F15510" t="n">
        <v>1</v>
      </c>
      <c r="G15510" t="n">
        <v>5</v>
      </c>
      <c r="H15510" s="5">
        <f>HYPERLINK("https://api.qogita.com/variants/link/5060338440225/", "View Product")</f>
        <v/>
      </c>
    </row>
    <row r="15511">
      <c r="A15511" t="inlineStr">
        <is>
          <t>5060338440249</t>
        </is>
      </c>
      <c r="B15511" t="inlineStr">
        <is>
          <t>Captain Fawcett's Sandalwood Scent Moustache Wax &amp; Folding Pocket Moustache Comb Gift Set - Made in England</t>
        </is>
      </c>
      <c r="C15511" t="inlineStr">
        <is>
          <t>Beard Care Accessories</t>
        </is>
      </c>
      <c r="D15511" t="inlineStr">
        <is>
          <t>Captain Fawcett</t>
        </is>
      </c>
      <c r="E15511" t="n">
        <v>21.29</v>
      </c>
      <c r="F15511" t="n">
        <v>1</v>
      </c>
      <c r="G15511" t="n">
        <v>17</v>
      </c>
      <c r="H15511" s="5">
        <f>HYPERLINK("https://api.qogita.com/variants/link/5060338440249/", "View Product")</f>
        <v/>
      </c>
    </row>
    <row r="15512">
      <c r="A15512" t="inlineStr">
        <is>
          <t>5060338440454</t>
        </is>
      </c>
      <c r="B15512" t="inlineStr">
        <is>
          <t>Captain Fawcett Private Stock Moustache Wax 15ml</t>
        </is>
      </c>
      <c r="C15512" t="inlineStr">
        <is>
          <t>Beard Care Accessories</t>
        </is>
      </c>
      <c r="D15512" t="inlineStr">
        <is>
          <t>Captain Fawcett</t>
        </is>
      </c>
      <c r="E15512" t="n">
        <v>11.77</v>
      </c>
      <c r="F15512" t="n">
        <v>1</v>
      </c>
      <c r="G15512" t="n">
        <v>3</v>
      </c>
      <c r="H15512" s="5">
        <f>HYPERLINK("https://api.qogita.com/variants/link/5060338440454/", "View Product")</f>
        <v/>
      </c>
    </row>
    <row r="15513">
      <c r="A15513" t="inlineStr">
        <is>
          <t>5060338440690</t>
        </is>
      </c>
      <c r="B15513" t="inlineStr">
        <is>
          <t>Captain Fawcett Barberism Pre-Shave Oil 50ml</t>
        </is>
      </c>
      <c r="C15513" t="inlineStr">
        <is>
          <t>Shaving</t>
        </is>
      </c>
      <c r="D15513" t="inlineStr">
        <is>
          <t>Captain Fawcett</t>
        </is>
      </c>
      <c r="E15513" t="n">
        <v>42.32</v>
      </c>
      <c r="F15513" t="n">
        <v>1</v>
      </c>
      <c r="G15513" t="n">
        <v>5</v>
      </c>
      <c r="H15513" s="5">
        <f>HYPERLINK("https://api.qogita.com/variants/link/5060338440690/", "View Product")</f>
        <v/>
      </c>
    </row>
    <row r="15514">
      <c r="A15514" t="inlineStr">
        <is>
          <t>5060338440751</t>
        </is>
      </c>
      <c r="B15514" t="inlineStr">
        <is>
          <t>Captain Fawcett Barberism Beard Oil 10ml</t>
        </is>
      </c>
      <c r="C15514" t="inlineStr">
        <is>
          <t>Beard Care Accessories</t>
        </is>
      </c>
      <c r="D15514" t="inlineStr">
        <is>
          <t>Captain Fawcett</t>
        </is>
      </c>
      <c r="E15514" t="n">
        <v>14.75</v>
      </c>
      <c r="F15514" t="n">
        <v>1</v>
      </c>
      <c r="G15514" t="n">
        <v>2</v>
      </c>
      <c r="H15514" s="5">
        <f>HYPERLINK("https://api.qogita.com/variants/link/5060338440751/", "View Product")</f>
        <v/>
      </c>
    </row>
    <row r="15515">
      <c r="A15515" t="inlineStr">
        <is>
          <t>5060338441369</t>
        </is>
      </c>
      <c r="B15515" t="inlineStr">
        <is>
          <t>Captain Fawcett Gentleman's Tipple Beard Oil</t>
        </is>
      </c>
      <c r="C15515" t="inlineStr">
        <is>
          <t>Beard Care Accessories</t>
        </is>
      </c>
      <c r="D15515" t="inlineStr">
        <is>
          <t>Captain Fawcett</t>
        </is>
      </c>
      <c r="E15515" t="n">
        <v>39.03</v>
      </c>
      <c r="F15515" t="n">
        <v>1</v>
      </c>
      <c r="G15515" t="n">
        <v>2</v>
      </c>
      <c r="H15515" s="5">
        <f>HYPERLINK("https://api.qogita.com/variants/link/5060338441369/", "View Product")</f>
        <v/>
      </c>
    </row>
    <row r="15516">
      <c r="A15516" t="inlineStr">
        <is>
          <t>5060338441505</t>
        </is>
      </c>
      <c r="B15516" t="inlineStr">
        <is>
          <t>Captain Fawcett Rufus Hound's Triumphant Beard Oil 50ml</t>
        </is>
      </c>
      <c r="C15516" t="inlineStr">
        <is>
          <t>Beard Care Accessories</t>
        </is>
      </c>
      <c r="D15516" t="inlineStr">
        <is>
          <t>Captain Fawcett</t>
        </is>
      </c>
      <c r="E15516" t="n">
        <v>39.03</v>
      </c>
      <c r="F15516" t="n">
        <v>1</v>
      </c>
      <c r="G15516" t="n">
        <v>2</v>
      </c>
      <c r="H15516" s="5">
        <f>HYPERLINK("https://api.qogita.com/variants/link/5060338441505/", "View Product")</f>
        <v/>
      </c>
    </row>
    <row r="15517">
      <c r="A15517" t="inlineStr">
        <is>
          <t>5060338442205</t>
        </is>
      </c>
      <c r="B15517" t="inlineStr">
        <is>
          <t>Captain Fawcett Maharajah Eau De Parfum 50 Ml</t>
        </is>
      </c>
      <c r="C15517" t="inlineStr">
        <is>
          <t>Eau De Parfum</t>
        </is>
      </c>
      <c r="D15517" t="inlineStr">
        <is>
          <t>Captain Fawcett</t>
        </is>
      </c>
      <c r="E15517" t="n">
        <v>68.56</v>
      </c>
      <c r="F15517" t="n">
        <v>1</v>
      </c>
      <c r="G15517" t="n">
        <v>3</v>
      </c>
      <c r="H15517" s="5">
        <f>HYPERLINK("https://api.qogita.com/variants/link/5060338442205/", "View Product")</f>
        <v/>
      </c>
    </row>
    <row r="15518">
      <c r="A15518" t="inlineStr">
        <is>
          <t>5060338442335</t>
        </is>
      </c>
      <c r="B15518" t="inlineStr">
        <is>
          <t>Captain Fawcetts Putty Pomade</t>
        </is>
      </c>
      <c r="C15518" t="inlineStr">
        <is>
          <t>Wax</t>
        </is>
      </c>
      <c r="D15518" t="inlineStr">
        <is>
          <t>Captain Fawcett</t>
        </is>
      </c>
      <c r="E15518" t="n">
        <v>21.29</v>
      </c>
      <c r="F15518" t="n">
        <v>1</v>
      </c>
      <c r="G15518" t="n">
        <v>3</v>
      </c>
      <c r="H15518" s="5">
        <f>HYPERLINK("https://api.qogita.com/variants/link/5060338442335/", "View Product")</f>
        <v/>
      </c>
    </row>
    <row r="15519">
      <c r="A15519" t="inlineStr">
        <is>
          <t>5060338442823</t>
        </is>
      </c>
      <c r="B15519" t="inlineStr">
        <is>
          <t>Captain Fawcett Bianco Classico Purple Shampoo</t>
        </is>
      </c>
      <c r="C15519" t="inlineStr">
        <is>
          <t>Shampoo</t>
        </is>
      </c>
      <c r="D15519" t="inlineStr">
        <is>
          <t>Captain Fawcett</t>
        </is>
      </c>
      <c r="E15519" t="n">
        <v>22.28</v>
      </c>
      <c r="F15519" t="n">
        <v>1</v>
      </c>
      <c r="G15519" t="n">
        <v>3</v>
      </c>
      <c r="H15519" s="5">
        <f>HYPERLINK("https://api.qogita.com/variants/link/5060338442823/", "View Product")</f>
        <v/>
      </c>
    </row>
    <row r="15520">
      <c r="A15520" t="inlineStr">
        <is>
          <t>5060389246791</t>
        </is>
      </c>
      <c r="B15520" t="inlineStr">
        <is>
          <t>Ren Aha Smart Renewal Body Serum Exfoliating Body Serum For Even Skin Tone 200ml</t>
        </is>
      </c>
      <c r="C15520" t="inlineStr">
        <is>
          <t>Body Lotion</t>
        </is>
      </c>
      <c r="D15520" t="inlineStr">
        <is>
          <t>REN</t>
        </is>
      </c>
      <c r="E15520" t="n">
        <v>25.56</v>
      </c>
      <c r="F15520" t="n">
        <v>1</v>
      </c>
      <c r="G15520" t="n">
        <v>5</v>
      </c>
      <c r="H15520" s="5">
        <f>HYPERLINK("https://api.qogita.com/variants/link/5060389246791/", "View Product")</f>
        <v/>
      </c>
    </row>
    <row r="15521">
      <c r="A15521" t="inlineStr">
        <is>
          <t>5060399674775</t>
        </is>
      </c>
      <c r="B15521" t="inlineStr">
        <is>
          <t>Roja Parfums A Midsummer Dream Eau De Parfum Spray 100ml</t>
        </is>
      </c>
      <c r="C15521" t="inlineStr">
        <is>
          <t>Eau De Parfum</t>
        </is>
      </c>
      <c r="D15521" t="inlineStr">
        <is>
          <t>Roja Parfums</t>
        </is>
      </c>
      <c r="E15521" t="n">
        <v>183.13</v>
      </c>
      <c r="F15521" t="n">
        <v>1</v>
      </c>
      <c r="G15521" t="n">
        <v>2</v>
      </c>
      <c r="H15521" s="5">
        <f>HYPERLINK("https://api.qogita.com/variants/link/5060399674775/", "View Product")</f>
        <v/>
      </c>
    </row>
    <row r="15522">
      <c r="A15522" t="inlineStr">
        <is>
          <t>5060399679374</t>
        </is>
      </c>
      <c r="B15522" t="inlineStr">
        <is>
          <t>Roja Parfums Reckless Parfum Spray 50ml</t>
        </is>
      </c>
      <c r="C15522" t="inlineStr">
        <is>
          <t>Eau De Parfum</t>
        </is>
      </c>
      <c r="D15522" t="inlineStr">
        <is>
          <t>Roja Parfums</t>
        </is>
      </c>
      <c r="E15522" t="n">
        <v>222</v>
      </c>
      <c r="F15522" t="n">
        <v>1</v>
      </c>
      <c r="G15522" t="n">
        <v>5</v>
      </c>
      <c r="H15522" s="5">
        <f>HYPERLINK("https://api.qogita.com/variants/link/5060399679374/", "View Product")</f>
        <v/>
      </c>
    </row>
    <row r="15523">
      <c r="A15523" t="inlineStr">
        <is>
          <t>5060412110242</t>
        </is>
      </c>
      <c r="B15523" t="inlineStr">
        <is>
          <t>Thomas Kosmala No.5 Frenesie Eau De Parfum Unisex Fragrance 100ml</t>
        </is>
      </c>
      <c r="C15523" t="inlineStr">
        <is>
          <t>Eau De Parfum</t>
        </is>
      </c>
      <c r="D15523" t="inlineStr">
        <is>
          <t>Thomas Kosmala</t>
        </is>
      </c>
      <c r="E15523" t="n">
        <v>79.38</v>
      </c>
      <c r="F15523" t="n">
        <v>1</v>
      </c>
      <c r="G15523" t="n">
        <v>5</v>
      </c>
      <c r="H15523" s="5">
        <f>HYPERLINK("https://api.qogita.com/variants/link/5060412110242/", "View Product")</f>
        <v/>
      </c>
    </row>
    <row r="15524">
      <c r="A15524" t="inlineStr">
        <is>
          <t>5060412110259</t>
        </is>
      </c>
      <c r="B15524" t="inlineStr">
        <is>
          <t>Thomas Kosmala No.6 Brume Radieuse Eau De Parfum Spray 100ml</t>
        </is>
      </c>
      <c r="C15524" t="inlineStr">
        <is>
          <t>Eau De Parfum</t>
        </is>
      </c>
      <c r="D15524" t="inlineStr">
        <is>
          <t>Thomas Kosmala</t>
        </is>
      </c>
      <c r="E15524" t="n">
        <v>63.93</v>
      </c>
      <c r="F15524" t="n">
        <v>1</v>
      </c>
      <c r="G15524" t="n">
        <v>4</v>
      </c>
      <c r="H15524" s="5">
        <f>HYPERLINK("https://api.qogita.com/variants/link/5060412110259/", "View Product")</f>
        <v/>
      </c>
    </row>
    <row r="15525">
      <c r="A15525" t="inlineStr">
        <is>
          <t>5060412110273</t>
        </is>
      </c>
      <c r="B15525" t="inlineStr">
        <is>
          <t>Thomas Kosmala No.8 Tonic Vert by Thomas Kosmala Eau de Parfum Spray 3.4 oz</t>
        </is>
      </c>
      <c r="C15525" t="inlineStr">
        <is>
          <t>Eau De Parfum</t>
        </is>
      </c>
      <c r="D15525" t="inlineStr">
        <is>
          <t>Thomas Kosmala</t>
        </is>
      </c>
      <c r="E15525" t="n">
        <v>75.84</v>
      </c>
      <c r="F15525" t="n">
        <v>1</v>
      </c>
      <c r="G15525" t="n">
        <v>8</v>
      </c>
      <c r="H15525" s="5">
        <f>HYPERLINK("https://api.qogita.com/variants/link/5060412110273/", "View Product")</f>
        <v/>
      </c>
    </row>
    <row r="15526">
      <c r="A15526" t="inlineStr">
        <is>
          <t>5060412110440</t>
        </is>
      </c>
      <c r="B15526" t="inlineStr">
        <is>
          <t>Thomas Kosmala No. 10 Desir Du Coeur Eau De Parfum 100ml</t>
        </is>
      </c>
      <c r="C15526" t="inlineStr">
        <is>
          <t>Eau De Parfum</t>
        </is>
      </c>
      <c r="D15526" t="inlineStr">
        <is>
          <t>Thomas Kosmala</t>
        </is>
      </c>
      <c r="E15526" t="n">
        <v>87.52</v>
      </c>
      <c r="F15526" t="n">
        <v>1</v>
      </c>
      <c r="G15526" t="n">
        <v>2</v>
      </c>
      <c r="H15526" s="5">
        <f>HYPERLINK("https://api.qogita.com/variants/link/5060412110440/", "View Product")</f>
        <v/>
      </c>
    </row>
    <row r="15527">
      <c r="A15527" t="inlineStr">
        <is>
          <t>5060412110457</t>
        </is>
      </c>
      <c r="B15527" t="inlineStr">
        <is>
          <t>Thomas Kosmala No. 10 Désir du Coeur Unisex Eau De Parfum 250ml</t>
        </is>
      </c>
      <c r="C15527" t="inlineStr">
        <is>
          <t>Eau De Parfum</t>
        </is>
      </c>
      <c r="D15527" t="inlineStr">
        <is>
          <t>Thomas Kosmala</t>
        </is>
      </c>
      <c r="E15527" t="n">
        <v>155.43</v>
      </c>
      <c r="F15527" t="n">
        <v>1</v>
      </c>
      <c r="G15527" t="n">
        <v>3</v>
      </c>
      <c r="H15527" s="5">
        <f>HYPERLINK("https://api.qogita.com/variants/link/5060412110457/", "View Product")</f>
        <v/>
      </c>
    </row>
    <row r="15528">
      <c r="A15528" t="inlineStr">
        <is>
          <t>5060412110549</t>
        </is>
      </c>
      <c r="B15528" t="inlineStr">
        <is>
          <t>Thomas Kosmala A Never Ending Love Eau De Parfum 100ml</t>
        </is>
      </c>
      <c r="C15528" t="inlineStr">
        <is>
          <t>Eau De Parfum</t>
        </is>
      </c>
      <c r="D15528" t="inlineStr">
        <is>
          <t>Thomas Kosmala</t>
        </is>
      </c>
      <c r="E15528" t="n">
        <v>81.39</v>
      </c>
      <c r="F15528" t="n">
        <v>1</v>
      </c>
      <c r="G15528" t="n">
        <v>5</v>
      </c>
      <c r="H15528" s="5">
        <f>HYPERLINK("https://api.qogita.com/variants/link/5060412110549/", "View Product")</f>
        <v/>
      </c>
    </row>
    <row r="15529">
      <c r="A15529" t="inlineStr">
        <is>
          <t>5060420335545</t>
        </is>
      </c>
      <c r="B15529" t="inlineStr">
        <is>
          <t>Fudge Clean Blonde Damage Rewind Violettoning Shampoo 250ml Unisex</t>
        </is>
      </c>
      <c r="C15529" t="inlineStr">
        <is>
          <t>Shampoo</t>
        </is>
      </c>
      <c r="D15529" t="inlineStr">
        <is>
          <t>Fudge</t>
        </is>
      </c>
      <c r="E15529" t="n">
        <v>6.92</v>
      </c>
      <c r="F15529" t="n">
        <v>1</v>
      </c>
      <c r="G15529" t="n">
        <v>10</v>
      </c>
      <c r="H15529" s="5">
        <f>HYPERLINK("https://api.qogita.com/variants/link/5060420335545/", "View Product")</f>
        <v/>
      </c>
    </row>
    <row r="15530">
      <c r="A15530" t="inlineStr">
        <is>
          <t>5060420335569</t>
        </is>
      </c>
      <c r="B15530" t="inlineStr">
        <is>
          <t>Fudge Professional Luminizer Moisture Boost Shampoo Locks In Colour Instant</t>
        </is>
      </c>
      <c r="C15530" t="inlineStr">
        <is>
          <t>Shampoo</t>
        </is>
      </c>
      <c r="D15530" t="inlineStr">
        <is>
          <t>Fudge</t>
        </is>
      </c>
      <c r="E15530" t="n">
        <v>6.54</v>
      </c>
      <c r="F15530" t="n">
        <v>1</v>
      </c>
      <c r="G15530" t="n">
        <v>3</v>
      </c>
      <c r="H15530" s="5">
        <f>HYPERLINK("https://api.qogita.com/variants/link/5060420335569/", "View Product")</f>
        <v/>
      </c>
    </row>
    <row r="15531">
      <c r="A15531" t="inlineStr">
        <is>
          <t>5060420338256</t>
        </is>
      </c>
      <c r="B15531" t="inlineStr">
        <is>
          <t>St Tropez Prep Maintain Dual Sided Tan Applicator Mitt Doublesided Glove For The Application Of Selftanning Products</t>
        </is>
      </c>
      <c r="C15531" t="inlineStr">
        <is>
          <t>Self-Tanning Gloves</t>
        </is>
      </c>
      <c r="D15531" t="inlineStr">
        <is>
          <t>St Tropez</t>
        </is>
      </c>
      <c r="E15531" t="n">
        <v>7.51</v>
      </c>
      <c r="F15531" t="n">
        <v>1</v>
      </c>
      <c r="G15531" t="n">
        <v>6</v>
      </c>
      <c r="H15531" s="5">
        <f>HYPERLINK("https://api.qogita.com/variants/link/5060420338256/", "View Product")</f>
        <v/>
      </c>
    </row>
    <row r="15532">
      <c r="A15532" t="inlineStr">
        <is>
          <t>5060426150241</t>
        </is>
      </c>
      <c r="B15532" t="inlineStr">
        <is>
          <t>Sarah Jessica Parker Sjp Nyc Eau De Parfum Spray 100ml</t>
        </is>
      </c>
      <c r="C15532" t="inlineStr">
        <is>
          <t>Eau De Parfum</t>
        </is>
      </c>
      <c r="D15532" t="inlineStr">
        <is>
          <t>Sarah Jessica Parker</t>
        </is>
      </c>
      <c r="E15532" t="n">
        <v>24.14</v>
      </c>
      <c r="F15532" t="n">
        <v>1</v>
      </c>
      <c r="G15532" t="n">
        <v>3</v>
      </c>
      <c r="H15532" s="5">
        <f>HYPERLINK("https://api.qogita.com/variants/link/5060426150241/", "View Product")</f>
        <v/>
      </c>
    </row>
    <row r="15533">
      <c r="A15533" t="inlineStr">
        <is>
          <t>5060426153488</t>
        </is>
      </c>
      <c r="B15533" t="inlineStr">
        <is>
          <t>Born Lovely by SJP EDP Spray for Women - Timelessly Classic Feminine Fragrance</t>
        </is>
      </c>
      <c r="C15533" t="inlineStr">
        <is>
          <t>Eau De Parfum</t>
        </is>
      </c>
      <c r="D15533" t="inlineStr">
        <is>
          <t>Sarah Jessica Parker</t>
        </is>
      </c>
      <c r="E15533" t="n">
        <v>14.12</v>
      </c>
      <c r="F15533" t="n">
        <v>1</v>
      </c>
      <c r="G15533" t="n">
        <v>8</v>
      </c>
      <c r="H15533" s="5">
        <f>HYPERLINK("https://api.qogita.com/variants/link/5060426153488/", "View Product")</f>
        <v/>
      </c>
    </row>
    <row r="15534">
      <c r="A15534" t="inlineStr">
        <is>
          <t>5060426153501</t>
        </is>
      </c>
      <c r="B15534" t="inlineStr">
        <is>
          <t>Sarah Jessica Parker Born Lovely Eau De Parfum Spray 30ml</t>
        </is>
      </c>
      <c r="C15534" t="inlineStr">
        <is>
          <t>Eau De Parfum</t>
        </is>
      </c>
      <c r="D15534" t="inlineStr">
        <is>
          <t>Sarah Jessica Parker</t>
        </is>
      </c>
      <c r="E15534" t="n">
        <v>8.960000000000001</v>
      </c>
      <c r="F15534" t="n">
        <v>1</v>
      </c>
      <c r="G15534" t="n">
        <v>6</v>
      </c>
      <c r="H15534" s="5">
        <f>HYPERLINK("https://api.qogita.com/variants/link/5060426153501/", "View Product")</f>
        <v/>
      </c>
    </row>
    <row r="15535">
      <c r="A15535" t="inlineStr">
        <is>
          <t>5060426157868</t>
        </is>
      </c>
      <c r="B15535" t="inlineStr">
        <is>
          <t>Sarah Jessica Parker Lovely Lights Eau De Parfum Spray 30ml</t>
        </is>
      </c>
      <c r="C15535" t="inlineStr">
        <is>
          <t>Eau De Parfum</t>
        </is>
      </c>
      <c r="D15535" t="inlineStr">
        <is>
          <t>Sarah Jessica Parker</t>
        </is>
      </c>
      <c r="E15535" t="n">
        <v>9.01</v>
      </c>
      <c r="F15535" t="n">
        <v>1</v>
      </c>
      <c r="G15535" t="n">
        <v>2</v>
      </c>
      <c r="H15535" s="5">
        <f>HYPERLINK("https://api.qogita.com/variants/link/5060426157868/", "View Product")</f>
        <v/>
      </c>
    </row>
    <row r="15536">
      <c r="A15536" t="inlineStr">
        <is>
          <t>5060427350244</t>
        </is>
      </c>
      <c r="B15536" t="inlineStr">
        <is>
          <t>St Moriz Professional Tanning Mousse Medium 200ml</t>
        </is>
      </c>
      <c r="C15536" t="inlineStr">
        <is>
          <t>Body Self-Tanner</t>
        </is>
      </c>
      <c r="D15536" t="inlineStr">
        <is>
          <t>St. Moriz</t>
        </is>
      </c>
      <c r="E15536" t="n">
        <v>7.76</v>
      </c>
      <c r="F15536" t="n">
        <v>1</v>
      </c>
      <c r="G15536" t="n">
        <v>3</v>
      </c>
      <c r="H15536" s="5">
        <f>HYPERLINK("https://api.qogita.com/variants/link/5060427350244/", "View Product")</f>
        <v/>
      </c>
    </row>
    <row r="15537">
      <c r="A15537" t="inlineStr">
        <is>
          <t>5060427355638</t>
        </is>
      </c>
      <c r="B15537" t="inlineStr">
        <is>
          <t>St Moriz Advanced Pro Gradual Miracle Self Tanning Serum 150 Ml</t>
        </is>
      </c>
      <c r="C15537" t="inlineStr">
        <is>
          <t>Body Self-Tanner</t>
        </is>
      </c>
      <c r="D15537" t="inlineStr">
        <is>
          <t>St. Moriz</t>
        </is>
      </c>
      <c r="E15537" t="n">
        <v>11.05</v>
      </c>
      <c r="F15537" t="n">
        <v>1</v>
      </c>
      <c r="G15537" t="n">
        <v>9</v>
      </c>
      <c r="H15537" s="5">
        <f>HYPERLINK("https://api.qogita.com/variants/link/5060427355638/", "View Product")</f>
        <v/>
      </c>
    </row>
    <row r="15538">
      <c r="A15538" t="inlineStr">
        <is>
          <t>5060427357809</t>
        </is>
      </c>
      <c r="B15538" t="inlineStr">
        <is>
          <t>St Moriz Advanced Pro Gradual Oily Skin Self Tanning Serum 150 Ml</t>
        </is>
      </c>
      <c r="C15538" t="inlineStr">
        <is>
          <t>Body Self-Tanner</t>
        </is>
      </c>
      <c r="D15538" t="inlineStr">
        <is>
          <t>St. Moriz</t>
        </is>
      </c>
      <c r="E15538" t="n">
        <v>8.99</v>
      </c>
      <c r="F15538" t="n">
        <v>1</v>
      </c>
      <c r="G15538" t="n">
        <v>30</v>
      </c>
      <c r="H15538" s="5">
        <f>HYPERLINK("https://api.qogita.com/variants/link/5060427357809/", "View Product")</f>
        <v/>
      </c>
    </row>
    <row r="15539">
      <c r="A15539" t="inlineStr">
        <is>
          <t>5060475232905</t>
        </is>
      </c>
      <c r="B15539" t="inlineStr">
        <is>
          <t>Boadicea the Victorious Rebellious Eau De Parfum 100ml</t>
        </is>
      </c>
      <c r="C15539" t="inlineStr">
        <is>
          <t>Eau De Parfum</t>
        </is>
      </c>
      <c r="D15539" t="inlineStr">
        <is>
          <t>Boadicea The Victorious</t>
        </is>
      </c>
      <c r="E15539" t="n">
        <v>156.08</v>
      </c>
      <c r="F15539" t="n">
        <v>1</v>
      </c>
      <c r="G15539" t="n">
        <v>3</v>
      </c>
      <c r="H15539" s="5">
        <f>HYPERLINK("https://api.qogita.com/variants/link/5060475232905/", "View Product")</f>
        <v/>
      </c>
    </row>
    <row r="15540">
      <c r="A15540" t="inlineStr">
        <is>
          <t>5060485381921</t>
        </is>
      </c>
      <c r="B15540" t="inlineStr">
        <is>
          <t>Electimuss London Live Pure Parfum 100ml</t>
        </is>
      </c>
      <c r="C15540" t="inlineStr">
        <is>
          <t>Eau De Parfum</t>
        </is>
      </c>
      <c r="D15540" t="inlineStr">
        <is>
          <t>Electimuss</t>
        </is>
      </c>
      <c r="E15540" t="n">
        <v>147.85</v>
      </c>
      <c r="F15540" t="n">
        <v>1</v>
      </c>
      <c r="G15540" t="n">
        <v>2</v>
      </c>
      <c r="H15540" s="5">
        <f>HYPERLINK("https://api.qogita.com/variants/link/5060485381921/", "View Product")</f>
        <v/>
      </c>
    </row>
    <row r="15541">
      <c r="A15541" t="inlineStr">
        <is>
          <t>5060485382607</t>
        </is>
      </c>
      <c r="B15541" t="inlineStr">
        <is>
          <t>Electimuss Persephone's Patchouli Parfum Unisex 100 Ml</t>
        </is>
      </c>
      <c r="C15541" t="inlineStr">
        <is>
          <t>Eau De Parfum</t>
        </is>
      </c>
      <c r="D15541" t="inlineStr">
        <is>
          <t>Electimuss</t>
        </is>
      </c>
      <c r="E15541" t="n">
        <v>120.22</v>
      </c>
      <c r="F15541" t="n">
        <v>1</v>
      </c>
      <c r="G15541" t="n">
        <v>2</v>
      </c>
      <c r="H15541" s="5">
        <f>HYPERLINK("https://api.qogita.com/variants/link/5060485382607/", "View Product")</f>
        <v/>
      </c>
    </row>
    <row r="15542">
      <c r="A15542" t="inlineStr">
        <is>
          <t>5060485382935</t>
        </is>
      </c>
      <c r="B15542" t="inlineStr">
        <is>
          <t>Electimuss Vici Leather Pure Parfum 100ml</t>
        </is>
      </c>
      <c r="C15542" t="inlineStr">
        <is>
          <t>Eau De Parfum</t>
        </is>
      </c>
      <c r="D15542" t="inlineStr">
        <is>
          <t>Electimuss</t>
        </is>
      </c>
      <c r="E15542" t="n">
        <v>119.96</v>
      </c>
      <c r="F15542" t="n">
        <v>1</v>
      </c>
      <c r="G15542" t="n">
        <v>7</v>
      </c>
      <c r="H15542" s="5">
        <f>HYPERLINK("https://api.qogita.com/variants/link/5060485382935/", "View Product")</f>
        <v/>
      </c>
    </row>
    <row r="15543">
      <c r="A15543" t="inlineStr">
        <is>
          <t>5060486267453</t>
        </is>
      </c>
      <c r="B15543" t="inlineStr">
        <is>
          <t>Q+A Travel Trio Body Care Giftset - Hyaluronic Acid Body Wash, AHA Exfoliator Body Scrub, Ceramide Body Lotion - 50ml Each</t>
        </is>
      </c>
      <c r="C15543" t="inlineStr">
        <is>
          <t>Body Care Sets</t>
        </is>
      </c>
      <c r="D15543" t="inlineStr">
        <is>
          <t>Q+A</t>
        </is>
      </c>
      <c r="E15543" t="n">
        <v>10.13</v>
      </c>
      <c r="F15543" t="n">
        <v>1</v>
      </c>
      <c r="G15543" t="n">
        <v>41</v>
      </c>
      <c r="H15543" s="5">
        <f>HYPERLINK("https://api.qogita.com/variants/link/5060486267453/", "View Product")</f>
        <v/>
      </c>
    </row>
    <row r="15544">
      <c r="A15544" t="inlineStr">
        <is>
          <t>5060495670022</t>
        </is>
      </c>
      <c r="B15544" t="inlineStr">
        <is>
          <t>Hawkins &amp; Brimble Elemi &amp; Ginseng Post Shave Balm 125 Ml</t>
        </is>
      </c>
      <c r="C15544" t="inlineStr">
        <is>
          <t>Aftershave</t>
        </is>
      </c>
      <c r="D15544" t="inlineStr">
        <is>
          <t>Hawkins &amp; Brimble</t>
        </is>
      </c>
      <c r="E15544" t="n">
        <v>9.68</v>
      </c>
      <c r="F15544" t="n">
        <v>1</v>
      </c>
      <c r="G15544" t="n">
        <v>3</v>
      </c>
      <c r="H15544" s="5">
        <f>HYPERLINK("https://api.qogita.com/variants/link/5060495670022/", "View Product")</f>
        <v/>
      </c>
    </row>
    <row r="15545">
      <c r="A15545" t="inlineStr">
        <is>
          <t>5060521010228</t>
        </is>
      </c>
      <c r="B15545" t="inlineStr">
        <is>
          <t>Palladium For Men Deodorant Stick 75ml</t>
        </is>
      </c>
      <c r="C15545" t="inlineStr">
        <is>
          <t>Deodorant &amp; Anti-Perspirant</t>
        </is>
      </c>
      <c r="D15545" t="inlineStr">
        <is>
          <t>Palladium</t>
        </is>
      </c>
      <c r="E15545" t="n">
        <v>8.82</v>
      </c>
      <c r="F15545" t="n">
        <v>1</v>
      </c>
      <c r="G15545" t="n">
        <v>32</v>
      </c>
      <c r="H15545" s="5">
        <f>HYPERLINK("https://api.qogita.com/variants/link/5060521010228/", "View Product")</f>
        <v/>
      </c>
    </row>
    <row r="15546">
      <c r="A15546" t="inlineStr">
        <is>
          <t>5060524510008</t>
        </is>
      </c>
      <c r="B15546" t="inlineStr">
        <is>
          <t>Cr7 Eau De Toilette Spray 100ml By Cr7</t>
        </is>
      </c>
      <c r="C15546" t="inlineStr">
        <is>
          <t>Eau De Toilette</t>
        </is>
      </c>
      <c r="D15546" t="inlineStr">
        <is>
          <t>Cr7</t>
        </is>
      </c>
      <c r="E15546" t="n">
        <v>21.43</v>
      </c>
      <c r="F15546" t="n">
        <v>1</v>
      </c>
      <c r="G15546" t="n">
        <v>57</v>
      </c>
      <c r="H15546" s="5">
        <f>HYPERLINK("https://api.qogita.com/variants/link/5060524510008/", "View Product")</f>
        <v/>
      </c>
    </row>
    <row r="15547">
      <c r="A15547" t="inlineStr">
        <is>
          <t>5060524510015</t>
        </is>
      </c>
      <c r="B15547" t="inlineStr">
        <is>
          <t>Cristiano Ronaldo CR7 Man EDT 50ml</t>
        </is>
      </c>
      <c r="C15547" t="inlineStr">
        <is>
          <t>Eau De Toilette</t>
        </is>
      </c>
      <c r="D15547" t="inlineStr">
        <is>
          <t>Cr7</t>
        </is>
      </c>
      <c r="E15547" t="n">
        <v>15.47</v>
      </c>
      <c r="F15547" t="n">
        <v>1</v>
      </c>
      <c r="G15547" t="n">
        <v>14</v>
      </c>
      <c r="H15547" s="5">
        <f>HYPERLINK("https://api.qogita.com/variants/link/5060524510015/", "View Product")</f>
        <v/>
      </c>
    </row>
    <row r="15548">
      <c r="A15548" t="inlineStr">
        <is>
          <t>5060524510749</t>
        </is>
      </c>
      <c r="B15548" t="inlineStr">
        <is>
          <t>Cr7 Play It Cool Eau De Toilette Spray 100ml By Cr7</t>
        </is>
      </c>
      <c r="C15548" t="inlineStr">
        <is>
          <t>Eau De Toilette</t>
        </is>
      </c>
      <c r="D15548" t="inlineStr">
        <is>
          <t>Cr7</t>
        </is>
      </c>
      <c r="E15548" t="n">
        <v>22.08</v>
      </c>
      <c r="F15548" t="n">
        <v>1</v>
      </c>
      <c r="G15548" t="n">
        <v>48</v>
      </c>
      <c r="H15548" s="5">
        <f>HYPERLINK("https://api.qogita.com/variants/link/5060524510749/", "View Product")</f>
        <v/>
      </c>
    </row>
    <row r="15549">
      <c r="A15549" t="inlineStr">
        <is>
          <t>5060524511357</t>
        </is>
      </c>
      <c r="B15549" t="inlineStr">
        <is>
          <t>Cr7 Fearless Eau De Toilette Spray 30ml By Cr7</t>
        </is>
      </c>
      <c r="C15549" t="inlineStr">
        <is>
          <t>Eau De Toilette</t>
        </is>
      </c>
      <c r="D15549" t="inlineStr">
        <is>
          <t>Cr7</t>
        </is>
      </c>
      <c r="E15549" t="n">
        <v>15.69</v>
      </c>
      <c r="F15549" t="n">
        <v>1</v>
      </c>
      <c r="G15549" t="n">
        <v>5</v>
      </c>
      <c r="H15549" s="5">
        <f>HYPERLINK("https://api.qogita.com/variants/link/5060524511357/", "View Product")</f>
        <v/>
      </c>
    </row>
    <row r="15550">
      <c r="A15550" t="inlineStr">
        <is>
          <t>5060548390020</t>
        </is>
      </c>
      <c r="B15550" t="inlineStr">
        <is>
          <t>My White Secret Dianoche Whitening Toothpaste 65ml</t>
        </is>
      </c>
      <c r="C15550" t="inlineStr">
        <is>
          <t>Toothpaste</t>
        </is>
      </c>
      <c r="D15550" t="inlineStr">
        <is>
          <t>My White Secret</t>
        </is>
      </c>
      <c r="E15550" t="n">
        <v>7.54</v>
      </c>
      <c r="F15550" t="n">
        <v>1</v>
      </c>
      <c r="G15550" t="n">
        <v>7</v>
      </c>
      <c r="H15550" s="5">
        <f>HYPERLINK("https://api.qogita.com/variants/link/5060548390020/", "View Product")</f>
        <v/>
      </c>
    </row>
    <row r="15551">
      <c r="A15551" t="inlineStr">
        <is>
          <t>5060548390082</t>
        </is>
      </c>
      <c r="B15551" t="inlineStr">
        <is>
          <t>My White Secret Dental Care Gift Set Whitening Strips 14 Pairs Day and Night Toothpaste 50ml and 1 Bamboo Toothbrush - Comprehensive Dental Care</t>
        </is>
      </c>
      <c r="C15551" t="inlineStr">
        <is>
          <t>Teeth Whiteners</t>
        </is>
      </c>
      <c r="D15551" t="inlineStr">
        <is>
          <t>My White Secret</t>
        </is>
      </c>
      <c r="E15551" t="n">
        <v>32.86</v>
      </c>
      <c r="F15551" t="n">
        <v>1</v>
      </c>
      <c r="G15551" t="n">
        <v>4</v>
      </c>
      <c r="H15551" s="5">
        <f>HYPERLINK("https://api.qogita.com/variants/link/5060548390082/", "View Product")</f>
        <v/>
      </c>
    </row>
    <row r="15552">
      <c r="A15552" t="inlineStr">
        <is>
          <t>5060548390167</t>
        </is>
      </c>
      <c r="B15552" t="inlineStr">
        <is>
          <t>My White Secret Dental Whitening Powder 60ml</t>
        </is>
      </c>
      <c r="C15552" t="inlineStr">
        <is>
          <t>Teeth Whiteners</t>
        </is>
      </c>
      <c r="D15552" t="inlineStr">
        <is>
          <t>My White Secret</t>
        </is>
      </c>
      <c r="E15552" t="n">
        <v>11.91</v>
      </c>
      <c r="F15552" t="n">
        <v>1</v>
      </c>
      <c r="G15552" t="n">
        <v>13</v>
      </c>
      <c r="H15552" s="5">
        <f>HYPERLINK("https://api.qogita.com/variants/link/5060548390167/", "View Product")</f>
        <v/>
      </c>
    </row>
    <row r="15553">
      <c r="A15553" t="inlineStr">
        <is>
          <t>5060548390327</t>
        </is>
      </c>
      <c r="B15553" t="inlineStr">
        <is>
          <t>Breakoutaid Emergency Dots Acne Patches With Salicylic Acid 48 Pcs</t>
        </is>
      </c>
      <c r="C15553" t="inlineStr">
        <is>
          <t>Pimple &amp; Blackhead Treatments</t>
        </is>
      </c>
      <c r="D15553" t="inlineStr">
        <is>
          <t>Breakout Aid</t>
        </is>
      </c>
      <c r="E15553" t="n">
        <v>7.97</v>
      </c>
      <c r="F15553" t="n">
        <v>1</v>
      </c>
      <c r="G15553" t="n">
        <v>75</v>
      </c>
      <c r="H15553" s="5">
        <f>HYPERLINK("https://api.qogita.com/variants/link/5060548390327/", "View Product")</f>
        <v/>
      </c>
    </row>
    <row r="15554">
      <c r="A15554" t="inlineStr">
        <is>
          <t>5060548390594</t>
        </is>
      </c>
      <c r="B15554" t="inlineStr">
        <is>
          <t>Breakoutaid Xl Patches For The Treatment Of Problematic Skin With Salicylic Acid And Retinol 5 Pieces</t>
        </is>
      </c>
      <c r="C15554" t="inlineStr">
        <is>
          <t>Pimple &amp; Blackhead Treatments</t>
        </is>
      </c>
      <c r="D15554" t="inlineStr">
        <is>
          <t>Breakout Aid</t>
        </is>
      </c>
      <c r="E15554" t="n">
        <v>7.97</v>
      </c>
      <c r="F15554" t="n">
        <v>1</v>
      </c>
      <c r="G15554" t="n">
        <v>14</v>
      </c>
      <c r="H15554" s="5">
        <f>HYPERLINK("https://api.qogita.com/variants/link/5060548390594/", "View Product")</f>
        <v/>
      </c>
    </row>
    <row r="15555">
      <c r="A15555" t="inlineStr">
        <is>
          <t>5060548390747</t>
        </is>
      </c>
      <c r="B15555" t="inlineStr">
        <is>
          <t>Breakoutaid Microneedle Patches For Dark Spots After Acne 9 Pieces</t>
        </is>
      </c>
      <c r="C15555" t="inlineStr">
        <is>
          <t>Anti-Pigmentation Spot Cream</t>
        </is>
      </c>
      <c r="D15555" t="inlineStr">
        <is>
          <t>Breakout Aid</t>
        </is>
      </c>
      <c r="E15555" t="n">
        <v>9.81</v>
      </c>
      <c r="F15555" t="n">
        <v>1</v>
      </c>
      <c r="G15555" t="n">
        <v>27</v>
      </c>
      <c r="H15555" s="5">
        <f>HYPERLINK("https://api.qogita.com/variants/link/5060548390747/", "View Product")</f>
        <v/>
      </c>
    </row>
    <row r="15556">
      <c r="A15556" t="inlineStr">
        <is>
          <t>5060630041311</t>
        </is>
      </c>
      <c r="B15556" t="inlineStr">
        <is>
          <t>Tangle Teezer Ultimate Detangler Brush Mint Mini - Perfect For Detangling Hair</t>
        </is>
      </c>
      <c r="C15556" t="inlineStr">
        <is>
          <t>Detanglers</t>
        </is>
      </c>
      <c r="D15556" t="inlineStr">
        <is>
          <t>Tangle Teezer</t>
        </is>
      </c>
      <c r="E15556" t="n">
        <v>7.94</v>
      </c>
      <c r="F15556" t="n">
        <v>1</v>
      </c>
      <c r="G15556" t="n">
        <v>43</v>
      </c>
      <c r="H15556" s="5">
        <f>HYPERLINK("https://api.qogita.com/variants/link/5060630041311/", "View Product")</f>
        <v/>
      </c>
    </row>
    <row r="15557">
      <c r="A15557" t="inlineStr">
        <is>
          <t>5060630042752</t>
        </is>
      </c>
      <c r="B15557" t="inlineStr">
        <is>
          <t>Tangle Teezer The Original Mini Hairbrush Pink Unicorn</t>
        </is>
      </c>
      <c r="C15557" t="inlineStr">
        <is>
          <t>Detanglers</t>
        </is>
      </c>
      <c r="D15557" t="inlineStr">
        <is>
          <t>Tangle Teezer</t>
        </is>
      </c>
      <c r="E15557" t="n">
        <v>7.64</v>
      </c>
      <c r="F15557" t="n">
        <v>1</v>
      </c>
      <c r="G15557" t="n">
        <v>8</v>
      </c>
      <c r="H15557" s="5">
        <f>HYPERLINK("https://api.qogita.com/variants/link/5060630042752/", "View Product")</f>
        <v/>
      </c>
    </row>
    <row r="15558">
      <c r="A15558" t="inlineStr">
        <is>
          <t>5060630046521</t>
        </is>
      </c>
      <c r="B15558" t="inlineStr">
        <is>
          <t>Tangle Teezer Everyday Detangling Spray For Kids - 150ml</t>
        </is>
      </c>
      <c r="C15558" t="inlineStr">
        <is>
          <t>Leave-In Conditioner</t>
        </is>
      </c>
      <c r="D15558" t="inlineStr">
        <is>
          <t>Tangle Teezer</t>
        </is>
      </c>
      <c r="E15558" t="n">
        <v>8.68</v>
      </c>
      <c r="F15558" t="n">
        <v>1</v>
      </c>
      <c r="G15558" t="n">
        <v>19</v>
      </c>
      <c r="H15558" s="5">
        <f>HYPERLINK("https://api.qogita.com/variants/link/5060630046521/", "View Product")</f>
        <v/>
      </c>
    </row>
    <row r="15559">
      <c r="A15559" t="inlineStr">
        <is>
          <t>5060630046804</t>
        </is>
      </c>
      <c r="B15559" t="inlineStr">
        <is>
          <t>Tangle Teezer The Compact Styler Detangling Hairbrush for Wet and Dry Hair Pearlescent Matte Chrome</t>
        </is>
      </c>
      <c r="C15559" t="inlineStr">
        <is>
          <t>Detanglers</t>
        </is>
      </c>
      <c r="D15559" t="inlineStr">
        <is>
          <t>Tangle Teezer</t>
        </is>
      </c>
      <c r="E15559" t="n">
        <v>11.97</v>
      </c>
      <c r="F15559" t="n">
        <v>1</v>
      </c>
      <c r="G15559" t="n">
        <v>5</v>
      </c>
      <c r="H15559" s="5">
        <f>HYPERLINK("https://api.qogita.com/variants/link/5060630046804/", "View Product")</f>
        <v/>
      </c>
    </row>
    <row r="15560">
      <c r="A15560" t="inlineStr">
        <is>
          <t>5060630047764</t>
        </is>
      </c>
      <c r="B15560" t="inlineStr">
        <is>
          <t>Tangle Teezer Easy Dry &amp; Go Vented Hairbrush In Jet Black</t>
        </is>
      </c>
      <c r="C15560" t="inlineStr">
        <is>
          <t>Detanglers</t>
        </is>
      </c>
      <c r="D15560" t="inlineStr">
        <is>
          <t>Tangle Teezer</t>
        </is>
      </c>
      <c r="E15560" t="n">
        <v>11.48</v>
      </c>
      <c r="F15560" t="n">
        <v>1</v>
      </c>
      <c r="G15560" t="n">
        <v>10</v>
      </c>
      <c r="H15560" s="5">
        <f>HYPERLINK("https://api.qogita.com/variants/link/5060630047764/", "View Product")</f>
        <v/>
      </c>
    </row>
    <row r="15561">
      <c r="A15561" t="inlineStr">
        <is>
          <t>5060630047801</t>
        </is>
      </c>
      <c r="B15561" t="inlineStr">
        <is>
          <t>Tangle Teezer Easy Dry &amp; Go Vented Hairbrush Tickled Pink</t>
        </is>
      </c>
      <c r="C15561" t="inlineStr">
        <is>
          <t>Detanglers</t>
        </is>
      </c>
      <c r="D15561" t="inlineStr">
        <is>
          <t>Tangle Teezer</t>
        </is>
      </c>
      <c r="E15561" t="n">
        <v>10.83</v>
      </c>
      <c r="F15561" t="n">
        <v>1</v>
      </c>
      <c r="G15561" t="n">
        <v>18</v>
      </c>
      <c r="H15561" s="5">
        <f>HYPERLINK("https://api.qogita.com/variants/link/5060630047801/", "View Product")</f>
        <v/>
      </c>
    </row>
    <row r="15562">
      <c r="A15562" t="inlineStr">
        <is>
          <t>5060630047993</t>
        </is>
      </c>
      <c r="B15562" t="inlineStr">
        <is>
          <t>Tangle Teezer The Ultimate Styler Hairbrush Peach Glow</t>
        </is>
      </c>
      <c r="C15562" t="inlineStr">
        <is>
          <t>Detanglers</t>
        </is>
      </c>
      <c r="D15562" t="inlineStr">
        <is>
          <t>Tangle Teezer</t>
        </is>
      </c>
      <c r="E15562" t="n">
        <v>10.38</v>
      </c>
      <c r="F15562" t="n">
        <v>1</v>
      </c>
      <c r="G15562" t="n">
        <v>4</v>
      </c>
      <c r="H15562" s="5">
        <f>HYPERLINK("https://api.qogita.com/variants/link/5060630047993/", "View Product")</f>
        <v/>
      </c>
    </row>
    <row r="15563">
      <c r="A15563" t="inlineStr">
        <is>
          <t>5060630048037</t>
        </is>
      </c>
      <c r="B15563" t="inlineStr">
        <is>
          <t>Tangle Teezer Easy Dry Go Vented Blowdry Hairbrush Large Black</t>
        </is>
      </c>
      <c r="C15563" t="inlineStr">
        <is>
          <t>Detanglers</t>
        </is>
      </c>
      <c r="D15563" t="inlineStr">
        <is>
          <t>Tangle Teezer</t>
        </is>
      </c>
      <c r="E15563" t="n">
        <v>13</v>
      </c>
      <c r="F15563" t="n">
        <v>1</v>
      </c>
      <c r="G15563" t="n">
        <v>12</v>
      </c>
      <c r="H15563" s="5">
        <f>HYPERLINK("https://api.qogita.com/variants/link/5060630048037/", "View Product")</f>
        <v/>
      </c>
    </row>
    <row r="15564">
      <c r="A15564" t="inlineStr">
        <is>
          <t>5060656210760</t>
        </is>
      </c>
      <c r="B15564" t="inlineStr">
        <is>
          <t>Slick Gorilla Finishing Spray Light to Medium Hold</t>
        </is>
      </c>
      <c r="C15564" t="inlineStr">
        <is>
          <t>Styling Sprays</t>
        </is>
      </c>
      <c r="D15564" t="inlineStr">
        <is>
          <t>Slick Gorilla</t>
        </is>
      </c>
      <c r="E15564" t="n">
        <v>8.529999999999999</v>
      </c>
      <c r="F15564" t="n">
        <v>1</v>
      </c>
      <c r="G15564" t="n">
        <v>12</v>
      </c>
      <c r="H15564" s="5">
        <f>HYPERLINK("https://api.qogita.com/variants/link/5060656210760/", "View Product")</f>
        <v/>
      </c>
    </row>
    <row r="15565">
      <c r="A15565" t="inlineStr">
        <is>
          <t>5060656210876</t>
        </is>
      </c>
      <c r="B15565" t="inlineStr">
        <is>
          <t>Slick Gorilla Curl Cream 100 Ml</t>
        </is>
      </c>
      <c r="C15565" t="inlineStr">
        <is>
          <t>Styling Creams</t>
        </is>
      </c>
      <c r="D15565" t="inlineStr">
        <is>
          <t>Slick Gorilla</t>
        </is>
      </c>
      <c r="E15565" t="n">
        <v>12.47</v>
      </c>
      <c r="F15565" t="n">
        <v>1</v>
      </c>
      <c r="G15565" t="n">
        <v>9</v>
      </c>
      <c r="H15565" s="5">
        <f>HYPERLINK("https://api.qogita.com/variants/link/5060656210876/", "View Product")</f>
        <v/>
      </c>
    </row>
    <row r="15566">
      <c r="A15566" t="inlineStr">
        <is>
          <t>5060748720047</t>
        </is>
      </c>
      <c r="B15566" t="inlineStr">
        <is>
          <t>Zidac Absolute Ice 500ml Kids Mouthwash</t>
        </is>
      </c>
      <c r="C15566" t="inlineStr">
        <is>
          <t>Dental Care For Children</t>
        </is>
      </c>
      <c r="D15566" t="inlineStr">
        <is>
          <t>Zidac</t>
        </is>
      </c>
      <c r="E15566" t="n">
        <v>2.47</v>
      </c>
      <c r="F15566" t="n">
        <v>1</v>
      </c>
      <c r="G15566" t="n">
        <v>2</v>
      </c>
      <c r="H15566" s="5">
        <f>HYPERLINK("https://api.qogita.com/variants/link/5060748720047/", "View Product")</f>
        <v/>
      </c>
    </row>
    <row r="15567">
      <c r="A15567" t="inlineStr">
        <is>
          <t>5060796560008</t>
        </is>
      </c>
      <c r="B15567" t="inlineStr">
        <is>
          <t>Men Rock Mattpaste Hair Styling with Matte Finish and Strong Hold 90ml</t>
        </is>
      </c>
      <c r="C15567" t="inlineStr">
        <is>
          <t>Wax</t>
        </is>
      </c>
      <c r="D15567" t="inlineStr">
        <is>
          <t>Men Rock</t>
        </is>
      </c>
      <c r="E15567" t="n">
        <v>9.199999999999999</v>
      </c>
      <c r="F15567" t="n">
        <v>1</v>
      </c>
      <c r="G15567" t="n">
        <v>2</v>
      </c>
      <c r="H15567" s="5">
        <f>HYPERLINK("https://api.qogita.com/variants/link/5060796560008/", "View Product")</f>
        <v/>
      </c>
    </row>
    <row r="15568">
      <c r="A15568" t="inlineStr">
        <is>
          <t>5060796560015</t>
        </is>
      </c>
      <c r="B15568" t="inlineStr">
        <is>
          <t>Men Rock London Pomade High Hold Medium Shine</t>
        </is>
      </c>
      <c r="C15568" t="inlineStr">
        <is>
          <t>Wax</t>
        </is>
      </c>
      <c r="D15568" t="inlineStr">
        <is>
          <t>Men Rock</t>
        </is>
      </c>
      <c r="E15568" t="n">
        <v>9.1</v>
      </c>
      <c r="F15568" t="n">
        <v>1</v>
      </c>
      <c r="G15568" t="n">
        <v>2</v>
      </c>
      <c r="H15568" s="5">
        <f>HYPERLINK("https://api.qogita.com/variants/link/5060796560015/", "View Product")</f>
        <v/>
      </c>
    </row>
    <row r="15569">
      <c r="A15569" t="inlineStr">
        <is>
          <t>5060796560282</t>
        </is>
      </c>
      <c r="B15569" t="inlineStr">
        <is>
          <t>The Life Shaver Sicilian Lime Shaving Cream Set 100ml With Shaving Brush And Brush Stand</t>
        </is>
      </c>
      <c r="C15569" t="inlineStr">
        <is>
          <t>Face</t>
        </is>
      </c>
      <c r="D15569" t="inlineStr">
        <is>
          <t>The Life Shaver</t>
        </is>
      </c>
      <c r="E15569" t="n">
        <v>17.79</v>
      </c>
      <c r="F15569" t="n">
        <v>1</v>
      </c>
      <c r="G15569" t="n">
        <v>3</v>
      </c>
      <c r="H15569" s="5">
        <f>HYPERLINK("https://api.qogita.com/variants/link/5060796560282/", "View Product")</f>
        <v/>
      </c>
    </row>
    <row r="15570">
      <c r="A15570" t="inlineStr">
        <is>
          <t>5060796560305</t>
        </is>
      </c>
      <c r="B15570" t="inlineStr">
        <is>
          <t>The Life Shaver Sandalwood Shaving Set - 100ml Shaving Cream, Shaving Brush, Brush Stand, Razor, And Razor Blades</t>
        </is>
      </c>
      <c r="C15570" t="inlineStr">
        <is>
          <t>Face</t>
        </is>
      </c>
      <c r="D15570" t="inlineStr">
        <is>
          <t>The Life Shaver</t>
        </is>
      </c>
      <c r="E15570" t="n">
        <v>35.48</v>
      </c>
      <c r="F15570" t="n">
        <v>1</v>
      </c>
      <c r="G15570" t="n">
        <v>2</v>
      </c>
      <c r="H15570" s="5">
        <f>HYPERLINK("https://api.qogita.com/variants/link/5060796560305/", "View Product")</f>
        <v/>
      </c>
    </row>
    <row r="15571">
      <c r="A15571" t="inlineStr">
        <is>
          <t>5060796560312</t>
        </is>
      </c>
      <c r="B15571" t="inlineStr">
        <is>
          <t>The Life Shaver Sicilian Lime Shaving Set - 100ml Cream, Brush, Stand, Razor, And Blades</t>
        </is>
      </c>
      <c r="C15571" t="inlineStr">
        <is>
          <t>Shaving Sets</t>
        </is>
      </c>
      <c r="D15571" t="inlineStr">
        <is>
          <t>The Life Shaver</t>
        </is>
      </c>
      <c r="E15571" t="n">
        <v>35.32</v>
      </c>
      <c r="F15571" t="n">
        <v>1</v>
      </c>
      <c r="G15571" t="n">
        <v>2</v>
      </c>
      <c r="H15571" s="5">
        <f>HYPERLINK("https://api.qogita.com/variants/link/5060796560312/", "View Product")</f>
        <v/>
      </c>
    </row>
    <row r="15572">
      <c r="A15572" t="inlineStr">
        <is>
          <t>5060796560381</t>
        </is>
      </c>
      <c r="B15572" t="inlineStr">
        <is>
          <t>Men Rock London Sicilian Lime Ultimate Cut Throat Razor Shaving Gift Set</t>
        </is>
      </c>
      <c r="C15572" t="inlineStr">
        <is>
          <t>Face</t>
        </is>
      </c>
      <c r="D15572" t="inlineStr">
        <is>
          <t>Men Rock</t>
        </is>
      </c>
      <c r="E15572" t="n">
        <v>29.65</v>
      </c>
      <c r="F15572" t="n">
        <v>1</v>
      </c>
      <c r="G15572" t="n">
        <v>3</v>
      </c>
      <c r="H15572" s="5">
        <f>HYPERLINK("https://api.qogita.com/variants/link/5060796560381/", "View Product")</f>
        <v/>
      </c>
    </row>
    <row r="15573">
      <c r="A15573" t="inlineStr">
        <is>
          <t>5060896575490</t>
        </is>
      </c>
      <c r="B15573" t="inlineStr">
        <is>
          <t>Bulldog Original Spray Deodorant 125 Ml</t>
        </is>
      </c>
      <c r="C15573" t="inlineStr">
        <is>
          <t>Deodorant &amp; Anti-Perspirant</t>
        </is>
      </c>
      <c r="D15573" t="inlineStr">
        <is>
          <t>Bulldog</t>
        </is>
      </c>
      <c r="E15573" t="n">
        <v>6.67</v>
      </c>
      <c r="F15573" t="n">
        <v>1</v>
      </c>
      <c r="G15573" t="n">
        <v>2</v>
      </c>
      <c r="H15573" s="5">
        <f>HYPERLINK("https://api.qogita.com/variants/link/5060896575490/", "View Product")</f>
        <v/>
      </c>
    </row>
    <row r="15574">
      <c r="A15574" t="inlineStr">
        <is>
          <t>5060905833658</t>
        </is>
      </c>
      <c r="B15574" t="inlineStr">
        <is>
          <t>Thameen Fanfare Eau De Cologne Spray 100ml</t>
        </is>
      </c>
      <c r="C15574" t="inlineStr">
        <is>
          <t>Eau De Cologne</t>
        </is>
      </c>
      <c r="D15574" t="inlineStr">
        <is>
          <t>Thameen</t>
        </is>
      </c>
      <c r="E15574" t="n">
        <v>130.58</v>
      </c>
      <c r="F15574" t="n">
        <v>1</v>
      </c>
      <c r="G15574" t="n">
        <v>3</v>
      </c>
      <c r="H15574" s="5">
        <f>HYPERLINK("https://api.qogita.com/variants/link/5060905833658/", "View Product")</f>
        <v/>
      </c>
    </row>
    <row r="15575">
      <c r="A15575" t="inlineStr">
        <is>
          <t>5060905833795</t>
        </is>
      </c>
      <c r="B15575" t="inlineStr">
        <is>
          <t>Thameen Bohemian Infusion Eau De Cologne Elixir Spray 100ml</t>
        </is>
      </c>
      <c r="C15575" t="inlineStr">
        <is>
          <t>Eau De Cologne</t>
        </is>
      </c>
      <c r="D15575" t="inlineStr">
        <is>
          <t>Thameen</t>
        </is>
      </c>
      <c r="E15575" t="n">
        <v>145.75</v>
      </c>
      <c r="F15575" t="n">
        <v>1</v>
      </c>
      <c r="G15575" t="n">
        <v>2</v>
      </c>
      <c r="H15575" s="5">
        <f>HYPERLINK("https://api.qogita.com/variants/link/5060905833795/", "View Product")</f>
        <v/>
      </c>
    </row>
    <row r="15576">
      <c r="A15576" t="inlineStr">
        <is>
          <t>5060926681160</t>
        </is>
      </c>
      <c r="B15576" t="inlineStr">
        <is>
          <t>Tangle Teezer The Compact Styler Detangling Hairbrush Travel-Friendly</t>
        </is>
      </c>
      <c r="C15576" t="inlineStr">
        <is>
          <t>Detanglers</t>
        </is>
      </c>
      <c r="D15576" t="inlineStr">
        <is>
          <t>Tangle Teezer</t>
        </is>
      </c>
      <c r="E15576" t="n">
        <v>15.31</v>
      </c>
      <c r="F15576" t="n">
        <v>1</v>
      </c>
      <c r="G15576" t="n">
        <v>4</v>
      </c>
      <c r="H15576" s="5">
        <f>HYPERLINK("https://api.qogita.com/variants/link/5060926681160/", "View Product")</f>
        <v/>
      </c>
    </row>
    <row r="15577">
      <c r="A15577" t="inlineStr">
        <is>
          <t>5060926681528</t>
        </is>
      </c>
      <c r="B15577" t="inlineStr">
        <is>
          <t>Tangle Teezer The Original Mini Hairbrush - Tropicana Green</t>
        </is>
      </c>
      <c r="C15577" t="inlineStr">
        <is>
          <t>Detanglers</t>
        </is>
      </c>
      <c r="D15577" t="inlineStr">
        <is>
          <t>Tangle Teezer</t>
        </is>
      </c>
      <c r="E15577" t="n">
        <v>6.75</v>
      </c>
      <c r="F15577" t="n">
        <v>1</v>
      </c>
      <c r="G15577" t="n">
        <v>7</v>
      </c>
      <c r="H15577" s="5">
        <f>HYPERLINK("https://api.qogita.com/variants/link/5060926681528/", "View Product")</f>
        <v/>
      </c>
    </row>
    <row r="15578">
      <c r="A15578" t="inlineStr">
        <is>
          <t>5060926682679</t>
        </is>
      </c>
      <c r="B15578" t="inlineStr">
        <is>
          <t>Tangle Teezer Original Plant Brush Detangler for Wet &amp; Dry Hair</t>
        </is>
      </c>
      <c r="C15578" t="inlineStr">
        <is>
          <t>Detanglers</t>
        </is>
      </c>
      <c r="D15578" t="inlineStr">
        <is>
          <t>Tangle Teezer</t>
        </is>
      </c>
      <c r="E15578" t="n">
        <v>10.8</v>
      </c>
      <c r="F15578" t="n">
        <v>1</v>
      </c>
      <c r="G15578" t="n">
        <v>5</v>
      </c>
      <c r="H15578" s="5">
        <f>HYPERLINK("https://api.qogita.com/variants/link/5060926682679/", "View Product")</f>
        <v/>
      </c>
    </row>
    <row r="15579">
      <c r="A15579" t="inlineStr">
        <is>
          <t>5060926682709</t>
        </is>
      </c>
      <c r="B15579" t="inlineStr">
        <is>
          <t>Tangle Teezer Original Plant Detangling Hair Brush for Wet Hair</t>
        </is>
      </c>
      <c r="C15579" t="inlineStr">
        <is>
          <t>Detanglers</t>
        </is>
      </c>
      <c r="D15579" t="inlineStr">
        <is>
          <t>Tangle Teezer</t>
        </is>
      </c>
      <c r="E15579" t="n">
        <v>12.1</v>
      </c>
      <c r="F15579" t="n">
        <v>1</v>
      </c>
      <c r="G15579" t="n">
        <v>2</v>
      </c>
      <c r="H15579" s="5">
        <f>HYPERLINK("https://api.qogita.com/variants/link/5060926682709/", "View Product")</f>
        <v/>
      </c>
    </row>
    <row r="15580">
      <c r="A15580" t="inlineStr">
        <is>
          <t>5060926682976</t>
        </is>
      </c>
      <c r="B15580" t="inlineStr">
        <is>
          <t>Tangle Teezer Compact Styler Detangling Hairbrush Teal Chrome</t>
        </is>
      </c>
      <c r="C15580" t="inlineStr">
        <is>
          <t>Detanglers</t>
        </is>
      </c>
      <c r="D15580" t="inlineStr">
        <is>
          <t>Tangle Teezer</t>
        </is>
      </c>
      <c r="E15580" t="n">
        <v>11.37</v>
      </c>
      <c r="F15580" t="n">
        <v>1</v>
      </c>
      <c r="G15580" t="n">
        <v>5</v>
      </c>
      <c r="H15580" s="5">
        <f>HYPERLINK("https://api.qogita.com/variants/link/5060926682976/", "View Product")</f>
        <v/>
      </c>
    </row>
    <row r="15581">
      <c r="A15581" t="inlineStr">
        <is>
          <t>5060926684529</t>
        </is>
      </c>
      <c r="B15581" t="inlineStr">
        <is>
          <t>Tangle Teezer The Large Ultimate Detangler Hairbrush for Long Thick Curly Textured Hair Two-Tiered Teeth Reduces Breakage Ergonomic Handle Marine Teal</t>
        </is>
      </c>
      <c r="C15581" t="inlineStr">
        <is>
          <t>Detanglers</t>
        </is>
      </c>
      <c r="D15581" t="inlineStr">
        <is>
          <t>Tangle Teezer</t>
        </is>
      </c>
      <c r="E15581" t="n">
        <v>10.25</v>
      </c>
      <c r="F15581" t="n">
        <v>1</v>
      </c>
      <c r="G15581" t="n">
        <v>22</v>
      </c>
      <c r="H15581" s="5">
        <f>HYPERLINK("https://api.qogita.com/variants/link/5060926684529/", "View Product")</f>
        <v/>
      </c>
    </row>
    <row r="15582">
      <c r="A15582" t="inlineStr">
        <is>
          <t>5060926684567</t>
        </is>
      </c>
      <c r="B15582" t="inlineStr">
        <is>
          <t>Tangle Teezer The Original Mini Detangling Brush for Traveling and Small Hands Printed Orange Safari</t>
        </is>
      </c>
      <c r="C15582" t="inlineStr">
        <is>
          <t>Detanglers</t>
        </is>
      </c>
      <c r="D15582" t="inlineStr">
        <is>
          <t>Tangle Teezer</t>
        </is>
      </c>
      <c r="E15582" t="n">
        <v>7.04</v>
      </c>
      <c r="F15582" t="n">
        <v>1</v>
      </c>
      <c r="G15582" t="n">
        <v>4</v>
      </c>
      <c r="H15582" s="5">
        <f>HYPERLINK("https://api.qogita.com/variants/link/5060926684567/", "View Product")</f>
        <v/>
      </c>
    </row>
    <row r="15583">
      <c r="A15583" t="inlineStr">
        <is>
          <t>5060926684727</t>
        </is>
      </c>
      <c r="B15583" t="inlineStr">
        <is>
          <t>Tangle Teezer The Ultimate Detangler Hairbrush for Wet &amp; Dry Hair Two-Tiered Teeth &amp; Comfortable Handle Hyper Yellow &amp; Rosebud</t>
        </is>
      </c>
      <c r="C15583" t="inlineStr">
        <is>
          <t>Detanglers</t>
        </is>
      </c>
      <c r="D15583" t="inlineStr">
        <is>
          <t>Tangle Teezer</t>
        </is>
      </c>
      <c r="E15583" t="n">
        <v>9.380000000000001</v>
      </c>
      <c r="F15583" t="n">
        <v>1</v>
      </c>
      <c r="G15583" t="n">
        <v>11</v>
      </c>
      <c r="H15583" s="5">
        <f>HYPERLINK("https://api.qogita.com/variants/link/5060926684727/", "View Product")</f>
        <v/>
      </c>
    </row>
    <row r="15584">
      <c r="A15584" t="inlineStr">
        <is>
          <t>5060926686011</t>
        </is>
      </c>
      <c r="B15584" t="inlineStr">
        <is>
          <t>Tangle Teezer Ultimate Detangler Hair Brush Straight Curly Chrome Neo Gold</t>
        </is>
      </c>
      <c r="C15584" t="inlineStr">
        <is>
          <t>Detanglers</t>
        </is>
      </c>
      <c r="D15584" t="inlineStr">
        <is>
          <t>Tangle Teezer</t>
        </is>
      </c>
      <c r="E15584" t="n">
        <v>16.17</v>
      </c>
      <c r="F15584" t="n">
        <v>1</v>
      </c>
      <c r="G15584" t="n">
        <v>11</v>
      </c>
      <c r="H15584" s="5">
        <f>HYPERLINK("https://api.qogita.com/variants/link/5060926686011/", "View Product")</f>
        <v/>
      </c>
    </row>
    <row r="15585">
      <c r="A15585" t="inlineStr">
        <is>
          <t>5060926686752</t>
        </is>
      </c>
      <c r="B15585" t="inlineStr">
        <is>
          <t>Tangle Teezer Ultimate Detangler Hairbrush Eliminates Knots and Reduces Breakage</t>
        </is>
      </c>
      <c r="C15585" t="inlineStr">
        <is>
          <t>Detanglers</t>
        </is>
      </c>
      <c r="D15585" t="inlineStr">
        <is>
          <t>Tangle Teezer</t>
        </is>
      </c>
      <c r="E15585" t="n">
        <v>9.81</v>
      </c>
      <c r="F15585" t="n">
        <v>1</v>
      </c>
      <c r="G15585" t="n">
        <v>5</v>
      </c>
      <c r="H15585" s="5">
        <f>HYPERLINK("https://api.qogita.com/variants/link/5060926686752/", "View Product")</f>
        <v/>
      </c>
    </row>
    <row r="15586">
      <c r="A15586" t="inlineStr">
        <is>
          <t>5060926686790</t>
        </is>
      </c>
      <c r="B15586" t="inlineStr">
        <is>
          <t>Tangle Teezer Ultimate Detangler Hairbrush Eliminates Knots and Reduces Breakage</t>
        </is>
      </c>
      <c r="C15586" t="inlineStr">
        <is>
          <t>Detanglers</t>
        </is>
      </c>
      <c r="D15586" t="inlineStr">
        <is>
          <t>Tangle Teezer</t>
        </is>
      </c>
      <c r="E15586" t="n">
        <v>10.13</v>
      </c>
      <c r="F15586" t="n">
        <v>1</v>
      </c>
      <c r="G15586" t="n">
        <v>4</v>
      </c>
      <c r="H15586" s="5">
        <f>HYPERLINK("https://api.qogita.com/variants/link/5060926686790/", "View Product")</f>
        <v/>
      </c>
    </row>
    <row r="15587">
      <c r="A15587" t="inlineStr">
        <is>
          <t>5060926686844</t>
        </is>
      </c>
      <c r="B15587" t="inlineStr">
        <is>
          <t>Tangle Teezer Ultimate Detangler Hairbrush Eliminates Knots and Reduces Breakage</t>
        </is>
      </c>
      <c r="C15587" t="inlineStr">
        <is>
          <t>Detanglers</t>
        </is>
      </c>
      <c r="D15587" t="inlineStr">
        <is>
          <t>Tangle Teezer</t>
        </is>
      </c>
      <c r="E15587" t="n">
        <v>9.81</v>
      </c>
      <c r="F15587" t="n">
        <v>1</v>
      </c>
      <c r="G15587" t="n">
        <v>11</v>
      </c>
      <c r="H15587" s="5">
        <f>HYPERLINK("https://api.qogita.com/variants/link/5060926686844/", "View Product")</f>
        <v/>
      </c>
    </row>
    <row r="15588">
      <c r="A15588" t="inlineStr">
        <is>
          <t>5081304300978</t>
        </is>
      </c>
      <c r="B15588" t="inlineStr">
        <is>
          <t>Fragrance Du Bois Oud Rose Intense Parfum Spray 100ml</t>
        </is>
      </c>
      <c r="C15588" t="inlineStr">
        <is>
          <t>Eau De Parfum</t>
        </is>
      </c>
      <c r="D15588" t="inlineStr">
        <is>
          <t>Fragrance Du Bois</t>
        </is>
      </c>
      <c r="E15588" t="n">
        <v>294.75</v>
      </c>
      <c r="F15588" t="n">
        <v>1</v>
      </c>
      <c r="G15588" t="n">
        <v>7</v>
      </c>
      <c r="H15588" s="5">
        <f>HYPERLINK("https://api.qogita.com/variants/link/5081304300978/", "View Product")</f>
        <v/>
      </c>
    </row>
    <row r="15589">
      <c r="A15589" t="inlineStr">
        <is>
          <t>5081304301036</t>
        </is>
      </c>
      <c r="B15589" t="inlineStr">
        <is>
          <t>Fragrance Du Bois Unisex Oud Noir Intense Perfume 100ml</t>
        </is>
      </c>
      <c r="C15589" t="inlineStr">
        <is>
          <t>Eau De Parfum</t>
        </is>
      </c>
      <c r="D15589" t="inlineStr">
        <is>
          <t>Fragrance Du Bois</t>
        </is>
      </c>
      <c r="E15589" t="n">
        <v>305.2</v>
      </c>
      <c r="F15589" t="n">
        <v>1</v>
      </c>
      <c r="G15589" t="n">
        <v>7</v>
      </c>
      <c r="H15589" s="5">
        <f>HYPERLINK("https://api.qogita.com/variants/link/5081304301036/", "View Product")</f>
        <v/>
      </c>
    </row>
    <row r="15590">
      <c r="A15590" t="inlineStr">
        <is>
          <t>5081304448441</t>
        </is>
      </c>
      <c r="B15590" t="inlineStr">
        <is>
          <t>Fragrance Du Bois Unisex New York Intense Perfume 100ml</t>
        </is>
      </c>
      <c r="C15590" t="inlineStr">
        <is>
          <t>Eau De Parfum</t>
        </is>
      </c>
      <c r="D15590" t="inlineStr">
        <is>
          <t>Fragrance Du Bois</t>
        </is>
      </c>
      <c r="E15590" t="n">
        <v>154.78</v>
      </c>
      <c r="F15590" t="n">
        <v>1</v>
      </c>
      <c r="G15590" t="n">
        <v>3</v>
      </c>
      <c r="H15590" s="5">
        <f>HYPERLINK("https://api.qogita.com/variants/link/5081304448441/", "View Product")</f>
        <v/>
      </c>
    </row>
    <row r="15591">
      <c r="A15591" t="inlineStr">
        <is>
          <t>5081304448465</t>
        </is>
      </c>
      <c r="B15591" t="inlineStr">
        <is>
          <t>Fragrance Du Bois Milano Unisex Perfume 100ml</t>
        </is>
      </c>
      <c r="C15591" t="inlineStr">
        <is>
          <t>Eau De Parfum</t>
        </is>
      </c>
      <c r="D15591" t="inlineStr">
        <is>
          <t>Fragrance Du Bois</t>
        </is>
      </c>
      <c r="E15591" t="n">
        <v>157.57</v>
      </c>
      <c r="F15591" t="n">
        <v>1</v>
      </c>
      <c r="G15591" t="n">
        <v>2</v>
      </c>
      <c r="H15591" s="5">
        <f>HYPERLINK("https://api.qogita.com/variants/link/5081304448465/", "View Product")</f>
        <v/>
      </c>
    </row>
    <row r="15592">
      <c r="A15592" t="inlineStr">
        <is>
          <t>5099821001230</t>
        </is>
      </c>
      <c r="B15592" t="inlineStr">
        <is>
          <t>Hawaiian Tropic Glowing Protection Dry Spray Oil Spf 20 200ml</t>
        </is>
      </c>
      <c r="C15592" t="inlineStr">
        <is>
          <t>Body Sun Protection</t>
        </is>
      </c>
      <c r="D15592" t="inlineStr">
        <is>
          <t>Hawaiian Tropic</t>
        </is>
      </c>
      <c r="E15592" t="n">
        <v>10.89</v>
      </c>
      <c r="F15592" t="n">
        <v>1</v>
      </c>
      <c r="G15592" t="n">
        <v>3</v>
      </c>
      <c r="H15592" s="5">
        <f>HYPERLINK("https://api.qogita.com/variants/link/5099821001230/", "View Product")</f>
        <v/>
      </c>
    </row>
    <row r="15593">
      <c r="A15593" t="inlineStr">
        <is>
          <t>5099821001834</t>
        </is>
      </c>
      <c r="B15593" t="inlineStr">
        <is>
          <t>Hawaiian Tropic Glowing Protection Waterproof Sunscreen Lotion Spf 30 180ml</t>
        </is>
      </c>
      <c r="C15593" t="inlineStr">
        <is>
          <t>Body Sun Protection</t>
        </is>
      </c>
      <c r="D15593" t="inlineStr">
        <is>
          <t>Hawaiian Tropic</t>
        </is>
      </c>
      <c r="E15593" t="n">
        <v>10.89</v>
      </c>
      <c r="F15593" t="n">
        <v>1</v>
      </c>
      <c r="G15593" t="n">
        <v>5</v>
      </c>
      <c r="H15593" s="5">
        <f>HYPERLINK("https://api.qogita.com/variants/link/5099821001834/", "View Product")</f>
        <v/>
      </c>
    </row>
    <row r="15594">
      <c r="A15594" t="inlineStr">
        <is>
          <t>5099821002060</t>
        </is>
      </c>
      <c r="B15594" t="inlineStr">
        <is>
          <t>Hawaiian Tropic Lip Balm Stick Spf 30 Hydrating Protection 4g</t>
        </is>
      </c>
      <c r="C15594" t="inlineStr">
        <is>
          <t>Face Sun Protection</t>
        </is>
      </c>
      <c r="D15594" t="inlineStr">
        <is>
          <t>Hawaiian Tropic</t>
        </is>
      </c>
      <c r="E15594" t="n">
        <v>6.62</v>
      </c>
      <c r="F15594" t="n">
        <v>1</v>
      </c>
      <c r="G15594" t="n">
        <v>7</v>
      </c>
      <c r="H15594" s="5">
        <f>HYPERLINK("https://api.qogita.com/variants/link/5099821002060/", "View Product")</f>
        <v/>
      </c>
    </row>
    <row r="15595">
      <c r="A15595" t="inlineStr">
        <is>
          <t>5099821002763</t>
        </is>
      </c>
      <c r="B15595" t="inlineStr">
        <is>
          <t>Hawaiian Tropic Hydrating After Sun Skin Nourishing Oil 150 Ml</t>
        </is>
      </c>
      <c r="C15595" t="inlineStr">
        <is>
          <t>Aftersun</t>
        </is>
      </c>
      <c r="D15595" t="inlineStr">
        <is>
          <t>Hawaiian Tropic</t>
        </is>
      </c>
      <c r="E15595" t="n">
        <v>9.029999999999999</v>
      </c>
      <c r="F15595" t="n">
        <v>1</v>
      </c>
      <c r="G15595" t="n">
        <v>2</v>
      </c>
      <c r="H15595" s="5">
        <f>HYPERLINK("https://api.qogita.com/variants/link/5099821002763/", "View Product")</f>
        <v/>
      </c>
    </row>
    <row r="15596">
      <c r="A15596" t="inlineStr">
        <is>
          <t>5201100678235</t>
        </is>
      </c>
      <c r="B15596" t="inlineStr">
        <is>
          <t>La Roche-Posay Lipikar Baume Light Apm 400ml With Free Cicaplast Baume B5 15ml</t>
        </is>
      </c>
      <c r="C15596" t="inlineStr">
        <is>
          <t>Body Care Sets</t>
        </is>
      </c>
      <c r="D15596" t="inlineStr">
        <is>
          <t>La Roche-Posay</t>
        </is>
      </c>
      <c r="E15596" t="n">
        <v>28.83</v>
      </c>
      <c r="F15596" t="n">
        <v>1</v>
      </c>
      <c r="G15596" t="n">
        <v>13</v>
      </c>
      <c r="H15596" s="5">
        <f>HYPERLINK("https://api.qogita.com/variants/link/5201100678235/", "View Product")</f>
        <v/>
      </c>
    </row>
    <row r="15597">
      <c r="A15597" t="inlineStr">
        <is>
          <t>5201100678266</t>
        </is>
      </c>
      <c r="B15597" t="inlineStr">
        <is>
          <t>La Roche Posay Lipikar Balm A.P. 400ml With Gift Cicaplast Balm B5 15ml For Irritations</t>
        </is>
      </c>
      <c r="C15597" t="inlineStr">
        <is>
          <t>Body Care Sets</t>
        </is>
      </c>
      <c r="D15597" t="inlineStr">
        <is>
          <t>La Roche-Posay</t>
        </is>
      </c>
      <c r="E15597" t="n">
        <v>28.83</v>
      </c>
      <c r="F15597" t="n">
        <v>1</v>
      </c>
      <c r="G15597" t="n">
        <v>12</v>
      </c>
      <c r="H15597" s="5">
        <f>HYPERLINK("https://api.qogita.com/variants/link/5201100678266/", "View Product")</f>
        <v/>
      </c>
    </row>
    <row r="15598">
      <c r="A15598" t="inlineStr">
        <is>
          <t>5201279072896</t>
        </is>
      </c>
      <c r="B15598" t="inlineStr">
        <is>
          <t>Apivita Soft Cleansing Milk Honey And Tila 100ml</t>
        </is>
      </c>
      <c r="C15598" t="inlineStr">
        <is>
          <t>Cleansing Milk</t>
        </is>
      </c>
      <c r="D15598" t="inlineStr">
        <is>
          <t>Apivita</t>
        </is>
      </c>
      <c r="E15598" t="n">
        <v>6.43</v>
      </c>
      <c r="F15598" t="n">
        <v>1</v>
      </c>
      <c r="G15598" t="n">
        <v>5</v>
      </c>
      <c r="H15598" s="5">
        <f>HYPERLINK("https://api.qogita.com/variants/link/5201279072896/", "View Product")</f>
        <v/>
      </c>
    </row>
    <row r="15599">
      <c r="A15599" t="inlineStr">
        <is>
          <t>5201279078898</t>
        </is>
      </c>
      <c r="B15599" t="inlineStr">
        <is>
          <t>APIVITA Aqua Beelicious Cooling Moisturizing Under Eye Gel 15ml - Flowers</t>
        </is>
      </c>
      <c r="C15599" t="inlineStr">
        <is>
          <t>Eye Gel</t>
        </is>
      </c>
      <c r="D15599" t="inlineStr">
        <is>
          <t>Apivita</t>
        </is>
      </c>
      <c r="E15599" t="n">
        <v>11.51</v>
      </c>
      <c r="F15599" t="n">
        <v>1</v>
      </c>
      <c r="G15599" t="n">
        <v>2</v>
      </c>
      <c r="H15599" s="5">
        <f>HYPERLINK("https://api.qogita.com/variants/link/5201279078898/", "View Product")</f>
        <v/>
      </c>
    </row>
    <row r="15600">
      <c r="A15600" t="inlineStr">
        <is>
          <t>5201279086060</t>
        </is>
      </c>
      <c r="B15600" t="inlineStr">
        <is>
          <t>Apivita Refreshing Fig Body Milk 200ml</t>
        </is>
      </c>
      <c r="C15600" t="inlineStr">
        <is>
          <t>Body Lotion</t>
        </is>
      </c>
      <c r="D15600" t="inlineStr">
        <is>
          <t>Apivita</t>
        </is>
      </c>
      <c r="E15600" t="n">
        <v>8.68</v>
      </c>
      <c r="F15600" t="n">
        <v>1</v>
      </c>
      <c r="G15600" t="n">
        <v>2</v>
      </c>
      <c r="H15600" s="5">
        <f>HYPERLINK("https://api.qogita.com/variants/link/5201279086060/", "View Product")</f>
        <v/>
      </c>
    </row>
    <row r="15601">
      <c r="A15601" t="inlineStr">
        <is>
          <t>5201314107552</t>
        </is>
      </c>
      <c r="B15601" t="inlineStr">
        <is>
          <t>Elode For Women 100ml</t>
        </is>
      </c>
      <c r="C15601" t="inlineStr">
        <is>
          <t>Eau De Parfum</t>
        </is>
      </c>
      <c r="D15601" t="inlineStr">
        <is>
          <t>Elode</t>
        </is>
      </c>
      <c r="E15601" t="n">
        <v>6.47</v>
      </c>
      <c r="F15601" t="n">
        <v>1</v>
      </c>
      <c r="G15601" t="n">
        <v>7</v>
      </c>
      <c r="H15601" s="5">
        <f>HYPERLINK("https://api.qogita.com/variants/link/5201314107552/", "View Product")</f>
        <v/>
      </c>
    </row>
    <row r="15602">
      <c r="A15602" t="inlineStr">
        <is>
          <t>5201314127345</t>
        </is>
      </c>
      <c r="B15602" t="inlineStr">
        <is>
          <t>Elode For Men 100ml</t>
        </is>
      </c>
      <c r="C15602" t="inlineStr">
        <is>
          <t>Eau De Toilette</t>
        </is>
      </c>
      <c r="D15602" t="inlineStr">
        <is>
          <t>Elode</t>
        </is>
      </c>
      <c r="E15602" t="n">
        <v>6.99</v>
      </c>
      <c r="F15602" t="n">
        <v>1</v>
      </c>
      <c r="G15602" t="n">
        <v>33</v>
      </c>
      <c r="H15602" s="5">
        <f>HYPERLINK("https://api.qogita.com/variants/link/5201314127345/", "View Product")</f>
        <v/>
      </c>
    </row>
    <row r="15603">
      <c r="A15603" t="inlineStr">
        <is>
          <t>5201314129417</t>
        </is>
      </c>
      <c r="B15603" t="inlineStr">
        <is>
          <t>BU Heartbeat Natural Women's Body Spray 75ml</t>
        </is>
      </c>
      <c r="C15603" t="inlineStr">
        <is>
          <t>Eau De Toilette</t>
        </is>
      </c>
      <c r="D15603" t="inlineStr">
        <is>
          <t>B.U.</t>
        </is>
      </c>
      <c r="E15603" t="n">
        <v>5.64</v>
      </c>
      <c r="F15603" t="n">
        <v>1</v>
      </c>
      <c r="G15603" t="n">
        <v>9</v>
      </c>
      <c r="H15603" s="5">
        <f>HYPERLINK("https://api.qogita.com/variants/link/5201314129417/", "View Product")</f>
        <v/>
      </c>
    </row>
    <row r="15604">
      <c r="A15604" t="inlineStr">
        <is>
          <t>5201314131083</t>
        </is>
      </c>
      <c r="B15604" t="inlineStr">
        <is>
          <t>Absolu Te Me Deodorant Spray</t>
        </is>
      </c>
      <c r="C15604" t="inlineStr">
        <is>
          <t>Deodorant &amp; Anti-Perspirant</t>
        </is>
      </c>
      <c r="D15604" t="inlineStr">
        <is>
          <t>B.U.</t>
        </is>
      </c>
      <c r="E15604" t="n">
        <v>4.04</v>
      </c>
      <c r="F15604" t="n">
        <v>1</v>
      </c>
      <c r="G15604" t="n">
        <v>26</v>
      </c>
      <c r="H15604" s="5">
        <f>HYPERLINK("https://api.qogita.com/variants/link/5201314131083/", "View Product")</f>
        <v/>
      </c>
    </row>
    <row r="15605">
      <c r="A15605" t="inlineStr">
        <is>
          <t>5201314149736</t>
        </is>
      </c>
      <c r="B15605" t="inlineStr">
        <is>
          <t>Str8 Original Eau De Toilette For Men 100 Ml Fresh Top With Spicy Woody Base</t>
        </is>
      </c>
      <c r="C15605" t="inlineStr">
        <is>
          <t>Eau De Toilette</t>
        </is>
      </c>
      <c r="D15605" t="inlineStr">
        <is>
          <t>Str8</t>
        </is>
      </c>
      <c r="E15605" t="n">
        <v>7.45</v>
      </c>
      <c r="F15605" t="n">
        <v>1</v>
      </c>
      <c r="G15605" t="n">
        <v>85</v>
      </c>
      <c r="H15605" s="5">
        <f>HYPERLINK("https://api.qogita.com/variants/link/5201314149736/", "View Product")</f>
        <v/>
      </c>
    </row>
    <row r="15606">
      <c r="A15606" t="inlineStr">
        <is>
          <t>5201314149842</t>
        </is>
      </c>
      <c r="B15606" t="inlineStr">
        <is>
          <t>Live True Eau de Toilette Volume 50 ml</t>
        </is>
      </c>
      <c r="C15606" t="inlineStr">
        <is>
          <t>Eau De Toilette</t>
        </is>
      </c>
      <c r="D15606" t="inlineStr">
        <is>
          <t>Str8</t>
        </is>
      </c>
      <c r="E15606" t="n">
        <v>5.98</v>
      </c>
      <c r="F15606" t="n">
        <v>1</v>
      </c>
      <c r="G15606" t="n">
        <v>21</v>
      </c>
      <c r="H15606" s="5">
        <f>HYPERLINK("https://api.qogita.com/variants/link/5201314149842/", "View Product")</f>
        <v/>
      </c>
    </row>
    <row r="15607">
      <c r="A15607" t="inlineStr">
        <is>
          <t>5201314149989</t>
        </is>
      </c>
      <c r="B15607" t="inlineStr">
        <is>
          <t>Str8 Men Ahead Shower Gel 400 Ml</t>
        </is>
      </c>
      <c r="C15607" t="inlineStr">
        <is>
          <t>Shower Gel</t>
        </is>
      </c>
      <c r="D15607" t="inlineStr">
        <is>
          <t>Str8</t>
        </is>
      </c>
      <c r="E15607" t="n">
        <v>4.71</v>
      </c>
      <c r="F15607" t="n">
        <v>1</v>
      </c>
      <c r="G15607" t="n">
        <v>2</v>
      </c>
      <c r="H15607" s="5">
        <f>HYPERLINK("https://api.qogita.com/variants/link/5201314149989/", "View Product")</f>
        <v/>
      </c>
    </row>
    <row r="15608">
      <c r="A15608" t="inlineStr">
        <is>
          <t>5201314170327</t>
        </is>
      </c>
      <c r="B15608" t="inlineStr">
        <is>
          <t>STR8 Game 100ml Eau de Toilette - Brand New &amp; Sealed</t>
        </is>
      </c>
      <c r="C15608" t="inlineStr">
        <is>
          <t>Eau De Toilette</t>
        </is>
      </c>
      <c r="D15608" t="inlineStr">
        <is>
          <t>Str8</t>
        </is>
      </c>
      <c r="E15608" t="n">
        <v>7.45</v>
      </c>
      <c r="F15608" t="n">
        <v>1</v>
      </c>
      <c r="G15608" t="n">
        <v>13</v>
      </c>
      <c r="H15608" s="5">
        <f>HYPERLINK("https://api.qogita.com/variants/link/5201314170327/", "View Product")</f>
        <v/>
      </c>
    </row>
    <row r="15609">
      <c r="A15609" t="inlineStr">
        <is>
          <t>5201314194422</t>
        </is>
      </c>
      <c r="B15609" t="inlineStr">
        <is>
          <t>Str8 Wild Beat - Eau De Toilette</t>
        </is>
      </c>
      <c r="C15609" t="inlineStr">
        <is>
          <t>Eau De Toilette</t>
        </is>
      </c>
      <c r="D15609" t="inlineStr">
        <is>
          <t>Str8</t>
        </is>
      </c>
      <c r="E15609" t="n">
        <v>8.85</v>
      </c>
      <c r="F15609" t="n">
        <v>1</v>
      </c>
      <c r="G15609" t="n">
        <v>6</v>
      </c>
      <c r="H15609" s="5">
        <f>HYPERLINK("https://api.qogita.com/variants/link/5201314194422/", "View Product")</f>
        <v/>
      </c>
    </row>
    <row r="15610">
      <c r="A15610" t="inlineStr">
        <is>
          <t>5203069098215</t>
        </is>
      </c>
      <c r="B15610" t="inlineStr">
        <is>
          <t>Korres Black Pine Bounce Firming Moisturizer For Dry And Very Dry Skin, 40ml</t>
        </is>
      </c>
      <c r="C15610" t="inlineStr">
        <is>
          <t>Face Cream</t>
        </is>
      </c>
      <c r="D15610" t="inlineStr">
        <is>
          <t>Korres</t>
        </is>
      </c>
      <c r="E15610" t="n">
        <v>45.12</v>
      </c>
      <c r="F15610" t="n">
        <v>1</v>
      </c>
      <c r="G15610" t="n">
        <v>3</v>
      </c>
      <c r="H15610" s="5">
        <f>HYPERLINK("https://api.qogita.com/variants/link/5203069098215/", "View Product")</f>
        <v/>
      </c>
    </row>
    <row r="15611">
      <c r="A15611" t="inlineStr">
        <is>
          <t>5208070000493</t>
        </is>
      </c>
      <c r="B15611" t="inlineStr">
        <is>
          <t>Scholl Air Cushion Everyday Insoles with Airflow Latex Foam 1 Pair</t>
        </is>
      </c>
      <c r="C15611" t="inlineStr">
        <is>
          <t>Foot Cream</t>
        </is>
      </c>
      <c r="D15611" t="inlineStr">
        <is>
          <t>Scholl</t>
        </is>
      </c>
      <c r="E15611" t="n">
        <v>4.73</v>
      </c>
      <c r="F15611" t="n">
        <v>1</v>
      </c>
      <c r="G15611" t="n">
        <v>14</v>
      </c>
      <c r="H15611" s="5">
        <f>HYPERLINK("https://api.qogita.com/variants/link/5208070000493/", "View Product")</f>
        <v/>
      </c>
    </row>
    <row r="15612">
      <c r="A15612" t="inlineStr">
        <is>
          <t>5214002966119</t>
        </is>
      </c>
      <c r="B15612" t="inlineStr">
        <is>
          <t>Nikos Sculpture Homme Eau De Toilette 100ml</t>
        </is>
      </c>
      <c r="C15612" t="inlineStr">
        <is>
          <t>Eau De Toilette</t>
        </is>
      </c>
      <c r="D15612" t="inlineStr">
        <is>
          <t>Nikos</t>
        </is>
      </c>
      <c r="E15612" t="n">
        <v>20.1</v>
      </c>
      <c r="F15612" t="n">
        <v>1</v>
      </c>
      <c r="G15612" t="n">
        <v>264</v>
      </c>
      <c r="H15612" s="5">
        <f>HYPERLINK("https://api.qogita.com/variants/link/5214002966119/", "View Product")</f>
        <v/>
      </c>
    </row>
    <row r="15613">
      <c r="A15613" t="inlineStr">
        <is>
          <t>5391537260537</t>
        </is>
      </c>
      <c r="B15613" t="inlineStr">
        <is>
          <t>Sosu Cosmetics Cc Me In Liquid Make-Up Foundation 32 Ml</t>
        </is>
      </c>
      <c r="C15613" t="inlineStr">
        <is>
          <t>Foundation</t>
        </is>
      </c>
      <c r="D15613" t="inlineStr">
        <is>
          <t>Sosu Cosmetics</t>
        </is>
      </c>
      <c r="E15613" t="n">
        <v>22.93</v>
      </c>
      <c r="F15613" t="n">
        <v>1</v>
      </c>
      <c r="G15613" t="n">
        <v>5</v>
      </c>
      <c r="H15613" s="5">
        <f>HYPERLINK("https://api.qogita.com/variants/link/5391537260537/", "View Product")</f>
        <v/>
      </c>
    </row>
    <row r="15614">
      <c r="A15614" t="inlineStr">
        <is>
          <t>5391537261244</t>
        </is>
      </c>
      <c r="B15614" t="inlineStr">
        <is>
          <t>Sosu Cosmetics Face Focus Loose Setting Powder 11 G Light</t>
        </is>
      </c>
      <c r="C15614" t="inlineStr">
        <is>
          <t>Powder</t>
        </is>
      </c>
      <c r="D15614" t="inlineStr">
        <is>
          <t>Sosu Cosmetics</t>
        </is>
      </c>
      <c r="E15614" t="n">
        <v>14.73</v>
      </c>
      <c r="F15614" t="n">
        <v>1</v>
      </c>
      <c r="G15614" t="n">
        <v>2</v>
      </c>
      <c r="H15614" s="5">
        <f>HYPERLINK("https://api.qogita.com/variants/link/5391537261244/", "View Product")</f>
        <v/>
      </c>
    </row>
    <row r="15615">
      <c r="A15615" t="inlineStr">
        <is>
          <t>5391541760047</t>
        </is>
      </c>
      <c r="B15615" t="inlineStr">
        <is>
          <t>Sosu Cosmetics Hidden Agenda Individual Lashes 14 Mm</t>
        </is>
      </c>
      <c r="C15615" t="inlineStr">
        <is>
          <t>False Eyelashes</t>
        </is>
      </c>
      <c r="D15615" t="inlineStr">
        <is>
          <t>Sosu Cosmetics</t>
        </is>
      </c>
      <c r="E15615" t="n">
        <v>7.78</v>
      </c>
      <c r="F15615" t="n">
        <v>1</v>
      </c>
      <c r="G15615" t="n">
        <v>4</v>
      </c>
      <c r="H15615" s="5">
        <f>HYPERLINK("https://api.qogita.com/variants/link/5391541760047/", "View Product")</f>
        <v/>
      </c>
    </row>
    <row r="15616">
      <c r="A15616" t="inlineStr">
        <is>
          <t>5391541760887</t>
        </is>
      </c>
      <c r="B15616" t="inlineStr">
        <is>
          <t>Sosu Cosmetics Eyelash Scissors</t>
        </is>
      </c>
      <c r="C15616" t="inlineStr">
        <is>
          <t>Eyelash Extension Accessories</t>
        </is>
      </c>
      <c r="D15616" t="inlineStr">
        <is>
          <t>Sosu Cosmetics</t>
        </is>
      </c>
      <c r="E15616" t="n">
        <v>5.91</v>
      </c>
      <c r="F15616" t="n">
        <v>1</v>
      </c>
      <c r="G15616" t="n">
        <v>4</v>
      </c>
      <c r="H15616" s="5">
        <f>HYPERLINK("https://api.qogita.com/variants/link/5391541760887/", "View Product")</f>
        <v/>
      </c>
    </row>
    <row r="15617">
      <c r="A15617" t="inlineStr">
        <is>
          <t>5391541763789</t>
        </is>
      </c>
      <c r="B15617" t="inlineStr">
        <is>
          <t>Limelight Artificial Nails (Salon Nails) 30 pieces</t>
        </is>
      </c>
      <c r="C15617" t="inlineStr">
        <is>
          <t>Artificial Nails &amp; Nail Decoration</t>
        </is>
      </c>
      <c r="D15617" t="inlineStr">
        <is>
          <t>Sosu Cosmetics</t>
        </is>
      </c>
      <c r="E15617" t="n">
        <v>7.96</v>
      </c>
      <c r="F15617" t="n">
        <v>1</v>
      </c>
      <c r="G15617" t="n">
        <v>2</v>
      </c>
      <c r="H15617" s="5">
        <f>HYPERLINK("https://api.qogita.com/variants/link/5391541763789/", "View Product")</f>
        <v/>
      </c>
    </row>
    <row r="15618">
      <c r="A15618" t="inlineStr">
        <is>
          <t>5391541765585</t>
        </is>
      </c>
      <c r="B15618" t="inlineStr">
        <is>
          <t>Katie Mini Lash Set Gift Set</t>
        </is>
      </c>
      <c r="C15618" t="inlineStr">
        <is>
          <t>Eye Sets &amp; Pallets</t>
        </is>
      </c>
      <c r="D15618" t="inlineStr">
        <is>
          <t>Sosu Cosmetics</t>
        </is>
      </c>
      <c r="E15618" t="n">
        <v>6.68</v>
      </c>
      <c r="F15618" t="n">
        <v>1</v>
      </c>
      <c r="G15618" t="n">
        <v>20</v>
      </c>
      <c r="H15618" s="5">
        <f>HYPERLINK("https://api.qogita.com/variants/link/5391541765585/", "View Product")</f>
        <v/>
      </c>
    </row>
    <row r="15619">
      <c r="A15619" t="inlineStr">
        <is>
          <t>5391541765622</t>
        </is>
      </c>
      <c r="B15619" t="inlineStr">
        <is>
          <t>Starry Eyed Set Gift Set</t>
        </is>
      </c>
      <c r="C15619" t="inlineStr">
        <is>
          <t>Eye Sets &amp; Pallets</t>
        </is>
      </c>
      <c r="D15619" t="inlineStr">
        <is>
          <t>Sosu Cosmetics</t>
        </is>
      </c>
      <c r="E15619" t="n">
        <v>26.69</v>
      </c>
      <c r="F15619" t="n">
        <v>1</v>
      </c>
      <c r="G15619" t="n">
        <v>14</v>
      </c>
      <c r="H15619" s="5">
        <f>HYPERLINK("https://api.qogita.com/variants/link/5391541765622/", "View Product")</f>
        <v/>
      </c>
    </row>
    <row r="15620">
      <c r="A15620" t="inlineStr">
        <is>
          <t>5391541766292</t>
        </is>
      </c>
      <c r="B15620" t="inlineStr">
        <is>
          <t>Sosu Cosmetics Shimmer Lip Glaze Berry Sweet 6 Ml</t>
        </is>
      </c>
      <c r="C15620" t="inlineStr">
        <is>
          <t>Lip Gloss</t>
        </is>
      </c>
      <c r="D15620" t="inlineStr">
        <is>
          <t>Sosu Cosmetics</t>
        </is>
      </c>
      <c r="E15620" t="n">
        <v>9.74</v>
      </c>
      <c r="F15620" t="n">
        <v>1</v>
      </c>
      <c r="G15620" t="n">
        <v>3</v>
      </c>
      <c r="H15620" s="5">
        <f>HYPERLINK("https://api.qogita.com/variants/link/5391541766292/", "View Product")</f>
        <v/>
      </c>
    </row>
    <row r="15621">
      <c r="A15621" t="inlineStr">
        <is>
          <t>5410091764623</t>
        </is>
      </c>
      <c r="B15621" t="inlineStr">
        <is>
          <t>Diadermine Soft Eye Makeup Remover</t>
        </is>
      </c>
      <c r="C15621" t="inlineStr">
        <is>
          <t>Makeup Remover</t>
        </is>
      </c>
      <c r="D15621" t="inlineStr">
        <is>
          <t>Diadermine</t>
        </is>
      </c>
      <c r="E15621" t="n">
        <v>3.64</v>
      </c>
      <c r="F15621" t="n">
        <v>1</v>
      </c>
      <c r="G15621" t="n">
        <v>65</v>
      </c>
      <c r="H15621" s="5">
        <f>HYPERLINK("https://api.qogita.com/variants/link/5410091764623/", "View Product")</f>
        <v/>
      </c>
    </row>
    <row r="15622">
      <c r="A15622" t="inlineStr">
        <is>
          <t>5410091768621</t>
        </is>
      </c>
      <c r="B15622" t="inlineStr">
        <is>
          <t>Diadermine Lift Super Filler - Firming Capsules With Immediate Effect 7 Pcs</t>
        </is>
      </c>
      <c r="C15622" t="inlineStr">
        <is>
          <t>Anti-Aging Serum</t>
        </is>
      </c>
      <c r="D15622" t="inlineStr">
        <is>
          <t>Diadermine</t>
        </is>
      </c>
      <c r="E15622" t="n">
        <v>3.64</v>
      </c>
      <c r="F15622" t="n">
        <v>1</v>
      </c>
      <c r="G15622" t="n">
        <v>131</v>
      </c>
      <c r="H15622" s="5">
        <f>HYPERLINK("https://api.qogita.com/variants/link/5410091768621/", "View Product")</f>
        <v/>
      </c>
    </row>
    <row r="15623">
      <c r="A15623" t="inlineStr">
        <is>
          <t>5414343004437</t>
        </is>
      </c>
      <c r="B15623" t="inlineStr">
        <is>
          <t>Olivia Garden Istyletm Professional Styling Hair Brush for Thick Hair - Flexible</t>
        </is>
      </c>
      <c r="C15623" t="inlineStr">
        <is>
          <t>Round Brushes</t>
        </is>
      </c>
      <c r="D15623" t="inlineStr">
        <is>
          <t>Olivia Garden</t>
        </is>
      </c>
      <c r="E15623" t="n">
        <v>10.06</v>
      </c>
      <c r="F15623" t="n">
        <v>1</v>
      </c>
      <c r="G15623" t="n">
        <v>3</v>
      </c>
      <c r="H15623" s="5">
        <f>HYPERLINK("https://api.qogita.com/variants/link/5414343004437/", "View Product")</f>
        <v/>
      </c>
    </row>
    <row r="15624">
      <c r="A15624" t="inlineStr">
        <is>
          <t>5414343020475</t>
        </is>
      </c>
      <c r="B15624" t="inlineStr">
        <is>
          <t>Olivia Garden Expert Blowout Shine Gold &amp; Brown Ceramic Coated Round</t>
        </is>
      </c>
      <c r="C15624" t="inlineStr">
        <is>
          <t>Round Brushes</t>
        </is>
      </c>
      <c r="D15624" t="inlineStr">
        <is>
          <t>Olivia Garden</t>
        </is>
      </c>
      <c r="E15624" t="n">
        <v>12.42</v>
      </c>
      <c r="F15624" t="n">
        <v>1</v>
      </c>
      <c r="G15624" t="n">
        <v>2</v>
      </c>
      <c r="H15624" s="5">
        <f>HYPERLINK("https://api.qogita.com/variants/link/5414343020475/", "View Product")</f>
        <v/>
      </c>
    </row>
    <row r="15625">
      <c r="A15625" t="inlineStr">
        <is>
          <t>5425017732112</t>
        </is>
      </c>
      <c r="B15625" t="inlineStr">
        <is>
          <t>Cuba Original Cuba Gold Eau De Toilette Spray 35ml</t>
        </is>
      </c>
      <c r="C15625" t="inlineStr">
        <is>
          <t>Eau De Toilette</t>
        </is>
      </c>
      <c r="D15625" t="inlineStr">
        <is>
          <t>Cuba Originals</t>
        </is>
      </c>
      <c r="E15625" t="n">
        <v>2.99</v>
      </c>
      <c r="F15625" t="n">
        <v>1</v>
      </c>
      <c r="G15625" t="n">
        <v>200</v>
      </c>
      <c r="H15625" s="5">
        <f>HYPERLINK("https://api.qogita.com/variants/link/5425017732112/", "View Product")</f>
        <v/>
      </c>
    </row>
    <row r="15626">
      <c r="A15626" t="inlineStr">
        <is>
          <t>5425017732129</t>
        </is>
      </c>
      <c r="B15626" t="inlineStr">
        <is>
          <t>Cuba Original Cuba Blue Eau De Toilette Spray 35ml</t>
        </is>
      </c>
      <c r="C15626" t="inlineStr">
        <is>
          <t>Eau De Toilette</t>
        </is>
      </c>
      <c r="D15626" t="inlineStr">
        <is>
          <t>Cuba Originals</t>
        </is>
      </c>
      <c r="E15626" t="n">
        <v>3.36</v>
      </c>
      <c r="F15626" t="n">
        <v>1</v>
      </c>
      <c r="G15626" t="n">
        <v>67</v>
      </c>
      <c r="H15626" s="5">
        <f>HYPERLINK("https://api.qogita.com/variants/link/5425017732129/", "View Product")</f>
        <v/>
      </c>
    </row>
    <row r="15627">
      <c r="A15627" t="inlineStr">
        <is>
          <t>5425017732334</t>
        </is>
      </c>
      <c r="B15627" t="inlineStr">
        <is>
          <t>Cuba Gold Gift Set - Eau De Toilette Spray 100ml, Eau De Toilette Spray 35ml, Deodorant Spray 200ml, After Shave Spray 100ml</t>
        </is>
      </c>
      <c r="C15627" t="inlineStr">
        <is>
          <t>Fragrance Sets</t>
        </is>
      </c>
      <c r="D15627" t="inlineStr">
        <is>
          <t>Cuba</t>
        </is>
      </c>
      <c r="E15627" t="n">
        <v>11.41</v>
      </c>
      <c r="F15627" t="n">
        <v>1</v>
      </c>
      <c r="G15627" t="n">
        <v>900</v>
      </c>
      <c r="H15627" s="5">
        <f>HYPERLINK("https://api.qogita.com/variants/link/5425017732334/", "View Product")</f>
        <v/>
      </c>
    </row>
    <row r="15628">
      <c r="A15628" t="inlineStr">
        <is>
          <t>5425017732396</t>
        </is>
      </c>
      <c r="B15628" t="inlineStr">
        <is>
          <t>Cuba Original Cuba Blue Eau De Toilette Spray 100ml</t>
        </is>
      </c>
      <c r="C15628" t="inlineStr">
        <is>
          <t>Eau De Toilette</t>
        </is>
      </c>
      <c r="D15628" t="inlineStr">
        <is>
          <t>Cuba Originals</t>
        </is>
      </c>
      <c r="E15628" t="n">
        <v>4.79</v>
      </c>
      <c r="F15628" t="n">
        <v>1</v>
      </c>
      <c r="G15628" t="n">
        <v>123</v>
      </c>
      <c r="H15628" s="5">
        <f>HYPERLINK("https://api.qogita.com/variants/link/5425017732396/", "View Product")</f>
        <v/>
      </c>
    </row>
    <row r="15629">
      <c r="A15629" t="inlineStr">
        <is>
          <t>5425017732464</t>
        </is>
      </c>
      <c r="B15629" t="inlineStr">
        <is>
          <t>Cuba Jungle Zebra Perfumed Water Spray 100ml By Cuba</t>
        </is>
      </c>
      <c r="C15629" t="inlineStr">
        <is>
          <t>Eau De Toilette</t>
        </is>
      </c>
      <c r="D15629" t="inlineStr">
        <is>
          <t>Cuba</t>
        </is>
      </c>
      <c r="E15629" t="n">
        <v>4.79</v>
      </c>
      <c r="F15629" t="n">
        <v>1</v>
      </c>
      <c r="G15629" t="n">
        <v>38</v>
      </c>
      <c r="H15629" s="5">
        <f>HYPERLINK("https://api.qogita.com/variants/link/5425017732464/", "View Product")</f>
        <v/>
      </c>
    </row>
    <row r="15630">
      <c r="A15630" t="inlineStr">
        <is>
          <t>5425017732488</t>
        </is>
      </c>
      <c r="B15630" t="inlineStr">
        <is>
          <t>Cuba Original Cuba Jungle Eau De Parfum Spray 100ml</t>
        </is>
      </c>
      <c r="C15630" t="inlineStr">
        <is>
          <t>Eau De Parfum</t>
        </is>
      </c>
      <c r="D15630" t="inlineStr">
        <is>
          <t>Cuba Originals</t>
        </is>
      </c>
      <c r="E15630" t="n">
        <v>4.79</v>
      </c>
      <c r="F15630" t="n">
        <v>1</v>
      </c>
      <c r="G15630" t="n">
        <v>122</v>
      </c>
      <c r="H15630" s="5">
        <f>HYPERLINK("https://api.qogita.com/variants/link/5425017732488/", "View Product")</f>
        <v/>
      </c>
    </row>
    <row r="15631">
      <c r="A15631" t="inlineStr">
        <is>
          <t>5425017732754</t>
        </is>
      </c>
      <c r="B15631" t="inlineStr">
        <is>
          <t>Cuba Original Cuba Blue Body Spray 200ml</t>
        </is>
      </c>
      <c r="C15631" t="inlineStr">
        <is>
          <t>Deodorant &amp; Anti-Perspirant</t>
        </is>
      </c>
      <c r="D15631" t="inlineStr">
        <is>
          <t>Cuba Originals</t>
        </is>
      </c>
      <c r="E15631" t="n">
        <v>2.22</v>
      </c>
      <c r="F15631" t="n">
        <v>1</v>
      </c>
      <c r="G15631" t="n">
        <v>25</v>
      </c>
      <c r="H15631" s="5">
        <f>HYPERLINK("https://api.qogita.com/variants/link/5425017732754/", "View Product")</f>
        <v/>
      </c>
    </row>
    <row r="15632">
      <c r="A15632" t="inlineStr">
        <is>
          <t>5425017732778</t>
        </is>
      </c>
      <c r="B15632" t="inlineStr">
        <is>
          <t>Cuba Original Jungle Tiger Deodorant Spray 200ml for Men</t>
        </is>
      </c>
      <c r="C15632" t="inlineStr">
        <is>
          <t>Deodorant &amp; Anti-Perspirant</t>
        </is>
      </c>
      <c r="D15632" t="inlineStr">
        <is>
          <t>Cuba</t>
        </is>
      </c>
      <c r="E15632" t="n">
        <v>2.22</v>
      </c>
      <c r="F15632" t="n">
        <v>1</v>
      </c>
      <c r="G15632" t="n">
        <v>61</v>
      </c>
      <c r="H15632" s="5">
        <f>HYPERLINK("https://api.qogita.com/variants/link/5425017732778/", "View Product")</f>
        <v/>
      </c>
    </row>
    <row r="15633">
      <c r="A15633" t="inlineStr">
        <is>
          <t>5425017732907</t>
        </is>
      </c>
      <c r="B15633" t="inlineStr">
        <is>
          <t>Cuba Original Cuba Cactus For Women Eau De Parfum Spray 35ml</t>
        </is>
      </c>
      <c r="C15633" t="inlineStr">
        <is>
          <t>Eau De Parfum</t>
        </is>
      </c>
      <c r="D15633" t="inlineStr">
        <is>
          <t>Cuba Originals</t>
        </is>
      </c>
      <c r="E15633" t="n">
        <v>3.64</v>
      </c>
      <c r="F15633" t="n">
        <v>1</v>
      </c>
      <c r="G15633" t="n">
        <v>7</v>
      </c>
      <c r="H15633" s="5">
        <f>HYPERLINK("https://api.qogita.com/variants/link/5425017732907/", "View Product")</f>
        <v/>
      </c>
    </row>
    <row r="15634">
      <c r="A15634" t="inlineStr">
        <is>
          <t>5425017733560</t>
        </is>
      </c>
      <c r="B15634" t="inlineStr">
        <is>
          <t>Commando Parfum New Brand Eau de Toilette for Men 100ml</t>
        </is>
      </c>
      <c r="C15634" t="inlineStr">
        <is>
          <t>Eau De Toilette</t>
        </is>
      </c>
      <c r="D15634" t="inlineStr">
        <is>
          <t>New Brand</t>
        </is>
      </c>
      <c r="E15634" t="n">
        <v>5.29</v>
      </c>
      <c r="F15634" t="n">
        <v>1</v>
      </c>
      <c r="G15634" t="n">
        <v>43</v>
      </c>
      <c r="H15634" s="5">
        <f>HYPERLINK("https://api.qogita.com/variants/link/5425017733560/", "View Product")</f>
        <v/>
      </c>
    </row>
    <row r="15635">
      <c r="A15635" t="inlineStr">
        <is>
          <t>5425017733607</t>
        </is>
      </c>
      <c r="B15635" t="inlineStr">
        <is>
          <t>Cuba Hollywood For Men Eau De Toilette Spray 35ml By Cuba</t>
        </is>
      </c>
      <c r="C15635" t="inlineStr">
        <is>
          <t>Eau De Toilette</t>
        </is>
      </c>
      <c r="D15635" t="inlineStr">
        <is>
          <t>Cuba</t>
        </is>
      </c>
      <c r="E15635" t="n">
        <v>3.96</v>
      </c>
      <c r="F15635" t="n">
        <v>1</v>
      </c>
      <c r="G15635" t="n">
        <v>2</v>
      </c>
      <c r="H15635" s="5">
        <f>HYPERLINK("https://api.qogita.com/variants/link/5425017733607/", "View Product")</f>
        <v/>
      </c>
    </row>
    <row r="15636">
      <c r="A15636" t="inlineStr">
        <is>
          <t>5425017733669</t>
        </is>
      </c>
      <c r="B15636" t="inlineStr">
        <is>
          <t>Cuba Original City Las Vegas Eau De Parfum Spray 35ml</t>
        </is>
      </c>
      <c r="C15636" t="inlineStr">
        <is>
          <t>Eau De Parfum</t>
        </is>
      </c>
      <c r="D15636" t="inlineStr">
        <is>
          <t>Cuba Originals</t>
        </is>
      </c>
      <c r="E15636" t="n">
        <v>3.36</v>
      </c>
      <c r="F15636" t="n">
        <v>1</v>
      </c>
      <c r="G15636" t="n">
        <v>138</v>
      </c>
      <c r="H15636" s="5">
        <f>HYPERLINK("https://api.qogita.com/variants/link/5425017733669/", "View Product")</f>
        <v/>
      </c>
    </row>
    <row r="15637">
      <c r="A15637" t="inlineStr">
        <is>
          <t>5425017733942</t>
        </is>
      </c>
      <c r="B15637" t="inlineStr">
        <is>
          <t>Cuba Original Cuba Jungle Snake Deodorant Roll-On 50ml</t>
        </is>
      </c>
      <c r="C15637" t="inlineStr">
        <is>
          <t>Deodorant &amp; Anti-Perspirant</t>
        </is>
      </c>
      <c r="D15637" t="inlineStr">
        <is>
          <t>Cuba Originals</t>
        </is>
      </c>
      <c r="E15637" t="n">
        <v>1.27</v>
      </c>
      <c r="F15637" t="n">
        <v>1</v>
      </c>
      <c r="G15637" t="n">
        <v>83</v>
      </c>
      <c r="H15637" s="5">
        <f>HYPERLINK("https://api.qogita.com/variants/link/5425017733942/", "View Product")</f>
        <v/>
      </c>
    </row>
    <row r="15638">
      <c r="A15638" t="inlineStr">
        <is>
          <t>5425017734161</t>
        </is>
      </c>
      <c r="B15638" t="inlineStr">
        <is>
          <t>Cuba Original Cuba Gold Eau De Toilette Set - 100ml + 35ml + 15ml</t>
        </is>
      </c>
      <c r="C15638" t="inlineStr">
        <is>
          <t>Fragrance Sets</t>
        </is>
      </c>
      <c r="D15638" t="inlineStr">
        <is>
          <t>Cuba Originals</t>
        </is>
      </c>
      <c r="E15638" t="n">
        <v>8.23</v>
      </c>
      <c r="F15638" t="n">
        <v>1</v>
      </c>
      <c r="G15638" t="n">
        <v>123</v>
      </c>
      <c r="H15638" s="5">
        <f>HYPERLINK("https://api.qogita.com/variants/link/5425017734161/", "View Product")</f>
        <v/>
      </c>
    </row>
    <row r="15639">
      <c r="A15639" t="inlineStr">
        <is>
          <t>5425017734277</t>
        </is>
      </c>
      <c r="B15639" t="inlineStr">
        <is>
          <t>Gold by New Brand Perfumes 100ml Eau de Toilette Spray</t>
        </is>
      </c>
      <c r="C15639" t="inlineStr">
        <is>
          <t>Eau De Toilette</t>
        </is>
      </c>
      <c r="D15639" t="inlineStr">
        <is>
          <t>New Brand</t>
        </is>
      </c>
      <c r="E15639" t="n">
        <v>5.29</v>
      </c>
      <c r="F15639" t="n">
        <v>1</v>
      </c>
      <c r="G15639" t="n">
        <v>43</v>
      </c>
      <c r="H15639" s="5">
        <f>HYPERLINK("https://api.qogita.com/variants/link/5425017734277/", "View Product")</f>
        <v/>
      </c>
    </row>
    <row r="15640">
      <c r="A15640" t="inlineStr">
        <is>
          <t>5425017734314</t>
        </is>
      </c>
      <c r="B15640" t="inlineStr">
        <is>
          <t>Gold Woman Prestige 100ml Eau De Parfum</t>
        </is>
      </c>
      <c r="C15640" t="inlineStr">
        <is>
          <t>Eau De Parfum</t>
        </is>
      </c>
      <c r="D15640" t="inlineStr">
        <is>
          <t>Prestige</t>
        </is>
      </c>
      <c r="E15640" t="n">
        <v>5.29</v>
      </c>
      <c r="F15640" t="n">
        <v>1</v>
      </c>
      <c r="G15640" t="n">
        <v>43</v>
      </c>
      <c r="H15640" s="5">
        <f>HYPERLINK("https://api.qogita.com/variants/link/5425017734314/", "View Product")</f>
        <v/>
      </c>
    </row>
    <row r="15641">
      <c r="A15641" t="inlineStr">
        <is>
          <t>5425017735793</t>
        </is>
      </c>
      <c r="B15641" t="inlineStr">
        <is>
          <t>4 Men New Brand For Men 3.3 oz EDT Spray</t>
        </is>
      </c>
      <c r="C15641" t="inlineStr">
        <is>
          <t>Eau De Toilette</t>
        </is>
      </c>
      <c r="D15641" t="inlineStr">
        <is>
          <t>New Brand</t>
        </is>
      </c>
      <c r="E15641" t="n">
        <v>5.29</v>
      </c>
      <c r="F15641" t="n">
        <v>1</v>
      </c>
      <c r="G15641" t="n">
        <v>43</v>
      </c>
      <c r="H15641" s="5">
        <f>HYPERLINK("https://api.qogita.com/variants/link/5425017735793/", "View Product")</f>
        <v/>
      </c>
    </row>
    <row r="15642">
      <c r="A15642" t="inlineStr">
        <is>
          <t>5425017735892</t>
        </is>
      </c>
      <c r="B15642" t="inlineStr">
        <is>
          <t>Cuba Original Prestige Classic Eau De Toilette Spray 35ml</t>
        </is>
      </c>
      <c r="C15642" t="inlineStr">
        <is>
          <t>Eau De Toilette</t>
        </is>
      </c>
      <c r="D15642" t="inlineStr">
        <is>
          <t>Cuba Originals</t>
        </is>
      </c>
      <c r="E15642" t="n">
        <v>3.48</v>
      </c>
      <c r="F15642" t="n">
        <v>1</v>
      </c>
      <c r="G15642" t="n">
        <v>2</v>
      </c>
      <c r="H15642" s="5">
        <f>HYPERLINK("https://api.qogita.com/variants/link/5425017735892/", "View Product")</f>
        <v/>
      </c>
    </row>
    <row r="15643">
      <c r="A15643" t="inlineStr">
        <is>
          <t>5425017735991</t>
        </is>
      </c>
      <c r="B15643" t="inlineStr">
        <is>
          <t>Cuba Original Cuba Prestige Platinum Eau De Toilette Spray 35ml</t>
        </is>
      </c>
      <c r="C15643" t="inlineStr">
        <is>
          <t>Eau De Toilette</t>
        </is>
      </c>
      <c r="D15643" t="inlineStr">
        <is>
          <t>Cuba Originals</t>
        </is>
      </c>
      <c r="E15643" t="n">
        <v>3.1</v>
      </c>
      <c r="F15643" t="n">
        <v>1</v>
      </c>
      <c r="G15643" t="n">
        <v>6</v>
      </c>
      <c r="H15643" s="5">
        <f>HYPERLINK("https://api.qogita.com/variants/link/5425017735991/", "View Product")</f>
        <v/>
      </c>
    </row>
    <row r="15644">
      <c r="A15644" t="inlineStr">
        <is>
          <t>5425017736103</t>
        </is>
      </c>
      <c r="B15644" t="inlineStr">
        <is>
          <t>Cuba Original Cuba Gold Must Have Set - Includes 100 Ml Eau De Toilette, 35 Ml Eau De Toilette, 200 Ml Deodorant Spray, 200 Ml Shower Gel, And 100 Ml After Shave</t>
        </is>
      </c>
      <c r="C15644" t="inlineStr">
        <is>
          <t>Fragrance Sets</t>
        </is>
      </c>
      <c r="D15644" t="inlineStr">
        <is>
          <t>Cuba</t>
        </is>
      </c>
      <c r="E15644" t="n">
        <v>11.79</v>
      </c>
      <c r="F15644" t="n">
        <v>1</v>
      </c>
      <c r="G15644" t="n">
        <v>1124</v>
      </c>
      <c r="H15644" s="5">
        <f>HYPERLINK("https://api.qogita.com/variants/link/5425017736103/", "View Product")</f>
        <v/>
      </c>
    </row>
    <row r="15645">
      <c r="A15645" t="inlineStr">
        <is>
          <t>5425017736257</t>
        </is>
      </c>
      <c r="B15645" t="inlineStr">
        <is>
          <t>Cuba Orange Eau De Toilette Spray 100ml By Cuba</t>
        </is>
      </c>
      <c r="C15645" t="inlineStr">
        <is>
          <t>Eau De Toilette</t>
        </is>
      </c>
      <c r="D15645" t="inlineStr">
        <is>
          <t>Cuba</t>
        </is>
      </c>
      <c r="E15645" t="n">
        <v>4.79</v>
      </c>
      <c r="F15645" t="n">
        <v>1</v>
      </c>
      <c r="G15645" t="n">
        <v>363</v>
      </c>
      <c r="H15645" s="5">
        <f>HYPERLINK("https://api.qogita.com/variants/link/5425017736257/", "View Product")</f>
        <v/>
      </c>
    </row>
    <row r="15646">
      <c r="A15646" t="inlineStr">
        <is>
          <t>5425017736295</t>
        </is>
      </c>
      <c r="B15646" t="inlineStr">
        <is>
          <t>Cuba Original Cuba Wild Heart For Women Eau De Toilette Spray 100ml</t>
        </is>
      </c>
      <c r="C15646" t="inlineStr">
        <is>
          <t>Eau De Toilette</t>
        </is>
      </c>
      <c r="D15646" t="inlineStr">
        <is>
          <t>Cuba Originals</t>
        </is>
      </c>
      <c r="E15646" t="n">
        <v>4.79</v>
      </c>
      <c r="F15646" t="n">
        <v>1</v>
      </c>
      <c r="G15646" t="n">
        <v>266</v>
      </c>
      <c r="H15646" s="5">
        <f>HYPERLINK("https://api.qogita.com/variants/link/5425017736295/", "View Product")</f>
        <v/>
      </c>
    </row>
    <row r="15647">
      <c r="A15647" t="inlineStr">
        <is>
          <t>5425017736356</t>
        </is>
      </c>
      <c r="B15647" t="inlineStr">
        <is>
          <t>Cuba Original Cuba Wild Heart Eau De Toilette Spray 35ml</t>
        </is>
      </c>
      <c r="C15647" t="inlineStr">
        <is>
          <t>Eau De Toilette</t>
        </is>
      </c>
      <c r="D15647" t="inlineStr">
        <is>
          <t>Cuba Originals</t>
        </is>
      </c>
      <c r="E15647" t="n">
        <v>3.36</v>
      </c>
      <c r="F15647" t="n">
        <v>1</v>
      </c>
      <c r="G15647" t="n">
        <v>87</v>
      </c>
      <c r="H15647" s="5">
        <f>HYPERLINK("https://api.qogita.com/variants/link/5425017736356/", "View Product")</f>
        <v/>
      </c>
    </row>
    <row r="15648">
      <c r="A15648" t="inlineStr">
        <is>
          <t>5425017736370</t>
        </is>
      </c>
      <c r="B15648" t="inlineStr">
        <is>
          <t>Cuba Brazil Eau De Toilette By Cuba</t>
        </is>
      </c>
      <c r="C15648" t="inlineStr">
        <is>
          <t>Eau De Toilette</t>
        </is>
      </c>
      <c r="D15648" t="inlineStr">
        <is>
          <t>Cuba</t>
        </is>
      </c>
      <c r="E15648" t="n">
        <v>4.79</v>
      </c>
      <c r="F15648" t="n">
        <v>1</v>
      </c>
      <c r="G15648" t="n">
        <v>123</v>
      </c>
      <c r="H15648" s="5">
        <f>HYPERLINK("https://api.qogita.com/variants/link/5425017736370/", "View Product")</f>
        <v/>
      </c>
    </row>
    <row r="15649">
      <c r="A15649" t="inlineStr">
        <is>
          <t>5425017736387</t>
        </is>
      </c>
      <c r="B15649" t="inlineStr">
        <is>
          <t>Cuba Original Cuba Royal Eau De Toilette Spray 35ml</t>
        </is>
      </c>
      <c r="C15649" t="inlineStr">
        <is>
          <t>Eau De Toilette</t>
        </is>
      </c>
      <c r="D15649" t="inlineStr">
        <is>
          <t>Cuba Originals</t>
        </is>
      </c>
      <c r="E15649" t="n">
        <v>3.36</v>
      </c>
      <c r="F15649" t="n">
        <v>1</v>
      </c>
      <c r="G15649" t="n">
        <v>91</v>
      </c>
      <c r="H15649" s="5">
        <f>HYPERLINK("https://api.qogita.com/variants/link/5425017736387/", "View Product")</f>
        <v/>
      </c>
    </row>
    <row r="15650">
      <c r="A15650" t="inlineStr">
        <is>
          <t>5425017736400</t>
        </is>
      </c>
      <c r="B15650" t="inlineStr">
        <is>
          <t>Cuba Original Silver Blue Eau De Toilette Spray 100ml By Cuba</t>
        </is>
      </c>
      <c r="C15650" t="inlineStr">
        <is>
          <t>Eau De Toilette</t>
        </is>
      </c>
      <c r="D15650" t="inlineStr">
        <is>
          <t>Cuba</t>
        </is>
      </c>
      <c r="E15650" t="n">
        <v>4.45</v>
      </c>
      <c r="F15650" t="n">
        <v>1</v>
      </c>
      <c r="G15650" t="n">
        <v>14</v>
      </c>
      <c r="H15650" s="5">
        <f>HYPERLINK("https://api.qogita.com/variants/link/5425017736400/", "View Product")</f>
        <v/>
      </c>
    </row>
    <row r="15651">
      <c r="A15651" t="inlineStr">
        <is>
          <t>5425017736752</t>
        </is>
      </c>
      <c r="B15651" t="inlineStr">
        <is>
          <t>Cuba Original Cuba Junge For Men Tiger Eau De Parfum Spray Set - 100ml, 35ml, 20ml</t>
        </is>
      </c>
      <c r="C15651" t="inlineStr">
        <is>
          <t>Fragrance Sets</t>
        </is>
      </c>
      <c r="D15651" t="inlineStr">
        <is>
          <t>Cuba Originals</t>
        </is>
      </c>
      <c r="E15651" t="n">
        <v>11.18</v>
      </c>
      <c r="F15651" t="n">
        <v>1</v>
      </c>
      <c r="G15651" t="n">
        <v>3</v>
      </c>
      <c r="H15651" s="5">
        <f>HYPERLINK("https://api.qogita.com/variants/link/5425017736752/", "View Product")</f>
        <v/>
      </c>
    </row>
    <row r="15652">
      <c r="A15652" t="inlineStr">
        <is>
          <t>5425017737018</t>
        </is>
      </c>
      <c r="B15652" t="inlineStr">
        <is>
          <t>Cuba Cuba Royal for Men Body Spray 6.6 Oz 195.19 Ml</t>
        </is>
      </c>
      <c r="C15652" t="inlineStr">
        <is>
          <t>Eau De Toilette</t>
        </is>
      </c>
      <c r="D15652" t="inlineStr">
        <is>
          <t>Cuba</t>
        </is>
      </c>
      <c r="E15652" t="n">
        <v>2.22</v>
      </c>
      <c r="F15652" t="n">
        <v>1</v>
      </c>
      <c r="G15652" t="n">
        <v>339</v>
      </c>
      <c r="H15652" s="5">
        <f>HYPERLINK("https://api.qogita.com/variants/link/5425017737018/", "View Product")</f>
        <v/>
      </c>
    </row>
    <row r="15653">
      <c r="A15653" t="inlineStr">
        <is>
          <t>5425017737025</t>
        </is>
      </c>
      <c r="B15653" t="inlineStr">
        <is>
          <t>Cuba Original Wild Heart Roll-On Deodorant, 50ml</t>
        </is>
      </c>
      <c r="C15653" t="inlineStr">
        <is>
          <t>Deodorant &amp; Anti-Perspirant</t>
        </is>
      </c>
      <c r="D15653" t="inlineStr">
        <is>
          <t>Cuba</t>
        </is>
      </c>
      <c r="E15653" t="n">
        <v>1.27</v>
      </c>
      <c r="F15653" t="n">
        <v>1</v>
      </c>
      <c r="G15653" t="n">
        <v>80</v>
      </c>
      <c r="H15653" s="5">
        <f>HYPERLINK("https://api.qogita.com/variants/link/5425017737025/", "View Product")</f>
        <v/>
      </c>
    </row>
    <row r="15654">
      <c r="A15654" t="inlineStr">
        <is>
          <t>5425017737162</t>
        </is>
      </c>
      <c r="B15654" t="inlineStr">
        <is>
          <t>Cuba Original Cuba Royal Must Have Gift Set - Includes Edt Spray 100ml, Edt Spray 35ml, Deodorant Spray 200ml, Shower Gel 200ml, And After Shave Spray 100ml</t>
        </is>
      </c>
      <c r="C15654" t="inlineStr">
        <is>
          <t>Fragrance</t>
        </is>
      </c>
      <c r="D15654" t="inlineStr">
        <is>
          <t>Cuba Originals</t>
        </is>
      </c>
      <c r="E15654" t="n">
        <v>12.16</v>
      </c>
      <c r="F15654" t="n">
        <v>1</v>
      </c>
      <c r="G15654" t="n">
        <v>64</v>
      </c>
      <c r="H15654" s="5">
        <f>HYPERLINK("https://api.qogita.com/variants/link/5425017737162/", "View Product")</f>
        <v/>
      </c>
    </row>
    <row r="15655">
      <c r="A15655" t="inlineStr">
        <is>
          <t>5425039220062</t>
        </is>
      </c>
      <c r="B15655" t="inlineStr">
        <is>
          <t>Master of New Brand Essence Black For Men Eau de Toilette 100ml</t>
        </is>
      </c>
      <c r="C15655" t="inlineStr">
        <is>
          <t>Eau De Toilette</t>
        </is>
      </c>
      <c r="D15655" t="inlineStr">
        <is>
          <t>Mean Well</t>
        </is>
      </c>
      <c r="E15655" t="n">
        <v>6.92</v>
      </c>
      <c r="F15655" t="n">
        <v>1</v>
      </c>
      <c r="G15655" t="n">
        <v>43</v>
      </c>
      <c r="H15655" s="5">
        <f>HYPERLINK("https://api.qogita.com/variants/link/5425039220062/", "View Product")</f>
        <v/>
      </c>
    </row>
    <row r="15656">
      <c r="A15656" t="inlineStr">
        <is>
          <t>5425039220598</t>
        </is>
      </c>
      <c r="B15656" t="inlineStr">
        <is>
          <t>Cuba Original Cuba Vip For Women Eau De Parfum Spray 35ml</t>
        </is>
      </c>
      <c r="C15656" t="inlineStr">
        <is>
          <t>Eau De Parfum</t>
        </is>
      </c>
      <c r="D15656" t="inlineStr">
        <is>
          <t>Cuba Originals</t>
        </is>
      </c>
      <c r="E15656" t="n">
        <v>3.2</v>
      </c>
      <c r="F15656" t="n">
        <v>1</v>
      </c>
      <c r="G15656" t="n">
        <v>9</v>
      </c>
      <c r="H15656" s="5">
        <f>HYPERLINK("https://api.qogita.com/variants/link/5425039220598/", "View Product")</f>
        <v/>
      </c>
    </row>
    <row r="15657">
      <c r="A15657" t="inlineStr">
        <is>
          <t>5425039220611</t>
        </is>
      </c>
      <c r="B15657" t="inlineStr">
        <is>
          <t>Cuba Original Cuba La Vida For Women Eau De Parfum Spray 100ml</t>
        </is>
      </c>
      <c r="C15657" t="inlineStr">
        <is>
          <t>Eau De Parfum</t>
        </is>
      </c>
      <c r="D15657" t="inlineStr">
        <is>
          <t>Cuba Originals</t>
        </is>
      </c>
      <c r="E15657" t="n">
        <v>4.79</v>
      </c>
      <c r="F15657" t="n">
        <v>1</v>
      </c>
      <c r="G15657" t="n">
        <v>197</v>
      </c>
      <c r="H15657" s="5">
        <f>HYPERLINK("https://api.qogita.com/variants/link/5425039220611/", "View Product")</f>
        <v/>
      </c>
    </row>
    <row r="15658">
      <c r="A15658" t="inlineStr">
        <is>
          <t>5425039221663</t>
        </is>
      </c>
      <c r="B15658" t="inlineStr">
        <is>
          <t>Cuba Winner by Cuba for Men 6.6 Oz Body Spray</t>
        </is>
      </c>
      <c r="C15658" t="inlineStr">
        <is>
          <t>Eau De Toilette</t>
        </is>
      </c>
      <c r="D15658" t="inlineStr">
        <is>
          <t>Cuba</t>
        </is>
      </c>
      <c r="E15658" t="n">
        <v>2.22</v>
      </c>
      <c r="F15658" t="n">
        <v>1</v>
      </c>
      <c r="G15658" t="n">
        <v>19</v>
      </c>
      <c r="H15658" s="5">
        <f>HYPERLINK("https://api.qogita.com/variants/link/5425039221663/", "View Product")</f>
        <v/>
      </c>
    </row>
    <row r="15659">
      <c r="A15659" t="inlineStr">
        <is>
          <t>5425039221694</t>
        </is>
      </c>
      <c r="B15659" t="inlineStr">
        <is>
          <t>Cuba La Vida For Women Deodorant Spray 200ml</t>
        </is>
      </c>
      <c r="C15659" t="inlineStr">
        <is>
          <t>Deodorant &amp; Anti-Perspirant</t>
        </is>
      </c>
      <c r="D15659" t="inlineStr">
        <is>
          <t>Cuba</t>
        </is>
      </c>
      <c r="E15659" t="n">
        <v>2.22</v>
      </c>
      <c r="F15659" t="n">
        <v>1</v>
      </c>
      <c r="G15659" t="n">
        <v>58</v>
      </c>
      <c r="H15659" s="5">
        <f>HYPERLINK("https://api.qogita.com/variants/link/5425039221694/", "View Product")</f>
        <v/>
      </c>
    </row>
    <row r="15660">
      <c r="A15660" t="inlineStr">
        <is>
          <t>5425039221793</t>
        </is>
      </c>
      <c r="B15660" t="inlineStr">
        <is>
          <t>Bijoux Eau De Parfum Blue For Women - 200ml</t>
        </is>
      </c>
      <c r="C15660" t="inlineStr">
        <is>
          <t>Eau De Parfum</t>
        </is>
      </c>
      <c r="D15660" t="inlineStr">
        <is>
          <t>Bijoux</t>
        </is>
      </c>
      <c r="E15660" t="n">
        <v>6.51</v>
      </c>
      <c r="F15660" t="n">
        <v>1</v>
      </c>
      <c r="G15660" t="n">
        <v>22</v>
      </c>
      <c r="H15660" s="5">
        <f>HYPERLINK("https://api.qogita.com/variants/link/5425039221793/", "View Product")</f>
        <v/>
      </c>
    </row>
    <row r="15661">
      <c r="A15661" t="inlineStr">
        <is>
          <t>5425039221830</t>
        </is>
      </c>
      <c r="B15661" t="inlineStr">
        <is>
          <t>Bijoux Mon Parfum Eau De Parfum For Women - 200ml</t>
        </is>
      </c>
      <c r="C15661" t="inlineStr">
        <is>
          <t>Eau De Parfum</t>
        </is>
      </c>
      <c r="D15661" t="inlineStr">
        <is>
          <t>Bijoux</t>
        </is>
      </c>
      <c r="E15661" t="n">
        <v>6.51</v>
      </c>
      <c r="F15661" t="n">
        <v>1</v>
      </c>
      <c r="G15661" t="n">
        <v>22</v>
      </c>
      <c r="H15661" s="5">
        <f>HYPERLINK("https://api.qogita.com/variants/link/5425039221830/", "View Product")</f>
        <v/>
      </c>
    </row>
    <row r="15662">
      <c r="A15662" t="inlineStr">
        <is>
          <t>5425039222684</t>
        </is>
      </c>
      <c r="B15662" t="inlineStr">
        <is>
          <t>Cuba Original Beauty Eau De Parfum Spray 100ml</t>
        </is>
      </c>
      <c r="C15662" t="inlineStr">
        <is>
          <t>Eau De Parfum</t>
        </is>
      </c>
      <c r="D15662" t="inlineStr">
        <is>
          <t>Cuba Originals</t>
        </is>
      </c>
      <c r="E15662" t="n">
        <v>4.79</v>
      </c>
      <c r="F15662" t="n">
        <v>1</v>
      </c>
      <c r="G15662" t="n">
        <v>38</v>
      </c>
      <c r="H15662" s="5">
        <f>HYPERLINK("https://api.qogita.com/variants/link/5425039222684/", "View Product")</f>
        <v/>
      </c>
    </row>
    <row r="15663">
      <c r="A15663" t="inlineStr">
        <is>
          <t>5425039222790</t>
        </is>
      </c>
      <c r="B15663" t="inlineStr">
        <is>
          <t>Cuba Original Royal Set - Eau De Toilette Spray 100ml, Eau De Toilette Spray 35ml, Body Spray 200ml, After Shave Lotion 100ml</t>
        </is>
      </c>
      <c r="C15663" t="inlineStr">
        <is>
          <t>Fragrance Sets</t>
        </is>
      </c>
      <c r="D15663" t="inlineStr">
        <is>
          <t>Cuba</t>
        </is>
      </c>
      <c r="E15663" t="n">
        <v>11.77</v>
      </c>
      <c r="F15663" t="n">
        <v>1</v>
      </c>
      <c r="G15663" t="n">
        <v>269</v>
      </c>
      <c r="H15663" s="5">
        <f>HYPERLINK("https://api.qogita.com/variants/link/5425039222790/", "View Product")</f>
        <v/>
      </c>
    </row>
    <row r="15664">
      <c r="A15664" t="inlineStr">
        <is>
          <t>5425039222905</t>
        </is>
      </c>
      <c r="B15664" t="inlineStr">
        <is>
          <t>Cuba Orange After Shave 100ml By Cuba</t>
        </is>
      </c>
      <c r="C15664" t="inlineStr">
        <is>
          <t>Aftershave</t>
        </is>
      </c>
      <c r="D15664" t="inlineStr">
        <is>
          <t>Cuba</t>
        </is>
      </c>
      <c r="E15664" t="n">
        <v>2.6</v>
      </c>
      <c r="F15664" t="n">
        <v>1</v>
      </c>
      <c r="G15664" t="n">
        <v>83</v>
      </c>
      <c r="H15664" s="5">
        <f>HYPERLINK("https://api.qogita.com/variants/link/5425039222905/", "View Product")</f>
        <v/>
      </c>
    </row>
    <row r="15665">
      <c r="A15665" t="inlineStr">
        <is>
          <t>5425039223193</t>
        </is>
      </c>
      <c r="B15665" t="inlineStr">
        <is>
          <t>Cuba Vip Gift Set Edp 100 Ml, Edp 35 Ml, Body Spray 200 Ml, And Body Lotion 200 Ml</t>
        </is>
      </c>
      <c r="C15665" t="inlineStr">
        <is>
          <t>Fragrance Sets</t>
        </is>
      </c>
      <c r="D15665" t="inlineStr">
        <is>
          <t>Cuba</t>
        </is>
      </c>
      <c r="E15665" t="n">
        <v>11.41</v>
      </c>
      <c r="F15665" t="n">
        <v>1</v>
      </c>
      <c r="G15665" t="n">
        <v>43</v>
      </c>
      <c r="H15665" s="5">
        <f>HYPERLINK("https://api.qogita.com/variants/link/5425039223193/", "View Product")</f>
        <v/>
      </c>
    </row>
    <row r="15666">
      <c r="A15666" t="inlineStr">
        <is>
          <t>5425039223254</t>
        </is>
      </c>
      <c r="B15666" t="inlineStr">
        <is>
          <t>Prime Ameer by Assala for Men 3.3 Oz EDP Spray</t>
        </is>
      </c>
      <c r="C15666" t="inlineStr">
        <is>
          <t>Eau De Parfum</t>
        </is>
      </c>
      <c r="D15666" t="inlineStr">
        <is>
          <t>Asala</t>
        </is>
      </c>
      <c r="E15666" t="n">
        <v>10.44</v>
      </c>
      <c r="F15666" t="n">
        <v>1</v>
      </c>
      <c r="G15666" t="n">
        <v>14</v>
      </c>
      <c r="H15666" s="5">
        <f>HYPERLINK("https://api.qogita.com/variants/link/5425039223254/", "View Product")</f>
        <v/>
      </c>
    </row>
    <row r="15667">
      <c r="A15667" t="inlineStr">
        <is>
          <t>5425039223421</t>
        </is>
      </c>
      <c r="B15667" t="inlineStr">
        <is>
          <t>Prime Royal Pure by Assala Unisex 3.3 Oz EDP Spray</t>
        </is>
      </c>
      <c r="C15667" t="inlineStr">
        <is>
          <t>Eau De Parfum</t>
        </is>
      </c>
      <c r="D15667" t="inlineStr">
        <is>
          <t>Asala</t>
        </is>
      </c>
      <c r="E15667" t="n">
        <v>18.67</v>
      </c>
      <c r="F15667" t="n">
        <v>1</v>
      </c>
      <c r="G15667" t="n">
        <v>3</v>
      </c>
      <c r="H15667" s="5">
        <f>HYPERLINK("https://api.qogita.com/variants/link/5425039223421/", "View Product")</f>
        <v/>
      </c>
    </row>
    <row r="15668">
      <c r="A15668" t="inlineStr">
        <is>
          <t>5425039223438</t>
        </is>
      </c>
      <c r="B15668" t="inlineStr">
        <is>
          <t>Prime Royal Rose by Assala for Women 3.3 Oz EDP Spray</t>
        </is>
      </c>
      <c r="C15668" t="inlineStr">
        <is>
          <t>Eau De Parfum</t>
        </is>
      </c>
      <c r="D15668" t="inlineStr">
        <is>
          <t>Asala</t>
        </is>
      </c>
      <c r="E15668" t="n">
        <v>18.07</v>
      </c>
      <c r="F15668" t="n">
        <v>1</v>
      </c>
      <c r="G15668" t="n">
        <v>3</v>
      </c>
      <c r="H15668" s="5">
        <f>HYPERLINK("https://api.qogita.com/variants/link/5425039223438/", "View Product")</f>
        <v/>
      </c>
    </row>
    <row r="15669">
      <c r="A15669" t="inlineStr">
        <is>
          <t>5425039223445</t>
        </is>
      </c>
      <c r="B15669" t="inlineStr">
        <is>
          <t>Prime Royal Jasmine by Assala for Women 3.3 Oz EDP Spray</t>
        </is>
      </c>
      <c r="C15669" t="inlineStr">
        <is>
          <t>Eau De Parfum</t>
        </is>
      </c>
      <c r="D15669" t="inlineStr">
        <is>
          <t>Asala</t>
        </is>
      </c>
      <c r="E15669" t="n">
        <v>18.99</v>
      </c>
      <c r="F15669" t="n">
        <v>1</v>
      </c>
      <c r="G15669" t="n">
        <v>10</v>
      </c>
      <c r="H15669" s="5">
        <f>HYPERLINK("https://api.qogita.com/variants/link/5425039223445/", "View Product")</f>
        <v/>
      </c>
    </row>
    <row r="15670">
      <c r="A15670" t="inlineStr">
        <is>
          <t>5711914088255</t>
        </is>
      </c>
      <c r="B15670" t="inlineStr">
        <is>
          <t>Gosh Brow Sculpting Fibre Gel In Nutmeg, 8ml</t>
        </is>
      </c>
      <c r="C15670" t="inlineStr">
        <is>
          <t>Eyebrow Gel</t>
        </is>
      </c>
      <c r="D15670" t="inlineStr">
        <is>
          <t>Gosh</t>
        </is>
      </c>
      <c r="E15670" t="n">
        <v>7</v>
      </c>
      <c r="F15670" t="n">
        <v>1</v>
      </c>
      <c r="G15670" t="n">
        <v>3</v>
      </c>
      <c r="H15670" s="5">
        <f>HYPERLINK("https://api.qogita.com/variants/link/5711914088255/", "View Product")</f>
        <v/>
      </c>
    </row>
    <row r="15671">
      <c r="A15671" t="inlineStr">
        <is>
          <t>5712590000487</t>
        </is>
      </c>
      <c r="B15671" t="inlineStr">
        <is>
          <t>ZARKOPERFUME The Muse Eau de Parfum Spray for Women</t>
        </is>
      </c>
      <c r="C15671" t="inlineStr">
        <is>
          <t>Eau De Parfum</t>
        </is>
      </c>
      <c r="D15671" t="inlineStr">
        <is>
          <t>Zarkoperfume</t>
        </is>
      </c>
      <c r="E15671" t="n">
        <v>88.51000000000001</v>
      </c>
      <c r="F15671" t="n">
        <v>1</v>
      </c>
      <c r="G15671" t="n">
        <v>6</v>
      </c>
      <c r="H15671" s="5">
        <f>HYPERLINK("https://api.qogita.com/variants/link/5712590000487/", "View Product")</f>
        <v/>
      </c>
    </row>
    <row r="15672">
      <c r="A15672" t="inlineStr">
        <is>
          <t>5712980000226</t>
        </is>
      </c>
      <c r="B15672" t="inlineStr">
        <is>
          <t>Zarkoperfume Cloud Collection No.2 Eau De Parfum Spray 100ml</t>
        </is>
      </c>
      <c r="C15672" t="inlineStr">
        <is>
          <t>Eau De Parfum</t>
        </is>
      </c>
      <c r="D15672" t="inlineStr">
        <is>
          <t>Zarkoperfume</t>
        </is>
      </c>
      <c r="E15672" t="n">
        <v>102.39</v>
      </c>
      <c r="F15672" t="n">
        <v>1</v>
      </c>
      <c r="G15672" t="n">
        <v>8</v>
      </c>
      <c r="H15672" s="5">
        <f>HYPERLINK("https://api.qogita.com/variants/link/5712980000226/", "View Product")</f>
        <v/>
      </c>
    </row>
    <row r="15673">
      <c r="A15673" t="inlineStr">
        <is>
          <t>5712980000295</t>
        </is>
      </c>
      <c r="B15673" t="inlineStr">
        <is>
          <t>Zarkoperfume Purple Molecule 070.07 Eau De Parfum Spray 100ml</t>
        </is>
      </c>
      <c r="C15673" t="inlineStr">
        <is>
          <t>Eau De Parfum</t>
        </is>
      </c>
      <c r="D15673" t="inlineStr">
        <is>
          <t>Alterna</t>
        </is>
      </c>
      <c r="E15673" t="n">
        <v>76.11</v>
      </c>
      <c r="F15673" t="n">
        <v>1</v>
      </c>
      <c r="G15673" t="n">
        <v>3</v>
      </c>
      <c r="H15673" s="5">
        <f>HYPERLINK("https://api.qogita.com/variants/link/5712980000295/", "View Product")</f>
        <v/>
      </c>
    </row>
    <row r="15674">
      <c r="A15674" t="inlineStr">
        <is>
          <t>5900116088624</t>
        </is>
      </c>
      <c r="B15674" t="inlineStr">
        <is>
          <t>More4care Snake Lift Cream - Intensive Smoothing Iron For Day 50ml</t>
        </is>
      </c>
      <c r="C15674" t="inlineStr">
        <is>
          <t>Body Lotion</t>
        </is>
      </c>
      <c r="D15674" t="inlineStr">
        <is>
          <t>More4care</t>
        </is>
      </c>
      <c r="E15674" t="n">
        <v>15.21</v>
      </c>
      <c r="F15674" t="n">
        <v>1</v>
      </c>
      <c r="G15674" t="n">
        <v>5</v>
      </c>
      <c r="H15674" s="5">
        <f>HYPERLINK("https://api.qogita.com/variants/link/5900116088624/", "View Product")</f>
        <v/>
      </c>
    </row>
    <row r="15675">
      <c r="A15675" t="inlineStr">
        <is>
          <t>5900717062030</t>
        </is>
      </c>
      <c r="B15675" t="inlineStr">
        <is>
          <t>Lirene City Matt Fluid Mattifying And Smoothing Face Fluid 203 Light 30ml</t>
        </is>
      </c>
      <c r="C15675" t="inlineStr">
        <is>
          <t>Face Cream</t>
        </is>
      </c>
      <c r="D15675" t="inlineStr">
        <is>
          <t>Lirene</t>
        </is>
      </c>
      <c r="E15675" t="n">
        <v>6.88</v>
      </c>
      <c r="F15675" t="n">
        <v>1</v>
      </c>
      <c r="G15675" t="n">
        <v>2</v>
      </c>
      <c r="H15675" s="5">
        <f>HYPERLINK("https://api.qogita.com/variants/link/5900717062030/", "View Product")</f>
        <v/>
      </c>
    </row>
    <row r="15676">
      <c r="A15676" t="inlineStr">
        <is>
          <t>5900717062054</t>
        </is>
      </c>
      <c r="B15676" t="inlineStr">
        <is>
          <t>Lirene City Matt Fluid Mattifying And Smoothing Face Fluid 205 Sand 30ml</t>
        </is>
      </c>
      <c r="C15676" t="inlineStr">
        <is>
          <t>Face Cream</t>
        </is>
      </c>
      <c r="D15676" t="inlineStr">
        <is>
          <t>Lirene</t>
        </is>
      </c>
      <c r="E15676" t="n">
        <v>6.88</v>
      </c>
      <c r="F15676" t="n">
        <v>1</v>
      </c>
      <c r="G15676" t="n">
        <v>2</v>
      </c>
      <c r="H15676" s="5">
        <f>HYPERLINK("https://api.qogita.com/variants/link/5900717062054/", "View Product")</f>
        <v/>
      </c>
    </row>
    <row r="15677">
      <c r="A15677" t="inlineStr">
        <is>
          <t>5900717192713</t>
        </is>
      </c>
      <c r="B15677" t="inlineStr">
        <is>
          <t>Dr Irena Eris Platinum Men Beard Maniac Beard Oil 30ml</t>
        </is>
      </c>
      <c r="C15677" t="inlineStr">
        <is>
          <t>Beard Care Accessories</t>
        </is>
      </c>
      <c r="D15677" t="inlineStr">
        <is>
          <t>Dr Irena Eris</t>
        </is>
      </c>
      <c r="E15677" t="n">
        <v>17.45</v>
      </c>
      <c r="F15677" t="n">
        <v>1</v>
      </c>
      <c r="G15677" t="n">
        <v>8</v>
      </c>
      <c r="H15677" s="5">
        <f>HYPERLINK("https://api.qogita.com/variants/link/5900717192713/", "View Product")</f>
        <v/>
      </c>
    </row>
    <row r="15678">
      <c r="A15678" t="inlineStr">
        <is>
          <t>5900717192812</t>
        </is>
      </c>
      <c r="B15678" t="inlineStr">
        <is>
          <t>Platinum Men Skin Comfort Moisturizing Aftershave Balm 50ml</t>
        </is>
      </c>
      <c r="C15678" t="inlineStr">
        <is>
          <t>Aftershave</t>
        </is>
      </c>
      <c r="D15678" t="inlineStr">
        <is>
          <t>Platinum</t>
        </is>
      </c>
      <c r="E15678" t="n">
        <v>12.6</v>
      </c>
      <c r="F15678" t="n">
        <v>1</v>
      </c>
      <c r="G15678" t="n">
        <v>5</v>
      </c>
      <c r="H15678" s="5">
        <f>HYPERLINK("https://api.qogita.com/variants/link/5900717192812/", "View Product")</f>
        <v/>
      </c>
    </row>
    <row r="15679">
      <c r="A15679" t="inlineStr">
        <is>
          <t>5900717204218</t>
        </is>
      </c>
      <c r="B15679" t="inlineStr">
        <is>
          <t>Dr Irena Eris Lumissima Whitening and Regenerating Night Cream</t>
        </is>
      </c>
      <c r="C15679" t="inlineStr">
        <is>
          <t>Night Cream</t>
        </is>
      </c>
      <c r="D15679" t="inlineStr">
        <is>
          <t>Dr Irena Eris</t>
        </is>
      </c>
      <c r="E15679" t="n">
        <v>26.52</v>
      </c>
      <c r="F15679" t="n">
        <v>1</v>
      </c>
      <c r="G15679" t="n">
        <v>7</v>
      </c>
      <c r="H15679" s="5">
        <f>HYPERLINK("https://api.qogita.com/variants/link/5900717204218/", "View Product")</f>
        <v/>
      </c>
    </row>
    <row r="15680">
      <c r="A15680" t="inlineStr">
        <is>
          <t>5900717207110</t>
        </is>
      </c>
      <c r="B15680" t="inlineStr">
        <is>
          <t>Dr Irena Eris Volumeric Intense Firming Spf 20 Day Cream 50ml For Mature Skin</t>
        </is>
      </c>
      <c r="C15680" t="inlineStr">
        <is>
          <t>Day Cream</t>
        </is>
      </c>
      <c r="D15680" t="inlineStr">
        <is>
          <t>Dr Irena Eris</t>
        </is>
      </c>
      <c r="E15680" t="n">
        <v>29.54</v>
      </c>
      <c r="F15680" t="n">
        <v>1</v>
      </c>
      <c r="G15680" t="n">
        <v>6</v>
      </c>
      <c r="H15680" s="5">
        <f>HYPERLINK("https://api.qogita.com/variants/link/5900717207110/", "View Product")</f>
        <v/>
      </c>
    </row>
    <row r="15681">
      <c r="A15681" t="inlineStr">
        <is>
          <t>5900717216211</t>
        </is>
      </c>
      <c r="B15681" t="inlineStr">
        <is>
          <t>Cleanology Micellar Liquid For Makeup Removal For Face And Eyes 200ml</t>
        </is>
      </c>
      <c r="C15681" t="inlineStr">
        <is>
          <t>Makeup Remover</t>
        </is>
      </c>
      <c r="D15681" t="inlineStr">
        <is>
          <t>Cleanology</t>
        </is>
      </c>
      <c r="E15681" t="n">
        <v>12.31</v>
      </c>
      <c r="F15681" t="n">
        <v>1</v>
      </c>
      <c r="G15681" t="n">
        <v>5</v>
      </c>
      <c r="H15681" s="5">
        <f>HYPERLINK("https://api.qogita.com/variants/link/5900717216211/", "View Product")</f>
        <v/>
      </c>
    </row>
    <row r="15682">
      <c r="A15682" t="inlineStr">
        <is>
          <t>5900717217515</t>
        </is>
      </c>
      <c r="B15682" t="inlineStr">
        <is>
          <t>Dr Irena Eris Cleanology Cleansing Ritual</t>
        </is>
      </c>
      <c r="C15682" t="inlineStr">
        <is>
          <t>Facial Cleansing Sets</t>
        </is>
      </c>
      <c r="D15682" t="inlineStr">
        <is>
          <t>Dr Irena Eris</t>
        </is>
      </c>
      <c r="E15682" t="n">
        <v>21.59</v>
      </c>
      <c r="F15682" t="n">
        <v>1</v>
      </c>
      <c r="G15682" t="n">
        <v>8</v>
      </c>
      <c r="H15682" s="5">
        <f>HYPERLINK("https://api.qogita.com/variants/link/5900717217515/", "View Product")</f>
        <v/>
      </c>
    </row>
    <row r="15683">
      <c r="A15683" t="inlineStr">
        <is>
          <t>5900717224414</t>
        </is>
      </c>
      <c r="B15683" t="inlineStr">
        <is>
          <t>Dr Irena Eris Body Art Alabaster Scrub Smoothing Body Scrub with Alabaster 200ml</t>
        </is>
      </c>
      <c r="C15683" t="inlineStr">
        <is>
          <t>Body Scrub &amp; Peeling</t>
        </is>
      </c>
      <c r="D15683" t="inlineStr">
        <is>
          <t>Dr Irena Eris</t>
        </is>
      </c>
      <c r="E15683" t="n">
        <v>17.68</v>
      </c>
      <c r="F15683" t="n">
        <v>1</v>
      </c>
      <c r="G15683" t="n">
        <v>7</v>
      </c>
      <c r="H15683" s="5">
        <f>HYPERLINK("https://api.qogita.com/variants/link/5900717224414/", "View Product")</f>
        <v/>
      </c>
    </row>
    <row r="15684">
      <c r="A15684" t="inlineStr">
        <is>
          <t>5900717241640</t>
        </is>
      </c>
      <c r="B15684" t="inlineStr">
        <is>
          <t>Dr Irena Eris Vitaceric Matting and Smoothing Serum 30ml</t>
        </is>
      </c>
      <c r="C15684" t="inlineStr">
        <is>
          <t>Vitamin Serum</t>
        </is>
      </c>
      <c r="D15684" t="inlineStr">
        <is>
          <t>Dr Irena Eris</t>
        </is>
      </c>
      <c r="E15684" t="n">
        <v>18.48</v>
      </c>
      <c r="F15684" t="n">
        <v>1</v>
      </c>
      <c r="G15684" t="n">
        <v>5</v>
      </c>
      <c r="H15684" s="5">
        <f>HYPERLINK("https://api.qogita.com/variants/link/5900717241640/", "View Product")</f>
        <v/>
      </c>
    </row>
    <row r="15685">
      <c r="A15685" t="inlineStr">
        <is>
          <t>5900717267336</t>
        </is>
      </c>
      <c r="B15685" t="inlineStr">
        <is>
          <t>Dr Irena Eris Aquality Hydrating Serum Concentrate 30 Ml</t>
        </is>
      </c>
      <c r="C15685" t="inlineStr">
        <is>
          <t>Hydrating Serum</t>
        </is>
      </c>
      <c r="D15685" t="inlineStr">
        <is>
          <t>Dr Irena Eris</t>
        </is>
      </c>
      <c r="E15685" t="n">
        <v>25.21</v>
      </c>
      <c r="F15685" t="n">
        <v>1</v>
      </c>
      <c r="G15685" t="n">
        <v>8</v>
      </c>
      <c r="H15685" s="5">
        <f>HYPERLINK("https://api.qogita.com/variants/link/5900717267336/", "View Product")</f>
        <v/>
      </c>
    </row>
    <row r="15686">
      <c r="A15686" t="inlineStr">
        <is>
          <t>5900717274310</t>
        </is>
      </c>
      <c r="B15686" t="inlineStr">
        <is>
          <t>Scientivist Revitalizing Eye Cream Spf20 15ml</t>
        </is>
      </c>
      <c r="C15686" t="inlineStr">
        <is>
          <t>Eye Cream</t>
        </is>
      </c>
      <c r="D15686" t="inlineStr">
        <is>
          <t>Scientivist</t>
        </is>
      </c>
      <c r="E15686" t="n">
        <v>25.34</v>
      </c>
      <c r="F15686" t="n">
        <v>1</v>
      </c>
      <c r="G15686" t="n">
        <v>2</v>
      </c>
      <c r="H15686" s="5">
        <f>HYPERLINK("https://api.qogita.com/variants/link/5900717274310/", "View Product")</f>
        <v/>
      </c>
    </row>
    <row r="15687">
      <c r="A15687" t="inlineStr">
        <is>
          <t>5900717580923</t>
        </is>
      </c>
      <c r="B15687" t="inlineStr">
        <is>
          <t>Institute Solutions Neuro Filler Advanced Night Cream For Skin Structure Rejuvenation 50ml</t>
        </is>
      </c>
      <c r="C15687" t="inlineStr">
        <is>
          <t>Night Cream</t>
        </is>
      </c>
      <c r="D15687" t="inlineStr">
        <is>
          <t>Institut Esthederm</t>
        </is>
      </c>
      <c r="E15687" t="n">
        <v>41</v>
      </c>
      <c r="F15687" t="n">
        <v>1</v>
      </c>
      <c r="G15687" t="n">
        <v>7</v>
      </c>
      <c r="H15687" s="5">
        <f>HYPERLINK("https://api.qogita.com/variants/link/5900717580923/", "View Product")</f>
        <v/>
      </c>
    </row>
    <row r="15688">
      <c r="A15688" t="inlineStr">
        <is>
          <t>5900717591110</t>
        </is>
      </c>
      <c r="B15688" t="inlineStr">
        <is>
          <t>Dr Irena Eris Eyes Zone Brightening and Puff Correcting Supreme Eye Cream SPF 20</t>
        </is>
      </c>
      <c r="C15688" t="inlineStr">
        <is>
          <t>Eye Cream</t>
        </is>
      </c>
      <c r="D15688" t="inlineStr">
        <is>
          <t>Dr Irena Eris</t>
        </is>
      </c>
      <c r="E15688" t="n">
        <v>17.47</v>
      </c>
      <c r="F15688" t="n">
        <v>1</v>
      </c>
      <c r="G15688" t="n">
        <v>5</v>
      </c>
      <c r="H15688" s="5">
        <f>HYPERLINK("https://api.qogita.com/variants/link/5900717591110/", "View Product")</f>
        <v/>
      </c>
    </row>
    <row r="15689">
      <c r="A15689" t="inlineStr">
        <is>
          <t>5901761904468</t>
        </is>
      </c>
      <c r="B15689" t="inlineStr">
        <is>
          <t>Eveline Art Make-Up Anti-Shine Complex Pressed Powder - 31 Transparent, 14g</t>
        </is>
      </c>
      <c r="C15689" t="inlineStr">
        <is>
          <t>Powder</t>
        </is>
      </c>
      <c r="D15689" t="inlineStr">
        <is>
          <t>Eveline</t>
        </is>
      </c>
      <c r="E15689" t="n">
        <v>4.14</v>
      </c>
      <c r="F15689" t="n">
        <v>1</v>
      </c>
      <c r="G15689" t="n">
        <v>3</v>
      </c>
      <c r="H15689" s="5">
        <f>HYPERLINK("https://api.qogita.com/variants/link/5901761904468/", "View Product")</f>
        <v/>
      </c>
    </row>
    <row r="15690">
      <c r="A15690" t="inlineStr">
        <is>
          <t>5901761936148</t>
        </is>
      </c>
      <c r="B15690" t="inlineStr">
        <is>
          <t>Eveline Quattro Eyeshadow Quad Eyeshadow 12 5.2g</t>
        </is>
      </c>
      <c r="C15690" t="inlineStr">
        <is>
          <t>Eyeshadow</t>
        </is>
      </c>
      <c r="D15690" t="inlineStr">
        <is>
          <t>Eveline</t>
        </is>
      </c>
      <c r="E15690" t="n">
        <v>3.18</v>
      </c>
      <c r="F15690" t="n">
        <v>1</v>
      </c>
      <c r="G15690" t="n">
        <v>3</v>
      </c>
      <c r="H15690" s="5">
        <f>HYPERLINK("https://api.qogita.com/variants/link/5901761936148/", "View Product")</f>
        <v/>
      </c>
    </row>
    <row r="15691">
      <c r="A15691" t="inlineStr">
        <is>
          <t>5901761941500</t>
        </is>
      </c>
      <c r="B15691" t="inlineStr">
        <is>
          <t>Revel Lashes False Lash Effect Mascara Deep Black - 10ml</t>
        </is>
      </c>
      <c r="C15691" t="inlineStr">
        <is>
          <t>Mascara</t>
        </is>
      </c>
      <c r="D15691" t="inlineStr">
        <is>
          <t>Revel</t>
        </is>
      </c>
      <c r="E15691" t="n">
        <v>4.13</v>
      </c>
      <c r="F15691" t="n">
        <v>1</v>
      </c>
      <c r="G15691" t="n">
        <v>3</v>
      </c>
      <c r="H15691" s="5">
        <f>HYPERLINK("https://api.qogita.com/variants/link/5901761941500/", "View Product")</f>
        <v/>
      </c>
    </row>
    <row r="15692">
      <c r="A15692" t="inlineStr">
        <is>
          <t>5901761958836</t>
        </is>
      </c>
      <c r="B15692" t="inlineStr">
        <is>
          <t>Eveline Facemed Aloe Micellar Liquid 3 In 1 Refreshing Soothing 400ml</t>
        </is>
      </c>
      <c r="C15692" t="inlineStr">
        <is>
          <t>Micellar Water</t>
        </is>
      </c>
      <c r="D15692" t="inlineStr">
        <is>
          <t>Eveline</t>
        </is>
      </c>
      <c r="E15692" t="n">
        <v>5.81</v>
      </c>
      <c r="F15692" t="n">
        <v>1</v>
      </c>
      <c r="G15692" t="n">
        <v>3</v>
      </c>
      <c r="H15692" s="5">
        <f>HYPERLINK("https://api.qogita.com/variants/link/5901761958836/", "View Product")</f>
        <v/>
      </c>
    </row>
    <row r="15693">
      <c r="A15693" t="inlineStr">
        <is>
          <t>5901761968170</t>
        </is>
      </c>
      <c r="B15693" t="inlineStr">
        <is>
          <t>Eveline Hyaluron Moisture Pack Ultra Moisturising Face Mask</t>
        </is>
      </c>
      <c r="C15693" t="inlineStr">
        <is>
          <t>Hydrating Mask</t>
        </is>
      </c>
      <c r="D15693" t="inlineStr">
        <is>
          <t>Eveline</t>
        </is>
      </c>
      <c r="E15693" t="n">
        <v>2.87</v>
      </c>
      <c r="F15693" t="n">
        <v>1</v>
      </c>
      <c r="G15693" t="n">
        <v>3</v>
      </c>
      <c r="H15693" s="5">
        <f>HYPERLINK("https://api.qogita.com/variants/link/5901761968170/", "View Product")</f>
        <v/>
      </c>
    </row>
    <row r="15694">
      <c r="A15694" t="inlineStr">
        <is>
          <t>5901761970128</t>
        </is>
      </c>
      <c r="B15694" t="inlineStr">
        <is>
          <t>Eveline Gold Lift Expert Luxury Anti-Wrinkle Micellar Liquid 500ml</t>
        </is>
      </c>
      <c r="C15694" t="inlineStr">
        <is>
          <t>Micellar Water</t>
        </is>
      </c>
      <c r="D15694" t="inlineStr">
        <is>
          <t>Eveline</t>
        </is>
      </c>
      <c r="E15694" t="n">
        <v>5.81</v>
      </c>
      <c r="F15694" t="n">
        <v>1</v>
      </c>
      <c r="G15694" t="n">
        <v>2</v>
      </c>
      <c r="H15694" s="5">
        <f>HYPERLINK("https://api.qogita.com/variants/link/5901761970128/", "View Product")</f>
        <v/>
      </c>
    </row>
    <row r="15695">
      <c r="A15695" t="inlineStr">
        <is>
          <t>5901761983982</t>
        </is>
      </c>
      <c r="B15695" t="inlineStr">
        <is>
          <t>Eveline Facemed+ Mattifying Micellar Liquid 3 In 1 For Normal And Combination Skin 650ml</t>
        </is>
      </c>
      <c r="C15695" t="inlineStr">
        <is>
          <t>Micellar Water</t>
        </is>
      </c>
      <c r="D15695" t="inlineStr">
        <is>
          <t>Eveline</t>
        </is>
      </c>
      <c r="E15695" t="n">
        <v>6.61</v>
      </c>
      <c r="F15695" t="n">
        <v>1</v>
      </c>
      <c r="G15695" t="n">
        <v>3</v>
      </c>
      <c r="H15695" s="5">
        <f>HYPERLINK("https://api.qogita.com/variants/link/5901761983982/", "View Product")</f>
        <v/>
      </c>
    </row>
    <row r="15696">
      <c r="A15696" t="inlineStr">
        <is>
          <t>5901761997538</t>
        </is>
      </c>
      <c r="B15696" t="inlineStr">
        <is>
          <t>Eveline Big Volume Bang! Mascara Black 10ml</t>
        </is>
      </c>
      <c r="C15696" t="inlineStr">
        <is>
          <t>Mascara</t>
        </is>
      </c>
      <c r="D15696" t="inlineStr">
        <is>
          <t>Eveline</t>
        </is>
      </c>
      <c r="E15696" t="n">
        <v>4.13</v>
      </c>
      <c r="F15696" t="n">
        <v>1</v>
      </c>
      <c r="G15696" t="n">
        <v>3</v>
      </c>
      <c r="H15696" s="5">
        <f>HYPERLINK("https://api.qogita.com/variants/link/5901761997538/", "View Product")</f>
        <v/>
      </c>
    </row>
    <row r="15697">
      <c r="A15697" t="inlineStr">
        <is>
          <t>5901887003182</t>
        </is>
      </c>
      <c r="B15697" t="inlineStr">
        <is>
          <t>Ziaja Goat's Milk Eye Cream For Dry Skin Prone To Wrinkles 15ml</t>
        </is>
      </c>
      <c r="C15697" t="inlineStr">
        <is>
          <t>Eye Cream</t>
        </is>
      </c>
      <c r="D15697" t="inlineStr">
        <is>
          <t>Ziaja</t>
        </is>
      </c>
      <c r="E15697" t="n">
        <v>2.61</v>
      </c>
      <c r="F15697" t="n">
        <v>1</v>
      </c>
      <c r="G15697" t="n">
        <v>2</v>
      </c>
      <c r="H15697" s="5">
        <f>HYPERLINK("https://api.qogita.com/variants/link/5901887003182/", "View Product")</f>
        <v/>
      </c>
    </row>
    <row r="15698">
      <c r="A15698" t="inlineStr">
        <is>
          <t>5901887003328</t>
        </is>
      </c>
      <c r="B15698" t="inlineStr">
        <is>
          <t>Ziaja Intimate Peach Cleanser Gel 500 Ml</t>
        </is>
      </c>
      <c r="C15698" t="inlineStr">
        <is>
          <t>Intimate Hygiene</t>
        </is>
      </c>
      <c r="D15698" t="inlineStr">
        <is>
          <t>Ziaja</t>
        </is>
      </c>
      <c r="E15698" t="n">
        <v>4.36</v>
      </c>
      <c r="F15698" t="n">
        <v>1</v>
      </c>
      <c r="G15698" t="n">
        <v>2</v>
      </c>
      <c r="H15698" s="5">
        <f>HYPERLINK("https://api.qogita.com/variants/link/5901887003328/", "View Product")</f>
        <v/>
      </c>
    </row>
    <row r="15699">
      <c r="A15699" t="inlineStr">
        <is>
          <t>5901887004592</t>
        </is>
      </c>
      <c r="B15699" t="inlineStr">
        <is>
          <t>ZIAJA Goat's Milk Night Cream Moisturizer for Demanding, Dehydrated Skin 50ml</t>
        </is>
      </c>
      <c r="C15699" t="inlineStr">
        <is>
          <t>Night Cream</t>
        </is>
      </c>
      <c r="D15699" t="inlineStr">
        <is>
          <t>Ziaja</t>
        </is>
      </c>
      <c r="E15699" t="n">
        <v>4.49</v>
      </c>
      <c r="F15699" t="n">
        <v>1</v>
      </c>
      <c r="G15699" t="n">
        <v>57</v>
      </c>
      <c r="H15699" s="5">
        <f>HYPERLINK("https://api.qogita.com/variants/link/5901887004592/", "View Product")</f>
        <v/>
      </c>
    </row>
    <row r="15700">
      <c r="A15700" t="inlineStr">
        <is>
          <t>5901887006916</t>
        </is>
      </c>
      <c r="B15700" t="inlineStr">
        <is>
          <t>Sensitive Calming Day Cream for Sensitive Skin 50ml</t>
        </is>
      </c>
      <c r="C15700" t="inlineStr">
        <is>
          <t>Day Cream</t>
        </is>
      </c>
      <c r="D15700" t="inlineStr">
        <is>
          <t>Ziaja</t>
        </is>
      </c>
      <c r="E15700" t="n">
        <v>5.4</v>
      </c>
      <c r="F15700" t="n">
        <v>1</v>
      </c>
      <c r="G15700" t="n">
        <v>7</v>
      </c>
      <c r="H15700" s="5">
        <f>HYPERLINK("https://api.qogita.com/variants/link/5901887006916/", "View Product")</f>
        <v/>
      </c>
    </row>
    <row r="15701">
      <c r="A15701" t="inlineStr">
        <is>
          <t>5901887006923</t>
        </is>
      </c>
      <c r="B15701" t="inlineStr">
        <is>
          <t>Ziaja Sensitive Skin Firming Night Cream 1.7 Fl Oz (50ml)</t>
        </is>
      </c>
      <c r="C15701" t="inlineStr">
        <is>
          <t>Night Cream</t>
        </is>
      </c>
      <c r="D15701" t="inlineStr">
        <is>
          <t>Ziaja</t>
        </is>
      </c>
      <c r="E15701" t="n">
        <v>5.4</v>
      </c>
      <c r="F15701" t="n">
        <v>1</v>
      </c>
      <c r="G15701" t="n">
        <v>17</v>
      </c>
      <c r="H15701" s="5">
        <f>HYPERLINK("https://api.qogita.com/variants/link/5901887006923/", "View Product")</f>
        <v/>
      </c>
    </row>
    <row r="15702">
      <c r="A15702" t="inlineStr">
        <is>
          <t>5901887007357</t>
        </is>
      </c>
      <c r="B15702" t="inlineStr">
        <is>
          <t>Ziaja Cocoa Butter Q10 Anti-Wrinkle Face Cream for Dry and Normal Skin</t>
        </is>
      </c>
      <c r="C15702" t="inlineStr">
        <is>
          <t>Face Cream</t>
        </is>
      </c>
      <c r="D15702" t="inlineStr">
        <is>
          <t>Ziaja</t>
        </is>
      </c>
      <c r="E15702" t="n">
        <v>4.49</v>
      </c>
      <c r="F15702" t="n">
        <v>1</v>
      </c>
      <c r="G15702" t="n">
        <v>15</v>
      </c>
      <c r="H15702" s="5">
        <f>HYPERLINK("https://api.qogita.com/variants/link/5901887007357/", "View Product")</f>
        <v/>
      </c>
    </row>
    <row r="15703">
      <c r="A15703" t="inlineStr">
        <is>
          <t>5901887007982</t>
        </is>
      </c>
      <c r="B15703" t="inlineStr">
        <is>
          <t>Ziaja Olive Oil Body Butter 200 Ml</t>
        </is>
      </c>
      <c r="C15703" t="inlineStr">
        <is>
          <t>Body Butter</t>
        </is>
      </c>
      <c r="D15703" t="inlineStr">
        <is>
          <t>Ziaja</t>
        </is>
      </c>
      <c r="E15703" t="n">
        <v>5.4</v>
      </c>
      <c r="F15703" t="n">
        <v>1</v>
      </c>
      <c r="G15703" t="n">
        <v>3</v>
      </c>
      <c r="H15703" s="5">
        <f>HYPERLINK("https://api.qogita.com/variants/link/5901887007982/", "View Product")</f>
        <v/>
      </c>
    </row>
    <row r="15704">
      <c r="A15704" t="inlineStr">
        <is>
          <t>5901887008521</t>
        </is>
      </c>
      <c r="B15704" t="inlineStr">
        <is>
          <t>Strengthening Night Cream to Prevent Cracking and Formation of New Expanded Veins Capillary Care 50ml</t>
        </is>
      </c>
      <c r="C15704" t="inlineStr">
        <is>
          <t>Night Cream</t>
        </is>
      </c>
      <c r="D15704" t="inlineStr">
        <is>
          <t>Ziaja</t>
        </is>
      </c>
      <c r="E15704" t="n">
        <v>6.48</v>
      </c>
      <c r="F15704" t="n">
        <v>1</v>
      </c>
      <c r="G15704" t="n">
        <v>4</v>
      </c>
      <c r="H15704" s="5">
        <f>HYPERLINK("https://api.qogita.com/variants/link/5901887008521/", "View Product")</f>
        <v/>
      </c>
    </row>
    <row r="15705">
      <c r="A15705" t="inlineStr">
        <is>
          <t>5901887008576</t>
        </is>
      </c>
      <c r="B15705" t="inlineStr">
        <is>
          <t>ZIAJA Med Anti-Aging Smoothing Eye Cream 15ml</t>
        </is>
      </c>
      <c r="C15705" t="inlineStr">
        <is>
          <t>Eye Cream</t>
        </is>
      </c>
      <c r="D15705" t="inlineStr">
        <is>
          <t>Ziaja</t>
        </is>
      </c>
      <c r="E15705" t="n">
        <v>4.39</v>
      </c>
      <c r="F15705" t="n">
        <v>1</v>
      </c>
      <c r="G15705" t="n">
        <v>7</v>
      </c>
      <c r="H15705" s="5">
        <f>HYPERLINK("https://api.qogita.com/variants/link/5901887008576/", "View Product")</f>
        <v/>
      </c>
    </row>
    <row r="15706">
      <c r="A15706" t="inlineStr">
        <is>
          <t>5901887009467</t>
        </is>
      </c>
      <c r="B15706" t="inlineStr">
        <is>
          <t>Ziaja Nuno Antibacterial Cleansing Gel 200ml</t>
        </is>
      </c>
      <c r="C15706" t="inlineStr">
        <is>
          <t>Cleansing Gel</t>
        </is>
      </c>
      <c r="D15706" t="inlineStr">
        <is>
          <t>Ziaja</t>
        </is>
      </c>
      <c r="E15706" t="n">
        <v>3.4</v>
      </c>
      <c r="F15706" t="n">
        <v>1</v>
      </c>
      <c r="G15706" t="n">
        <v>6</v>
      </c>
      <c r="H15706" s="5">
        <f>HYPERLINK("https://api.qogita.com/variants/link/5901887009467/", "View Product")</f>
        <v/>
      </c>
    </row>
    <row r="15707">
      <c r="A15707" t="inlineStr">
        <is>
          <t>5901887010487</t>
        </is>
      </c>
      <c r="B15707" t="inlineStr">
        <is>
          <t>Ziaja Intimate Wash Gel 500 Ml</t>
        </is>
      </c>
      <c r="C15707" t="inlineStr">
        <is>
          <t>Intimate Hygiene</t>
        </is>
      </c>
      <c r="D15707" t="inlineStr">
        <is>
          <t>Ziaja</t>
        </is>
      </c>
      <c r="E15707" t="n">
        <v>4.08</v>
      </c>
      <c r="F15707" t="n">
        <v>1</v>
      </c>
      <c r="G15707" t="n">
        <v>2</v>
      </c>
      <c r="H15707" s="5">
        <f>HYPERLINK("https://api.qogita.com/variants/link/5901887010487/", "View Product")</f>
        <v/>
      </c>
    </row>
    <row r="15708">
      <c r="A15708" t="inlineStr">
        <is>
          <t>5901887010494</t>
        </is>
      </c>
      <c r="B15708" t="inlineStr">
        <is>
          <t>Ziaja Intimate Wash Gel Melon 500ml</t>
        </is>
      </c>
      <c r="C15708" t="inlineStr">
        <is>
          <t>Intimate Hygiene</t>
        </is>
      </c>
      <c r="D15708" t="inlineStr">
        <is>
          <t>Ziaja</t>
        </is>
      </c>
      <c r="E15708" t="n">
        <v>2.99</v>
      </c>
      <c r="F15708" t="n">
        <v>1</v>
      </c>
      <c r="G15708" t="n">
        <v>5</v>
      </c>
      <c r="H15708" s="5">
        <f>HYPERLINK("https://api.qogita.com/variants/link/5901887010494/", "View Product")</f>
        <v/>
      </c>
    </row>
    <row r="15709">
      <c r="A15709" t="inlineStr">
        <is>
          <t>5901887011989</t>
        </is>
      </c>
      <c r="B15709" t="inlineStr">
        <is>
          <t>Ziaja Marine Algae Deep Moisturizing Cream 50ml</t>
        </is>
      </c>
      <c r="C15709" t="inlineStr">
        <is>
          <t>Face Cream</t>
        </is>
      </c>
      <c r="D15709" t="inlineStr">
        <is>
          <t>Ziaja</t>
        </is>
      </c>
      <c r="E15709" t="n">
        <v>5.13</v>
      </c>
      <c r="F15709" t="n">
        <v>1</v>
      </c>
      <c r="G15709" t="n">
        <v>6</v>
      </c>
      <c r="H15709" s="5">
        <f>HYPERLINK("https://api.qogita.com/variants/link/5901887011989/", "View Product")</f>
        <v/>
      </c>
    </row>
    <row r="15710">
      <c r="A15710" t="inlineStr">
        <is>
          <t>5901887014447</t>
        </is>
      </c>
      <c r="B15710" t="inlineStr">
        <is>
          <t>Ziaja Orange Cream Shower Gel 500ml</t>
        </is>
      </c>
      <c r="C15710" t="inlineStr">
        <is>
          <t>Shower Gel</t>
        </is>
      </c>
      <c r="D15710" t="inlineStr">
        <is>
          <t>Ziaja</t>
        </is>
      </c>
      <c r="E15710" t="n">
        <v>3.24</v>
      </c>
      <c r="F15710" t="n">
        <v>1</v>
      </c>
      <c r="G15710" t="n">
        <v>5</v>
      </c>
      <c r="H15710" s="5">
        <f>HYPERLINK("https://api.qogita.com/variants/link/5901887014447/", "View Product")</f>
        <v/>
      </c>
    </row>
    <row r="15711">
      <c r="A15711" t="inlineStr">
        <is>
          <t>5901887016236</t>
        </is>
      </c>
      <c r="B15711" t="inlineStr">
        <is>
          <t>Ziaja Shower Gel Orange Butter 500 Ml</t>
        </is>
      </c>
      <c r="C15711" t="inlineStr">
        <is>
          <t>Shower Gel</t>
        </is>
      </c>
      <c r="D15711" t="inlineStr">
        <is>
          <t>Ziaja</t>
        </is>
      </c>
      <c r="E15711" t="n">
        <v>4.08</v>
      </c>
      <c r="F15711" t="n">
        <v>1</v>
      </c>
      <c r="G15711" t="n">
        <v>32</v>
      </c>
      <c r="H15711" s="5">
        <f>HYPERLINK("https://api.qogita.com/variants/link/5901887016236/", "View Product")</f>
        <v/>
      </c>
    </row>
    <row r="15712">
      <c r="A15712" t="inlineStr">
        <is>
          <t>5901887016854</t>
        </is>
      </c>
      <c r="B15712" t="inlineStr">
        <is>
          <t>Ziaja Physiological Eye Cream For Very Sensitive And Allergic Skin Lipid Care 15 Ml</t>
        </is>
      </c>
      <c r="C15712" t="inlineStr">
        <is>
          <t>Eye Cream</t>
        </is>
      </c>
      <c r="D15712" t="inlineStr">
        <is>
          <t>Ziaja</t>
        </is>
      </c>
      <c r="E15712" t="n">
        <v>6.48</v>
      </c>
      <c r="F15712" t="n">
        <v>1</v>
      </c>
      <c r="G15712" t="n">
        <v>2</v>
      </c>
      <c r="H15712" s="5">
        <f>HYPERLINK("https://api.qogita.com/variants/link/5901887016854/", "View Product")</f>
        <v/>
      </c>
    </row>
    <row r="15713">
      <c r="A15713" t="inlineStr">
        <is>
          <t>5901887016977</t>
        </is>
      </c>
      <c r="B15713" t="inlineStr">
        <is>
          <t>Light Formula Facial Cream 100 ml</t>
        </is>
      </c>
      <c r="C15713" t="inlineStr">
        <is>
          <t>Face Cream</t>
        </is>
      </c>
      <c r="D15713" t="inlineStr">
        <is>
          <t>Ziaja</t>
        </is>
      </c>
      <c r="E15713" t="n">
        <v>4.08</v>
      </c>
      <c r="F15713" t="n">
        <v>1</v>
      </c>
      <c r="G15713" t="n">
        <v>6</v>
      </c>
      <c r="H15713" s="5">
        <f>HYPERLINK("https://api.qogita.com/variants/link/5901887016977/", "View Product")</f>
        <v/>
      </c>
    </row>
    <row r="15714">
      <c r="A15714" t="inlineStr">
        <is>
          <t>5901887018254</t>
        </is>
      </c>
      <c r="B15714" t="inlineStr">
        <is>
          <t>Goat's Milk Body Butter 200 ml</t>
        </is>
      </c>
      <c r="C15714" t="inlineStr">
        <is>
          <t>Body Butter</t>
        </is>
      </c>
      <c r="D15714" t="inlineStr">
        <is>
          <t>Ziaja</t>
        </is>
      </c>
      <c r="E15714" t="n">
        <v>5.4</v>
      </c>
      <c r="F15714" t="n">
        <v>1</v>
      </c>
      <c r="G15714" t="n">
        <v>2</v>
      </c>
      <c r="H15714" s="5">
        <f>HYPERLINK("https://api.qogita.com/variants/link/5901887018254/", "View Product")</f>
        <v/>
      </c>
    </row>
    <row r="15715">
      <c r="A15715" t="inlineStr">
        <is>
          <t>5901887019183</t>
        </is>
      </c>
      <c r="B15715" t="inlineStr">
        <is>
          <t>Cocoa Butter Shower Scrub 7.0 Fl Oz (200 ml)</t>
        </is>
      </c>
      <c r="C15715" t="inlineStr">
        <is>
          <t>Body Scrub &amp; Peeling</t>
        </is>
      </c>
      <c r="D15715" t="inlineStr">
        <is>
          <t>Ziaja</t>
        </is>
      </c>
      <c r="E15715" t="n">
        <v>5.4</v>
      </c>
      <c r="F15715" t="n">
        <v>1</v>
      </c>
      <c r="G15715" t="n">
        <v>13</v>
      </c>
      <c r="H15715" s="5">
        <f>HYPERLINK("https://api.qogita.com/variants/link/5901887019183/", "View Product")</f>
        <v/>
      </c>
    </row>
    <row r="15716">
      <c r="A15716" t="inlineStr">
        <is>
          <t>5901887020295</t>
        </is>
      </c>
      <c r="B15716" t="inlineStr">
        <is>
          <t>Ziaja Revitalizing Hair Conditioner Spray 125 Ml</t>
        </is>
      </c>
      <c r="C15716" t="inlineStr">
        <is>
          <t>Leave-In Conditioner</t>
        </is>
      </c>
      <c r="D15716" t="inlineStr">
        <is>
          <t>Ziaja</t>
        </is>
      </c>
      <c r="E15716" t="n">
        <v>5.13</v>
      </c>
      <c r="F15716" t="n">
        <v>1</v>
      </c>
      <c r="G15716" t="n">
        <v>13</v>
      </c>
      <c r="H15716" s="5">
        <f>HYPERLINK("https://api.qogita.com/variants/link/5901887020295/", "View Product")</f>
        <v/>
      </c>
    </row>
    <row r="15717">
      <c r="A15717" t="inlineStr">
        <is>
          <t>5901887021759</t>
        </is>
      </c>
      <c r="B15717" t="inlineStr">
        <is>
          <t>Ziaja Warming Massage Oil 500ml</t>
        </is>
      </c>
      <c r="C15717" t="inlineStr">
        <is>
          <t>Body Oil</t>
        </is>
      </c>
      <c r="D15717" t="inlineStr">
        <is>
          <t>Ziaja</t>
        </is>
      </c>
      <c r="E15717" t="n">
        <v>6.94</v>
      </c>
      <c r="F15717" t="n">
        <v>1</v>
      </c>
      <c r="G15717" t="n">
        <v>15</v>
      </c>
      <c r="H15717" s="5">
        <f>HYPERLINK("https://api.qogita.com/variants/link/5901887021759/", "View Product")</f>
        <v/>
      </c>
    </row>
    <row r="15718">
      <c r="A15718" t="inlineStr">
        <is>
          <t>5901887022770</t>
        </is>
      </c>
      <c r="B15718" t="inlineStr">
        <is>
          <t>Ziaja Orange Firming Anti-Cellulite Body Milk 400ml</t>
        </is>
      </c>
      <c r="C15718" t="inlineStr">
        <is>
          <t>Anti-Cellulite</t>
        </is>
      </c>
      <c r="D15718" t="inlineStr">
        <is>
          <t>Ziaja</t>
        </is>
      </c>
      <c r="E15718" t="n">
        <v>3.03</v>
      </c>
      <c r="F15718" t="n">
        <v>1</v>
      </c>
      <c r="G15718" t="n">
        <v>23</v>
      </c>
      <c r="H15718" s="5">
        <f>HYPERLINK("https://api.qogita.com/variants/link/5901887022770/", "View Product")</f>
        <v/>
      </c>
    </row>
    <row r="15719">
      <c r="A15719" t="inlineStr">
        <is>
          <t>5901887022787</t>
        </is>
      </c>
      <c r="B15719" t="inlineStr">
        <is>
          <t>Ziaja Cocoa Butter Body Milk For Normal, Dry, And Sensitive Skin 400ml</t>
        </is>
      </c>
      <c r="C15719" t="inlineStr">
        <is>
          <t>Body Lotion</t>
        </is>
      </c>
      <c r="D15719" t="inlineStr">
        <is>
          <t>Ziaja</t>
        </is>
      </c>
      <c r="E15719" t="n">
        <v>3.03</v>
      </c>
      <c r="F15719" t="n">
        <v>1</v>
      </c>
      <c r="G15719" t="n">
        <v>15</v>
      </c>
      <c r="H15719" s="5">
        <f>HYPERLINK("https://api.qogita.com/variants/link/5901887022787/", "View Product")</f>
        <v/>
      </c>
    </row>
    <row r="15720">
      <c r="A15720" t="inlineStr">
        <is>
          <t>5901887023470</t>
        </is>
      </c>
      <c r="B15720" t="inlineStr">
        <is>
          <t>Ziaja Natural Olive Oil Micellar Make Up Remover 200ml</t>
        </is>
      </c>
      <c r="C15720" t="inlineStr">
        <is>
          <t>Makeup Remover</t>
        </is>
      </c>
      <c r="D15720" t="inlineStr">
        <is>
          <t>Ziaja</t>
        </is>
      </c>
      <c r="E15720" t="n">
        <v>2.57</v>
      </c>
      <c r="F15720" t="n">
        <v>1</v>
      </c>
      <c r="G15720" t="n">
        <v>4</v>
      </c>
      <c r="H15720" s="5">
        <f>HYPERLINK("https://api.qogita.com/variants/link/5901887023470/", "View Product")</f>
        <v/>
      </c>
    </row>
    <row r="15721">
      <c r="A15721" t="inlineStr">
        <is>
          <t>5901887023531</t>
        </is>
      </c>
      <c r="B15721" t="inlineStr">
        <is>
          <t>Ziaja Intima Intimate Hygiene Liquid Olive Oil 500ml</t>
        </is>
      </c>
      <c r="C15721" t="inlineStr">
        <is>
          <t>Intimate Hygiene</t>
        </is>
      </c>
      <c r="D15721" t="inlineStr">
        <is>
          <t>Ziaja</t>
        </is>
      </c>
      <c r="E15721" t="n">
        <v>4.36</v>
      </c>
      <c r="F15721" t="n">
        <v>1</v>
      </c>
      <c r="G15721" t="n">
        <v>10</v>
      </c>
      <c r="H15721" s="5">
        <f>HYPERLINK("https://api.qogita.com/variants/link/5901887023531/", "View Product")</f>
        <v/>
      </c>
    </row>
    <row r="15722">
      <c r="A15722" t="inlineStr">
        <is>
          <t>5901887024477</t>
        </is>
      </c>
      <c r="B15722" t="inlineStr">
        <is>
          <t>Antioxidant Facial Cream with Vitamin C SPF 50+ 50ml</t>
        </is>
      </c>
      <c r="C15722" t="inlineStr">
        <is>
          <t>Day Cream</t>
        </is>
      </c>
      <c r="D15722" t="inlineStr">
        <is>
          <t>Ziaja</t>
        </is>
      </c>
      <c r="E15722" t="n">
        <v>6.2</v>
      </c>
      <c r="F15722" t="n">
        <v>1</v>
      </c>
      <c r="G15722" t="n">
        <v>22</v>
      </c>
      <c r="H15722" s="5">
        <f>HYPERLINK("https://api.qogita.com/variants/link/5901887024477/", "View Product")</f>
        <v/>
      </c>
    </row>
    <row r="15723">
      <c r="A15723" t="inlineStr">
        <is>
          <t>5901887025252</t>
        </is>
      </c>
      <c r="B15723" t="inlineStr">
        <is>
          <t>Ziaja Argan Oil Protective Body Lotion 400 Ml</t>
        </is>
      </c>
      <c r="C15723" t="inlineStr">
        <is>
          <t>Body Lotion</t>
        </is>
      </c>
      <c r="D15723" t="inlineStr">
        <is>
          <t>Ziaja</t>
        </is>
      </c>
      <c r="E15723" t="n">
        <v>5.4</v>
      </c>
      <c r="F15723" t="n">
        <v>1</v>
      </c>
      <c r="G15723" t="n">
        <v>4</v>
      </c>
      <c r="H15723" s="5">
        <f>HYPERLINK("https://api.qogita.com/variants/link/5901887025252/", "View Product")</f>
        <v/>
      </c>
    </row>
    <row r="15724">
      <c r="A15724" t="inlineStr">
        <is>
          <t>5901887025337</t>
        </is>
      </c>
      <c r="B15724" t="inlineStr">
        <is>
          <t>Ziaja Avocado Body Lotion 400 Ml</t>
        </is>
      </c>
      <c r="C15724" t="inlineStr">
        <is>
          <t>Body Lotion</t>
        </is>
      </c>
      <c r="D15724" t="inlineStr">
        <is>
          <t>Ziaja</t>
        </is>
      </c>
      <c r="E15724" t="n">
        <v>5.13</v>
      </c>
      <c r="F15724" t="n">
        <v>1</v>
      </c>
      <c r="G15724" t="n">
        <v>24</v>
      </c>
      <c r="H15724" s="5">
        <f>HYPERLINK("https://api.qogita.com/variants/link/5901887025337/", "View Product")</f>
        <v/>
      </c>
    </row>
    <row r="15725">
      <c r="A15725" t="inlineStr">
        <is>
          <t>5901887025634</t>
        </is>
      </c>
      <c r="B15725" t="inlineStr">
        <is>
          <t>Ziaja Cocoa Butter Body Balm For Normal And Dry Skin 300ml</t>
        </is>
      </c>
      <c r="C15725" t="inlineStr">
        <is>
          <t>Body Butter</t>
        </is>
      </c>
      <c r="D15725" t="inlineStr">
        <is>
          <t>Ziaja</t>
        </is>
      </c>
      <c r="E15725" t="n">
        <v>3.02</v>
      </c>
      <c r="F15725" t="n">
        <v>1</v>
      </c>
      <c r="G15725" t="n">
        <v>17</v>
      </c>
      <c r="H15725" s="5">
        <f>HYPERLINK("https://api.qogita.com/variants/link/5901887025634/", "View Product")</f>
        <v/>
      </c>
    </row>
    <row r="15726">
      <c r="A15726" t="inlineStr">
        <is>
          <t>5901887026075</t>
        </is>
      </c>
      <c r="B15726" t="inlineStr">
        <is>
          <t>Ziaja Baltic Home Spa Fit 3 In 1 Gel For Washing Face, Body, And Hair Mango 500ml</t>
        </is>
      </c>
      <c r="C15726" t="inlineStr">
        <is>
          <t>Shower Gel</t>
        </is>
      </c>
      <c r="D15726" t="inlineStr">
        <is>
          <t>Ziaja</t>
        </is>
      </c>
      <c r="E15726" t="n">
        <v>5.67</v>
      </c>
      <c r="F15726" t="n">
        <v>1</v>
      </c>
      <c r="G15726" t="n">
        <v>14</v>
      </c>
      <c r="H15726" s="5">
        <f>HYPERLINK("https://api.qogita.com/variants/link/5901887026075/", "View Product")</f>
        <v/>
      </c>
    </row>
    <row r="15727">
      <c r="A15727" t="inlineStr">
        <is>
          <t>5901887026808</t>
        </is>
      </c>
      <c r="B15727" t="inlineStr">
        <is>
          <t>Ziaja Jasmine Anti-Wrinkle Eye Cream 15ml</t>
        </is>
      </c>
      <c r="C15727" t="inlineStr">
        <is>
          <t>Eye Cream</t>
        </is>
      </c>
      <c r="D15727" t="inlineStr">
        <is>
          <t>Ziaja</t>
        </is>
      </c>
      <c r="E15727" t="n">
        <v>5.4</v>
      </c>
      <c r="F15727" t="n">
        <v>1</v>
      </c>
      <c r="G15727" t="n">
        <v>18</v>
      </c>
      <c r="H15727" s="5">
        <f>HYPERLINK("https://api.qogita.com/variants/link/5901887026808/", "View Product")</f>
        <v/>
      </c>
    </row>
    <row r="15728">
      <c r="A15728" t="inlineStr">
        <is>
          <t>5901887027171</t>
        </is>
      </c>
      <c r="B15728" t="inlineStr">
        <is>
          <t>Ziaja Dermatological Base with Zinc Oxide 80g</t>
        </is>
      </c>
      <c r="C15728" t="inlineStr">
        <is>
          <t>Neurodermatitis</t>
        </is>
      </c>
      <c r="D15728" t="inlineStr">
        <is>
          <t>Ziaja</t>
        </is>
      </c>
      <c r="E15728" t="n">
        <v>2.68</v>
      </c>
      <c r="F15728" t="n">
        <v>1</v>
      </c>
      <c r="G15728" t="n">
        <v>12</v>
      </c>
      <c r="H15728" s="5">
        <f>HYPERLINK("https://api.qogita.com/variants/link/5901887027171/", "View Product")</f>
        <v/>
      </c>
    </row>
    <row r="15729">
      <c r="A15729" t="inlineStr">
        <is>
          <t>5901887027546</t>
        </is>
      </c>
      <c r="B15729" t="inlineStr">
        <is>
          <t>Baby and Children's Body Lotion 300ml</t>
        </is>
      </c>
      <c r="C15729" t="inlineStr">
        <is>
          <t>Baby Cream &amp; Oil</t>
        </is>
      </c>
      <c r="D15729" t="inlineStr">
        <is>
          <t>Sébastien</t>
        </is>
      </c>
      <c r="E15729" t="n">
        <v>4.62</v>
      </c>
      <c r="F15729" t="n">
        <v>1</v>
      </c>
      <c r="G15729" t="n">
        <v>8</v>
      </c>
      <c r="H15729" s="5">
        <f>HYPERLINK("https://api.qogita.com/variants/link/5901887027546/", "View Product")</f>
        <v/>
      </c>
    </row>
    <row r="15730">
      <c r="A15730" t="inlineStr">
        <is>
          <t>5901887027928</t>
        </is>
      </c>
      <c r="B15730" t="inlineStr">
        <is>
          <t>Ziaja Mum Stretch Mark Cream 270ml</t>
        </is>
      </c>
      <c r="C15730" t="inlineStr">
        <is>
          <t>Pregnancy</t>
        </is>
      </c>
      <c r="D15730" t="inlineStr">
        <is>
          <t>Ziaja</t>
        </is>
      </c>
      <c r="E15730" t="n">
        <v>7.28</v>
      </c>
      <c r="F15730" t="n">
        <v>1</v>
      </c>
      <c r="G15730" t="n">
        <v>2</v>
      </c>
      <c r="H15730" s="5">
        <f>HYPERLINK("https://api.qogita.com/variants/link/5901887027928/", "View Product")</f>
        <v/>
      </c>
    </row>
    <row r="15731">
      <c r="A15731" t="inlineStr">
        <is>
          <t>5901887027935</t>
        </is>
      </c>
      <c r="B15731" t="inlineStr">
        <is>
          <t>Ziaja Mum Feminine Intimate Hygiene Wash for Pregnant Women 300ml</t>
        </is>
      </c>
      <c r="C15731" t="inlineStr">
        <is>
          <t>Intimate Hygiene</t>
        </is>
      </c>
      <c r="D15731" t="inlineStr">
        <is>
          <t>Ziaja</t>
        </is>
      </c>
      <c r="E15731" t="n">
        <v>4.08</v>
      </c>
      <c r="F15731" t="n">
        <v>1</v>
      </c>
      <c r="G15731" t="n">
        <v>7</v>
      </c>
      <c r="H15731" s="5">
        <f>HYPERLINK("https://api.qogita.com/variants/link/5901887027935/", "View Product")</f>
        <v/>
      </c>
    </row>
    <row r="15732">
      <c r="A15732" t="inlineStr">
        <is>
          <t>5901887029168</t>
        </is>
      </c>
      <c r="B15732" t="inlineStr">
        <is>
          <t>Ziaja Manuka Leaf Cleansing Acne Change Reducer High Concentration Of Active Substances 15ml</t>
        </is>
      </c>
      <c r="C15732" t="inlineStr">
        <is>
          <t>Cleansing Gel</t>
        </is>
      </c>
      <c r="D15732" t="inlineStr">
        <is>
          <t>Ziaja</t>
        </is>
      </c>
      <c r="E15732" t="n">
        <v>4.36</v>
      </c>
      <c r="F15732" t="n">
        <v>1</v>
      </c>
      <c r="G15732" t="n">
        <v>8</v>
      </c>
      <c r="H15732" s="5">
        <f>HYPERLINK("https://api.qogita.com/variants/link/5901887029168/", "View Product")</f>
        <v/>
      </c>
    </row>
    <row r="15733">
      <c r="A15733" t="inlineStr">
        <is>
          <t>5901887030355</t>
        </is>
      </c>
      <c r="B15733" t="inlineStr">
        <is>
          <t>Ziaja Sun Lotion for Children SPF 50+ 125ml</t>
        </is>
      </c>
      <c r="C15733" t="inlineStr">
        <is>
          <t>Sun Protection For Children</t>
        </is>
      </c>
      <c r="D15733" t="inlineStr">
        <is>
          <t>Ziaja</t>
        </is>
      </c>
      <c r="E15733" t="n">
        <v>8.609999999999999</v>
      </c>
      <c r="F15733" t="n">
        <v>1</v>
      </c>
      <c r="G15733" t="n">
        <v>4</v>
      </c>
      <c r="H15733" s="5">
        <f>HYPERLINK("https://api.qogita.com/variants/link/5901887030355/", "View Product")</f>
        <v/>
      </c>
    </row>
    <row r="15734">
      <c r="A15734" t="inlineStr">
        <is>
          <t>5901887033608</t>
        </is>
      </c>
      <c r="B15734" t="inlineStr">
        <is>
          <t>Ziaja Nourishing Body Milk With Cashmere For Dry Skin 400ml</t>
        </is>
      </c>
      <c r="C15734" t="inlineStr">
        <is>
          <t>Body Lotion</t>
        </is>
      </c>
      <c r="D15734" t="inlineStr">
        <is>
          <t>Ziaja</t>
        </is>
      </c>
      <c r="E15734" t="n">
        <v>3.13</v>
      </c>
      <c r="F15734" t="n">
        <v>1</v>
      </c>
      <c r="G15734" t="n">
        <v>44</v>
      </c>
      <c r="H15734" s="5">
        <f>HYPERLINK("https://api.qogita.com/variants/link/5901887033608/", "View Product")</f>
        <v/>
      </c>
    </row>
    <row r="15735">
      <c r="A15735" t="inlineStr">
        <is>
          <t>5901887035473</t>
        </is>
      </c>
      <c r="B15735" t="inlineStr">
        <is>
          <t>Ziaja Goat's Milk Concentrated Moisturizing Day Cream SPF 20 50ml</t>
        </is>
      </c>
      <c r="C15735" t="inlineStr">
        <is>
          <t>Day Cream</t>
        </is>
      </c>
      <c r="D15735" t="inlineStr">
        <is>
          <t>Ziaja</t>
        </is>
      </c>
      <c r="E15735" t="n">
        <v>4.85</v>
      </c>
      <c r="F15735" t="n">
        <v>1</v>
      </c>
      <c r="G15735" t="n">
        <v>2</v>
      </c>
      <c r="H15735" s="5">
        <f>HYPERLINK("https://api.qogita.com/variants/link/5901887035473/", "View Product")</f>
        <v/>
      </c>
    </row>
    <row r="15736">
      <c r="A15736" t="inlineStr">
        <is>
          <t>5901887036296</t>
        </is>
      </c>
      <c r="B15736" t="inlineStr">
        <is>
          <t>Nourishing Hand Cream for Atopic Skin (Hand Cream) 100 ml</t>
        </is>
      </c>
      <c r="C15736" t="inlineStr">
        <is>
          <t>Hand Cream</t>
        </is>
      </c>
      <c r="D15736" t="inlineStr">
        <is>
          <t>Ziaja</t>
        </is>
      </c>
      <c r="E15736" t="n">
        <v>5.93</v>
      </c>
      <c r="F15736" t="n">
        <v>1</v>
      </c>
      <c r="G15736" t="n">
        <v>7</v>
      </c>
      <c r="H15736" s="5">
        <f>HYPERLINK("https://api.qogita.com/variants/link/5901887036296/", "View Product")</f>
        <v/>
      </c>
    </row>
    <row r="15737">
      <c r="A15737" t="inlineStr">
        <is>
          <t>5901887037231</t>
        </is>
      </c>
      <c r="B15737" t="inlineStr">
        <is>
          <t>Moisturizing Sunscreen Spray SPF50 170ml</t>
        </is>
      </c>
      <c r="C15737" t="inlineStr">
        <is>
          <t>Body Sun Protection</t>
        </is>
      </c>
      <c r="D15737" t="inlineStr">
        <is>
          <t>Ziaja</t>
        </is>
      </c>
      <c r="E15737" t="n">
        <v>8.609999999999999</v>
      </c>
      <c r="F15737" t="n">
        <v>1</v>
      </c>
      <c r="G15737" t="n">
        <v>22</v>
      </c>
      <c r="H15737" s="5">
        <f>HYPERLINK("https://api.qogita.com/variants/link/5901887037231/", "View Product")</f>
        <v/>
      </c>
    </row>
    <row r="15738">
      <c r="A15738" t="inlineStr">
        <is>
          <t>5901887038344</t>
        </is>
      </c>
      <c r="B15738" t="inlineStr">
        <is>
          <t>Ziaja Cc Cream For Irritated And Sensitive Skin 50ml Spf 10</t>
        </is>
      </c>
      <c r="C15738" t="inlineStr">
        <is>
          <t>Tinted Day Cream</t>
        </is>
      </c>
      <c r="D15738" t="inlineStr">
        <is>
          <t>Ziaja</t>
        </is>
      </c>
      <c r="E15738" t="n">
        <v>5.4</v>
      </c>
      <c r="F15738" t="n">
        <v>1</v>
      </c>
      <c r="G15738" t="n">
        <v>5</v>
      </c>
      <c r="H15738" s="5">
        <f>HYPERLINK("https://api.qogita.com/variants/link/5901887038344/", "View Product")</f>
        <v/>
      </c>
    </row>
    <row r="15739">
      <c r="A15739" t="inlineStr">
        <is>
          <t>5901887038368</t>
        </is>
      </c>
      <c r="B15739" t="inlineStr">
        <is>
          <t>Ziaja Bb Cream For Normal Dry And Sensitive Skin Spf15 Natural 50ml</t>
        </is>
      </c>
      <c r="C15739" t="inlineStr">
        <is>
          <t>Tinted Day Cream</t>
        </is>
      </c>
      <c r="D15739" t="inlineStr">
        <is>
          <t>Ziaja</t>
        </is>
      </c>
      <c r="E15739" t="n">
        <v>5.4</v>
      </c>
      <c r="F15739" t="n">
        <v>1</v>
      </c>
      <c r="G15739" t="n">
        <v>5</v>
      </c>
      <c r="H15739" s="5">
        <f>HYPERLINK("https://api.qogita.com/variants/link/5901887038368/", "View Product")</f>
        <v/>
      </c>
    </row>
    <row r="15740">
      <c r="A15740" t="inlineStr">
        <is>
          <t>5901887038375</t>
        </is>
      </c>
      <c r="B15740" t="inlineStr">
        <is>
          <t>Ziaja Bb Cream For Oily And Mixed Skin Spf 15 Dark Peach Tone 50 Ml</t>
        </is>
      </c>
      <c r="C15740" t="inlineStr">
        <is>
          <t>Tinted Day Cream</t>
        </is>
      </c>
      <c r="D15740" t="inlineStr">
        <is>
          <t>Ziaja</t>
        </is>
      </c>
      <c r="E15740" t="n">
        <v>5.4</v>
      </c>
      <c r="F15740" t="n">
        <v>1</v>
      </c>
      <c r="G15740" t="n">
        <v>4</v>
      </c>
      <c r="H15740" s="5">
        <f>HYPERLINK("https://api.qogita.com/variants/link/5901887038375/", "View Product")</f>
        <v/>
      </c>
    </row>
    <row r="15741">
      <c r="A15741" t="inlineStr">
        <is>
          <t>5901887040262</t>
        </is>
      </c>
      <c r="B15741" t="inlineStr">
        <is>
          <t>Ziaja Cream Washing Oil For Children 300 Ml</t>
        </is>
      </c>
      <c r="C15741" t="inlineStr">
        <is>
          <t>Baby Cream &amp; Oil</t>
        </is>
      </c>
      <c r="D15741" t="inlineStr">
        <is>
          <t>Ziaja</t>
        </is>
      </c>
      <c r="E15741" t="n">
        <v>4.08</v>
      </c>
      <c r="F15741" t="n">
        <v>1</v>
      </c>
      <c r="G15741" t="n">
        <v>10</v>
      </c>
      <c r="H15741" s="5">
        <f>HYPERLINK("https://api.qogita.com/variants/link/5901887040262/", "View Product")</f>
        <v/>
      </c>
    </row>
    <row r="15742">
      <c r="A15742" t="inlineStr">
        <is>
          <t>5901887040279</t>
        </is>
      </c>
      <c r="B15742" t="inlineStr">
        <is>
          <t>Ziaja Baby Body &amp; Hair Shower Gel 400 Ml</t>
        </is>
      </c>
      <c r="C15742" t="inlineStr">
        <is>
          <t>Baby Shower Gel &amp; Soap</t>
        </is>
      </c>
      <c r="D15742" t="inlineStr">
        <is>
          <t>Ziaja</t>
        </is>
      </c>
      <c r="E15742" t="n">
        <v>4.08</v>
      </c>
      <c r="F15742" t="n">
        <v>1</v>
      </c>
      <c r="G15742" t="n">
        <v>14</v>
      </c>
      <c r="H15742" s="5">
        <f>HYPERLINK("https://api.qogita.com/variants/link/5901887040279/", "View Product")</f>
        <v/>
      </c>
    </row>
    <row r="15743">
      <c r="A15743" t="inlineStr">
        <is>
          <t>5901887040453</t>
        </is>
      </c>
      <c r="B15743" t="inlineStr">
        <is>
          <t>Protector Solar Spray SPF30 170ml</t>
        </is>
      </c>
      <c r="C15743" t="inlineStr">
        <is>
          <t>Body Sun Protection</t>
        </is>
      </c>
      <c r="D15743" t="inlineStr">
        <is>
          <t>Ziaja</t>
        </is>
      </c>
      <c r="E15743" t="n">
        <v>6.74</v>
      </c>
      <c r="F15743" t="n">
        <v>1</v>
      </c>
      <c r="G15743" t="n">
        <v>2</v>
      </c>
      <c r="H15743" s="5">
        <f>HYPERLINK("https://api.qogita.com/variants/link/5901887040453/", "View Product")</f>
        <v/>
      </c>
    </row>
    <row r="15744">
      <c r="A15744" t="inlineStr">
        <is>
          <t>5901887043874</t>
        </is>
      </c>
      <c r="B15744" t="inlineStr">
        <is>
          <t>Ziaja Med Flaxseed Treatment Moisturizing and Softening Face</t>
        </is>
      </c>
      <c r="C15744" t="inlineStr">
        <is>
          <t>Face Cream</t>
        </is>
      </c>
      <c r="D15744" t="inlineStr">
        <is>
          <t>Ziaja</t>
        </is>
      </c>
      <c r="E15744" t="n">
        <v>3.74</v>
      </c>
      <c r="F15744" t="n">
        <v>1</v>
      </c>
      <c r="G15744" t="n">
        <v>8</v>
      </c>
      <c r="H15744" s="5">
        <f>HYPERLINK("https://api.qogita.com/variants/link/5901887043874/", "View Product")</f>
        <v/>
      </c>
    </row>
    <row r="15745">
      <c r="A15745" t="inlineStr">
        <is>
          <t>5901887044819</t>
        </is>
      </c>
      <c r="B15745" t="inlineStr">
        <is>
          <t>Ziaja Hand and Nail Cream 50ml</t>
        </is>
      </c>
      <c r="C15745" t="inlineStr">
        <is>
          <t>Hand Cream</t>
        </is>
      </c>
      <c r="D15745" t="inlineStr">
        <is>
          <t>Ziaja</t>
        </is>
      </c>
      <c r="E15745" t="n">
        <v>4.08</v>
      </c>
      <c r="F15745" t="n">
        <v>1</v>
      </c>
      <c r="G15745" t="n">
        <v>3</v>
      </c>
      <c r="H15745" s="5">
        <f>HYPERLINK("https://api.qogita.com/variants/link/5901887044819/", "View Product")</f>
        <v/>
      </c>
    </row>
    <row r="15746">
      <c r="A15746" t="inlineStr">
        <is>
          <t>5901887046615</t>
        </is>
      </c>
      <c r="B15746" t="inlineStr">
        <is>
          <t>Ziaja Gdanskin Oil Body Scrub 300 Ml</t>
        </is>
      </c>
      <c r="C15746" t="inlineStr">
        <is>
          <t>Body Scrub &amp; Peeling</t>
        </is>
      </c>
      <c r="D15746" t="inlineStr">
        <is>
          <t>Ziaja</t>
        </is>
      </c>
      <c r="E15746" t="n">
        <v>7.01</v>
      </c>
      <c r="F15746" t="n">
        <v>1</v>
      </c>
      <c r="G15746" t="n">
        <v>19</v>
      </c>
      <c r="H15746" s="5">
        <f>HYPERLINK("https://api.qogita.com/variants/link/5901887046615/", "View Product")</f>
        <v/>
      </c>
    </row>
    <row r="15747">
      <c r="A15747" t="inlineStr">
        <is>
          <t>5901887047216</t>
        </is>
      </c>
      <c r="B15747" t="inlineStr">
        <is>
          <t>Ziaja Jeju Young Skin Moisturising Face Cream Mousse with SPF10 50ml</t>
        </is>
      </c>
      <c r="C15747" t="inlineStr">
        <is>
          <t>Day Cream</t>
        </is>
      </c>
      <c r="D15747" t="inlineStr">
        <is>
          <t>Ziaja</t>
        </is>
      </c>
      <c r="E15747" t="n">
        <v>5.4</v>
      </c>
      <c r="F15747" t="n">
        <v>1</v>
      </c>
      <c r="G15747" t="n">
        <v>5</v>
      </c>
      <c r="H15747" s="5">
        <f>HYPERLINK("https://api.qogita.com/variants/link/5901887047216/", "View Product")</f>
        <v/>
      </c>
    </row>
    <row r="15748">
      <c r="A15748" t="inlineStr">
        <is>
          <t>5901887048145</t>
        </is>
      </c>
      <c r="B15748" t="inlineStr">
        <is>
          <t>Cleansing Eye Cream with Cornflower 15 ml</t>
        </is>
      </c>
      <c r="C15748" t="inlineStr">
        <is>
          <t>Eye Cream</t>
        </is>
      </c>
      <c r="D15748" t="inlineStr">
        <is>
          <t>Ziaja</t>
        </is>
      </c>
      <c r="E15748" t="n">
        <v>4.36</v>
      </c>
      <c r="F15748" t="n">
        <v>1</v>
      </c>
      <c r="G15748" t="n">
        <v>2</v>
      </c>
      <c r="H15748" s="5">
        <f>HYPERLINK("https://api.qogita.com/variants/link/5901887048145/", "View Product")</f>
        <v/>
      </c>
    </row>
    <row r="15749">
      <c r="A15749" t="inlineStr">
        <is>
          <t>5901887049203</t>
        </is>
      </c>
      <c r="B15749" t="inlineStr">
        <is>
          <t>Ziaja Baltic Home SPA Fit Anti-Cellulite and Firming Massage Oil 490ml</t>
        </is>
      </c>
      <c r="C15749" t="inlineStr">
        <is>
          <t>Body Oil</t>
        </is>
      </c>
      <c r="D15749" t="inlineStr">
        <is>
          <t>Ziaja</t>
        </is>
      </c>
      <c r="E15749" t="n">
        <v>8.34</v>
      </c>
      <c r="F15749" t="n">
        <v>1</v>
      </c>
      <c r="G15749" t="n">
        <v>6</v>
      </c>
      <c r="H15749" s="5">
        <f>HYPERLINK("https://api.qogita.com/variants/link/5901887049203/", "View Product")</f>
        <v/>
      </c>
    </row>
    <row r="15750">
      <c r="A15750" t="inlineStr">
        <is>
          <t>5901887050285</t>
        </is>
      </c>
      <c r="B15750" t="inlineStr">
        <is>
          <t>Ziaja Fresh Mint Tea Shower Gel 500 Ml</t>
        </is>
      </c>
      <c r="C15750" t="inlineStr">
        <is>
          <t>Shower Gel</t>
        </is>
      </c>
      <c r="D15750" t="inlineStr">
        <is>
          <t>Ziaja</t>
        </is>
      </c>
      <c r="E15750" t="n">
        <v>4.36</v>
      </c>
      <c r="F15750" t="n">
        <v>1</v>
      </c>
      <c r="G15750" t="n">
        <v>11</v>
      </c>
      <c r="H15750" s="5">
        <f>HYPERLINK("https://api.qogita.com/variants/link/5901887050285/", "View Product")</f>
        <v/>
      </c>
    </row>
    <row r="15751">
      <c r="A15751" t="inlineStr">
        <is>
          <t>5901887051541</t>
        </is>
      </c>
      <c r="B15751" t="inlineStr">
        <is>
          <t>Cupuazu Gift Set</t>
        </is>
      </c>
      <c r="C15751" t="inlineStr">
        <is>
          <t>Home &amp; Lifestyle</t>
        </is>
      </c>
      <c r="D15751" t="inlineStr">
        <is>
          <t>Ziaja</t>
        </is>
      </c>
      <c r="E15751" t="n">
        <v>7.02</v>
      </c>
      <c r="F15751" t="n">
        <v>1</v>
      </c>
      <c r="G15751" t="n">
        <v>23</v>
      </c>
      <c r="H15751" s="5">
        <f>HYPERLINK("https://api.qogita.com/variants/link/5901887051541/", "View Product")</f>
        <v/>
      </c>
    </row>
    <row r="15752">
      <c r="A15752" t="inlineStr">
        <is>
          <t>5901887052685</t>
        </is>
      </c>
      <c r="B15752" t="inlineStr">
        <is>
          <t>Ziaja Olive Oil - 50 Ml</t>
        </is>
      </c>
      <c r="C15752" t="inlineStr">
        <is>
          <t>Body Oil</t>
        </is>
      </c>
      <c r="D15752" t="inlineStr">
        <is>
          <t>Ziaja</t>
        </is>
      </c>
      <c r="E15752" t="n">
        <v>4.84</v>
      </c>
      <c r="F15752" t="n">
        <v>1</v>
      </c>
      <c r="G15752" t="n">
        <v>124</v>
      </c>
      <c r="H15752" s="5">
        <f>HYPERLINK("https://api.qogita.com/variants/link/5901887052685/", "View Product")</f>
        <v/>
      </c>
    </row>
    <row r="15753">
      <c r="A15753" t="inlineStr">
        <is>
          <t>5901887052692</t>
        </is>
      </c>
      <c r="B15753" t="inlineStr">
        <is>
          <t>ZIAJA + BAG Set Cream Peeling Tonic Soap Cosmetic Bag Organizer Baltic Wellness Set</t>
        </is>
      </c>
      <c r="C15753" t="inlineStr">
        <is>
          <t>Travel Sets</t>
        </is>
      </c>
      <c r="D15753" t="inlineStr">
        <is>
          <t>Ziaja</t>
        </is>
      </c>
      <c r="E15753" t="n">
        <v>14.01</v>
      </c>
      <c r="F15753" t="n">
        <v>1</v>
      </c>
      <c r="G15753" t="n">
        <v>14</v>
      </c>
      <c r="H15753" s="5">
        <f>HYPERLINK("https://api.qogita.com/variants/link/5901887052692/", "View Product")</f>
        <v/>
      </c>
    </row>
    <row r="15754">
      <c r="A15754" t="inlineStr">
        <is>
          <t>5901887053156</t>
        </is>
      </c>
      <c r="B15754" t="inlineStr">
        <is>
          <t>Ziaja Baltic Home Spa Vitalization Gel 3 In 1 For Washing Face, Body, And Hair 500ml</t>
        </is>
      </c>
      <c r="C15754" t="inlineStr">
        <is>
          <t>Shower Gel</t>
        </is>
      </c>
      <c r="D15754" t="inlineStr">
        <is>
          <t>Ziaja</t>
        </is>
      </c>
      <c r="E15754" t="n">
        <v>2.76</v>
      </c>
      <c r="F15754" t="n">
        <v>1</v>
      </c>
      <c r="G15754" t="n">
        <v>16</v>
      </c>
      <c r="H15754" s="5">
        <f>HYPERLINK("https://api.qogita.com/variants/link/5901887053156/", "View Product")</f>
        <v/>
      </c>
    </row>
    <row r="15755">
      <c r="A15755" t="inlineStr">
        <is>
          <t>5901887053309</t>
        </is>
      </c>
      <c r="B15755" t="inlineStr">
        <is>
          <t>Hydrating Face and Body Mist GdanSkin 200 ml</t>
        </is>
      </c>
      <c r="C15755" t="inlineStr">
        <is>
          <t>Facial Spray</t>
        </is>
      </c>
      <c r="D15755" t="inlineStr">
        <is>
          <t>Ziaja</t>
        </is>
      </c>
      <c r="E15755" t="n">
        <v>4.32</v>
      </c>
      <c r="F15755" t="n">
        <v>1</v>
      </c>
      <c r="G15755" t="n">
        <v>15</v>
      </c>
      <c r="H15755" s="5">
        <f>HYPERLINK("https://api.qogita.com/variants/link/5901887053309/", "View Product")</f>
        <v/>
      </c>
    </row>
    <row r="15756">
      <c r="A15756" t="inlineStr">
        <is>
          <t>5901887053460</t>
        </is>
      </c>
      <c r="B15756" t="inlineStr">
        <is>
          <t>Ziaja Natural Care Hand Cream</t>
        </is>
      </c>
      <c r="C15756" t="inlineStr">
        <is>
          <t>Hand Cream</t>
        </is>
      </c>
      <c r="D15756" t="inlineStr">
        <is>
          <t>Ziaja</t>
        </is>
      </c>
      <c r="E15756" t="n">
        <v>4.08</v>
      </c>
      <c r="F15756" t="n">
        <v>1</v>
      </c>
      <c r="G15756" t="n">
        <v>9</v>
      </c>
      <c r="H15756" s="5">
        <f>HYPERLINK("https://api.qogita.com/variants/link/5901887053460/", "View Product")</f>
        <v/>
      </c>
    </row>
    <row r="15757">
      <c r="A15757" t="inlineStr">
        <is>
          <t>5901887053491</t>
        </is>
      </c>
      <c r="B15757" t="inlineStr">
        <is>
          <t>Ziaja Natural Care Face Gel 200ml</t>
        </is>
      </c>
      <c r="C15757" t="inlineStr">
        <is>
          <t>Cleansing Gel</t>
        </is>
      </c>
      <c r="D15757" t="inlineStr">
        <is>
          <t>Ziaja</t>
        </is>
      </c>
      <c r="E15757" t="n">
        <v>4.62</v>
      </c>
      <c r="F15757" t="n">
        <v>1</v>
      </c>
      <c r="G15757" t="n">
        <v>3</v>
      </c>
      <c r="H15757" s="5">
        <f>HYPERLINK("https://api.qogita.com/variants/link/5901887053491/", "View Product")</f>
        <v/>
      </c>
    </row>
    <row r="15758">
      <c r="A15758" t="inlineStr">
        <is>
          <t>5901887053569</t>
        </is>
      </c>
      <c r="B15758" t="inlineStr">
        <is>
          <t>Ziaja Natural Care Antiperspirant Rollon 60 Ml</t>
        </is>
      </c>
      <c r="C15758" t="inlineStr">
        <is>
          <t>Deodorant &amp; Anti-Perspirant</t>
        </is>
      </c>
      <c r="D15758" t="inlineStr">
        <is>
          <t>Ziaja</t>
        </is>
      </c>
      <c r="E15758" t="n">
        <v>4.08</v>
      </c>
      <c r="F15758" t="n">
        <v>1</v>
      </c>
      <c r="G15758" t="n">
        <v>8</v>
      </c>
      <c r="H15758" s="5">
        <f>HYPERLINK("https://api.qogita.com/variants/link/5901887053569/", "View Product")</f>
        <v/>
      </c>
    </row>
    <row r="15759">
      <c r="A15759" t="inlineStr">
        <is>
          <t>5901887053958</t>
        </is>
      </c>
      <c r="B15759" t="inlineStr">
        <is>
          <t>Ziaja Marshmallow Sugar Body Scrub 300 Ml</t>
        </is>
      </c>
      <c r="C15759" t="inlineStr">
        <is>
          <t>Body Scrub &amp; Peeling</t>
        </is>
      </c>
      <c r="D15759" t="inlineStr">
        <is>
          <t>Ziaja</t>
        </is>
      </c>
      <c r="E15759" t="n">
        <v>7.53</v>
      </c>
      <c r="F15759" t="n">
        <v>1</v>
      </c>
      <c r="G15759" t="n">
        <v>8</v>
      </c>
      <c r="H15759" s="5">
        <f>HYPERLINK("https://api.qogita.com/variants/link/5901887053958/", "View Product")</f>
        <v/>
      </c>
    </row>
    <row r="15760">
      <c r="A15760" t="inlineStr">
        <is>
          <t>5901887055570</t>
        </is>
      </c>
      <c r="B15760" t="inlineStr">
        <is>
          <t>Ziaja Daily Moisturizing Lip Gloss Juicy Watermelon 12ml</t>
        </is>
      </c>
      <c r="C15760" t="inlineStr">
        <is>
          <t>Lip Gloss</t>
        </is>
      </c>
      <c r="D15760" t="inlineStr">
        <is>
          <t>Ziaja</t>
        </is>
      </c>
      <c r="E15760" t="n">
        <v>4.62</v>
      </c>
      <c r="F15760" t="n">
        <v>1</v>
      </c>
      <c r="G15760" t="n">
        <v>8</v>
      </c>
      <c r="H15760" s="5">
        <f>HYPERLINK("https://api.qogita.com/variants/link/5901887055570/", "View Product")</f>
        <v/>
      </c>
    </row>
    <row r="15761">
      <c r="A15761" t="inlineStr">
        <is>
          <t>5901887055747</t>
        </is>
      </c>
      <c r="B15761" t="inlineStr">
        <is>
          <t>Ziaja Pineapple Anti-Perspirant 60ml</t>
        </is>
      </c>
      <c r="C15761" t="inlineStr">
        <is>
          <t>Deodorant &amp; Anti-Perspirant</t>
        </is>
      </c>
      <c r="D15761" t="inlineStr">
        <is>
          <t>Ziaja</t>
        </is>
      </c>
      <c r="E15761" t="n">
        <v>4.08</v>
      </c>
      <c r="F15761" t="n">
        <v>1</v>
      </c>
      <c r="G15761" t="n">
        <v>26</v>
      </c>
      <c r="H15761" s="5">
        <f>HYPERLINK("https://api.qogita.com/variants/link/5901887055747/", "View Product")</f>
        <v/>
      </c>
    </row>
    <row r="15762">
      <c r="A15762" t="inlineStr">
        <is>
          <t>5901964015145</t>
        </is>
      </c>
      <c r="B15762" t="inlineStr">
        <is>
          <t>Eveline Eyeliner Pencil In Black</t>
        </is>
      </c>
      <c r="C15762" t="inlineStr">
        <is>
          <t>Eyeliner</t>
        </is>
      </c>
      <c r="D15762" t="inlineStr">
        <is>
          <t>Eveline</t>
        </is>
      </c>
      <c r="E15762" t="n">
        <v>2.38</v>
      </c>
      <c r="F15762" t="n">
        <v>1</v>
      </c>
      <c r="G15762" t="n">
        <v>2</v>
      </c>
      <c r="H15762" s="5">
        <f>HYPERLINK("https://api.qogita.com/variants/link/5901964015145/", "View Product")</f>
        <v/>
      </c>
    </row>
    <row r="15763">
      <c r="A15763" t="inlineStr">
        <is>
          <t>5902983623793</t>
        </is>
      </c>
      <c r="B15763" t="inlineStr">
        <is>
          <t>Huslog Automatic Blood Pressure Monitor with Large Display and Memory Function</t>
        </is>
      </c>
      <c r="C15763" t="inlineStr">
        <is>
          <t>Biometric Monitors &amp; Accessories</t>
        </is>
      </c>
      <c r="D15763" t="inlineStr">
        <is>
          <t>HOMNIA</t>
        </is>
      </c>
      <c r="E15763" t="n">
        <v>20.58</v>
      </c>
      <c r="F15763" t="n">
        <v>1</v>
      </c>
      <c r="G15763" t="n">
        <v>5</v>
      </c>
      <c r="H15763" s="5">
        <f>HYPERLINK("https://api.qogita.com/variants/link/5902983623793/", "View Product")</f>
        <v/>
      </c>
    </row>
    <row r="15764">
      <c r="A15764" t="inlineStr">
        <is>
          <t>5903018900070</t>
        </is>
      </c>
      <c r="B15764" t="inlineStr">
        <is>
          <t>T4B MIMO Set of 10 Makeup Brushes</t>
        </is>
      </c>
      <c r="C15764" t="inlineStr">
        <is>
          <t>Brush Sets</t>
        </is>
      </c>
      <c r="D15764" t="inlineStr">
        <is>
          <t>Tb Tools For Beauty</t>
        </is>
      </c>
      <c r="E15764" t="n">
        <v>7.13</v>
      </c>
      <c r="F15764" t="n">
        <v>1</v>
      </c>
      <c r="G15764" t="n">
        <v>5</v>
      </c>
      <c r="H15764" s="5">
        <f>HYPERLINK("https://api.qogita.com/variants/link/5903018900070/", "View Product")</f>
        <v/>
      </c>
    </row>
    <row r="15765">
      <c r="A15765" t="inlineStr">
        <is>
          <t>5903018900124</t>
        </is>
      </c>
      <c r="B15765" t="inlineStr">
        <is>
          <t>T4B MIMO Drop-Shaped Makeup Sponge - Pink</t>
        </is>
      </c>
      <c r="C15765" t="inlineStr">
        <is>
          <t>Makeup Sponges</t>
        </is>
      </c>
      <c r="D15765" t="inlineStr">
        <is>
          <t>Tb Tools For Beauty</t>
        </is>
      </c>
      <c r="E15765" t="n">
        <v>0.85</v>
      </c>
      <c r="F15765" t="n">
        <v>1</v>
      </c>
      <c r="G15765" t="n">
        <v>7</v>
      </c>
      <c r="H15765" s="5">
        <f>HYPERLINK("https://api.qogita.com/variants/link/5903018900124/", "View Product")</f>
        <v/>
      </c>
    </row>
    <row r="15766">
      <c r="A15766" t="inlineStr">
        <is>
          <t>5903018900131</t>
        </is>
      </c>
      <c r="B15766" t="inlineStr">
        <is>
          <t>T4B MIMO Drop-Shaped Makeup Sponge - Light Pink</t>
        </is>
      </c>
      <c r="C15766" t="inlineStr">
        <is>
          <t>Makeup Sponges</t>
        </is>
      </c>
      <c r="D15766" t="inlineStr">
        <is>
          <t>Tb Tools For Beauty</t>
        </is>
      </c>
      <c r="E15766" t="n">
        <v>0.84</v>
      </c>
      <c r="F15766" t="n">
        <v>1</v>
      </c>
      <c r="G15766" t="n">
        <v>6</v>
      </c>
      <c r="H15766" s="5">
        <f>HYPERLINK("https://api.qogita.com/variants/link/5903018900131/", "View Product")</f>
        <v/>
      </c>
    </row>
    <row r="15767">
      <c r="A15767" t="inlineStr">
        <is>
          <t>5903018915975</t>
        </is>
      </c>
      <c r="B15767" t="inlineStr">
        <is>
          <t>Mimo Makeup Brush Set Pink 12 Pieces Brush Set</t>
        </is>
      </c>
      <c r="C15767" t="inlineStr">
        <is>
          <t>Brush Sets</t>
        </is>
      </c>
      <c r="D15767" t="inlineStr">
        <is>
          <t>‎Mimo</t>
        </is>
      </c>
      <c r="E15767" t="n">
        <v>4.03</v>
      </c>
      <c r="F15767" t="n">
        <v>1</v>
      </c>
      <c r="G15767" t="n">
        <v>8</v>
      </c>
      <c r="H15767" s="5">
        <f>HYPERLINK("https://api.qogita.com/variants/link/5903018915975/", "View Product")</f>
        <v/>
      </c>
    </row>
    <row r="15768">
      <c r="A15768" t="inlineStr">
        <is>
          <t>5903018919935</t>
        </is>
      </c>
      <c r="B15768" t="inlineStr">
        <is>
          <t>T4B MIMO Makeup Brush Set 18 Pieces</t>
        </is>
      </c>
      <c r="C15768" t="inlineStr">
        <is>
          <t>Brush Sets</t>
        </is>
      </c>
      <c r="D15768" t="inlineStr">
        <is>
          <t>Tb Tools For Beauty</t>
        </is>
      </c>
      <c r="E15768" t="n">
        <v>4.93</v>
      </c>
      <c r="F15768" t="n">
        <v>1</v>
      </c>
      <c r="G15768" t="n">
        <v>5</v>
      </c>
      <c r="H15768" s="5">
        <f>HYPERLINK("https://api.qogita.com/variants/link/5903018919935/", "View Product")</f>
        <v/>
      </c>
    </row>
    <row r="15769">
      <c r="A15769" t="inlineStr">
        <is>
          <t>5903018919973</t>
        </is>
      </c>
      <c r="B15769" t="inlineStr">
        <is>
          <t>T4B MIMO 12 Piece Makeup Brush Set with Case - Turquoise</t>
        </is>
      </c>
      <c r="C15769" t="inlineStr">
        <is>
          <t>Brush Sets</t>
        </is>
      </c>
      <c r="D15769" t="inlineStr">
        <is>
          <t>Tb Tools For Beauty</t>
        </is>
      </c>
      <c r="E15769" t="n">
        <v>5.85</v>
      </c>
      <c r="F15769" t="n">
        <v>1</v>
      </c>
      <c r="G15769" t="n">
        <v>5</v>
      </c>
      <c r="H15769" s="5">
        <f>HYPERLINK("https://api.qogita.com/variants/link/5903018919973/", "View Product")</f>
        <v/>
      </c>
    </row>
    <row r="15770">
      <c r="A15770" t="inlineStr">
        <is>
          <t>5903018919980</t>
        </is>
      </c>
      <c r="B15770" t="inlineStr">
        <is>
          <t>Mimo Makeup Brush Set Black 7 Pieces</t>
        </is>
      </c>
      <c r="C15770" t="inlineStr">
        <is>
          <t>Brush Sets</t>
        </is>
      </c>
      <c r="D15770" t="inlineStr">
        <is>
          <t>‎Mimo</t>
        </is>
      </c>
      <c r="E15770" t="n">
        <v>4.17</v>
      </c>
      <c r="F15770" t="n">
        <v>1</v>
      </c>
      <c r="G15770" t="n">
        <v>33</v>
      </c>
      <c r="H15770" s="5">
        <f>HYPERLINK("https://api.qogita.com/variants/link/5903018919980/", "View Product")</f>
        <v/>
      </c>
    </row>
    <row r="15771">
      <c r="A15771" t="inlineStr">
        <is>
          <t>5903416015475</t>
        </is>
      </c>
      <c r="B15771" t="inlineStr">
        <is>
          <t>Eveline Cooling Compress Hydrogel Eye Pads - 2 Pieces</t>
        </is>
      </c>
      <c r="C15771" t="inlineStr">
        <is>
          <t>Eye Masks &amp; Eye Pads</t>
        </is>
      </c>
      <c r="D15771" t="inlineStr">
        <is>
          <t>Eveline</t>
        </is>
      </c>
      <c r="E15771" t="n">
        <v>2.54</v>
      </c>
      <c r="F15771" t="n">
        <v>1</v>
      </c>
      <c r="G15771" t="n">
        <v>3</v>
      </c>
      <c r="H15771" s="5">
        <f>HYPERLINK("https://api.qogita.com/variants/link/5903416015475/", "View Product")</f>
        <v/>
      </c>
    </row>
    <row r="15772">
      <c r="A15772" t="inlineStr">
        <is>
          <t>5903416017455</t>
        </is>
      </c>
      <c r="B15772" t="inlineStr">
        <is>
          <t>Eveline Micro Precise Eyebrow Pencil 03 Dark Brown - Perfect For Defining And Shaping Eyebrows</t>
        </is>
      </c>
      <c r="C15772" t="inlineStr">
        <is>
          <t>Eyebrow Pencil</t>
        </is>
      </c>
      <c r="D15772" t="inlineStr">
        <is>
          <t>Eveline</t>
        </is>
      </c>
      <c r="E15772" t="n">
        <v>3.85</v>
      </c>
      <c r="F15772" t="n">
        <v>1</v>
      </c>
      <c r="G15772" t="n">
        <v>2</v>
      </c>
      <c r="H15772" s="5">
        <f>HYPERLINK("https://api.qogita.com/variants/link/5903416017455/", "View Product")</f>
        <v/>
      </c>
    </row>
    <row r="15773">
      <c r="A15773" t="inlineStr">
        <is>
          <t>5903416017462</t>
        </is>
      </c>
      <c r="B15773" t="inlineStr">
        <is>
          <t>Eveline Cosmetics Brow&amp;Go! Strong Brow Gel for Fixing and Nurturing Eyebrows 6ml Transparent</t>
        </is>
      </c>
      <c r="C15773" t="inlineStr">
        <is>
          <t>Eyebrow Gel</t>
        </is>
      </c>
      <c r="D15773" t="inlineStr">
        <is>
          <t>Eveline Cosmetics</t>
        </is>
      </c>
      <c r="E15773" t="n">
        <v>3.48</v>
      </c>
      <c r="F15773" t="n">
        <v>1</v>
      </c>
      <c r="G15773" t="n">
        <v>3</v>
      </c>
      <c r="H15773" s="5">
        <f>HYPERLINK("https://api.qogita.com/variants/link/5903416017462/", "View Product")</f>
        <v/>
      </c>
    </row>
    <row r="15774">
      <c r="A15774" t="inlineStr">
        <is>
          <t>5903714206230</t>
        </is>
      </c>
      <c r="B15774" t="inlineStr">
        <is>
          <t>Berani Femme Shampoo For All Hair Types For Women 300ml</t>
        </is>
      </c>
      <c r="C15774" t="inlineStr">
        <is>
          <t>Shampoo</t>
        </is>
      </c>
      <c r="D15774" t="inlineStr">
        <is>
          <t>Berani</t>
        </is>
      </c>
      <c r="E15774" t="n">
        <v>25.83</v>
      </c>
      <c r="F15774" t="n">
        <v>1</v>
      </c>
      <c r="G15774" t="n">
        <v>3</v>
      </c>
      <c r="H15774" s="5">
        <f>HYPERLINK("https://api.qogita.com/variants/link/5903714206230/", "View Product")</f>
        <v/>
      </c>
    </row>
    <row r="15775">
      <c r="A15775" t="inlineStr">
        <is>
          <t>5903714206247</t>
        </is>
      </c>
      <c r="B15775" t="inlineStr">
        <is>
          <t>Berani Femme Shampoo Color Care For Colored Hair For Women 300ml</t>
        </is>
      </c>
      <c r="C15775" t="inlineStr">
        <is>
          <t>Shampoo</t>
        </is>
      </c>
      <c r="D15775" t="inlineStr">
        <is>
          <t>Berani</t>
        </is>
      </c>
      <c r="E15775" t="n">
        <v>27.25</v>
      </c>
      <c r="F15775" t="n">
        <v>1</v>
      </c>
      <c r="G15775" t="n">
        <v>3</v>
      </c>
      <c r="H15775" s="5">
        <f>HYPERLINK("https://api.qogita.com/variants/link/5903714206247/", "View Product")</f>
        <v/>
      </c>
    </row>
    <row r="15776">
      <c r="A15776" t="inlineStr">
        <is>
          <t>5903714206261</t>
        </is>
      </c>
      <c r="B15776" t="inlineStr">
        <is>
          <t>Berani Femme Conditioner Color Care For Colored Hair</t>
        </is>
      </c>
      <c r="C15776" t="inlineStr">
        <is>
          <t>Conditioner</t>
        </is>
      </c>
      <c r="D15776" t="inlineStr">
        <is>
          <t>Berani</t>
        </is>
      </c>
      <c r="E15776" t="n">
        <v>33.71</v>
      </c>
      <c r="F15776" t="n">
        <v>1</v>
      </c>
      <c r="G15776" t="n">
        <v>3</v>
      </c>
      <c r="H15776" s="5">
        <f>HYPERLINK("https://api.qogita.com/variants/link/5903714206261/", "View Product")</f>
        <v/>
      </c>
    </row>
    <row r="15777">
      <c r="A15777" t="inlineStr">
        <is>
          <t>5903714206285</t>
        </is>
      </c>
      <c r="B15777" t="inlineStr">
        <is>
          <t>Berani Femme Shower Gel Sport 300 ml</t>
        </is>
      </c>
      <c r="C15777" t="inlineStr">
        <is>
          <t>Shower Gel</t>
        </is>
      </c>
      <c r="D15777" t="inlineStr">
        <is>
          <t>Berani Femme</t>
        </is>
      </c>
      <c r="E15777" t="n">
        <v>25.1</v>
      </c>
      <c r="F15777" t="n">
        <v>1</v>
      </c>
      <c r="G15777" t="n">
        <v>2</v>
      </c>
      <c r="H15777" s="5">
        <f>HYPERLINK("https://api.qogita.com/variants/link/5903714206285/", "View Product")</f>
        <v/>
      </c>
    </row>
    <row r="15778">
      <c r="A15778" t="inlineStr">
        <is>
          <t>5905669547000</t>
        </is>
      </c>
      <c r="B15778" t="inlineStr">
        <is>
          <t>Nanolash Eyelash Conditioner Serum Accelerating Eyelash Growth 3ml</t>
        </is>
      </c>
      <c r="C15778" t="inlineStr">
        <is>
          <t>Hands &amp; Feet</t>
        </is>
      </c>
      <c r="D15778" t="inlineStr">
        <is>
          <t>Nanolash</t>
        </is>
      </c>
      <c r="E15778" t="n">
        <v>40.19</v>
      </c>
      <c r="F15778" t="n">
        <v>1</v>
      </c>
      <c r="G15778" t="n">
        <v>17</v>
      </c>
      <c r="H15778" s="5">
        <f>HYPERLINK("https://api.qogita.com/variants/link/5905669547000/", "View Product")</f>
        <v/>
      </c>
    </row>
    <row r="15779">
      <c r="A15779" t="inlineStr">
        <is>
          <t>5905669547079</t>
        </is>
      </c>
      <c r="B15779" t="inlineStr">
        <is>
          <t>Nanoil Argan Hair Mask - 300ml</t>
        </is>
      </c>
      <c r="C15779" t="inlineStr">
        <is>
          <t>Hair Masks</t>
        </is>
      </c>
      <c r="D15779" t="inlineStr">
        <is>
          <t>Nanoil</t>
        </is>
      </c>
      <c r="E15779" t="n">
        <v>10.36</v>
      </c>
      <c r="F15779" t="n">
        <v>1</v>
      </c>
      <c r="G15779" t="n">
        <v>7</v>
      </c>
      <c r="H15779" s="5">
        <f>HYPERLINK("https://api.qogita.com/variants/link/5905669547079/", "View Product")</f>
        <v/>
      </c>
    </row>
    <row r="15780">
      <c r="A15780" t="inlineStr">
        <is>
          <t>5905669547123</t>
        </is>
      </c>
      <c r="B15780" t="inlineStr">
        <is>
          <t>Nanoil Argan Oil Hair And Body Care Oil 50ml</t>
        </is>
      </c>
      <c r="C15780" t="inlineStr">
        <is>
          <t>Body Oil</t>
        </is>
      </c>
      <c r="D15780" t="inlineStr">
        <is>
          <t>Nanoil</t>
        </is>
      </c>
      <c r="E15780" t="n">
        <v>10.29</v>
      </c>
      <c r="F15780" t="n">
        <v>1</v>
      </c>
      <c r="G15780" t="n">
        <v>7</v>
      </c>
      <c r="H15780" s="5">
        <f>HYPERLINK("https://api.qogita.com/variants/link/5905669547123/", "View Product")</f>
        <v/>
      </c>
    </row>
    <row r="15781">
      <c r="A15781" t="inlineStr">
        <is>
          <t>5905669547161</t>
        </is>
      </c>
      <c r="B15781" t="inlineStr">
        <is>
          <t>Nanoil Nanolash Macadamia Oil For All Hair Types 50ml</t>
        </is>
      </c>
      <c r="C15781" t="inlineStr">
        <is>
          <t>Hair Oil &amp; Hair Serum</t>
        </is>
      </c>
      <c r="D15781" t="inlineStr">
        <is>
          <t>Nanoil</t>
        </is>
      </c>
      <c r="E15781" t="n">
        <v>10.37</v>
      </c>
      <c r="F15781" t="n">
        <v>1</v>
      </c>
      <c r="G15781" t="n">
        <v>3</v>
      </c>
      <c r="H15781" s="5">
        <f>HYPERLINK("https://api.qogita.com/variants/link/5905669547161/", "View Product")</f>
        <v/>
      </c>
    </row>
    <row r="15782">
      <c r="A15782" t="inlineStr">
        <is>
          <t>5905669547178</t>
        </is>
      </c>
      <c r="B15782" t="inlineStr">
        <is>
          <t>Nanoil Sweet Almond Oil - 50ml For Hair And Body Care</t>
        </is>
      </c>
      <c r="C15782" t="inlineStr">
        <is>
          <t>Body Oil</t>
        </is>
      </c>
      <c r="D15782" t="inlineStr">
        <is>
          <t>Nanoil</t>
        </is>
      </c>
      <c r="E15782" t="n">
        <v>10.29</v>
      </c>
      <c r="F15782" t="n">
        <v>1</v>
      </c>
      <c r="G15782" t="n">
        <v>3</v>
      </c>
      <c r="H15782" s="5">
        <f>HYPERLINK("https://api.qogita.com/variants/link/5905669547178/", "View Product")</f>
        <v/>
      </c>
    </row>
    <row r="15783">
      <c r="A15783" t="inlineStr">
        <is>
          <t>5905669547185</t>
        </is>
      </c>
      <c r="B15783" t="inlineStr">
        <is>
          <t>Nanobrow Eyebrow Serum Regenerating Eyebrow Conditioner 5ml</t>
        </is>
      </c>
      <c r="C15783" t="inlineStr">
        <is>
          <t>Other</t>
        </is>
      </c>
      <c r="D15783" t="inlineStr">
        <is>
          <t>Nanobrow</t>
        </is>
      </c>
      <c r="E15783" t="n">
        <v>39.18</v>
      </c>
      <c r="F15783" t="n">
        <v>1</v>
      </c>
      <c r="G15783" t="n">
        <v>76</v>
      </c>
      <c r="H15783" s="5">
        <f>HYPERLINK("https://api.qogita.com/variants/link/5905669547185/", "View Product")</f>
        <v/>
      </c>
    </row>
    <row r="15784">
      <c r="A15784" t="inlineStr">
        <is>
          <t>5905669547222</t>
        </is>
      </c>
      <c r="B15784" t="inlineStr">
        <is>
          <t>Nanoil Keratin Hair Conditioner - 125ml</t>
        </is>
      </c>
      <c r="C15784" t="inlineStr">
        <is>
          <t>Conditioner</t>
        </is>
      </c>
      <c r="D15784" t="inlineStr">
        <is>
          <t>Nanoil</t>
        </is>
      </c>
      <c r="E15784" t="n">
        <v>10.29</v>
      </c>
      <c r="F15784" t="n">
        <v>1</v>
      </c>
      <c r="G15784" t="n">
        <v>4</v>
      </c>
      <c r="H15784" s="5">
        <f>HYPERLINK("https://api.qogita.com/variants/link/5905669547222/", "View Product")</f>
        <v/>
      </c>
    </row>
    <row r="15785">
      <c r="A15785" t="inlineStr">
        <is>
          <t>5905669547475</t>
        </is>
      </c>
      <c r="B15785" t="inlineStr">
        <is>
          <t>Nanobrow Eyebrow Pencil - Perfectly Highlighted and Filled-In</t>
        </is>
      </c>
      <c r="C15785" t="inlineStr">
        <is>
          <t>Eyebrow Pencil</t>
        </is>
      </c>
      <c r="D15785" t="inlineStr">
        <is>
          <t>Nanobrow</t>
        </is>
      </c>
      <c r="E15785" t="n">
        <v>37.65</v>
      </c>
      <c r="F15785" t="n">
        <v>1</v>
      </c>
      <c r="G15785" t="n">
        <v>3</v>
      </c>
      <c r="H15785" s="5">
        <f>HYPERLINK("https://api.qogita.com/variants/link/5905669547475/", "View Product")</f>
        <v/>
      </c>
    </row>
    <row r="15786">
      <c r="A15786" t="inlineStr">
        <is>
          <t>5905669547512</t>
        </is>
      </c>
      <c r="B15786" t="inlineStr">
        <is>
          <t>Nanobrow Nanobrow Microblading Pen Espresso 1ml</t>
        </is>
      </c>
      <c r="C15786" t="inlineStr">
        <is>
          <t>Other</t>
        </is>
      </c>
      <c r="D15786" t="inlineStr">
        <is>
          <t>Nanobrow</t>
        </is>
      </c>
      <c r="E15786" t="n">
        <v>73.64</v>
      </c>
      <c r="F15786" t="n">
        <v>1</v>
      </c>
      <c r="G15786" t="n">
        <v>2</v>
      </c>
      <c r="H15786" s="5">
        <f>HYPERLINK("https://api.qogita.com/variants/link/5905669547512/", "View Product")</f>
        <v/>
      </c>
    </row>
    <row r="15787">
      <c r="A15787" t="inlineStr">
        <is>
          <t>5907609399045</t>
        </is>
      </c>
      <c r="B15787" t="inlineStr">
        <is>
          <t>Eveline Magical Colour Correction Cc Cream Spf 15 Multifunctional Foundation 53 Beige 30ml</t>
        </is>
      </c>
      <c r="C15787" t="inlineStr">
        <is>
          <t>Bb Cream &amp; Cc Cream</t>
        </is>
      </c>
      <c r="D15787" t="inlineStr">
        <is>
          <t>Eveline</t>
        </is>
      </c>
      <c r="E15787" t="n">
        <v>4.06</v>
      </c>
      <c r="F15787" t="n">
        <v>1</v>
      </c>
      <c r="G15787" t="n">
        <v>5</v>
      </c>
      <c r="H15787" s="5">
        <f>HYPERLINK("https://api.qogita.com/variants/link/5907609399045/", "View Product")</f>
        <v/>
      </c>
    </row>
    <row r="15788">
      <c r="A15788" t="inlineStr">
        <is>
          <t>5998889502003</t>
        </is>
      </c>
      <c r="B15788" t="inlineStr">
        <is>
          <t>Kallos Kjmn Guma Fiber Gum Cream 100ml</t>
        </is>
      </c>
      <c r="C15788" t="inlineStr">
        <is>
          <t>Styling Creams</t>
        </is>
      </c>
      <c r="D15788" t="inlineStr">
        <is>
          <t>Kallos</t>
        </is>
      </c>
      <c r="E15788" t="n">
        <v>5.76</v>
      </c>
      <c r="F15788" t="n">
        <v>1</v>
      </c>
      <c r="G15788" t="n">
        <v>6</v>
      </c>
      <c r="H15788" s="5">
        <f>HYPERLINK("https://api.qogita.com/variants/link/5998889502003/", "View Product")</f>
        <v/>
      </c>
    </row>
    <row r="15789">
      <c r="A15789" t="inlineStr">
        <is>
          <t>5998889502102</t>
        </is>
      </c>
      <c r="B15789" t="inlineStr">
        <is>
          <t>Kallos Cosmetics KJMN Volumizing Shampoo</t>
        </is>
      </c>
      <c r="C15789" t="inlineStr">
        <is>
          <t>Shampoo</t>
        </is>
      </c>
      <c r="D15789" t="inlineStr">
        <is>
          <t>Kallos</t>
        </is>
      </c>
      <c r="E15789" t="n">
        <v>3.92</v>
      </c>
      <c r="F15789" t="n">
        <v>1</v>
      </c>
      <c r="G15789" t="n">
        <v>7</v>
      </c>
      <c r="H15789" s="5">
        <f>HYPERLINK("https://api.qogita.com/variants/link/5998889502102/", "View Product")</f>
        <v/>
      </c>
    </row>
    <row r="15790">
      <c r="A15790" t="inlineStr">
        <is>
          <t>5998889502140</t>
        </is>
      </c>
      <c r="B15790" t="inlineStr">
        <is>
          <t>Kallos Kjmn Pearl Styler Hair Gel 100ml</t>
        </is>
      </c>
      <c r="C15790" t="inlineStr">
        <is>
          <t>Gel</t>
        </is>
      </c>
      <c r="D15790" t="inlineStr">
        <is>
          <t>Kallos</t>
        </is>
      </c>
      <c r="E15790" t="n">
        <v>5.22</v>
      </c>
      <c r="F15790" t="n">
        <v>1</v>
      </c>
      <c r="G15790" t="n">
        <v>6</v>
      </c>
      <c r="H15790" s="5">
        <f>HYPERLINK("https://api.qogita.com/variants/link/5998889502140/", "View Product")</f>
        <v/>
      </c>
    </row>
    <row r="15791">
      <c r="A15791" t="inlineStr">
        <is>
          <t>5998889503529</t>
        </is>
      </c>
      <c r="B15791" t="inlineStr">
        <is>
          <t>Kallos Kjmn Moisturizing Shower Gel Mandarin 1000ml</t>
        </is>
      </c>
      <c r="C15791" t="inlineStr">
        <is>
          <t>Shower Gel</t>
        </is>
      </c>
      <c r="D15791" t="inlineStr">
        <is>
          <t>Kallos</t>
        </is>
      </c>
      <c r="E15791" t="n">
        <v>3.36</v>
      </c>
      <c r="F15791" t="n">
        <v>1</v>
      </c>
      <c r="G15791" t="n">
        <v>5</v>
      </c>
      <c r="H15791" s="5">
        <f>HYPERLINK("https://api.qogita.com/variants/link/5998889503529/", "View Product")</f>
        <v/>
      </c>
    </row>
    <row r="15792">
      <c r="A15792" t="inlineStr">
        <is>
          <t>5998889503697</t>
        </is>
      </c>
      <c r="B15792" t="inlineStr">
        <is>
          <t>Kallos Kjmn Fortifying Anti-Dandruff Shampoo - 1000ml</t>
        </is>
      </c>
      <c r="C15792" t="inlineStr">
        <is>
          <t>Shampoo</t>
        </is>
      </c>
      <c r="D15792" t="inlineStr">
        <is>
          <t>Kallos</t>
        </is>
      </c>
      <c r="E15792" t="n">
        <v>5.71</v>
      </c>
      <c r="F15792" t="n">
        <v>1</v>
      </c>
      <c r="G15792" t="n">
        <v>8</v>
      </c>
      <c r="H15792" s="5">
        <f>HYPERLINK("https://api.qogita.com/variants/link/5998889503697/", "View Product")</f>
        <v/>
      </c>
    </row>
    <row r="15793">
      <c r="A15793" t="inlineStr">
        <is>
          <t>5998889504625</t>
        </is>
      </c>
      <c r="B15793" t="inlineStr">
        <is>
          <t>Kallos Kjmn Nourishing Shower Gel Argan 1000ml</t>
        </is>
      </c>
      <c r="C15793" t="inlineStr">
        <is>
          <t>Shower Gel</t>
        </is>
      </c>
      <c r="D15793" t="inlineStr">
        <is>
          <t>Kallos</t>
        </is>
      </c>
      <c r="E15793" t="n">
        <v>3.37</v>
      </c>
      <c r="F15793" t="n">
        <v>1</v>
      </c>
      <c r="G15793" t="n">
        <v>12</v>
      </c>
      <c r="H15793" s="5">
        <f>HYPERLINK("https://api.qogita.com/variants/link/5998889504625/", "View Product")</f>
        <v/>
      </c>
    </row>
    <row r="15794">
      <c r="A15794" t="inlineStr">
        <is>
          <t>5998889504663</t>
        </is>
      </c>
      <c r="B15794" t="inlineStr">
        <is>
          <t>Kallos KJMN Hydrogen Peroxide Emulsion 6,9,12% - 100ml or 150ml</t>
        </is>
      </c>
      <c r="C15794" t="inlineStr">
        <is>
          <t>Antiseptics &amp; Cleaning Supplies</t>
        </is>
      </c>
      <c r="D15794" t="inlineStr">
        <is>
          <t>Kallos</t>
        </is>
      </c>
      <c r="E15794" t="n">
        <v>1.01</v>
      </c>
      <c r="F15794" t="n">
        <v>1</v>
      </c>
      <c r="G15794" t="n">
        <v>10</v>
      </c>
      <c r="H15794" s="5">
        <f>HYPERLINK("https://api.qogita.com/variants/link/5998889504663/", "View Product")</f>
        <v/>
      </c>
    </row>
    <row r="15795">
      <c r="A15795" t="inlineStr">
        <is>
          <t>5998889505820</t>
        </is>
      </c>
      <c r="B15795" t="inlineStr">
        <is>
          <t>Kallos Jasmine Nourishing Hair Shampoo - 1000ml For Dry And Damaged Hair</t>
        </is>
      </c>
      <c r="C15795" t="inlineStr">
        <is>
          <t>Shampoo</t>
        </is>
      </c>
      <c r="D15795" t="inlineStr">
        <is>
          <t>Kallos</t>
        </is>
      </c>
      <c r="E15795" t="n">
        <v>2.63</v>
      </c>
      <c r="F15795" t="n">
        <v>1</v>
      </c>
      <c r="G15795" t="n">
        <v>9</v>
      </c>
      <c r="H15795" s="5">
        <f>HYPERLINK("https://api.qogita.com/variants/link/5998889505820/", "View Product")</f>
        <v/>
      </c>
    </row>
    <row r="15796">
      <c r="A15796" t="inlineStr">
        <is>
          <t>5998889507411</t>
        </is>
      </c>
      <c r="B15796" t="inlineStr">
        <is>
          <t>Kallos Gogo Repair Shampoo Strengthening Shampoo 200ml</t>
        </is>
      </c>
      <c r="C15796" t="inlineStr">
        <is>
          <t>Shampoo</t>
        </is>
      </c>
      <c r="D15796" t="inlineStr">
        <is>
          <t>Kallos</t>
        </is>
      </c>
      <c r="E15796" t="n">
        <v>1.18</v>
      </c>
      <c r="F15796" t="n">
        <v>1</v>
      </c>
      <c r="G15796" t="n">
        <v>4</v>
      </c>
      <c r="H15796" s="5">
        <f>HYPERLINK("https://api.qogita.com/variants/link/5998889507411/", "View Product")</f>
        <v/>
      </c>
    </row>
    <row r="15797">
      <c r="A15797" t="inlineStr">
        <is>
          <t>5998889507459</t>
        </is>
      </c>
      <c r="B15797" t="inlineStr">
        <is>
          <t>Kallos Gogo Repair Hair Conditioner For Dry Hair 200 Ml</t>
        </is>
      </c>
      <c r="C15797" t="inlineStr">
        <is>
          <t>Conditioner</t>
        </is>
      </c>
      <c r="D15797" t="inlineStr">
        <is>
          <t>Kallos</t>
        </is>
      </c>
      <c r="E15797" t="n">
        <v>1.2</v>
      </c>
      <c r="F15797" t="n">
        <v>1</v>
      </c>
      <c r="G15797" t="n">
        <v>32</v>
      </c>
      <c r="H15797" s="5">
        <f>HYPERLINK("https://api.qogita.com/variants/link/5998889507459/", "View Product")</f>
        <v/>
      </c>
    </row>
    <row r="15798">
      <c r="A15798" t="inlineStr">
        <is>
          <t>5998889507930</t>
        </is>
      </c>
      <c r="B15798" t="inlineStr">
        <is>
          <t>Kallos Kjmn Deep Cleansing Shampoo 500ml For Oily Hair</t>
        </is>
      </c>
      <c r="C15798" t="inlineStr">
        <is>
          <t>Shampoo</t>
        </is>
      </c>
      <c r="D15798" t="inlineStr">
        <is>
          <t>Kallos</t>
        </is>
      </c>
      <c r="E15798" t="n">
        <v>2.96</v>
      </c>
      <c r="F15798" t="n">
        <v>1</v>
      </c>
      <c r="G15798" t="n">
        <v>4</v>
      </c>
      <c r="H15798" s="5">
        <f>HYPERLINK("https://api.qogita.com/variants/link/5998889507930/", "View Product")</f>
        <v/>
      </c>
    </row>
    <row r="15799">
      <c r="A15799" t="inlineStr">
        <is>
          <t>5998889507954</t>
        </is>
      </c>
      <c r="B15799" t="inlineStr">
        <is>
          <t>Kallos Kjmn Volumizing Spray - 200ml</t>
        </is>
      </c>
      <c r="C15799" t="inlineStr">
        <is>
          <t>Hairspray</t>
        </is>
      </c>
      <c r="D15799" t="inlineStr">
        <is>
          <t>Kallos</t>
        </is>
      </c>
      <c r="E15799" t="n">
        <v>3.03</v>
      </c>
      <c r="F15799" t="n">
        <v>1</v>
      </c>
      <c r="G15799" t="n">
        <v>11</v>
      </c>
      <c r="H15799" s="5">
        <f>HYPERLINK("https://api.qogita.com/variants/link/5998889507954/", "View Product")</f>
        <v/>
      </c>
    </row>
    <row r="15800">
      <c r="A15800" t="inlineStr">
        <is>
          <t>5998889508432</t>
        </is>
      </c>
      <c r="B15800" t="inlineStr">
        <is>
          <t>Kallos Kjmn Keratin Shampoo For Dry And Brittle Hair 1000ml</t>
        </is>
      </c>
      <c r="C15800" t="inlineStr">
        <is>
          <t>Shampoo</t>
        </is>
      </c>
      <c r="D15800" t="inlineStr">
        <is>
          <t>Kallos</t>
        </is>
      </c>
      <c r="E15800" t="n">
        <v>2.98</v>
      </c>
      <c r="F15800" t="n">
        <v>1</v>
      </c>
      <c r="G15800" t="n">
        <v>95</v>
      </c>
      <c r="H15800" s="5">
        <f>HYPERLINK("https://api.qogita.com/variants/link/5998889508432/", "View Product")</f>
        <v/>
      </c>
    </row>
    <row r="15801">
      <c r="A15801" t="inlineStr">
        <is>
          <t>5998889510626</t>
        </is>
      </c>
      <c r="B15801" t="inlineStr">
        <is>
          <t>Kallos Protecting Serum For Breaking Hair Ends 50ml</t>
        </is>
      </c>
      <c r="C15801" t="inlineStr">
        <is>
          <t>Hair Oil &amp; Hair Serum</t>
        </is>
      </c>
      <c r="D15801" t="inlineStr">
        <is>
          <t>Kallos</t>
        </is>
      </c>
      <c r="E15801" t="n">
        <v>3.18</v>
      </c>
      <c r="F15801" t="n">
        <v>1</v>
      </c>
      <c r="G15801" t="n">
        <v>6</v>
      </c>
      <c r="H15801" s="5">
        <f>HYPERLINK("https://api.qogita.com/variants/link/5998889510626/", "View Product")</f>
        <v/>
      </c>
    </row>
    <row r="15802">
      <c r="A15802" t="inlineStr">
        <is>
          <t>5998889510664</t>
        </is>
      </c>
      <c r="B15802" t="inlineStr">
        <is>
          <t>Lab 35 Restorative Milk Strengthening Milk For Dry And Damaged Hair 300ml</t>
        </is>
      </c>
      <c r="C15802" t="inlineStr">
        <is>
          <t>Conditioner</t>
        </is>
      </c>
      <c r="D15802" t="inlineStr">
        <is>
          <t>Lab 35</t>
        </is>
      </c>
      <c r="E15802" t="n">
        <v>3.57</v>
      </c>
      <c r="F15802" t="n">
        <v>1</v>
      </c>
      <c r="G15802" t="n">
        <v>5</v>
      </c>
      <c r="H15802" s="5">
        <f>HYPERLINK("https://api.qogita.com/variants/link/5998889510664/", "View Product")</f>
        <v/>
      </c>
    </row>
    <row r="15803">
      <c r="A15803" t="inlineStr">
        <is>
          <t>5998889511012</t>
        </is>
      </c>
      <c r="B15803" t="inlineStr">
        <is>
          <t>Kallos Chocolate Full Repair Hair Conditioner - 1000ml For Dry And Brittle Hair</t>
        </is>
      </c>
      <c r="C15803" t="inlineStr">
        <is>
          <t>Conditioner</t>
        </is>
      </c>
      <c r="D15803" t="inlineStr">
        <is>
          <t>Kallos</t>
        </is>
      </c>
      <c r="E15803" t="n">
        <v>3.41</v>
      </c>
      <c r="F15803" t="n">
        <v>1</v>
      </c>
      <c r="G15803" t="n">
        <v>2</v>
      </c>
      <c r="H15803" s="5">
        <f>HYPERLINK("https://api.qogita.com/variants/link/5998889511012/", "View Product")</f>
        <v/>
      </c>
    </row>
    <row r="15804">
      <c r="A15804" t="inlineStr">
        <is>
          <t>5998889511098</t>
        </is>
      </c>
      <c r="B15804" t="inlineStr">
        <is>
          <t>Kallos Algae Moisturizing Mask With Algae Extract And Olive Oil - 1000ml</t>
        </is>
      </c>
      <c r="C15804" t="inlineStr">
        <is>
          <t>Hydrating Mask</t>
        </is>
      </c>
      <c r="D15804" t="inlineStr">
        <is>
          <t>Kallos</t>
        </is>
      </c>
      <c r="E15804" t="n">
        <v>2.87</v>
      </c>
      <c r="F15804" t="n">
        <v>1</v>
      </c>
      <c r="G15804" t="n">
        <v>2</v>
      </c>
      <c r="H15804" s="5">
        <f>HYPERLINK("https://api.qogita.com/variants/link/5998889511098/", "View Product")</f>
        <v/>
      </c>
    </row>
    <row r="15805">
      <c r="A15805" t="inlineStr">
        <is>
          <t>5998889511104</t>
        </is>
      </c>
      <c r="B15805" t="inlineStr">
        <is>
          <t>Kallos Banana Fortifying Hair Mask With Multivitamin Complex - 1000ml</t>
        </is>
      </c>
      <c r="C15805" t="inlineStr">
        <is>
          <t>Hair Masks</t>
        </is>
      </c>
      <c r="D15805" t="inlineStr">
        <is>
          <t>Kallos</t>
        </is>
      </c>
      <c r="E15805" t="n">
        <v>3.23</v>
      </c>
      <c r="F15805" t="n">
        <v>1</v>
      </c>
      <c r="G15805" t="n">
        <v>26</v>
      </c>
      <c r="H15805" s="5">
        <f>HYPERLINK("https://api.qogita.com/variants/link/5998889511104/", "View Product")</f>
        <v/>
      </c>
    </row>
    <row r="15806">
      <c r="A15806" t="inlineStr">
        <is>
          <t>5998889511319</t>
        </is>
      </c>
      <c r="B15806" t="inlineStr">
        <is>
          <t>Kallos Algae Moisturizing Shampoo With Algae Extract And Olive Oil - 1000ml</t>
        </is>
      </c>
      <c r="C15806" t="inlineStr">
        <is>
          <t>Shampoo</t>
        </is>
      </c>
      <c r="D15806" t="inlineStr">
        <is>
          <t>Kallos</t>
        </is>
      </c>
      <c r="E15806" t="n">
        <v>2.99</v>
      </c>
      <c r="F15806" t="n">
        <v>1</v>
      </c>
      <c r="G15806" t="n">
        <v>10</v>
      </c>
      <c r="H15806" s="5">
        <f>HYPERLINK("https://api.qogita.com/variants/link/5998889511319/", "View Product")</f>
        <v/>
      </c>
    </row>
    <row r="15807">
      <c r="A15807" t="inlineStr">
        <is>
          <t>5998889511562</t>
        </is>
      </c>
      <c r="B15807" t="inlineStr">
        <is>
          <t>Kallos Kjmn Revitalizing Shampoo With Berry Extract, 1000ml</t>
        </is>
      </c>
      <c r="C15807" t="inlineStr">
        <is>
          <t>Shampoo</t>
        </is>
      </c>
      <c r="D15807" t="inlineStr">
        <is>
          <t>Kallos</t>
        </is>
      </c>
      <c r="E15807" t="n">
        <v>2.54</v>
      </c>
      <c r="F15807" t="n">
        <v>1</v>
      </c>
      <c r="G15807" t="n">
        <v>7</v>
      </c>
      <c r="H15807" s="5">
        <f>HYPERLINK("https://api.qogita.com/variants/link/5998889511562/", "View Product")</f>
        <v/>
      </c>
    </row>
    <row r="15808">
      <c r="A15808" t="inlineStr">
        <is>
          <t>5998889511579</t>
        </is>
      </c>
      <c r="B15808" t="inlineStr">
        <is>
          <t>Kallos Cherry Shampoo 1 Liter Conditioning Shampoo With Cherry Seed Oil</t>
        </is>
      </c>
      <c r="C15808" t="inlineStr">
        <is>
          <t>Shampoo</t>
        </is>
      </c>
      <c r="D15808" t="inlineStr">
        <is>
          <t>Kallos</t>
        </is>
      </c>
      <c r="E15808" t="n">
        <v>2.54</v>
      </c>
      <c r="F15808" t="n">
        <v>1</v>
      </c>
      <c r="G15808" t="n">
        <v>9</v>
      </c>
      <c r="H15808" s="5">
        <f>HYPERLINK("https://api.qogita.com/variants/link/5998889511579/", "View Product")</f>
        <v/>
      </c>
    </row>
    <row r="15809">
      <c r="A15809" t="inlineStr">
        <is>
          <t>5998889511876</t>
        </is>
      </c>
      <c r="B15809" t="inlineStr">
        <is>
          <t>Lab 35 Sulfate-Free Shampoo For Normal And Sensitive Hair 500ml</t>
        </is>
      </c>
      <c r="C15809" t="inlineStr">
        <is>
          <t>Shampoo</t>
        </is>
      </c>
      <c r="D15809" t="inlineStr">
        <is>
          <t>Lab 35</t>
        </is>
      </c>
      <c r="E15809" t="n">
        <v>6.22</v>
      </c>
      <c r="F15809" t="n">
        <v>1</v>
      </c>
      <c r="G15809" t="n">
        <v>3</v>
      </c>
      <c r="H15809" s="5">
        <f>HYPERLINK("https://api.qogita.com/variants/link/5998889511876/", "View Product")</f>
        <v/>
      </c>
    </row>
    <row r="15810">
      <c r="A15810" t="inlineStr">
        <is>
          <t>5998889512323</t>
        </is>
      </c>
      <c r="B15810" t="inlineStr">
        <is>
          <t>Kjmn Multivitamin Energising Hair Mask With Ginseng Extract And Avocado Oil, 275ml</t>
        </is>
      </c>
      <c r="C15810" t="inlineStr">
        <is>
          <t>Hair Masks</t>
        </is>
      </c>
      <c r="D15810" t="inlineStr">
        <is>
          <t>Kérastase</t>
        </is>
      </c>
      <c r="E15810" t="n">
        <v>1.54</v>
      </c>
      <c r="F15810" t="n">
        <v>1</v>
      </c>
      <c r="G15810" t="n">
        <v>4</v>
      </c>
      <c r="H15810" s="5">
        <f>HYPERLINK("https://api.qogita.com/variants/link/5998889512323/", "View Product")</f>
        <v/>
      </c>
    </row>
    <row r="15811">
      <c r="A15811" t="inlineStr">
        <is>
          <t>5998889514105</t>
        </is>
      </c>
      <c r="B15811" t="inlineStr">
        <is>
          <t>Kallos Biotin Beautifying Shampoo For Weak And Dull Hair 1000ml</t>
        </is>
      </c>
      <c r="C15811" t="inlineStr">
        <is>
          <t>Shampoo</t>
        </is>
      </c>
      <c r="D15811" t="inlineStr">
        <is>
          <t>Kallos</t>
        </is>
      </c>
      <c r="E15811" t="n">
        <v>2.89</v>
      </c>
      <c r="F15811" t="n">
        <v>1</v>
      </c>
      <c r="G15811" t="n">
        <v>36</v>
      </c>
      <c r="H15811" s="5">
        <f>HYPERLINK("https://api.qogita.com/variants/link/5998889514105/", "View Product")</f>
        <v/>
      </c>
    </row>
    <row r="15812">
      <c r="A15812" t="inlineStr">
        <is>
          <t>5998889514419</t>
        </is>
      </c>
      <c r="B15812" t="inlineStr">
        <is>
          <t>Kallos BOTANIQ Deep Sea Shampoo 300ml</t>
        </is>
      </c>
      <c r="C15812" t="inlineStr">
        <is>
          <t>Shampoo</t>
        </is>
      </c>
      <c r="D15812" t="inlineStr">
        <is>
          <t>Kallos</t>
        </is>
      </c>
      <c r="E15812" t="n">
        <v>3.71</v>
      </c>
      <c r="F15812" t="n">
        <v>1</v>
      </c>
      <c r="G15812" t="n">
        <v>11</v>
      </c>
      <c r="H15812" s="5">
        <f>HYPERLINK("https://api.qogita.com/variants/link/5998889514419/", "View Product")</f>
        <v/>
      </c>
    </row>
    <row r="15813">
      <c r="A15813" t="inlineStr">
        <is>
          <t>5998889515485</t>
        </is>
      </c>
      <c r="B15813" t="inlineStr">
        <is>
          <t>Botaniq Superfruits Conditioner Strengthening Hair Treatment 300ml</t>
        </is>
      </c>
      <c r="C15813" t="inlineStr">
        <is>
          <t>Conditioner</t>
        </is>
      </c>
      <c r="D15813" t="inlineStr">
        <is>
          <t>Botaniq</t>
        </is>
      </c>
      <c r="E15813" t="n">
        <v>3.46</v>
      </c>
      <c r="F15813" t="n">
        <v>1</v>
      </c>
      <c r="G15813" t="n">
        <v>5</v>
      </c>
      <c r="H15813" s="5">
        <f>HYPERLINK("https://api.qogita.com/variants/link/5998889515485/", "View Product")</f>
        <v/>
      </c>
    </row>
    <row r="15814">
      <c r="A15814" t="inlineStr">
        <is>
          <t>5998889515591</t>
        </is>
      </c>
      <c r="B15814" t="inlineStr">
        <is>
          <t>Kallos Cosmetics for Women</t>
        </is>
      </c>
      <c r="C15814" t="inlineStr">
        <is>
          <t>Hair Care Sets</t>
        </is>
      </c>
      <c r="D15814" t="inlineStr">
        <is>
          <t>Kallos</t>
        </is>
      </c>
      <c r="E15814" t="n">
        <v>3.09</v>
      </c>
      <c r="F15814" t="n">
        <v>1</v>
      </c>
      <c r="G15814" t="n">
        <v>10</v>
      </c>
      <c r="H15814" s="5">
        <f>HYPERLINK("https://api.qogita.com/variants/link/5998889515591/", "View Product")</f>
        <v/>
      </c>
    </row>
    <row r="15815">
      <c r="A15815" t="inlineStr">
        <is>
          <t>5998889515843</t>
        </is>
      </c>
      <c r="B15815" t="inlineStr">
        <is>
          <t>Kallos Lab 35 Curl Mania Shampoo For Curly And Wavy Hair 300ml</t>
        </is>
      </c>
      <c r="C15815" t="inlineStr">
        <is>
          <t>Shampoo</t>
        </is>
      </c>
      <c r="D15815" t="inlineStr">
        <is>
          <t>Kallos</t>
        </is>
      </c>
      <c r="E15815" t="n">
        <v>3.23</v>
      </c>
      <c r="F15815" t="n">
        <v>1</v>
      </c>
      <c r="G15815" t="n">
        <v>7</v>
      </c>
      <c r="H15815" s="5">
        <f>HYPERLINK("https://api.qogita.com/variants/link/5998889515843/", "View Product")</f>
        <v/>
      </c>
    </row>
    <row r="15816">
      <c r="A15816" t="inlineStr">
        <is>
          <t>5998889515867</t>
        </is>
      </c>
      <c r="B15816" t="inlineStr">
        <is>
          <t>Kallos Lab 35 Curl Mania Protective Styling Spray - 150ml</t>
        </is>
      </c>
      <c r="C15816" t="inlineStr">
        <is>
          <t>Styling Sprays</t>
        </is>
      </c>
      <c r="D15816" t="inlineStr">
        <is>
          <t>Kallos</t>
        </is>
      </c>
      <c r="E15816" t="n">
        <v>4.05</v>
      </c>
      <c r="F15816" t="n">
        <v>1</v>
      </c>
      <c r="G15816" t="n">
        <v>6</v>
      </c>
      <c r="H15816" s="5">
        <f>HYPERLINK("https://api.qogita.com/variants/link/5998889515867/", "View Product")</f>
        <v/>
      </c>
    </row>
    <row r="15817">
      <c r="A15817" t="inlineStr">
        <is>
          <t>5998889516567</t>
        </is>
      </c>
      <c r="B15817" t="inlineStr">
        <is>
          <t>Kallos Bleaching Powder Super 9 - 500ml</t>
        </is>
      </c>
      <c r="C15817" t="inlineStr">
        <is>
          <t>Bleaching</t>
        </is>
      </c>
      <c r="D15817" t="inlineStr">
        <is>
          <t>Kallos</t>
        </is>
      </c>
      <c r="E15817" t="n">
        <v>8.98</v>
      </c>
      <c r="F15817" t="n">
        <v>1</v>
      </c>
      <c r="G15817" t="n">
        <v>2</v>
      </c>
      <c r="H15817" s="5">
        <f>HYPERLINK("https://api.qogita.com/variants/link/5998889516567/", "View Product")</f>
        <v/>
      </c>
    </row>
    <row r="15818">
      <c r="A15818" t="inlineStr">
        <is>
          <t>5998889516901</t>
        </is>
      </c>
      <c r="B15818" t="inlineStr">
        <is>
          <t>Kallos Vegan Soul Hair Mask with Plant Proteins 1000ml</t>
        </is>
      </c>
      <c r="C15818" t="inlineStr">
        <is>
          <t>Hair Masks</t>
        </is>
      </c>
      <c r="D15818" t="inlineStr">
        <is>
          <t>Kallos</t>
        </is>
      </c>
      <c r="E15818" t="n">
        <v>3.45</v>
      </c>
      <c r="F15818" t="n">
        <v>1</v>
      </c>
      <c r="G15818" t="n">
        <v>6</v>
      </c>
      <c r="H15818" s="5">
        <f>HYPERLINK("https://api.qogita.com/variants/link/5998889516901/", "View Product")</f>
        <v/>
      </c>
    </row>
    <row r="15819">
      <c r="A15819" t="inlineStr">
        <is>
          <t>5998889518202</t>
        </is>
      </c>
      <c r="B15819" t="inlineStr">
        <is>
          <t>KALLOS PLEX BOND BUILDER Hair Shampoo with Plant Protein and Peptides 1000ml</t>
        </is>
      </c>
      <c r="C15819" t="inlineStr">
        <is>
          <t>Shampoo</t>
        </is>
      </c>
      <c r="D15819" t="inlineStr">
        <is>
          <t>Kallos</t>
        </is>
      </c>
      <c r="E15819" t="n">
        <v>3.21</v>
      </c>
      <c r="F15819" t="n">
        <v>1</v>
      </c>
      <c r="G15819" t="n">
        <v>10</v>
      </c>
      <c r="H15819" s="5">
        <f>HYPERLINK("https://api.qogita.com/variants/link/5998889518202/", "View Product")</f>
        <v/>
      </c>
    </row>
    <row r="15820">
      <c r="A15820" t="inlineStr">
        <is>
          <t>5999109542274</t>
        </is>
      </c>
      <c r="B15820" t="inlineStr">
        <is>
          <t>Air Wick Magnolia &amp; Cherry Refill</t>
        </is>
      </c>
      <c r="C15820" t="inlineStr">
        <is>
          <t>Diffusers</t>
        </is>
      </c>
      <c r="D15820" t="inlineStr">
        <is>
          <t>Air Wick</t>
        </is>
      </c>
      <c r="E15820" t="n">
        <v>3.64</v>
      </c>
      <c r="F15820" t="n">
        <v>1</v>
      </c>
      <c r="G15820" t="n">
        <v>16</v>
      </c>
      <c r="H15820" s="5">
        <f>HYPERLINK("https://api.qogita.com/variants/link/5999109542274/", "View Product")</f>
        <v/>
      </c>
    </row>
    <row r="15821">
      <c r="A15821" t="inlineStr">
        <is>
          <t>5999556687870</t>
        </is>
      </c>
      <c r="B15821" t="inlineStr">
        <is>
          <t>Omorovicza Omorovicza Thermal Cleansing Balm 50ml</t>
        </is>
      </c>
      <c r="C15821" t="inlineStr">
        <is>
          <t>Cleansing Cream</t>
        </is>
      </c>
      <c r="D15821" t="inlineStr">
        <is>
          <t>Omorovicza</t>
        </is>
      </c>
      <c r="E15821" t="n">
        <v>65.90000000000001</v>
      </c>
      <c r="F15821" t="n">
        <v>1</v>
      </c>
      <c r="G15821" t="n">
        <v>3</v>
      </c>
      <c r="H15821" s="5">
        <f>HYPERLINK("https://api.qogita.com/variants/link/5999556687870/", "View Product")</f>
        <v/>
      </c>
    </row>
    <row r="15822">
      <c r="A15822" t="inlineStr">
        <is>
          <t>5999556689928</t>
        </is>
      </c>
      <c r="B15822" t="inlineStr">
        <is>
          <t>Omorovicza Queen Serum 30 ml</t>
        </is>
      </c>
      <c r="C15822" t="inlineStr">
        <is>
          <t>Anti-Aging Serum</t>
        </is>
      </c>
      <c r="D15822" t="inlineStr">
        <is>
          <t>Omorovicza</t>
        </is>
      </c>
      <c r="E15822" t="n">
        <v>115.12</v>
      </c>
      <c r="F15822" t="n">
        <v>1</v>
      </c>
      <c r="G15822" t="n">
        <v>3</v>
      </c>
      <c r="H15822" s="5">
        <f>HYPERLINK("https://api.qogita.com/variants/link/5999556689928/", "View Product")</f>
        <v/>
      </c>
    </row>
    <row r="15823">
      <c r="A15823" t="inlineStr">
        <is>
          <t>6001051004966</t>
        </is>
      </c>
      <c r="B15823" t="inlineStr">
        <is>
          <t>Nivea Sun Protect Moisture 270ml</t>
        </is>
      </c>
      <c r="C15823" t="inlineStr">
        <is>
          <t>Body Sun Protection</t>
        </is>
      </c>
      <c r="D15823" t="inlineStr">
        <is>
          <t>Nivea</t>
        </is>
      </c>
      <c r="E15823" t="n">
        <v>16.89</v>
      </c>
      <c r="F15823" t="n">
        <v>1</v>
      </c>
      <c r="G15823" t="n">
        <v>25</v>
      </c>
      <c r="H15823" s="5">
        <f>HYPERLINK("https://api.qogita.com/variants/link/6001051004966/", "View Product")</f>
        <v/>
      </c>
    </row>
    <row r="15824">
      <c r="A15824" t="inlineStr">
        <is>
          <t>6001159128922</t>
        </is>
      </c>
      <c r="B15824" t="inlineStr">
        <is>
          <t>Moisturizing Gel for Dry Skin Volume 200 ml</t>
        </is>
      </c>
      <c r="C15824" t="inlineStr">
        <is>
          <t>Face Cream</t>
        </is>
      </c>
      <c r="D15824" t="inlineStr">
        <is>
          <t>Bi-Oil</t>
        </is>
      </c>
      <c r="E15824" t="n">
        <v>16.37</v>
      </c>
      <c r="F15824" t="n">
        <v>1</v>
      </c>
      <c r="G15824" t="n">
        <v>5</v>
      </c>
      <c r="H15824" s="5">
        <f>HYPERLINK("https://api.qogita.com/variants/link/6001159128922/", "View Product")</f>
        <v/>
      </c>
    </row>
    <row r="15825">
      <c r="A15825" t="inlineStr">
        <is>
          <t>6084000005030</t>
        </is>
      </c>
      <c r="B15825" t="inlineStr">
        <is>
          <t>Opulent Shaik Gold Edition Amethyst for Men M Parfum 100 ml BH</t>
        </is>
      </c>
      <c r="C15825" t="inlineStr">
        <is>
          <t>Eau De Parfum</t>
        </is>
      </c>
      <c r="D15825" t="inlineStr">
        <is>
          <t>Shaik</t>
        </is>
      </c>
      <c r="E15825" t="n">
        <v>297.65</v>
      </c>
      <c r="F15825" t="n">
        <v>1</v>
      </c>
      <c r="G15825" t="n">
        <v>10</v>
      </c>
      <c r="H15825" s="5">
        <f>HYPERLINK("https://api.qogita.com/variants/link/6084000005030/", "View Product")</f>
        <v/>
      </c>
    </row>
    <row r="15826">
      <c r="A15826" t="inlineStr">
        <is>
          <t>6084000005047</t>
        </is>
      </c>
      <c r="B15826" t="inlineStr">
        <is>
          <t>Opulent Shaik Gold Edition Amethyst for Women W Parfum 40 ml BH - Shaik</t>
        </is>
      </c>
      <c r="C15826" t="inlineStr">
        <is>
          <t>Eau De Parfum</t>
        </is>
      </c>
      <c r="D15826" t="inlineStr">
        <is>
          <t>Shaik</t>
        </is>
      </c>
      <c r="E15826" t="n">
        <v>267.58</v>
      </c>
      <c r="F15826" t="n">
        <v>1</v>
      </c>
      <c r="G15826" t="n">
        <v>3</v>
      </c>
      <c r="H15826" s="5">
        <f>HYPERLINK("https://api.qogita.com/variants/link/6084000005047/", "View Product")</f>
        <v/>
      </c>
    </row>
    <row r="15827">
      <c r="A15827" t="inlineStr">
        <is>
          <t>6085010041742</t>
        </is>
      </c>
      <c r="B15827" t="inlineStr">
        <is>
          <t>Armaf Niche Black Onyx Eau De Parfum 90ml</t>
        </is>
      </c>
      <c r="C15827" t="inlineStr">
        <is>
          <t>Eau De Parfum</t>
        </is>
      </c>
      <c r="D15827" t="inlineStr">
        <is>
          <t>Armaf</t>
        </is>
      </c>
      <c r="E15827" t="n">
        <v>17.94</v>
      </c>
      <c r="F15827" t="n">
        <v>1</v>
      </c>
      <c r="G15827" t="n">
        <v>13</v>
      </c>
      <c r="H15827" s="5">
        <f>HYPERLINK("https://api.qogita.com/variants/link/6085010041742/", "View Product")</f>
        <v/>
      </c>
    </row>
    <row r="15828">
      <c r="A15828" t="inlineStr">
        <is>
          <t>6085010041810</t>
        </is>
      </c>
      <c r="B15828" t="inlineStr">
        <is>
          <t>Armaf Niche Parfums Purple Amethyst 3 Oz</t>
        </is>
      </c>
      <c r="C15828" t="inlineStr">
        <is>
          <t>Eau De Parfum</t>
        </is>
      </c>
      <c r="D15828" t="inlineStr">
        <is>
          <t>Armaf</t>
        </is>
      </c>
      <c r="E15828" t="n">
        <v>19.5</v>
      </c>
      <c r="F15828" t="n">
        <v>1</v>
      </c>
      <c r="G15828" t="n">
        <v>8</v>
      </c>
      <c r="H15828" s="5">
        <f>HYPERLINK("https://api.qogita.com/variants/link/6085010041810/", "View Product")</f>
        <v/>
      </c>
    </row>
    <row r="15829">
      <c r="A15829" t="inlineStr">
        <is>
          <t>6085010044712</t>
        </is>
      </c>
      <c r="B15829" t="inlineStr">
        <is>
          <t>Armaf Club De Nuit Intense Man Eau De Toilette 105 Ml Spray</t>
        </is>
      </c>
      <c r="C15829" t="inlineStr">
        <is>
          <t>Eau De Toilette</t>
        </is>
      </c>
      <c r="D15829" t="inlineStr">
        <is>
          <t>Armaf</t>
        </is>
      </c>
      <c r="E15829" t="n">
        <v>21.35</v>
      </c>
      <c r="F15829" t="n">
        <v>1</v>
      </c>
      <c r="G15829" t="n">
        <v>315</v>
      </c>
      <c r="H15829" s="5">
        <f>HYPERLINK("https://api.qogita.com/variants/link/6085010044712/", "View Product")</f>
        <v/>
      </c>
    </row>
    <row r="15830">
      <c r="A15830" t="inlineStr">
        <is>
          <t>6085010090030</t>
        </is>
      </c>
      <c r="B15830" t="inlineStr">
        <is>
          <t>Tag Him Cologne 100ml</t>
        </is>
      </c>
      <c r="C15830" t="inlineStr">
        <is>
          <t>Eau De Cologne</t>
        </is>
      </c>
      <c r="D15830" t="inlineStr">
        <is>
          <t>Armaf</t>
        </is>
      </c>
      <c r="E15830" t="n">
        <v>14.01</v>
      </c>
      <c r="F15830" t="n">
        <v>1</v>
      </c>
      <c r="G15830" t="n">
        <v>42</v>
      </c>
      <c r="H15830" s="5">
        <f>HYPERLINK("https://api.qogita.com/variants/link/6085010090030/", "View Product")</f>
        <v/>
      </c>
    </row>
    <row r="15831">
      <c r="A15831" t="inlineStr">
        <is>
          <t>6085010092058</t>
        </is>
      </c>
      <c r="B15831" t="inlineStr">
        <is>
          <t>Armaf Shades Eau De Toilette 100ml Spray</t>
        </is>
      </c>
      <c r="C15831" t="inlineStr">
        <is>
          <t>Eau De Toilette</t>
        </is>
      </c>
      <c r="D15831" t="inlineStr">
        <is>
          <t>Armaf</t>
        </is>
      </c>
      <c r="E15831" t="n">
        <v>12.33</v>
      </c>
      <c r="F15831" t="n">
        <v>1</v>
      </c>
      <c r="G15831" t="n">
        <v>22</v>
      </c>
      <c r="H15831" s="5">
        <f>HYPERLINK("https://api.qogita.com/variants/link/6085010092058/", "View Product")</f>
        <v/>
      </c>
    </row>
    <row r="15832">
      <c r="A15832" t="inlineStr">
        <is>
          <t>6085010094151</t>
        </is>
      </c>
      <c r="B15832" t="inlineStr">
        <is>
          <t>Armaf Club De Nuit Woman Eau De Parfum Spray 105ml</t>
        </is>
      </c>
      <c r="C15832" t="inlineStr">
        <is>
          <t>Eau De Parfum</t>
        </is>
      </c>
      <c r="D15832" t="inlineStr">
        <is>
          <t>Armaf</t>
        </is>
      </c>
      <c r="E15832" t="n">
        <v>18.94</v>
      </c>
      <c r="F15832" t="n">
        <v>1</v>
      </c>
      <c r="G15832" t="n">
        <v>2339</v>
      </c>
      <c r="H15832" s="5">
        <f>HYPERLINK("https://api.qogita.com/variants/link/6085010094151/", "View Product")</f>
        <v/>
      </c>
    </row>
    <row r="15833">
      <c r="A15833" t="inlineStr">
        <is>
          <t>6085010094670</t>
        </is>
      </c>
      <c r="B15833" t="inlineStr">
        <is>
          <t>Armaf Tres Jour Eau De Parfum For Women 100ml</t>
        </is>
      </c>
      <c r="C15833" t="inlineStr">
        <is>
          <t>Eau De Parfum</t>
        </is>
      </c>
      <c r="D15833" t="inlineStr">
        <is>
          <t>Armaf</t>
        </is>
      </c>
      <c r="E15833" t="n">
        <v>12.62</v>
      </c>
      <c r="F15833" t="n">
        <v>1</v>
      </c>
      <c r="G15833" t="n">
        <v>7</v>
      </c>
      <c r="H15833" s="5">
        <f>HYPERLINK("https://api.qogita.com/variants/link/6085010094670/", "View Product")</f>
        <v/>
      </c>
    </row>
    <row r="15834">
      <c r="A15834" t="inlineStr">
        <is>
          <t>6085010094816</t>
        </is>
      </c>
      <c r="B15834" t="inlineStr">
        <is>
          <t>Armaf Blue Homme Eau De Toilette 100ml Spray For Men</t>
        </is>
      </c>
      <c r="C15834" t="inlineStr">
        <is>
          <t>Eau De Toilette</t>
        </is>
      </c>
      <c r="D15834" t="inlineStr">
        <is>
          <t>Armaf</t>
        </is>
      </c>
      <c r="E15834" t="n">
        <v>19.51</v>
      </c>
      <c r="F15834" t="n">
        <v>1</v>
      </c>
      <c r="G15834" t="n">
        <v>174</v>
      </c>
      <c r="H15834" s="5">
        <f>HYPERLINK("https://api.qogita.com/variants/link/6085010094816/", "View Product")</f>
        <v/>
      </c>
    </row>
    <row r="15835">
      <c r="A15835" t="inlineStr">
        <is>
          <t>6085010094823</t>
        </is>
      </c>
      <c r="B15835" t="inlineStr">
        <is>
          <t>Armaf Le Femme Eau De Parfum Spray 100ml</t>
        </is>
      </c>
      <c r="C15835" t="inlineStr">
        <is>
          <t>Eau De Parfum</t>
        </is>
      </c>
      <c r="D15835" t="inlineStr">
        <is>
          <t>Armaf</t>
        </is>
      </c>
      <c r="E15835" t="n">
        <v>15.32</v>
      </c>
      <c r="F15835" t="n">
        <v>1</v>
      </c>
      <c r="G15835" t="n">
        <v>29</v>
      </c>
      <c r="H15835" s="5">
        <f>HYPERLINK("https://api.qogita.com/variants/link/6085010094823/", "View Product")</f>
        <v/>
      </c>
    </row>
    <row r="15836">
      <c r="A15836" t="inlineStr">
        <is>
          <t>6085010094953</t>
        </is>
      </c>
      <c r="B15836" t="inlineStr">
        <is>
          <t>Armaf Shades Wood Eau De Toilette 100ml Spray For Men</t>
        </is>
      </c>
      <c r="C15836" t="inlineStr">
        <is>
          <t>Eau De Toilette</t>
        </is>
      </c>
      <c r="D15836" t="inlineStr">
        <is>
          <t>Armaf</t>
        </is>
      </c>
      <c r="E15836" t="n">
        <v>13.21</v>
      </c>
      <c r="F15836" t="n">
        <v>1</v>
      </c>
      <c r="G15836" t="n">
        <v>38</v>
      </c>
      <c r="H15836" s="5">
        <f>HYPERLINK("https://api.qogita.com/variants/link/6085010094953/", "View Product")</f>
        <v/>
      </c>
    </row>
    <row r="15837">
      <c r="A15837" t="inlineStr">
        <is>
          <t>6237532846514</t>
        </is>
      </c>
      <c r="B15837" t="inlineStr">
        <is>
          <t>Paris Corner Soothing Zephyr Eau De Parfum 100ml</t>
        </is>
      </c>
      <c r="C15837" t="inlineStr">
        <is>
          <t>Eau De Parfum</t>
        </is>
      </c>
      <c r="D15837" t="inlineStr">
        <is>
          <t>Paris Corner</t>
        </is>
      </c>
      <c r="E15837" t="n">
        <v>16.45</v>
      </c>
      <c r="F15837" t="n">
        <v>1</v>
      </c>
      <c r="G15837" t="n">
        <v>3</v>
      </c>
      <c r="H15837" s="5">
        <f>HYPERLINK("https://api.qogita.com/variants/link/6237532846514/", "View Product")</f>
        <v/>
      </c>
    </row>
    <row r="15838">
      <c r="A15838" t="inlineStr">
        <is>
          <t>6246717622225</t>
        </is>
      </c>
      <c r="B15838" t="inlineStr">
        <is>
          <t>Emir Lueur D'Espoir Arena Eau De Parfum Spray 100ml</t>
        </is>
      </c>
      <c r="C15838" t="inlineStr">
        <is>
          <t>Eau De Parfum</t>
        </is>
      </c>
      <c r="D15838" t="inlineStr">
        <is>
          <t>Emir</t>
        </is>
      </c>
      <c r="E15838" t="n">
        <v>20.19</v>
      </c>
      <c r="F15838" t="n">
        <v>1</v>
      </c>
      <c r="G15838" t="n">
        <v>43</v>
      </c>
      <c r="H15838" s="5">
        <f>HYPERLINK("https://api.qogita.com/variants/link/6246717622225/", "View Product")</f>
        <v/>
      </c>
    </row>
    <row r="15839">
      <c r="A15839" t="inlineStr">
        <is>
          <t>6246717622249</t>
        </is>
      </c>
      <c r="B15839" t="inlineStr">
        <is>
          <t>Paris Corner Atoof Eau De Parfum 100ml Spray</t>
        </is>
      </c>
      <c r="C15839" t="inlineStr">
        <is>
          <t>Eau De Parfum</t>
        </is>
      </c>
      <c r="D15839" t="inlineStr">
        <is>
          <t>Paris Corner</t>
        </is>
      </c>
      <c r="E15839" t="n">
        <v>17.21</v>
      </c>
      <c r="F15839" t="n">
        <v>1</v>
      </c>
      <c r="G15839" t="n">
        <v>71</v>
      </c>
      <c r="H15839" s="5">
        <f>HYPERLINK("https://api.qogita.com/variants/link/6246717622249/", "View Product")</f>
        <v/>
      </c>
    </row>
    <row r="15840">
      <c r="A15840" t="inlineStr">
        <is>
          <t>6246717622287</t>
        </is>
      </c>
      <c r="B15840" t="inlineStr">
        <is>
          <t>Paris Corner Kaheela Platinum Eau De Parfum Spray 85ml</t>
        </is>
      </c>
      <c r="C15840" t="inlineStr">
        <is>
          <t>Eau De Parfum</t>
        </is>
      </c>
      <c r="D15840" t="inlineStr">
        <is>
          <t>Paris Corner</t>
        </is>
      </c>
      <c r="E15840" t="n">
        <v>18.28</v>
      </c>
      <c r="F15840" t="n">
        <v>1</v>
      </c>
      <c r="G15840" t="n">
        <v>9</v>
      </c>
      <c r="H15840" s="5">
        <f>HYPERLINK("https://api.qogita.com/variants/link/6246717622287/", "View Product")</f>
        <v/>
      </c>
    </row>
    <row r="15841">
      <c r="A15841" t="inlineStr">
        <is>
          <t>6246717622317</t>
        </is>
      </c>
      <c r="B15841" t="inlineStr">
        <is>
          <t>Paris Corner Oud Wahaaj Eau De Parfum 100ml</t>
        </is>
      </c>
      <c r="C15841" t="inlineStr">
        <is>
          <t>Eau De Parfum</t>
        </is>
      </c>
      <c r="D15841" t="inlineStr">
        <is>
          <t>Paris Corner</t>
        </is>
      </c>
      <c r="E15841" t="n">
        <v>12.08</v>
      </c>
      <c r="F15841" t="n">
        <v>1</v>
      </c>
      <c r="G15841" t="n">
        <v>54</v>
      </c>
      <c r="H15841" s="5">
        <f>HYPERLINK("https://api.qogita.com/variants/link/6246717622317/", "View Product")</f>
        <v/>
      </c>
    </row>
    <row r="15842">
      <c r="A15842" t="inlineStr">
        <is>
          <t>6255956522104</t>
        </is>
      </c>
      <c r="B15842" t="inlineStr">
        <is>
          <t>North Stag Paris Corner Sept Vii Extrait De Parfum 100ml</t>
        </is>
      </c>
      <c r="C15842" t="inlineStr">
        <is>
          <t>Extrait De Parfum</t>
        </is>
      </c>
      <c r="D15842" t="inlineStr">
        <is>
          <t>North Stag</t>
        </is>
      </c>
      <c r="E15842" t="n">
        <v>23.33</v>
      </c>
      <c r="F15842" t="n">
        <v>1</v>
      </c>
      <c r="G15842" t="n">
        <v>20</v>
      </c>
      <c r="H15842" s="5">
        <f>HYPERLINK("https://api.qogita.com/variants/link/6255956522104/", "View Product")</f>
        <v/>
      </c>
    </row>
    <row r="15843">
      <c r="A15843" t="inlineStr">
        <is>
          <t>6290021555441</t>
        </is>
      </c>
      <c r="B15843" t="inlineStr">
        <is>
          <t>Paris Corner December Rose Eau De Parfum 100ml</t>
        </is>
      </c>
      <c r="C15843" t="inlineStr">
        <is>
          <t>Eau De Parfum</t>
        </is>
      </c>
      <c r="D15843" t="inlineStr">
        <is>
          <t>Paris Corner</t>
        </is>
      </c>
      <c r="E15843" t="n">
        <v>17.88</v>
      </c>
      <c r="F15843" t="n">
        <v>1</v>
      </c>
      <c r="G15843" t="n">
        <v>94</v>
      </c>
      <c r="H15843" s="5">
        <f>HYPERLINK("https://api.qogita.com/variants/link/6290021555441/", "View Product")</f>
        <v/>
      </c>
    </row>
    <row r="15844">
      <c r="A15844" t="inlineStr">
        <is>
          <t>6290025488332</t>
        </is>
      </c>
      <c r="B15844" t="inlineStr">
        <is>
          <t>North Stag Expressions Ii Deux Eau De Parfum Spray 100ml</t>
        </is>
      </c>
      <c r="C15844" t="inlineStr">
        <is>
          <t>Eau De Parfum</t>
        </is>
      </c>
      <c r="D15844" t="inlineStr">
        <is>
          <t>Northeast Stag</t>
        </is>
      </c>
      <c r="E15844" t="n">
        <v>24.84</v>
      </c>
      <c r="F15844" t="n">
        <v>1</v>
      </c>
      <c r="G15844" t="n">
        <v>26</v>
      </c>
      <c r="H15844" s="5">
        <f>HYPERLINK("https://api.qogita.com/variants/link/6290025488332/", "View Product")</f>
        <v/>
      </c>
    </row>
    <row r="15845">
      <c r="A15845" t="inlineStr">
        <is>
          <t>6290171000082</t>
        </is>
      </c>
      <c r="B15845" t="inlineStr">
        <is>
          <t>Afnan Mukhallat Abiyad Perfume Oil 24ml</t>
        </is>
      </c>
      <c r="C15845" t="inlineStr">
        <is>
          <t>Extrait De Parfum</t>
        </is>
      </c>
      <c r="D15845" t="inlineStr">
        <is>
          <t>Afnan</t>
        </is>
      </c>
      <c r="E15845" t="n">
        <v>10.65</v>
      </c>
      <c r="F15845" t="n">
        <v>1</v>
      </c>
      <c r="G15845" t="n">
        <v>34</v>
      </c>
      <c r="H15845" s="5">
        <f>HYPERLINK("https://api.qogita.com/variants/link/6290171000082/", "View Product")</f>
        <v/>
      </c>
    </row>
    <row r="15846">
      <c r="A15846" t="inlineStr">
        <is>
          <t>6290171001874</t>
        </is>
      </c>
      <c r="B15846" t="inlineStr">
        <is>
          <t>Afnan Abiyad Sandalwood Balsamic Aromatic Floral Wood Perfume Oil 20ml</t>
        </is>
      </c>
      <c r="C15846" t="inlineStr">
        <is>
          <t>Eau De Parfum</t>
        </is>
      </c>
      <c r="D15846" t="inlineStr">
        <is>
          <t>Afnan</t>
        </is>
      </c>
      <c r="E15846" t="n">
        <v>11.13</v>
      </c>
      <c r="F15846" t="n">
        <v>1</v>
      </c>
      <c r="G15846" t="n">
        <v>23</v>
      </c>
      <c r="H15846" s="5">
        <f>HYPERLINK("https://api.qogita.com/variants/link/6290171001874/", "View Product")</f>
        <v/>
      </c>
    </row>
    <row r="15847">
      <c r="A15847" t="inlineStr">
        <is>
          <t>6290171001911</t>
        </is>
      </c>
      <c r="B15847" t="inlineStr">
        <is>
          <t>Afnan Sandal Abiyad Eau De Parfum 100ml</t>
        </is>
      </c>
      <c r="C15847" t="inlineStr">
        <is>
          <t>Eau De Parfum</t>
        </is>
      </c>
      <c r="D15847" t="inlineStr">
        <is>
          <t>Afnan</t>
        </is>
      </c>
      <c r="E15847" t="n">
        <v>8.48</v>
      </c>
      <c r="F15847" t="n">
        <v>1</v>
      </c>
      <c r="G15847" t="n">
        <v>4</v>
      </c>
      <c r="H15847" s="5">
        <f>HYPERLINK("https://api.qogita.com/variants/link/6290171001911/", "View Product")</f>
        <v/>
      </c>
    </row>
    <row r="15848">
      <c r="A15848" t="inlineStr">
        <is>
          <t>6290171002185</t>
        </is>
      </c>
      <c r="B15848" t="inlineStr">
        <is>
          <t>Afnan Mirsaal Of Trust Eau De Parfum 90ml</t>
        </is>
      </c>
      <c r="C15848" t="inlineStr">
        <is>
          <t>Eau De Parfum</t>
        </is>
      </c>
      <c r="D15848" t="inlineStr">
        <is>
          <t>Afnan</t>
        </is>
      </c>
      <c r="E15848" t="n">
        <v>27.52</v>
      </c>
      <c r="F15848" t="n">
        <v>1</v>
      </c>
      <c r="G15848" t="n">
        <v>35</v>
      </c>
      <c r="H15848" s="5">
        <f>HYPERLINK("https://api.qogita.com/variants/link/6290171002185/", "View Product")</f>
        <v/>
      </c>
    </row>
    <row r="15849">
      <c r="A15849" t="inlineStr">
        <is>
          <t>6290171002246</t>
        </is>
      </c>
      <c r="B15849" t="inlineStr">
        <is>
          <t>His Highness Green Eau De Parfum Spray 3.4oz Unisex for Men</t>
        </is>
      </c>
      <c r="C15849" t="inlineStr">
        <is>
          <t>Eau De Parfum</t>
        </is>
      </c>
      <c r="D15849" t="inlineStr">
        <is>
          <t>Afnan</t>
        </is>
      </c>
      <c r="E15849" t="n">
        <v>58.03</v>
      </c>
      <c r="F15849" t="n">
        <v>1</v>
      </c>
      <c r="G15849" t="n">
        <v>4</v>
      </c>
      <c r="H15849" s="5">
        <f>HYPERLINK("https://api.qogita.com/variants/link/6290171002246/", "View Product")</f>
        <v/>
      </c>
    </row>
    <row r="15850">
      <c r="A15850" t="inlineStr">
        <is>
          <t>6290171002253</t>
        </is>
      </c>
      <c r="B15850" t="inlineStr">
        <is>
          <t>Afnan Supremacy In Heaven Eau De Parfum 100ml For Men</t>
        </is>
      </c>
      <c r="C15850" t="inlineStr">
        <is>
          <t>Eau De Parfum</t>
        </is>
      </c>
      <c r="D15850" t="inlineStr">
        <is>
          <t>Afnan</t>
        </is>
      </c>
      <c r="E15850" t="n">
        <v>21.85</v>
      </c>
      <c r="F15850" t="n">
        <v>1</v>
      </c>
      <c r="G15850" t="n">
        <v>501</v>
      </c>
      <c r="H15850" s="5">
        <f>HYPERLINK("https://api.qogita.com/variants/link/6290171002253/", "View Product")</f>
        <v/>
      </c>
    </row>
    <row r="15851">
      <c r="A15851" t="inlineStr">
        <is>
          <t>6290171002291</t>
        </is>
      </c>
      <c r="B15851" t="inlineStr">
        <is>
          <t>Afnan Rare Carbon Eau De Parfum 100ml A Premium Men's Fragrance</t>
        </is>
      </c>
      <c r="C15851" t="inlineStr">
        <is>
          <t>Eau De Parfum</t>
        </is>
      </c>
      <c r="D15851" t="inlineStr">
        <is>
          <t>Afnan</t>
        </is>
      </c>
      <c r="E15851" t="n">
        <v>21.11</v>
      </c>
      <c r="F15851" t="n">
        <v>1</v>
      </c>
      <c r="G15851" t="n">
        <v>548</v>
      </c>
      <c r="H15851" s="5">
        <f>HYPERLINK("https://api.qogita.com/variants/link/6290171002291/", "View Product")</f>
        <v/>
      </c>
    </row>
    <row r="15852">
      <c r="A15852" t="inlineStr">
        <is>
          <t>6290171002338</t>
        </is>
      </c>
      <c r="B15852" t="inlineStr">
        <is>
          <t>Afnan 9 Pm Eau De Parfum 100ml For Men</t>
        </is>
      </c>
      <c r="C15852" t="inlineStr">
        <is>
          <t>Eau De Parfum</t>
        </is>
      </c>
      <c r="D15852" t="inlineStr">
        <is>
          <t>Afnan</t>
        </is>
      </c>
      <c r="E15852" t="n">
        <v>19.66</v>
      </c>
      <c r="F15852" t="n">
        <v>1</v>
      </c>
      <c r="G15852" t="n">
        <v>459</v>
      </c>
      <c r="H15852" s="5">
        <f>HYPERLINK("https://api.qogita.com/variants/link/6290171002338/", "View Product")</f>
        <v/>
      </c>
    </row>
    <row r="15853">
      <c r="A15853" t="inlineStr">
        <is>
          <t>6290171010166</t>
        </is>
      </c>
      <c r="B15853" t="inlineStr">
        <is>
          <t>Rue Broca Pride Pour Homme Eau De Parfum Spray 100ml</t>
        </is>
      </c>
      <c r="C15853" t="inlineStr">
        <is>
          <t>Eau De Parfum</t>
        </is>
      </c>
      <c r="D15853" t="inlineStr">
        <is>
          <t>Rue Broca</t>
        </is>
      </c>
      <c r="E15853" t="n">
        <v>11.65</v>
      </c>
      <c r="F15853" t="n">
        <v>1</v>
      </c>
      <c r="G15853" t="n">
        <v>19</v>
      </c>
      <c r="H15853" s="5">
        <f>HYPERLINK("https://api.qogita.com/variants/link/6290171010166/", "View Product")</f>
        <v/>
      </c>
    </row>
    <row r="15854">
      <c r="A15854" t="inlineStr">
        <is>
          <t>6290171010470</t>
        </is>
      </c>
      <c r="B15854" t="inlineStr">
        <is>
          <t>Rue Broca Penthouse Larvotto Eau De Parfum Spray 80ml</t>
        </is>
      </c>
      <c r="C15854" t="inlineStr">
        <is>
          <t>Eau De Parfum</t>
        </is>
      </c>
      <c r="D15854" t="inlineStr">
        <is>
          <t>Rue Broca</t>
        </is>
      </c>
      <c r="E15854" t="n">
        <v>13.66</v>
      </c>
      <c r="F15854" t="n">
        <v>1</v>
      </c>
      <c r="G15854" t="n">
        <v>10</v>
      </c>
      <c r="H15854" s="5">
        <f>HYPERLINK("https://api.qogita.com/variants/link/6290171010470/", "View Product")</f>
        <v/>
      </c>
    </row>
    <row r="15855">
      <c r="A15855" t="inlineStr">
        <is>
          <t>6290171040637</t>
        </is>
      </c>
      <c r="B15855" t="inlineStr">
        <is>
          <t>Afnan Souvenir Desert Rose Eau De Parfum Spray 100ml</t>
        </is>
      </c>
      <c r="C15855" t="inlineStr">
        <is>
          <t>Eau De Parfum</t>
        </is>
      </c>
      <c r="D15855" t="inlineStr">
        <is>
          <t>Afnan</t>
        </is>
      </c>
      <c r="E15855" t="n">
        <v>25.28</v>
      </c>
      <c r="F15855" t="n">
        <v>1</v>
      </c>
      <c r="G15855" t="n">
        <v>77</v>
      </c>
      <c r="H15855" s="5">
        <f>HYPERLINK("https://api.qogita.com/variants/link/6290171040637/", "View Product")</f>
        <v/>
      </c>
    </row>
    <row r="15856">
      <c r="A15856" t="inlineStr">
        <is>
          <t>6290171040644</t>
        </is>
      </c>
      <c r="B15856" t="inlineStr">
        <is>
          <t>Afnan Souvenir Floral Bouquet Eau De Parfum 100ml Women's Fragrance</t>
        </is>
      </c>
      <c r="C15856" t="inlineStr">
        <is>
          <t>Eau De Parfum</t>
        </is>
      </c>
      <c r="D15856" t="inlineStr">
        <is>
          <t>Afnan</t>
        </is>
      </c>
      <c r="E15856" t="n">
        <v>23.35</v>
      </c>
      <c r="F15856" t="n">
        <v>1</v>
      </c>
      <c r="G15856" t="n">
        <v>306</v>
      </c>
      <c r="H15856" s="5">
        <f>HYPERLINK("https://api.qogita.com/variants/link/6290171040644/", "View Product")</f>
        <v/>
      </c>
    </row>
    <row r="15857">
      <c r="A15857" t="inlineStr">
        <is>
          <t>6290171040682</t>
        </is>
      </c>
      <c r="B15857" t="inlineStr">
        <is>
          <t>Afnan Supremacy Incense Eau De Parfum 100ml For Men</t>
        </is>
      </c>
      <c r="C15857" t="inlineStr">
        <is>
          <t>Eau De Parfum</t>
        </is>
      </c>
      <c r="D15857" t="inlineStr">
        <is>
          <t>Afnan</t>
        </is>
      </c>
      <c r="E15857" t="n">
        <v>20.12</v>
      </c>
      <c r="F15857" t="n">
        <v>1</v>
      </c>
      <c r="G15857" t="n">
        <v>29</v>
      </c>
      <c r="H15857" s="5">
        <f>HYPERLINK("https://api.qogita.com/variants/link/6290171040682/", "View Product")</f>
        <v/>
      </c>
    </row>
    <row r="15858">
      <c r="A15858" t="inlineStr">
        <is>
          <t>6290171070160</t>
        </is>
      </c>
      <c r="B15858" t="inlineStr">
        <is>
          <t>Afnan Highness Ix Maroon Eau De Parfum 100ml Unisex Spray</t>
        </is>
      </c>
      <c r="C15858" t="inlineStr">
        <is>
          <t>Eau De Parfum</t>
        </is>
      </c>
      <c r="D15858" t="inlineStr">
        <is>
          <t>Afnan</t>
        </is>
      </c>
      <c r="E15858" t="n">
        <v>53.71</v>
      </c>
      <c r="F15858" t="n">
        <v>1</v>
      </c>
      <c r="G15858" t="n">
        <v>23</v>
      </c>
      <c r="H15858" s="5">
        <f>HYPERLINK("https://api.qogita.com/variants/link/6290171070160/", "View Product")</f>
        <v/>
      </c>
    </row>
    <row r="15859">
      <c r="A15859" t="inlineStr">
        <is>
          <t>6290171070214</t>
        </is>
      </c>
      <c r="B15859" t="inlineStr">
        <is>
          <t>Afnan Supremacy Not Only Intense Eau De Parfum 100ml For Men</t>
        </is>
      </c>
      <c r="C15859" t="inlineStr">
        <is>
          <t>Eau De Parfum</t>
        </is>
      </c>
      <c r="D15859" t="inlineStr">
        <is>
          <t>Afnan</t>
        </is>
      </c>
      <c r="E15859" t="n">
        <v>31.03</v>
      </c>
      <c r="F15859" t="n">
        <v>1</v>
      </c>
      <c r="G15859" t="n">
        <v>388</v>
      </c>
      <c r="H15859" s="5">
        <f>HYPERLINK("https://api.qogita.com/variants/link/6290171070214/", "View Product")</f>
        <v/>
      </c>
    </row>
    <row r="15860">
      <c r="A15860" t="inlineStr">
        <is>
          <t>6290171070283</t>
        </is>
      </c>
      <c r="B15860" t="inlineStr">
        <is>
          <t>Amber is Great Extrait De Perfume 100ml EDP Sweet Oud Citrus by Noya/Zimaya</t>
        </is>
      </c>
      <c r="C15860" t="inlineStr">
        <is>
          <t>Extrait De Parfum</t>
        </is>
      </c>
      <c r="D15860" t="inlineStr">
        <is>
          <t>Zimaya</t>
        </is>
      </c>
      <c r="E15860" t="n">
        <v>12.31</v>
      </c>
      <c r="F15860" t="n">
        <v>1</v>
      </c>
      <c r="G15860" t="n">
        <v>3</v>
      </c>
      <c r="H15860" s="5">
        <f>HYPERLINK("https://api.qogita.com/variants/link/6290171070283/", "View Product")</f>
        <v/>
      </c>
    </row>
    <row r="15861">
      <c r="A15861" t="inlineStr">
        <is>
          <t>6290171070313</t>
        </is>
      </c>
      <c r="B15861" t="inlineStr">
        <is>
          <t>Rue Broca Theoreme Pour Homme Eau de Parfum Spray for Men 3.0oz 90ml - New</t>
        </is>
      </c>
      <c r="C15861" t="inlineStr">
        <is>
          <t>Eau De Parfum</t>
        </is>
      </c>
      <c r="D15861" t="inlineStr">
        <is>
          <t>Afnan</t>
        </is>
      </c>
      <c r="E15861" t="n">
        <v>14.27</v>
      </c>
      <c r="F15861" t="n">
        <v>1</v>
      </c>
      <c r="G15861" t="n">
        <v>513</v>
      </c>
      <c r="H15861" s="5">
        <f>HYPERLINK("https://api.qogita.com/variants/link/6290171070313/", "View Product")</f>
        <v/>
      </c>
    </row>
    <row r="15862">
      <c r="A15862" t="inlineStr">
        <is>
          <t>6290171070474</t>
        </is>
      </c>
      <c r="B15862" t="inlineStr">
        <is>
          <t>Rue Broca Pride My Oud Eau De Parfum 100ml</t>
        </is>
      </c>
      <c r="C15862" t="inlineStr">
        <is>
          <t>Eau De Parfum</t>
        </is>
      </c>
      <c r="D15862" t="inlineStr">
        <is>
          <t>Rue Broca</t>
        </is>
      </c>
      <c r="E15862" t="n">
        <v>11.35</v>
      </c>
      <c r="F15862" t="n">
        <v>1</v>
      </c>
      <c r="G15862" t="n">
        <v>23</v>
      </c>
      <c r="H15862" s="5">
        <f>HYPERLINK("https://api.qogita.com/variants/link/6290171070474/", "View Product")</f>
        <v/>
      </c>
    </row>
    <row r="15863">
      <c r="A15863" t="inlineStr">
        <is>
          <t>6290171071006</t>
        </is>
      </c>
      <c r="B15863" t="inlineStr">
        <is>
          <t>Zimaya A Fairy Tale Extrait De Parfum 100ml</t>
        </is>
      </c>
      <c r="C15863" t="inlineStr">
        <is>
          <t>Extrait De Parfum</t>
        </is>
      </c>
      <c r="D15863" t="inlineStr">
        <is>
          <t>Zimaya</t>
        </is>
      </c>
      <c r="E15863" t="n">
        <v>13.61</v>
      </c>
      <c r="F15863" t="n">
        <v>1</v>
      </c>
      <c r="G15863" t="n">
        <v>69</v>
      </c>
      <c r="H15863" s="5">
        <f>HYPERLINK("https://api.qogita.com/variants/link/6290171071006/", "View Product")</f>
        <v/>
      </c>
    </row>
    <row r="15864">
      <c r="A15864" t="inlineStr">
        <is>
          <t>6290171071044</t>
        </is>
      </c>
      <c r="B15864" t="inlineStr">
        <is>
          <t>Zimaya Royal Leather Eau De Parfum 100ml</t>
        </is>
      </c>
      <c r="C15864" t="inlineStr">
        <is>
          <t>Eau De Parfum</t>
        </is>
      </c>
      <c r="D15864" t="inlineStr">
        <is>
          <t>Zimaya</t>
        </is>
      </c>
      <c r="E15864" t="n">
        <v>10</v>
      </c>
      <c r="F15864" t="n">
        <v>1</v>
      </c>
      <c r="G15864" t="n">
        <v>5</v>
      </c>
      <c r="H15864" s="5">
        <f>HYPERLINK("https://api.qogita.com/variants/link/6290171071044/", "View Product")</f>
        <v/>
      </c>
    </row>
    <row r="15865">
      <c r="A15865" t="inlineStr">
        <is>
          <t>6290171071051</t>
        </is>
      </c>
      <c r="B15865" t="inlineStr">
        <is>
          <t>Zimaya Fatima Pink Extrait De Parfum Spray 100ml</t>
        </is>
      </c>
      <c r="C15865" t="inlineStr">
        <is>
          <t>Extrait De Parfum</t>
        </is>
      </c>
      <c r="D15865" t="inlineStr">
        <is>
          <t>Zimaya</t>
        </is>
      </c>
      <c r="E15865" t="n">
        <v>19.49</v>
      </c>
      <c r="F15865" t="n">
        <v>1</v>
      </c>
      <c r="G15865" t="n">
        <v>361</v>
      </c>
      <c r="H15865" s="5">
        <f>HYPERLINK("https://api.qogita.com/variants/link/6290171071051/", "View Product")</f>
        <v/>
      </c>
    </row>
    <row r="15866">
      <c r="A15866" t="inlineStr">
        <is>
          <t>6290171071518</t>
        </is>
      </c>
      <c r="B15866" t="inlineStr">
        <is>
          <t>Afnan Tobacco Rush Eau De Parfum 100ml Unisex Spray</t>
        </is>
      </c>
      <c r="C15866" t="inlineStr">
        <is>
          <t>Eau De Parfum</t>
        </is>
      </c>
      <c r="D15866" t="inlineStr">
        <is>
          <t>Afnan</t>
        </is>
      </c>
      <c r="E15866" t="n">
        <v>35.2</v>
      </c>
      <c r="F15866" t="n">
        <v>1</v>
      </c>
      <c r="G15866" t="n">
        <v>44</v>
      </c>
      <c r="H15866" s="5">
        <f>HYPERLINK("https://api.qogita.com/variants/link/6290171071518/", "View Product")</f>
        <v/>
      </c>
    </row>
    <row r="15867">
      <c r="A15867" t="inlineStr">
        <is>
          <t>6290171071945</t>
        </is>
      </c>
      <c r="B15867" t="inlineStr">
        <is>
          <t>Afnan Edict Musctique Extrait De Parfum Spray Unisex 2.7 Oz / 80 Ml Brand New</t>
        </is>
      </c>
      <c r="C15867" t="inlineStr">
        <is>
          <t>Extrait De Parfum</t>
        </is>
      </c>
      <c r="D15867" t="inlineStr">
        <is>
          <t>Afnan</t>
        </is>
      </c>
      <c r="E15867" t="n">
        <v>54.04</v>
      </c>
      <c r="F15867" t="n">
        <v>1</v>
      </c>
      <c r="G15867" t="n">
        <v>6</v>
      </c>
      <c r="H15867" s="5">
        <f>HYPERLINK("https://api.qogita.com/variants/link/6290171071945/", "View Product")</f>
        <v/>
      </c>
    </row>
    <row r="15868">
      <c r="A15868" t="inlineStr">
        <is>
          <t>6290171072010</t>
        </is>
      </c>
      <c r="B15868" t="inlineStr">
        <is>
          <t>Zimaya Newaem Femme Eau De Parfum 100ml</t>
        </is>
      </c>
      <c r="C15868" t="inlineStr">
        <is>
          <t>Eau De Parfum</t>
        </is>
      </c>
      <c r="D15868" t="inlineStr">
        <is>
          <t>Zimaya</t>
        </is>
      </c>
      <c r="E15868" t="n">
        <v>9.85</v>
      </c>
      <c r="F15868" t="n">
        <v>1</v>
      </c>
      <c r="G15868" t="n">
        <v>29</v>
      </c>
      <c r="H15868" s="5">
        <f>HYPERLINK("https://api.qogita.com/variants/link/6290171072010/", "View Product")</f>
        <v/>
      </c>
    </row>
    <row r="15869">
      <c r="A15869" t="inlineStr">
        <is>
          <t>6290171072249</t>
        </is>
      </c>
      <c r="B15869" t="inlineStr">
        <is>
          <t>Zimaya Evolution Unisex 100ml Eau De Parfum Spray By Afnan Perfume Fragrance</t>
        </is>
      </c>
      <c r="C15869" t="inlineStr">
        <is>
          <t>Eau De Parfum</t>
        </is>
      </c>
      <c r="D15869" t="inlineStr">
        <is>
          <t>Afnan</t>
        </is>
      </c>
      <c r="E15869" t="n">
        <v>11.03</v>
      </c>
      <c r="F15869" t="n">
        <v>1</v>
      </c>
      <c r="G15869" t="n">
        <v>4</v>
      </c>
      <c r="H15869" s="5">
        <f>HYPERLINK("https://api.qogita.com/variants/link/6290171072249/", "View Product")</f>
        <v/>
      </c>
    </row>
    <row r="15870">
      <c r="A15870" t="inlineStr">
        <is>
          <t>6290171072263</t>
        </is>
      </c>
      <c r="B15870" t="inlineStr">
        <is>
          <t>Zimaya Icon Eau De Parfum 100ml</t>
        </is>
      </c>
      <c r="C15870" t="inlineStr">
        <is>
          <t>Eau De Parfum</t>
        </is>
      </c>
      <c r="D15870" t="inlineStr">
        <is>
          <t>Zimaya</t>
        </is>
      </c>
      <c r="E15870" t="n">
        <v>13.09</v>
      </c>
      <c r="F15870" t="n">
        <v>1</v>
      </c>
      <c r="G15870" t="n">
        <v>5</v>
      </c>
      <c r="H15870" s="5">
        <f>HYPERLINK("https://api.qogita.com/variants/link/6290171072263/", "View Product")</f>
        <v/>
      </c>
    </row>
    <row r="15871">
      <c r="A15871" t="inlineStr">
        <is>
          <t>6290171072270</t>
        </is>
      </c>
      <c r="B15871" t="inlineStr">
        <is>
          <t>Zimaya Phantom Paragon Eau De Parfum 100ml</t>
        </is>
      </c>
      <c r="C15871" t="inlineStr">
        <is>
          <t>Eau De Parfum</t>
        </is>
      </c>
      <c r="D15871" t="inlineStr">
        <is>
          <t>Zimaya</t>
        </is>
      </c>
      <c r="E15871" t="n">
        <v>12.69</v>
      </c>
      <c r="F15871" t="n">
        <v>1</v>
      </c>
      <c r="G15871" t="n">
        <v>42</v>
      </c>
      <c r="H15871" s="5">
        <f>HYPERLINK("https://api.qogita.com/variants/link/6290171072270/", "View Product")</f>
        <v/>
      </c>
    </row>
    <row r="15872">
      <c r="A15872" t="inlineStr">
        <is>
          <t>6290171072768</t>
        </is>
      </c>
      <c r="B15872" t="inlineStr">
        <is>
          <t>Afnan Supremacy In Oud Extrait De Parfum 150ml</t>
        </is>
      </c>
      <c r="C15872" t="inlineStr">
        <is>
          <t>Extrait De Parfum</t>
        </is>
      </c>
      <c r="D15872" t="inlineStr">
        <is>
          <t>Afnan</t>
        </is>
      </c>
      <c r="E15872" t="n">
        <v>36.23</v>
      </c>
      <c r="F15872" t="n">
        <v>1</v>
      </c>
      <c r="G15872" t="n">
        <v>60</v>
      </c>
      <c r="H15872" s="5">
        <f>HYPERLINK("https://api.qogita.com/variants/link/6290171072768/", "View Product")</f>
        <v/>
      </c>
    </row>
    <row r="15873">
      <c r="A15873" t="inlineStr">
        <is>
          <t>6290171072799</t>
        </is>
      </c>
      <c r="B15873" t="inlineStr">
        <is>
          <t>Monopoly 002 Eau de Parfum Volume 100 ml</t>
        </is>
      </c>
      <c r="C15873" t="inlineStr">
        <is>
          <t>Eau De Parfum</t>
        </is>
      </c>
      <c r="D15873" t="inlineStr">
        <is>
          <t>Zimaya</t>
        </is>
      </c>
      <c r="E15873" t="n">
        <v>10.61</v>
      </c>
      <c r="F15873" t="n">
        <v>1</v>
      </c>
      <c r="G15873" t="n">
        <v>48</v>
      </c>
      <c r="H15873" s="5">
        <f>HYPERLINK("https://api.qogita.com/variants/link/6290171072799/", "View Product")</f>
        <v/>
      </c>
    </row>
    <row r="15874">
      <c r="A15874" t="inlineStr">
        <is>
          <t>6290171072812</t>
        </is>
      </c>
      <c r="B15874" t="inlineStr">
        <is>
          <t>Vigour Eau de Parfum Volume 100 ml</t>
        </is>
      </c>
      <c r="C15874" t="inlineStr">
        <is>
          <t>Eau De Parfum</t>
        </is>
      </c>
      <c r="D15874" t="inlineStr">
        <is>
          <t>Zimaya</t>
        </is>
      </c>
      <c r="E15874" t="n">
        <v>11.77</v>
      </c>
      <c r="F15874" t="n">
        <v>1</v>
      </c>
      <c r="G15874" t="n">
        <v>4</v>
      </c>
      <c r="H15874" s="5">
        <f>HYPERLINK("https://api.qogita.com/variants/link/6290171072812/", "View Product")</f>
        <v/>
      </c>
    </row>
    <row r="15875">
      <c r="A15875" t="inlineStr">
        <is>
          <t>6290171072829</t>
        </is>
      </c>
      <c r="B15875" t="inlineStr">
        <is>
          <t>Zimaya Treasure Edp</t>
        </is>
      </c>
      <c r="C15875" t="inlineStr">
        <is>
          <t>Eau De Parfum</t>
        </is>
      </c>
      <c r="D15875" t="inlineStr">
        <is>
          <t>Zimaya</t>
        </is>
      </c>
      <c r="E15875" t="n">
        <v>14.12</v>
      </c>
      <c r="F15875" t="n">
        <v>1</v>
      </c>
      <c r="G15875" t="n">
        <v>17</v>
      </c>
      <c r="H15875" s="5">
        <f>HYPERLINK("https://api.qogita.com/variants/link/6290171072829/", "View Product")</f>
        <v/>
      </c>
    </row>
    <row r="15876">
      <c r="A15876" t="inlineStr">
        <is>
          <t>6290171073130</t>
        </is>
      </c>
      <c r="B15876" t="inlineStr">
        <is>
          <t>Ornament Purple - Eau de Parfum 100 ml + Shower Gel 100 ml + Body Lotion 100 ml</t>
        </is>
      </c>
      <c r="C15876" t="inlineStr">
        <is>
          <t>Eau De Parfum</t>
        </is>
      </c>
      <c r="D15876" t="inlineStr">
        <is>
          <t>Afnan</t>
        </is>
      </c>
      <c r="E15876" t="n">
        <v>32.5</v>
      </c>
      <c r="F15876" t="n">
        <v>1</v>
      </c>
      <c r="G15876" t="n">
        <v>3</v>
      </c>
      <c r="H15876" s="5">
        <f>HYPERLINK("https://api.qogita.com/variants/link/6290171073130/", "View Product")</f>
        <v/>
      </c>
    </row>
    <row r="15877">
      <c r="A15877" t="inlineStr">
        <is>
          <t>6290171073499</t>
        </is>
      </c>
      <c r="B15877" t="inlineStr">
        <is>
          <t>Zimaya Impulse Oud Eau De Parfum 100ml</t>
        </is>
      </c>
      <c r="C15877" t="inlineStr">
        <is>
          <t>Eau De Parfum</t>
        </is>
      </c>
      <c r="D15877" t="inlineStr">
        <is>
          <t>Zimaya</t>
        </is>
      </c>
      <c r="E15877" t="n">
        <v>13.72</v>
      </c>
      <c r="F15877" t="n">
        <v>1</v>
      </c>
      <c r="G15877" t="n">
        <v>53</v>
      </c>
      <c r="H15877" s="5">
        <f>HYPERLINK("https://api.qogita.com/variants/link/6290171073499/", "View Product")</f>
        <v/>
      </c>
    </row>
    <row r="15878">
      <c r="A15878" t="inlineStr">
        <is>
          <t>6290171073529</t>
        </is>
      </c>
      <c r="B15878" t="inlineStr">
        <is>
          <t>Rue Broca Luminus Pour Homme Eau De Parfum for Men 100ml</t>
        </is>
      </c>
      <c r="C15878" t="inlineStr">
        <is>
          <t>Eau De Parfum</t>
        </is>
      </c>
      <c r="D15878" t="inlineStr">
        <is>
          <t>Rue Broca</t>
        </is>
      </c>
      <c r="E15878" t="n">
        <v>13.66</v>
      </c>
      <c r="F15878" t="n">
        <v>1</v>
      </c>
      <c r="G15878" t="n">
        <v>23</v>
      </c>
      <c r="H15878" s="5">
        <f>HYPERLINK("https://api.qogita.com/variants/link/6290171073529/", "View Product")</f>
        <v/>
      </c>
    </row>
    <row r="15879">
      <c r="A15879" t="inlineStr">
        <is>
          <t>6290171073611</t>
        </is>
      </c>
      <c r="B15879" t="inlineStr">
        <is>
          <t>Zimaya Only You Eau De Parfum</t>
        </is>
      </c>
      <c r="C15879" t="inlineStr">
        <is>
          <t>Eau De Parfum</t>
        </is>
      </c>
      <c r="D15879" t="inlineStr">
        <is>
          <t>Zimaya</t>
        </is>
      </c>
      <c r="E15879" t="n">
        <v>13.58</v>
      </c>
      <c r="F15879" t="n">
        <v>1</v>
      </c>
      <c r="G15879" t="n">
        <v>8</v>
      </c>
      <c r="H15879" s="5">
        <f>HYPERLINK("https://api.qogita.com/variants/link/6290171073611/", "View Product")</f>
        <v/>
      </c>
    </row>
    <row r="15880">
      <c r="A15880" t="inlineStr">
        <is>
          <t>6290171073642</t>
        </is>
      </c>
      <c r="B15880" t="inlineStr">
        <is>
          <t>Noor Oud Eau de Parfum Volume 100 ml</t>
        </is>
      </c>
      <c r="C15880" t="inlineStr">
        <is>
          <t>Eau De Parfum</t>
        </is>
      </c>
      <c r="D15880" t="inlineStr">
        <is>
          <t>Zimaya</t>
        </is>
      </c>
      <c r="E15880" t="n">
        <v>13.69</v>
      </c>
      <c r="F15880" t="n">
        <v>1</v>
      </c>
      <c r="G15880" t="n">
        <v>5</v>
      </c>
      <c r="H15880" s="5">
        <f>HYPERLINK("https://api.qogita.com/variants/link/6290171073642/", "View Product")</f>
        <v/>
      </c>
    </row>
    <row r="15881">
      <c r="A15881" t="inlineStr">
        <is>
          <t>6290171073680</t>
        </is>
      </c>
      <c r="B15881" t="inlineStr">
        <is>
          <t>Riiffs Prive Rose Eau de Parfum Women's Fragrance 100ml</t>
        </is>
      </c>
      <c r="C15881" t="inlineStr">
        <is>
          <t>Eau De Parfum</t>
        </is>
      </c>
      <c r="D15881" t="inlineStr">
        <is>
          <t>Riiffs</t>
        </is>
      </c>
      <c r="E15881" t="n">
        <v>12.42</v>
      </c>
      <c r="F15881" t="n">
        <v>1</v>
      </c>
      <c r="G15881" t="n">
        <v>23</v>
      </c>
      <c r="H15881" s="5">
        <f>HYPERLINK("https://api.qogita.com/variants/link/6290171073680/", "View Product")</f>
        <v/>
      </c>
    </row>
    <row r="15882">
      <c r="A15882" t="inlineStr">
        <is>
          <t>6290171073871</t>
        </is>
      </c>
      <c r="B15882" t="inlineStr">
        <is>
          <t>Zimaya Stallion Eau De Parfum 100ml</t>
        </is>
      </c>
      <c r="C15882" t="inlineStr">
        <is>
          <t>Eau De Parfum</t>
        </is>
      </c>
      <c r="D15882" t="inlineStr">
        <is>
          <t>Zimaya</t>
        </is>
      </c>
      <c r="E15882" t="n">
        <v>12.19</v>
      </c>
      <c r="F15882" t="n">
        <v>1</v>
      </c>
      <c r="G15882" t="n">
        <v>71</v>
      </c>
      <c r="H15882" s="5">
        <f>HYPERLINK("https://api.qogita.com/variants/link/6290171073871/", "View Product")</f>
        <v/>
      </c>
    </row>
    <row r="15883">
      <c r="A15883" t="inlineStr">
        <is>
          <t>6290171073994</t>
        </is>
      </c>
      <c r="B15883" t="inlineStr">
        <is>
          <t>Rue Broca Nexa Musee Femme Eau De Parfum</t>
        </is>
      </c>
      <c r="C15883" t="inlineStr">
        <is>
          <t>Eau De Parfum</t>
        </is>
      </c>
      <c r="D15883" t="inlineStr">
        <is>
          <t>Rue Broca</t>
        </is>
      </c>
      <c r="E15883" t="n">
        <v>13.21</v>
      </c>
      <c r="F15883" t="n">
        <v>1</v>
      </c>
      <c r="G15883" t="n">
        <v>231</v>
      </c>
      <c r="H15883" s="5">
        <f>HYPERLINK("https://api.qogita.com/variants/link/6290171073994/", "View Product")</f>
        <v/>
      </c>
    </row>
    <row r="15884">
      <c r="A15884" t="inlineStr">
        <is>
          <t>6290171074137</t>
        </is>
      </c>
      <c r="B15884" t="inlineStr">
        <is>
          <t>Riiffs Abeer Eau De Parfum 100 Ml</t>
        </is>
      </c>
      <c r="C15884" t="inlineStr">
        <is>
          <t>Eau De Parfum</t>
        </is>
      </c>
      <c r="D15884" t="inlineStr">
        <is>
          <t>Riiffs</t>
        </is>
      </c>
      <c r="E15884" t="n">
        <v>12.75</v>
      </c>
      <c r="F15884" t="n">
        <v>1</v>
      </c>
      <c r="G15884" t="n">
        <v>44</v>
      </c>
      <c r="H15884" s="5">
        <f>HYPERLINK("https://api.qogita.com/variants/link/6290171074137/", "View Product")</f>
        <v/>
      </c>
    </row>
    <row r="15885">
      <c r="A15885" t="inlineStr">
        <is>
          <t>6290171074168</t>
        </is>
      </c>
      <c r="B15885" t="inlineStr">
        <is>
          <t>Zimaya Kahfaya Eau De Parfum 100ml Women's Fragrance</t>
        </is>
      </c>
      <c r="C15885" t="inlineStr">
        <is>
          <t>Eau De Parfum</t>
        </is>
      </c>
      <c r="D15885" t="inlineStr">
        <is>
          <t>Zimaya</t>
        </is>
      </c>
      <c r="E15885" t="n">
        <v>13.06</v>
      </c>
      <c r="F15885" t="n">
        <v>1</v>
      </c>
      <c r="G15885" t="n">
        <v>11</v>
      </c>
      <c r="H15885" s="5">
        <f>HYPERLINK("https://api.qogita.com/variants/link/6290171074168/", "View Product")</f>
        <v/>
      </c>
    </row>
    <row r="15886">
      <c r="A15886" t="inlineStr">
        <is>
          <t>6290171074229</t>
        </is>
      </c>
      <c r="B15886" t="inlineStr">
        <is>
          <t>Farah Pour Femme Eau De Parfum 3.4 Fl. Oz</t>
        </is>
      </c>
      <c r="C15886" t="inlineStr">
        <is>
          <t>Eau De Parfum</t>
        </is>
      </c>
      <c r="D15886" t="inlineStr">
        <is>
          <t>Zimaya</t>
        </is>
      </c>
      <c r="E15886" t="n">
        <v>14.03</v>
      </c>
      <c r="F15886" t="n">
        <v>1</v>
      </c>
      <c r="G15886" t="n">
        <v>81</v>
      </c>
      <c r="H15886" s="5">
        <f>HYPERLINK("https://api.qogita.com/variants/link/6290171074229/", "View Product")</f>
        <v/>
      </c>
    </row>
    <row r="15887">
      <c r="A15887" t="inlineStr">
        <is>
          <t>6290171074236</t>
        </is>
      </c>
      <c r="B15887" t="inlineStr">
        <is>
          <t>Zimaya Bahjah Eau De Parfum</t>
        </is>
      </c>
      <c r="C15887" t="inlineStr">
        <is>
          <t>Eau De Parfum</t>
        </is>
      </c>
      <c r="D15887" t="inlineStr">
        <is>
          <t>Zimaya</t>
        </is>
      </c>
      <c r="E15887" t="n">
        <v>14</v>
      </c>
      <c r="F15887" t="n">
        <v>1</v>
      </c>
      <c r="G15887" t="n">
        <v>7</v>
      </c>
      <c r="H15887" s="5">
        <f>HYPERLINK("https://api.qogita.com/variants/link/6290171074236/", "View Product")</f>
        <v/>
      </c>
    </row>
    <row r="15888">
      <c r="A15888" t="inlineStr">
        <is>
          <t>6290171074267</t>
        </is>
      </c>
      <c r="B15888" t="inlineStr">
        <is>
          <t>Afnan Supremacy In Oud Eau De Parfum Deodorant Package</t>
        </is>
      </c>
      <c r="C15888" t="inlineStr">
        <is>
          <t>Eau De Parfum</t>
        </is>
      </c>
      <c r="D15888" t="inlineStr">
        <is>
          <t>Afnan</t>
        </is>
      </c>
      <c r="E15888" t="n">
        <v>53.63</v>
      </c>
      <c r="F15888" t="n">
        <v>1</v>
      </c>
      <c r="G15888" t="n">
        <v>17</v>
      </c>
      <c r="H15888" s="5">
        <f>HYPERLINK("https://api.qogita.com/variants/link/6290171074267/", "View Product")</f>
        <v/>
      </c>
    </row>
    <row r="15889">
      <c r="A15889" t="inlineStr">
        <is>
          <t>6290171074274</t>
        </is>
      </c>
      <c r="B15889" t="inlineStr">
        <is>
          <t>Turathi Blue Pour Homme Gift Set - Eau De Parfum Spray 90ml, Shower Gel 100ml, After Shave Balm 100ml</t>
        </is>
      </c>
      <c r="C15889" t="inlineStr">
        <is>
          <t>Fragrance</t>
        </is>
      </c>
      <c r="D15889" t="inlineStr">
        <is>
          <t>Turathi</t>
        </is>
      </c>
      <c r="E15889" t="n">
        <v>27.83</v>
      </c>
      <c r="F15889" t="n">
        <v>1</v>
      </c>
      <c r="G15889" t="n">
        <v>85</v>
      </c>
      <c r="H15889" s="5">
        <f>HYPERLINK("https://api.qogita.com/variants/link/6290171074274/", "View Product")</f>
        <v/>
      </c>
    </row>
    <row r="15890">
      <c r="A15890" t="inlineStr">
        <is>
          <t>6290171074366</t>
        </is>
      </c>
      <c r="B15890" t="inlineStr">
        <is>
          <t>Zimaya Wameed Eau De Parfum</t>
        </is>
      </c>
      <c r="C15890" t="inlineStr">
        <is>
          <t>Eau De Parfum</t>
        </is>
      </c>
      <c r="D15890" t="inlineStr">
        <is>
          <t>Zimaya</t>
        </is>
      </c>
      <c r="E15890" t="n">
        <v>11.9</v>
      </c>
      <c r="F15890" t="n">
        <v>1</v>
      </c>
      <c r="G15890" t="n">
        <v>75</v>
      </c>
      <c r="H15890" s="5">
        <f>HYPERLINK("https://api.qogita.com/variants/link/6290171074366/", "View Product")</f>
        <v/>
      </c>
    </row>
    <row r="15891">
      <c r="A15891" t="inlineStr">
        <is>
          <t>6290171074380</t>
        </is>
      </c>
      <c r="B15891" t="inlineStr">
        <is>
          <t>Afnan Supremacy Pink Eau De Parfum Spray 100ml Set With Shower Gel And Body Lotion</t>
        </is>
      </c>
      <c r="C15891" t="inlineStr">
        <is>
          <t>Fragrance Sets</t>
        </is>
      </c>
      <c r="D15891" t="inlineStr">
        <is>
          <t>Afnan</t>
        </is>
      </c>
      <c r="E15891" t="n">
        <v>26.11</v>
      </c>
      <c r="F15891" t="n">
        <v>1</v>
      </c>
      <c r="G15891" t="n">
        <v>31</v>
      </c>
      <c r="H15891" s="5">
        <f>HYPERLINK("https://api.qogita.com/variants/link/6290171074380/", "View Product")</f>
        <v/>
      </c>
    </row>
    <row r="15892">
      <c r="A15892" t="inlineStr">
        <is>
          <t>6290171074502</t>
        </is>
      </c>
      <c r="B15892" t="inlineStr">
        <is>
          <t>Zimaya Reserved Oud Perfume</t>
        </is>
      </c>
      <c r="C15892" t="inlineStr">
        <is>
          <t>Eau De Parfum</t>
        </is>
      </c>
      <c r="D15892" t="inlineStr">
        <is>
          <t>Zimaya</t>
        </is>
      </c>
      <c r="E15892" t="n">
        <v>14.61</v>
      </c>
      <c r="F15892" t="n">
        <v>1</v>
      </c>
      <c r="G15892" t="n">
        <v>17</v>
      </c>
      <c r="H15892" s="5">
        <f>HYPERLINK("https://api.qogita.com/variants/link/6290171074502/", "View Product")</f>
        <v/>
      </c>
    </row>
    <row r="15893">
      <c r="A15893" t="inlineStr">
        <is>
          <t>6290171074717</t>
        </is>
      </c>
      <c r="B15893" t="inlineStr">
        <is>
          <t>Zimaya Mazharia - Eau De Parfum</t>
        </is>
      </c>
      <c r="C15893" t="inlineStr">
        <is>
          <t>Eau De Parfum</t>
        </is>
      </c>
      <c r="D15893" t="inlineStr">
        <is>
          <t>Zimaya</t>
        </is>
      </c>
      <c r="E15893" t="n">
        <v>15.03</v>
      </c>
      <c r="F15893" t="n">
        <v>1</v>
      </c>
      <c r="G15893" t="n">
        <v>43</v>
      </c>
      <c r="H15893" s="5">
        <f>HYPERLINK("https://api.qogita.com/variants/link/6290171074717/", "View Product")</f>
        <v/>
      </c>
    </row>
    <row r="15894">
      <c r="A15894" t="inlineStr">
        <is>
          <t>6290171074878</t>
        </is>
      </c>
      <c r="B15894" t="inlineStr">
        <is>
          <t>Zimaya Infrad Noir Edition Perfume</t>
        </is>
      </c>
      <c r="C15894" t="inlineStr">
        <is>
          <t>Eau De Parfum</t>
        </is>
      </c>
      <c r="D15894" t="inlineStr">
        <is>
          <t>Zimaya</t>
        </is>
      </c>
      <c r="E15894" t="n">
        <v>13.02</v>
      </c>
      <c r="F15894" t="n">
        <v>1</v>
      </c>
      <c r="G15894" t="n">
        <v>26</v>
      </c>
      <c r="H15894" s="5">
        <f>HYPERLINK("https://api.qogita.com/variants/link/6290171074878/", "View Product")</f>
        <v/>
      </c>
    </row>
    <row r="15895">
      <c r="A15895" t="inlineStr">
        <is>
          <t>6290171074892</t>
        </is>
      </c>
      <c r="B15895" t="inlineStr">
        <is>
          <t>Zimaya Anhaar Dune Unisex Eau De Parfum 100ml 3.4oz</t>
        </is>
      </c>
      <c r="C15895" t="inlineStr">
        <is>
          <t>Eau De Parfum</t>
        </is>
      </c>
      <c r="D15895" t="inlineStr">
        <is>
          <t>Zimaya</t>
        </is>
      </c>
      <c r="E15895" t="n">
        <v>12.17</v>
      </c>
      <c r="F15895" t="n">
        <v>1</v>
      </c>
      <c r="G15895" t="n">
        <v>80</v>
      </c>
      <c r="H15895" s="5">
        <f>HYPERLINK("https://api.qogita.com/variants/link/6290171074892/", "View Product")</f>
        <v/>
      </c>
    </row>
    <row r="15896">
      <c r="A15896" t="inlineStr">
        <is>
          <t>6290171074960</t>
        </is>
      </c>
      <c r="B15896" t="inlineStr">
        <is>
          <t>Afnan Zimaya Unisex Embratur Elixir Eau De Parfum Spray 34 Oz</t>
        </is>
      </c>
      <c r="C15896" t="inlineStr">
        <is>
          <t>Eau De Parfum</t>
        </is>
      </c>
      <c r="D15896" t="inlineStr">
        <is>
          <t>Afnan</t>
        </is>
      </c>
      <c r="E15896" t="n">
        <v>13.42</v>
      </c>
      <c r="F15896" t="n">
        <v>1</v>
      </c>
      <c r="G15896" t="n">
        <v>12</v>
      </c>
      <c r="H15896" s="5">
        <f>HYPERLINK("https://api.qogita.com/variants/link/6290171074960/", "View Product")</f>
        <v/>
      </c>
    </row>
    <row r="15897">
      <c r="A15897" t="inlineStr">
        <is>
          <t>6290171075042</t>
        </is>
      </c>
      <c r="B15897" t="inlineStr">
        <is>
          <t>Rue Broca Carino Pour Femme - Eau De Parfum</t>
        </is>
      </c>
      <c r="C15897" t="inlineStr">
        <is>
          <t>Eau De Parfum</t>
        </is>
      </c>
      <c r="D15897" t="inlineStr">
        <is>
          <t>Rue Broca</t>
        </is>
      </c>
      <c r="E15897" t="n">
        <v>12.69</v>
      </c>
      <c r="F15897" t="n">
        <v>1</v>
      </c>
      <c r="G15897" t="n">
        <v>8</v>
      </c>
      <c r="H15897" s="5">
        <f>HYPERLINK("https://api.qogita.com/variants/link/6290171075042/", "View Product")</f>
        <v/>
      </c>
    </row>
    <row r="15898">
      <c r="A15898" t="inlineStr">
        <is>
          <t>6290171075059</t>
        </is>
      </c>
      <c r="B15898" t="inlineStr">
        <is>
          <t>Rue Broca League Premier Perfume</t>
        </is>
      </c>
      <c r="C15898" t="inlineStr">
        <is>
          <t>Eau De Parfum</t>
        </is>
      </c>
      <c r="D15898" t="inlineStr">
        <is>
          <t>Rue Broca</t>
        </is>
      </c>
      <c r="E15898" t="n">
        <v>12.59</v>
      </c>
      <c r="F15898" t="n">
        <v>1</v>
      </c>
      <c r="G15898" t="n">
        <v>3</v>
      </c>
      <c r="H15898" s="5">
        <f>HYPERLINK("https://api.qogita.com/variants/link/6290171075059/", "View Product")</f>
        <v/>
      </c>
    </row>
    <row r="15899">
      <c r="A15899" t="inlineStr">
        <is>
          <t>6290171075066</t>
        </is>
      </c>
      <c r="B15899" t="inlineStr">
        <is>
          <t>Rue Broca League Arena Perfume For Men</t>
        </is>
      </c>
      <c r="C15899" t="inlineStr">
        <is>
          <t>Eau De Parfum</t>
        </is>
      </c>
      <c r="D15899" t="inlineStr">
        <is>
          <t>Rue Broca</t>
        </is>
      </c>
      <c r="E15899" t="n">
        <v>14.29</v>
      </c>
      <c r="F15899" t="n">
        <v>1</v>
      </c>
      <c r="G15899" t="n">
        <v>23</v>
      </c>
      <c r="H15899" s="5">
        <f>HYPERLINK("https://api.qogita.com/variants/link/6290171075066/", "View Product")</f>
        <v/>
      </c>
    </row>
    <row r="15900">
      <c r="A15900" t="inlineStr">
        <is>
          <t>6290171075097</t>
        </is>
      </c>
      <c r="B15900" t="inlineStr">
        <is>
          <t>Afnan Zimaya Men's Abadi Opulent Eau De Parfum Spray 34 Oz</t>
        </is>
      </c>
      <c r="C15900" t="inlineStr">
        <is>
          <t>Eau De Parfum</t>
        </is>
      </c>
      <c r="D15900" t="inlineStr">
        <is>
          <t>Afnan</t>
        </is>
      </c>
      <c r="E15900" t="n">
        <v>16.92</v>
      </c>
      <c r="F15900" t="n">
        <v>1</v>
      </c>
      <c r="G15900" t="n">
        <v>337</v>
      </c>
      <c r="H15900" s="5">
        <f>HYPERLINK("https://api.qogita.com/variants/link/6290171075097/", "View Product")</f>
        <v/>
      </c>
    </row>
    <row r="15901">
      <c r="A15901" t="inlineStr">
        <is>
          <t>6290171075158</t>
        </is>
      </c>
      <c r="B15901" t="inlineStr">
        <is>
          <t>Afnan Kiaana Crush - Eau De Parfum</t>
        </is>
      </c>
      <c r="C15901" t="inlineStr">
        <is>
          <t>Eau De Parfum</t>
        </is>
      </c>
      <c r="D15901" t="inlineStr">
        <is>
          <t>Afnan</t>
        </is>
      </c>
      <c r="E15901" t="n">
        <v>21.18</v>
      </c>
      <c r="F15901" t="n">
        <v>1</v>
      </c>
      <c r="G15901" t="n">
        <v>272</v>
      </c>
      <c r="H15901" s="5">
        <f>HYPERLINK("https://api.qogita.com/variants/link/6290171075158/", "View Product")</f>
        <v/>
      </c>
    </row>
    <row r="15902">
      <c r="A15902" t="inlineStr">
        <is>
          <t>6290171075639</t>
        </is>
      </c>
      <c r="B15902" t="inlineStr">
        <is>
          <t>Zimaya Tiramisu Coco - Eau De Parfum</t>
        </is>
      </c>
      <c r="C15902" t="inlineStr">
        <is>
          <t>Eau De Parfum</t>
        </is>
      </c>
      <c r="D15902" t="inlineStr">
        <is>
          <t>Zimaya</t>
        </is>
      </c>
      <c r="E15902" t="n">
        <v>19.11</v>
      </c>
      <c r="F15902" t="n">
        <v>1</v>
      </c>
      <c r="G15902" t="n">
        <v>20</v>
      </c>
      <c r="H15902" s="5">
        <f>HYPERLINK("https://api.qogita.com/variants/link/6290171075639/", "View Product")</f>
        <v/>
      </c>
    </row>
    <row r="15903">
      <c r="A15903" t="inlineStr">
        <is>
          <t>6290171075752</t>
        </is>
      </c>
      <c r="B15903" t="inlineStr">
        <is>
          <t>Afnan Delicious Bouquet Eau De Parfum for Women 2.7 Fl. Oz</t>
        </is>
      </c>
      <c r="C15903" t="inlineStr">
        <is>
          <t>Eau De Parfum</t>
        </is>
      </c>
      <c r="D15903" t="inlineStr">
        <is>
          <t>Afnan</t>
        </is>
      </c>
      <c r="E15903" t="n">
        <v>28.65</v>
      </c>
      <c r="F15903" t="n">
        <v>1</v>
      </c>
      <c r="G15903" t="n">
        <v>646</v>
      </c>
      <c r="H15903" s="5">
        <f>HYPERLINK("https://api.qogita.com/variants/link/6290171075752/", "View Product")</f>
        <v/>
      </c>
    </row>
    <row r="15904">
      <c r="A15904" t="inlineStr">
        <is>
          <t>6290171076698</t>
        </is>
      </c>
      <c r="B15904" t="inlineStr">
        <is>
          <t>Afnan Historic Sahara Unisex Extrait De Parfum 3.4 Fl. Oz</t>
        </is>
      </c>
      <c r="C15904" t="inlineStr">
        <is>
          <t>Extrait De Parfum</t>
        </is>
      </c>
      <c r="D15904" t="inlineStr">
        <is>
          <t>Afnan</t>
        </is>
      </c>
      <c r="E15904" t="n">
        <v>34.87</v>
      </c>
      <c r="F15904" t="n">
        <v>1</v>
      </c>
      <c r="G15904" t="n">
        <v>257</v>
      </c>
      <c r="H15904" s="5">
        <f>HYPERLINK("https://api.qogita.com/variants/link/6290171076698/", "View Product")</f>
        <v/>
      </c>
    </row>
    <row r="15905">
      <c r="A15905" t="inlineStr">
        <is>
          <t>6290171076704</t>
        </is>
      </c>
      <c r="B15905" t="inlineStr">
        <is>
          <t>Afnan Rare Reef Unisex Extrait De Parfum 3.4 Fl. Oz</t>
        </is>
      </c>
      <c r="C15905" t="inlineStr">
        <is>
          <t>Extrait De Parfum</t>
        </is>
      </c>
      <c r="D15905" t="inlineStr">
        <is>
          <t>Afnan</t>
        </is>
      </c>
      <c r="E15905" t="n">
        <v>24.97</v>
      </c>
      <c r="F15905" t="n">
        <v>1</v>
      </c>
      <c r="G15905" t="n">
        <v>459</v>
      </c>
      <c r="H15905" s="5">
        <f>HYPERLINK("https://api.qogita.com/variants/link/6290171076704/", "View Product")</f>
        <v/>
      </c>
    </row>
    <row r="15906">
      <c r="A15906" t="inlineStr">
        <is>
          <t>6290360370774</t>
        </is>
      </c>
      <c r="B15906" t="inlineStr">
        <is>
          <t>Fragrance World Francique 63.55 Eau De Parfum 100ml</t>
        </is>
      </c>
      <c r="C15906" t="inlineStr">
        <is>
          <t>Eau De Parfum</t>
        </is>
      </c>
      <c r="D15906" t="inlineStr">
        <is>
          <t>Fragrance World</t>
        </is>
      </c>
      <c r="E15906" t="n">
        <v>20.17</v>
      </c>
      <c r="F15906" t="n">
        <v>1</v>
      </c>
      <c r="G15906" t="n">
        <v>60</v>
      </c>
      <c r="H15906" s="5">
        <f>HYPERLINK("https://api.qogita.com/variants/link/6290360370774/", "View Product")</f>
        <v/>
      </c>
    </row>
    <row r="15907">
      <c r="A15907" t="inlineStr">
        <is>
          <t>6290360371436</t>
        </is>
      </c>
      <c r="B15907" t="inlineStr">
        <is>
          <t>Fragrance World Jack Of Club Eau De Parfum 100ml</t>
        </is>
      </c>
      <c r="C15907" t="inlineStr">
        <is>
          <t>Eau De Parfum</t>
        </is>
      </c>
      <c r="D15907" t="inlineStr">
        <is>
          <t>Fragrance World</t>
        </is>
      </c>
      <c r="E15907" t="n">
        <v>21.81</v>
      </c>
      <c r="F15907" t="n">
        <v>1</v>
      </c>
      <c r="G15907" t="n">
        <v>213</v>
      </c>
      <c r="H15907" s="5">
        <f>HYPERLINK("https://api.qogita.com/variants/link/6290360371436/", "View Product")</f>
        <v/>
      </c>
    </row>
    <row r="15908">
      <c r="A15908" t="inlineStr">
        <is>
          <t>6290360372075</t>
        </is>
      </c>
      <c r="B15908" t="inlineStr">
        <is>
          <t>Fragrance World Al Raiee Lil Rijal EDP Perfume 100ml</t>
        </is>
      </c>
      <c r="C15908" t="inlineStr">
        <is>
          <t>Eau De Parfum</t>
        </is>
      </c>
      <c r="D15908" t="inlineStr">
        <is>
          <t>Pendora</t>
        </is>
      </c>
      <c r="E15908" t="n">
        <v>16.64</v>
      </c>
      <c r="F15908" t="n">
        <v>1</v>
      </c>
      <c r="G15908" t="n">
        <v>100</v>
      </c>
      <c r="H15908" s="5">
        <f>HYPERLINK("https://api.qogita.com/variants/link/6290360372075/", "View Product")</f>
        <v/>
      </c>
    </row>
    <row r="15909">
      <c r="A15909" t="inlineStr">
        <is>
          <t>6290360372372</t>
        </is>
      </c>
      <c r="B15909" t="inlineStr">
        <is>
          <t>Safari Eau De Parfum By Athoor Al Alam - 90 Ml</t>
        </is>
      </c>
      <c r="C15909" t="inlineStr">
        <is>
          <t>Eau De Parfum</t>
        </is>
      </c>
      <c r="D15909" t="inlineStr">
        <is>
          <t>Safari</t>
        </is>
      </c>
      <c r="E15909" t="n">
        <v>11.77</v>
      </c>
      <c r="F15909" t="n">
        <v>1</v>
      </c>
      <c r="G15909" t="n">
        <v>60</v>
      </c>
      <c r="H15909" s="5">
        <f>HYPERLINK("https://api.qogita.com/variants/link/6290360372372/", "View Product")</f>
        <v/>
      </c>
    </row>
    <row r="15910">
      <c r="A15910" t="inlineStr">
        <is>
          <t>6290360372389</t>
        </is>
      </c>
      <c r="B15910" t="inlineStr">
        <is>
          <t>Safari Elixir Eau De Parfum - 90 Ml Unisex</t>
        </is>
      </c>
      <c r="C15910" t="inlineStr">
        <is>
          <t>Eau De Parfum</t>
        </is>
      </c>
      <c r="D15910" t="inlineStr">
        <is>
          <t>Safari</t>
        </is>
      </c>
      <c r="E15910" t="n">
        <v>12.89</v>
      </c>
      <c r="F15910" t="n">
        <v>1</v>
      </c>
      <c r="G15910" t="n">
        <v>26</v>
      </c>
      <c r="H15910" s="5">
        <f>HYPERLINK("https://api.qogita.com/variants/link/6290360372389/", "View Product")</f>
        <v/>
      </c>
    </row>
    <row r="15911">
      <c r="A15911" t="inlineStr">
        <is>
          <t>6290360372730</t>
        </is>
      </c>
      <c r="B15911" t="inlineStr">
        <is>
          <t>Fragrance World Spectre Perfumed Water Unisex 80ml Arabic Perfume Eau De Parfum</t>
        </is>
      </c>
      <c r="C15911" t="inlineStr">
        <is>
          <t>Eau De Parfum</t>
        </is>
      </c>
      <c r="D15911" t="inlineStr">
        <is>
          <t>Fragrance World</t>
        </is>
      </c>
      <c r="E15911" t="n">
        <v>28.86</v>
      </c>
      <c r="F15911" t="n">
        <v>1</v>
      </c>
      <c r="G15911" t="n">
        <v>37</v>
      </c>
      <c r="H15911" s="5">
        <f>HYPERLINK("https://api.qogita.com/variants/link/6290360372730/", "View Product")</f>
        <v/>
      </c>
    </row>
    <row r="15912">
      <c r="A15912" t="inlineStr">
        <is>
          <t>6290360373188</t>
        </is>
      </c>
      <c r="B15912" t="inlineStr">
        <is>
          <t>Fragrance World L'Infinite Jacques Yves Eau De Parfum 100ml</t>
        </is>
      </c>
      <c r="C15912" t="inlineStr">
        <is>
          <t>Eau De Parfum</t>
        </is>
      </c>
      <c r="D15912" t="inlineStr">
        <is>
          <t>Fragrance World</t>
        </is>
      </c>
      <c r="E15912" t="n">
        <v>9.720000000000001</v>
      </c>
      <c r="F15912" t="n">
        <v>1</v>
      </c>
      <c r="G15912" t="n">
        <v>58</v>
      </c>
      <c r="H15912" s="5">
        <f>HYPERLINK("https://api.qogita.com/variants/link/6290360373188/", "View Product")</f>
        <v/>
      </c>
    </row>
    <row r="15913">
      <c r="A15913" t="inlineStr">
        <is>
          <t>6290360373300</t>
        </is>
      </c>
      <c r="B15913" t="inlineStr">
        <is>
          <t>Fragrance World Montera Rouge Tobacco Eau De Parfum 100ml</t>
        </is>
      </c>
      <c r="C15913" t="inlineStr">
        <is>
          <t>Eau De Parfum</t>
        </is>
      </c>
      <c r="D15913" t="inlineStr">
        <is>
          <t>Fragrance World</t>
        </is>
      </c>
      <c r="E15913" t="n">
        <v>10.45</v>
      </c>
      <c r="F15913" t="n">
        <v>1</v>
      </c>
      <c r="G15913" t="n">
        <v>64</v>
      </c>
      <c r="H15913" s="5">
        <f>HYPERLINK("https://api.qogita.com/variants/link/6290360373300/", "View Product")</f>
        <v/>
      </c>
    </row>
    <row r="15914">
      <c r="A15914" t="inlineStr">
        <is>
          <t>6290360373393</t>
        </is>
      </c>
      <c r="B15914" t="inlineStr">
        <is>
          <t>Fragrance World Suits Eau de Parfum Perfume for Unisex 100ml 3.4 Fl Oz</t>
        </is>
      </c>
      <c r="C15914" t="inlineStr">
        <is>
          <t>Eau De Parfum</t>
        </is>
      </c>
      <c r="D15914" t="inlineStr">
        <is>
          <t>Fragrance World</t>
        </is>
      </c>
      <c r="E15914" t="n">
        <v>9.220000000000001</v>
      </c>
      <c r="F15914" t="n">
        <v>1</v>
      </c>
      <c r="G15914" t="n">
        <v>56</v>
      </c>
      <c r="H15914" s="5">
        <f>HYPERLINK("https://api.qogita.com/variants/link/6290360373393/", "View Product")</f>
        <v/>
      </c>
    </row>
    <row r="15915">
      <c r="A15915" t="inlineStr">
        <is>
          <t>6290360374765</t>
        </is>
      </c>
      <c r="B15915" t="inlineStr">
        <is>
          <t>French Avenue Spicy Amber Eau De Parfum 100ml</t>
        </is>
      </c>
      <c r="C15915" t="inlineStr">
        <is>
          <t>Eau De Parfum</t>
        </is>
      </c>
      <c r="D15915" t="inlineStr">
        <is>
          <t>French Avenue</t>
        </is>
      </c>
      <c r="E15915" t="n">
        <v>19.46</v>
      </c>
      <c r="F15915" t="n">
        <v>1</v>
      </c>
      <c r="G15915" t="n">
        <v>15</v>
      </c>
      <c r="H15915" s="5">
        <f>HYPERLINK("https://api.qogita.com/variants/link/6290360374765/", "View Product")</f>
        <v/>
      </c>
    </row>
    <row r="15916">
      <c r="A15916" t="inlineStr">
        <is>
          <t>6290360375915</t>
        </is>
      </c>
      <c r="B15916" t="inlineStr">
        <is>
          <t>Fragrance World Velvet Accent Eau De Parfum 100ml</t>
        </is>
      </c>
      <c r="C15916" t="inlineStr">
        <is>
          <t>Eau De Parfum</t>
        </is>
      </c>
      <c r="D15916" t="inlineStr">
        <is>
          <t>Fragrance World</t>
        </is>
      </c>
      <c r="E15916" t="n">
        <v>12.36</v>
      </c>
      <c r="F15916" t="n">
        <v>1</v>
      </c>
      <c r="G15916" t="n">
        <v>35</v>
      </c>
      <c r="H15916" s="5">
        <f>HYPERLINK("https://api.qogita.com/variants/link/6290360375915/", "View Product")</f>
        <v/>
      </c>
    </row>
    <row r="15917">
      <c r="A15917" t="inlineStr">
        <is>
          <t>6290360375922</t>
        </is>
      </c>
      <c r="B15917" t="inlineStr">
        <is>
          <t>Velvet Grande Eau De Parfum 100ml</t>
        </is>
      </c>
      <c r="C15917" t="inlineStr">
        <is>
          <t>Eau De Parfum</t>
        </is>
      </c>
      <c r="D15917" t="inlineStr">
        <is>
          <t>Fragrance World</t>
        </is>
      </c>
      <c r="E15917" t="n">
        <v>12.36</v>
      </c>
      <c r="F15917" t="n">
        <v>1</v>
      </c>
      <c r="G15917" t="n">
        <v>44</v>
      </c>
      <c r="H15917" s="5">
        <f>HYPERLINK("https://api.qogita.com/variants/link/6290360375922/", "View Product")</f>
        <v/>
      </c>
    </row>
    <row r="15918">
      <c r="A15918" t="inlineStr">
        <is>
          <t>6290360375977</t>
        </is>
      </c>
      <c r="B15918" t="inlineStr">
        <is>
          <t>Fragrance World Eau De Parfum Jour For Men, 100 Ml</t>
        </is>
      </c>
      <c r="C15918" t="inlineStr">
        <is>
          <t>Eau De Parfum</t>
        </is>
      </c>
      <c r="D15918" t="inlineStr">
        <is>
          <t>Fragrance World</t>
        </is>
      </c>
      <c r="E15918" t="n">
        <v>12.36</v>
      </c>
      <c r="F15918" t="n">
        <v>1</v>
      </c>
      <c r="G15918" t="n">
        <v>38</v>
      </c>
      <c r="H15918" s="5">
        <f>HYPERLINK("https://api.qogita.com/variants/link/6290360375977/", "View Product")</f>
        <v/>
      </c>
    </row>
    <row r="15919">
      <c r="A15919" t="inlineStr">
        <is>
          <t>6290360376523</t>
        </is>
      </c>
      <c r="B15919" t="inlineStr">
        <is>
          <t>Fragrance World French Avenue Elysian Onyx Eau De Parfum for Men 80ml</t>
        </is>
      </c>
      <c r="C15919" t="inlineStr">
        <is>
          <t>Eau De Parfum</t>
        </is>
      </c>
      <c r="D15919" t="inlineStr">
        <is>
          <t>Fragrance World</t>
        </is>
      </c>
      <c r="E15919" t="n">
        <v>39.63</v>
      </c>
      <c r="F15919" t="n">
        <v>1</v>
      </c>
      <c r="G15919" t="n">
        <v>14</v>
      </c>
      <c r="H15919" s="5">
        <f>HYPERLINK("https://api.qogita.com/variants/link/6290360376523/", "View Product")</f>
        <v/>
      </c>
    </row>
    <row r="15920">
      <c r="A15920" t="inlineStr">
        <is>
          <t>6290360376592</t>
        </is>
      </c>
      <c r="B15920" t="inlineStr">
        <is>
          <t>Irida Extrait De Parfum 100ml</t>
        </is>
      </c>
      <c r="C15920" t="inlineStr">
        <is>
          <t>Extrait De Parfum</t>
        </is>
      </c>
      <c r="D15920" t="inlineStr">
        <is>
          <t>French Avenue</t>
        </is>
      </c>
      <c r="E15920" t="n">
        <v>30.15</v>
      </c>
      <c r="F15920" t="n">
        <v>1</v>
      </c>
      <c r="G15920" t="n">
        <v>87</v>
      </c>
      <c r="H15920" s="5">
        <f>HYPERLINK("https://api.qogita.com/variants/link/6290360376592/", "View Product")</f>
        <v/>
      </c>
    </row>
    <row r="15921">
      <c r="A15921" t="inlineStr">
        <is>
          <t>6290360377346</t>
        </is>
      </c>
      <c r="B15921" t="inlineStr">
        <is>
          <t>Fragrance World Eau De Parfum Dastoor Lil Nissa For Women, 100 Ml</t>
        </is>
      </c>
      <c r="C15921" t="inlineStr">
        <is>
          <t>Eau De Parfum</t>
        </is>
      </c>
      <c r="D15921" t="inlineStr">
        <is>
          <t>Fragrance World</t>
        </is>
      </c>
      <c r="E15921" t="n">
        <v>20.78</v>
      </c>
      <c r="F15921" t="n">
        <v>1</v>
      </c>
      <c r="G15921" t="n">
        <v>19</v>
      </c>
      <c r="H15921" s="5">
        <f>HYPERLINK("https://api.qogita.com/variants/link/6290360377346/", "View Product")</f>
        <v/>
      </c>
    </row>
    <row r="15922">
      <c r="A15922" t="inlineStr">
        <is>
          <t>6290360378206</t>
        </is>
      </c>
      <c r="B15922" t="inlineStr">
        <is>
          <t>French Avenue Grecia White 100ml Women's Fragrance</t>
        </is>
      </c>
      <c r="C15922" t="inlineStr">
        <is>
          <t>Eau De Parfum</t>
        </is>
      </c>
      <c r="D15922" t="inlineStr">
        <is>
          <t>French Avenue</t>
        </is>
      </c>
      <c r="E15922" t="n">
        <v>32.21</v>
      </c>
      <c r="F15922" t="n">
        <v>1</v>
      </c>
      <c r="G15922" t="n">
        <v>459</v>
      </c>
      <c r="H15922" s="5">
        <f>HYPERLINK("https://api.qogita.com/variants/link/6290360378206/", "View Product")</f>
        <v/>
      </c>
    </row>
    <row r="15923">
      <c r="A15923" t="inlineStr">
        <is>
          <t>6290360378220</t>
        </is>
      </c>
      <c r="B15923" t="inlineStr">
        <is>
          <t>Fragrance World Mythical Gryphon Eau De Parfum For Men, 100 Ml</t>
        </is>
      </c>
      <c r="C15923" t="inlineStr">
        <is>
          <t>Eau De Parfum</t>
        </is>
      </c>
      <c r="D15923" t="inlineStr">
        <is>
          <t>Fragrance World</t>
        </is>
      </c>
      <c r="E15923" t="n">
        <v>28.33</v>
      </c>
      <c r="F15923" t="n">
        <v>1</v>
      </c>
      <c r="G15923" t="n">
        <v>95</v>
      </c>
      <c r="H15923" s="5">
        <f>HYPERLINK("https://api.qogita.com/variants/link/6290360378220/", "View Product")</f>
        <v/>
      </c>
    </row>
    <row r="15924">
      <c r="A15924" t="inlineStr">
        <is>
          <t>6290360378411</t>
        </is>
      </c>
      <c r="B15924" t="inlineStr">
        <is>
          <t>French Avenue Royal Blend Bourbon Extract Eau De Parfum 100ml</t>
        </is>
      </c>
      <c r="C15924" t="inlineStr">
        <is>
          <t>Eau De Parfum</t>
        </is>
      </c>
      <c r="D15924" t="inlineStr">
        <is>
          <t>French Avenue</t>
        </is>
      </c>
      <c r="E15924" t="n">
        <v>25.35</v>
      </c>
      <c r="F15924" t="n">
        <v>1</v>
      </c>
      <c r="G15924" t="n">
        <v>69</v>
      </c>
      <c r="H15924" s="5">
        <f>HYPERLINK("https://api.qogita.com/variants/link/6290360378411/", "View Product")</f>
        <v/>
      </c>
    </row>
    <row r="15925">
      <c r="A15925" t="inlineStr">
        <is>
          <t>6290360378596</t>
        </is>
      </c>
      <c r="B15925" t="inlineStr">
        <is>
          <t>French Avenue Opus Grande Eau De Parfum 100ml</t>
        </is>
      </c>
      <c r="C15925" t="inlineStr">
        <is>
          <t>Eau De Parfum</t>
        </is>
      </c>
      <c r="D15925" t="inlineStr">
        <is>
          <t>French Avenue</t>
        </is>
      </c>
      <c r="E15925" t="n">
        <v>41.49</v>
      </c>
      <c r="F15925" t="n">
        <v>1</v>
      </c>
      <c r="G15925" t="n">
        <v>5</v>
      </c>
      <c r="H15925" s="5">
        <f>HYPERLINK("https://api.qogita.com/variants/link/6290360378596/", "View Product")</f>
        <v/>
      </c>
    </row>
    <row r="15926">
      <c r="A15926" t="inlineStr">
        <is>
          <t>6290360378602</t>
        </is>
      </c>
      <c r="B15926" t="inlineStr">
        <is>
          <t>French Avenue Cocoa Morado Eau De Parfum 100ml</t>
        </is>
      </c>
      <c r="C15926" t="inlineStr">
        <is>
          <t>Eau De Parfum</t>
        </is>
      </c>
      <c r="D15926" t="inlineStr">
        <is>
          <t>French Avenue</t>
        </is>
      </c>
      <c r="E15926" t="n">
        <v>23.76</v>
      </c>
      <c r="F15926" t="n">
        <v>1</v>
      </c>
      <c r="G15926" t="n">
        <v>24</v>
      </c>
      <c r="H15926" s="5">
        <f>HYPERLINK("https://api.qogita.com/variants/link/6290360378602/", "View Product")</f>
        <v/>
      </c>
    </row>
    <row r="15927">
      <c r="A15927" t="inlineStr">
        <is>
          <t>6290360378633</t>
        </is>
      </c>
      <c r="B15927" t="inlineStr">
        <is>
          <t>French Avenue Genesis Collection Taurus</t>
        </is>
      </c>
      <c r="C15927" t="inlineStr">
        <is>
          <t>Eau De Parfum</t>
        </is>
      </c>
      <c r="D15927" t="inlineStr">
        <is>
          <t>French Avenue</t>
        </is>
      </c>
      <c r="E15927" t="n">
        <v>29.56</v>
      </c>
      <c r="F15927" t="n">
        <v>1</v>
      </c>
      <c r="G15927" t="n">
        <v>64</v>
      </c>
      <c r="H15927" s="5">
        <f>HYPERLINK("https://api.qogita.com/variants/link/6290360378633/", "View Product")</f>
        <v/>
      </c>
    </row>
    <row r="15928">
      <c r="A15928" t="inlineStr">
        <is>
          <t>6290360378695</t>
        </is>
      </c>
      <c r="B15928" t="inlineStr">
        <is>
          <t>French Avenue Genesis Virgo EDP Unisex 3.0 Fl Oz Woody Ambery</t>
        </is>
      </c>
      <c r="C15928" t="inlineStr">
        <is>
          <t>Eau De Parfum</t>
        </is>
      </c>
      <c r="D15928" t="inlineStr">
        <is>
          <t>French Avenue</t>
        </is>
      </c>
      <c r="E15928" t="n">
        <v>29.56</v>
      </c>
      <c r="F15928" t="n">
        <v>1</v>
      </c>
      <c r="G15928" t="n">
        <v>70</v>
      </c>
      <c r="H15928" s="5">
        <f>HYPERLINK("https://api.qogita.com/variants/link/6290360378695/", "View Product")</f>
        <v/>
      </c>
    </row>
    <row r="15929">
      <c r="A15929" t="inlineStr">
        <is>
          <t>6290360378930</t>
        </is>
      </c>
      <c r="B15929" t="inlineStr">
        <is>
          <t>Fragrance World French Avenue Zenith Blue Eau De Parfum 100ml</t>
        </is>
      </c>
      <c r="C15929" t="inlineStr">
        <is>
          <t>Eau De Parfum</t>
        </is>
      </c>
      <c r="D15929" t="inlineStr">
        <is>
          <t>Fragrance World</t>
        </is>
      </c>
      <c r="E15929" t="n">
        <v>29.76</v>
      </c>
      <c r="F15929" t="n">
        <v>1</v>
      </c>
      <c r="G15929" t="n">
        <v>21</v>
      </c>
      <c r="H15929" s="5">
        <f>HYPERLINK("https://api.qogita.com/variants/link/6290360378930/", "View Product")</f>
        <v/>
      </c>
    </row>
    <row r="15930">
      <c r="A15930" t="inlineStr">
        <is>
          <t>6290360379449</t>
        </is>
      </c>
      <c r="B15930" t="inlineStr">
        <is>
          <t>Fragrance World Inizio For Him 100 Ml Eau De Parfum</t>
        </is>
      </c>
      <c r="C15930" t="inlineStr">
        <is>
          <t>Eau De Parfum</t>
        </is>
      </c>
      <c r="D15930" t="inlineStr">
        <is>
          <t>Fragrance World</t>
        </is>
      </c>
      <c r="E15930" t="n">
        <v>20.75</v>
      </c>
      <c r="F15930" t="n">
        <v>1</v>
      </c>
      <c r="G15930" t="n">
        <v>244</v>
      </c>
      <c r="H15930" s="5">
        <f>HYPERLINK("https://api.qogita.com/variants/link/6290360379449/", "View Product")</f>
        <v/>
      </c>
    </row>
    <row r="15931">
      <c r="A15931" t="inlineStr">
        <is>
          <t>6290360379647</t>
        </is>
      </c>
      <c r="B15931" t="inlineStr">
        <is>
          <t>Fragrance World French Avenue Chaos Extrait 100 Ml</t>
        </is>
      </c>
      <c r="C15931" t="inlineStr">
        <is>
          <t>Extrait De Parfum</t>
        </is>
      </c>
      <c r="D15931" t="inlineStr">
        <is>
          <t>Fragrance World</t>
        </is>
      </c>
      <c r="E15931" t="n">
        <v>28.35</v>
      </c>
      <c r="F15931" t="n">
        <v>1</v>
      </c>
      <c r="G15931" t="n">
        <v>459</v>
      </c>
      <c r="H15931" s="5">
        <f>HYPERLINK("https://api.qogita.com/variants/link/6290360379647/", "View Product")</f>
        <v/>
      </c>
    </row>
    <row r="15932">
      <c r="A15932" t="inlineStr">
        <is>
          <t>6290360379661</t>
        </is>
      </c>
      <c r="B15932" t="inlineStr">
        <is>
          <t>Fragrance World Eau De Parfum Jamr By Athoor Al Alam, Unisex, 100 Ml</t>
        </is>
      </c>
      <c r="C15932" t="inlineStr">
        <is>
          <t>Eau De Parfum</t>
        </is>
      </c>
      <c r="D15932" t="inlineStr">
        <is>
          <t>Fragrance World</t>
        </is>
      </c>
      <c r="E15932" t="n">
        <v>22.42</v>
      </c>
      <c r="F15932" t="n">
        <v>1</v>
      </c>
      <c r="G15932" t="n">
        <v>31</v>
      </c>
      <c r="H15932" s="5">
        <f>HYPERLINK("https://api.qogita.com/variants/link/6290360379661/", "View Product")</f>
        <v/>
      </c>
    </row>
    <row r="15933">
      <c r="A15933" t="inlineStr">
        <is>
          <t>6290360590110</t>
        </is>
      </c>
      <c r="B15933" t="inlineStr">
        <is>
          <t>Lattafa Pride Lahdath Eau De Parfum 80ml</t>
        </is>
      </c>
      <c r="C15933" t="inlineStr">
        <is>
          <t>Eau De Parfum</t>
        </is>
      </c>
      <c r="D15933" t="inlineStr">
        <is>
          <t>Lattafa</t>
        </is>
      </c>
      <c r="E15933" t="n">
        <v>23.47</v>
      </c>
      <c r="F15933" t="n">
        <v>1</v>
      </c>
      <c r="G15933" t="n">
        <v>87</v>
      </c>
      <c r="H15933" s="5">
        <f>HYPERLINK("https://api.qogita.com/variants/link/6290360590110/", "View Product")</f>
        <v/>
      </c>
    </row>
    <row r="15934">
      <c r="A15934" t="inlineStr">
        <is>
          <t>6290360590127</t>
        </is>
      </c>
      <c r="B15934" t="inlineStr">
        <is>
          <t>Lattafa Thouq Eau De Parfum Spray 80ml</t>
        </is>
      </c>
      <c r="C15934" t="inlineStr">
        <is>
          <t>Eau De Parfum</t>
        </is>
      </c>
      <c r="D15934" t="inlineStr">
        <is>
          <t>Lattafa</t>
        </is>
      </c>
      <c r="E15934" t="n">
        <v>18.95</v>
      </c>
      <c r="F15934" t="n">
        <v>1</v>
      </c>
      <c r="G15934" t="n">
        <v>113</v>
      </c>
      <c r="H15934" s="5">
        <f>HYPERLINK("https://api.qogita.com/variants/link/6290360590127/", "View Product")</f>
        <v/>
      </c>
    </row>
    <row r="15935">
      <c r="A15935" t="inlineStr">
        <is>
          <t>6290360590639</t>
        </is>
      </c>
      <c r="B15935" t="inlineStr">
        <is>
          <t>Maison Alhambra Oasis Eau de Parfum Spray for Unisex 3.4 Ounce</t>
        </is>
      </c>
      <c r="C15935" t="inlineStr">
        <is>
          <t>Eau De Parfum</t>
        </is>
      </c>
      <c r="D15935" t="inlineStr">
        <is>
          <t>Maison Alhambra</t>
        </is>
      </c>
      <c r="E15935" t="n">
        <v>10.98</v>
      </c>
      <c r="F15935" t="n">
        <v>1</v>
      </c>
      <c r="G15935" t="n">
        <v>68</v>
      </c>
      <c r="H15935" s="5">
        <f>HYPERLINK("https://api.qogita.com/variants/link/6290360590639/", "View Product")</f>
        <v/>
      </c>
    </row>
    <row r="15936">
      <c r="A15936" t="inlineStr">
        <is>
          <t>6290360590653</t>
        </is>
      </c>
      <c r="B15936" t="inlineStr">
        <is>
          <t>Maison Alhambra So Candid Pour Homme Eau De Parfum 100ml</t>
        </is>
      </c>
      <c r="C15936" t="inlineStr">
        <is>
          <t>Eau De Parfum</t>
        </is>
      </c>
      <c r="D15936" t="inlineStr">
        <is>
          <t>Maison Alhambra</t>
        </is>
      </c>
      <c r="E15936" t="n">
        <v>12.6</v>
      </c>
      <c r="F15936" t="n">
        <v>1</v>
      </c>
      <c r="G15936" t="n">
        <v>52</v>
      </c>
      <c r="H15936" s="5">
        <f>HYPERLINK("https://api.qogita.com/variants/link/6290360590653/", "View Product")</f>
        <v/>
      </c>
    </row>
    <row r="15937">
      <c r="A15937" t="inlineStr">
        <is>
          <t>6290360590684</t>
        </is>
      </c>
      <c r="B15937" t="inlineStr">
        <is>
          <t>Maison Alhambra Domino Essence Eau De Parfum 100ml</t>
        </is>
      </c>
      <c r="C15937" t="inlineStr">
        <is>
          <t>Eau De Parfum</t>
        </is>
      </c>
      <c r="D15937" t="inlineStr">
        <is>
          <t>Maison Alhambra</t>
        </is>
      </c>
      <c r="E15937" t="n">
        <v>17.08</v>
      </c>
      <c r="F15937" t="n">
        <v>1</v>
      </c>
      <c r="G15937" t="n">
        <v>81</v>
      </c>
      <c r="H15937" s="5">
        <f>HYPERLINK("https://api.qogita.com/variants/link/6290360590684/", "View Product")</f>
        <v/>
      </c>
    </row>
    <row r="15938">
      <c r="A15938" t="inlineStr">
        <is>
          <t>6290360590707</t>
        </is>
      </c>
      <c r="B15938" t="inlineStr">
        <is>
          <t>Maison Alhambra Chic Velvet Vert Secret Eau De Parfum Spray 100ml</t>
        </is>
      </c>
      <c r="C15938" t="inlineStr">
        <is>
          <t>Eau De Parfum</t>
        </is>
      </c>
      <c r="D15938" t="inlineStr">
        <is>
          <t>Maison Alhambra</t>
        </is>
      </c>
      <c r="E15938" t="n">
        <v>9.720000000000001</v>
      </c>
      <c r="F15938" t="n">
        <v>1</v>
      </c>
      <c r="G15938" t="n">
        <v>459</v>
      </c>
      <c r="H15938" s="5">
        <f>HYPERLINK("https://api.qogita.com/variants/link/6290360590707/", "View Product")</f>
        <v/>
      </c>
    </row>
    <row r="15939">
      <c r="A15939" t="inlineStr">
        <is>
          <t>6290360590790</t>
        </is>
      </c>
      <c r="B15939" t="inlineStr">
        <is>
          <t>Montaigne Coco 100ml Maison Alhambra Eau De Parfum Unisex</t>
        </is>
      </c>
      <c r="C15939" t="inlineStr">
        <is>
          <t>Eau De Parfum</t>
        </is>
      </c>
      <c r="D15939" t="inlineStr">
        <is>
          <t>Maison Alhambra</t>
        </is>
      </c>
      <c r="E15939" t="n">
        <v>10.28</v>
      </c>
      <c r="F15939" t="n">
        <v>1</v>
      </c>
      <c r="G15939" t="n">
        <v>138</v>
      </c>
      <c r="H15939" s="5">
        <f>HYPERLINK("https://api.qogita.com/variants/link/6290360590790/", "View Product")</f>
        <v/>
      </c>
    </row>
    <row r="15940">
      <c r="A15940" t="inlineStr">
        <is>
          <t>6290360590813</t>
        </is>
      </c>
      <c r="B15940" t="inlineStr">
        <is>
          <t>Maison Alhambra Unisex Dark Door Intense Eau De Parfum Spray</t>
        </is>
      </c>
      <c r="C15940" t="inlineStr">
        <is>
          <t>Eau De Parfum</t>
        </is>
      </c>
      <c r="D15940" t="inlineStr">
        <is>
          <t>Maison Alhambra</t>
        </is>
      </c>
      <c r="E15940" t="n">
        <v>11.21</v>
      </c>
      <c r="F15940" t="n">
        <v>1</v>
      </c>
      <c r="G15940" t="n">
        <v>246</v>
      </c>
      <c r="H15940" s="5">
        <f>HYPERLINK("https://api.qogita.com/variants/link/6290360590813/", "View Product")</f>
        <v/>
      </c>
    </row>
    <row r="15941">
      <c r="A15941" t="inlineStr">
        <is>
          <t>6290360590820</t>
        </is>
      </c>
      <c r="B15941" t="inlineStr">
        <is>
          <t>Maison Alhambra Dark Door Sport Eau De Parfum Spray 100ml</t>
        </is>
      </c>
      <c r="C15941" t="inlineStr">
        <is>
          <t>Eau De Parfum</t>
        </is>
      </c>
      <c r="D15941" t="inlineStr">
        <is>
          <t>Maison Alhambra</t>
        </is>
      </c>
      <c r="E15941" t="n">
        <v>10.14</v>
      </c>
      <c r="F15941" t="n">
        <v>1</v>
      </c>
      <c r="G15941" t="n">
        <v>389</v>
      </c>
      <c r="H15941" s="5">
        <f>HYPERLINK("https://api.qogita.com/variants/link/6290360590820/", "View Product")</f>
        <v/>
      </c>
    </row>
    <row r="15942">
      <c r="A15942" t="inlineStr">
        <is>
          <t>6290360590868</t>
        </is>
      </c>
      <c r="B15942" t="inlineStr">
        <is>
          <t>Ameerat Al Arab Prive Rose Perfumed Water Spray 100ml</t>
        </is>
      </c>
      <c r="C15942" t="inlineStr">
        <is>
          <t>Eau De Parfum</t>
        </is>
      </c>
      <c r="D15942" t="inlineStr">
        <is>
          <t>Asdaaf</t>
        </is>
      </c>
      <c r="E15942" t="n">
        <v>12.76</v>
      </c>
      <c r="F15942" t="n">
        <v>1</v>
      </c>
      <c r="G15942" t="n">
        <v>255</v>
      </c>
      <c r="H15942" s="5">
        <f>HYPERLINK("https://api.qogita.com/variants/link/6290360590868/", "View Product")</f>
        <v/>
      </c>
    </row>
    <row r="15943">
      <c r="A15943" t="inlineStr">
        <is>
          <t>6290360591124</t>
        </is>
      </c>
      <c r="B15943" t="inlineStr">
        <is>
          <t>Maison Alhambra Narissa Rose Musc for Her by Maison Alhambra EAU DE PARFUM SPRAY 3.4 OZ for WOMEN</t>
        </is>
      </c>
      <c r="C15943" t="inlineStr">
        <is>
          <t>Eau De Parfum</t>
        </is>
      </c>
      <c r="D15943" t="inlineStr">
        <is>
          <t>Maison Alhambra</t>
        </is>
      </c>
      <c r="E15943" t="n">
        <v>10.08</v>
      </c>
      <c r="F15943" t="n">
        <v>1</v>
      </c>
      <c r="G15943" t="n">
        <v>419</v>
      </c>
      <c r="H15943" s="5">
        <f>HYPERLINK("https://api.qogita.com/variants/link/6290360591124/", "View Product")</f>
        <v/>
      </c>
    </row>
    <row r="15944">
      <c r="A15944" t="inlineStr">
        <is>
          <t>6290360591513</t>
        </is>
      </c>
      <c r="B15944" t="inlineStr">
        <is>
          <t>Lattafa Jasoor Eau De Parfum Spray for Men 3.4 Ounce</t>
        </is>
      </c>
      <c r="C15944" t="inlineStr">
        <is>
          <t>Eau De Parfum</t>
        </is>
      </c>
      <c r="D15944" t="inlineStr">
        <is>
          <t>Lattafa</t>
        </is>
      </c>
      <c r="E15944" t="n">
        <v>26.49</v>
      </c>
      <c r="F15944" t="n">
        <v>1</v>
      </c>
      <c r="G15944" t="n">
        <v>1</v>
      </c>
      <c r="H15944" s="5">
        <f>HYPERLINK("https://api.qogita.com/variants/link/6290360591513/", "View Product")</f>
        <v/>
      </c>
    </row>
    <row r="15945">
      <c r="A15945" t="inlineStr">
        <is>
          <t>6290360591520</t>
        </is>
      </c>
      <c r="B15945" t="inlineStr">
        <is>
          <t>Lattafa Perfumes Liam Blue Shine Eau De Parfum 100ml</t>
        </is>
      </c>
      <c r="C15945" t="inlineStr">
        <is>
          <t>Eau De Parfum</t>
        </is>
      </c>
      <c r="D15945" t="inlineStr">
        <is>
          <t>Lattafa</t>
        </is>
      </c>
      <c r="E15945" t="n">
        <v>20.54</v>
      </c>
      <c r="F15945" t="n">
        <v>1</v>
      </c>
      <c r="G15945" t="n">
        <v>86</v>
      </c>
      <c r="H15945" s="5">
        <f>HYPERLINK("https://api.qogita.com/variants/link/6290360591520/", "View Product")</f>
        <v/>
      </c>
    </row>
    <row r="15946">
      <c r="A15946" t="inlineStr">
        <is>
          <t>6290360591551</t>
        </is>
      </c>
      <c r="B15946" t="inlineStr">
        <is>
          <t>Lattafa Ajayeb Dubai Eau De Parfum Spray 100ml</t>
        </is>
      </c>
      <c r="C15946" t="inlineStr">
        <is>
          <t>Eau De Parfum</t>
        </is>
      </c>
      <c r="D15946" t="inlineStr">
        <is>
          <t>Lattafa</t>
        </is>
      </c>
      <c r="E15946" t="n">
        <v>11.52</v>
      </c>
      <c r="F15946" t="n">
        <v>1</v>
      </c>
      <c r="G15946" t="n">
        <v>234</v>
      </c>
      <c r="H15946" s="5">
        <f>HYPERLINK("https://api.qogita.com/variants/link/6290360591551/", "View Product")</f>
        <v/>
      </c>
    </row>
    <row r="15947">
      <c r="A15947" t="inlineStr">
        <is>
          <t>6290360591568</t>
        </is>
      </c>
      <c r="B15947" t="inlineStr">
        <is>
          <t>Ajayeb Dubai Portrait Perfumed Water Spray 100ml</t>
        </is>
      </c>
      <c r="C15947" t="inlineStr">
        <is>
          <t>Eau De Parfum</t>
        </is>
      </c>
      <c r="D15947" t="inlineStr">
        <is>
          <t>Ajayeb</t>
        </is>
      </c>
      <c r="E15947" t="n">
        <v>12.08</v>
      </c>
      <c r="F15947" t="n">
        <v>1</v>
      </c>
      <c r="G15947" t="n">
        <v>83</v>
      </c>
      <c r="H15947" s="5">
        <f>HYPERLINK("https://api.qogita.com/variants/link/6290360591568/", "View Product")</f>
        <v/>
      </c>
    </row>
    <row r="15948">
      <c r="A15948" t="inlineStr">
        <is>
          <t>6290360592008</t>
        </is>
      </c>
      <c r="B15948" t="inlineStr">
        <is>
          <t>Lattafa Art Of Nature I Eau De Parfum 100ml Spray</t>
        </is>
      </c>
      <c r="C15948" t="inlineStr">
        <is>
          <t>Fragrance Sets</t>
        </is>
      </c>
      <c r="D15948" t="inlineStr">
        <is>
          <t>Lattafa</t>
        </is>
      </c>
      <c r="E15948" t="n">
        <v>28.92</v>
      </c>
      <c r="F15948" t="n">
        <v>1</v>
      </c>
      <c r="G15948" t="n">
        <v>280</v>
      </c>
      <c r="H15948" s="5">
        <f>HYPERLINK("https://api.qogita.com/variants/link/6290360592008/", "View Product")</f>
        <v/>
      </c>
    </row>
    <row r="15949">
      <c r="A15949" t="inlineStr">
        <is>
          <t>6290360592176</t>
        </is>
      </c>
      <c r="B15949" t="inlineStr">
        <is>
          <t>Lattafa Ajwaa Eau De Parfum Spray 90ml</t>
        </is>
      </c>
      <c r="C15949" t="inlineStr">
        <is>
          <t>Eau De Parfum</t>
        </is>
      </c>
      <c r="D15949" t="inlineStr">
        <is>
          <t>Lattafa</t>
        </is>
      </c>
      <c r="E15949" t="n">
        <v>26.43</v>
      </c>
      <c r="F15949" t="n">
        <v>1</v>
      </c>
      <c r="G15949" t="n">
        <v>65</v>
      </c>
      <c r="H15949" s="5">
        <f>HYPERLINK("https://api.qogita.com/variants/link/6290360592176/", "View Product")</f>
        <v/>
      </c>
    </row>
    <row r="15950">
      <c r="A15950" t="inlineStr">
        <is>
          <t>6290360592749</t>
        </is>
      </c>
      <c r="B15950" t="inlineStr">
        <is>
          <t>Lattafa Brioche Vanille - Eau De Parfum</t>
        </is>
      </c>
      <c r="C15950" t="inlineStr">
        <is>
          <t>Eau De Parfum</t>
        </is>
      </c>
      <c r="D15950" t="inlineStr">
        <is>
          <t>Lattafa</t>
        </is>
      </c>
      <c r="E15950" t="n">
        <v>18.7</v>
      </c>
      <c r="F15950" t="n">
        <v>1</v>
      </c>
      <c r="G15950" t="n">
        <v>422</v>
      </c>
      <c r="H15950" s="5">
        <f>HYPERLINK("https://api.qogita.com/variants/link/6290360592749/", "View Product")</f>
        <v/>
      </c>
    </row>
    <row r="15951">
      <c r="A15951" t="inlineStr">
        <is>
          <t>6290360592909</t>
        </is>
      </c>
      <c r="B15951" t="inlineStr">
        <is>
          <t>Vintage Radio by Lattafa for Unisex 3.4 Oz EDP Spray 100ml</t>
        </is>
      </c>
      <c r="C15951" t="inlineStr">
        <is>
          <t>Eau De Parfum</t>
        </is>
      </c>
      <c r="D15951" t="inlineStr">
        <is>
          <t>Lattafa</t>
        </is>
      </c>
      <c r="E15951" t="n">
        <v>21.15</v>
      </c>
      <c r="F15951" t="n">
        <v>1</v>
      </c>
      <c r="G15951" t="n">
        <v>1165</v>
      </c>
      <c r="H15951" s="5">
        <f>HYPERLINK("https://api.qogita.com/variants/link/6290360592909/", "View Product")</f>
        <v/>
      </c>
    </row>
    <row r="15952">
      <c r="A15952" t="inlineStr">
        <is>
          <t>6290360593081</t>
        </is>
      </c>
      <c r="B15952" t="inlineStr">
        <is>
          <t>Lattafa Niche Emarati Remas Eau De Parfum Spray 100ml</t>
        </is>
      </c>
      <c r="C15952" t="inlineStr">
        <is>
          <t>Eau De Parfum</t>
        </is>
      </c>
      <c r="D15952" t="inlineStr">
        <is>
          <t>Lattafa</t>
        </is>
      </c>
      <c r="E15952" t="n">
        <v>34.99</v>
      </c>
      <c r="F15952" t="n">
        <v>1</v>
      </c>
      <c r="G15952" t="n">
        <v>63</v>
      </c>
      <c r="H15952" s="5">
        <f>HYPERLINK("https://api.qogita.com/variants/link/6290360593081/", "View Product")</f>
        <v/>
      </c>
    </row>
    <row r="15953">
      <c r="A15953" t="inlineStr">
        <is>
          <t>6290360593135</t>
        </is>
      </c>
      <c r="B15953" t="inlineStr">
        <is>
          <t>Lattafa Bade'e Al Oud Honor &amp; Glory Eau De Parfum Spray 100ml</t>
        </is>
      </c>
      <c r="C15953" t="inlineStr">
        <is>
          <t>Eau De Parfum</t>
        </is>
      </c>
      <c r="D15953" t="inlineStr">
        <is>
          <t>Lattafa</t>
        </is>
      </c>
      <c r="E15953" t="n">
        <v>19.91</v>
      </c>
      <c r="F15953" t="n">
        <v>1</v>
      </c>
      <c r="G15953" t="n">
        <v>459</v>
      </c>
      <c r="H15953" s="5">
        <f>HYPERLINK("https://api.qogita.com/variants/link/6290360593135/", "View Product")</f>
        <v/>
      </c>
    </row>
    <row r="15954">
      <c r="A15954" t="inlineStr">
        <is>
          <t>6290360593166</t>
        </is>
      </c>
      <c r="B15954" t="inlineStr">
        <is>
          <t>Lattafa Fakhar Gold Eau De Parfum Spray 100ml</t>
        </is>
      </c>
      <c r="C15954" t="inlineStr">
        <is>
          <t>Eau De Parfum</t>
        </is>
      </c>
      <c r="D15954" t="inlineStr">
        <is>
          <t>Lattafa</t>
        </is>
      </c>
      <c r="E15954" t="n">
        <v>16.29</v>
      </c>
      <c r="F15954" t="n">
        <v>1</v>
      </c>
      <c r="G15954" t="n">
        <v>25</v>
      </c>
      <c r="H15954" s="5">
        <f>HYPERLINK("https://api.qogita.com/variants/link/6290360593166/", "View Product")</f>
        <v/>
      </c>
    </row>
    <row r="15955">
      <c r="A15955" t="inlineStr">
        <is>
          <t>6290360594231</t>
        </is>
      </c>
      <c r="B15955" t="inlineStr">
        <is>
          <t>Lattafa Hayaatim Eau de Parfum Spray for Unisex 3.4 Ounce</t>
        </is>
      </c>
      <c r="C15955" t="inlineStr">
        <is>
          <t>Eau De Parfum</t>
        </is>
      </c>
      <c r="D15955" t="inlineStr">
        <is>
          <t>Lattafa</t>
        </is>
      </c>
      <c r="E15955" t="n">
        <v>11.46</v>
      </c>
      <c r="F15955" t="n">
        <v>1</v>
      </c>
      <c r="G15955" t="n">
        <v>57</v>
      </c>
      <c r="H15955" s="5">
        <f>HYPERLINK("https://api.qogita.com/variants/link/6290360594231/", "View Product")</f>
        <v/>
      </c>
    </row>
    <row r="15956">
      <c r="A15956" t="inlineStr">
        <is>
          <t>6290360594552</t>
        </is>
      </c>
      <c r="B15956" t="inlineStr">
        <is>
          <t>Lattafa Yara Tous Eau De Parfum Spray 100ml</t>
        </is>
      </c>
      <c r="C15956" t="inlineStr">
        <is>
          <t>Eau De Parfum</t>
        </is>
      </c>
      <c r="D15956" t="inlineStr">
        <is>
          <t>Lattafa</t>
        </is>
      </c>
      <c r="E15956" t="n">
        <v>16.29</v>
      </c>
      <c r="F15956" t="n">
        <v>1</v>
      </c>
      <c r="G15956" t="n">
        <v>459</v>
      </c>
      <c r="H15956" s="5">
        <f>HYPERLINK("https://api.qogita.com/variants/link/6290360594552/", "View Product")</f>
        <v/>
      </c>
    </row>
    <row r="15957">
      <c r="A15957" t="inlineStr">
        <is>
          <t>6290360597751</t>
        </is>
      </c>
      <c r="B15957" t="inlineStr">
        <is>
          <t>Riiffs Cecile Rouge Eau De Parfum 100ml Elegant Spicy Fresh</t>
        </is>
      </c>
      <c r="C15957" t="inlineStr">
        <is>
          <t>Eau De Parfum</t>
        </is>
      </c>
      <c r="D15957" t="inlineStr">
        <is>
          <t>Riiffs</t>
        </is>
      </c>
      <c r="E15957" t="n">
        <v>11.05</v>
      </c>
      <c r="F15957" t="n">
        <v>1</v>
      </c>
      <c r="G15957" t="n">
        <v>40</v>
      </c>
      <c r="H15957" s="5">
        <f>HYPERLINK("https://api.qogita.com/variants/link/6290360597751/", "View Product")</f>
        <v/>
      </c>
    </row>
    <row r="15958">
      <c r="A15958" t="inlineStr">
        <is>
          <t>6290360597874</t>
        </is>
      </c>
      <c r="B15958" t="inlineStr">
        <is>
          <t>Nusuk Ishq Al Ward Eau De Parfum Spray 3.4oz 100ml Unisex</t>
        </is>
      </c>
      <c r="C15958" t="inlineStr">
        <is>
          <t>Eau De Parfum</t>
        </is>
      </c>
      <c r="D15958" t="inlineStr">
        <is>
          <t>Rituals</t>
        </is>
      </c>
      <c r="E15958" t="n">
        <v>12.98</v>
      </c>
      <c r="F15958" t="n">
        <v>1</v>
      </c>
      <c r="G15958" t="n">
        <v>13</v>
      </c>
      <c r="H15958" s="5">
        <f>HYPERLINK("https://api.qogita.com/variants/link/6290360597874/", "View Product")</f>
        <v/>
      </c>
    </row>
    <row r="15959">
      <c r="A15959" t="inlineStr">
        <is>
          <t>6290360597973</t>
        </is>
      </c>
      <c r="B15959" t="inlineStr">
        <is>
          <t>Lattafa Badee Al Oud Sublime Deodorant Spray - 200ml</t>
        </is>
      </c>
      <c r="C15959" t="inlineStr">
        <is>
          <t>Deodorant &amp; Anti-Perspirant</t>
        </is>
      </c>
      <c r="D15959" t="inlineStr">
        <is>
          <t>Lattafa</t>
        </is>
      </c>
      <c r="E15959" t="n">
        <v>3.66</v>
      </c>
      <c r="F15959" t="n">
        <v>1</v>
      </c>
      <c r="G15959" t="n">
        <v>5</v>
      </c>
      <c r="H15959" s="5">
        <f>HYPERLINK("https://api.qogita.com/variants/link/6290360597973/", "View Product")</f>
        <v/>
      </c>
    </row>
    <row r="15960">
      <c r="A15960" t="inlineStr">
        <is>
          <t>6290360597980</t>
        </is>
      </c>
      <c r="B15960" t="inlineStr">
        <is>
          <t>Lattafa Legacy Deodorant Spray - 200ml</t>
        </is>
      </c>
      <c r="C15960" t="inlineStr">
        <is>
          <t>Deodorant &amp; Anti-Perspirant</t>
        </is>
      </c>
      <c r="D15960" t="inlineStr">
        <is>
          <t>Lattafa</t>
        </is>
      </c>
      <c r="E15960" t="n">
        <v>4.58</v>
      </c>
      <c r="F15960" t="n">
        <v>1</v>
      </c>
      <c r="G15960" t="n">
        <v>438</v>
      </c>
      <c r="H15960" s="5">
        <f>HYPERLINK("https://api.qogita.com/variants/link/6290360597980/", "View Product")</f>
        <v/>
      </c>
    </row>
    <row r="15961">
      <c r="A15961" t="inlineStr">
        <is>
          <t>6290360598666</t>
        </is>
      </c>
      <c r="B15961" t="inlineStr">
        <is>
          <t>Lattafa Asad Zanzibar Fresh Spicy Vanilla Coconut Eau De Parfum</t>
        </is>
      </c>
      <c r="C15961" t="inlineStr">
        <is>
          <t>Eau De Parfum</t>
        </is>
      </c>
      <c r="D15961" t="inlineStr">
        <is>
          <t>Lattafa</t>
        </is>
      </c>
      <c r="E15961" t="n">
        <v>15.61</v>
      </c>
      <c r="F15961" t="n">
        <v>1</v>
      </c>
      <c r="G15961" t="n">
        <v>104</v>
      </c>
      <c r="H15961" s="5">
        <f>HYPERLINK("https://api.qogita.com/variants/link/6290360598666/", "View Product")</f>
        <v/>
      </c>
    </row>
    <row r="15962">
      <c r="A15962" t="inlineStr">
        <is>
          <t>6290360598741</t>
        </is>
      </c>
      <c r="B15962" t="inlineStr">
        <is>
          <t>Nusuk Ajwa Turquoise Eau De Parfum 100 Ml</t>
        </is>
      </c>
      <c r="C15962" t="inlineStr">
        <is>
          <t>Eau De Parfum</t>
        </is>
      </c>
      <c r="D15962" t="inlineStr">
        <is>
          <t>Rituals</t>
        </is>
      </c>
      <c r="E15962" t="n">
        <v>13.33</v>
      </c>
      <c r="F15962" t="n">
        <v>1</v>
      </c>
      <c r="G15962" t="n">
        <v>9</v>
      </c>
      <c r="H15962" s="5">
        <f>HYPERLINK("https://api.qogita.com/variants/link/6290360598741/", "View Product")</f>
        <v/>
      </c>
    </row>
    <row r="15963">
      <c r="A15963" t="inlineStr">
        <is>
          <t>6290360598789</t>
        </is>
      </c>
      <c r="B15963" t="inlineStr">
        <is>
          <t>Lattafa Victoria Eau De Parfum Spray 100ml By Lattafa</t>
        </is>
      </c>
      <c r="C15963" t="inlineStr">
        <is>
          <t>Eau De Parfum</t>
        </is>
      </c>
      <c r="D15963" t="inlineStr">
        <is>
          <t>Lattafa</t>
        </is>
      </c>
      <c r="E15963" t="n">
        <v>24.74</v>
      </c>
      <c r="F15963" t="n">
        <v>1</v>
      </c>
      <c r="G15963" t="n">
        <v>459</v>
      </c>
      <c r="H15963" s="5">
        <f>HYPERLINK("https://api.qogita.com/variants/link/6290360598789/", "View Product")</f>
        <v/>
      </c>
    </row>
    <row r="15964">
      <c r="A15964" t="inlineStr">
        <is>
          <t>6290360598864</t>
        </is>
      </c>
      <c r="B15964" t="inlineStr">
        <is>
          <t>Lattafa Habik For Men Eau De Parfum - 100 Ml</t>
        </is>
      </c>
      <c r="C15964" t="inlineStr">
        <is>
          <t>Eau De Parfum</t>
        </is>
      </c>
      <c r="D15964" t="inlineStr">
        <is>
          <t>Lattafa</t>
        </is>
      </c>
      <c r="E15964" t="n">
        <v>21.11</v>
      </c>
      <c r="F15964" t="n">
        <v>1</v>
      </c>
      <c r="G15964" t="n">
        <v>459</v>
      </c>
      <c r="H15964" s="5">
        <f>HYPERLINK("https://api.qogita.com/variants/link/6290360598864/", "View Product")</f>
        <v/>
      </c>
    </row>
    <row r="15965">
      <c r="A15965" t="inlineStr">
        <is>
          <t>6290360598970</t>
        </is>
      </c>
      <c r="B15965" t="inlineStr">
        <is>
          <t>Lattafa Mayar Natural Intense Eau De Parfum Spray 100ml</t>
        </is>
      </c>
      <c r="C15965" t="inlineStr">
        <is>
          <t>Eau De Parfum</t>
        </is>
      </c>
      <c r="D15965" t="inlineStr">
        <is>
          <t>Lattafa</t>
        </is>
      </c>
      <c r="E15965" t="n">
        <v>14.77</v>
      </c>
      <c r="F15965" t="n">
        <v>1</v>
      </c>
      <c r="G15965" t="n">
        <v>188</v>
      </c>
      <c r="H15965" s="5">
        <f>HYPERLINK("https://api.qogita.com/variants/link/6290360598970/", "View Product")</f>
        <v/>
      </c>
    </row>
    <row r="15966">
      <c r="A15966" t="inlineStr">
        <is>
          <t>6290360599090</t>
        </is>
      </c>
      <c r="B15966" t="inlineStr">
        <is>
          <t>Lattafa Sehr Eau De Parfum 100ml</t>
        </is>
      </c>
      <c r="C15966" t="inlineStr">
        <is>
          <t>Eau De Parfum</t>
        </is>
      </c>
      <c r="D15966" t="inlineStr">
        <is>
          <t>Lattafa</t>
        </is>
      </c>
      <c r="E15966" t="n">
        <v>23.09</v>
      </c>
      <c r="F15966" t="n">
        <v>1</v>
      </c>
      <c r="G15966" t="n">
        <v>3</v>
      </c>
      <c r="H15966" s="5">
        <f>HYPERLINK("https://api.qogita.com/variants/link/6290360599090/", "View Product")</f>
        <v/>
      </c>
    </row>
    <row r="15967">
      <c r="A15967" t="inlineStr">
        <is>
          <t>6290360599205</t>
        </is>
      </c>
      <c r="B15967" t="inlineStr">
        <is>
          <t>Maison Alhambra Flaming Elixir 80ml Eau de Parfum</t>
        </is>
      </c>
      <c r="C15967" t="inlineStr">
        <is>
          <t>Eau De Parfum</t>
        </is>
      </c>
      <c r="D15967" t="inlineStr">
        <is>
          <t>Maison Alhambra</t>
        </is>
      </c>
      <c r="E15967" t="n">
        <v>15.51</v>
      </c>
      <c r="F15967" t="n">
        <v>1</v>
      </c>
      <c r="G15967" t="n">
        <v>459</v>
      </c>
      <c r="H15967" s="5">
        <f>HYPERLINK("https://api.qogita.com/variants/link/6290360599205/", "View Product")</f>
        <v/>
      </c>
    </row>
    <row r="15968">
      <c r="A15968" t="inlineStr">
        <is>
          <t>6290360599212</t>
        </is>
      </c>
      <c r="B15968" t="inlineStr">
        <is>
          <t>Alhambra Eclat De Lune - Eau De Parfum</t>
        </is>
      </c>
      <c r="C15968" t="inlineStr">
        <is>
          <t>Eau De Parfum</t>
        </is>
      </c>
      <c r="D15968" t="inlineStr">
        <is>
          <t>Maison Alhambra</t>
        </is>
      </c>
      <c r="E15968" t="n">
        <v>10.59</v>
      </c>
      <c r="F15968" t="n">
        <v>1</v>
      </c>
      <c r="G15968" t="n">
        <v>156</v>
      </c>
      <c r="H15968" s="5">
        <f>HYPERLINK("https://api.qogita.com/variants/link/6290360599212/", "View Product")</f>
        <v/>
      </c>
    </row>
    <row r="15969">
      <c r="A15969" t="inlineStr">
        <is>
          <t>6290360599359</t>
        </is>
      </c>
      <c r="B15969" t="inlineStr">
        <is>
          <t>Maison Alhambra Tonic Ice Perfume</t>
        </is>
      </c>
      <c r="C15969" t="inlineStr">
        <is>
          <t>Eau De Parfum</t>
        </is>
      </c>
      <c r="D15969" t="inlineStr">
        <is>
          <t>Maison Alhambra</t>
        </is>
      </c>
      <c r="E15969" t="n">
        <v>13.72</v>
      </c>
      <c r="F15969" t="n">
        <v>1</v>
      </c>
      <c r="G15969" t="n">
        <v>185</v>
      </c>
      <c r="H15969" s="5">
        <f>HYPERLINK("https://api.qogita.com/variants/link/6290360599359/", "View Product")</f>
        <v/>
      </c>
    </row>
    <row r="15970">
      <c r="A15970" t="inlineStr">
        <is>
          <t>6290360599366</t>
        </is>
      </c>
      <c r="B15970" t="inlineStr">
        <is>
          <t>Maison Alhambra Tonic Malt Eau de Parfum unisex 100 ml</t>
        </is>
      </c>
      <c r="C15970" t="inlineStr">
        <is>
          <t>Eau De Parfum</t>
        </is>
      </c>
      <c r="D15970" t="inlineStr">
        <is>
          <t>Maison Alhambra</t>
        </is>
      </c>
      <c r="E15970" t="n">
        <v>12.41</v>
      </c>
      <c r="F15970" t="n">
        <v>1</v>
      </c>
      <c r="G15970" t="n">
        <v>368</v>
      </c>
      <c r="H15970" s="5">
        <f>HYPERLINK("https://api.qogita.com/variants/link/6290360599366/", "View Product")</f>
        <v/>
      </c>
    </row>
    <row r="15971">
      <c r="A15971" t="inlineStr">
        <is>
          <t>6290360599489</t>
        </is>
      </c>
      <c r="B15971" t="inlineStr">
        <is>
          <t>Lattafa Habik For Women Eau De Parfum - 100 Ml</t>
        </is>
      </c>
      <c r="C15971" t="inlineStr">
        <is>
          <t>Eau De Parfum</t>
        </is>
      </c>
      <c r="D15971" t="inlineStr">
        <is>
          <t>Lattafa</t>
        </is>
      </c>
      <c r="E15971" t="n">
        <v>21.23</v>
      </c>
      <c r="F15971" t="n">
        <v>1</v>
      </c>
      <c r="G15971" t="n">
        <v>459</v>
      </c>
      <c r="H15971" s="5">
        <f>HYPERLINK("https://api.qogita.com/variants/link/6290360599489/", "View Product")</f>
        <v/>
      </c>
    </row>
    <row r="15972">
      <c r="A15972" t="inlineStr">
        <is>
          <t>6290360599724</t>
        </is>
      </c>
      <c r="B15972" t="inlineStr">
        <is>
          <t>Lattafa Pride Happy Brush For Kids Eau De Parfum Spray 75ml</t>
        </is>
      </c>
      <c r="C15972" t="inlineStr">
        <is>
          <t>Eau De Parfum</t>
        </is>
      </c>
      <c r="D15972" t="inlineStr">
        <is>
          <t>Lattafa</t>
        </is>
      </c>
      <c r="E15972" t="n">
        <v>13.34</v>
      </c>
      <c r="F15972" t="n">
        <v>1</v>
      </c>
      <c r="G15972" t="n">
        <v>182</v>
      </c>
      <c r="H15972" s="5">
        <f>HYPERLINK("https://api.qogita.com/variants/link/6290360599724/", "View Product")</f>
        <v/>
      </c>
    </row>
    <row r="15973">
      <c r="A15973" t="inlineStr">
        <is>
          <t>6290360599762</t>
        </is>
      </c>
      <c r="B15973" t="inlineStr">
        <is>
          <t>Lattafa Pride Sing For Kids Eau De Parfum 75ml</t>
        </is>
      </c>
      <c r="C15973" t="inlineStr">
        <is>
          <t>Eau De Parfum</t>
        </is>
      </c>
      <c r="D15973" t="inlineStr">
        <is>
          <t>Lattafa</t>
        </is>
      </c>
      <c r="E15973" t="n">
        <v>13.34</v>
      </c>
      <c r="F15973" t="n">
        <v>1</v>
      </c>
      <c r="G15973" t="n">
        <v>193</v>
      </c>
      <c r="H15973" s="5">
        <f>HYPERLINK("https://api.qogita.com/variants/link/6290360599762/", "View Product")</f>
        <v/>
      </c>
    </row>
    <row r="15974">
      <c r="A15974" t="inlineStr">
        <is>
          <t>6290360612973</t>
        </is>
      </c>
      <c r="B15974" t="inlineStr">
        <is>
          <t>Ahmed Al Maghribi Shy - Eau De Parfum</t>
        </is>
      </c>
      <c r="C15974" t="inlineStr">
        <is>
          <t>Eau De Parfum</t>
        </is>
      </c>
      <c r="D15974" t="inlineStr">
        <is>
          <t>Ahmed Al Maghribi</t>
        </is>
      </c>
      <c r="E15974" t="n">
        <v>23.26</v>
      </c>
      <c r="F15974" t="n">
        <v>1</v>
      </c>
      <c r="G15974" t="n">
        <v>4</v>
      </c>
      <c r="H15974" s="5">
        <f>HYPERLINK("https://api.qogita.com/variants/link/6290360612973/", "View Product")</f>
        <v/>
      </c>
    </row>
    <row r="15975">
      <c r="A15975" t="inlineStr">
        <is>
          <t>6290360616537</t>
        </is>
      </c>
      <c r="B15975" t="inlineStr">
        <is>
          <t>Bin Ameer Unisex 304 Oz Extrait De Parfum Spray</t>
        </is>
      </c>
      <c r="C15975" t="inlineStr">
        <is>
          <t>Extrait De Parfum</t>
        </is>
      </c>
      <c r="D15975" t="inlineStr">
        <is>
          <t>Ahmed Al Maghribi</t>
        </is>
      </c>
      <c r="E15975" t="n">
        <v>35.2</v>
      </c>
      <c r="F15975" t="n">
        <v>1</v>
      </c>
      <c r="G15975" t="n">
        <v>13</v>
      </c>
      <c r="H15975" s="5">
        <f>HYPERLINK("https://api.qogita.com/variants/link/6290360616537/", "View Product")</f>
        <v/>
      </c>
    </row>
    <row r="15976">
      <c r="A15976" t="inlineStr">
        <is>
          <t>6290360616674</t>
        </is>
      </c>
      <c r="B15976" t="inlineStr">
        <is>
          <t>Couture Noir by Ahmed Al Maghribi Unisex Extrait De Parfum Spray 338 Oz</t>
        </is>
      </c>
      <c r="C15976" t="inlineStr">
        <is>
          <t>Extrait De Parfum</t>
        </is>
      </c>
      <c r="D15976" t="inlineStr">
        <is>
          <t>Ahmed Al Maghribi</t>
        </is>
      </c>
      <c r="E15976" t="n">
        <v>9.289999999999999</v>
      </c>
      <c r="F15976" t="n">
        <v>1</v>
      </c>
      <c r="G15976" t="n">
        <v>414</v>
      </c>
      <c r="H15976" s="5">
        <f>HYPERLINK("https://api.qogita.com/variants/link/6290360616674/", "View Product")</f>
        <v/>
      </c>
    </row>
    <row r="15977">
      <c r="A15977" t="inlineStr">
        <is>
          <t>6290360812755</t>
        </is>
      </c>
      <c r="B15977" t="inlineStr">
        <is>
          <t>Eternal Collection Sweet Cherry by Khalis for Women 3.4 Oz EDP Spray</t>
        </is>
      </c>
      <c r="C15977" t="inlineStr">
        <is>
          <t>Eau De Parfum</t>
        </is>
      </c>
      <c r="D15977" t="inlineStr">
        <is>
          <t>Maison D'Orient</t>
        </is>
      </c>
      <c r="E15977" t="n">
        <v>12.02</v>
      </c>
      <c r="F15977" t="n">
        <v>1</v>
      </c>
      <c r="G15977" t="n">
        <v>2</v>
      </c>
      <c r="H15977" s="5">
        <f>HYPERLINK("https://api.qogita.com/variants/link/6290360812755/", "View Product")</f>
        <v/>
      </c>
    </row>
    <row r="15978">
      <c r="A15978" t="inlineStr">
        <is>
          <t>6290362340201</t>
        </is>
      </c>
      <c r="B15978" t="inlineStr">
        <is>
          <t>Lattafa Al Noble Safeer Eau De Parfum Spray 100ml</t>
        </is>
      </c>
      <c r="C15978" t="inlineStr">
        <is>
          <t>Eau De Parfum</t>
        </is>
      </c>
      <c r="D15978" t="inlineStr">
        <is>
          <t>Lattafa</t>
        </is>
      </c>
      <c r="E15978" t="n">
        <v>34.83</v>
      </c>
      <c r="F15978" t="n">
        <v>1</v>
      </c>
      <c r="G15978" t="n">
        <v>396</v>
      </c>
      <c r="H15978" s="5">
        <f>HYPERLINK("https://api.qogita.com/variants/link/6290362340201/", "View Product")</f>
        <v/>
      </c>
    </row>
    <row r="15979">
      <c r="A15979" t="inlineStr">
        <is>
          <t>6290362340485</t>
        </is>
      </c>
      <c r="B15979" t="inlineStr">
        <is>
          <t>Maison Alhambra Celeste Eau De Parfum Spray for Women 100ml</t>
        </is>
      </c>
      <c r="C15979" t="inlineStr">
        <is>
          <t>Eau De Parfum</t>
        </is>
      </c>
      <c r="D15979" t="inlineStr">
        <is>
          <t>Maison Alhambra</t>
        </is>
      </c>
      <c r="E15979" t="n">
        <v>12.52</v>
      </c>
      <c r="F15979" t="n">
        <v>1</v>
      </c>
      <c r="G15979" t="n">
        <v>126</v>
      </c>
      <c r="H15979" s="5">
        <f>HYPERLINK("https://api.qogita.com/variants/link/6290362340485/", "View Product")</f>
        <v/>
      </c>
    </row>
    <row r="15980">
      <c r="A15980" t="inlineStr">
        <is>
          <t>6290362340683</t>
        </is>
      </c>
      <c r="B15980" t="inlineStr">
        <is>
          <t>Maison Alhambra The Memory Of Oud Unisex Eau De Parfum 100 Milliliters</t>
        </is>
      </c>
      <c r="C15980" t="inlineStr">
        <is>
          <t>Eau De Parfum</t>
        </is>
      </c>
      <c r="D15980" t="inlineStr">
        <is>
          <t>Maison Alhambra</t>
        </is>
      </c>
      <c r="E15980" t="n">
        <v>16.72</v>
      </c>
      <c r="F15980" t="n">
        <v>1</v>
      </c>
      <c r="G15980" t="n">
        <v>160</v>
      </c>
      <c r="H15980" s="5">
        <f>HYPERLINK("https://api.qogita.com/variants/link/6290362340683/", "View Product")</f>
        <v/>
      </c>
    </row>
    <row r="15981">
      <c r="A15981" t="inlineStr">
        <is>
          <t>6290362340713</t>
        </is>
      </c>
      <c r="B15981" t="inlineStr">
        <is>
          <t>Minerale Gold Eau De Parfum By Maison Alhambra 100ml 3.4 Fl Oz</t>
        </is>
      </c>
      <c r="C15981" t="inlineStr">
        <is>
          <t>Eau De Parfum</t>
        </is>
      </c>
      <c r="D15981" t="inlineStr">
        <is>
          <t>Lattafa</t>
        </is>
      </c>
      <c r="E15981" t="n">
        <v>15.36</v>
      </c>
      <c r="F15981" t="n">
        <v>1</v>
      </c>
      <c r="G15981" t="n">
        <v>443</v>
      </c>
      <c r="H15981" s="5">
        <f>HYPERLINK("https://api.qogita.com/variants/link/6290362340713/", "View Product")</f>
        <v/>
      </c>
    </row>
    <row r="15982">
      <c r="A15982" t="inlineStr">
        <is>
          <t>6290362340867</t>
        </is>
      </c>
      <c r="B15982" t="inlineStr">
        <is>
          <t>Maison Alhambra Mindset 100 Ml Eau De Parfum For Men</t>
        </is>
      </c>
      <c r="C15982" t="inlineStr">
        <is>
          <t>Eau De Parfum</t>
        </is>
      </c>
      <c r="D15982" t="inlineStr">
        <is>
          <t>Maison Alhambra</t>
        </is>
      </c>
      <c r="E15982" t="n">
        <v>12.23</v>
      </c>
      <c r="F15982" t="n">
        <v>1</v>
      </c>
      <c r="G15982" t="n">
        <v>459</v>
      </c>
      <c r="H15982" s="5">
        <f>HYPERLINK("https://api.qogita.com/variants/link/6290362340867/", "View Product")</f>
        <v/>
      </c>
    </row>
    <row r="15983">
      <c r="A15983" t="inlineStr">
        <is>
          <t>6290362340928</t>
        </is>
      </c>
      <c r="B15983" t="inlineStr">
        <is>
          <t>Maison Alhambra Rose Origami Eau De Parfum 100ml</t>
        </is>
      </c>
      <c r="C15983" t="inlineStr">
        <is>
          <t>Eau De Parfum</t>
        </is>
      </c>
      <c r="D15983" t="inlineStr">
        <is>
          <t>Maison Alhambra</t>
        </is>
      </c>
      <c r="E15983" t="n">
        <v>10.9</v>
      </c>
      <c r="F15983" t="n">
        <v>1</v>
      </c>
      <c r="G15983" t="n">
        <v>459</v>
      </c>
      <c r="H15983" s="5">
        <f>HYPERLINK("https://api.qogita.com/variants/link/6290362340928/", "View Product")</f>
        <v/>
      </c>
    </row>
    <row r="15984">
      <c r="A15984" t="inlineStr">
        <is>
          <t>6290362340935</t>
        </is>
      </c>
      <c r="B15984" t="inlineStr">
        <is>
          <t>Alhambra Smoked Oud Vanilla - Eau De Parfum</t>
        </is>
      </c>
      <c r="C15984" t="inlineStr">
        <is>
          <t>Eau De Parfum</t>
        </is>
      </c>
      <c r="D15984" t="inlineStr">
        <is>
          <t>Alhambra</t>
        </is>
      </c>
      <c r="E15984" t="n">
        <v>14.34</v>
      </c>
      <c r="F15984" t="n">
        <v>1</v>
      </c>
      <c r="G15984" t="n">
        <v>320</v>
      </c>
      <c r="H15984" s="5">
        <f>HYPERLINK("https://api.qogita.com/variants/link/6290362340935/", "View Product")</f>
        <v/>
      </c>
    </row>
    <row r="15985">
      <c r="A15985" t="inlineStr">
        <is>
          <t>6290362341093</t>
        </is>
      </c>
      <c r="B15985" t="inlineStr">
        <is>
          <t>Maison Alhambra Luxe Blanc Eau De Parfum Spray 3.4 Ounce 100ml</t>
        </is>
      </c>
      <c r="C15985" t="inlineStr">
        <is>
          <t>Eau De Parfum</t>
        </is>
      </c>
      <c r="D15985" t="inlineStr">
        <is>
          <t>Maison Alhambra</t>
        </is>
      </c>
      <c r="E15985" t="n">
        <v>15.82</v>
      </c>
      <c r="F15985" t="n">
        <v>1</v>
      </c>
      <c r="G15985" t="n">
        <v>160</v>
      </c>
      <c r="H15985" s="5">
        <f>HYPERLINK("https://api.qogita.com/variants/link/6290362341093/", "View Product")</f>
        <v/>
      </c>
    </row>
    <row r="15986">
      <c r="A15986" t="inlineStr">
        <is>
          <t>6290362341826</t>
        </is>
      </c>
      <c r="B15986" t="inlineStr">
        <is>
          <t>Ana Abiyedh Coral 60ml EDP by Lattafa</t>
        </is>
      </c>
      <c r="C15986" t="inlineStr">
        <is>
          <t>Eau De Parfum</t>
        </is>
      </c>
      <c r="D15986" t="inlineStr">
        <is>
          <t>Lattafa</t>
        </is>
      </c>
      <c r="E15986" t="n">
        <v>13.87</v>
      </c>
      <c r="F15986" t="n">
        <v>1</v>
      </c>
      <c r="G15986" t="n">
        <v>459</v>
      </c>
      <c r="H15986" s="5">
        <f>HYPERLINK("https://api.qogita.com/variants/link/6290362341826/", "View Product")</f>
        <v/>
      </c>
    </row>
    <row r="15987">
      <c r="A15987" t="inlineStr">
        <is>
          <t>6290362342533</t>
        </is>
      </c>
      <c r="B15987" t="inlineStr">
        <is>
          <t>Maison Alhambra Mia Dolcezza Verde Unisex Eau De Parfum 100ml</t>
        </is>
      </c>
      <c r="C15987" t="inlineStr">
        <is>
          <t>Eau De Parfum</t>
        </is>
      </c>
      <c r="D15987" t="inlineStr">
        <is>
          <t>Maison Alhambra</t>
        </is>
      </c>
      <c r="E15987" t="n">
        <v>14.04</v>
      </c>
      <c r="F15987" t="n">
        <v>1</v>
      </c>
      <c r="G15987" t="n">
        <v>200</v>
      </c>
      <c r="H15987" s="5">
        <f>HYPERLINK("https://api.qogita.com/variants/link/6290362342533/", "View Product")</f>
        <v/>
      </c>
    </row>
    <row r="15988">
      <c r="A15988" t="inlineStr">
        <is>
          <t>6290362343134</t>
        </is>
      </c>
      <c r="B15988" t="inlineStr">
        <is>
          <t>Maison Alhambra Avant Ruby Women Eau De Parfum 100 Ml</t>
        </is>
      </c>
      <c r="C15988" t="inlineStr">
        <is>
          <t>Eau De Parfum</t>
        </is>
      </c>
      <c r="D15988" t="inlineStr">
        <is>
          <t>Maison Alhambra</t>
        </is>
      </c>
      <c r="E15988" t="n">
        <v>15.47</v>
      </c>
      <c r="F15988" t="n">
        <v>1</v>
      </c>
      <c r="G15988" t="n">
        <v>143</v>
      </c>
      <c r="H15988" s="5">
        <f>HYPERLINK("https://api.qogita.com/variants/link/6290362343134/", "View Product")</f>
        <v/>
      </c>
    </row>
    <row r="15989">
      <c r="A15989" t="inlineStr">
        <is>
          <t>6290362343196</t>
        </is>
      </c>
      <c r="B15989" t="inlineStr">
        <is>
          <t>Maison Alhambra Pacific Blue Unisex Eau De Parfum 80 Ml</t>
        </is>
      </c>
      <c r="C15989" t="inlineStr">
        <is>
          <t>Eau De Parfum</t>
        </is>
      </c>
      <c r="D15989" t="inlineStr">
        <is>
          <t>Maison Alhambra</t>
        </is>
      </c>
      <c r="E15989" t="n">
        <v>13.77</v>
      </c>
      <c r="F15989" t="n">
        <v>1</v>
      </c>
      <c r="G15989" t="n">
        <v>6</v>
      </c>
      <c r="H15989" s="5">
        <f>HYPERLINK("https://api.qogita.com/variants/link/6290362343196/", "View Product")</f>
        <v/>
      </c>
    </row>
    <row r="15990">
      <c r="A15990" t="inlineStr">
        <is>
          <t>6290362343233</t>
        </is>
      </c>
      <c r="B15990" t="inlineStr">
        <is>
          <t>Maison Alhambra Eternal Touch Eau De Parfum 80ml</t>
        </is>
      </c>
      <c r="C15990" t="inlineStr">
        <is>
          <t>Eau De Parfum</t>
        </is>
      </c>
      <c r="D15990" t="inlineStr">
        <is>
          <t>Maison Alhambra</t>
        </is>
      </c>
      <c r="E15990" t="n">
        <v>12.59</v>
      </c>
      <c r="F15990" t="n">
        <v>1</v>
      </c>
      <c r="G15990" t="n">
        <v>459</v>
      </c>
      <c r="H15990" s="5">
        <f>HYPERLINK("https://api.qogita.com/variants/link/6290362343233/", "View Product")</f>
        <v/>
      </c>
    </row>
    <row r="15991">
      <c r="A15991" t="inlineStr">
        <is>
          <t>6290362343530</t>
        </is>
      </c>
      <c r="B15991" t="inlineStr">
        <is>
          <t>Maison Alhambra Jubilant Vitality Unisex Eau De Parfum 100 Ml</t>
        </is>
      </c>
      <c r="C15991" t="inlineStr">
        <is>
          <t>Eau De Parfum</t>
        </is>
      </c>
      <c r="D15991" t="inlineStr">
        <is>
          <t>Maison Alhambra</t>
        </is>
      </c>
      <c r="E15991" t="n">
        <v>10.11</v>
      </c>
      <c r="F15991" t="n">
        <v>1</v>
      </c>
      <c r="G15991" t="n">
        <v>459</v>
      </c>
      <c r="H15991" s="5">
        <f>HYPERLINK("https://api.qogita.com/variants/link/6290362343530/", "View Product")</f>
        <v/>
      </c>
    </row>
    <row r="15992">
      <c r="A15992" t="inlineStr">
        <is>
          <t>6290362345497</t>
        </is>
      </c>
      <c r="B15992" t="inlineStr">
        <is>
          <t>Lattafa Mayar Natural Intense Fruity Floral Aquatic Musky Perfume</t>
        </is>
      </c>
      <c r="C15992" t="inlineStr">
        <is>
          <t>Deodorant &amp; Anti-Perspirant</t>
        </is>
      </c>
      <c r="D15992" t="inlineStr">
        <is>
          <t>Lattafa</t>
        </is>
      </c>
      <c r="E15992" t="n">
        <v>4.58</v>
      </c>
      <c r="F15992" t="n">
        <v>1</v>
      </c>
      <c r="G15992" t="n">
        <v>435</v>
      </c>
      <c r="H15992" s="5">
        <f>HYPERLINK("https://api.qogita.com/variants/link/6290362345497/", "View Product")</f>
        <v/>
      </c>
    </row>
    <row r="15993">
      <c r="A15993" t="inlineStr">
        <is>
          <t>6290362345831</t>
        </is>
      </c>
      <c r="B15993" t="inlineStr">
        <is>
          <t>Lattafa Sheikh Al Shuyukh Supreme Edition Unisex Eau De Parfum 100ml</t>
        </is>
      </c>
      <c r="C15993" t="inlineStr">
        <is>
          <t>Eau De Parfum</t>
        </is>
      </c>
      <c r="D15993" t="inlineStr">
        <is>
          <t>Lattafa</t>
        </is>
      </c>
      <c r="E15993" t="n">
        <v>10.85</v>
      </c>
      <c r="F15993" t="n">
        <v>1</v>
      </c>
      <c r="G15993" t="n">
        <v>459</v>
      </c>
      <c r="H15993" s="5">
        <f>HYPERLINK("https://api.qogita.com/variants/link/6290362345831/", "View Product")</f>
        <v/>
      </c>
    </row>
    <row r="15994">
      <c r="A15994" t="inlineStr">
        <is>
          <t>6290362346104</t>
        </is>
      </c>
      <c r="B15994" t="inlineStr">
        <is>
          <t>Lattafa Pride King of Arabia 100ml EDP Unisex Fragrance with Bergamot and Mint</t>
        </is>
      </c>
      <c r="C15994" t="inlineStr">
        <is>
          <t>Eau De Parfum</t>
        </is>
      </c>
      <c r="D15994" t="inlineStr">
        <is>
          <t>Lattafa</t>
        </is>
      </c>
      <c r="E15994" t="n">
        <v>30.21</v>
      </c>
      <c r="F15994" t="n">
        <v>1</v>
      </c>
      <c r="G15994" t="n">
        <v>459</v>
      </c>
      <c r="H15994" s="5">
        <f>HYPERLINK("https://api.qogita.com/variants/link/6290362346104/", "View Product")</f>
        <v/>
      </c>
    </row>
    <row r="15995">
      <c r="A15995" t="inlineStr">
        <is>
          <t>6290362347163</t>
        </is>
      </c>
      <c r="B15995" t="inlineStr">
        <is>
          <t>Lattafa Dream Of Haze - A Captivating Fragrance For Body</t>
        </is>
      </c>
      <c r="C15995" t="inlineStr">
        <is>
          <t>Eau De Parfum</t>
        </is>
      </c>
      <c r="D15995" t="inlineStr">
        <is>
          <t>Lattafa</t>
        </is>
      </c>
      <c r="E15995" t="n">
        <v>30.99</v>
      </c>
      <c r="F15995" t="n">
        <v>1</v>
      </c>
      <c r="G15995" t="n">
        <v>204</v>
      </c>
      <c r="H15995" s="5">
        <f>HYPERLINK("https://api.qogita.com/variants/link/6290362347163/", "View Product")</f>
        <v/>
      </c>
    </row>
    <row r="15996">
      <c r="A15996" t="inlineStr">
        <is>
          <t>6290362347989</t>
        </is>
      </c>
      <c r="B15996" t="inlineStr">
        <is>
          <t>Maison Alhambra Your Touch Santal Eau De Parfum 100 Ml</t>
        </is>
      </c>
      <c r="C15996" t="inlineStr">
        <is>
          <t>Eau De Parfum</t>
        </is>
      </c>
      <c r="D15996" t="inlineStr">
        <is>
          <t>Maison Alhambra</t>
        </is>
      </c>
      <c r="E15996" t="n">
        <v>10.65</v>
      </c>
      <c r="F15996" t="n">
        <v>1</v>
      </c>
      <c r="G15996" t="n">
        <v>459</v>
      </c>
      <c r="H15996" s="5">
        <f>HYPERLINK("https://api.qogita.com/variants/link/6290362347989/", "View Product")</f>
        <v/>
      </c>
    </row>
    <row r="15997">
      <c r="A15997" t="inlineStr">
        <is>
          <t>6291011067890</t>
        </is>
      </c>
      <c r="B15997" t="inlineStr">
        <is>
          <t>Royal Collection Veritas Red Perfume</t>
        </is>
      </c>
      <c r="C15997" t="inlineStr">
        <is>
          <t>Eau De Parfum</t>
        </is>
      </c>
      <c r="D15997" t="inlineStr">
        <is>
          <t>Royal Collection</t>
        </is>
      </c>
      <c r="E15997" t="n">
        <v>13.96</v>
      </c>
      <c r="F15997" t="n">
        <v>1</v>
      </c>
      <c r="G15997" t="n">
        <v>6</v>
      </c>
      <c r="H15997" s="5">
        <f>HYPERLINK("https://api.qogita.com/variants/link/6291011067890/", "View Product")</f>
        <v/>
      </c>
    </row>
    <row r="15998">
      <c r="A15998" t="inlineStr">
        <is>
          <t>6291100130108</t>
        </is>
      </c>
      <c r="B15998" t="inlineStr">
        <is>
          <t>Al Haramain Musk Collection Eau De Parfum Spray 100ml</t>
        </is>
      </c>
      <c r="C15998" t="inlineStr">
        <is>
          <t>Eau De Parfum</t>
        </is>
      </c>
      <c r="D15998" t="inlineStr">
        <is>
          <t>Al Haramain</t>
        </is>
      </c>
      <c r="E15998" t="n">
        <v>35.47</v>
      </c>
      <c r="F15998" t="n">
        <v>1</v>
      </c>
      <c r="G15998" t="n">
        <v>5</v>
      </c>
      <c r="H15998" s="5">
        <f>HYPERLINK("https://api.qogita.com/variants/link/6291100130108/", "View Product")</f>
        <v/>
      </c>
    </row>
    <row r="15999">
      <c r="A15999" t="inlineStr">
        <is>
          <t>6291100130153</t>
        </is>
      </c>
      <c r="B15999" t="inlineStr">
        <is>
          <t>Al Haramain Amber Oud Bleu Edition Eau De Parfum 60ml For Men</t>
        </is>
      </c>
      <c r="C15999" t="inlineStr">
        <is>
          <t>Eau De Parfum</t>
        </is>
      </c>
      <c r="D15999" t="inlineStr">
        <is>
          <t>Al Haramain</t>
        </is>
      </c>
      <c r="E15999" t="n">
        <v>37.01</v>
      </c>
      <c r="F15999" t="n">
        <v>1</v>
      </c>
      <c r="G15999" t="n">
        <v>11</v>
      </c>
      <c r="H15999" s="5">
        <f>HYPERLINK("https://api.qogita.com/variants/link/6291100130153/", "View Product")</f>
        <v/>
      </c>
    </row>
    <row r="16000">
      <c r="A16000" t="inlineStr">
        <is>
          <t>6291100130184</t>
        </is>
      </c>
      <c r="B16000" t="inlineStr">
        <is>
          <t>Al Haramain Junoon Oud Eau De Parfum Spray 75ml</t>
        </is>
      </c>
      <c r="C16000" t="inlineStr">
        <is>
          <t>Eau De Parfum</t>
        </is>
      </c>
      <c r="D16000" t="inlineStr">
        <is>
          <t>Al Haramain</t>
        </is>
      </c>
      <c r="E16000" t="n">
        <v>37.53</v>
      </c>
      <c r="F16000" t="n">
        <v>1</v>
      </c>
      <c r="G16000" t="n">
        <v>35</v>
      </c>
      <c r="H16000" s="5">
        <f>HYPERLINK("https://api.qogita.com/variants/link/6291100130184/", "View Product")</f>
        <v/>
      </c>
    </row>
    <row r="16001">
      <c r="A16001" t="inlineStr">
        <is>
          <t>6291100130283</t>
        </is>
      </c>
      <c r="B16001" t="inlineStr">
        <is>
          <t>Al Haramain Oudh Burma Eau De Parfum Spray 75ml</t>
        </is>
      </c>
      <c r="C16001" t="inlineStr">
        <is>
          <t>Eau De Parfum</t>
        </is>
      </c>
      <c r="D16001" t="inlineStr">
        <is>
          <t>Al Haramain</t>
        </is>
      </c>
      <c r="E16001" t="n">
        <v>43.91</v>
      </c>
      <c r="F16001" t="n">
        <v>1</v>
      </c>
      <c r="G16001" t="n">
        <v>5</v>
      </c>
      <c r="H16001" s="5">
        <f>HYPERLINK("https://api.qogita.com/variants/link/6291100130283/", "View Product")</f>
        <v/>
      </c>
    </row>
    <row r="16002">
      <c r="A16002" t="inlineStr">
        <is>
          <t>6291100130344</t>
        </is>
      </c>
      <c r="B16002" t="inlineStr">
        <is>
          <t>Narjis Oil 15ml</t>
        </is>
      </c>
      <c r="C16002" t="inlineStr">
        <is>
          <t>Aromatherapy &amp; Essential Oils</t>
        </is>
      </c>
      <c r="D16002" t="inlineStr">
        <is>
          <t>Al Haramain</t>
        </is>
      </c>
      <c r="E16002" t="n">
        <v>13.62</v>
      </c>
      <c r="F16002" t="n">
        <v>1</v>
      </c>
      <c r="G16002" t="n">
        <v>3</v>
      </c>
      <c r="H16002" s="5">
        <f>HYPERLINK("https://api.qogita.com/variants/link/6291100130344/", "View Product")</f>
        <v/>
      </c>
    </row>
    <row r="16003">
      <c r="A16003" t="inlineStr">
        <is>
          <t>6291100130436</t>
        </is>
      </c>
      <c r="B16003" t="inlineStr">
        <is>
          <t>Miracle 15ml Oil</t>
        </is>
      </c>
      <c r="C16003" t="inlineStr">
        <is>
          <t>Facial Oil</t>
        </is>
      </c>
      <c r="D16003" t="inlineStr">
        <is>
          <t>Al Haramain</t>
        </is>
      </c>
      <c r="E16003" t="n">
        <v>10.89</v>
      </c>
      <c r="F16003" t="n">
        <v>1</v>
      </c>
      <c r="G16003" t="n">
        <v>4</v>
      </c>
      <c r="H16003" s="5">
        <f>HYPERLINK("https://api.qogita.com/variants/link/6291100130436/", "View Product")</f>
        <v/>
      </c>
    </row>
    <row r="16004">
      <c r="A16004" t="inlineStr">
        <is>
          <t>6291100130443</t>
        </is>
      </c>
      <c r="B16004" t="inlineStr">
        <is>
          <t>Huile de Sama 15ml</t>
        </is>
      </c>
      <c r="C16004" t="inlineStr">
        <is>
          <t>Aromatherapy &amp; Essential Oils</t>
        </is>
      </c>
      <c r="D16004" t="inlineStr">
        <is>
          <t>Al Haramain</t>
        </is>
      </c>
      <c r="E16004" t="n">
        <v>11.48</v>
      </c>
      <c r="F16004" t="n">
        <v>1</v>
      </c>
      <c r="G16004" t="n">
        <v>19</v>
      </c>
      <c r="H16004" s="5">
        <f>HYPERLINK("https://api.qogita.com/variants/link/6291100130443/", "View Product")</f>
        <v/>
      </c>
    </row>
    <row r="16005">
      <c r="A16005" t="inlineStr">
        <is>
          <t>6291100130559</t>
        </is>
      </c>
      <c r="B16005" t="inlineStr">
        <is>
          <t>Al Haramain Amber Oud Ruby Edition Eau De Parfum Spray 120ml</t>
        </is>
      </c>
      <c r="C16005" t="inlineStr">
        <is>
          <t>Eau De Parfum</t>
        </is>
      </c>
      <c r="D16005" t="inlineStr">
        <is>
          <t>Al Haramain</t>
        </is>
      </c>
      <c r="E16005" t="n">
        <v>44.84</v>
      </c>
      <c r="F16005" t="n">
        <v>1</v>
      </c>
      <c r="G16005" t="n">
        <v>63</v>
      </c>
      <c r="H16005" s="5">
        <f>HYPERLINK("https://api.qogita.com/variants/link/6291100130559/", "View Product")</f>
        <v/>
      </c>
    </row>
    <row r="16006">
      <c r="A16006" t="inlineStr">
        <is>
          <t>6291100130566</t>
        </is>
      </c>
      <c r="B16006" t="inlineStr">
        <is>
          <t>Al Haramain Oyuny Eau De Parfum Spray 100ml</t>
        </is>
      </c>
      <c r="C16006" t="inlineStr">
        <is>
          <t>Eau De Parfum</t>
        </is>
      </c>
      <c r="D16006" t="inlineStr">
        <is>
          <t>Al Haramain</t>
        </is>
      </c>
      <c r="E16006" t="n">
        <v>13.79</v>
      </c>
      <c r="F16006" t="n">
        <v>1</v>
      </c>
      <c r="G16006" t="n">
        <v>13</v>
      </c>
      <c r="H16006" s="5">
        <f>HYPERLINK("https://api.qogita.com/variants/link/6291100130566/", "View Product")</f>
        <v/>
      </c>
    </row>
    <row r="16007">
      <c r="A16007" t="inlineStr">
        <is>
          <t>6291100130573</t>
        </is>
      </c>
      <c r="B16007" t="inlineStr">
        <is>
          <t>Al Haramain Rafia Gold Spray 100ml</t>
        </is>
      </c>
      <c r="C16007" t="inlineStr">
        <is>
          <t>Eau De Parfum</t>
        </is>
      </c>
      <c r="D16007" t="inlineStr">
        <is>
          <t>Al Haramain</t>
        </is>
      </c>
      <c r="E16007" t="n">
        <v>15.15</v>
      </c>
      <c r="F16007" t="n">
        <v>1</v>
      </c>
      <c r="G16007" t="n">
        <v>3</v>
      </c>
      <c r="H16007" s="5">
        <f>HYPERLINK("https://api.qogita.com/variants/link/6291100130573/", "View Product")</f>
        <v/>
      </c>
    </row>
    <row r="16008">
      <c r="A16008" t="inlineStr">
        <is>
          <t>6291100130856</t>
        </is>
      </c>
      <c r="B16008" t="inlineStr">
        <is>
          <t>Al Haramain Junoon Noir Eau De Parfum</t>
        </is>
      </c>
      <c r="C16008" t="inlineStr">
        <is>
          <t>Eau De Parfum</t>
        </is>
      </c>
      <c r="D16008" t="inlineStr">
        <is>
          <t>Al Haramain</t>
        </is>
      </c>
      <c r="E16008" t="n">
        <v>40.89</v>
      </c>
      <c r="F16008" t="n">
        <v>1</v>
      </c>
      <c r="G16008" t="n">
        <v>23</v>
      </c>
      <c r="H16008" s="5">
        <f>HYPERLINK("https://api.qogita.com/variants/link/6291100130856/", "View Product")</f>
        <v/>
      </c>
    </row>
    <row r="16009">
      <c r="A16009" t="inlineStr">
        <is>
          <t>6291100131310</t>
        </is>
      </c>
      <c r="B16009" t="inlineStr">
        <is>
          <t>Al Haramain Manege Blanche Eau De Parfum Spray 75ml</t>
        </is>
      </c>
      <c r="C16009" t="inlineStr">
        <is>
          <t>Eau De Parfum</t>
        </is>
      </c>
      <c r="D16009" t="inlineStr">
        <is>
          <t>Al Haramain</t>
        </is>
      </c>
      <c r="E16009" t="n">
        <v>38.07</v>
      </c>
      <c r="F16009" t="n">
        <v>1</v>
      </c>
      <c r="G16009" t="n">
        <v>6</v>
      </c>
      <c r="H16009" s="5">
        <f>HYPERLINK("https://api.qogita.com/variants/link/6291100131310/", "View Product")</f>
        <v/>
      </c>
    </row>
    <row r="16010">
      <c r="A16010" t="inlineStr">
        <is>
          <t>6291100131587</t>
        </is>
      </c>
      <c r="B16010" t="inlineStr">
        <is>
          <t>Al Haramain Amber Oud Gold Edition Eau De Parfum Spray 200ml</t>
        </is>
      </c>
      <c r="C16010" t="inlineStr">
        <is>
          <t>Eau De Parfum</t>
        </is>
      </c>
      <c r="D16010" t="inlineStr">
        <is>
          <t>Al Haramain</t>
        </is>
      </c>
      <c r="E16010" t="n">
        <v>63.98</v>
      </c>
      <c r="F16010" t="n">
        <v>1</v>
      </c>
      <c r="G16010" t="n">
        <v>28</v>
      </c>
      <c r="H16010" s="5">
        <f>HYPERLINK("https://api.qogita.com/variants/link/6291100131587/", "View Product")</f>
        <v/>
      </c>
    </row>
    <row r="16011">
      <c r="A16011" t="inlineStr">
        <is>
          <t>6291100131679</t>
        </is>
      </c>
      <c r="B16011" t="inlineStr">
        <is>
          <t>Portfolio Cupid's Rose Perfumed Water Spray 75ml</t>
        </is>
      </c>
      <c r="C16011" t="inlineStr">
        <is>
          <t>Eau De Parfum</t>
        </is>
      </c>
      <c r="D16011" t="inlineStr">
        <is>
          <t>Portfolio</t>
        </is>
      </c>
      <c r="E16011" t="n">
        <v>61.49</v>
      </c>
      <c r="F16011" t="n">
        <v>1</v>
      </c>
      <c r="G16011" t="n">
        <v>29</v>
      </c>
      <c r="H16011" s="5">
        <f>HYPERLINK("https://api.qogita.com/variants/link/6291100131679/", "View Product")</f>
        <v/>
      </c>
    </row>
    <row r="16012">
      <c r="A16012" t="inlineStr">
        <is>
          <t>6291100131853</t>
        </is>
      </c>
      <c r="B16012" t="inlineStr">
        <is>
          <t>Al Haramain Eau De Parfum 200ml Arabian Perfume for Women - Cedar Floral</t>
        </is>
      </c>
      <c r="C16012" t="inlineStr">
        <is>
          <t>Eau De Parfum</t>
        </is>
      </c>
      <c r="D16012" t="inlineStr">
        <is>
          <t>Al Haramain</t>
        </is>
      </c>
      <c r="E16012" t="n">
        <v>55.02</v>
      </c>
      <c r="F16012" t="n">
        <v>1</v>
      </c>
      <c r="G16012" t="n">
        <v>17</v>
      </c>
      <c r="H16012" s="5">
        <f>HYPERLINK("https://api.qogita.com/variants/link/6291100131853/", "View Product")</f>
        <v/>
      </c>
    </row>
    <row r="16013">
      <c r="A16013" t="inlineStr">
        <is>
          <t>6291100131983</t>
        </is>
      </c>
      <c r="B16013" t="inlineStr">
        <is>
          <t>DHAHAB By Al Haramain Non Alcoholic 15ml Perfume Oil Attar</t>
        </is>
      </c>
      <c r="C16013" t="inlineStr">
        <is>
          <t>Extrait De Parfum</t>
        </is>
      </c>
      <c r="D16013" t="inlineStr">
        <is>
          <t>Al Haramain</t>
        </is>
      </c>
      <c r="E16013" t="n">
        <v>7.89</v>
      </c>
      <c r="F16013" t="n">
        <v>1</v>
      </c>
      <c r="G16013" t="n">
        <v>7</v>
      </c>
      <c r="H16013" s="5">
        <f>HYPERLINK("https://api.qogita.com/variants/link/6291100131983/", "View Product")</f>
        <v/>
      </c>
    </row>
    <row r="16014">
      <c r="A16014" t="inlineStr">
        <is>
          <t>6291100131990</t>
        </is>
      </c>
      <c r="B16014" t="inlineStr">
        <is>
          <t>Al Haramain Belle Rouge Eau De Parfum 75ml - Luxurious Unisex Arabian Perfume</t>
        </is>
      </c>
      <c r="C16014" t="inlineStr">
        <is>
          <t>Eau De Parfum</t>
        </is>
      </c>
      <c r="D16014" t="inlineStr">
        <is>
          <t>Al Haramain</t>
        </is>
      </c>
      <c r="E16014" t="n">
        <v>12.44</v>
      </c>
      <c r="F16014" t="n">
        <v>1</v>
      </c>
      <c r="G16014" t="n">
        <v>20</v>
      </c>
      <c r="H16014" s="5">
        <f>HYPERLINK("https://api.qogita.com/variants/link/6291100131990/", "View Product")</f>
        <v/>
      </c>
    </row>
    <row r="16015">
      <c r="A16015" t="inlineStr">
        <is>
          <t>6291100132065</t>
        </is>
      </c>
      <c r="B16015" t="inlineStr">
        <is>
          <t>Al Haramain Azure French Collection 100ml Eau De Parfum Spray - Long Lasting</t>
        </is>
      </c>
      <c r="C16015" t="inlineStr">
        <is>
          <t>Eau De Parfum</t>
        </is>
      </c>
      <c r="D16015" t="inlineStr">
        <is>
          <t>Al Haramain</t>
        </is>
      </c>
      <c r="E16015" t="n">
        <v>33.51</v>
      </c>
      <c r="F16015" t="n">
        <v>1</v>
      </c>
      <c r="G16015" t="n">
        <v>23</v>
      </c>
      <c r="H16015" s="5">
        <f>HYPERLINK("https://api.qogita.com/variants/link/6291100132065/", "View Product")</f>
        <v/>
      </c>
    </row>
    <row r="16016">
      <c r="A16016" t="inlineStr">
        <is>
          <t>6291100132171</t>
        </is>
      </c>
      <c r="B16016" t="inlineStr">
        <is>
          <t>Al Haramain Amber Oud Tobacco Edition Eau De Parfum Spray 60ml Unisex</t>
        </is>
      </c>
      <c r="C16016" t="inlineStr">
        <is>
          <t>Eau De Parfum</t>
        </is>
      </c>
      <c r="D16016" t="inlineStr">
        <is>
          <t>Al Haramain</t>
        </is>
      </c>
      <c r="E16016" t="n">
        <v>33.11</v>
      </c>
      <c r="F16016" t="n">
        <v>1</v>
      </c>
      <c r="G16016" t="n">
        <v>138</v>
      </c>
      <c r="H16016" s="5">
        <f>HYPERLINK("https://api.qogita.com/variants/link/6291100132171/", "View Product")</f>
        <v/>
      </c>
    </row>
    <row r="16017">
      <c r="A16017" t="inlineStr">
        <is>
          <t>6291100132188</t>
        </is>
      </c>
      <c r="B16017" t="inlineStr">
        <is>
          <t>Al Haramain Haramain Amber Oud Tobacco Edition 100ml Spray</t>
        </is>
      </c>
      <c r="C16017" t="inlineStr">
        <is>
          <t>Eau De Parfum</t>
        </is>
      </c>
      <c r="D16017" t="inlineStr">
        <is>
          <t>Al Haramain</t>
        </is>
      </c>
      <c r="E16017" t="n">
        <v>42.55</v>
      </c>
      <c r="F16017" t="n">
        <v>1</v>
      </c>
      <c r="G16017" t="n">
        <v>154</v>
      </c>
      <c r="H16017" s="5">
        <f>HYPERLINK("https://api.qogita.com/variants/link/6291100132188/", "View Product")</f>
        <v/>
      </c>
    </row>
    <row r="16018">
      <c r="A16018" t="inlineStr">
        <is>
          <t>6291100132324</t>
        </is>
      </c>
      <c r="B16018" t="inlineStr">
        <is>
          <t>Al Haramain Perfumes Ajwa Perfume Oil 30ml</t>
        </is>
      </c>
      <c r="C16018" t="inlineStr">
        <is>
          <t>Extrait De Parfum</t>
        </is>
      </c>
      <c r="D16018" t="inlineStr">
        <is>
          <t>Al Haramain</t>
        </is>
      </c>
      <c r="E16018" t="n">
        <v>37.76</v>
      </c>
      <c r="F16018" t="n">
        <v>1</v>
      </c>
      <c r="G16018" t="n">
        <v>82</v>
      </c>
      <c r="H16018" s="5">
        <f>HYPERLINK("https://api.qogita.com/variants/link/6291100132324/", "View Product")</f>
        <v/>
      </c>
    </row>
    <row r="16019">
      <c r="A16019" t="inlineStr">
        <is>
          <t>6291100132416</t>
        </is>
      </c>
      <c r="B16019" t="inlineStr">
        <is>
          <t>Al Haramain Destino French Collection Eau De Parfum 100ml - Long-Lasting Unisex</t>
        </is>
      </c>
      <c r="C16019" t="inlineStr">
        <is>
          <t>Eau De Parfum</t>
        </is>
      </c>
      <c r="D16019" t="inlineStr">
        <is>
          <t>Al Haramain</t>
        </is>
      </c>
      <c r="E16019" t="n">
        <v>35.93</v>
      </c>
      <c r="F16019" t="n">
        <v>1</v>
      </c>
      <c r="G16019" t="n">
        <v>9</v>
      </c>
      <c r="H16019" s="5">
        <f>HYPERLINK("https://api.qogita.com/variants/link/6291100132416/", "View Product")</f>
        <v/>
      </c>
    </row>
    <row r="16020">
      <c r="A16020" t="inlineStr">
        <is>
          <t>6291100132461</t>
        </is>
      </c>
      <c r="B16020" t="inlineStr">
        <is>
          <t>Al Haramain Amber Oud Rouge Eau De Parfum Spray 60ml</t>
        </is>
      </c>
      <c r="C16020" t="inlineStr">
        <is>
          <t>Eau De Parfum</t>
        </is>
      </c>
      <c r="D16020" t="inlineStr">
        <is>
          <t>Al Haramain</t>
        </is>
      </c>
      <c r="E16020" t="n">
        <v>38.47</v>
      </c>
      <c r="F16020" t="n">
        <v>1</v>
      </c>
      <c r="G16020" t="n">
        <v>5</v>
      </c>
      <c r="H16020" s="5">
        <f>HYPERLINK("https://api.qogita.com/variants/link/6291100132461/", "View Product")</f>
        <v/>
      </c>
    </row>
    <row r="16021">
      <c r="A16021" t="inlineStr">
        <is>
          <t>6291100133499</t>
        </is>
      </c>
      <c r="B16021" t="inlineStr">
        <is>
          <t>Al Haramain Azlan Oud Bleu Edition Extrait De Parfum Spray 3.4 Ounce</t>
        </is>
      </c>
      <c r="C16021" t="inlineStr">
        <is>
          <t>Extrait De Parfum</t>
        </is>
      </c>
      <c r="D16021" t="inlineStr">
        <is>
          <t>Al Haramain</t>
        </is>
      </c>
      <c r="E16021" t="n">
        <v>50.29</v>
      </c>
      <c r="F16021" t="n">
        <v>1</v>
      </c>
      <c r="G16021" t="n">
        <v>47</v>
      </c>
      <c r="H16021" s="5">
        <f>HYPERLINK("https://api.qogita.com/variants/link/6291100133499/", "View Product")</f>
        <v/>
      </c>
    </row>
    <row r="16022">
      <c r="A16022" t="inlineStr">
        <is>
          <t>6291100134847</t>
        </is>
      </c>
      <c r="B16022" t="inlineStr">
        <is>
          <t>Solitaire 12ml by Al Haramain Leather Cedarwood Patchouli Perfume Oil</t>
        </is>
      </c>
      <c r="C16022" t="inlineStr">
        <is>
          <t>Eau De Parfum</t>
        </is>
      </c>
      <c r="D16022" t="inlineStr">
        <is>
          <t>Al Haramain</t>
        </is>
      </c>
      <c r="E16022" t="n">
        <v>18.15</v>
      </c>
      <c r="F16022" t="n">
        <v>1</v>
      </c>
      <c r="G16022" t="n">
        <v>5</v>
      </c>
      <c r="H16022" s="5">
        <f>HYPERLINK("https://api.qogita.com/variants/link/6291100134847/", "View Product")</f>
        <v/>
      </c>
    </row>
    <row r="16023">
      <c r="A16023" t="inlineStr">
        <is>
          <t>6291100135196</t>
        </is>
      </c>
      <c r="B16023" t="inlineStr">
        <is>
          <t>Rich &amp; Ruitz Ruitz Exclusive Spray 100ml</t>
        </is>
      </c>
      <c r="C16023" t="inlineStr">
        <is>
          <t>Eau De Parfum</t>
        </is>
      </c>
      <c r="D16023" t="inlineStr">
        <is>
          <t>Rich &amp; Ruez</t>
        </is>
      </c>
      <c r="E16023" t="n">
        <v>12.52</v>
      </c>
      <c r="F16023" t="n">
        <v>1</v>
      </c>
      <c r="G16023" t="n">
        <v>5</v>
      </c>
      <c r="H16023" s="5">
        <f>HYPERLINK("https://api.qogita.com/variants/link/6291100135196/", "View Product")</f>
        <v/>
      </c>
    </row>
    <row r="16024">
      <c r="A16024" t="inlineStr">
        <is>
          <t>6291100138265</t>
        </is>
      </c>
      <c r="B16024" t="inlineStr">
        <is>
          <t>Al Haramain Parfumes Oud Cambodi Intense Eau de Parfum Spray</t>
        </is>
      </c>
      <c r="C16024" t="inlineStr">
        <is>
          <t>Eau De Parfum</t>
        </is>
      </c>
      <c r="D16024" t="inlineStr">
        <is>
          <t>Al Haramain</t>
        </is>
      </c>
      <c r="E16024" t="n">
        <v>49.94</v>
      </c>
      <c r="F16024" t="n">
        <v>1</v>
      </c>
      <c r="G16024" t="n">
        <v>7</v>
      </c>
      <c r="H16024" s="5">
        <f>HYPERLINK("https://api.qogita.com/variants/link/6291100138265/", "View Product")</f>
        <v/>
      </c>
    </row>
    <row r="16025">
      <c r="A16025" t="inlineStr">
        <is>
          <t>6291106035407</t>
        </is>
      </c>
      <c r="B16025" t="inlineStr">
        <is>
          <t>Huda Beauty Faux Filter Foundation - Tres leches, 35 ml</t>
        </is>
      </c>
      <c r="C16025" t="inlineStr">
        <is>
          <t>Foundation</t>
        </is>
      </c>
      <c r="D16025" t="inlineStr">
        <is>
          <t>Huda Beauty</t>
        </is>
      </c>
      <c r="E16025" t="n">
        <v>47.92</v>
      </c>
      <c r="F16025" t="n">
        <v>1</v>
      </c>
      <c r="G16025" t="n">
        <v>14</v>
      </c>
      <c r="H16025" s="5">
        <f>HYPERLINK("https://api.qogita.com/variants/link/6291106035407/", "View Product")</f>
        <v/>
      </c>
    </row>
    <row r="16026">
      <c r="A16026" t="inlineStr">
        <is>
          <t>6291106035674</t>
        </is>
      </c>
      <c r="B16026" t="inlineStr">
        <is>
          <t>Huda Beauty Fauxfilter Luminous Matte Foundation - 35 Ml</t>
        </is>
      </c>
      <c r="C16026" t="inlineStr">
        <is>
          <t>Foundation</t>
        </is>
      </c>
      <c r="D16026" t="inlineStr">
        <is>
          <t>Huda Beauty</t>
        </is>
      </c>
      <c r="E16026" t="n">
        <v>47.92</v>
      </c>
      <c r="F16026" t="n">
        <v>1</v>
      </c>
      <c r="G16026" t="n">
        <v>17</v>
      </c>
      <c r="H16026" s="5">
        <f>HYPERLINK("https://api.qogita.com/variants/link/6291106035674/", "View Product")</f>
        <v/>
      </c>
    </row>
    <row r="16027">
      <c r="A16027" t="inlineStr">
        <is>
          <t>6291106036206</t>
        </is>
      </c>
      <c r="B16027" t="inlineStr">
        <is>
          <t>Huda Beauty #FauxFilter Foundation Butter Pecan 330N 35ml</t>
        </is>
      </c>
      <c r="C16027" t="inlineStr">
        <is>
          <t>Foundation</t>
        </is>
      </c>
      <c r="D16027" t="inlineStr">
        <is>
          <t>Huda Beauty</t>
        </is>
      </c>
      <c r="E16027" t="n">
        <v>47.92</v>
      </c>
      <c r="F16027" t="n">
        <v>1</v>
      </c>
      <c r="G16027" t="n">
        <v>15</v>
      </c>
      <c r="H16027" s="5">
        <f>HYPERLINK("https://api.qogita.com/variants/link/6291106036206/", "View Product")</f>
        <v/>
      </c>
    </row>
    <row r="16028">
      <c r="A16028" t="inlineStr">
        <is>
          <t>6291106061772</t>
        </is>
      </c>
      <c r="B16028" t="inlineStr">
        <is>
          <t>Lattafa Washwasha Deodorant Spray 200ml</t>
        </is>
      </c>
      <c r="C16028" t="inlineStr">
        <is>
          <t>Deodorant &amp; Anti-Perspirant</t>
        </is>
      </c>
      <c r="D16028" t="inlineStr">
        <is>
          <t>Lattafa</t>
        </is>
      </c>
      <c r="E16028" t="n">
        <v>4.58</v>
      </c>
      <c r="F16028" t="n">
        <v>1</v>
      </c>
      <c r="G16028" t="n">
        <v>458</v>
      </c>
      <c r="H16028" s="5">
        <f>HYPERLINK("https://api.qogita.com/variants/link/6291106061772/", "View Product")</f>
        <v/>
      </c>
    </row>
    <row r="16029">
      <c r="A16029" t="inlineStr">
        <is>
          <t>6291106063981</t>
        </is>
      </c>
      <c r="B16029" t="inlineStr">
        <is>
          <t>Lattafa Sheikh Al Shuyukh Luxe Edition Eau De Parfum Spray 100ml</t>
        </is>
      </c>
      <c r="C16029" t="inlineStr">
        <is>
          <t>Eau De Parfum</t>
        </is>
      </c>
      <c r="D16029" t="inlineStr">
        <is>
          <t>Lattafa</t>
        </is>
      </c>
      <c r="E16029" t="n">
        <v>10.85</v>
      </c>
      <c r="F16029" t="n">
        <v>1</v>
      </c>
      <c r="G16029" t="n">
        <v>409</v>
      </c>
      <c r="H16029" s="5">
        <f>HYPERLINK("https://api.qogita.com/variants/link/6291106063981/", "View Product")</f>
        <v/>
      </c>
    </row>
    <row r="16030">
      <c r="A16030" t="inlineStr">
        <is>
          <t>6291106066890</t>
        </is>
      </c>
      <c r="B16030" t="inlineStr">
        <is>
          <t>Lattafa Ana Abiyedh Eau De Parfum Spray 60ml</t>
        </is>
      </c>
      <c r="C16030" t="inlineStr">
        <is>
          <t>Eau De Parfum</t>
        </is>
      </c>
      <c r="D16030" t="inlineStr">
        <is>
          <t>Lattafa</t>
        </is>
      </c>
      <c r="E16030" t="n">
        <v>15.29</v>
      </c>
      <c r="F16030" t="n">
        <v>1</v>
      </c>
      <c r="G16030" t="n">
        <v>34</v>
      </c>
      <c r="H16030" s="5">
        <f>HYPERLINK("https://api.qogita.com/variants/link/6291106066890/", "View Product")</f>
        <v/>
      </c>
    </row>
    <row r="16031">
      <c r="A16031" t="inlineStr">
        <is>
          <t>6291106068481</t>
        </is>
      </c>
      <c r="B16031" t="inlineStr">
        <is>
          <t>Rave Luxurious Man Edp</t>
        </is>
      </c>
      <c r="C16031" t="inlineStr">
        <is>
          <t>Eau De Parfum</t>
        </is>
      </c>
      <c r="D16031" t="inlineStr">
        <is>
          <t>Rave</t>
        </is>
      </c>
      <c r="E16031" t="n">
        <v>12.79</v>
      </c>
      <c r="F16031" t="n">
        <v>1</v>
      </c>
      <c r="G16031" t="n">
        <v>3</v>
      </c>
      <c r="H16031" s="5">
        <f>HYPERLINK("https://api.qogita.com/variants/link/6291106068481/", "View Product")</f>
        <v/>
      </c>
    </row>
    <row r="16032">
      <c r="A16032" t="inlineStr">
        <is>
          <t>6291106069037</t>
        </is>
      </c>
      <c r="B16032" t="inlineStr">
        <is>
          <t>Lattafa Ekhtiari Eau De Parfum 100ml Unisex</t>
        </is>
      </c>
      <c r="C16032" t="inlineStr">
        <is>
          <t>Eau De Parfum</t>
        </is>
      </c>
      <c r="D16032" t="inlineStr">
        <is>
          <t>Lattafa</t>
        </is>
      </c>
      <c r="E16032" t="n">
        <v>9.4</v>
      </c>
      <c r="F16032" t="n">
        <v>1</v>
      </c>
      <c r="G16032" t="n">
        <v>229</v>
      </c>
      <c r="H16032" s="5">
        <f>HYPERLINK("https://api.qogita.com/variants/link/6291106069037/", "View Product")</f>
        <v/>
      </c>
    </row>
    <row r="16033">
      <c r="A16033" t="inlineStr">
        <is>
          <t>6291106069211</t>
        </is>
      </c>
      <c r="B16033" t="inlineStr">
        <is>
          <t>Lattafa Rave Perfume Pure Desire Les Femmes Eau De Parfum 100ml</t>
        </is>
      </c>
      <c r="C16033" t="inlineStr">
        <is>
          <t>Eau De Parfum</t>
        </is>
      </c>
      <c r="D16033" t="inlineStr">
        <is>
          <t>Lattafa</t>
        </is>
      </c>
      <c r="E16033" t="n">
        <v>11.82</v>
      </c>
      <c r="F16033" t="n">
        <v>1</v>
      </c>
      <c r="G16033" t="n">
        <v>387</v>
      </c>
      <c r="H16033" s="5">
        <f>HYPERLINK("https://api.qogita.com/variants/link/6291106069211/", "View Product")</f>
        <v/>
      </c>
    </row>
    <row r="16034">
      <c r="A16034" t="inlineStr">
        <is>
          <t>6291106069525</t>
        </is>
      </c>
      <c r="B16034" t="inlineStr">
        <is>
          <t>Lattafa Velvet Oud Eau De Parfum Spray 100ml</t>
        </is>
      </c>
      <c r="C16034" t="inlineStr">
        <is>
          <t>Eau De Parfum</t>
        </is>
      </c>
      <c r="D16034" t="inlineStr">
        <is>
          <t>Lattafa</t>
        </is>
      </c>
      <c r="E16034" t="n">
        <v>13.86</v>
      </c>
      <c r="F16034" t="n">
        <v>1</v>
      </c>
      <c r="G16034" t="n">
        <v>50</v>
      </c>
      <c r="H16034" s="5">
        <f>HYPERLINK("https://api.qogita.com/variants/link/6291106069525/", "View Product")</f>
        <v/>
      </c>
    </row>
    <row r="16035">
      <c r="A16035" t="inlineStr">
        <is>
          <t>6291106484434</t>
        </is>
      </c>
      <c r="B16035" t="inlineStr">
        <is>
          <t>Fragrance World Black Kabul Eau De Parfum 60ml</t>
        </is>
      </c>
      <c r="C16035" t="inlineStr">
        <is>
          <t>Eau De Parfum</t>
        </is>
      </c>
      <c r="D16035" t="inlineStr">
        <is>
          <t>Fragrance World</t>
        </is>
      </c>
      <c r="E16035" t="n">
        <v>19.95</v>
      </c>
      <c r="F16035" t="n">
        <v>1</v>
      </c>
      <c r="G16035" t="n">
        <v>63</v>
      </c>
      <c r="H16035" s="5">
        <f>HYPERLINK("https://api.qogita.com/variants/link/6291106484434/", "View Product")</f>
        <v/>
      </c>
    </row>
    <row r="16036">
      <c r="A16036" t="inlineStr">
        <is>
          <t>6291106487978</t>
        </is>
      </c>
      <c r="B16036" t="inlineStr">
        <is>
          <t>French Avenue Eau De Parfum Monarch Queen - 100ml Unisex</t>
        </is>
      </c>
      <c r="C16036" t="inlineStr">
        <is>
          <t>Eau De Parfum</t>
        </is>
      </c>
      <c r="D16036" t="inlineStr">
        <is>
          <t>French Avenue</t>
        </is>
      </c>
      <c r="E16036" t="n">
        <v>19.52</v>
      </c>
      <c r="F16036" t="n">
        <v>1</v>
      </c>
      <c r="G16036" t="n">
        <v>33</v>
      </c>
      <c r="H16036" s="5">
        <f>HYPERLINK("https://api.qogita.com/variants/link/6291106487978/", "View Product")</f>
        <v/>
      </c>
    </row>
    <row r="16037">
      <c r="A16037" t="inlineStr">
        <is>
          <t>6291106812428</t>
        </is>
      </c>
      <c r="B16037" t="inlineStr">
        <is>
          <t>Al Haramain Rose Oud Spray 100ml Sandalwood</t>
        </is>
      </c>
      <c r="C16037" t="inlineStr">
        <is>
          <t>Eau De Parfum</t>
        </is>
      </c>
      <c r="D16037" t="inlineStr">
        <is>
          <t>Al Haramain</t>
        </is>
      </c>
      <c r="E16037" t="n">
        <v>37.52</v>
      </c>
      <c r="F16037" t="n">
        <v>1</v>
      </c>
      <c r="G16037" t="n">
        <v>7</v>
      </c>
      <c r="H16037" s="5">
        <f>HYPERLINK("https://api.qogita.com/variants/link/6291106812428/", "View Product")</f>
        <v/>
      </c>
    </row>
    <row r="16038">
      <c r="A16038" t="inlineStr">
        <is>
          <t>6291106812787</t>
        </is>
      </c>
      <c r="B16038" t="inlineStr">
        <is>
          <t>Al Haramain Amber Oud Unisex 6.7 Oz EDP Spray Blue Edition 189.94g</t>
        </is>
      </c>
      <c r="C16038" t="inlineStr">
        <is>
          <t>Eau De Parfum</t>
        </is>
      </c>
      <c r="D16038" t="inlineStr">
        <is>
          <t>Al Haramain</t>
        </is>
      </c>
      <c r="E16038" t="n">
        <v>69.59999999999999</v>
      </c>
      <c r="F16038" t="n">
        <v>1</v>
      </c>
      <c r="G16038" t="n">
        <v>2</v>
      </c>
      <c r="H16038" s="5">
        <f>HYPERLINK("https://api.qogita.com/variants/link/6291106812787/", "View Product")</f>
        <v/>
      </c>
    </row>
    <row r="16039">
      <c r="A16039" t="inlineStr">
        <is>
          <t>6291106813364</t>
        </is>
      </c>
      <c r="B16039" t="inlineStr">
        <is>
          <t>Al Haramain Azlan Oud Amber Edition Extrait De Parfum Spray 100ml</t>
        </is>
      </c>
      <c r="C16039" t="inlineStr">
        <is>
          <t>Extrait De Parfum</t>
        </is>
      </c>
      <c r="D16039" t="inlineStr">
        <is>
          <t>Al Haramain</t>
        </is>
      </c>
      <c r="E16039" t="n">
        <v>53.61</v>
      </c>
      <c r="F16039" t="n">
        <v>1</v>
      </c>
      <c r="G16039" t="n">
        <v>9</v>
      </c>
      <c r="H16039" s="5">
        <f>HYPERLINK("https://api.qogita.com/variants/link/6291106813364/", "View Product")</f>
        <v/>
      </c>
    </row>
    <row r="16040">
      <c r="A16040" t="inlineStr">
        <is>
          <t>6291106813371</t>
        </is>
      </c>
      <c r="B16040" t="inlineStr">
        <is>
          <t>Al Haramain Azlan Oud Charcoal Edition Extrait De Parfum Spray 100ml</t>
        </is>
      </c>
      <c r="C16040" t="inlineStr">
        <is>
          <t>Extrait De Parfum</t>
        </is>
      </c>
      <c r="D16040" t="inlineStr">
        <is>
          <t>Al Haramain</t>
        </is>
      </c>
      <c r="E16040" t="n">
        <v>53.61</v>
      </c>
      <c r="F16040" t="n">
        <v>1</v>
      </c>
      <c r="G16040" t="n">
        <v>24</v>
      </c>
      <c r="H16040" s="5">
        <f>HYPERLINK("https://api.qogita.com/variants/link/6291106813371/", "View Product")</f>
        <v/>
      </c>
    </row>
    <row r="16041">
      <c r="A16041" t="inlineStr">
        <is>
          <t>6291106813524</t>
        </is>
      </c>
      <c r="B16041" t="inlineStr">
        <is>
          <t>Al Haramain Gold Crystal Oudh Extrait De Parfum Spray 100ml</t>
        </is>
      </c>
      <c r="C16041" t="inlineStr">
        <is>
          <t>Extrait De Parfum</t>
        </is>
      </c>
      <c r="D16041" t="inlineStr">
        <is>
          <t>Al Haramain</t>
        </is>
      </c>
      <c r="E16041" t="n">
        <v>31.99</v>
      </c>
      <c r="F16041" t="n">
        <v>1</v>
      </c>
      <c r="G16041" t="n">
        <v>3</v>
      </c>
      <c r="H16041" s="5">
        <f>HYPERLINK("https://api.qogita.com/variants/link/6291106813524/", "View Product")</f>
        <v/>
      </c>
    </row>
    <row r="16042">
      <c r="A16042" t="inlineStr">
        <is>
          <t>6291106813616</t>
        </is>
      </c>
      <c r="B16042" t="inlineStr">
        <is>
          <t>Al Haramain L'Aventure Iris Extrait De Parfum Spray 100ml</t>
        </is>
      </c>
      <c r="C16042" t="inlineStr">
        <is>
          <t>Extrait De Parfum</t>
        </is>
      </c>
      <c r="D16042" t="inlineStr">
        <is>
          <t>Al Haramain</t>
        </is>
      </c>
      <c r="E16042" t="n">
        <v>29.05</v>
      </c>
      <c r="F16042" t="n">
        <v>1</v>
      </c>
      <c r="G16042" t="n">
        <v>5</v>
      </c>
      <c r="H16042" s="5">
        <f>HYPERLINK("https://api.qogita.com/variants/link/6291106813616/", "View Product")</f>
        <v/>
      </c>
    </row>
    <row r="16043">
      <c r="A16043" t="inlineStr">
        <is>
          <t>6291106813753</t>
        </is>
      </c>
      <c r="B16043" t="inlineStr">
        <is>
          <t>Al Haramain Bon Cherie Violette Extrait De Parfum</t>
        </is>
      </c>
      <c r="C16043" t="inlineStr">
        <is>
          <t>Extrait De Parfum</t>
        </is>
      </c>
      <c r="D16043" t="inlineStr">
        <is>
          <t>Al Haramain</t>
        </is>
      </c>
      <c r="E16043" t="n">
        <v>37.29</v>
      </c>
      <c r="F16043" t="n">
        <v>1</v>
      </c>
      <c r="G16043" t="n">
        <v>4</v>
      </c>
      <c r="H16043" s="5">
        <f>HYPERLINK("https://api.qogita.com/variants/link/6291106813753/", "View Product")</f>
        <v/>
      </c>
    </row>
    <row r="16044">
      <c r="A16044" t="inlineStr">
        <is>
          <t>6291106813838</t>
        </is>
      </c>
      <c r="B16044" t="inlineStr">
        <is>
          <t>Al Haramain Detour Noir Intense Size 100 Ml</t>
        </is>
      </c>
      <c r="C16044" t="inlineStr">
        <is>
          <t>Eau De Parfum</t>
        </is>
      </c>
      <c r="D16044" t="inlineStr">
        <is>
          <t>Al Haramain</t>
        </is>
      </c>
      <c r="E16044" t="n">
        <v>18.53</v>
      </c>
      <c r="F16044" t="n">
        <v>1</v>
      </c>
      <c r="G16044" t="n">
        <v>15</v>
      </c>
      <c r="H16044" s="5">
        <f>HYPERLINK("https://api.qogita.com/variants/link/6291106813838/", "View Product")</f>
        <v/>
      </c>
    </row>
    <row r="16045">
      <c r="A16045" t="inlineStr">
        <is>
          <t>6291106813852</t>
        </is>
      </c>
      <c r="B16045" t="inlineStr">
        <is>
          <t>Al Haramain Amber Oud Private Edition - Unisex Eau De Parfum</t>
        </is>
      </c>
      <c r="C16045" t="inlineStr">
        <is>
          <t>Eau De Parfum</t>
        </is>
      </c>
      <c r="D16045" t="inlineStr">
        <is>
          <t>Al Haramain</t>
        </is>
      </c>
      <c r="E16045" t="n">
        <v>49.4</v>
      </c>
      <c r="F16045" t="n">
        <v>1</v>
      </c>
      <c r="G16045" t="n">
        <v>9</v>
      </c>
      <c r="H16045" s="5">
        <f>HYPERLINK("https://api.qogita.com/variants/link/6291106813852/", "View Product")</f>
        <v/>
      </c>
    </row>
    <row r="16046">
      <c r="A16046" t="inlineStr">
        <is>
          <t>6291106814538</t>
        </is>
      </c>
      <c r="B16046" t="inlineStr">
        <is>
          <t>Al Haramain Natural Iris Extrait De Parfum Spray 100ml</t>
        </is>
      </c>
      <c r="C16046" t="inlineStr">
        <is>
          <t>Extrait De Parfum</t>
        </is>
      </c>
      <c r="D16046" t="inlineStr">
        <is>
          <t>Al Haramain</t>
        </is>
      </c>
      <c r="E16046" t="n">
        <v>41.38</v>
      </c>
      <c r="F16046" t="n">
        <v>1</v>
      </c>
      <c r="G16046" t="n">
        <v>115</v>
      </c>
      <c r="H16046" s="5">
        <f>HYPERLINK("https://api.qogita.com/variants/link/6291106814538/", "View Product")</f>
        <v/>
      </c>
    </row>
    <row r="16047">
      <c r="A16047" t="inlineStr">
        <is>
          <t>6291106814576</t>
        </is>
      </c>
      <c r="B16047" t="inlineStr">
        <is>
          <t>Al Haramain Natural Amber Extrait De Parfum Spray 100ml</t>
        </is>
      </c>
      <c r="C16047" t="inlineStr">
        <is>
          <t>Extrait De Parfum</t>
        </is>
      </c>
      <c r="D16047" t="inlineStr">
        <is>
          <t>Al Haramain</t>
        </is>
      </c>
      <c r="E16047" t="n">
        <v>42.09</v>
      </c>
      <c r="F16047" t="n">
        <v>1</v>
      </c>
      <c r="G16047" t="n">
        <v>6</v>
      </c>
      <c r="H16047" s="5">
        <f>HYPERLINK("https://api.qogita.com/variants/link/6291106814576/", "View Product")</f>
        <v/>
      </c>
    </row>
    <row r="16048">
      <c r="A16048" t="inlineStr">
        <is>
          <t>6291106814637</t>
        </is>
      </c>
      <c r="B16048" t="inlineStr">
        <is>
          <t>Al Haramain Zahara Amber Dubai Extrait De Parfum Spray 100ml</t>
        </is>
      </c>
      <c r="C16048" t="inlineStr">
        <is>
          <t>Extrait De Parfum</t>
        </is>
      </c>
      <c r="D16048" t="inlineStr">
        <is>
          <t>Al Haramain</t>
        </is>
      </c>
      <c r="E16048" t="n">
        <v>37.52</v>
      </c>
      <c r="F16048" t="n">
        <v>1</v>
      </c>
      <c r="G16048" t="n">
        <v>17</v>
      </c>
      <c r="H16048" s="5">
        <f>HYPERLINK("https://api.qogita.com/variants/link/6291106814637/", "View Product")</f>
        <v/>
      </c>
    </row>
    <row r="16049">
      <c r="A16049" t="inlineStr">
        <is>
          <t>6291106815009</t>
        </is>
      </c>
      <c r="B16049" t="inlineStr">
        <is>
          <t>Al Haramain Green Dubai Extrait De Parfum Spray 100ml</t>
        </is>
      </c>
      <c r="C16049" t="inlineStr">
        <is>
          <t>Extrait De Parfum</t>
        </is>
      </c>
      <c r="D16049" t="inlineStr">
        <is>
          <t>Al Haramain</t>
        </is>
      </c>
      <c r="E16049" t="n">
        <v>39</v>
      </c>
      <c r="F16049" t="n">
        <v>1</v>
      </c>
      <c r="G16049" t="n">
        <v>2</v>
      </c>
      <c r="H16049" s="5">
        <f>HYPERLINK("https://api.qogita.com/variants/link/6291106815009/", "View Product")</f>
        <v/>
      </c>
    </row>
    <row r="16050">
      <c r="A16050" t="inlineStr">
        <is>
          <t>6291106816327</t>
        </is>
      </c>
      <c r="B16050" t="inlineStr">
        <is>
          <t>Al Haramain White Neroli Perfume Oil - 12ml</t>
        </is>
      </c>
      <c r="C16050" t="inlineStr">
        <is>
          <t>Eau De Parfum</t>
        </is>
      </c>
      <c r="D16050" t="inlineStr">
        <is>
          <t>Al Haramain</t>
        </is>
      </c>
      <c r="E16050" t="n">
        <v>13.24</v>
      </c>
      <c r="F16050" t="n">
        <v>1</v>
      </c>
      <c r="G16050" t="n">
        <v>4</v>
      </c>
      <c r="H16050" s="5">
        <f>HYPERLINK("https://api.qogita.com/variants/link/6291106816327/", "View Product")</f>
        <v/>
      </c>
    </row>
    <row r="16051">
      <c r="A16051" t="inlineStr">
        <is>
          <t>6291107162713</t>
        </is>
      </c>
      <c r="B16051" t="inlineStr">
        <is>
          <t>Beverly Hills Polo Club Women One Eau De Parfum 100ml Spray</t>
        </is>
      </c>
      <c r="C16051" t="inlineStr">
        <is>
          <t>Eau De Parfum</t>
        </is>
      </c>
      <c r="D16051" t="inlineStr">
        <is>
          <t>Beverly Hills Polo Club</t>
        </is>
      </c>
      <c r="E16051" t="n">
        <v>16.91</v>
      </c>
      <c r="F16051" t="n">
        <v>1</v>
      </c>
      <c r="G16051" t="n">
        <v>2</v>
      </c>
      <c r="H16051" s="5">
        <f>HYPERLINK("https://api.qogita.com/variants/link/6291107162713/", "View Product")</f>
        <v/>
      </c>
    </row>
    <row r="16052">
      <c r="A16052" t="inlineStr">
        <is>
          <t>6291107450414</t>
        </is>
      </c>
      <c r="B16052" t="inlineStr">
        <is>
          <t>Lattafa Qaaed Eau De Parfum Spray 100ml</t>
        </is>
      </c>
      <c r="C16052" t="inlineStr">
        <is>
          <t>Eau De Parfum</t>
        </is>
      </c>
      <c r="D16052" t="inlineStr">
        <is>
          <t>Lattafa</t>
        </is>
      </c>
      <c r="E16052" t="n">
        <v>15.68</v>
      </c>
      <c r="F16052" t="n">
        <v>1</v>
      </c>
      <c r="G16052" t="n">
        <v>459</v>
      </c>
      <c r="H16052" s="5">
        <f>HYPERLINK("https://api.qogita.com/variants/link/6291107450414/", "View Product")</f>
        <v/>
      </c>
    </row>
    <row r="16053">
      <c r="A16053" t="inlineStr">
        <is>
          <t>6291107450438</t>
        </is>
      </c>
      <c r="B16053" t="inlineStr">
        <is>
          <t>Lattafa Opulent Oud Eau De Parfum Spray 100ml</t>
        </is>
      </c>
      <c r="C16053" t="inlineStr">
        <is>
          <t>Eau De Parfum</t>
        </is>
      </c>
      <c r="D16053" t="inlineStr">
        <is>
          <t>Lattafa</t>
        </is>
      </c>
      <c r="E16053" t="n">
        <v>10.45</v>
      </c>
      <c r="F16053" t="n">
        <v>1</v>
      </c>
      <c r="G16053" t="n">
        <v>65</v>
      </c>
      <c r="H16053" s="5">
        <f>HYPERLINK("https://api.qogita.com/variants/link/6291107450438/", "View Product")</f>
        <v/>
      </c>
    </row>
    <row r="16054">
      <c r="A16054" t="inlineStr">
        <is>
          <t>6291107450445</t>
        </is>
      </c>
      <c r="B16054" t="inlineStr">
        <is>
          <t>Lattafa Opulent Musk Eau De Parfum Spray 100ml</t>
        </is>
      </c>
      <c r="C16054" t="inlineStr">
        <is>
          <t>Eau De Parfum</t>
        </is>
      </c>
      <c r="D16054" t="inlineStr">
        <is>
          <t>Lattafa</t>
        </is>
      </c>
      <c r="E16054" t="n">
        <v>11.38</v>
      </c>
      <c r="F16054" t="n">
        <v>1</v>
      </c>
      <c r="G16054" t="n">
        <v>108</v>
      </c>
      <c r="H16054" s="5">
        <f>HYPERLINK("https://api.qogita.com/variants/link/6291107450445/", "View Product")</f>
        <v/>
      </c>
    </row>
    <row r="16055">
      <c r="A16055" t="inlineStr">
        <is>
          <t>6291107451107</t>
        </is>
      </c>
      <c r="B16055" t="inlineStr">
        <is>
          <t>Lattafa Victorieux Femme Eau De Parfum 100ml</t>
        </is>
      </c>
      <c r="C16055" t="inlineStr">
        <is>
          <t>Eau De Parfum</t>
        </is>
      </c>
      <c r="D16055" t="inlineStr">
        <is>
          <t>Lattafa</t>
        </is>
      </c>
      <c r="E16055" t="n">
        <v>13.7</v>
      </c>
      <c r="F16055" t="n">
        <v>1</v>
      </c>
      <c r="G16055" t="n">
        <v>120</v>
      </c>
      <c r="H16055" s="5">
        <f>HYPERLINK("https://api.qogita.com/variants/link/6291107451107/", "View Product")</f>
        <v/>
      </c>
    </row>
    <row r="16056">
      <c r="A16056" t="inlineStr">
        <is>
          <t>6291107452340</t>
        </is>
      </c>
      <c r="B16056" t="inlineStr">
        <is>
          <t>Lattafa Musk Salama Eau De Parfum Spray 100ml</t>
        </is>
      </c>
      <c r="C16056" t="inlineStr">
        <is>
          <t>Eau De Parfum</t>
        </is>
      </c>
      <c r="D16056" t="inlineStr">
        <is>
          <t>Lattafa</t>
        </is>
      </c>
      <c r="E16056" t="n">
        <v>10.13</v>
      </c>
      <c r="F16056" t="n">
        <v>1</v>
      </c>
      <c r="G16056" t="n">
        <v>54</v>
      </c>
      <c r="H16056" s="5">
        <f>HYPERLINK("https://api.qogita.com/variants/link/6291107452340/", "View Product")</f>
        <v/>
      </c>
    </row>
    <row r="16057">
      <c r="A16057" t="inlineStr">
        <is>
          <t>6291107452777</t>
        </is>
      </c>
      <c r="B16057" t="inlineStr">
        <is>
          <t>Lattafa Khalta Blend Of Lattafa Eau De Parfum Spray 100ml</t>
        </is>
      </c>
      <c r="C16057" t="inlineStr">
        <is>
          <t>Eau De Parfum</t>
        </is>
      </c>
      <c r="D16057" t="inlineStr">
        <is>
          <t>Lattafa</t>
        </is>
      </c>
      <c r="E16057" t="n">
        <v>14.05</v>
      </c>
      <c r="F16057" t="n">
        <v>1</v>
      </c>
      <c r="G16057" t="n">
        <v>139</v>
      </c>
      <c r="H16057" s="5">
        <f>HYPERLINK("https://api.qogita.com/variants/link/6291107452777/", "View Product")</f>
        <v/>
      </c>
    </row>
    <row r="16058">
      <c r="A16058" t="inlineStr">
        <is>
          <t>6291107453859</t>
        </is>
      </c>
      <c r="B16058" t="inlineStr">
        <is>
          <t>Vurv Craft Oro Eau De Parfum Spray 100ml</t>
        </is>
      </c>
      <c r="C16058" t="inlineStr">
        <is>
          <t>Eau De Parfum</t>
        </is>
      </c>
      <c r="D16058" t="inlineStr">
        <is>
          <t>Vurv</t>
        </is>
      </c>
      <c r="E16058" t="n">
        <v>12.57</v>
      </c>
      <c r="F16058" t="n">
        <v>1</v>
      </c>
      <c r="G16058" t="n">
        <v>3</v>
      </c>
      <c r="H16058" s="5">
        <f>HYPERLINK("https://api.qogita.com/variants/link/6291107453859/", "View Product")</f>
        <v/>
      </c>
    </row>
    <row r="16059">
      <c r="A16059" t="inlineStr">
        <is>
          <t>6291107456041</t>
        </is>
      </c>
      <c r="B16059" t="inlineStr">
        <is>
          <t>Lattafa Fakhar Lattafa Femme Perfumed Water Spray 100ml</t>
        </is>
      </c>
      <c r="C16059" t="inlineStr">
        <is>
          <t>Eau De Parfum</t>
        </is>
      </c>
      <c r="D16059" t="inlineStr">
        <is>
          <t>Lattafa</t>
        </is>
      </c>
      <c r="E16059" t="n">
        <v>16.29</v>
      </c>
      <c r="F16059" t="n">
        <v>1</v>
      </c>
      <c r="G16059" t="n">
        <v>459</v>
      </c>
      <c r="H16059" s="5">
        <f>HYPERLINK("https://api.qogita.com/variants/link/6291107456041/", "View Product")</f>
        <v/>
      </c>
    </row>
    <row r="16060">
      <c r="A16060" t="inlineStr">
        <is>
          <t>6291107456287</t>
        </is>
      </c>
      <c r="B16060" t="inlineStr">
        <is>
          <t>Rave Signature Blue Eau De Parfum 100ml</t>
        </is>
      </c>
      <c r="C16060" t="inlineStr">
        <is>
          <t>Eau De Parfum</t>
        </is>
      </c>
      <c r="D16060" t="inlineStr">
        <is>
          <t>Rave</t>
        </is>
      </c>
      <c r="E16060" t="n">
        <v>12.48</v>
      </c>
      <c r="F16060" t="n">
        <v>1</v>
      </c>
      <c r="G16060" t="n">
        <v>21</v>
      </c>
      <c r="H16060" s="5">
        <f>HYPERLINK("https://api.qogita.com/variants/link/6291107456287/", "View Product")</f>
        <v/>
      </c>
    </row>
    <row r="16061">
      <c r="A16061" t="inlineStr">
        <is>
          <t>6291107456294</t>
        </is>
      </c>
      <c r="B16061" t="inlineStr">
        <is>
          <t>Signature Night 100ml Rave Lattafa Eau de Parfum for Men</t>
        </is>
      </c>
      <c r="C16061" t="inlineStr">
        <is>
          <t>Eau De Parfum</t>
        </is>
      </c>
      <c r="D16061" t="inlineStr">
        <is>
          <t>Rave</t>
        </is>
      </c>
      <c r="E16061" t="n">
        <v>9.56</v>
      </c>
      <c r="F16061" t="n">
        <v>1</v>
      </c>
      <c r="G16061" t="n">
        <v>41</v>
      </c>
      <c r="H16061" s="5">
        <f>HYPERLINK("https://api.qogita.com/variants/link/6291107456294/", "View Product")</f>
        <v/>
      </c>
    </row>
    <row r="16062">
      <c r="A16062" t="inlineStr">
        <is>
          <t>6291107456744</t>
        </is>
      </c>
      <c r="B16062" t="inlineStr">
        <is>
          <t>Lattafa Maahir Eau De Parfum Spray 100ml</t>
        </is>
      </c>
      <c r="C16062" t="inlineStr">
        <is>
          <t>Eau De Parfum</t>
        </is>
      </c>
      <c r="D16062" t="inlineStr">
        <is>
          <t>Lattafa</t>
        </is>
      </c>
      <c r="E16062" t="n">
        <v>16.53</v>
      </c>
      <c r="F16062" t="n">
        <v>1</v>
      </c>
      <c r="G16062" t="n">
        <v>138</v>
      </c>
      <c r="H16062" s="5">
        <f>HYPERLINK("https://api.qogita.com/variants/link/6291107456744/", "View Product")</f>
        <v/>
      </c>
    </row>
    <row r="16063">
      <c r="A16063" t="inlineStr">
        <is>
          <t>6291107459103</t>
        </is>
      </c>
      <c r="B16063" t="inlineStr">
        <is>
          <t>Aura D'eclat by Maison Alhambra Eau De Parfum Spray 3.4 oz</t>
        </is>
      </c>
      <c r="C16063" t="inlineStr">
        <is>
          <t>Eau De Parfum</t>
        </is>
      </c>
      <c r="D16063" t="inlineStr">
        <is>
          <t>Maison Alhambra</t>
        </is>
      </c>
      <c r="E16063" t="n">
        <v>9.039999999999999</v>
      </c>
      <c r="F16063" t="n">
        <v>1</v>
      </c>
      <c r="G16063" t="n">
        <v>122</v>
      </c>
      <c r="H16063" s="5">
        <f>HYPERLINK("https://api.qogita.com/variants/link/6291107459103/", "View Product")</f>
        <v/>
      </c>
    </row>
    <row r="16064">
      <c r="A16064" t="inlineStr">
        <is>
          <t>6291107459202</t>
        </is>
      </c>
      <c r="B16064" t="inlineStr">
        <is>
          <t>Alhambra Maison Alhambra Florenza Eau De Parfum 100ml</t>
        </is>
      </c>
      <c r="C16064" t="inlineStr">
        <is>
          <t>Eau De Parfum</t>
        </is>
      </c>
      <c r="D16064" t="inlineStr">
        <is>
          <t>Maison Alhambra</t>
        </is>
      </c>
      <c r="E16064" t="n">
        <v>10.45</v>
      </c>
      <c r="F16064" t="n">
        <v>1</v>
      </c>
      <c r="G16064" t="n">
        <v>184</v>
      </c>
      <c r="H16064" s="5">
        <f>HYPERLINK("https://api.qogita.com/variants/link/6291107459202/", "View Product")</f>
        <v/>
      </c>
    </row>
    <row r="16065">
      <c r="A16065" t="inlineStr">
        <is>
          <t>6291107459219</t>
        </is>
      </c>
      <c r="B16065" t="inlineStr">
        <is>
          <t>Fortnight Alhambra New Original EDP Men's Perfume 100ml</t>
        </is>
      </c>
      <c r="C16065" t="inlineStr">
        <is>
          <t>Eau De Parfum</t>
        </is>
      </c>
      <c r="D16065" t="inlineStr">
        <is>
          <t>Maison Alhambra</t>
        </is>
      </c>
      <c r="E16065" t="n">
        <v>19.54</v>
      </c>
      <c r="F16065" t="n">
        <v>1</v>
      </c>
      <c r="G16065" t="n">
        <v>5</v>
      </c>
      <c r="H16065" s="5">
        <f>HYPERLINK("https://api.qogita.com/variants/link/6291107459219/", "View Product")</f>
        <v/>
      </c>
    </row>
    <row r="16066">
      <c r="A16066" t="inlineStr">
        <is>
          <t>6291107459226</t>
        </is>
      </c>
      <c r="B16066" t="inlineStr">
        <is>
          <t>Maison Alhambra Galatea Eau De Parfum Spray 100ml</t>
        </is>
      </c>
      <c r="C16066" t="inlineStr">
        <is>
          <t>Eau De Parfum</t>
        </is>
      </c>
      <c r="D16066" t="inlineStr">
        <is>
          <t>Maison Alhambra</t>
        </is>
      </c>
      <c r="E16066" t="n">
        <v>9.06</v>
      </c>
      <c r="F16066" t="n">
        <v>1</v>
      </c>
      <c r="G16066" t="n">
        <v>459</v>
      </c>
      <c r="H16066" s="5">
        <f>HYPERLINK("https://api.qogita.com/variants/link/6291107459226/", "View Product")</f>
        <v/>
      </c>
    </row>
    <row r="16067">
      <c r="A16067" t="inlineStr">
        <is>
          <t>6291107459738</t>
        </is>
      </c>
      <c r="B16067" t="inlineStr">
        <is>
          <t>Lattafa Sheikh Al Shuyukh Final Edition Eau De Parfum Spray 100ml</t>
        </is>
      </c>
      <c r="C16067" t="inlineStr">
        <is>
          <t>Eau De Parfum</t>
        </is>
      </c>
      <c r="D16067" t="inlineStr">
        <is>
          <t>Lattafa</t>
        </is>
      </c>
      <c r="E16067" t="n">
        <v>10.85</v>
      </c>
      <c r="F16067" t="n">
        <v>1</v>
      </c>
      <c r="G16067" t="n">
        <v>77</v>
      </c>
      <c r="H16067" s="5">
        <f>HYPERLINK("https://api.qogita.com/variants/link/6291107459738/", "View Product")</f>
        <v/>
      </c>
    </row>
    <row r="16068">
      <c r="A16068" t="inlineStr">
        <is>
          <t>6291107970127</t>
        </is>
      </c>
      <c r="B16068" t="inlineStr">
        <is>
          <t>Khadlaj Oud Pour Blueberry Eau De Parfum 100ml</t>
        </is>
      </c>
      <c r="C16068" t="inlineStr">
        <is>
          <t>Eau De Parfum</t>
        </is>
      </c>
      <c r="D16068" t="inlineStr">
        <is>
          <t>Khadlaj</t>
        </is>
      </c>
      <c r="E16068" t="n">
        <v>24</v>
      </c>
      <c r="F16068" t="n">
        <v>1</v>
      </c>
      <c r="G16068" t="n">
        <v>11</v>
      </c>
      <c r="H16068" s="5">
        <f>HYPERLINK("https://api.qogita.com/variants/link/6291107970127/", "View Product")</f>
        <v/>
      </c>
    </row>
    <row r="16069">
      <c r="A16069" t="inlineStr">
        <is>
          <t>6291107970608</t>
        </is>
      </c>
      <c r="B16069" t="inlineStr">
        <is>
          <t>Khadlaj Oud Pour Shaikh Eau De Parfum 100ml</t>
        </is>
      </c>
      <c r="C16069" t="inlineStr">
        <is>
          <t>Eau De Parfum</t>
        </is>
      </c>
      <c r="D16069" t="inlineStr">
        <is>
          <t>Khadlaj</t>
        </is>
      </c>
      <c r="E16069" t="n">
        <v>22.64</v>
      </c>
      <c r="F16069" t="n">
        <v>1</v>
      </c>
      <c r="G16069" t="n">
        <v>11</v>
      </c>
      <c r="H16069" s="5">
        <f>HYPERLINK("https://api.qogita.com/variants/link/6291107970608/", "View Product")</f>
        <v/>
      </c>
    </row>
    <row r="16070">
      <c r="A16070" t="inlineStr">
        <is>
          <t>6291107970875</t>
        </is>
      </c>
      <c r="B16070" t="inlineStr">
        <is>
          <t>Khadlaj Hareem Al Sultan Concentrated Perfume Oil 35ml Alcoholfree</t>
        </is>
      </c>
      <c r="C16070" t="inlineStr">
        <is>
          <t>Extrait De Parfum</t>
        </is>
      </c>
      <c r="D16070" t="inlineStr">
        <is>
          <t>Khadlaj</t>
        </is>
      </c>
      <c r="E16070" t="n">
        <v>13.91</v>
      </c>
      <c r="F16070" t="n">
        <v>1</v>
      </c>
      <c r="G16070" t="n">
        <v>823</v>
      </c>
      <c r="H16070" s="5">
        <f>HYPERLINK("https://api.qogita.com/variants/link/6291107970875/", "View Product")</f>
        <v/>
      </c>
    </row>
    <row r="16071">
      <c r="A16071" t="inlineStr">
        <is>
          <t>6291107971278</t>
        </is>
      </c>
      <c r="B16071" t="inlineStr">
        <is>
          <t>Safari Gold Concentrated Perfume Oil 35ml by Khadlaj</t>
        </is>
      </c>
      <c r="C16071" t="inlineStr">
        <is>
          <t>Extrait De Parfum</t>
        </is>
      </c>
      <c r="D16071" t="inlineStr">
        <is>
          <t>Hareem</t>
        </is>
      </c>
      <c r="E16071" t="n">
        <v>6.77</v>
      </c>
      <c r="F16071" t="n">
        <v>1</v>
      </c>
      <c r="G16071" t="n">
        <v>11</v>
      </c>
      <c r="H16071" s="5">
        <f>HYPERLINK("https://api.qogita.com/variants/link/6291107971278/", "View Product")</f>
        <v/>
      </c>
    </row>
    <row r="16072">
      <c r="A16072" t="inlineStr">
        <is>
          <t>6291107973869</t>
        </is>
      </c>
      <c r="B16072" t="inlineStr">
        <is>
          <t>Khadlaj Shamookh Gold Concentrated Perfume Oil 0.67 Ounce Unisex</t>
        </is>
      </c>
      <c r="C16072" t="inlineStr">
        <is>
          <t>Extrait De Parfum</t>
        </is>
      </c>
      <c r="D16072" t="inlineStr">
        <is>
          <t>Khadlaj</t>
        </is>
      </c>
      <c r="E16072" t="n">
        <v>8.859999999999999</v>
      </c>
      <c r="F16072" t="n">
        <v>1</v>
      </c>
      <c r="G16072" t="n">
        <v>31</v>
      </c>
      <c r="H16072" s="5">
        <f>HYPERLINK("https://api.qogita.com/variants/link/6291107973869/", "View Product")</f>
        <v/>
      </c>
    </row>
    <row r="16073">
      <c r="A16073" t="inlineStr">
        <is>
          <t>6291107974019</t>
        </is>
      </c>
      <c r="B16073" t="inlineStr">
        <is>
          <t>Khadlaj Shiyaaka Gold Eau De Parfum Spray 100ml</t>
        </is>
      </c>
      <c r="C16073" t="inlineStr">
        <is>
          <t>Eau De Parfum</t>
        </is>
      </c>
      <c r="D16073" t="inlineStr">
        <is>
          <t>Khadlaj</t>
        </is>
      </c>
      <c r="E16073" t="n">
        <v>10.37</v>
      </c>
      <c r="F16073" t="n">
        <v>1</v>
      </c>
      <c r="G16073" t="n">
        <v>51</v>
      </c>
      <c r="H16073" s="5">
        <f>HYPERLINK("https://api.qogita.com/variants/link/6291107974019/", "View Product")</f>
        <v/>
      </c>
    </row>
    <row r="16074">
      <c r="A16074" t="inlineStr">
        <is>
          <t>6291107974088</t>
        </is>
      </c>
      <c r="B16074" t="inlineStr">
        <is>
          <t>Lasvish Lavish Luna Eau De Parfum 100ml</t>
        </is>
      </c>
      <c r="C16074" t="inlineStr">
        <is>
          <t>Eau De Parfum</t>
        </is>
      </c>
      <c r="D16074" t="inlineStr">
        <is>
          <t>Lavish</t>
        </is>
      </c>
      <c r="E16074" t="n">
        <v>7.32</v>
      </c>
      <c r="F16074" t="n">
        <v>1</v>
      </c>
      <c r="G16074" t="n">
        <v>27</v>
      </c>
      <c r="H16074" s="5">
        <f>HYPERLINK("https://api.qogita.com/variants/link/6291107974088/", "View Product")</f>
        <v/>
      </c>
    </row>
    <row r="16075">
      <c r="A16075" t="inlineStr">
        <is>
          <t>6291107974163</t>
        </is>
      </c>
      <c r="B16075" t="inlineStr">
        <is>
          <t>Khadlaj Sensuos Night Eau De Parfum 100ml</t>
        </is>
      </c>
      <c r="C16075" t="inlineStr">
        <is>
          <t>Eau De Parfum</t>
        </is>
      </c>
      <c r="D16075" t="inlineStr">
        <is>
          <t>Khadlaj</t>
        </is>
      </c>
      <c r="E16075" t="n">
        <v>11.4</v>
      </c>
      <c r="F16075" t="n">
        <v>1</v>
      </c>
      <c r="G16075" t="n">
        <v>7</v>
      </c>
      <c r="H16075" s="5">
        <f>HYPERLINK("https://api.qogita.com/variants/link/6291107974163/", "View Product")</f>
        <v/>
      </c>
    </row>
    <row r="16076">
      <c r="A16076" t="inlineStr">
        <is>
          <t>6291107974798</t>
        </is>
      </c>
      <c r="B16076" t="inlineStr">
        <is>
          <t>Khadlaj Cashmere Sunshine Musk Eau De Parfum 100ml</t>
        </is>
      </c>
      <c r="C16076" t="inlineStr">
        <is>
          <t>Eau De Parfum</t>
        </is>
      </c>
      <c r="D16076" t="inlineStr">
        <is>
          <t>Khadlaj</t>
        </is>
      </c>
      <c r="E16076" t="n">
        <v>17</v>
      </c>
      <c r="F16076" t="n">
        <v>1</v>
      </c>
      <c r="G16076" t="n">
        <v>9</v>
      </c>
      <c r="H16076" s="5">
        <f>HYPERLINK("https://api.qogita.com/variants/link/6291107974798/", "View Product")</f>
        <v/>
      </c>
    </row>
    <row r="16077">
      <c r="A16077" t="inlineStr">
        <is>
          <t>6291107975054</t>
        </is>
      </c>
      <c r="B16077" t="inlineStr">
        <is>
          <t>Khadlaj Magnate Noble Eau De Parfum 100ml</t>
        </is>
      </c>
      <c r="C16077" t="inlineStr">
        <is>
          <t>Eau De Parfum</t>
        </is>
      </c>
      <c r="D16077" t="inlineStr">
        <is>
          <t>Khadlaj</t>
        </is>
      </c>
      <c r="E16077" t="n">
        <v>11.81</v>
      </c>
      <c r="F16077" t="n">
        <v>1</v>
      </c>
      <c r="G16077" t="n">
        <v>34</v>
      </c>
      <c r="H16077" s="5">
        <f>HYPERLINK("https://api.qogita.com/variants/link/6291107975054/", "View Product")</f>
        <v/>
      </c>
    </row>
    <row r="16078">
      <c r="A16078" t="inlineStr">
        <is>
          <t>6291107975368</t>
        </is>
      </c>
      <c r="B16078" t="inlineStr">
        <is>
          <t>Khadlaj 25 Heritage Eau De Parfum 100ml</t>
        </is>
      </c>
      <c r="C16078" t="inlineStr">
        <is>
          <t>Eau De Parfum</t>
        </is>
      </c>
      <c r="D16078" t="inlineStr">
        <is>
          <t>Khadlaj</t>
        </is>
      </c>
      <c r="E16078" t="n">
        <v>15.13</v>
      </c>
      <c r="F16078" t="n">
        <v>1</v>
      </c>
      <c r="G16078" t="n">
        <v>87</v>
      </c>
      <c r="H16078" s="5">
        <f>HYPERLINK("https://api.qogita.com/variants/link/6291107975368/", "View Product")</f>
        <v/>
      </c>
    </row>
    <row r="16079">
      <c r="A16079" t="inlineStr">
        <is>
          <t>6291107975405</t>
        </is>
      </c>
      <c r="B16079" t="inlineStr">
        <is>
          <t>La Fede Intoxicate Eau De Parfum 100ml</t>
        </is>
      </c>
      <c r="C16079" t="inlineStr">
        <is>
          <t>Eau De Parfum</t>
        </is>
      </c>
      <c r="D16079" t="inlineStr">
        <is>
          <t>La Fede</t>
        </is>
      </c>
      <c r="E16079" t="n">
        <v>14.94</v>
      </c>
      <c r="F16079" t="n">
        <v>1</v>
      </c>
      <c r="G16079" t="n">
        <v>15</v>
      </c>
      <c r="H16079" s="5">
        <f>HYPERLINK("https://api.qogita.com/variants/link/6291107975405/", "View Product")</f>
        <v/>
      </c>
    </row>
    <row r="16080">
      <c r="A16080" t="inlineStr">
        <is>
          <t>6291107975498</t>
        </is>
      </c>
      <c r="B16080" t="inlineStr">
        <is>
          <t>KHADLAJ Aura Kiss Of Rose EDP 100ml Feminine Fragrance</t>
        </is>
      </c>
      <c r="C16080" t="inlineStr">
        <is>
          <t>Eau De Parfum</t>
        </is>
      </c>
      <c r="D16080" t="inlineStr">
        <is>
          <t>Khadlaj</t>
        </is>
      </c>
      <c r="E16080" t="n">
        <v>10.2</v>
      </c>
      <c r="F16080" t="n">
        <v>1</v>
      </c>
      <c r="G16080" t="n">
        <v>21</v>
      </c>
      <c r="H16080" s="5">
        <f>HYPERLINK("https://api.qogita.com/variants/link/6291107975498/", "View Product")</f>
        <v/>
      </c>
    </row>
    <row r="16081">
      <c r="A16081" t="inlineStr">
        <is>
          <t>6291107975504</t>
        </is>
      </c>
      <c r="B16081" t="inlineStr">
        <is>
          <t>La Fede Aura Crisp Flower Eau De Parfum 100ml</t>
        </is>
      </c>
      <c r="C16081" t="inlineStr">
        <is>
          <t>Eau De Parfum</t>
        </is>
      </c>
      <c r="D16081" t="inlineStr">
        <is>
          <t>La Fede</t>
        </is>
      </c>
      <c r="E16081" t="n">
        <v>11.52</v>
      </c>
      <c r="F16081" t="n">
        <v>1</v>
      </c>
      <c r="G16081" t="n">
        <v>69</v>
      </c>
      <c r="H16081" s="5">
        <f>HYPERLINK("https://api.qogita.com/variants/link/6291107975504/", "View Product")</f>
        <v/>
      </c>
    </row>
    <row r="16082">
      <c r="A16082" t="inlineStr">
        <is>
          <t>6291107975696</t>
        </is>
      </c>
      <c r="B16082" t="inlineStr">
        <is>
          <t>Khadlaj Rimaal Brown Concentrated Perfume Oil for Unisex 0.5 Ounce</t>
        </is>
      </c>
      <c r="C16082" t="inlineStr">
        <is>
          <t>Extrait De Parfum</t>
        </is>
      </c>
      <c r="D16082" t="inlineStr">
        <is>
          <t>Khadlaj</t>
        </is>
      </c>
      <c r="E16082" t="n">
        <v>10.24</v>
      </c>
      <c r="F16082" t="n">
        <v>1</v>
      </c>
      <c r="G16082" t="n">
        <v>64</v>
      </c>
      <c r="H16082" s="5">
        <f>HYPERLINK("https://api.qogita.com/variants/link/6291107975696/", "View Product")</f>
        <v/>
      </c>
    </row>
    <row r="16083">
      <c r="A16083" t="inlineStr">
        <is>
          <t>6291107975788</t>
        </is>
      </c>
      <c r="B16083" t="inlineStr">
        <is>
          <t>Le Fede Bella Reve Dolce Fiore Eau De Parfum 100ml</t>
        </is>
      </c>
      <c r="C16083" t="inlineStr">
        <is>
          <t>Eau De Parfum</t>
        </is>
      </c>
      <c r="D16083" t="inlineStr">
        <is>
          <t>L'Occitane</t>
        </is>
      </c>
      <c r="E16083" t="n">
        <v>8.029999999999999</v>
      </c>
      <c r="F16083" t="n">
        <v>1</v>
      </c>
      <c r="G16083" t="n">
        <v>6</v>
      </c>
      <c r="H16083" s="5">
        <f>HYPERLINK("https://api.qogita.com/variants/link/6291107975788/", "View Product")</f>
        <v/>
      </c>
    </row>
    <row r="16084">
      <c r="A16084" t="inlineStr">
        <is>
          <t>6291107975924</t>
        </is>
      </c>
      <c r="B16084" t="inlineStr">
        <is>
          <t>Khadlaj Lé Prestige Bold Eau de Parfum Spray for Unisex 3.4 Ounce</t>
        </is>
      </c>
      <c r="C16084" t="inlineStr">
        <is>
          <t>Eau De Parfum</t>
        </is>
      </c>
      <c r="D16084" t="inlineStr">
        <is>
          <t>Khadlaj</t>
        </is>
      </c>
      <c r="E16084" t="n">
        <v>16.62</v>
      </c>
      <c r="F16084" t="n">
        <v>1</v>
      </c>
      <c r="G16084" t="n">
        <v>51</v>
      </c>
      <c r="H16084" s="5">
        <f>HYPERLINK("https://api.qogita.com/variants/link/6291107975924/", "View Product")</f>
        <v/>
      </c>
    </row>
    <row r="16085">
      <c r="A16085" t="inlineStr">
        <is>
          <t>6291107975979</t>
        </is>
      </c>
      <c r="B16085" t="inlineStr">
        <is>
          <t>Valor Enigma Perfumed Water Spray 100ml</t>
        </is>
      </c>
      <c r="C16085" t="inlineStr">
        <is>
          <t>Eau De Parfum</t>
        </is>
      </c>
      <c r="D16085" t="inlineStr">
        <is>
          <t>Valor</t>
        </is>
      </c>
      <c r="E16085" t="n">
        <v>16.58</v>
      </c>
      <c r="F16085" t="n">
        <v>1</v>
      </c>
      <c r="G16085" t="n">
        <v>30</v>
      </c>
      <c r="H16085" s="5">
        <f>HYPERLINK("https://api.qogita.com/variants/link/6291107975979/", "View Product")</f>
        <v/>
      </c>
    </row>
    <row r="16086">
      <c r="A16086" t="inlineStr">
        <is>
          <t>6291107976679</t>
        </is>
      </c>
      <c r="B16086" t="inlineStr">
        <is>
          <t>Khadlaj Ameer Al Arab - Concentrated Perfumed Oil</t>
        </is>
      </c>
      <c r="C16086" t="inlineStr">
        <is>
          <t>Extrait De Parfum</t>
        </is>
      </c>
      <c r="D16086" t="inlineStr">
        <is>
          <t>Khadlaj</t>
        </is>
      </c>
      <c r="E16086" t="n">
        <v>6.44</v>
      </c>
      <c r="F16086" t="n">
        <v>1</v>
      </c>
      <c r="G16086" t="n">
        <v>162</v>
      </c>
      <c r="H16086" s="5">
        <f>HYPERLINK("https://api.qogita.com/variants/link/6291107976679/", "View Product")</f>
        <v/>
      </c>
    </row>
    <row r="16087">
      <c r="A16087" t="inlineStr">
        <is>
          <t>6291107976945</t>
        </is>
      </c>
      <c r="B16087" t="inlineStr">
        <is>
          <t>Magnum Black Intense Eau de Parfum - 100 ml</t>
        </is>
      </c>
      <c r="C16087" t="inlineStr">
        <is>
          <t>Eau De Parfum</t>
        </is>
      </c>
      <c r="D16087" t="inlineStr">
        <is>
          <t>Magnum</t>
        </is>
      </c>
      <c r="E16087" t="n">
        <v>16.46</v>
      </c>
      <c r="F16087" t="n">
        <v>1</v>
      </c>
      <c r="G16087" t="n">
        <v>27</v>
      </c>
      <c r="H16087" s="5">
        <f>HYPERLINK("https://api.qogita.com/variants/link/6291107976945/", "View Product")</f>
        <v/>
      </c>
    </row>
    <row r="16088">
      <c r="A16088" t="inlineStr">
        <is>
          <t>6291107977027</t>
        </is>
      </c>
      <c r="B16088" t="inlineStr">
        <is>
          <t>Khadlaj Musk Al Sabah Eau de Parfum Spray for Unisex 3.4 Ounce</t>
        </is>
      </c>
      <c r="C16088" t="inlineStr">
        <is>
          <t>Eau De Parfum</t>
        </is>
      </c>
      <c r="D16088" t="inlineStr">
        <is>
          <t>Khadlaj</t>
        </is>
      </c>
      <c r="E16088" t="n">
        <v>9.74</v>
      </c>
      <c r="F16088" t="n">
        <v>1</v>
      </c>
      <c r="G16088" t="n">
        <v>9</v>
      </c>
      <c r="H16088" s="5">
        <f>HYPERLINK("https://api.qogita.com/variants/link/6291107977027/", "View Product")</f>
        <v/>
      </c>
    </row>
    <row r="16089">
      <c r="A16089" t="inlineStr">
        <is>
          <t>6291107977034</t>
        </is>
      </c>
      <c r="B16089" t="inlineStr">
        <is>
          <t>Khadlaj Oud Al Sabah Eau de Parfum Spray for Unisex 3.4 Ounce</t>
        </is>
      </c>
      <c r="C16089" t="inlineStr">
        <is>
          <t>Eau De Parfum</t>
        </is>
      </c>
      <c r="D16089" t="inlineStr">
        <is>
          <t>Khadlaj</t>
        </is>
      </c>
      <c r="E16089" t="n">
        <v>10.92</v>
      </c>
      <c r="F16089" t="n">
        <v>1</v>
      </c>
      <c r="G16089" t="n">
        <v>18</v>
      </c>
      <c r="H16089" s="5">
        <f>HYPERLINK("https://api.qogita.com/variants/link/6291107977034/", "View Product")</f>
        <v/>
      </c>
    </row>
    <row r="16090">
      <c r="A16090" t="inlineStr">
        <is>
          <t>6291107977041</t>
        </is>
      </c>
      <c r="B16090" t="inlineStr">
        <is>
          <t>Crystallia Primaso Eau de Parfum - 100 ml</t>
        </is>
      </c>
      <c r="C16090" t="inlineStr">
        <is>
          <t>Eau De Parfum</t>
        </is>
      </c>
      <c r="D16090" t="inlineStr">
        <is>
          <t>Crystallia</t>
        </is>
      </c>
      <c r="E16090" t="n">
        <v>13.03</v>
      </c>
      <c r="F16090" t="n">
        <v>1</v>
      </c>
      <c r="G16090" t="n">
        <v>11</v>
      </c>
      <c r="H16090" s="5">
        <f>HYPERLINK("https://api.qogita.com/variants/link/6291107977041/", "View Product")</f>
        <v/>
      </c>
    </row>
    <row r="16091">
      <c r="A16091" t="inlineStr">
        <is>
          <t>6291107977089</t>
        </is>
      </c>
      <c r="B16091" t="inlineStr">
        <is>
          <t>Khadlaj Malika Red Concentrated Perfume Oil for Women 20ml 0.7 Ounce</t>
        </is>
      </c>
      <c r="C16091" t="inlineStr">
        <is>
          <t>Extrait De Parfum</t>
        </is>
      </c>
      <c r="D16091" t="inlineStr">
        <is>
          <t>Khadlaj</t>
        </is>
      </c>
      <c r="E16091" t="n">
        <v>19.42</v>
      </c>
      <c r="F16091" t="n">
        <v>1</v>
      </c>
      <c r="G16091" t="n">
        <v>51</v>
      </c>
      <c r="H16091" s="5">
        <f>HYPERLINK("https://api.qogita.com/variants/link/6291107977089/", "View Product")</f>
        <v/>
      </c>
    </row>
    <row r="16092">
      <c r="A16092" t="inlineStr">
        <is>
          <t>6291107977096</t>
        </is>
      </c>
      <c r="B16092" t="inlineStr">
        <is>
          <t>Khadlaj Malika Green Concentrated Perfume Oil for Women 20ml 0.7 Ounce</t>
        </is>
      </c>
      <c r="C16092" t="inlineStr">
        <is>
          <t>Extrait De Parfum</t>
        </is>
      </c>
      <c r="D16092" t="inlineStr">
        <is>
          <t>Khadlaj</t>
        </is>
      </c>
      <c r="E16092" t="n">
        <v>13.61</v>
      </c>
      <c r="F16092" t="n">
        <v>1</v>
      </c>
      <c r="G16092" t="n">
        <v>12</v>
      </c>
      <c r="H16092" s="5">
        <f>HYPERLINK("https://api.qogita.com/variants/link/6291107977096/", "View Product")</f>
        <v/>
      </c>
    </row>
    <row r="16093">
      <c r="A16093" t="inlineStr">
        <is>
          <t>6291107977102</t>
        </is>
      </c>
      <c r="B16093" t="inlineStr">
        <is>
          <t>Kayaan Gold - alcohol-free perfumed oil Volume 20 ml</t>
        </is>
      </c>
      <c r="C16093" t="inlineStr">
        <is>
          <t>Refillable Fragrances &amp; Refills</t>
        </is>
      </c>
      <c r="D16093" t="inlineStr">
        <is>
          <t>Khadlaj</t>
        </is>
      </c>
      <c r="E16093" t="n">
        <v>18.31</v>
      </c>
      <c r="F16093" t="n">
        <v>1</v>
      </c>
      <c r="G16093" t="n">
        <v>14</v>
      </c>
      <c r="H16093" s="5">
        <f>HYPERLINK("https://api.qogita.com/variants/link/6291107977102/", "View Product")</f>
        <v/>
      </c>
    </row>
    <row r="16094">
      <c r="A16094" t="inlineStr">
        <is>
          <t>6291107977737</t>
        </is>
      </c>
      <c r="B16094" t="inlineStr">
        <is>
          <t>Khadlaj Pure Musk Concentrated Perfumed Oil</t>
        </is>
      </c>
      <c r="C16094" t="inlineStr">
        <is>
          <t>Extrait De Parfum</t>
        </is>
      </c>
      <c r="D16094" t="inlineStr">
        <is>
          <t>Khadlaj</t>
        </is>
      </c>
      <c r="E16094" t="n">
        <v>8.5</v>
      </c>
      <c r="F16094" t="n">
        <v>1</v>
      </c>
      <c r="G16094" t="n">
        <v>5</v>
      </c>
      <c r="H16094" s="5">
        <f>HYPERLINK("https://api.qogita.com/variants/link/6291107977737/", "View Product")</f>
        <v/>
      </c>
    </row>
    <row r="16095">
      <c r="A16095" t="inlineStr">
        <is>
          <t>6291107977768</t>
        </is>
      </c>
      <c r="B16095" t="inlineStr">
        <is>
          <t>Khadlaj Fursan Brown Eau De Parfum</t>
        </is>
      </c>
      <c r="C16095" t="inlineStr">
        <is>
          <t>Eau De Parfum</t>
        </is>
      </c>
      <c r="D16095" t="inlineStr">
        <is>
          <t>Khadlaj</t>
        </is>
      </c>
      <c r="E16095" t="n">
        <v>11.3</v>
      </c>
      <c r="F16095" t="n">
        <v>1</v>
      </c>
      <c r="G16095" t="n">
        <v>65</v>
      </c>
      <c r="H16095" s="5">
        <f>HYPERLINK("https://api.qogita.com/variants/link/6291107977768/", "View Product")</f>
        <v/>
      </c>
    </row>
    <row r="16096">
      <c r="A16096" t="inlineStr">
        <is>
          <t>6291107977836</t>
        </is>
      </c>
      <c r="B16096" t="inlineStr">
        <is>
          <t>Khadlaj Lara Green Oil 20 Ml</t>
        </is>
      </c>
      <c r="C16096" t="inlineStr">
        <is>
          <t>Hair Oil &amp; Hair Serum</t>
        </is>
      </c>
      <c r="D16096" t="inlineStr">
        <is>
          <t>Khadlaj</t>
        </is>
      </c>
      <c r="E16096" t="n">
        <v>7.3</v>
      </c>
      <c r="F16096" t="n">
        <v>1</v>
      </c>
      <c r="G16096" t="n">
        <v>40</v>
      </c>
      <c r="H16096" s="5">
        <f>HYPERLINK("https://api.qogita.com/variants/link/6291107977836/", "View Product")</f>
        <v/>
      </c>
    </row>
    <row r="16097">
      <c r="A16097" t="inlineStr">
        <is>
          <t>6291107978772</t>
        </is>
      </c>
      <c r="B16097" t="inlineStr">
        <is>
          <t>Sara 100ml Eau De Parfum Spray for Women - Elegant Floral, Fruity, and Warm Musk</t>
        </is>
      </c>
      <c r="C16097" t="inlineStr">
        <is>
          <t>Eau De Parfum</t>
        </is>
      </c>
      <c r="D16097" t="inlineStr">
        <is>
          <t>Khadlaj</t>
        </is>
      </c>
      <c r="E16097" t="n">
        <v>28.03</v>
      </c>
      <c r="F16097" t="n">
        <v>1</v>
      </c>
      <c r="G16097" t="n">
        <v>12</v>
      </c>
      <c r="H16097" s="5">
        <f>HYPERLINK("https://api.qogita.com/variants/link/6291107978772/", "View Product")</f>
        <v/>
      </c>
    </row>
    <row r="16098">
      <c r="A16098" t="inlineStr">
        <is>
          <t>6291107978826</t>
        </is>
      </c>
      <c r="B16098" t="inlineStr">
        <is>
          <t>La Fede Eau De Parfum, Symbol Of Love For Women, 100 Ml</t>
        </is>
      </c>
      <c r="C16098" t="inlineStr">
        <is>
          <t>Eau De Parfum</t>
        </is>
      </c>
      <c r="D16098" t="inlineStr">
        <is>
          <t>La Fede</t>
        </is>
      </c>
      <c r="E16098" t="n">
        <v>17.22</v>
      </c>
      <c r="F16098" t="n">
        <v>1</v>
      </c>
      <c r="G16098" t="n">
        <v>38</v>
      </c>
      <c r="H16098" s="5">
        <f>HYPERLINK("https://api.qogita.com/variants/link/6291107978826/", "View Product")</f>
        <v/>
      </c>
    </row>
    <row r="16099">
      <c r="A16099" t="inlineStr">
        <is>
          <t>6291107978925</t>
        </is>
      </c>
      <c r="B16099" t="inlineStr">
        <is>
          <t>Celebrity Fame La Fede by Khadlaj Perfumes Men Eau De Parfum 100ml</t>
        </is>
      </c>
      <c r="C16099" t="inlineStr">
        <is>
          <t>Eau De Parfum</t>
        </is>
      </c>
      <c r="D16099" t="inlineStr">
        <is>
          <t>Khadlaj</t>
        </is>
      </c>
      <c r="E16099" t="n">
        <v>15.83</v>
      </c>
      <c r="F16099" t="n">
        <v>1</v>
      </c>
      <c r="G16099" t="n">
        <v>43</v>
      </c>
      <c r="H16099" s="5">
        <f>HYPERLINK("https://api.qogita.com/variants/link/6291107978925/", "View Product")</f>
        <v/>
      </c>
    </row>
    <row r="16100">
      <c r="A16100" t="inlineStr">
        <is>
          <t>6291107979038</t>
        </is>
      </c>
      <c r="B16100" t="inlineStr">
        <is>
          <t>La Fede Celeste Aqua Eau De Parfum, Unisex, 100 Ml</t>
        </is>
      </c>
      <c r="C16100" t="inlineStr">
        <is>
          <t>Eau De Parfum</t>
        </is>
      </c>
      <c r="D16100" t="inlineStr">
        <is>
          <t>La Fede</t>
        </is>
      </c>
      <c r="E16100" t="n">
        <v>13.61</v>
      </c>
      <c r="F16100" t="n">
        <v>1</v>
      </c>
      <c r="G16100" t="n">
        <v>34</v>
      </c>
      <c r="H16100" s="5">
        <f>HYPERLINK("https://api.qogita.com/variants/link/6291107979038/", "View Product")</f>
        <v/>
      </c>
    </row>
    <row r="16101">
      <c r="A16101" t="inlineStr">
        <is>
          <t>6291107979106</t>
        </is>
      </c>
      <c r="B16101" t="inlineStr">
        <is>
          <t>La Fede Aura Manga Splash Eau De Parfum 100ml</t>
        </is>
      </c>
      <c r="C16101" t="inlineStr">
        <is>
          <t>Eau De Parfum</t>
        </is>
      </c>
      <c r="D16101" t="inlineStr">
        <is>
          <t>La Fede</t>
        </is>
      </c>
      <c r="E16101" t="n">
        <v>12.23</v>
      </c>
      <c r="F16101" t="n">
        <v>1</v>
      </c>
      <c r="G16101" t="n">
        <v>64</v>
      </c>
      <c r="H16101" s="5">
        <f>HYPERLINK("https://api.qogita.com/variants/link/6291107979106/", "View Product")</f>
        <v/>
      </c>
    </row>
    <row r="16102">
      <c r="A16102" t="inlineStr">
        <is>
          <t>6291107979120</t>
        </is>
      </c>
      <c r="B16102" t="inlineStr">
        <is>
          <t>La Fede White Forest Strawberry Eau De Parfum 100ml</t>
        </is>
      </c>
      <c r="C16102" t="inlineStr">
        <is>
          <t>Eau De Parfum</t>
        </is>
      </c>
      <c r="D16102" t="inlineStr">
        <is>
          <t>La Fede</t>
        </is>
      </c>
      <c r="E16102" t="n">
        <v>12.53</v>
      </c>
      <c r="F16102" t="n">
        <v>1</v>
      </c>
      <c r="G16102" t="n">
        <v>34</v>
      </c>
      <c r="H16102" s="5">
        <f>HYPERLINK("https://api.qogita.com/variants/link/6291107979120/", "View Product")</f>
        <v/>
      </c>
    </row>
    <row r="16103">
      <c r="A16103" t="inlineStr">
        <is>
          <t>6291108320709</t>
        </is>
      </c>
      <c r="B16103" t="inlineStr">
        <is>
          <t>Fragrance World Paradox Vetiver Eau De Parfum 100ml</t>
        </is>
      </c>
      <c r="C16103" t="inlineStr">
        <is>
          <t>Eau De Parfum</t>
        </is>
      </c>
      <c r="D16103" t="inlineStr">
        <is>
          <t>Fragrance World</t>
        </is>
      </c>
      <c r="E16103" t="n">
        <v>23.39</v>
      </c>
      <c r="F16103" t="n">
        <v>1</v>
      </c>
      <c r="G16103" t="n">
        <v>8</v>
      </c>
      <c r="H16103" s="5">
        <f>HYPERLINK("https://api.qogita.com/variants/link/6291108320709/", "View Product")</f>
        <v/>
      </c>
    </row>
    <row r="16104">
      <c r="A16104" t="inlineStr">
        <is>
          <t>6291108323939</t>
        </is>
      </c>
      <c r="B16104" t="inlineStr">
        <is>
          <t>Fragrance World Glorious Oud EDP by French Avenue Perfume for Unisex 80ml Luxury Niche Perfume Made in UAE Amber Wood 2.7 Fl Oz</t>
        </is>
      </c>
      <c r="C16104" t="inlineStr">
        <is>
          <t>Eau De Parfum</t>
        </is>
      </c>
      <c r="D16104" t="inlineStr">
        <is>
          <t>Fragrance World</t>
        </is>
      </c>
      <c r="E16104" t="n">
        <v>21.45</v>
      </c>
      <c r="F16104" t="n">
        <v>1</v>
      </c>
      <c r="G16104" t="n">
        <v>9</v>
      </c>
      <c r="H16104" s="5">
        <f>HYPERLINK("https://api.qogita.com/variants/link/6291108323939/", "View Product")</f>
        <v/>
      </c>
    </row>
    <row r="16105">
      <c r="A16105" t="inlineStr">
        <is>
          <t>6291108327647</t>
        </is>
      </c>
      <c r="B16105" t="inlineStr">
        <is>
          <t>The Night Extrait De Parfum 60ml</t>
        </is>
      </c>
      <c r="C16105" t="inlineStr">
        <is>
          <t>Extrait De Parfum</t>
        </is>
      </c>
      <c r="D16105" t="inlineStr">
        <is>
          <t>French Avenue</t>
        </is>
      </c>
      <c r="E16105" t="n">
        <v>30.41</v>
      </c>
      <c r="F16105" t="n">
        <v>1</v>
      </c>
      <c r="G16105" t="n">
        <v>33</v>
      </c>
      <c r="H16105" s="5">
        <f>HYPERLINK("https://api.qogita.com/variants/link/6291108327647/", "View Product")</f>
        <v/>
      </c>
    </row>
    <row r="16106">
      <c r="A16106" t="inlineStr">
        <is>
          <t>6291108528464</t>
        </is>
      </c>
      <c r="B16106" t="inlineStr">
        <is>
          <t>Al Fares Jalaal Perfume - 100ml</t>
        </is>
      </c>
      <c r="C16106" t="inlineStr">
        <is>
          <t>Eau De Parfum</t>
        </is>
      </c>
      <c r="D16106" t="inlineStr">
        <is>
          <t>Al Fares</t>
        </is>
      </c>
      <c r="E16106" t="n">
        <v>12.56</v>
      </c>
      <c r="F16106" t="n">
        <v>1</v>
      </c>
      <c r="G16106" t="n">
        <v>5</v>
      </c>
      <c r="H16106" s="5">
        <f>HYPERLINK("https://api.qogita.com/variants/link/6291108528464/", "View Product")</f>
        <v/>
      </c>
    </row>
    <row r="16107">
      <c r="A16107" t="inlineStr">
        <is>
          <t>6291108528945</t>
        </is>
      </c>
      <c r="B16107" t="inlineStr">
        <is>
          <t>La Sera Safran Rose Eau De Parfum 100ml</t>
        </is>
      </c>
      <c r="C16107" t="inlineStr">
        <is>
          <t>Eau De Parfum</t>
        </is>
      </c>
      <c r="D16107" t="inlineStr">
        <is>
          <t>La Sera</t>
        </is>
      </c>
      <c r="E16107" t="n">
        <v>15.43</v>
      </c>
      <c r="F16107" t="n">
        <v>1</v>
      </c>
      <c r="G16107" t="n">
        <v>4</v>
      </c>
      <c r="H16107" s="5">
        <f>HYPERLINK("https://api.qogita.com/variants/link/6291108528945/", "View Product")</f>
        <v/>
      </c>
    </row>
    <row r="16108">
      <c r="A16108" t="inlineStr">
        <is>
          <t>6291108727508</t>
        </is>
      </c>
      <c r="B16108" t="inlineStr">
        <is>
          <t>Oxana Bouquet Eau De Parfum 3.4fl oz 100ml</t>
        </is>
      </c>
      <c r="C16108" t="inlineStr">
        <is>
          <t>Eau De Parfum</t>
        </is>
      </c>
      <c r="D16108" t="inlineStr">
        <is>
          <t>Amara Parfums</t>
        </is>
      </c>
      <c r="E16108" t="n">
        <v>16.04</v>
      </c>
      <c r="F16108" t="n">
        <v>1</v>
      </c>
      <c r="G16108" t="n">
        <v>22</v>
      </c>
      <c r="H16108" s="5">
        <f>HYPERLINK("https://api.qogita.com/variants/link/6291108727508/", "View Product")</f>
        <v/>
      </c>
    </row>
    <row r="16109">
      <c r="A16109" t="inlineStr">
        <is>
          <t>6291108730065</t>
        </is>
      </c>
      <c r="B16109" t="inlineStr">
        <is>
          <t>Black Origami 100ml</t>
        </is>
      </c>
      <c r="C16109" t="inlineStr">
        <is>
          <t>Eau De Parfum</t>
        </is>
      </c>
      <c r="D16109" t="inlineStr">
        <is>
          <t>Maison Alhambra</t>
        </is>
      </c>
      <c r="E16109" t="n">
        <v>11.29</v>
      </c>
      <c r="F16109" t="n">
        <v>1</v>
      </c>
      <c r="G16109" t="n">
        <v>354</v>
      </c>
      <c r="H16109" s="5">
        <f>HYPERLINK("https://api.qogita.com/variants/link/6291108730065/", "View Product")</f>
        <v/>
      </c>
    </row>
    <row r="16110">
      <c r="A16110" t="inlineStr">
        <is>
          <t>6291108730102</t>
        </is>
      </c>
      <c r="B16110" t="inlineStr">
        <is>
          <t>Maison Alhambra Encode Eau De Parfum Spray 100ml</t>
        </is>
      </c>
      <c r="C16110" t="inlineStr">
        <is>
          <t>Eau De Parfum</t>
        </is>
      </c>
      <c r="D16110" t="inlineStr">
        <is>
          <t>Maison Alhambra</t>
        </is>
      </c>
      <c r="E16110" t="n">
        <v>16.91</v>
      </c>
      <c r="F16110" t="n">
        <v>1</v>
      </c>
      <c r="G16110" t="n">
        <v>5</v>
      </c>
      <c r="H16110" s="5">
        <f>HYPERLINK("https://api.qogita.com/variants/link/6291108730102/", "View Product")</f>
        <v/>
      </c>
    </row>
    <row r="16111">
      <c r="A16111" t="inlineStr">
        <is>
          <t>6291108730119</t>
        </is>
      </c>
      <c r="B16111" t="inlineStr">
        <is>
          <t>Lattafa Euzonea Eau De Parfum 100ml Spray</t>
        </is>
      </c>
      <c r="C16111" t="inlineStr">
        <is>
          <t>Eau De Parfum</t>
        </is>
      </c>
      <c r="D16111" t="inlineStr">
        <is>
          <t>Lattafa</t>
        </is>
      </c>
      <c r="E16111" t="n">
        <v>11.72</v>
      </c>
      <c r="F16111" t="n">
        <v>1</v>
      </c>
      <c r="G16111" t="n">
        <v>4</v>
      </c>
      <c r="H16111" s="5">
        <f>HYPERLINK("https://api.qogita.com/variants/link/6291108730119/", "View Product")</f>
        <v/>
      </c>
    </row>
    <row r="16112">
      <c r="A16112" t="inlineStr">
        <is>
          <t>6291108730133</t>
        </is>
      </c>
      <c r="B16112" t="inlineStr">
        <is>
          <t>Jardin De Paris Eau De Parfum 100ml by Maison Alhambra</t>
        </is>
      </c>
      <c r="C16112" t="inlineStr">
        <is>
          <t>Eau De Parfum</t>
        </is>
      </c>
      <c r="D16112" t="inlineStr">
        <is>
          <t>Maison Alhambra</t>
        </is>
      </c>
      <c r="E16112" t="n">
        <v>9.779999999999999</v>
      </c>
      <c r="F16112" t="n">
        <v>1</v>
      </c>
      <c r="G16112" t="n">
        <v>64</v>
      </c>
      <c r="H16112" s="5">
        <f>HYPERLINK("https://api.qogita.com/variants/link/6291108730133/", "View Product")</f>
        <v/>
      </c>
    </row>
    <row r="16113">
      <c r="A16113" t="inlineStr">
        <is>
          <t>6291108730140</t>
        </is>
      </c>
      <c r="B16113" t="inlineStr">
        <is>
          <t>Jorge Di Profumo Eau De Parfum by Maison Alhambra Lattafa 100ml</t>
        </is>
      </c>
      <c r="C16113" t="inlineStr">
        <is>
          <t>Eau De Parfum</t>
        </is>
      </c>
      <c r="D16113" t="inlineStr">
        <is>
          <t>Lattafa</t>
        </is>
      </c>
      <c r="E16113" t="n">
        <v>9.800000000000001</v>
      </c>
      <c r="F16113" t="n">
        <v>1</v>
      </c>
      <c r="G16113" t="n">
        <v>91</v>
      </c>
      <c r="H16113" s="5">
        <f>HYPERLINK("https://api.qogita.com/variants/link/6291108730140/", "View Product")</f>
        <v/>
      </c>
    </row>
    <row r="16114">
      <c r="A16114" t="inlineStr">
        <is>
          <t>6291108730164</t>
        </is>
      </c>
      <c r="B16114" t="inlineStr">
        <is>
          <t>Maison Alhambra Iii L'Impressio Pour Femme Eau De Parfum Spray 100ml</t>
        </is>
      </c>
      <c r="C16114" t="inlineStr">
        <is>
          <t>Eau De Parfum</t>
        </is>
      </c>
      <c r="D16114" t="inlineStr">
        <is>
          <t>Maison Alhambra</t>
        </is>
      </c>
      <c r="E16114" t="n">
        <v>9.16</v>
      </c>
      <c r="F16114" t="n">
        <v>1</v>
      </c>
      <c r="G16114" t="n">
        <v>5</v>
      </c>
      <c r="H16114" s="5">
        <f>HYPERLINK("https://api.qogita.com/variants/link/6291108730164/", "View Product")</f>
        <v/>
      </c>
    </row>
    <row r="16115">
      <c r="A16115" t="inlineStr">
        <is>
          <t>6291108730171</t>
        </is>
      </c>
      <c r="B16115" t="inlineStr">
        <is>
          <t>Maison Alhambra L'Intrude Eau De Parfum 100ml</t>
        </is>
      </c>
      <c r="C16115" t="inlineStr">
        <is>
          <t>Eau De Parfum</t>
        </is>
      </c>
      <c r="D16115" t="inlineStr">
        <is>
          <t>Maison Alhambra</t>
        </is>
      </c>
      <c r="E16115" t="n">
        <v>10.36</v>
      </c>
      <c r="F16115" t="n">
        <v>1</v>
      </c>
      <c r="G16115" t="n">
        <v>29</v>
      </c>
      <c r="H16115" s="5">
        <f>HYPERLINK("https://api.qogita.com/variants/link/6291108730171/", "View Product")</f>
        <v/>
      </c>
    </row>
    <row r="16116">
      <c r="A16116" t="inlineStr">
        <is>
          <t>6291108730218</t>
        </is>
      </c>
      <c r="B16116" t="inlineStr">
        <is>
          <t>Maison Alhambra Narissa Eau De Parfum Spray 100ml</t>
        </is>
      </c>
      <c r="C16116" t="inlineStr">
        <is>
          <t>Eau De Parfum</t>
        </is>
      </c>
      <c r="D16116" t="inlineStr">
        <is>
          <t>Maison Alhambra</t>
        </is>
      </c>
      <c r="E16116" t="n">
        <v>9.859999999999999</v>
      </c>
      <c r="F16116" t="n">
        <v>1</v>
      </c>
      <c r="G16116" t="n">
        <v>38</v>
      </c>
      <c r="H16116" s="5">
        <f>HYPERLINK("https://api.qogita.com/variants/link/6291108730218/", "View Product")</f>
        <v/>
      </c>
    </row>
    <row r="16117">
      <c r="A16117" t="inlineStr">
        <is>
          <t>6291108730232</t>
        </is>
      </c>
      <c r="B16117" t="inlineStr">
        <is>
          <t>Maison Alhambra Narissa Rouge Eau De Parfum 100ml Spray</t>
        </is>
      </c>
      <c r="C16117" t="inlineStr">
        <is>
          <t>Eau De Parfum</t>
        </is>
      </c>
      <c r="D16117" t="inlineStr">
        <is>
          <t>Maison Alhambra</t>
        </is>
      </c>
      <c r="E16117" t="n">
        <v>9.41</v>
      </c>
      <c r="F16117" t="n">
        <v>1</v>
      </c>
      <c r="G16117" t="n">
        <v>459</v>
      </c>
      <c r="H16117" s="5">
        <f>HYPERLINK("https://api.qogita.com/variants/link/6291108730232/", "View Product")</f>
        <v/>
      </c>
    </row>
    <row r="16118">
      <c r="A16118" t="inlineStr">
        <is>
          <t>6291108730256</t>
        </is>
      </c>
      <c r="B16118" t="inlineStr">
        <is>
          <t>Maison Alhambra Opera Noir Eau De Parfum Spray 100 Milliliters</t>
        </is>
      </c>
      <c r="C16118" t="inlineStr">
        <is>
          <t>Eau De Parfum</t>
        </is>
      </c>
      <c r="D16118" t="inlineStr">
        <is>
          <t>Maison Alhambra</t>
        </is>
      </c>
      <c r="E16118" t="n">
        <v>10.62</v>
      </c>
      <c r="F16118" t="n">
        <v>1</v>
      </c>
      <c r="G16118" t="n">
        <v>4</v>
      </c>
      <c r="H16118" s="5">
        <f>HYPERLINK("https://api.qogita.com/variants/link/6291108730256/", "View Product")</f>
        <v/>
      </c>
    </row>
    <row r="16119">
      <c r="A16119" t="inlineStr">
        <is>
          <t>6291108730300</t>
        </is>
      </c>
      <c r="B16119" t="inlineStr">
        <is>
          <t>Maison Alhambra Victoria Flower Eau De Parfum 100ml Spray</t>
        </is>
      </c>
      <c r="C16119" t="inlineStr">
        <is>
          <t>Eau De Parfum</t>
        </is>
      </c>
      <c r="D16119" t="inlineStr">
        <is>
          <t>Maison Alhambra</t>
        </is>
      </c>
      <c r="E16119" t="n">
        <v>8.720000000000001</v>
      </c>
      <c r="F16119" t="n">
        <v>1</v>
      </c>
      <c r="G16119" t="n">
        <v>459</v>
      </c>
      <c r="H16119" s="5">
        <f>HYPERLINK("https://api.qogita.com/variants/link/6291108730300/", "View Product")</f>
        <v/>
      </c>
    </row>
    <row r="16120">
      <c r="A16120" t="inlineStr">
        <is>
          <t>6291108730317</t>
        </is>
      </c>
      <c r="B16120" t="inlineStr">
        <is>
          <t>Maison Alhambra Victorioso EDP 100ml Patchouli Woods Citrus Woody Aquatic</t>
        </is>
      </c>
      <c r="C16120" t="inlineStr">
        <is>
          <t>Eau De Parfum</t>
        </is>
      </c>
      <c r="D16120" t="inlineStr">
        <is>
          <t>Maison Alhambra</t>
        </is>
      </c>
      <c r="E16120" t="n">
        <v>10.92</v>
      </c>
      <c r="F16120" t="n">
        <v>1</v>
      </c>
      <c r="G16120" t="n">
        <v>281</v>
      </c>
      <c r="H16120" s="5">
        <f>HYPERLINK("https://api.qogita.com/variants/link/6291108730317/", "View Product")</f>
        <v/>
      </c>
    </row>
    <row r="16121">
      <c r="A16121" t="inlineStr">
        <is>
          <t>6291108730331</t>
        </is>
      </c>
      <c r="B16121" t="inlineStr">
        <is>
          <t>Maison Alhambra Your Touch Men Eau De Parfum Spray 100ml</t>
        </is>
      </c>
      <c r="C16121" t="inlineStr">
        <is>
          <t>Eau De Parfum</t>
        </is>
      </c>
      <c r="D16121" t="inlineStr">
        <is>
          <t>Maison Alhambra</t>
        </is>
      </c>
      <c r="E16121" t="n">
        <v>10.68</v>
      </c>
      <c r="F16121" t="n">
        <v>1</v>
      </c>
      <c r="G16121" t="n">
        <v>175</v>
      </c>
      <c r="H16121" s="5">
        <f>HYPERLINK("https://api.qogita.com/variants/link/6291108730331/", "View Product")</f>
        <v/>
      </c>
    </row>
    <row r="16122">
      <c r="A16122" t="inlineStr">
        <is>
          <t>6291108730348</t>
        </is>
      </c>
      <c r="B16122" t="inlineStr">
        <is>
          <t>Maison Alhambra Zeno Eau De Parfum 100ml Spray</t>
        </is>
      </c>
      <c r="C16122" t="inlineStr">
        <is>
          <t>Eau De Parfum</t>
        </is>
      </c>
      <c r="D16122" t="inlineStr">
        <is>
          <t>Maison Alhambra</t>
        </is>
      </c>
      <c r="E16122" t="n">
        <v>9.1</v>
      </c>
      <c r="F16122" t="n">
        <v>1</v>
      </c>
      <c r="G16122" t="n">
        <v>24</v>
      </c>
      <c r="H16122" s="5">
        <f>HYPERLINK("https://api.qogita.com/variants/link/6291108730348/", "View Product")</f>
        <v/>
      </c>
    </row>
    <row r="16123">
      <c r="A16123" t="inlineStr">
        <is>
          <t>6291108730454</t>
        </is>
      </c>
      <c r="B16123" t="inlineStr">
        <is>
          <t>Wonder of You Pour Femme Riffs EDP Perfume 100ml</t>
        </is>
      </c>
      <c r="C16123" t="inlineStr">
        <is>
          <t>Eau De Parfum</t>
        </is>
      </c>
      <c r="D16123" t="inlineStr">
        <is>
          <t>Rituals</t>
        </is>
      </c>
      <c r="E16123" t="n">
        <v>11.05</v>
      </c>
      <c r="F16123" t="n">
        <v>1</v>
      </c>
      <c r="G16123" t="n">
        <v>38</v>
      </c>
      <c r="H16123" s="5">
        <f>HYPERLINK("https://api.qogita.com/variants/link/6291108730454/", "View Product")</f>
        <v/>
      </c>
    </row>
    <row r="16124">
      <c r="A16124" t="inlineStr">
        <is>
          <t>6291108730515</t>
        </is>
      </c>
      <c r="B16124" t="inlineStr">
        <is>
          <t>Yara by Lattafa Perfumes Eau De Parfum 100ml for Women</t>
        </is>
      </c>
      <c r="C16124" t="inlineStr">
        <is>
          <t>Eau De Parfum</t>
        </is>
      </c>
      <c r="D16124" t="inlineStr">
        <is>
          <t>Lattafa</t>
        </is>
      </c>
      <c r="E16124" t="n">
        <v>16.29</v>
      </c>
      <c r="F16124" t="n">
        <v>1</v>
      </c>
      <c r="G16124" t="n">
        <v>459</v>
      </c>
      <c r="H16124" s="5">
        <f>HYPERLINK("https://api.qogita.com/variants/link/6291108730515/", "View Product")</f>
        <v/>
      </c>
    </row>
    <row r="16125">
      <c r="A16125" t="inlineStr">
        <is>
          <t>6291108732489</t>
        </is>
      </c>
      <c r="B16125" t="inlineStr">
        <is>
          <t>Lattafa Ajwad Eau De Parfum Spray 60ml</t>
        </is>
      </c>
      <c r="C16125" t="inlineStr">
        <is>
          <t>Eau De Parfum</t>
        </is>
      </c>
      <c r="D16125" t="inlineStr">
        <is>
          <t>Lattafa</t>
        </is>
      </c>
      <c r="E16125" t="n">
        <v>14.38</v>
      </c>
      <c r="F16125" t="n">
        <v>1</v>
      </c>
      <c r="G16125" t="n">
        <v>72</v>
      </c>
      <c r="H16125" s="5">
        <f>HYPERLINK("https://api.qogita.com/variants/link/6291108732489/", "View Product")</f>
        <v/>
      </c>
    </row>
    <row r="16126">
      <c r="A16126" t="inlineStr">
        <is>
          <t>6291108733509</t>
        </is>
      </c>
      <c r="B16126" t="inlineStr">
        <is>
          <t>Maison Alhambra Jubilant Noir Eau De Parfum 100ml</t>
        </is>
      </c>
      <c r="C16126" t="inlineStr">
        <is>
          <t>Eau De Parfum</t>
        </is>
      </c>
      <c r="D16126" t="inlineStr">
        <is>
          <t>Maison Alhambra</t>
        </is>
      </c>
      <c r="E16126" t="n">
        <v>10.9</v>
      </c>
      <c r="F16126" t="n">
        <v>1</v>
      </c>
      <c r="G16126" t="n">
        <v>272</v>
      </c>
      <c r="H16126" s="5">
        <f>HYPERLINK("https://api.qogita.com/variants/link/6291108733509/", "View Product")</f>
        <v/>
      </c>
    </row>
    <row r="16127">
      <c r="A16127" t="inlineStr">
        <is>
          <t>6291108733790</t>
        </is>
      </c>
      <c r="B16127" t="inlineStr">
        <is>
          <t>Lattafa Sutoor Eau De Parfum Spray 100ml</t>
        </is>
      </c>
      <c r="C16127" t="inlineStr">
        <is>
          <t>Eau De Parfum</t>
        </is>
      </c>
      <c r="D16127" t="inlineStr">
        <is>
          <t>Lattafa</t>
        </is>
      </c>
      <c r="E16127" t="n">
        <v>14.5</v>
      </c>
      <c r="F16127" t="n">
        <v>1</v>
      </c>
      <c r="G16127" t="n">
        <v>30</v>
      </c>
      <c r="H16127" s="5">
        <f>HYPERLINK("https://api.qogita.com/variants/link/6291108733790/", "View Product")</f>
        <v/>
      </c>
    </row>
    <row r="16128">
      <c r="A16128" t="inlineStr">
        <is>
          <t>6291108734056</t>
        </is>
      </c>
      <c r="B16128" t="inlineStr">
        <is>
          <t>Lattafa Hayaati Al Maleky Eau De Parfum Spray 100ml</t>
        </is>
      </c>
      <c r="C16128" t="inlineStr">
        <is>
          <t>Eau De Parfum</t>
        </is>
      </c>
      <c r="D16128" t="inlineStr">
        <is>
          <t>Lattafa</t>
        </is>
      </c>
      <c r="E16128" t="n">
        <v>10.85</v>
      </c>
      <c r="F16128" t="n">
        <v>1</v>
      </c>
      <c r="G16128" t="n">
        <v>5</v>
      </c>
      <c r="H16128" s="5">
        <f>HYPERLINK("https://api.qogita.com/variants/link/6291108734056/", "View Product")</f>
        <v/>
      </c>
    </row>
    <row r="16129">
      <c r="A16129" t="inlineStr">
        <is>
          <t>6291108734186</t>
        </is>
      </c>
      <c r="B16129" t="inlineStr">
        <is>
          <t>Signatures No. II 50ml</t>
        </is>
      </c>
      <c r="C16129" t="inlineStr">
        <is>
          <t>Eau De Parfum</t>
        </is>
      </c>
      <c r="D16129" t="inlineStr">
        <is>
          <t>Maison Alhambra</t>
        </is>
      </c>
      <c r="E16129" t="n">
        <v>12.47</v>
      </c>
      <c r="F16129" t="n">
        <v>1</v>
      </c>
      <c r="G16129" t="n">
        <v>214</v>
      </c>
      <c r="H16129" s="5">
        <f>HYPERLINK("https://api.qogita.com/variants/link/6291108734186/", "View Product")</f>
        <v/>
      </c>
    </row>
    <row r="16130">
      <c r="A16130" t="inlineStr">
        <is>
          <t>6291108734209</t>
        </is>
      </c>
      <c r="B16130" t="inlineStr">
        <is>
          <t>Maison Alhambra Signatures No Iv Eau De Parfum Spray 50 Milliliters</t>
        </is>
      </c>
      <c r="C16130" t="inlineStr">
        <is>
          <t>Eau De Parfum</t>
        </is>
      </c>
      <c r="D16130" t="inlineStr">
        <is>
          <t>Maison Alhambra</t>
        </is>
      </c>
      <c r="E16130" t="n">
        <v>11.59</v>
      </c>
      <c r="F16130" t="n">
        <v>1</v>
      </c>
      <c r="G16130" t="n">
        <v>425</v>
      </c>
      <c r="H16130" s="5">
        <f>HYPERLINK("https://api.qogita.com/variants/link/6291108734209/", "View Product")</f>
        <v/>
      </c>
    </row>
    <row r="16131">
      <c r="A16131" t="inlineStr">
        <is>
          <t>6291108734865</t>
        </is>
      </c>
      <c r="B16131" t="inlineStr">
        <is>
          <t>Lattafa Badee Al Oud Oud For Glory - 200 Ml</t>
        </is>
      </c>
      <c r="C16131" t="inlineStr">
        <is>
          <t>Eau De Parfum</t>
        </is>
      </c>
      <c r="D16131" t="inlineStr">
        <is>
          <t>Lattafa</t>
        </is>
      </c>
      <c r="E16131" t="n">
        <v>4.58</v>
      </c>
      <c r="F16131" t="n">
        <v>1</v>
      </c>
      <c r="G16131" t="n">
        <v>424</v>
      </c>
      <c r="H16131" s="5">
        <f>HYPERLINK("https://api.qogita.com/variants/link/6291108734865/", "View Product")</f>
        <v/>
      </c>
    </row>
    <row r="16132">
      <c r="A16132" t="inlineStr">
        <is>
          <t>6291108734889</t>
        </is>
      </c>
      <c r="B16132" t="inlineStr">
        <is>
          <t>Lattafa Hayaati Perfumed Deodorant Spray for Unisex 6.67 Ounce 200ml</t>
        </is>
      </c>
      <c r="C16132" t="inlineStr">
        <is>
          <t>Deodorant &amp; Anti-Perspirant</t>
        </is>
      </c>
      <c r="D16132" t="inlineStr">
        <is>
          <t>Lattafa</t>
        </is>
      </c>
      <c r="E16132" t="n">
        <v>3.66</v>
      </c>
      <c r="F16132" t="n">
        <v>1</v>
      </c>
      <c r="G16132" t="n">
        <v>40</v>
      </c>
      <c r="H16132" s="5">
        <f>HYPERLINK("https://api.qogita.com/variants/link/6291108734889/", "View Product")</f>
        <v/>
      </c>
    </row>
    <row r="16133">
      <c r="A16133" t="inlineStr">
        <is>
          <t>6291108735299</t>
        </is>
      </c>
      <c r="B16133" t="inlineStr">
        <is>
          <t>Lattafa Fakhar Lattafa Femme Deodorant Spray 200ml</t>
        </is>
      </c>
      <c r="C16133" t="inlineStr">
        <is>
          <t>Deodorant &amp; Anti-Perspirant</t>
        </is>
      </c>
      <c r="D16133" t="inlineStr">
        <is>
          <t>Lattafa</t>
        </is>
      </c>
      <c r="E16133" t="n">
        <v>4.58</v>
      </c>
      <c r="F16133" t="n">
        <v>1</v>
      </c>
      <c r="G16133" t="n">
        <v>435</v>
      </c>
      <c r="H16133" s="5">
        <f>HYPERLINK("https://api.qogita.com/variants/link/6291108735299/", "View Product")</f>
        <v/>
      </c>
    </row>
    <row r="16134">
      <c r="A16134" t="inlineStr">
        <is>
          <t>6291108735473</t>
        </is>
      </c>
      <c r="B16134" t="inlineStr">
        <is>
          <t>Maison Alhambra Terra Eau De Parfum 50ml</t>
        </is>
      </c>
      <c r="C16134" t="inlineStr">
        <is>
          <t>Eau De Parfum</t>
        </is>
      </c>
      <c r="D16134" t="inlineStr">
        <is>
          <t>Maison Alhambra</t>
        </is>
      </c>
      <c r="E16134" t="n">
        <v>18.17</v>
      </c>
      <c r="F16134" t="n">
        <v>1</v>
      </c>
      <c r="G16134" t="n">
        <v>48</v>
      </c>
      <c r="H16134" s="5">
        <f>HYPERLINK("https://api.qogita.com/variants/link/6291108735473/", "View Product")</f>
        <v/>
      </c>
    </row>
    <row r="16135">
      <c r="A16135" t="inlineStr">
        <is>
          <t>6291108735565</t>
        </is>
      </c>
      <c r="B16135" t="inlineStr">
        <is>
          <t>Jean Lowe Nouveau Eau De Parfum 100ml by Maison Alhambra</t>
        </is>
      </c>
      <c r="C16135" t="inlineStr">
        <is>
          <t>Eau De Parfum</t>
        </is>
      </c>
      <c r="D16135" t="inlineStr">
        <is>
          <t>Maison Alhambra</t>
        </is>
      </c>
      <c r="E16135" t="n">
        <v>14.3</v>
      </c>
      <c r="F16135" t="n">
        <v>1</v>
      </c>
      <c r="G16135" t="n">
        <v>339</v>
      </c>
      <c r="H16135" s="5">
        <f>HYPERLINK("https://api.qogita.com/variants/link/6291108735565/", "View Product")</f>
        <v/>
      </c>
    </row>
    <row r="16136">
      <c r="A16136" t="inlineStr">
        <is>
          <t>6291108735596</t>
        </is>
      </c>
      <c r="B16136" t="inlineStr">
        <is>
          <t>Maison Alhambra The Serpent Eau De Parfum 100ml Spray</t>
        </is>
      </c>
      <c r="C16136" t="inlineStr">
        <is>
          <t>Eau De Parfum</t>
        </is>
      </c>
      <c r="D16136" t="inlineStr">
        <is>
          <t>Maison Alhambra</t>
        </is>
      </c>
      <c r="E16136" t="n">
        <v>23.37</v>
      </c>
      <c r="F16136" t="n">
        <v>1</v>
      </c>
      <c r="G16136" t="n">
        <v>2</v>
      </c>
      <c r="H16136" s="5">
        <f>HYPERLINK("https://api.qogita.com/variants/link/6291108735596/", "View Product")</f>
        <v/>
      </c>
    </row>
    <row r="16137">
      <c r="A16137" t="inlineStr">
        <is>
          <t>6291108735626</t>
        </is>
      </c>
      <c r="B16137" t="inlineStr">
        <is>
          <t>The Myth EDP Perfume By Maison Alhambra 100ml</t>
        </is>
      </c>
      <c r="C16137" t="inlineStr">
        <is>
          <t>Eau De Parfum</t>
        </is>
      </c>
      <c r="D16137" t="inlineStr">
        <is>
          <t>Maison Alhambra</t>
        </is>
      </c>
      <c r="E16137" t="n">
        <v>18.23</v>
      </c>
      <c r="F16137" t="n">
        <v>1</v>
      </c>
      <c r="G16137" t="n">
        <v>29</v>
      </c>
      <c r="H16137" s="5">
        <f>HYPERLINK("https://api.qogita.com/variants/link/6291108735626/", "View Product")</f>
        <v/>
      </c>
    </row>
    <row r="16138">
      <c r="A16138" t="inlineStr">
        <is>
          <t>6291108735725</t>
        </is>
      </c>
      <c r="B16138" t="inlineStr">
        <is>
          <t>The Artist No.1 EDP Perfume by Maison Alhambra 100ml 3.4 Fl. Oz</t>
        </is>
      </c>
      <c r="C16138" t="inlineStr">
        <is>
          <t>Eau De Parfum</t>
        </is>
      </c>
      <c r="D16138" t="inlineStr">
        <is>
          <t>Maison Alhambra</t>
        </is>
      </c>
      <c r="E16138" t="n">
        <v>22.33</v>
      </c>
      <c r="F16138" t="n">
        <v>1</v>
      </c>
      <c r="G16138" t="n">
        <v>72</v>
      </c>
      <c r="H16138" s="5">
        <f>HYPERLINK("https://api.qogita.com/variants/link/6291108735725/", "View Product")</f>
        <v/>
      </c>
    </row>
    <row r="16139">
      <c r="A16139" t="inlineStr">
        <is>
          <t>6291108735817</t>
        </is>
      </c>
      <c r="B16139" t="inlineStr">
        <is>
          <t>Maison Alhambra Dark Aoud Eau De Parfum 80ml Spray</t>
        </is>
      </c>
      <c r="C16139" t="inlineStr">
        <is>
          <t>Eau De Parfum</t>
        </is>
      </c>
      <c r="D16139" t="inlineStr">
        <is>
          <t>Maison Alhambra</t>
        </is>
      </c>
      <c r="E16139" t="n">
        <v>14.18</v>
      </c>
      <c r="F16139" t="n">
        <v>1</v>
      </c>
      <c r="G16139" t="n">
        <v>2454</v>
      </c>
      <c r="H16139" s="5">
        <f>HYPERLINK("https://api.qogita.com/variants/link/6291108735817/", "View Product")</f>
        <v/>
      </c>
    </row>
    <row r="16140">
      <c r="A16140" t="inlineStr">
        <is>
          <t>6291108736029</t>
        </is>
      </c>
      <c r="B16140" t="inlineStr">
        <is>
          <t>Maison Alhambra Your Touch Eau De Parfum For Women 100ml Spray</t>
        </is>
      </c>
      <c r="C16140" t="inlineStr">
        <is>
          <t>Eau De Parfum</t>
        </is>
      </c>
      <c r="D16140" t="inlineStr">
        <is>
          <t>Maison Alhambra</t>
        </is>
      </c>
      <c r="E16140" t="n">
        <v>9.19</v>
      </c>
      <c r="F16140" t="n">
        <v>1</v>
      </c>
      <c r="G16140" t="n">
        <v>358</v>
      </c>
      <c r="H16140" s="5">
        <f>HYPERLINK("https://api.qogita.com/variants/link/6291108736029/", "View Product")</f>
        <v/>
      </c>
    </row>
    <row r="16141">
      <c r="A16141" t="inlineStr">
        <is>
          <t>6291108736043</t>
        </is>
      </c>
      <c r="B16141" t="inlineStr">
        <is>
          <t>Maison Alhambra Monocline 05 Eau De Parfum Spray 100ml</t>
        </is>
      </c>
      <c r="C16141" t="inlineStr">
        <is>
          <t>Eau De Parfum</t>
        </is>
      </c>
      <c r="D16141" t="inlineStr">
        <is>
          <t>Maison Alhambra</t>
        </is>
      </c>
      <c r="E16141" t="n">
        <v>9.06</v>
      </c>
      <c r="F16141" t="n">
        <v>1</v>
      </c>
      <c r="G16141" t="n">
        <v>130</v>
      </c>
      <c r="H16141" s="5">
        <f>HYPERLINK("https://api.qogita.com/variants/link/6291108736043/", "View Product")</f>
        <v/>
      </c>
    </row>
    <row r="16142">
      <c r="A16142" t="inlineStr">
        <is>
          <t>6291108736296</t>
        </is>
      </c>
      <c r="B16142" t="inlineStr">
        <is>
          <t>Maison Alhambra Grey Eau De Parfum 100ml - Unisex</t>
        </is>
      </c>
      <c r="C16142" t="inlineStr">
        <is>
          <t>Eau De Parfum</t>
        </is>
      </c>
      <c r="D16142" t="inlineStr">
        <is>
          <t>Maison Alhambra</t>
        </is>
      </c>
      <c r="E16142" t="n">
        <v>15.56</v>
      </c>
      <c r="F16142" t="n">
        <v>1</v>
      </c>
      <c r="G16142" t="n">
        <v>77</v>
      </c>
      <c r="H16142" s="5">
        <f>HYPERLINK("https://api.qogita.com/variants/link/6291108736296/", "View Product")</f>
        <v/>
      </c>
    </row>
    <row r="16143">
      <c r="A16143" t="inlineStr">
        <is>
          <t>6291108736616</t>
        </is>
      </c>
      <c r="B16143" t="inlineStr">
        <is>
          <t>Maison Alhambra Very Velvet Aqua Eau De Parfum 100ml Spray</t>
        </is>
      </c>
      <c r="C16143" t="inlineStr">
        <is>
          <t>Eau De Parfum</t>
        </is>
      </c>
      <c r="D16143" t="inlineStr">
        <is>
          <t>Maison Alhambra</t>
        </is>
      </c>
      <c r="E16143" t="n">
        <v>13.18</v>
      </c>
      <c r="F16143" t="n">
        <v>1</v>
      </c>
      <c r="G16143" t="n">
        <v>64</v>
      </c>
      <c r="H16143" s="5">
        <f>HYPERLINK("https://api.qogita.com/variants/link/6291108736616/", "View Product")</f>
        <v/>
      </c>
    </row>
    <row r="16144">
      <c r="A16144" t="inlineStr">
        <is>
          <t>6291108737095</t>
        </is>
      </c>
      <c r="B16144" t="inlineStr">
        <is>
          <t>Lattafa Opulent Red Eau De Parfum Spray 100ml</t>
        </is>
      </c>
      <c r="C16144" t="inlineStr">
        <is>
          <t>Eau De Parfum</t>
        </is>
      </c>
      <c r="D16144" t="inlineStr">
        <is>
          <t>Lattafa</t>
        </is>
      </c>
      <c r="E16144" t="n">
        <v>11.46</v>
      </c>
      <c r="F16144" t="n">
        <v>1</v>
      </c>
      <c r="G16144" t="n">
        <v>26</v>
      </c>
      <c r="H16144" s="5">
        <f>HYPERLINK("https://api.qogita.com/variants/link/6291108737095/", "View Product")</f>
        <v/>
      </c>
    </row>
    <row r="16145">
      <c r="A16145" t="inlineStr">
        <is>
          <t>6291108737279</t>
        </is>
      </c>
      <c r="B16145" t="inlineStr">
        <is>
          <t>ESHQ By Nusuk Eau de Parfum 100ml</t>
        </is>
      </c>
      <c r="C16145" t="inlineStr">
        <is>
          <t>Eau De Parfum</t>
        </is>
      </c>
      <c r="D16145" t="inlineStr">
        <is>
          <t>Rituals</t>
        </is>
      </c>
      <c r="E16145" t="n">
        <v>13.67</v>
      </c>
      <c r="F16145" t="n">
        <v>1</v>
      </c>
      <c r="G16145" t="n">
        <v>3</v>
      </c>
      <c r="H16145" s="5">
        <f>HYPERLINK("https://api.qogita.com/variants/link/6291108737279/", "View Product")</f>
        <v/>
      </c>
    </row>
    <row r="16146">
      <c r="A16146" t="inlineStr">
        <is>
          <t>6291108737880</t>
        </is>
      </c>
      <c r="B16146" t="inlineStr">
        <is>
          <t>Lattafa Perfume Tamima Eau De Parfum 100ml</t>
        </is>
      </c>
      <c r="C16146" t="inlineStr">
        <is>
          <t>Eau De Parfum</t>
        </is>
      </c>
      <c r="D16146" t="inlineStr">
        <is>
          <t>Lattafa</t>
        </is>
      </c>
      <c r="E16146" t="n">
        <v>10.85</v>
      </c>
      <c r="F16146" t="n">
        <v>1</v>
      </c>
      <c r="G16146" t="n">
        <v>227</v>
      </c>
      <c r="H16146" s="5">
        <f>HYPERLINK("https://api.qogita.com/variants/link/6291108737880/", "View Product")</f>
        <v/>
      </c>
    </row>
    <row r="16147">
      <c r="A16147" t="inlineStr">
        <is>
          <t>6291108737910</t>
        </is>
      </c>
      <c r="B16147" t="inlineStr">
        <is>
          <t>Lattafa Muna Eau De Parfum 100ml Spray</t>
        </is>
      </c>
      <c r="C16147" t="inlineStr">
        <is>
          <t>Eau De Parfum</t>
        </is>
      </c>
      <c r="D16147" t="inlineStr">
        <is>
          <t>Lattafa</t>
        </is>
      </c>
      <c r="E16147" t="n">
        <v>13.21</v>
      </c>
      <c r="F16147" t="n">
        <v>1</v>
      </c>
      <c r="G16147" t="n">
        <v>32</v>
      </c>
      <c r="H16147" s="5">
        <f>HYPERLINK("https://api.qogita.com/variants/link/6291108737910/", "View Product")</f>
        <v/>
      </c>
    </row>
    <row r="16148">
      <c r="A16148" t="inlineStr">
        <is>
          <t>6291108737927</t>
        </is>
      </c>
      <c r="B16148" t="inlineStr">
        <is>
          <t>Abaan 100ml Eau De Parfum Lattafa Unisex Fragrance</t>
        </is>
      </c>
      <c r="C16148" t="inlineStr">
        <is>
          <t>Eau De Parfum</t>
        </is>
      </c>
      <c r="D16148" t="inlineStr">
        <is>
          <t>Lattafa</t>
        </is>
      </c>
      <c r="E16148" t="n">
        <v>13.68</v>
      </c>
      <c r="F16148" t="n">
        <v>1</v>
      </c>
      <c r="G16148" t="n">
        <v>24</v>
      </c>
      <c r="H16148" s="5">
        <f>HYPERLINK("https://api.qogita.com/variants/link/6291108737927/", "View Product")</f>
        <v/>
      </c>
    </row>
    <row r="16149">
      <c r="A16149" t="inlineStr">
        <is>
          <t>6291108738078</t>
        </is>
      </c>
      <c r="B16149" t="inlineStr">
        <is>
          <t>Winners Trophy Gold Eau De Parfum 100ml</t>
        </is>
      </c>
      <c r="C16149" t="inlineStr">
        <is>
          <t>Eau De Parfum</t>
        </is>
      </c>
      <c r="D16149" t="inlineStr">
        <is>
          <t>Lattafa</t>
        </is>
      </c>
      <c r="E16149" t="n">
        <v>19.15</v>
      </c>
      <c r="F16149" t="n">
        <v>1</v>
      </c>
      <c r="G16149" t="n">
        <v>143</v>
      </c>
      <c r="H16149" s="5">
        <f>HYPERLINK("https://api.qogita.com/variants/link/6291108738078/", "View Product")</f>
        <v/>
      </c>
    </row>
    <row r="16150">
      <c r="A16150" t="inlineStr">
        <is>
          <t>6291108738177</t>
        </is>
      </c>
      <c r="B16150" t="inlineStr">
        <is>
          <t>Lattafa Perfumes Tharwah Gold Eau De Parfum Spray 100ml</t>
        </is>
      </c>
      <c r="C16150" t="inlineStr">
        <is>
          <t>Eau De Parfum</t>
        </is>
      </c>
      <c r="D16150" t="inlineStr">
        <is>
          <t>Lattafa</t>
        </is>
      </c>
      <c r="E16150" t="n">
        <v>21.39</v>
      </c>
      <c r="F16150" t="n">
        <v>1</v>
      </c>
      <c r="G16150" t="n">
        <v>26</v>
      </c>
      <c r="H16150" s="5">
        <f>HYPERLINK("https://api.qogita.com/variants/link/6291108738177/", "View Product")</f>
        <v/>
      </c>
    </row>
    <row r="16151">
      <c r="A16151" t="inlineStr">
        <is>
          <t>6291108738238</t>
        </is>
      </c>
      <c r="B16151" t="inlineStr">
        <is>
          <t>Pride Royal Sapphire Perfumed Water Spray 100ml</t>
        </is>
      </c>
      <c r="C16151" t="inlineStr">
        <is>
          <t>Eau De Parfum</t>
        </is>
      </c>
      <c r="D16151" t="inlineStr">
        <is>
          <t>Lattafa</t>
        </is>
      </c>
      <c r="E16151" t="n">
        <v>18.95</v>
      </c>
      <c r="F16151" t="n">
        <v>1</v>
      </c>
      <c r="G16151" t="n">
        <v>83</v>
      </c>
      <c r="H16151" s="5">
        <f>HYPERLINK("https://api.qogita.com/variants/link/6291108738238/", "View Product")</f>
        <v/>
      </c>
    </row>
    <row r="16152">
      <c r="A16152" t="inlineStr">
        <is>
          <t>6291108738252</t>
        </is>
      </c>
      <c r="B16152" t="inlineStr">
        <is>
          <t>Lattafa Al Ameed Eau De Parfum Spray 100ml</t>
        </is>
      </c>
      <c r="C16152" t="inlineStr">
        <is>
          <t>Eau De Parfum</t>
        </is>
      </c>
      <c r="D16152" t="inlineStr">
        <is>
          <t>Lattafa</t>
        </is>
      </c>
      <c r="E16152" t="n">
        <v>18.94</v>
      </c>
      <c r="F16152" t="n">
        <v>1</v>
      </c>
      <c r="G16152" t="n">
        <v>353</v>
      </c>
      <c r="H16152" s="5">
        <f>HYPERLINK("https://api.qogita.com/variants/link/6291108738252/", "View Product")</f>
        <v/>
      </c>
    </row>
    <row r="16153">
      <c r="A16153" t="inlineStr">
        <is>
          <t>6291108738306</t>
        </is>
      </c>
      <c r="B16153" t="inlineStr">
        <is>
          <t>Lattafa Pride Maharjan Silver Eau De Parfum Spray 100ml</t>
        </is>
      </c>
      <c r="C16153" t="inlineStr">
        <is>
          <t>Eau De Parfum</t>
        </is>
      </c>
      <c r="D16153" t="inlineStr">
        <is>
          <t>Lattafa</t>
        </is>
      </c>
      <c r="E16153" t="n">
        <v>20.04</v>
      </c>
      <c r="F16153" t="n">
        <v>1</v>
      </c>
      <c r="G16153" t="n">
        <v>42</v>
      </c>
      <c r="H16153" s="5">
        <f>HYPERLINK("https://api.qogita.com/variants/link/6291108738306/", "View Product")</f>
        <v/>
      </c>
    </row>
    <row r="16154">
      <c r="A16154" t="inlineStr">
        <is>
          <t>6291108738481</t>
        </is>
      </c>
      <c r="B16154" t="inlineStr">
        <is>
          <t>Lattafa Lady Sakeena Eau De Parfum 100ml</t>
        </is>
      </c>
      <c r="C16154" t="inlineStr">
        <is>
          <t>Eau De Parfum</t>
        </is>
      </c>
      <c r="D16154" t="inlineStr">
        <is>
          <t>Lattafa</t>
        </is>
      </c>
      <c r="E16154" t="n">
        <v>15.6</v>
      </c>
      <c r="F16154" t="n">
        <v>1</v>
      </c>
      <c r="G16154" t="n">
        <v>5</v>
      </c>
      <c r="H16154" s="5">
        <f>HYPERLINK("https://api.qogita.com/variants/link/6291108738481/", "View Product")</f>
        <v/>
      </c>
    </row>
    <row r="16155">
      <c r="A16155" t="inlineStr">
        <is>
          <t>6291108738672</t>
        </is>
      </c>
      <c r="B16155" t="inlineStr">
        <is>
          <t>Lattafa Ishq Al Shuyukh Silver Eau De Parfum Spray 100ml</t>
        </is>
      </c>
      <c r="C16155" t="inlineStr">
        <is>
          <t>Eau De Parfum</t>
        </is>
      </c>
      <c r="D16155" t="inlineStr">
        <is>
          <t>Lattafa</t>
        </is>
      </c>
      <c r="E16155" t="n">
        <v>20.51</v>
      </c>
      <c r="F16155" t="n">
        <v>1</v>
      </c>
      <c r="G16155" t="n">
        <v>11</v>
      </c>
      <c r="H16155" s="5">
        <f>HYPERLINK("https://api.qogita.com/variants/link/6291108738672/", "View Product")</f>
        <v/>
      </c>
    </row>
    <row r="16156">
      <c r="A16156" t="inlineStr">
        <is>
          <t>6291108739020</t>
        </is>
      </c>
      <c r="B16156" t="inlineStr">
        <is>
          <t>Lattafa Qaed Al Fursan Unlimited Eau De Parfum Spray 90ml</t>
        </is>
      </c>
      <c r="C16156" t="inlineStr">
        <is>
          <t>Eau De Parfum</t>
        </is>
      </c>
      <c r="D16156" t="inlineStr">
        <is>
          <t>Lattafa</t>
        </is>
      </c>
      <c r="E16156" t="n">
        <v>10.41</v>
      </c>
      <c r="F16156" t="n">
        <v>1</v>
      </c>
      <c r="G16156" t="n">
        <v>130</v>
      </c>
      <c r="H16156" s="5">
        <f>HYPERLINK("https://api.qogita.com/variants/link/6291108739020/", "View Product")</f>
        <v/>
      </c>
    </row>
    <row r="16157">
      <c r="A16157" t="inlineStr">
        <is>
          <t>6291108739334</t>
        </is>
      </c>
      <c r="B16157" t="inlineStr">
        <is>
          <t>Ana Al Awwal Nusuk Eau de Parfum Spray for Man Unisex 100ml 3.4 fl.oz Delicious Fragrance Blue</t>
        </is>
      </c>
      <c r="C16157" t="inlineStr">
        <is>
          <t>Eau De Parfum</t>
        </is>
      </c>
      <c r="D16157" t="inlineStr">
        <is>
          <t>Rituals</t>
        </is>
      </c>
      <c r="E16157" t="n">
        <v>10.56</v>
      </c>
      <c r="F16157" t="n">
        <v>1</v>
      </c>
      <c r="G16157" t="n">
        <v>40</v>
      </c>
      <c r="H16157" s="5">
        <f>HYPERLINK("https://api.qogita.com/variants/link/6291108739334/", "View Product")</f>
        <v/>
      </c>
    </row>
    <row r="16158">
      <c r="A16158" t="inlineStr">
        <is>
          <t>6291108739358</t>
        </is>
      </c>
      <c r="B16158" t="inlineStr">
        <is>
          <t>Riiffs Bella Rouge Intenso Eau de Parfum 3.4 Oz 100ml</t>
        </is>
      </c>
      <c r="C16158" t="inlineStr">
        <is>
          <t>Eau De Parfum</t>
        </is>
      </c>
      <c r="D16158" t="inlineStr">
        <is>
          <t>Riiffs</t>
        </is>
      </c>
      <c r="E16158" t="n">
        <v>11.05</v>
      </c>
      <c r="F16158" t="n">
        <v>1</v>
      </c>
      <c r="G16158" t="n">
        <v>35</v>
      </c>
      <c r="H16158" s="5">
        <f>HYPERLINK("https://api.qogita.com/variants/link/6291108739358/", "View Product")</f>
        <v/>
      </c>
    </row>
    <row r="16159">
      <c r="A16159" t="inlineStr">
        <is>
          <t>6291109270188</t>
        </is>
      </c>
      <c r="B16159" t="inlineStr">
        <is>
          <t>Orinetica Le Motif Collection Imperial Gold For Men Eau de Parfum Spray 2.9oz</t>
        </is>
      </c>
      <c r="C16159" t="inlineStr">
        <is>
          <t>Eau De Parfum</t>
        </is>
      </c>
      <c r="D16159" t="inlineStr">
        <is>
          <t>Orientica</t>
        </is>
      </c>
      <c r="E16159" t="n">
        <v>46.24</v>
      </c>
      <c r="F16159" t="n">
        <v>1</v>
      </c>
      <c r="G16159" t="n">
        <v>3</v>
      </c>
      <c r="H16159" s="5">
        <f>HYPERLINK("https://api.qogita.com/variants/link/6291109270188/", "View Product")</f>
        <v/>
      </c>
    </row>
    <row r="16160">
      <c r="A16160" t="inlineStr">
        <is>
          <t>6291109270539</t>
        </is>
      </c>
      <c r="B16160" t="inlineStr">
        <is>
          <t>Orientica Cuir De Noir EDP Spray for Women 90ml 3 Oz Original Edition</t>
        </is>
      </c>
      <c r="C16160" t="inlineStr">
        <is>
          <t>Eau De Parfum</t>
        </is>
      </c>
      <c r="D16160" t="inlineStr">
        <is>
          <t>Orientica</t>
        </is>
      </c>
      <c r="E16160" t="n">
        <v>34.94</v>
      </c>
      <c r="F16160" t="n">
        <v>1</v>
      </c>
      <c r="G16160" t="n">
        <v>5</v>
      </c>
      <c r="H16160" s="5">
        <f>HYPERLINK("https://api.qogita.com/variants/link/6291109270539/", "View Product")</f>
        <v/>
      </c>
    </row>
    <row r="16161">
      <c r="A16161" t="inlineStr">
        <is>
          <t>6291109843023</t>
        </is>
      </c>
      <c r="B16161" t="inlineStr">
        <is>
          <t>Miria Verato Amber EDP Perfume for Women 3.4 Fl Oz</t>
        </is>
      </c>
      <c r="C16161" t="inlineStr">
        <is>
          <t>Eau De Parfum</t>
        </is>
      </c>
      <c r="D16161" t="inlineStr">
        <is>
          <t>Mirada</t>
        </is>
      </c>
      <c r="E16161" t="n">
        <v>13.17</v>
      </c>
      <c r="F16161" t="n">
        <v>1</v>
      </c>
      <c r="G16161" t="n">
        <v>20</v>
      </c>
      <c r="H16161" s="5">
        <f>HYPERLINK("https://api.qogita.com/variants/link/6291109843023/", "View Product")</f>
        <v/>
      </c>
    </row>
    <row r="16162">
      <c r="A16162" t="inlineStr">
        <is>
          <t>6291112131452</t>
        </is>
      </c>
      <c r="B16162" t="inlineStr">
        <is>
          <t>Paris Corner Rifaaqat Eau De Parfum 85ml</t>
        </is>
      </c>
      <c r="C16162" t="inlineStr">
        <is>
          <t>Eau De Parfum</t>
        </is>
      </c>
      <c r="D16162" t="inlineStr">
        <is>
          <t>Paris Corner</t>
        </is>
      </c>
      <c r="E16162" t="n">
        <v>15.9</v>
      </c>
      <c r="F16162" t="n">
        <v>1</v>
      </c>
      <c r="G16162" t="n">
        <v>130</v>
      </c>
      <c r="H16162" s="5">
        <f>HYPERLINK("https://api.qogita.com/variants/link/6291112131452/", "View Product")</f>
        <v/>
      </c>
    </row>
    <row r="16163">
      <c r="A16163" t="inlineStr">
        <is>
          <t>6291255879433</t>
        </is>
      </c>
      <c r="B16163" t="inlineStr">
        <is>
          <t>Paris Corner Ministry Of Gourmand Cake Temptation Eau De Parfum 100ml</t>
        </is>
      </c>
      <c r="C16163" t="inlineStr">
        <is>
          <t>Eau De Parfum</t>
        </is>
      </c>
      <c r="D16163" t="inlineStr">
        <is>
          <t>Paris Corner</t>
        </is>
      </c>
      <c r="E16163" t="n">
        <v>24.6</v>
      </c>
      <c r="F16163" t="n">
        <v>1</v>
      </c>
      <c r="G16163" t="n">
        <v>52</v>
      </c>
      <c r="H16163" s="5">
        <f>HYPERLINK("https://api.qogita.com/variants/link/6291255879433/", "View Product")</f>
        <v/>
      </c>
    </row>
    <row r="16164">
      <c r="A16164" t="inlineStr">
        <is>
          <t>6291256489198</t>
        </is>
      </c>
      <c r="B16164" t="inlineStr">
        <is>
          <t>Paris Corner Emir Cosmopolitan New York Eau De Parfum 100ml</t>
        </is>
      </c>
      <c r="C16164" t="inlineStr">
        <is>
          <t>Eau De Parfum</t>
        </is>
      </c>
      <c r="D16164" t="inlineStr">
        <is>
          <t>Paris Corner</t>
        </is>
      </c>
      <c r="E16164" t="n">
        <v>20.38</v>
      </c>
      <c r="F16164" t="n">
        <v>1</v>
      </c>
      <c r="G16164" t="n">
        <v>61</v>
      </c>
      <c r="H16164" s="5">
        <f>HYPERLINK("https://api.qogita.com/variants/link/6291256489198/", "View Product")</f>
        <v/>
      </c>
    </row>
    <row r="16165">
      <c r="A16165" t="inlineStr">
        <is>
          <t>6292257582031</t>
        </is>
      </c>
      <c r="B16165" t="inlineStr">
        <is>
          <t>Joudah EDP Spray Perfume for Men 100ml</t>
        </is>
      </c>
      <c r="C16165" t="inlineStr">
        <is>
          <t>Eau De Parfum</t>
        </is>
      </c>
      <c r="D16165" t="inlineStr">
        <is>
          <t>Tawakkal Perfumes</t>
        </is>
      </c>
      <c r="E16165" t="n">
        <v>14.7</v>
      </c>
      <c r="F16165" t="n">
        <v>1</v>
      </c>
      <c r="G16165" t="n">
        <v>19</v>
      </c>
      <c r="H16165" s="5">
        <f>HYPERLINK("https://api.qogita.com/variants/link/6292257582031/", "View Product")</f>
        <v/>
      </c>
    </row>
    <row r="16166">
      <c r="A16166" t="inlineStr">
        <is>
          <t>6292257588361</t>
        </is>
      </c>
      <c r="B16166" t="inlineStr">
        <is>
          <t>Anfar Floral Bloom Eau De Parfum 100ml</t>
        </is>
      </c>
      <c r="C16166" t="inlineStr">
        <is>
          <t>Eau De Parfum</t>
        </is>
      </c>
      <c r="D16166" t="inlineStr">
        <is>
          <t>Anfar</t>
        </is>
      </c>
      <c r="E16166" t="n">
        <v>20.39</v>
      </c>
      <c r="F16166" t="n">
        <v>1</v>
      </c>
      <c r="G16166" t="n">
        <v>20</v>
      </c>
      <c r="H16166" s="5">
        <f>HYPERLINK("https://api.qogita.com/variants/link/6292257588361/", "View Product")</f>
        <v/>
      </c>
    </row>
    <row r="16167">
      <c r="A16167" t="inlineStr">
        <is>
          <t>6292257588804</t>
        </is>
      </c>
      <c r="B16167" t="inlineStr">
        <is>
          <t>Oud Safranao Private Collection Unisex Perfume 50ml Extrait De Parfum by Oudh Al Anfar</t>
        </is>
      </c>
      <c r="C16167" t="inlineStr">
        <is>
          <t>Extrait De Parfum</t>
        </is>
      </c>
      <c r="D16167" t="inlineStr">
        <is>
          <t>Anfar</t>
        </is>
      </c>
      <c r="E16167" t="n">
        <v>28.28</v>
      </c>
      <c r="F16167" t="n">
        <v>1</v>
      </c>
      <c r="G16167" t="n">
        <v>21</v>
      </c>
      <c r="H16167" s="5">
        <f>HYPERLINK("https://api.qogita.com/variants/link/6292257588804/", "View Product")</f>
        <v/>
      </c>
    </row>
    <row r="16168">
      <c r="A16168" t="inlineStr">
        <is>
          <t>6292257588996</t>
        </is>
      </c>
      <c r="B16168" t="inlineStr">
        <is>
          <t>La Perle For Men 3 Oz EDP Spray</t>
        </is>
      </c>
      <c r="C16168" t="inlineStr">
        <is>
          <t>Eau De Parfum</t>
        </is>
      </c>
      <c r="D16168" t="inlineStr">
        <is>
          <t>Anfar</t>
        </is>
      </c>
      <c r="E16168" t="n">
        <v>16.82</v>
      </c>
      <c r="F16168" t="n">
        <v>1</v>
      </c>
      <c r="G16168" t="n">
        <v>21</v>
      </c>
      <c r="H16168" s="5">
        <f>HYPERLINK("https://api.qogita.com/variants/link/6292257588996/", "View Product")</f>
        <v/>
      </c>
    </row>
    <row r="16169">
      <c r="A16169" t="inlineStr">
        <is>
          <t>6292257640076</t>
        </is>
      </c>
      <c r="B16169" t="inlineStr">
        <is>
          <t>Asloob EAU de Parfum 3.4 oz Made in UAE</t>
        </is>
      </c>
      <c r="C16169" t="inlineStr">
        <is>
          <t>Eau De Parfum</t>
        </is>
      </c>
      <c r="D16169" t="inlineStr">
        <is>
          <t>Ajmal</t>
        </is>
      </c>
      <c r="E16169" t="n">
        <v>14.7</v>
      </c>
      <c r="F16169" t="n">
        <v>1</v>
      </c>
      <c r="G16169" t="n">
        <v>17</v>
      </c>
      <c r="H16169" s="5">
        <f>HYPERLINK("https://api.qogita.com/variants/link/6292257640076/", "View Product")</f>
        <v/>
      </c>
    </row>
    <row r="16170">
      <c r="A16170" t="inlineStr">
        <is>
          <t>6292257641219</t>
        </is>
      </c>
      <c r="B16170" t="inlineStr">
        <is>
          <t>Leather Oud Gold Edition by Anfar for Men 3.4 Oz EDP Spray</t>
        </is>
      </c>
      <c r="C16170" t="inlineStr">
        <is>
          <t>Eau De Parfum</t>
        </is>
      </c>
      <c r="D16170" t="inlineStr">
        <is>
          <t>Anfar</t>
        </is>
      </c>
      <c r="E16170" t="n">
        <v>28.28</v>
      </c>
      <c r="F16170" t="n">
        <v>1</v>
      </c>
      <c r="G16170" t="n">
        <v>20</v>
      </c>
      <c r="H16170" s="5">
        <f>HYPERLINK("https://api.qogita.com/variants/link/6292257641219/", "View Product")</f>
        <v/>
      </c>
    </row>
    <row r="16171">
      <c r="A16171" t="inlineStr">
        <is>
          <t>6292257641790</t>
        </is>
      </c>
      <c r="B16171" t="inlineStr">
        <is>
          <t>Anfar London Absolu Dorient for Men 3.9 Oz Extrait De Parfum Spray</t>
        </is>
      </c>
      <c r="C16171" t="inlineStr">
        <is>
          <t>Extrait De Parfum</t>
        </is>
      </c>
      <c r="D16171" t="inlineStr">
        <is>
          <t>Anfar</t>
        </is>
      </c>
      <c r="E16171" t="n">
        <v>27.09</v>
      </c>
      <c r="F16171" t="n">
        <v>1</v>
      </c>
      <c r="G16171" t="n">
        <v>5</v>
      </c>
      <c r="H16171" s="5">
        <f>HYPERLINK("https://api.qogita.com/variants/link/6292257641790/", "View Product")</f>
        <v/>
      </c>
    </row>
    <row r="16172">
      <c r="A16172" t="inlineStr">
        <is>
          <t>6292257641868</t>
        </is>
      </c>
      <c r="B16172" t="inlineStr">
        <is>
          <t>Al Riysh By Anfar Unisex 3.4 Oz EDP Spray</t>
        </is>
      </c>
      <c r="C16172" t="inlineStr">
        <is>
          <t>Eau De Parfum</t>
        </is>
      </c>
      <c r="D16172" t="inlineStr">
        <is>
          <t>Anfar</t>
        </is>
      </c>
      <c r="E16172" t="n">
        <v>18.26</v>
      </c>
      <c r="F16172" t="n">
        <v>1</v>
      </c>
      <c r="G16172" t="n">
        <v>21</v>
      </c>
      <c r="H16172" s="5">
        <f>HYPERLINK("https://api.qogita.com/variants/link/6292257641868/", "View Product")</f>
        <v/>
      </c>
    </row>
    <row r="16173">
      <c r="A16173" t="inlineStr">
        <is>
          <t>6292257641912</t>
        </is>
      </c>
      <c r="B16173" t="inlineStr">
        <is>
          <t>Saphiro By Anfar For Men 2.04 Oz Extrait De Parfum Spray</t>
        </is>
      </c>
      <c r="C16173" t="inlineStr">
        <is>
          <t>Extrait De Parfum</t>
        </is>
      </c>
      <c r="D16173" t="inlineStr">
        <is>
          <t>Anfar</t>
        </is>
      </c>
      <c r="E16173" t="n">
        <v>20.39</v>
      </c>
      <c r="F16173" t="n">
        <v>1</v>
      </c>
      <c r="G16173" t="n">
        <v>10</v>
      </c>
      <c r="H16173" s="5">
        <f>HYPERLINK("https://api.qogita.com/variants/link/6292257641912/", "View Product")</f>
        <v/>
      </c>
    </row>
    <row r="16174">
      <c r="A16174" t="inlineStr">
        <is>
          <t>6292257641974</t>
        </is>
      </c>
      <c r="B16174" t="inlineStr">
        <is>
          <t>Vintage Oud Perfume Exquisite Oriental Fragrance Infused with Rich Oud and Birch</t>
        </is>
      </c>
      <c r="C16174" t="inlineStr">
        <is>
          <t>Eau De Parfum</t>
        </is>
      </c>
      <c r="D16174" t="inlineStr">
        <is>
          <t>Ajmal</t>
        </is>
      </c>
      <c r="E16174" t="n">
        <v>14.7</v>
      </c>
      <c r="F16174" t="n">
        <v>1</v>
      </c>
      <c r="G16174" t="n">
        <v>19</v>
      </c>
      <c r="H16174" s="5">
        <f>HYPERLINK("https://api.qogita.com/variants/link/6292257641974/", "View Product")</f>
        <v/>
      </c>
    </row>
    <row r="16175">
      <c r="A16175" t="inlineStr">
        <is>
          <t>6292257642001</t>
        </is>
      </c>
      <c r="B16175" t="inlineStr">
        <is>
          <t>Adyan Samara Eau De Parfum for Women 100ml 3.4oz</t>
        </is>
      </c>
      <c r="C16175" t="inlineStr">
        <is>
          <t>Eau De Parfum</t>
        </is>
      </c>
      <c r="D16175" t="inlineStr">
        <is>
          <t>Ajmal</t>
        </is>
      </c>
      <c r="E16175" t="n">
        <v>14.7</v>
      </c>
      <c r="F16175" t="n">
        <v>1</v>
      </c>
      <c r="G16175" t="n">
        <v>19</v>
      </c>
      <c r="H16175" s="5">
        <f>HYPERLINK("https://api.qogita.com/variants/link/6292257642001/", "View Product")</f>
        <v/>
      </c>
    </row>
    <row r="16176">
      <c r="A16176" t="inlineStr">
        <is>
          <t>6292257642841</t>
        </is>
      </c>
      <c r="B16176" t="inlineStr">
        <is>
          <t>Adyan Dalia Rouge Extrait De Parfum for Women - Original Fragrance from Dubai</t>
        </is>
      </c>
      <c r="C16176" t="inlineStr">
        <is>
          <t>Extrait De Parfum</t>
        </is>
      </c>
      <c r="D16176" t="inlineStr">
        <is>
          <t>Ajmal</t>
        </is>
      </c>
      <c r="E16176" t="n">
        <v>16.82</v>
      </c>
      <c r="F16176" t="n">
        <v>1</v>
      </c>
      <c r="G16176" t="n">
        <v>17</v>
      </c>
      <c r="H16176" s="5">
        <f>HYPERLINK("https://api.qogita.com/variants/link/6292257642841/", "View Product")</f>
        <v/>
      </c>
    </row>
    <row r="16177">
      <c r="A16177" t="inlineStr">
        <is>
          <t>6292257642865</t>
        </is>
      </c>
      <c r="B16177" t="inlineStr">
        <is>
          <t>Anfar Masar By Anfar Unisex 6.8 Oz EDP Spray</t>
        </is>
      </c>
      <c r="C16177" t="inlineStr">
        <is>
          <t>Eau De Parfum</t>
        </is>
      </c>
      <c r="D16177" t="inlineStr">
        <is>
          <t>Anfar</t>
        </is>
      </c>
      <c r="E16177" t="n">
        <v>29.71</v>
      </c>
      <c r="F16177" t="n">
        <v>1</v>
      </c>
      <c r="G16177" t="n">
        <v>20</v>
      </c>
      <c r="H16177" s="5">
        <f>HYPERLINK("https://api.qogita.com/variants/link/6292257642865/", "View Product")</f>
        <v/>
      </c>
    </row>
    <row r="16178">
      <c r="A16178" t="inlineStr">
        <is>
          <t>6292257643060</t>
        </is>
      </c>
      <c r="B16178" t="inlineStr">
        <is>
          <t>London Royal Pride Unisex Extrait De Parfum Spray 3.4 Oz</t>
        </is>
      </c>
      <c r="C16178" t="inlineStr">
        <is>
          <t>Extrait De Parfum</t>
        </is>
      </c>
      <c r="D16178" t="inlineStr">
        <is>
          <t>Anfar</t>
        </is>
      </c>
      <c r="E16178" t="n">
        <v>27.55</v>
      </c>
      <c r="F16178" t="n">
        <v>1</v>
      </c>
      <c r="G16178" t="n">
        <v>20</v>
      </c>
      <c r="H16178" s="5">
        <f>HYPERLINK("https://api.qogita.com/variants/link/6292257643060/", "View Product")</f>
        <v/>
      </c>
    </row>
    <row r="16179">
      <c r="A16179" t="inlineStr">
        <is>
          <t>6292257643503</t>
        </is>
      </c>
      <c r="B16179" t="inlineStr">
        <is>
          <t>Serie De Velvet Edition Rouge Elixir by Anfar for Women 3.4 Oz</t>
        </is>
      </c>
      <c r="C16179" t="inlineStr">
        <is>
          <t>Extrait De Parfum</t>
        </is>
      </c>
      <c r="D16179" t="inlineStr">
        <is>
          <t>Anfar</t>
        </is>
      </c>
      <c r="E16179" t="n">
        <v>31.85</v>
      </c>
      <c r="F16179" t="n">
        <v>1</v>
      </c>
      <c r="G16179" t="n">
        <v>11</v>
      </c>
      <c r="H16179" s="5">
        <f>HYPERLINK("https://api.qogita.com/variants/link/6292257643503/", "View Product")</f>
        <v/>
      </c>
    </row>
    <row r="16180">
      <c r="A16180" t="inlineStr">
        <is>
          <t>6292257643534</t>
        </is>
      </c>
      <c r="B16180" t="inlineStr">
        <is>
          <t>Anfar London Velvet Tres Violet Eau De Parfum 100ml</t>
        </is>
      </c>
      <c r="C16180" t="inlineStr">
        <is>
          <t>Eau De Parfum</t>
        </is>
      </c>
      <c r="D16180" t="inlineStr">
        <is>
          <t>Anfar</t>
        </is>
      </c>
      <c r="E16180" t="n">
        <v>30.27</v>
      </c>
      <c r="F16180" t="n">
        <v>1</v>
      </c>
      <c r="G16180" t="n">
        <v>5</v>
      </c>
      <c r="H16180" s="5">
        <f>HYPERLINK("https://api.qogita.com/variants/link/6292257643534/", "View Product")</f>
        <v/>
      </c>
    </row>
    <row r="16181">
      <c r="A16181" t="inlineStr">
        <is>
          <t>6292257643558</t>
        </is>
      </c>
      <c r="B16181" t="inlineStr">
        <is>
          <t>Serie De Velvet Edition Rojo Levante by Anfar for Women 3.4 Oz Extrait</t>
        </is>
      </c>
      <c r="C16181" t="inlineStr">
        <is>
          <t>Extrait De Parfum</t>
        </is>
      </c>
      <c r="D16181" t="inlineStr">
        <is>
          <t>Anfar</t>
        </is>
      </c>
      <c r="E16181" t="n">
        <v>31.85</v>
      </c>
      <c r="F16181" t="n">
        <v>1</v>
      </c>
      <c r="G16181" t="n">
        <v>18</v>
      </c>
      <c r="H16181" s="5">
        <f>HYPERLINK("https://api.qogita.com/variants/link/6292257643558/", "View Product")</f>
        <v/>
      </c>
    </row>
    <row r="16182">
      <c r="A16182" t="inlineStr">
        <is>
          <t>6292257643626</t>
        </is>
      </c>
      <c r="B16182" t="inlineStr">
        <is>
          <t>Adyan Midnight Bloom Extrait Perfume for Women 100ml 3.4oz</t>
        </is>
      </c>
      <c r="C16182" t="inlineStr">
        <is>
          <t>Extrait De Parfum</t>
        </is>
      </c>
      <c r="D16182" t="inlineStr">
        <is>
          <t>Ajmal</t>
        </is>
      </c>
      <c r="E16182" t="n">
        <v>29.71</v>
      </c>
      <c r="F16182" t="n">
        <v>1</v>
      </c>
      <c r="G16182" t="n">
        <v>17</v>
      </c>
      <c r="H16182" s="5">
        <f>HYPERLINK("https://api.qogita.com/variants/link/6292257643626/", "View Product")</f>
        <v/>
      </c>
    </row>
    <row r="16183">
      <c r="A16183" t="inlineStr">
        <is>
          <t>6292257643671</t>
        </is>
      </c>
      <c r="B16183" t="inlineStr">
        <is>
          <t>Anfar London Ashy Wood for Men 3.4 Oz Extrait De Parfum Spray</t>
        </is>
      </c>
      <c r="C16183" t="inlineStr">
        <is>
          <t>Extrait De Parfum</t>
        </is>
      </c>
      <c r="D16183" t="inlineStr">
        <is>
          <t>Anfar</t>
        </is>
      </c>
      <c r="E16183" t="n">
        <v>27.55</v>
      </c>
      <c r="F16183" t="n">
        <v>1</v>
      </c>
      <c r="G16183" t="n">
        <v>5</v>
      </c>
      <c r="H16183" s="5">
        <f>HYPERLINK("https://api.qogita.com/variants/link/6292257643671/", "View Product")</f>
        <v/>
      </c>
    </row>
    <row r="16184">
      <c r="A16184" t="inlineStr">
        <is>
          <t>6292257643947</t>
        </is>
      </c>
      <c r="B16184" t="inlineStr">
        <is>
          <t>Alba For Women 3.4 Oz Extrait De Parfum Spray</t>
        </is>
      </c>
      <c r="C16184" t="inlineStr">
        <is>
          <t>Extrait De Parfum</t>
        </is>
      </c>
      <c r="D16184" t="inlineStr">
        <is>
          <t>Anfar</t>
        </is>
      </c>
      <c r="E16184" t="n">
        <v>25.83</v>
      </c>
      <c r="F16184" t="n">
        <v>1</v>
      </c>
      <c r="G16184" t="n">
        <v>4</v>
      </c>
      <c r="H16184" s="5">
        <f>HYPERLINK("https://api.qogita.com/variants/link/6292257643947/", "View Product")</f>
        <v/>
      </c>
    </row>
    <row r="16185">
      <c r="A16185" t="inlineStr">
        <is>
          <t>6292257644005</t>
        </is>
      </c>
      <c r="B16185" t="inlineStr">
        <is>
          <t>Zenit Rouge for Women 3.4 Oz Extrait De Parfum Spray</t>
        </is>
      </c>
      <c r="C16185" t="inlineStr">
        <is>
          <t>Extrait De Parfum</t>
        </is>
      </c>
      <c r="D16185" t="inlineStr">
        <is>
          <t>Anfar</t>
        </is>
      </c>
      <c r="E16185" t="n">
        <v>28.28</v>
      </c>
      <c r="F16185" t="n">
        <v>1</v>
      </c>
      <c r="G16185" t="n">
        <v>18</v>
      </c>
      <c r="H16185" s="5">
        <f>HYPERLINK("https://api.qogita.com/variants/link/6292257644005/", "View Product")</f>
        <v/>
      </c>
    </row>
    <row r="16186">
      <c r="A16186" t="inlineStr">
        <is>
          <t>6292257644586</t>
        </is>
      </c>
      <c r="B16186" t="inlineStr">
        <is>
          <t>Adyan Jeehan Extrait De Parfum by Anfar 100ml 3.4oz - Original Fragrance</t>
        </is>
      </c>
      <c r="C16186" t="inlineStr">
        <is>
          <t>Extrait De Parfum</t>
        </is>
      </c>
      <c r="D16186" t="inlineStr">
        <is>
          <t>Ajmal</t>
        </is>
      </c>
      <c r="E16186" t="n">
        <v>23.28</v>
      </c>
      <c r="F16186" t="n">
        <v>1</v>
      </c>
      <c r="G16186" t="n">
        <v>21</v>
      </c>
      <c r="H16186" s="5">
        <f>HYPERLINK("https://api.qogita.com/variants/link/6292257644586/", "View Product")</f>
        <v/>
      </c>
    </row>
    <row r="16187">
      <c r="A16187" t="inlineStr">
        <is>
          <t>6292257644753</t>
        </is>
      </c>
      <c r="B16187" t="inlineStr">
        <is>
          <t>Wafa Eau De Parfum 100ml Citrus Amber Floral Arabian Perfume</t>
        </is>
      </c>
      <c r="C16187" t="inlineStr">
        <is>
          <t>Eau De Parfum</t>
        </is>
      </c>
      <c r="D16187" t="inlineStr">
        <is>
          <t>Ajmal</t>
        </is>
      </c>
      <c r="E16187" t="n">
        <v>22.56</v>
      </c>
      <c r="F16187" t="n">
        <v>1</v>
      </c>
      <c r="G16187" t="n">
        <v>20</v>
      </c>
      <c r="H16187" s="5">
        <f>HYPERLINK("https://api.qogita.com/variants/link/6292257644753/", "View Product")</f>
        <v/>
      </c>
    </row>
    <row r="16188">
      <c r="A16188" t="inlineStr">
        <is>
          <t>6292655803721</t>
        </is>
      </c>
      <c r="B16188" t="inlineStr">
        <is>
          <t>Killer Oud Paris Corner Revolution Eau De Parfum 100ml</t>
        </is>
      </c>
      <c r="C16188" t="inlineStr">
        <is>
          <t>Eau De Parfum</t>
        </is>
      </c>
      <c r="D16188" t="inlineStr">
        <is>
          <t>Killer Oud</t>
        </is>
      </c>
      <c r="E16188" t="n">
        <v>16.51</v>
      </c>
      <c r="F16188" t="n">
        <v>1</v>
      </c>
      <c r="G16188" t="n">
        <v>24</v>
      </c>
      <c r="H16188" s="5">
        <f>HYPERLINK("https://api.qogita.com/variants/link/6292655803721/", "View Product")</f>
        <v/>
      </c>
    </row>
    <row r="16189">
      <c r="A16189" t="inlineStr">
        <is>
          <t>6292864825477</t>
        </is>
      </c>
      <c r="B16189" t="inlineStr">
        <is>
          <t>Celestial Series Resurrection Extrait De Parfum 100ml Unisex</t>
        </is>
      </c>
      <c r="C16189" t="inlineStr">
        <is>
          <t>Extrait De Parfum</t>
        </is>
      </c>
      <c r="D16189" t="inlineStr">
        <is>
          <t>Paris Corner</t>
        </is>
      </c>
      <c r="E16189" t="n">
        <v>16.62</v>
      </c>
      <c r="F16189" t="n">
        <v>1</v>
      </c>
      <c r="G16189" t="n">
        <v>15</v>
      </c>
      <c r="H16189" s="5">
        <f>HYPERLINK("https://api.qogita.com/variants/link/6292864825477/", "View Product")</f>
        <v/>
      </c>
    </row>
    <row r="16190">
      <c r="A16190" t="inlineStr">
        <is>
          <t>6292864825583</t>
        </is>
      </c>
      <c r="B16190" t="inlineStr">
        <is>
          <t>Emir Wayward Charlie Extrait De Parfum 100ml</t>
        </is>
      </c>
      <c r="C16190" t="inlineStr">
        <is>
          <t>Extrait De Parfum</t>
        </is>
      </c>
      <c r="D16190" t="inlineStr">
        <is>
          <t>Emir</t>
        </is>
      </c>
      <c r="E16190" t="n">
        <v>20.19</v>
      </c>
      <c r="F16190" t="n">
        <v>1</v>
      </c>
      <c r="G16190" t="n">
        <v>27</v>
      </c>
      <c r="H16190" s="5">
        <f>HYPERLINK("https://api.qogita.com/variants/link/6292864825583/", "View Product")</f>
        <v/>
      </c>
    </row>
    <row r="16191">
      <c r="A16191" t="inlineStr">
        <is>
          <t>6293708000203</t>
        </is>
      </c>
      <c r="B16191" t="inlineStr">
        <is>
          <t>Ajmal 1001 Nights Concentrated Perfume Oil 30ml</t>
        </is>
      </c>
      <c r="C16191" t="inlineStr">
        <is>
          <t>Extrait De Parfum</t>
        </is>
      </c>
      <c r="D16191" t="inlineStr">
        <is>
          <t>Ajmal</t>
        </is>
      </c>
      <c r="E16191" t="n">
        <v>35.97</v>
      </c>
      <c r="F16191" t="n">
        <v>1</v>
      </c>
      <c r="G16191" t="n">
        <v>11</v>
      </c>
      <c r="H16191" s="5">
        <f>HYPERLINK("https://api.qogita.com/variants/link/6293708000203/", "View Product")</f>
        <v/>
      </c>
    </row>
    <row r="16192">
      <c r="A16192" t="inlineStr">
        <is>
          <t>6293708000227</t>
        </is>
      </c>
      <c r="B16192" t="inlineStr">
        <is>
          <t>Alf Lail O Lail 1001 Nights Perfumed Water Spray 60ml</t>
        </is>
      </c>
      <c r="C16192" t="inlineStr">
        <is>
          <t>Eau De Parfum</t>
        </is>
      </c>
      <c r="D16192" t="inlineStr">
        <is>
          <t>Alf Lail wa Lail</t>
        </is>
      </c>
      <c r="E16192" t="n">
        <v>22.64</v>
      </c>
      <c r="F16192" t="n">
        <v>1</v>
      </c>
      <c r="G16192" t="n">
        <v>4</v>
      </c>
      <c r="H16192" s="5">
        <f>HYPERLINK("https://api.qogita.com/variants/link/6293708000227/", "View Product")</f>
        <v/>
      </c>
    </row>
    <row r="16193">
      <c r="A16193" t="inlineStr">
        <is>
          <t>6293708003549</t>
        </is>
      </c>
      <c r="B16193" t="inlineStr">
        <is>
          <t>Ajmal Shadow For Him Eau De Parfum Spray 75ml</t>
        </is>
      </c>
      <c r="C16193" t="inlineStr">
        <is>
          <t>Eau De Parfum</t>
        </is>
      </c>
      <c r="D16193" t="inlineStr">
        <is>
          <t>Ajmal</t>
        </is>
      </c>
      <c r="E16193" t="n">
        <v>14.86</v>
      </c>
      <c r="F16193" t="n">
        <v>1</v>
      </c>
      <c r="G16193" t="n">
        <v>32</v>
      </c>
      <c r="H16193" s="5">
        <f>HYPERLINK("https://api.qogita.com/variants/link/6293708003549/", "View Product")</f>
        <v/>
      </c>
    </row>
    <row r="16194">
      <c r="A16194" t="inlineStr">
        <is>
          <t>6293708004065</t>
        </is>
      </c>
      <c r="B16194" t="inlineStr">
        <is>
          <t>Ajmal Entice Pour Femme Eau De Parfum 75ml</t>
        </is>
      </c>
      <c r="C16194" t="inlineStr">
        <is>
          <t>Eau De Parfum</t>
        </is>
      </c>
      <c r="D16194" t="inlineStr">
        <is>
          <t>Ajmal</t>
        </is>
      </c>
      <c r="E16194" t="n">
        <v>16.98</v>
      </c>
      <c r="F16194" t="n">
        <v>1</v>
      </c>
      <c r="G16194" t="n">
        <v>19</v>
      </c>
      <c r="H16194" s="5">
        <f>HYPERLINK("https://api.qogita.com/variants/link/6293708004065/", "View Product")</f>
        <v/>
      </c>
    </row>
    <row r="16195">
      <c r="A16195" t="inlineStr">
        <is>
          <t>6293708004867</t>
        </is>
      </c>
      <c r="B16195" t="inlineStr">
        <is>
          <t>Ajmal Aurum EDP for Women Spray 2.5 Fl Oz</t>
        </is>
      </c>
      <c r="C16195" t="inlineStr">
        <is>
          <t>Eau De Parfum</t>
        </is>
      </c>
      <c r="D16195" t="inlineStr">
        <is>
          <t>Ajmal</t>
        </is>
      </c>
      <c r="E16195" t="n">
        <v>22.59</v>
      </c>
      <c r="F16195" t="n">
        <v>1</v>
      </c>
      <c r="G16195" t="n">
        <v>15</v>
      </c>
      <c r="H16195" s="5">
        <f>HYPERLINK("https://api.qogita.com/variants/link/6293708004867/", "View Product")</f>
        <v/>
      </c>
    </row>
    <row r="16196">
      <c r="A16196" t="inlineStr">
        <is>
          <t>6293708006731</t>
        </is>
      </c>
      <c r="B16196" t="inlineStr">
        <is>
          <t>Ajmal Amber Wood Eau De Parfum 100ml Unisex</t>
        </is>
      </c>
      <c r="C16196" t="inlineStr">
        <is>
          <t>Eau De Parfum</t>
        </is>
      </c>
      <c r="D16196" t="inlineStr">
        <is>
          <t>Ajmal</t>
        </is>
      </c>
      <c r="E16196" t="n">
        <v>70.12</v>
      </c>
      <c r="F16196" t="n">
        <v>1</v>
      </c>
      <c r="G16196" t="n">
        <v>70</v>
      </c>
      <c r="H16196" s="5">
        <f>HYPERLINK("https://api.qogita.com/variants/link/6293708006731/", "View Product")</f>
        <v/>
      </c>
    </row>
    <row r="16197">
      <c r="A16197" t="inlineStr">
        <is>
          <t>6293708006748</t>
        </is>
      </c>
      <c r="B16197" t="inlineStr">
        <is>
          <t>Ajmal Hatkora Wood Unisex Eau De Parfum Spray 100ml</t>
        </is>
      </c>
      <c r="C16197" t="inlineStr">
        <is>
          <t>Eau De Parfum</t>
        </is>
      </c>
      <c r="D16197" t="inlineStr">
        <is>
          <t>Ajmal</t>
        </is>
      </c>
      <c r="E16197" t="n">
        <v>70.01000000000001</v>
      </c>
      <c r="F16197" t="n">
        <v>1</v>
      </c>
      <c r="G16197" t="n">
        <v>4</v>
      </c>
      <c r="H16197" s="5">
        <f>HYPERLINK("https://api.qogita.com/variants/link/6293708006748/", "View Product")</f>
        <v/>
      </c>
    </row>
    <row r="16198">
      <c r="A16198" t="inlineStr">
        <is>
          <t>6293708007356</t>
        </is>
      </c>
      <c r="B16198" t="inlineStr">
        <is>
          <t>Ajmal Cerise Eau De Parfum Spray 75ml</t>
        </is>
      </c>
      <c r="C16198" t="inlineStr">
        <is>
          <t>Eau De Parfum</t>
        </is>
      </c>
      <c r="D16198" t="inlineStr">
        <is>
          <t>Ajmal</t>
        </is>
      </c>
      <c r="E16198" t="n">
        <v>22.98</v>
      </c>
      <c r="F16198" t="n">
        <v>1</v>
      </c>
      <c r="G16198" t="n">
        <v>7</v>
      </c>
      <c r="H16198" s="5">
        <f>HYPERLINK("https://api.qogita.com/variants/link/6293708007356/", "View Product")</f>
        <v/>
      </c>
    </row>
    <row r="16199">
      <c r="A16199" t="inlineStr">
        <is>
          <t>6293708007479</t>
        </is>
      </c>
      <c r="B16199" t="inlineStr">
        <is>
          <t>Ajmal Cuir Musc Eau de Parfum Spray 100ml Unisex</t>
        </is>
      </c>
      <c r="C16199" t="inlineStr">
        <is>
          <t>Eau De Parfum</t>
        </is>
      </c>
      <c r="D16199" t="inlineStr">
        <is>
          <t>Ajmal</t>
        </is>
      </c>
      <c r="E16199" t="n">
        <v>49.57</v>
      </c>
      <c r="F16199" t="n">
        <v>1</v>
      </c>
      <c r="G16199" t="n">
        <v>8</v>
      </c>
      <c r="H16199" s="5">
        <f>HYPERLINK("https://api.qogita.com/variants/link/6293708007479/", "View Product")</f>
        <v/>
      </c>
    </row>
    <row r="16200">
      <c r="A16200" t="inlineStr">
        <is>
          <t>6293708008193</t>
        </is>
      </c>
      <c r="B16200" t="inlineStr">
        <is>
          <t>Ajmal Ambre Pimente Men Eau De Parfum - Handpicked Luxury Long Lasting Woody</t>
        </is>
      </c>
      <c r="C16200" t="inlineStr">
        <is>
          <t>Eau De Parfum</t>
        </is>
      </c>
      <c r="D16200" t="inlineStr">
        <is>
          <t>Ajmal</t>
        </is>
      </c>
      <c r="E16200" t="n">
        <v>16.81</v>
      </c>
      <c r="F16200" t="n">
        <v>1</v>
      </c>
      <c r="G16200" t="n">
        <v>18</v>
      </c>
      <c r="H16200" s="5">
        <f>HYPERLINK("https://api.qogita.com/variants/link/6293708008193/", "View Product")</f>
        <v/>
      </c>
    </row>
    <row r="16201">
      <c r="A16201" t="inlineStr">
        <is>
          <t>6293708008926</t>
        </is>
      </c>
      <c r="B16201" t="inlineStr">
        <is>
          <t>Ajmal Evoke Silver Edition EAU De Parfum Spray 3oz 90ml for Men</t>
        </is>
      </c>
      <c r="C16201" t="inlineStr">
        <is>
          <t>Eau De Parfum</t>
        </is>
      </c>
      <c r="D16201" t="inlineStr">
        <is>
          <t>Ajmal</t>
        </is>
      </c>
      <c r="E16201" t="n">
        <v>18.28</v>
      </c>
      <c r="F16201" t="n">
        <v>1</v>
      </c>
      <c r="G16201" t="n">
        <v>32</v>
      </c>
      <c r="H16201" s="5">
        <f>HYPERLINK("https://api.qogita.com/variants/link/6293708008926/", "View Product")</f>
        <v/>
      </c>
    </row>
    <row r="16202">
      <c r="A16202" t="inlineStr">
        <is>
          <t>6293708011278</t>
        </is>
      </c>
      <c r="B16202" t="inlineStr">
        <is>
          <t>Ajmal Evoke Gold Edition for Women 2.5 Oz EDP Spray 79.85g</t>
        </is>
      </c>
      <c r="C16202" t="inlineStr">
        <is>
          <t>Eau De Parfum</t>
        </is>
      </c>
      <c r="D16202" t="inlineStr">
        <is>
          <t>Ajmal</t>
        </is>
      </c>
      <c r="E16202" t="n">
        <v>26.94</v>
      </c>
      <c r="F16202" t="n">
        <v>1</v>
      </c>
      <c r="G16202" t="n">
        <v>3</v>
      </c>
      <c r="H16202" s="5">
        <f>HYPERLINK("https://api.qogita.com/variants/link/6293708011278/", "View Product")</f>
        <v/>
      </c>
    </row>
    <row r="16203">
      <c r="A16203" t="inlineStr">
        <is>
          <t>6293708015344</t>
        </is>
      </c>
      <c r="B16203" t="inlineStr">
        <is>
          <t>Ajmal Gray Eau De Parfum Spray 100ml</t>
        </is>
      </c>
      <c r="C16203" t="inlineStr">
        <is>
          <t>Eau De Parfum</t>
        </is>
      </c>
      <c r="D16203" t="inlineStr">
        <is>
          <t>Ajmal</t>
        </is>
      </c>
      <c r="E16203" t="n">
        <v>8.35</v>
      </c>
      <c r="F16203" t="n">
        <v>1</v>
      </c>
      <c r="G16203" t="n">
        <v>39</v>
      </c>
      <c r="H16203" s="5">
        <f>HYPERLINK("https://api.qogita.com/variants/link/6293708015344/", "View Product")</f>
        <v/>
      </c>
    </row>
    <row r="16204">
      <c r="A16204" t="inlineStr">
        <is>
          <t>6293708018758</t>
        </is>
      </c>
      <c r="B16204" t="inlineStr">
        <is>
          <t>Wisal Layl Eau de Parfum Volume 50 ml</t>
        </is>
      </c>
      <c r="C16204" t="inlineStr">
        <is>
          <t>Eau De Parfum</t>
        </is>
      </c>
      <c r="D16204" t="inlineStr">
        <is>
          <t>Ajmal</t>
        </is>
      </c>
      <c r="E16204" t="n">
        <v>30.21</v>
      </c>
      <c r="F16204" t="n">
        <v>1</v>
      </c>
      <c r="G16204" t="n">
        <v>26</v>
      </c>
      <c r="H16204" s="5">
        <f>HYPERLINK("https://api.qogita.com/variants/link/6293708018758/", "View Product")</f>
        <v/>
      </c>
    </row>
    <row r="16205">
      <c r="A16205" t="inlineStr">
        <is>
          <t>6293708019502</t>
        </is>
      </c>
      <c r="B16205" t="inlineStr">
        <is>
          <t>Ajmal Evoke Midnight Edition For Her Eau De Parfum Spray 75ml</t>
        </is>
      </c>
      <c r="C16205" t="inlineStr">
        <is>
          <t>Eau De Parfum</t>
        </is>
      </c>
      <c r="D16205" t="inlineStr">
        <is>
          <t>Ajmal</t>
        </is>
      </c>
      <c r="E16205" t="n">
        <v>21.38</v>
      </c>
      <c r="F16205" t="n">
        <v>1</v>
      </c>
      <c r="G16205" t="n">
        <v>30</v>
      </c>
      <c r="H16205" s="5">
        <f>HYPERLINK("https://api.qogita.com/variants/link/6293708019502/", "View Product")</f>
        <v/>
      </c>
    </row>
    <row r="16206">
      <c r="A16206" t="inlineStr">
        <is>
          <t>6293708019526</t>
        </is>
      </c>
      <c r="B16206" t="inlineStr">
        <is>
          <t>Ajmal Soul of Amir Concentrated Perfume Oil 12ml</t>
        </is>
      </c>
      <c r="C16206" t="inlineStr">
        <is>
          <t>Extrait De Parfum</t>
        </is>
      </c>
      <c r="D16206" t="inlineStr">
        <is>
          <t>Ajmal</t>
        </is>
      </c>
      <c r="E16206" t="n">
        <v>70.59</v>
      </c>
      <c r="F16206" t="n">
        <v>1</v>
      </c>
      <c r="G16206" t="n">
        <v>15</v>
      </c>
      <c r="H16206" s="5">
        <f>HYPERLINK("https://api.qogita.com/variants/link/6293708019526/", "View Product")</f>
        <v/>
      </c>
    </row>
    <row r="16207">
      <c r="A16207" t="inlineStr">
        <is>
          <t>6293708019793</t>
        </is>
      </c>
      <c r="B16207" t="inlineStr">
        <is>
          <t>Ajmal Ruby Blossom Eau De Parfum</t>
        </is>
      </c>
      <c r="C16207" t="inlineStr">
        <is>
          <t>Eau De Parfum</t>
        </is>
      </c>
      <c r="D16207" t="inlineStr">
        <is>
          <t>Ajmal</t>
        </is>
      </c>
      <c r="E16207" t="n">
        <v>9.75</v>
      </c>
      <c r="F16207" t="n">
        <v>1</v>
      </c>
      <c r="G16207" t="n">
        <v>279</v>
      </c>
      <c r="H16207" s="5">
        <f>HYPERLINK("https://api.qogita.com/variants/link/6293708019793/", "View Product")</f>
        <v/>
      </c>
    </row>
    <row r="16208">
      <c r="A16208" t="inlineStr">
        <is>
          <t>6293708019946</t>
        </is>
      </c>
      <c r="B16208" t="inlineStr">
        <is>
          <t>Ajmal Nomad Noir Eau De Parfum</t>
        </is>
      </c>
      <c r="C16208" t="inlineStr">
        <is>
          <t>Eau De Parfum</t>
        </is>
      </c>
      <c r="D16208" t="inlineStr">
        <is>
          <t>Ajmal</t>
        </is>
      </c>
      <c r="E16208" t="n">
        <v>9.550000000000001</v>
      </c>
      <c r="F16208" t="n">
        <v>1</v>
      </c>
      <c r="G16208" t="n">
        <v>6</v>
      </c>
      <c r="H16208" s="5">
        <f>HYPERLINK("https://api.qogita.com/variants/link/6293708019946/", "View Product")</f>
        <v/>
      </c>
    </row>
    <row r="16209">
      <c r="A16209" t="inlineStr">
        <is>
          <t>6293708021130</t>
        </is>
      </c>
      <c r="B16209" t="inlineStr">
        <is>
          <t>Ajmal Chapter 1 - Eau De Parfum</t>
        </is>
      </c>
      <c r="C16209" t="inlineStr">
        <is>
          <t>Eau De Parfum</t>
        </is>
      </c>
      <c r="D16209" t="inlineStr">
        <is>
          <t>Ajmal</t>
        </is>
      </c>
      <c r="E16209" t="n">
        <v>31.45</v>
      </c>
      <c r="F16209" t="n">
        <v>1</v>
      </c>
      <c r="G16209" t="n">
        <v>81</v>
      </c>
      <c r="H16209" s="5">
        <f>HYPERLINK("https://api.qogita.com/variants/link/6293708021130/", "View Product")</f>
        <v/>
      </c>
    </row>
    <row r="16210">
      <c r="A16210" t="inlineStr">
        <is>
          <t>6294015109306</t>
        </is>
      </c>
      <c r="B16210" t="inlineStr">
        <is>
          <t>ARMAF Odyssey Femme White Edition for Women 2.7oz EDP Spray</t>
        </is>
      </c>
      <c r="C16210" t="inlineStr">
        <is>
          <t>Eau De Parfum</t>
        </is>
      </c>
      <c r="D16210" t="inlineStr">
        <is>
          <t>Armaf</t>
        </is>
      </c>
      <c r="E16210" t="n">
        <v>17.93</v>
      </c>
      <c r="F16210" t="n">
        <v>1</v>
      </c>
      <c r="G16210" t="n">
        <v>794</v>
      </c>
      <c r="H16210" s="5">
        <f>HYPERLINK("https://api.qogita.com/variants/link/6294015109306/", "View Product")</f>
        <v/>
      </c>
    </row>
    <row r="16211">
      <c r="A16211" t="inlineStr">
        <is>
          <t>6294015119183</t>
        </is>
      </c>
      <c r="B16211" t="inlineStr">
        <is>
          <t>Hamidi Al Aqeed 100ml Eau De Parfum</t>
        </is>
      </c>
      <c r="C16211" t="inlineStr">
        <is>
          <t>Eau De Parfum</t>
        </is>
      </c>
      <c r="D16211" t="inlineStr">
        <is>
          <t>Hamidi</t>
        </is>
      </c>
      <c r="E16211" t="n">
        <v>17.94</v>
      </c>
      <c r="F16211" t="n">
        <v>1</v>
      </c>
      <c r="G16211" t="n">
        <v>41</v>
      </c>
      <c r="H16211" s="5">
        <f>HYPERLINK("https://api.qogita.com/variants/link/6294015119183/", "View Product")</f>
        <v/>
      </c>
    </row>
    <row r="16212">
      <c r="A16212" t="inlineStr">
        <is>
          <t>6294015126174</t>
        </is>
      </c>
      <c r="B16212" t="inlineStr">
        <is>
          <t>ARMAF Club De Nuit Intense Man Limited Edition Pure Parfum 105ml</t>
        </is>
      </c>
      <c r="C16212" t="inlineStr">
        <is>
          <t>Eau De Parfum</t>
        </is>
      </c>
      <c r="D16212" t="inlineStr">
        <is>
          <t>Armaf</t>
        </is>
      </c>
      <c r="E16212" t="n">
        <v>51.46</v>
      </c>
      <c r="F16212" t="n">
        <v>1</v>
      </c>
      <c r="G16212" t="n">
        <v>20</v>
      </c>
      <c r="H16212" s="5">
        <f>HYPERLINK("https://api.qogita.com/variants/link/6294015126174/", "View Product")</f>
        <v/>
      </c>
    </row>
    <row r="16213">
      <c r="A16213" t="inlineStr">
        <is>
          <t>6294015131024</t>
        </is>
      </c>
      <c r="B16213" t="inlineStr">
        <is>
          <t>Armaf Club De Nuit Intense Man Eau De Parfum 200ml</t>
        </is>
      </c>
      <c r="C16213" t="inlineStr">
        <is>
          <t>Eau De Parfum</t>
        </is>
      </c>
      <c r="D16213" t="inlineStr">
        <is>
          <t>Armaf</t>
        </is>
      </c>
      <c r="E16213" t="n">
        <v>37.87</v>
      </c>
      <c r="F16213" t="n">
        <v>1</v>
      </c>
      <c r="G16213" t="n">
        <v>636</v>
      </c>
      <c r="H16213" s="5">
        <f>HYPERLINK("https://api.qogita.com/variants/link/6294015131024/", "View Product")</f>
        <v/>
      </c>
    </row>
    <row r="16214">
      <c r="A16214" t="inlineStr">
        <is>
          <t>6294015136470</t>
        </is>
      </c>
      <c r="B16214" t="inlineStr">
        <is>
          <t>Armaf Club De Nuit Sillage Eau De Parfum Spray 105ml</t>
        </is>
      </c>
      <c r="C16214" t="inlineStr">
        <is>
          <t>Eau De Parfum</t>
        </is>
      </c>
      <c r="D16214" t="inlineStr">
        <is>
          <t>Armaf</t>
        </is>
      </c>
      <c r="E16214" t="n">
        <v>25.23</v>
      </c>
      <c r="F16214" t="n">
        <v>1</v>
      </c>
      <c r="G16214" t="n">
        <v>128</v>
      </c>
      <c r="H16214" s="5">
        <f>HYPERLINK("https://api.qogita.com/variants/link/6294015136470/", "View Product")</f>
        <v/>
      </c>
    </row>
    <row r="16215">
      <c r="A16215" t="inlineStr">
        <is>
          <t>6294015137644</t>
        </is>
      </c>
      <c r="B16215" t="inlineStr">
        <is>
          <t>Armaf Beaute Brow Strokes Comb Tip Eyebrow Pen - 1 Ml In Brown</t>
        </is>
      </c>
      <c r="C16215" t="inlineStr">
        <is>
          <t>Eyebrow Pencil</t>
        </is>
      </c>
      <c r="D16215" t="inlineStr">
        <is>
          <t>Armaf</t>
        </is>
      </c>
      <c r="E16215" t="n">
        <v>8.01</v>
      </c>
      <c r="F16215" t="n">
        <v>1</v>
      </c>
      <c r="G16215" t="n">
        <v>3</v>
      </c>
      <c r="H16215" s="5">
        <f>HYPERLINK("https://api.qogita.com/variants/link/6294015137644/", "View Product")</f>
        <v/>
      </c>
    </row>
    <row r="16216">
      <c r="A16216" t="inlineStr">
        <is>
          <t>6294015137859</t>
        </is>
      </c>
      <c r="B16216" t="inlineStr">
        <is>
          <t>Armaf Beaute Precision Brow Definer - Eyebrow Pencil 1 G</t>
        </is>
      </c>
      <c r="C16216" t="inlineStr">
        <is>
          <t>Eyebrow Pencil</t>
        </is>
      </c>
      <c r="D16216" t="inlineStr">
        <is>
          <t>Armaf</t>
        </is>
      </c>
      <c r="E16216" t="n">
        <v>5.69</v>
      </c>
      <c r="F16216" t="n">
        <v>1</v>
      </c>
      <c r="G16216" t="n">
        <v>9</v>
      </c>
      <c r="H16216" s="5">
        <f>HYPERLINK("https://api.qogita.com/variants/link/6294015137859/", "View Product")</f>
        <v/>
      </c>
    </row>
    <row r="16217">
      <c r="A16217" t="inlineStr">
        <is>
          <t>6294015145649</t>
        </is>
      </c>
      <c r="B16217" t="inlineStr">
        <is>
          <t>Armaf Tres Nuit Lyric Perfume Body Spray - 200ml</t>
        </is>
      </c>
      <c r="C16217" t="inlineStr">
        <is>
          <t>Eau De Parfum</t>
        </is>
      </c>
      <c r="D16217" t="inlineStr">
        <is>
          <t>Armaf</t>
        </is>
      </c>
      <c r="E16217" t="n">
        <v>4.67</v>
      </c>
      <c r="F16217" t="n">
        <v>1</v>
      </c>
      <c r="G16217" t="n">
        <v>5</v>
      </c>
      <c r="H16217" s="5">
        <f>HYPERLINK("https://api.qogita.com/variants/link/6294015145649/", "View Product")</f>
        <v/>
      </c>
    </row>
    <row r="16218">
      <c r="A16218" t="inlineStr">
        <is>
          <t>6294015155648</t>
        </is>
      </c>
      <c r="B16218" t="inlineStr">
        <is>
          <t>Armaf Caballo Eau De Parfum Spray 100ml</t>
        </is>
      </c>
      <c r="C16218" t="inlineStr">
        <is>
          <t>Eau De Parfum</t>
        </is>
      </c>
      <c r="D16218" t="inlineStr">
        <is>
          <t>Armaf</t>
        </is>
      </c>
      <c r="E16218" t="n">
        <v>28.25</v>
      </c>
      <c r="F16218" t="n">
        <v>1</v>
      </c>
      <c r="G16218" t="n">
        <v>5</v>
      </c>
      <c r="H16218" s="5">
        <f>HYPERLINK("https://api.qogita.com/variants/link/6294015155648/", "View Product")</f>
        <v/>
      </c>
    </row>
    <row r="16219">
      <c r="A16219" t="inlineStr">
        <is>
          <t>6294015155655</t>
        </is>
      </c>
      <c r="B16219" t="inlineStr">
        <is>
          <t>Armaf Nomad Eau De Parfum Spray 100ml</t>
        </is>
      </c>
      <c r="C16219" t="inlineStr">
        <is>
          <t>Eau De Parfum</t>
        </is>
      </c>
      <c r="D16219" t="inlineStr">
        <is>
          <t>Armaf</t>
        </is>
      </c>
      <c r="E16219" t="n">
        <v>20.35</v>
      </c>
      <c r="F16219" t="n">
        <v>1</v>
      </c>
      <c r="G16219" t="n">
        <v>3</v>
      </c>
      <c r="H16219" s="5">
        <f>HYPERLINK("https://api.qogita.com/variants/link/6294015155655/", "View Product")</f>
        <v/>
      </c>
    </row>
    <row r="16220">
      <c r="A16220" t="inlineStr">
        <is>
          <t>6294015156232</t>
        </is>
      </c>
      <c r="B16220" t="inlineStr">
        <is>
          <t>Addicted Silver Unisex Perfume 120ml - Hamidi</t>
        </is>
      </c>
      <c r="C16220" t="inlineStr">
        <is>
          <t>Eau De Parfum</t>
        </is>
      </c>
      <c r="D16220" t="inlineStr">
        <is>
          <t>Hamidi</t>
        </is>
      </c>
      <c r="E16220" t="n">
        <v>21.14</v>
      </c>
      <c r="F16220" t="n">
        <v>1</v>
      </c>
      <c r="G16220" t="n">
        <v>38</v>
      </c>
      <c r="H16220" s="5">
        <f>HYPERLINK("https://api.qogita.com/variants/link/6294015156232/", "View Product")</f>
        <v/>
      </c>
    </row>
    <row r="16221">
      <c r="A16221" t="inlineStr">
        <is>
          <t>6294015160734</t>
        </is>
      </c>
      <c r="B16221" t="inlineStr">
        <is>
          <t>Armaf Odyssey Tyrant Special Edition Eau De Parfum 100ml</t>
        </is>
      </c>
      <c r="C16221" t="inlineStr">
        <is>
          <t>Eau De Parfum</t>
        </is>
      </c>
      <c r="D16221" t="inlineStr">
        <is>
          <t>Armaf</t>
        </is>
      </c>
      <c r="E16221" t="n">
        <v>16.44</v>
      </c>
      <c r="F16221" t="n">
        <v>1</v>
      </c>
      <c r="G16221" t="n">
        <v>155</v>
      </c>
      <c r="H16221" s="5">
        <f>HYPERLINK("https://api.qogita.com/variants/link/6294015160734/", "View Product")</f>
        <v/>
      </c>
    </row>
    <row r="16222">
      <c r="A16222" t="inlineStr">
        <is>
          <t>6294015161748</t>
        </is>
      </c>
      <c r="B16222" t="inlineStr">
        <is>
          <t>Hamidi Shaheen Eau De Parfum 100ml</t>
        </is>
      </c>
      <c r="C16222" t="inlineStr">
        <is>
          <t>Eau De Parfum</t>
        </is>
      </c>
      <c r="D16222" t="inlineStr">
        <is>
          <t>Hamidi</t>
        </is>
      </c>
      <c r="E16222" t="n">
        <v>9.82</v>
      </c>
      <c r="F16222" t="n">
        <v>1</v>
      </c>
      <c r="G16222" t="n">
        <v>43</v>
      </c>
      <c r="H16222" s="5">
        <f>HYPERLINK("https://api.qogita.com/variants/link/6294015161748/", "View Product")</f>
        <v/>
      </c>
    </row>
    <row r="16223">
      <c r="A16223" t="inlineStr">
        <is>
          <t>6294015163896</t>
        </is>
      </c>
      <c r="B16223" t="inlineStr">
        <is>
          <t>Armaf Tag Him Uomo Nero Eau De Parfum 100ml</t>
        </is>
      </c>
      <c r="C16223" t="inlineStr">
        <is>
          <t>Eau De Parfum</t>
        </is>
      </c>
      <c r="D16223" t="inlineStr">
        <is>
          <t>Armaf</t>
        </is>
      </c>
      <c r="E16223" t="n">
        <v>16.99</v>
      </c>
      <c r="F16223" t="n">
        <v>1</v>
      </c>
      <c r="G16223" t="n">
        <v>9</v>
      </c>
      <c r="H16223" s="5">
        <f>HYPERLINK("https://api.qogita.com/variants/link/6294015163896/", "View Product")</f>
        <v/>
      </c>
    </row>
    <row r="16224">
      <c r="A16224" t="inlineStr">
        <is>
          <t>6294015163988</t>
        </is>
      </c>
      <c r="B16224" t="inlineStr">
        <is>
          <t>Armaf Le Parfait Femme Eau De Parfum Spray 200ml</t>
        </is>
      </c>
      <c r="C16224" t="inlineStr">
        <is>
          <t>Eau De Parfum</t>
        </is>
      </c>
      <c r="D16224" t="inlineStr">
        <is>
          <t>Armaf</t>
        </is>
      </c>
      <c r="E16224" t="n">
        <v>22.96</v>
      </c>
      <c r="F16224" t="n">
        <v>1</v>
      </c>
      <c r="G16224" t="n">
        <v>23</v>
      </c>
      <c r="H16224" s="5">
        <f>HYPERLINK("https://api.qogita.com/variants/link/6294015163988/", "View Product")</f>
        <v/>
      </c>
    </row>
    <row r="16225">
      <c r="A16225" t="inlineStr">
        <is>
          <t>6294015164343</t>
        </is>
      </c>
      <c r="B16225" t="inlineStr">
        <is>
          <t>Armaf Club De Nuit Pure Perfume Intense Man 18ml</t>
        </is>
      </c>
      <c r="C16225" t="inlineStr">
        <is>
          <t>Eau De Parfum</t>
        </is>
      </c>
      <c r="D16225" t="inlineStr">
        <is>
          <t>Armaf</t>
        </is>
      </c>
      <c r="E16225" t="n">
        <v>30.32</v>
      </c>
      <c r="F16225" t="n">
        <v>1</v>
      </c>
      <c r="G16225" t="n">
        <v>3</v>
      </c>
      <c r="H16225" s="5">
        <f>HYPERLINK("https://api.qogita.com/variants/link/6294015164343/", "View Product")</f>
        <v/>
      </c>
    </row>
    <row r="16226">
      <c r="A16226" t="inlineStr">
        <is>
          <t>6294015164602</t>
        </is>
      </c>
      <c r="B16226" t="inlineStr">
        <is>
          <t>Fusion Concord Eau de Parfum Volume 85 ml</t>
        </is>
      </c>
      <c r="C16226" t="inlineStr">
        <is>
          <t>Eau De Parfum</t>
        </is>
      </c>
      <c r="D16226" t="inlineStr">
        <is>
          <t>Hamidi</t>
        </is>
      </c>
      <c r="E16226" t="n">
        <v>14.43</v>
      </c>
      <c r="F16226" t="n">
        <v>1</v>
      </c>
      <c r="G16226" t="n">
        <v>32</v>
      </c>
      <c r="H16226" s="5">
        <f>HYPERLINK("https://api.qogita.com/variants/link/6294015164602/", "View Product")</f>
        <v/>
      </c>
    </row>
    <row r="16227">
      <c r="A16227" t="inlineStr">
        <is>
          <t>6294015164671</t>
        </is>
      </c>
      <c r="B16227" t="inlineStr">
        <is>
          <t>Hamidi Majestic Sublime Incense Eau De Parfum 85ml Unisex</t>
        </is>
      </c>
      <c r="C16227" t="inlineStr">
        <is>
          <t>Eau De Parfum</t>
        </is>
      </c>
      <c r="D16227" t="inlineStr">
        <is>
          <t>Hamidi</t>
        </is>
      </c>
      <c r="E16227" t="n">
        <v>16.54</v>
      </c>
      <c r="F16227" t="n">
        <v>1</v>
      </c>
      <c r="G16227" t="n">
        <v>39</v>
      </c>
      <c r="H16227" s="5">
        <f>HYPERLINK("https://api.qogita.com/variants/link/6294015164671/", "View Product")</f>
        <v/>
      </c>
    </row>
    <row r="16228">
      <c r="A16228" t="inlineStr">
        <is>
          <t>6294015165029</t>
        </is>
      </c>
      <c r="B16228" t="inlineStr">
        <is>
          <t>Armaf Club De Nuit Private Key To My Love Extrait De Parfum 100ml</t>
        </is>
      </c>
      <c r="C16228" t="inlineStr">
        <is>
          <t>Extrait De Parfum</t>
        </is>
      </c>
      <c r="D16228" t="inlineStr">
        <is>
          <t>Armaf</t>
        </is>
      </c>
      <c r="E16228" t="n">
        <v>30.98</v>
      </c>
      <c r="F16228" t="n">
        <v>1</v>
      </c>
      <c r="G16228" t="n">
        <v>31</v>
      </c>
      <c r="H16228" s="5">
        <f>HYPERLINK("https://api.qogita.com/variants/link/6294015165029/", "View Product")</f>
        <v/>
      </c>
    </row>
    <row r="16229">
      <c r="A16229" t="inlineStr">
        <is>
          <t>6294015165135</t>
        </is>
      </c>
      <c r="B16229" t="inlineStr">
        <is>
          <t>Armaf Beau Star Eau De Parfum</t>
        </is>
      </c>
      <c r="C16229" t="inlineStr">
        <is>
          <t>Eau De Parfum</t>
        </is>
      </c>
      <c r="D16229" t="inlineStr">
        <is>
          <t>Armaf</t>
        </is>
      </c>
      <c r="E16229" t="n">
        <v>18.38</v>
      </c>
      <c r="F16229" t="n">
        <v>1</v>
      </c>
      <c r="G16229" t="n">
        <v>46</v>
      </c>
      <c r="H16229" s="5">
        <f>HYPERLINK("https://api.qogita.com/variants/link/6294015165135/", "View Product")</f>
        <v/>
      </c>
    </row>
    <row r="16230">
      <c r="A16230" t="inlineStr">
        <is>
          <t>6294015165180</t>
        </is>
      </c>
      <c r="B16230" t="inlineStr">
        <is>
          <t>Pink Petal Eau de Parfum Volume 100 ml</t>
        </is>
      </c>
      <c r="C16230" t="inlineStr">
        <is>
          <t>Eau De Parfum</t>
        </is>
      </c>
      <c r="D16230" t="inlineStr">
        <is>
          <t>The Lab</t>
        </is>
      </c>
      <c r="E16230" t="n">
        <v>58.69</v>
      </c>
      <c r="F16230" t="n">
        <v>1</v>
      </c>
      <c r="G16230" t="n">
        <v>42</v>
      </c>
      <c r="H16230" s="5">
        <f>HYPERLINK("https://api.qogita.com/variants/link/6294015165180/", "View Product")</f>
        <v/>
      </c>
    </row>
    <row r="16231">
      <c r="A16231" t="inlineStr">
        <is>
          <t>6294015165388</t>
        </is>
      </c>
      <c r="B16231" t="inlineStr">
        <is>
          <t>Armaf Flame 100ml EDP Eau De Parfum For Women</t>
        </is>
      </c>
      <c r="C16231" t="inlineStr">
        <is>
          <t>Eau De Parfum</t>
        </is>
      </c>
      <c r="D16231" t="inlineStr">
        <is>
          <t>Armaf</t>
        </is>
      </c>
      <c r="E16231" t="n">
        <v>20.54</v>
      </c>
      <c r="F16231" t="n">
        <v>1</v>
      </c>
      <c r="G16231" t="n">
        <v>11</v>
      </c>
      <c r="H16231" s="5">
        <f>HYPERLINK("https://api.qogita.com/variants/link/6294015165388/", "View Product")</f>
        <v/>
      </c>
    </row>
    <row r="16232">
      <c r="A16232" t="inlineStr">
        <is>
          <t>6294015167610</t>
        </is>
      </c>
      <c r="B16232" t="inlineStr">
        <is>
          <t>Rehat Al Zahoor by Risala Unisex 3.4 Oz EDP Spray</t>
        </is>
      </c>
      <c r="C16232" t="inlineStr">
        <is>
          <t>Eau De Parfum</t>
        </is>
      </c>
      <c r="D16232" t="inlineStr">
        <is>
          <t>Risala</t>
        </is>
      </c>
      <c r="E16232" t="n">
        <v>11.82</v>
      </c>
      <c r="F16232" t="n">
        <v>1</v>
      </c>
      <c r="G16232" t="n">
        <v>43</v>
      </c>
      <c r="H16232" s="5">
        <f>HYPERLINK("https://api.qogita.com/variants/link/6294015167610/", "View Product")</f>
        <v/>
      </c>
    </row>
    <row r="16233">
      <c r="A16233" t="inlineStr">
        <is>
          <t>6294015168020</t>
        </is>
      </c>
      <c r="B16233" t="inlineStr">
        <is>
          <t>Armaf Odyssey Mandarin Sky Eau De Parfum 200ml</t>
        </is>
      </c>
      <c r="C16233" t="inlineStr">
        <is>
          <t>Eau De Parfum</t>
        </is>
      </c>
      <c r="D16233" t="inlineStr">
        <is>
          <t>Armaf</t>
        </is>
      </c>
      <c r="E16233" t="n">
        <v>30.94</v>
      </c>
      <c r="F16233" t="n">
        <v>1</v>
      </c>
      <c r="G16233" t="n">
        <v>146</v>
      </c>
      <c r="H16233" s="5">
        <f>HYPERLINK("https://api.qogita.com/variants/link/6294015168020/", "View Product")</f>
        <v/>
      </c>
    </row>
    <row r="16234">
      <c r="A16234" t="inlineStr">
        <is>
          <t>6294015168037</t>
        </is>
      </c>
      <c r="B16234" t="inlineStr">
        <is>
          <t>Armaf Odyssey Mega Limited Edition 6.8 Oz EDP For Men</t>
        </is>
      </c>
      <c r="C16234" t="inlineStr">
        <is>
          <t>Eau De Parfum</t>
        </is>
      </c>
      <c r="D16234" t="inlineStr">
        <is>
          <t>Armaf</t>
        </is>
      </c>
      <c r="E16234" t="n">
        <v>29.81</v>
      </c>
      <c r="F16234" t="n">
        <v>1</v>
      </c>
      <c r="G16234" t="n">
        <v>49</v>
      </c>
      <c r="H16234" s="5">
        <f>HYPERLINK("https://api.qogita.com/variants/link/6294015168037/", "View Product")</f>
        <v/>
      </c>
    </row>
    <row r="16235">
      <c r="A16235" t="inlineStr">
        <is>
          <t>6294015168105</t>
        </is>
      </c>
      <c r="B16235" t="inlineStr">
        <is>
          <t>Armaf Miss Armaf Catwalk Eau De Parfum Spray 100ml</t>
        </is>
      </c>
      <c r="C16235" t="inlineStr">
        <is>
          <t>Eau De Parfum</t>
        </is>
      </c>
      <c r="D16235" t="inlineStr">
        <is>
          <t>Armaf</t>
        </is>
      </c>
      <c r="E16235" t="n">
        <v>27.35</v>
      </c>
      <c r="F16235" t="n">
        <v>1</v>
      </c>
      <c r="G16235" t="n">
        <v>15</v>
      </c>
      <c r="H16235" s="5">
        <f>HYPERLINK("https://api.qogita.com/variants/link/6294015168105/", "View Product")</f>
        <v/>
      </c>
    </row>
    <row r="16236">
      <c r="A16236" t="inlineStr">
        <is>
          <t>6294015168129</t>
        </is>
      </c>
      <c r="B16236" t="inlineStr">
        <is>
          <t>Armaf Miss Chic Eau De Parfum Spray 100ml</t>
        </is>
      </c>
      <c r="C16236" t="inlineStr">
        <is>
          <t>Eau De Parfum</t>
        </is>
      </c>
      <c r="D16236" t="inlineStr">
        <is>
          <t>Armaf</t>
        </is>
      </c>
      <c r="E16236" t="n">
        <v>33.12</v>
      </c>
      <c r="F16236" t="n">
        <v>1</v>
      </c>
      <c r="G16236" t="n">
        <v>5</v>
      </c>
      <c r="H16236" s="5">
        <f>HYPERLINK("https://api.qogita.com/variants/link/6294015168129/", "View Product")</f>
        <v/>
      </c>
    </row>
    <row r="16237">
      <c r="A16237" t="inlineStr">
        <is>
          <t>6294015168174</t>
        </is>
      </c>
      <c r="B16237" t="inlineStr">
        <is>
          <t>Armaf Miss Grandeur Eau De Parfum Spray 100ml</t>
        </is>
      </c>
      <c r="C16237" t="inlineStr">
        <is>
          <t>Eau De Parfum</t>
        </is>
      </c>
      <c r="D16237" t="inlineStr">
        <is>
          <t>Armaf</t>
        </is>
      </c>
      <c r="E16237" t="n">
        <v>18.14</v>
      </c>
      <c r="F16237" t="n">
        <v>1</v>
      </c>
      <c r="G16237" t="n">
        <v>8</v>
      </c>
      <c r="H16237" s="5">
        <f>HYPERLINK("https://api.qogita.com/variants/link/6294015168174/", "View Product")</f>
        <v/>
      </c>
    </row>
    <row r="16238">
      <c r="A16238" t="inlineStr">
        <is>
          <t>6294015171112</t>
        </is>
      </c>
      <c r="B16238" t="inlineStr">
        <is>
          <t>Armaf Club De Nuit Milestone Eau De Parfum Spray 200ml</t>
        </is>
      </c>
      <c r="C16238" t="inlineStr">
        <is>
          <t>Eau De Parfum</t>
        </is>
      </c>
      <c r="D16238" t="inlineStr">
        <is>
          <t>Armaf</t>
        </is>
      </c>
      <c r="E16238" t="n">
        <v>39.69</v>
      </c>
      <c r="F16238" t="n">
        <v>1</v>
      </c>
      <c r="G16238" t="n">
        <v>4</v>
      </c>
      <c r="H16238" s="5">
        <f>HYPERLINK("https://api.qogita.com/variants/link/6294015171112/", "View Product")</f>
        <v/>
      </c>
    </row>
    <row r="16239">
      <c r="A16239" t="inlineStr">
        <is>
          <t>6294015175363</t>
        </is>
      </c>
      <c r="B16239" t="inlineStr">
        <is>
          <t>Armaf Club De Nuit Sillage Gift Set Eau De Parfum 30ml Body Spray 50ml Hair Mist 55ml Deodorant Stick 75g</t>
        </is>
      </c>
      <c r="C16239" t="inlineStr">
        <is>
          <t>Fragrance</t>
        </is>
      </c>
      <c r="D16239" t="inlineStr">
        <is>
          <t>Armaf</t>
        </is>
      </c>
      <c r="E16239" t="n">
        <v>43.28</v>
      </c>
      <c r="F16239" t="n">
        <v>1</v>
      </c>
      <c r="G16239" t="n">
        <v>4</v>
      </c>
      <c r="H16239" s="5">
        <f>HYPERLINK("https://api.qogita.com/variants/link/6294015175363/", "View Product")</f>
        <v/>
      </c>
    </row>
    <row r="16240">
      <c r="A16240" t="inlineStr">
        <is>
          <t>6294015175691</t>
        </is>
      </c>
      <c r="B16240" t="inlineStr">
        <is>
          <t>Armaf Club De Nuit Sillage Eau De Parfum Spray 10ml</t>
        </is>
      </c>
      <c r="C16240" t="inlineStr">
        <is>
          <t>Eau De Parfum</t>
        </is>
      </c>
      <c r="D16240" t="inlineStr">
        <is>
          <t>Armaf</t>
        </is>
      </c>
      <c r="E16240" t="n">
        <v>7.19</v>
      </c>
      <c r="F16240" t="n">
        <v>1</v>
      </c>
      <c r="G16240" t="n">
        <v>16</v>
      </c>
      <c r="H16240" s="5">
        <f>HYPERLINK("https://api.qogita.com/variants/link/6294015175691/", "View Product")</f>
        <v/>
      </c>
    </row>
    <row r="16241">
      <c r="A16241" t="inlineStr">
        <is>
          <t>6294015175813</t>
        </is>
      </c>
      <c r="B16241" t="inlineStr">
        <is>
          <t>Just Jack Homme Noir Eau De Parfum 100ml</t>
        </is>
      </c>
      <c r="C16241" t="inlineStr">
        <is>
          <t>Eau De Parfum</t>
        </is>
      </c>
      <c r="D16241" t="inlineStr">
        <is>
          <t>Just Jack</t>
        </is>
      </c>
      <c r="E16241" t="n">
        <v>14.64</v>
      </c>
      <c r="F16241" t="n">
        <v>1</v>
      </c>
      <c r="G16241" t="n">
        <v>12</v>
      </c>
      <c r="H16241" s="5">
        <f>HYPERLINK("https://api.qogita.com/variants/link/6294015175813/", "View Product")</f>
        <v/>
      </c>
    </row>
    <row r="16242">
      <c r="A16242" t="inlineStr">
        <is>
          <t>6294015175820</t>
        </is>
      </c>
      <c r="B16242" t="inlineStr">
        <is>
          <t>Just Jack Wild Orchid Eau De Parfum 100ml</t>
        </is>
      </c>
      <c r="C16242" t="inlineStr">
        <is>
          <t>Eau De Parfum</t>
        </is>
      </c>
      <c r="D16242" t="inlineStr">
        <is>
          <t>Just Jack</t>
        </is>
      </c>
      <c r="E16242" t="n">
        <v>14.64</v>
      </c>
      <c r="F16242" t="n">
        <v>1</v>
      </c>
      <c r="G16242" t="n">
        <v>2</v>
      </c>
      <c r="H16242" s="5">
        <f>HYPERLINK("https://api.qogita.com/variants/link/6294015175820/", "View Product")</f>
        <v/>
      </c>
    </row>
    <row r="16243">
      <c r="A16243" t="inlineStr">
        <is>
          <t>6294015175899</t>
        </is>
      </c>
      <c r="B16243" t="inlineStr">
        <is>
          <t>Just Jack Italian Leather Eau De Parfum 100ml</t>
        </is>
      </c>
      <c r="C16243" t="inlineStr">
        <is>
          <t>Eau De Parfum</t>
        </is>
      </c>
      <c r="D16243" t="inlineStr">
        <is>
          <t>Just Jack</t>
        </is>
      </c>
      <c r="E16243" t="n">
        <v>14.64</v>
      </c>
      <c r="F16243" t="n">
        <v>1</v>
      </c>
      <c r="G16243" t="n">
        <v>14</v>
      </c>
      <c r="H16243" s="5">
        <f>HYPERLINK("https://api.qogita.com/variants/link/6294015175899/", "View Product")</f>
        <v/>
      </c>
    </row>
    <row r="16244">
      <c r="A16244" t="inlineStr">
        <is>
          <t>6294015175967</t>
        </is>
      </c>
      <c r="B16244" t="inlineStr">
        <is>
          <t>Hamidi Maison Luxe Exotic Amber 110ml Eau De Parfum Unisex</t>
        </is>
      </c>
      <c r="C16244" t="inlineStr">
        <is>
          <t>Eau De Parfum</t>
        </is>
      </c>
      <c r="D16244" t="inlineStr">
        <is>
          <t>Hamidi</t>
        </is>
      </c>
      <c r="E16244" t="n">
        <v>17.24</v>
      </c>
      <c r="F16244" t="n">
        <v>1</v>
      </c>
      <c r="G16244" t="n">
        <v>28</v>
      </c>
      <c r="H16244" s="5">
        <f>HYPERLINK("https://api.qogita.com/variants/link/6294015175967/", "View Product")</f>
        <v/>
      </c>
    </row>
    <row r="16245">
      <c r="A16245" t="inlineStr">
        <is>
          <t>6294015176100</t>
        </is>
      </c>
      <c r="B16245" t="inlineStr">
        <is>
          <t>Armaf Oasis Eau De Parfum 100ml Unisex Fragrance</t>
        </is>
      </c>
      <c r="C16245" t="inlineStr">
        <is>
          <t>Eau De Parfum</t>
        </is>
      </c>
      <c r="D16245" t="inlineStr">
        <is>
          <t>Armaf</t>
        </is>
      </c>
      <c r="E16245" t="n">
        <v>25.87</v>
      </c>
      <c r="F16245" t="n">
        <v>1</v>
      </c>
      <c r="G16245" t="n">
        <v>25</v>
      </c>
      <c r="H16245" s="5">
        <f>HYPERLINK("https://api.qogita.com/variants/link/6294015176100/", "View Product")</f>
        <v/>
      </c>
    </row>
    <row r="16246">
      <c r="A16246" t="inlineStr">
        <is>
          <t>6294015176469</t>
        </is>
      </c>
      <c r="B16246" t="inlineStr">
        <is>
          <t>Armaf Beauté Parfaite Fix Compact Pressed Powder Ultra Fine Powder Blur Imperfections 6 Shades To Choose Mocha Tan</t>
        </is>
      </c>
      <c r="C16246" t="inlineStr">
        <is>
          <t>Powder</t>
        </is>
      </c>
      <c r="D16246" t="inlineStr">
        <is>
          <t>Armaf</t>
        </is>
      </c>
      <c r="E16246" t="n">
        <v>6.47</v>
      </c>
      <c r="F16246" t="n">
        <v>1</v>
      </c>
      <c r="G16246" t="n">
        <v>4</v>
      </c>
      <c r="H16246" s="5">
        <f>HYPERLINK("https://api.qogita.com/variants/link/6294015176469/", "View Product")</f>
        <v/>
      </c>
    </row>
    <row r="16247">
      <c r="A16247" t="inlineStr">
        <is>
          <t>6294015176575</t>
        </is>
      </c>
      <c r="B16247" t="inlineStr">
        <is>
          <t>Armaf Beauty Beaute Parfaite Fix Liquid Foundation 27ml 08 Tan</t>
        </is>
      </c>
      <c r="C16247" t="inlineStr">
        <is>
          <t>Foundation</t>
        </is>
      </c>
      <c r="D16247" t="inlineStr">
        <is>
          <t>Armaf Beauty</t>
        </is>
      </c>
      <c r="E16247" t="n">
        <v>7.75</v>
      </c>
      <c r="F16247" t="n">
        <v>1</v>
      </c>
      <c r="G16247" t="n">
        <v>4</v>
      </c>
      <c r="H16247" s="5">
        <f>HYPERLINK("https://api.qogita.com/variants/link/6294015176575/", "View Product")</f>
        <v/>
      </c>
    </row>
    <row r="16248">
      <c r="A16248" t="inlineStr">
        <is>
          <t>6294015176797</t>
        </is>
      </c>
      <c r="B16248" t="inlineStr">
        <is>
          <t>Armaf Beauty Beaute True Matte Transferproof Liquid Lipstick 4ml 03 Le Parfait</t>
        </is>
      </c>
      <c r="C16248" t="inlineStr">
        <is>
          <t>Lipstick</t>
        </is>
      </c>
      <c r="D16248" t="inlineStr">
        <is>
          <t>Armaf Beauty</t>
        </is>
      </c>
      <c r="E16248" t="n">
        <v>6.68</v>
      </c>
      <c r="F16248" t="n">
        <v>1</v>
      </c>
      <c r="G16248" t="n">
        <v>10</v>
      </c>
      <c r="H16248" s="5">
        <f>HYPERLINK("https://api.qogita.com/variants/link/6294015176797/", "View Product")</f>
        <v/>
      </c>
    </row>
    <row r="16249">
      <c r="A16249" t="inlineStr">
        <is>
          <t>6294015176865</t>
        </is>
      </c>
      <c r="B16249" t="inlineStr">
        <is>
          <t>Armaf True Matte Transferproof Liquid Lipstick La Rosa 10 4 Ml</t>
        </is>
      </c>
      <c r="C16249" t="inlineStr">
        <is>
          <t>Lipstick</t>
        </is>
      </c>
      <c r="D16249" t="inlineStr">
        <is>
          <t>Armaf</t>
        </is>
      </c>
      <c r="E16249" t="n">
        <v>6.68</v>
      </c>
      <c r="F16249" t="n">
        <v>1</v>
      </c>
      <c r="G16249" t="n">
        <v>5</v>
      </c>
      <c r="H16249" s="5">
        <f>HYPERLINK("https://api.qogita.com/variants/link/6294015176865/", "View Product")</f>
        <v/>
      </c>
    </row>
    <row r="16250">
      <c r="A16250" t="inlineStr">
        <is>
          <t>6294015176971</t>
        </is>
      </c>
      <c r="B16250" t="inlineStr">
        <is>
          <t>Armaf Beauty Velvet Matte Lipstick - 03 Madeleine</t>
        </is>
      </c>
      <c r="C16250" t="inlineStr">
        <is>
          <t>Lipstick</t>
        </is>
      </c>
      <c r="D16250" t="inlineStr">
        <is>
          <t>Armaf Beauty</t>
        </is>
      </c>
      <c r="E16250" t="n">
        <v>5.92</v>
      </c>
      <c r="F16250" t="n">
        <v>1</v>
      </c>
      <c r="G16250" t="n">
        <v>5</v>
      </c>
      <c r="H16250" s="5">
        <f>HYPERLINK("https://api.qogita.com/variants/link/6294015176971/", "View Product")</f>
        <v/>
      </c>
    </row>
    <row r="16251">
      <c r="A16251" t="inlineStr">
        <is>
          <t>6294015176995</t>
        </is>
      </c>
      <c r="B16251" t="inlineStr">
        <is>
          <t>Armaf Beauty Velvet Matte Lipstick - 05 Giselle</t>
        </is>
      </c>
      <c r="C16251" t="inlineStr">
        <is>
          <t>Lipstick</t>
        </is>
      </c>
      <c r="D16251" t="inlineStr">
        <is>
          <t>Armaf Beauty</t>
        </is>
      </c>
      <c r="E16251" t="n">
        <v>5.92</v>
      </c>
      <c r="F16251" t="n">
        <v>1</v>
      </c>
      <c r="G16251" t="n">
        <v>9</v>
      </c>
      <c r="H16251" s="5">
        <f>HYPERLINK("https://api.qogita.com/variants/link/6294015176995/", "View Product")</f>
        <v/>
      </c>
    </row>
    <row r="16252">
      <c r="A16252" t="inlineStr">
        <is>
          <t>6294015177046</t>
        </is>
      </c>
      <c r="B16252" t="inlineStr">
        <is>
          <t>Armaf Beauty Velvet Matte Lipstick - 10 Chloe</t>
        </is>
      </c>
      <c r="C16252" t="inlineStr">
        <is>
          <t>Lipstick</t>
        </is>
      </c>
      <c r="D16252" t="inlineStr">
        <is>
          <t>Armaf Beauty</t>
        </is>
      </c>
      <c r="E16252" t="n">
        <v>5.92</v>
      </c>
      <c r="F16252" t="n">
        <v>1</v>
      </c>
      <c r="G16252" t="n">
        <v>2</v>
      </c>
      <c r="H16252" s="5">
        <f>HYPERLINK("https://api.qogita.com/variants/link/6294015177046/", "View Product")</f>
        <v/>
      </c>
    </row>
    <row r="16253">
      <c r="A16253" t="inlineStr">
        <is>
          <t>6294015177176</t>
        </is>
      </c>
      <c r="B16253" t="inlineStr">
        <is>
          <t>Armaf Beauty Enchanting Brow Fiber Eyebrow Gel - 01 Ebony</t>
        </is>
      </c>
      <c r="C16253" t="inlineStr">
        <is>
          <t>Eyebrow Gel</t>
        </is>
      </c>
      <c r="D16253" t="inlineStr">
        <is>
          <t>Armaf Beauty</t>
        </is>
      </c>
      <c r="E16253" t="n">
        <v>5.92</v>
      </c>
      <c r="F16253" t="n">
        <v>1</v>
      </c>
      <c r="G16253" t="n">
        <v>8</v>
      </c>
      <c r="H16253" s="5">
        <f>HYPERLINK("https://api.qogita.com/variants/link/6294015177176/", "View Product")</f>
        <v/>
      </c>
    </row>
    <row r="16254">
      <c r="A16254" t="inlineStr">
        <is>
          <t>6294015177350</t>
        </is>
      </c>
      <c r="B16254" t="inlineStr">
        <is>
          <t>Armaf Beauty Enchanting Brow Eyebrow Pencil - 02 Brown</t>
        </is>
      </c>
      <c r="C16254" t="inlineStr">
        <is>
          <t>Eyebrow Pencil</t>
        </is>
      </c>
      <c r="D16254" t="inlineStr">
        <is>
          <t>Armaf Beauty</t>
        </is>
      </c>
      <c r="E16254" t="n">
        <v>6.23</v>
      </c>
      <c r="F16254" t="n">
        <v>1</v>
      </c>
      <c r="G16254" t="n">
        <v>5</v>
      </c>
      <c r="H16254" s="5">
        <f>HYPERLINK("https://api.qogita.com/variants/link/6294015177350/", "View Product")</f>
        <v/>
      </c>
    </row>
    <row r="16255">
      <c r="A16255" t="inlineStr">
        <is>
          <t>6294015177381</t>
        </is>
      </c>
      <c r="B16255" t="inlineStr">
        <is>
          <t>Armaf Beauty Armaf Beaute Glide It Eyeliner - 02 Snow</t>
        </is>
      </c>
      <c r="C16255" t="inlineStr">
        <is>
          <t>Eyeliner</t>
        </is>
      </c>
      <c r="D16255" t="inlineStr">
        <is>
          <t>Armaf Beauty</t>
        </is>
      </c>
      <c r="E16255" t="n">
        <v>5.47</v>
      </c>
      <c r="F16255" t="n">
        <v>1</v>
      </c>
      <c r="G16255" t="n">
        <v>10</v>
      </c>
      <c r="H16255" s="5">
        <f>HYPERLINK("https://api.qogita.com/variants/link/6294015177381/", "View Product")</f>
        <v/>
      </c>
    </row>
    <row r="16256">
      <c r="A16256" t="inlineStr">
        <is>
          <t>6294015177398</t>
        </is>
      </c>
      <c r="B16256" t="inlineStr">
        <is>
          <t>Armaf Beauty Armaf Beaute Tint It Up Lip &amp; Cheek Tint - 01 Rose</t>
        </is>
      </c>
      <c r="C16256" t="inlineStr">
        <is>
          <t>Lipstick</t>
        </is>
      </c>
      <c r="D16256" t="inlineStr">
        <is>
          <t>Armaf Beauty</t>
        </is>
      </c>
      <c r="E16256" t="n">
        <v>5.92</v>
      </c>
      <c r="F16256" t="n">
        <v>1</v>
      </c>
      <c r="G16256" t="n">
        <v>5</v>
      </c>
      <c r="H16256" s="5">
        <f>HYPERLINK("https://api.qogita.com/variants/link/6294015177398/", "View Product")</f>
        <v/>
      </c>
    </row>
    <row r="16257">
      <c r="A16257" t="inlineStr">
        <is>
          <t>6294015177473</t>
        </is>
      </c>
      <c r="B16257" t="inlineStr">
        <is>
          <t>Armaf Beauté Glimmer Jelly Highlighter Makeup Highlighter Natural Radiance One Stroke Glow Vanilla Petra</t>
        </is>
      </c>
      <c r="C16257" t="inlineStr">
        <is>
          <t>Highlighter</t>
        </is>
      </c>
      <c r="D16257" t="inlineStr">
        <is>
          <t>Armaf</t>
        </is>
      </c>
      <c r="E16257" t="n">
        <v>6.47</v>
      </c>
      <c r="F16257" t="n">
        <v>1</v>
      </c>
      <c r="G16257" t="n">
        <v>9</v>
      </c>
      <c r="H16257" s="5">
        <f>HYPERLINK("https://api.qogita.com/variants/link/6294015177473/", "View Product")</f>
        <v/>
      </c>
    </row>
    <row r="16258">
      <c r="A16258" t="inlineStr">
        <is>
          <t>6294015177497</t>
        </is>
      </c>
      <c r="B16258" t="inlineStr">
        <is>
          <t>Armaf Beauty Armaf Beaute Parfaite Fix Skin Tint Fair - 30ml</t>
        </is>
      </c>
      <c r="C16258" t="inlineStr">
        <is>
          <t>Tinted Day Cream</t>
        </is>
      </c>
      <c r="D16258" t="inlineStr">
        <is>
          <t>Armaf Beauty</t>
        </is>
      </c>
      <c r="E16258" t="n">
        <v>6.99</v>
      </c>
      <c r="F16258" t="n">
        <v>1</v>
      </c>
      <c r="G16258" t="n">
        <v>10</v>
      </c>
      <c r="H16258" s="5">
        <f>HYPERLINK("https://api.qogita.com/variants/link/6294015177497/", "View Product")</f>
        <v/>
      </c>
    </row>
    <row r="16259">
      <c r="A16259" t="inlineStr">
        <is>
          <t>6294015177510</t>
        </is>
      </c>
      <c r="B16259" t="inlineStr">
        <is>
          <t>Armaf Beauty Armaf Beaute Parfaite Fix Skin Tint Beige - 30ml</t>
        </is>
      </c>
      <c r="C16259" t="inlineStr">
        <is>
          <t>Foundation</t>
        </is>
      </c>
      <c r="D16259" t="inlineStr">
        <is>
          <t>Armaf Beauty</t>
        </is>
      </c>
      <c r="E16259" t="n">
        <v>6.99</v>
      </c>
      <c r="F16259" t="n">
        <v>1</v>
      </c>
      <c r="G16259" t="n">
        <v>10</v>
      </c>
      <c r="H16259" s="5">
        <f>HYPERLINK("https://api.qogita.com/variants/link/6294015177510/", "View Product")</f>
        <v/>
      </c>
    </row>
    <row r="16260">
      <c r="A16260" t="inlineStr">
        <is>
          <t>6294015178357</t>
        </is>
      </c>
      <c r="B16260" t="inlineStr">
        <is>
          <t>Hamidi Sundown 105ml Eau De Parfum</t>
        </is>
      </c>
      <c r="C16260" t="inlineStr">
        <is>
          <t>Eau De Parfum</t>
        </is>
      </c>
      <c r="D16260" t="inlineStr">
        <is>
          <t>Hamidi</t>
        </is>
      </c>
      <c r="E16260" t="n">
        <v>9.82</v>
      </c>
      <c r="F16260" t="n">
        <v>1</v>
      </c>
      <c r="G16260" t="n">
        <v>43</v>
      </c>
      <c r="H16260" s="5">
        <f>HYPERLINK("https://api.qogita.com/variants/link/6294015178357/", "View Product")</f>
        <v/>
      </c>
    </row>
    <row r="16261">
      <c r="A16261" t="inlineStr">
        <is>
          <t>6294015178951</t>
        </is>
      </c>
      <c r="B16261" t="inlineStr">
        <is>
          <t>Hamidi The Dome Collections Reichstag Eau De Parfum Spray 100ml</t>
        </is>
      </c>
      <c r="C16261" t="inlineStr">
        <is>
          <t>Eau De Parfum</t>
        </is>
      </c>
      <c r="D16261" t="inlineStr">
        <is>
          <t>Hamidi</t>
        </is>
      </c>
      <c r="E16261" t="n">
        <v>15.14</v>
      </c>
      <c r="F16261" t="n">
        <v>1</v>
      </c>
      <c r="G16261" t="n">
        <v>8</v>
      </c>
      <c r="H16261" s="5">
        <f>HYPERLINK("https://api.qogita.com/variants/link/6294015178951/", "View Product")</f>
        <v/>
      </c>
    </row>
    <row r="16262">
      <c r="A16262" t="inlineStr">
        <is>
          <t>6294015180251</t>
        </is>
      </c>
      <c r="B16262" t="inlineStr">
        <is>
          <t>Armaf Club De Nuit Oud Limited Edition Parfum Spray 105ml</t>
        </is>
      </c>
      <c r="C16262" t="inlineStr">
        <is>
          <t>Eau De Parfum</t>
        </is>
      </c>
      <c r="D16262" t="inlineStr">
        <is>
          <t>Armaf</t>
        </is>
      </c>
      <c r="E16262" t="n">
        <v>41.73</v>
      </c>
      <c r="F16262" t="n">
        <v>1</v>
      </c>
      <c r="G16262" t="n">
        <v>811</v>
      </c>
      <c r="H16262" s="5">
        <f>HYPERLINK("https://api.qogita.com/variants/link/6294015180251/", "View Product")</f>
        <v/>
      </c>
    </row>
    <row r="16263">
      <c r="A16263" t="inlineStr">
        <is>
          <t>6294015180992</t>
        </is>
      </c>
      <c r="B16263" t="inlineStr">
        <is>
          <t>Armaf The Pride Of Armaf Admiral Eau De Parfum Spray 100ml</t>
        </is>
      </c>
      <c r="C16263" t="inlineStr">
        <is>
          <t>Eau De Parfum</t>
        </is>
      </c>
      <c r="D16263" t="inlineStr">
        <is>
          <t>Armaf</t>
        </is>
      </c>
      <c r="E16263" t="n">
        <v>24.9</v>
      </c>
      <c r="F16263" t="n">
        <v>1</v>
      </c>
      <c r="G16263" t="n">
        <v>167</v>
      </c>
      <c r="H16263" s="5">
        <f>HYPERLINK("https://api.qogita.com/variants/link/6294015180992/", "View Product")</f>
        <v/>
      </c>
    </row>
    <row r="16264">
      <c r="A16264" t="inlineStr">
        <is>
          <t>6294015181357</t>
        </is>
      </c>
      <c r="B16264" t="inlineStr">
        <is>
          <t>Armaf The Lion's Club Monarque Eau De Parfum 100ml</t>
        </is>
      </c>
      <c r="C16264" t="inlineStr">
        <is>
          <t>Eau De Parfum</t>
        </is>
      </c>
      <c r="D16264" t="inlineStr">
        <is>
          <t>Armaf</t>
        </is>
      </c>
      <c r="E16264" t="n">
        <v>30.5</v>
      </c>
      <c r="F16264" t="n">
        <v>1</v>
      </c>
      <c r="G16264" t="n">
        <v>8</v>
      </c>
      <c r="H16264" s="5">
        <f>HYPERLINK("https://api.qogita.com/variants/link/6294015181357/", "View Product")</f>
        <v/>
      </c>
    </row>
    <row r="16265">
      <c r="A16265" t="inlineStr">
        <is>
          <t>6294015182057</t>
        </is>
      </c>
      <c r="B16265" t="inlineStr">
        <is>
          <t>Hamidi Rouge 110ml Eau De Parfum</t>
        </is>
      </c>
      <c r="C16265" t="inlineStr">
        <is>
          <t>Eau De Parfum</t>
        </is>
      </c>
      <c r="D16265" t="inlineStr">
        <is>
          <t>Hamidi</t>
        </is>
      </c>
      <c r="E16265" t="n">
        <v>9.82</v>
      </c>
      <c r="F16265" t="n">
        <v>1</v>
      </c>
      <c r="G16265" t="n">
        <v>42</v>
      </c>
      <c r="H16265" s="5">
        <f>HYPERLINK("https://api.qogita.com/variants/link/6294015182057/", "View Product")</f>
        <v/>
      </c>
    </row>
    <row r="16266">
      <c r="A16266" t="inlineStr">
        <is>
          <t>6294015182163</t>
        </is>
      </c>
      <c r="B16266" t="inlineStr">
        <is>
          <t>Hamidi My Direction 100ml Eau De Parfum</t>
        </is>
      </c>
      <c r="C16266" t="inlineStr">
        <is>
          <t>Eau De Parfum</t>
        </is>
      </c>
      <c r="D16266" t="inlineStr">
        <is>
          <t>Hamidi</t>
        </is>
      </c>
      <c r="E16266" t="n">
        <v>9.82</v>
      </c>
      <c r="F16266" t="n">
        <v>1</v>
      </c>
      <c r="G16266" t="n">
        <v>43</v>
      </c>
      <c r="H16266" s="5">
        <f>HYPERLINK("https://api.qogita.com/variants/link/6294015182163/", "View Product")</f>
        <v/>
      </c>
    </row>
    <row r="16267">
      <c r="A16267" t="inlineStr">
        <is>
          <t>6294015182187</t>
        </is>
      </c>
      <c r="B16267" t="inlineStr">
        <is>
          <t>Hamidi Oud Nakshi 100ml Eau De Parfum</t>
        </is>
      </c>
      <c r="C16267" t="inlineStr">
        <is>
          <t>Eau De Parfum</t>
        </is>
      </c>
      <c r="D16267" t="inlineStr">
        <is>
          <t>Hamidi</t>
        </is>
      </c>
      <c r="E16267" t="n">
        <v>9.82</v>
      </c>
      <c r="F16267" t="n">
        <v>1</v>
      </c>
      <c r="G16267" t="n">
        <v>43</v>
      </c>
      <c r="H16267" s="5">
        <f>HYPERLINK("https://api.qogita.com/variants/link/6294015182187/", "View Product")</f>
        <v/>
      </c>
    </row>
    <row r="16268">
      <c r="A16268" t="inlineStr">
        <is>
          <t>6294015182293</t>
        </is>
      </c>
      <c r="B16268" t="inlineStr">
        <is>
          <t>Hamidi Dimash 80ml Eau De Parfum</t>
        </is>
      </c>
      <c r="C16268" t="inlineStr">
        <is>
          <t>Eau De Parfum</t>
        </is>
      </c>
      <c r="D16268" t="inlineStr">
        <is>
          <t>Hamidi</t>
        </is>
      </c>
      <c r="E16268" t="n">
        <v>9.82</v>
      </c>
      <c r="F16268" t="n">
        <v>1</v>
      </c>
      <c r="G16268" t="n">
        <v>43</v>
      </c>
      <c r="H16268" s="5">
        <f>HYPERLINK("https://api.qogita.com/variants/link/6294015182293/", "View Product")</f>
        <v/>
      </c>
    </row>
    <row r="16269">
      <c r="A16269" t="inlineStr">
        <is>
          <t>6294015182309</t>
        </is>
      </c>
      <c r="B16269" t="inlineStr">
        <is>
          <t>Hamidi Onyx Aoud 80ml Eau De Parfum</t>
        </is>
      </c>
      <c r="C16269" t="inlineStr">
        <is>
          <t>Eau De Parfum</t>
        </is>
      </c>
      <c r="D16269" t="inlineStr">
        <is>
          <t>Hamidi</t>
        </is>
      </c>
      <c r="E16269" t="n">
        <v>9.82</v>
      </c>
      <c r="F16269" t="n">
        <v>1</v>
      </c>
      <c r="G16269" t="n">
        <v>43</v>
      </c>
      <c r="H16269" s="5">
        <f>HYPERLINK("https://api.qogita.com/variants/link/6294015182309/", "View Product")</f>
        <v/>
      </c>
    </row>
    <row r="16270">
      <c r="A16270" t="inlineStr">
        <is>
          <t>6294015182330</t>
        </is>
      </c>
      <c r="B16270" t="inlineStr">
        <is>
          <t>Hamidi Glam Rock Eau De Parfum 100ml</t>
        </is>
      </c>
      <c r="C16270" t="inlineStr">
        <is>
          <t>Eau De Parfum</t>
        </is>
      </c>
      <c r="D16270" t="inlineStr">
        <is>
          <t>Hamidi</t>
        </is>
      </c>
      <c r="E16270" t="n">
        <v>9.82</v>
      </c>
      <c r="F16270" t="n">
        <v>1</v>
      </c>
      <c r="G16270" t="n">
        <v>43</v>
      </c>
      <c r="H16270" s="5">
        <f>HYPERLINK("https://api.qogita.com/variants/link/6294015182330/", "View Product")</f>
        <v/>
      </c>
    </row>
    <row r="16271">
      <c r="A16271" t="inlineStr">
        <is>
          <t>6294015182521</t>
        </is>
      </c>
      <c r="B16271" t="inlineStr">
        <is>
          <t>Hamidi Addicted Red Devine Eau De Parfum 120 Ml</t>
        </is>
      </c>
      <c r="C16271" t="inlineStr">
        <is>
          <t>Eau De Parfum</t>
        </is>
      </c>
      <c r="D16271" t="inlineStr">
        <is>
          <t>Hamidi</t>
        </is>
      </c>
      <c r="E16271" t="n">
        <v>21.47</v>
      </c>
      <c r="F16271" t="n">
        <v>1</v>
      </c>
      <c r="G16271" t="n">
        <v>36</v>
      </c>
      <c r="H16271" s="5">
        <f>HYPERLINK("https://api.qogita.com/variants/link/6294015182521/", "View Product")</f>
        <v/>
      </c>
    </row>
    <row r="16272">
      <c r="A16272" t="inlineStr">
        <is>
          <t>6294015182538</t>
        </is>
      </c>
      <c r="B16272" t="inlineStr">
        <is>
          <t>Hamidi Addicted Enigma Parfum Spray 120ml</t>
        </is>
      </c>
      <c r="C16272" t="inlineStr">
        <is>
          <t>Eau De Parfum</t>
        </is>
      </c>
      <c r="D16272" t="inlineStr">
        <is>
          <t>Hamidi</t>
        </is>
      </c>
      <c r="E16272" t="n">
        <v>21.47</v>
      </c>
      <c r="F16272" t="n">
        <v>1</v>
      </c>
      <c r="G16272" t="n">
        <v>31</v>
      </c>
      <c r="H16272" s="5">
        <f>HYPERLINK("https://api.qogita.com/variants/link/6294015182538/", "View Product")</f>
        <v/>
      </c>
    </row>
    <row r="16273">
      <c r="A16273" t="inlineStr">
        <is>
          <t>6294015183627</t>
        </is>
      </c>
      <c r="B16273" t="inlineStr">
        <is>
          <t>Armaf Infinity Gold Eau De Parfum 105ml By Armaf</t>
        </is>
      </c>
      <c r="C16273" t="inlineStr">
        <is>
          <t>Eau De Parfum</t>
        </is>
      </c>
      <c r="D16273" t="inlineStr">
        <is>
          <t>Armaf</t>
        </is>
      </c>
      <c r="E16273" t="n">
        <v>27.64</v>
      </c>
      <c r="F16273" t="n">
        <v>1</v>
      </c>
      <c r="G16273" t="n">
        <v>94</v>
      </c>
      <c r="H16273" s="5">
        <f>HYPERLINK("https://api.qogita.com/variants/link/6294015183627/", "View Product")</f>
        <v/>
      </c>
    </row>
    <row r="16274">
      <c r="A16274" t="inlineStr">
        <is>
          <t>6294015184211</t>
        </is>
      </c>
      <c r="B16274" t="inlineStr">
        <is>
          <t>Unique Blend by Risala Unisex 3.4 Oz EDP Spray</t>
        </is>
      </c>
      <c r="C16274" t="inlineStr">
        <is>
          <t>Eau De Parfum</t>
        </is>
      </c>
      <c r="D16274" t="inlineStr">
        <is>
          <t>Risala</t>
        </is>
      </c>
      <c r="E16274" t="n">
        <v>13.28</v>
      </c>
      <c r="F16274" t="n">
        <v>1</v>
      </c>
      <c r="G16274" t="n">
        <v>38</v>
      </c>
      <c r="H16274" s="5">
        <f>HYPERLINK("https://api.qogita.com/variants/link/6294015184211/", "View Product")</f>
        <v/>
      </c>
    </row>
    <row r="16275">
      <c r="A16275" t="inlineStr">
        <is>
          <t>6294015185065</t>
        </is>
      </c>
      <c r="B16275" t="inlineStr">
        <is>
          <t>Jockey By Risala Unisex 3.4 Oz EDP Spray</t>
        </is>
      </c>
      <c r="C16275" t="inlineStr">
        <is>
          <t>Eau De Parfum</t>
        </is>
      </c>
      <c r="D16275" t="inlineStr">
        <is>
          <t>Risala</t>
        </is>
      </c>
      <c r="E16275" t="n">
        <v>13.28</v>
      </c>
      <c r="F16275" t="n">
        <v>1</v>
      </c>
      <c r="G16275" t="n">
        <v>41</v>
      </c>
      <c r="H16275" s="5">
        <f>HYPERLINK("https://api.qogita.com/variants/link/6294015185065/", "View Product")</f>
        <v/>
      </c>
    </row>
    <row r="16276">
      <c r="A16276" t="inlineStr">
        <is>
          <t>6294015185089</t>
        </is>
      </c>
      <c r="B16276" t="inlineStr">
        <is>
          <t>Hope By Risala For Men 3.4 Oz EDP Spray</t>
        </is>
      </c>
      <c r="C16276" t="inlineStr">
        <is>
          <t>Eau De Parfum</t>
        </is>
      </c>
      <c r="D16276" t="inlineStr">
        <is>
          <t>Risala</t>
        </is>
      </c>
      <c r="E16276" t="n">
        <v>13.28</v>
      </c>
      <c r="F16276" t="n">
        <v>1</v>
      </c>
      <c r="G16276" t="n">
        <v>36</v>
      </c>
      <c r="H16276" s="5">
        <f>HYPERLINK("https://api.qogita.com/variants/link/6294015185089/", "View Product")</f>
        <v/>
      </c>
    </row>
    <row r="16277">
      <c r="A16277" t="inlineStr">
        <is>
          <t>6294015188134</t>
        </is>
      </c>
      <c r="B16277" t="inlineStr">
        <is>
          <t>Armaf Check Mate - King Eau De Parfum 100ml By Armaf</t>
        </is>
      </c>
      <c r="C16277" t="inlineStr">
        <is>
          <t>Eau De Parfum</t>
        </is>
      </c>
      <c r="D16277" t="inlineStr">
        <is>
          <t>Armaf</t>
        </is>
      </c>
      <c r="E16277" t="n">
        <v>28.99</v>
      </c>
      <c r="F16277" t="n">
        <v>1</v>
      </c>
      <c r="G16277" t="n">
        <v>46</v>
      </c>
      <c r="H16277" s="5">
        <f>HYPERLINK("https://api.qogita.com/variants/link/6294015188134/", "View Product")</f>
        <v/>
      </c>
    </row>
    <row r="16278">
      <c r="A16278" t="inlineStr">
        <is>
          <t>6294015188639</t>
        </is>
      </c>
      <c r="B16278" t="inlineStr">
        <is>
          <t>Armaf Odyssey Limoni Eau De Parfum 100ml</t>
        </is>
      </c>
      <c r="C16278" t="inlineStr">
        <is>
          <t>Eau De Parfum</t>
        </is>
      </c>
      <c r="D16278" t="inlineStr">
        <is>
          <t>Armaf</t>
        </is>
      </c>
      <c r="E16278" t="n">
        <v>18.7</v>
      </c>
      <c r="F16278" t="n">
        <v>1</v>
      </c>
      <c r="G16278" t="n">
        <v>1308</v>
      </c>
      <c r="H16278" s="5">
        <f>HYPERLINK("https://api.qogita.com/variants/link/6294015188639/", "View Product")</f>
        <v/>
      </c>
    </row>
    <row r="16279">
      <c r="A16279" t="inlineStr">
        <is>
          <t>6294015189575</t>
        </is>
      </c>
      <c r="B16279" t="inlineStr">
        <is>
          <t>Armaf Odyssey Mandarin Sky Eau De Parfum 60ml</t>
        </is>
      </c>
      <c r="C16279" t="inlineStr">
        <is>
          <t>Eau De Parfum</t>
        </is>
      </c>
      <c r="D16279" t="inlineStr">
        <is>
          <t>Armaf</t>
        </is>
      </c>
      <c r="E16279" t="n">
        <v>35.46</v>
      </c>
      <c r="F16279" t="n">
        <v>1</v>
      </c>
      <c r="G16279" t="n">
        <v>82</v>
      </c>
      <c r="H16279" s="5">
        <f>HYPERLINK("https://api.qogita.com/variants/link/6294015189575/", "View Product")</f>
        <v/>
      </c>
    </row>
    <row r="16280">
      <c r="A16280" t="inlineStr">
        <is>
          <t>6294015189605</t>
        </is>
      </c>
      <c r="B16280" t="inlineStr">
        <is>
          <t>Armaf Odyssey Wild One Gold Edition Eau De Parfum 60ml</t>
        </is>
      </c>
      <c r="C16280" t="inlineStr">
        <is>
          <t>Eau De Parfum</t>
        </is>
      </c>
      <c r="D16280" t="inlineStr">
        <is>
          <t>Armaf</t>
        </is>
      </c>
      <c r="E16280" t="n">
        <v>14.27</v>
      </c>
      <c r="F16280" t="n">
        <v>1</v>
      </c>
      <c r="G16280" t="n">
        <v>20</v>
      </c>
      <c r="H16280" s="5">
        <f>HYPERLINK("https://api.qogita.com/variants/link/6294015189605/", "View Product")</f>
        <v/>
      </c>
    </row>
    <row r="16281">
      <c r="A16281" t="inlineStr">
        <is>
          <t>6294015189629</t>
        </is>
      </c>
      <c r="B16281" t="inlineStr">
        <is>
          <t>Armaf Odyssey Aoud Eau De Parfum 60ml By Armaf</t>
        </is>
      </c>
      <c r="C16281" t="inlineStr">
        <is>
          <t>Eau De Parfum</t>
        </is>
      </c>
      <c r="D16281" t="inlineStr">
        <is>
          <t>Armaf</t>
        </is>
      </c>
      <c r="E16281" t="n">
        <v>14.72</v>
      </c>
      <c r="F16281" t="n">
        <v>1</v>
      </c>
      <c r="G16281" t="n">
        <v>37</v>
      </c>
      <c r="H16281" s="5">
        <f>HYPERLINK("https://api.qogita.com/variants/link/6294015189629/", "View Product")</f>
        <v/>
      </c>
    </row>
    <row r="16282">
      <c r="A16282" t="inlineStr">
        <is>
          <t>6294015190595</t>
        </is>
      </c>
      <c r="B16282" t="inlineStr">
        <is>
          <t>Al Azeem By Risala For Men 3.7 Oz EDP Spray</t>
        </is>
      </c>
      <c r="C16282" t="inlineStr">
        <is>
          <t>Eau De Parfum</t>
        </is>
      </c>
      <c r="D16282" t="inlineStr">
        <is>
          <t>Risala</t>
        </is>
      </c>
      <c r="E16282" t="n">
        <v>12.6</v>
      </c>
      <c r="F16282" t="n">
        <v>1</v>
      </c>
      <c r="G16282" t="n">
        <v>41</v>
      </c>
      <c r="H16282" s="5">
        <f>HYPERLINK("https://api.qogita.com/variants/link/6294015190595/", "View Product")</f>
        <v/>
      </c>
    </row>
    <row r="16283">
      <c r="A16283" t="inlineStr">
        <is>
          <t>6294015190632</t>
        </is>
      </c>
      <c r="B16283" t="inlineStr">
        <is>
          <t>Surur By Risala Unisex 3.4 Oz EDP Spray</t>
        </is>
      </c>
      <c r="C16283" t="inlineStr">
        <is>
          <t>Eau De Parfum</t>
        </is>
      </c>
      <c r="D16283" t="inlineStr">
        <is>
          <t>Risala</t>
        </is>
      </c>
      <c r="E16283" t="n">
        <v>12.54</v>
      </c>
      <c r="F16283" t="n">
        <v>1</v>
      </c>
      <c r="G16283" t="n">
        <v>78</v>
      </c>
      <c r="H16283" s="5">
        <f>HYPERLINK("https://api.qogita.com/variants/link/6294015190632/", "View Product")</f>
        <v/>
      </c>
    </row>
    <row r="16284">
      <c r="A16284" t="inlineStr">
        <is>
          <t>6294015195408</t>
        </is>
      </c>
      <c r="B16284" t="inlineStr">
        <is>
          <t>Hamidi Parfum Addicted Absolutely Intense 120ml</t>
        </is>
      </c>
      <c r="C16284" t="inlineStr">
        <is>
          <t>Eau De Parfum</t>
        </is>
      </c>
      <c r="D16284" t="inlineStr">
        <is>
          <t>Hamidi</t>
        </is>
      </c>
      <c r="E16284" t="n">
        <v>19.58</v>
      </c>
      <c r="F16284" t="n">
        <v>1</v>
      </c>
      <c r="G16284" t="n">
        <v>55</v>
      </c>
      <c r="H16284" s="5">
        <f>HYPERLINK("https://api.qogita.com/variants/link/6294015195408/", "View Product")</f>
        <v/>
      </c>
    </row>
    <row r="16285">
      <c r="A16285" t="inlineStr">
        <is>
          <t>6294015196634</t>
        </is>
      </c>
      <c r="B16285" t="inlineStr">
        <is>
          <t>Risala A Ameer Eau De Parfum 100 Ml</t>
        </is>
      </c>
      <c r="C16285" t="inlineStr">
        <is>
          <t>Eau De Parfum</t>
        </is>
      </c>
      <c r="D16285" t="inlineStr">
        <is>
          <t>Risala</t>
        </is>
      </c>
      <c r="E16285" t="n">
        <v>13.94</v>
      </c>
      <c r="F16285" t="n">
        <v>1</v>
      </c>
      <c r="G16285" t="n">
        <v>36</v>
      </c>
      <c r="H16285" s="5">
        <f>HYPERLINK("https://api.qogita.com/variants/link/6294015196634/", "View Product")</f>
        <v/>
      </c>
    </row>
    <row r="16286">
      <c r="A16286" t="inlineStr">
        <is>
          <t>6294015196672</t>
        </is>
      </c>
      <c r="B16286" t="inlineStr">
        <is>
          <t>Risala Touq Gold Eau De Parfum 100 Ml</t>
        </is>
      </c>
      <c r="C16286" t="inlineStr">
        <is>
          <t>Eau De Parfum</t>
        </is>
      </c>
      <c r="D16286" t="inlineStr">
        <is>
          <t>Risala</t>
        </is>
      </c>
      <c r="E16286" t="n">
        <v>14.61</v>
      </c>
      <c r="F16286" t="n">
        <v>1</v>
      </c>
      <c r="G16286" t="n">
        <v>26</v>
      </c>
      <c r="H16286" s="5">
        <f>HYPERLINK("https://api.qogita.com/variants/link/6294015196672/", "View Product")</f>
        <v/>
      </c>
    </row>
    <row r="16287">
      <c r="A16287" t="inlineStr">
        <is>
          <t>6294015197686</t>
        </is>
      </c>
      <c r="B16287" t="inlineStr">
        <is>
          <t>Armaf Red Sky Eau De Parfum 105ml By Armaf</t>
        </is>
      </c>
      <c r="C16287" t="inlineStr">
        <is>
          <t>Eau De Parfum</t>
        </is>
      </c>
      <c r="D16287" t="inlineStr">
        <is>
          <t>Armaf</t>
        </is>
      </c>
      <c r="E16287" t="n">
        <v>18.65</v>
      </c>
      <c r="F16287" t="n">
        <v>1</v>
      </c>
      <c r="G16287" t="n">
        <v>31</v>
      </c>
      <c r="H16287" s="5">
        <f>HYPERLINK("https://api.qogita.com/variants/link/6294015197686/", "View Product")</f>
        <v/>
      </c>
    </row>
    <row r="16288">
      <c r="A16288" t="inlineStr">
        <is>
          <t>6294015197693</t>
        </is>
      </c>
      <c r="B16288" t="inlineStr">
        <is>
          <t>Armaf Blue Sky Eau De Parfum 105 Milliliters</t>
        </is>
      </c>
      <c r="C16288" t="inlineStr">
        <is>
          <t>Eau De Parfum</t>
        </is>
      </c>
      <c r="D16288" t="inlineStr">
        <is>
          <t>Armaf</t>
        </is>
      </c>
      <c r="E16288" t="n">
        <v>21.74</v>
      </c>
      <c r="F16288" t="n">
        <v>1</v>
      </c>
      <c r="G16288" t="n">
        <v>36</v>
      </c>
      <c r="H16288" s="5">
        <f>HYPERLINK("https://api.qogita.com/variants/link/6294015197693/", "View Product")</f>
        <v/>
      </c>
    </row>
    <row r="16289">
      <c r="A16289" t="inlineStr">
        <is>
          <t>6294015198102</t>
        </is>
      </c>
      <c r="B16289" t="inlineStr">
        <is>
          <t>Hamidi Kunouz Al Hub 100ml Eau De Parfum</t>
        </is>
      </c>
      <c r="C16289" t="inlineStr">
        <is>
          <t>Eau De Parfum</t>
        </is>
      </c>
      <c r="D16289" t="inlineStr">
        <is>
          <t>Hamidi</t>
        </is>
      </c>
      <c r="E16289" t="n">
        <v>18.34</v>
      </c>
      <c r="F16289" t="n">
        <v>1</v>
      </c>
      <c r="G16289" t="n">
        <v>37</v>
      </c>
      <c r="H16289" s="5">
        <f>HYPERLINK("https://api.qogita.com/variants/link/6294015198102/", "View Product")</f>
        <v/>
      </c>
    </row>
    <row r="16290">
      <c r="A16290" t="inlineStr">
        <is>
          <t>6294015199109</t>
        </is>
      </c>
      <c r="B16290" t="inlineStr">
        <is>
          <t>Hamidi Envy Gold 100ml Eau De Parfum</t>
        </is>
      </c>
      <c r="C16290" t="inlineStr">
        <is>
          <t>Eau De Parfum</t>
        </is>
      </c>
      <c r="D16290" t="inlineStr">
        <is>
          <t>Hamidi</t>
        </is>
      </c>
      <c r="E16290" t="n">
        <v>18.65</v>
      </c>
      <c r="F16290" t="n">
        <v>1</v>
      </c>
      <c r="G16290" t="n">
        <v>38</v>
      </c>
      <c r="H16290" s="5">
        <f>HYPERLINK("https://api.qogita.com/variants/link/6294015199109/", "View Product")</f>
        <v/>
      </c>
    </row>
    <row r="16291">
      <c r="A16291" t="inlineStr">
        <is>
          <t>6294015199116</t>
        </is>
      </c>
      <c r="B16291" t="inlineStr">
        <is>
          <t>Hamidi Envy Rose Gold Eau De Parfum 100ml</t>
        </is>
      </c>
      <c r="C16291" t="inlineStr">
        <is>
          <t>Eau De Parfum</t>
        </is>
      </c>
      <c r="D16291" t="inlineStr">
        <is>
          <t>Hamidi</t>
        </is>
      </c>
      <c r="E16291" t="n">
        <v>18.65</v>
      </c>
      <c r="F16291" t="n">
        <v>1</v>
      </c>
      <c r="G16291" t="n">
        <v>41</v>
      </c>
      <c r="H16291" s="5">
        <f>HYPERLINK("https://api.qogita.com/variants/link/6294015199116/", "View Product")</f>
        <v/>
      </c>
    </row>
    <row r="16292">
      <c r="A16292" t="inlineStr">
        <is>
          <t>6294015199352</t>
        </is>
      </c>
      <c r="B16292" t="inlineStr">
        <is>
          <t>Hamidi Qamar Al Lail 100ml Eau De Parfum</t>
        </is>
      </c>
      <c r="C16292" t="inlineStr">
        <is>
          <t>Eau De Parfum</t>
        </is>
      </c>
      <c r="D16292" t="inlineStr">
        <is>
          <t>Hamidi</t>
        </is>
      </c>
      <c r="E16292" t="n">
        <v>18.68</v>
      </c>
      <c r="F16292" t="n">
        <v>1</v>
      </c>
      <c r="G16292" t="n">
        <v>42</v>
      </c>
      <c r="H16292" s="5">
        <f>HYPERLINK("https://api.qogita.com/variants/link/6294015199352/", "View Product")</f>
        <v/>
      </c>
    </row>
    <row r="16293">
      <c r="A16293" t="inlineStr">
        <is>
          <t>6294018401100</t>
        </is>
      </c>
      <c r="B16293" t="inlineStr">
        <is>
          <t>Huda Beauty Glowish Sheer Concealer - 105 Ml</t>
        </is>
      </c>
      <c r="C16293" t="inlineStr">
        <is>
          <t>Concealer</t>
        </is>
      </c>
      <c r="D16293" t="inlineStr">
        <is>
          <t>Huda Beauty</t>
        </is>
      </c>
      <c r="E16293" t="n">
        <v>23.99</v>
      </c>
      <c r="F16293" t="n">
        <v>1</v>
      </c>
      <c r="G16293" t="n">
        <v>9</v>
      </c>
      <c r="H16293" s="5">
        <f>HYPERLINK("https://api.qogita.com/variants/link/6294018401100/", "View Product")</f>
        <v/>
      </c>
    </row>
    <row r="16294">
      <c r="A16294" t="inlineStr">
        <is>
          <t>6294018404347</t>
        </is>
      </c>
      <c r="B16294" t="inlineStr">
        <is>
          <t>Kayali Maui In A Bottle Sweet Banana Eau De Parfum 10ml Deluxe Mini</t>
        </is>
      </c>
      <c r="C16294" t="inlineStr">
        <is>
          <t>Eau De Parfum</t>
        </is>
      </c>
      <c r="D16294" t="inlineStr">
        <is>
          <t>Kayali</t>
        </is>
      </c>
      <c r="E16294" t="n">
        <v>126.31</v>
      </c>
      <c r="F16294" t="n">
        <v>1</v>
      </c>
      <c r="G16294" t="n">
        <v>3</v>
      </c>
      <c r="H16294" s="5">
        <f>HYPERLINK("https://api.qogita.com/variants/link/6294018404347/", "View Product")</f>
        <v/>
      </c>
    </row>
    <row r="16295">
      <c r="A16295" t="inlineStr">
        <is>
          <t>6294019015061</t>
        </is>
      </c>
      <c r="B16295" t="inlineStr">
        <is>
          <t>Senses Eau De Parfum For Her 90ml</t>
        </is>
      </c>
      <c r="C16295" t="inlineStr">
        <is>
          <t>Eau De Parfum</t>
        </is>
      </c>
      <c r="D16295" t="inlineStr">
        <is>
          <t>Mirada</t>
        </is>
      </c>
      <c r="E16295" t="n">
        <v>12.89</v>
      </c>
      <c r="F16295" t="n">
        <v>1</v>
      </c>
      <c r="G16295" t="n">
        <v>22</v>
      </c>
      <c r="H16295" s="5">
        <f>HYPERLINK("https://api.qogita.com/variants/link/6294019015061/", "View Product")</f>
        <v/>
      </c>
    </row>
    <row r="16296">
      <c r="A16296" t="inlineStr">
        <is>
          <t>6294019015085</t>
        </is>
      </c>
      <c r="B16296" t="inlineStr">
        <is>
          <t>Freedom Waves Eau de Parfum for Women 100ml</t>
        </is>
      </c>
      <c r="C16296" t="inlineStr">
        <is>
          <t>Eau De Parfum</t>
        </is>
      </c>
      <c r="D16296" t="inlineStr">
        <is>
          <t>Mirada</t>
        </is>
      </c>
      <c r="E16296" t="n">
        <v>12.89</v>
      </c>
      <c r="F16296" t="n">
        <v>1</v>
      </c>
      <c r="G16296" t="n">
        <v>20</v>
      </c>
      <c r="H16296" s="5">
        <f>HYPERLINK("https://api.qogita.com/variants/link/6294019015085/", "View Product")</f>
        <v/>
      </c>
    </row>
    <row r="16297">
      <c r="A16297" t="inlineStr">
        <is>
          <t>6294019015986</t>
        </is>
      </c>
      <c r="B16297" t="inlineStr">
        <is>
          <t>Edge Pink Crystal Eau de Parfum for Women 3.4 fl oz 100ml</t>
        </is>
      </c>
      <c r="C16297" t="inlineStr">
        <is>
          <t>Eau De Parfum</t>
        </is>
      </c>
      <c r="D16297" t="inlineStr">
        <is>
          <t>Mirada</t>
        </is>
      </c>
      <c r="E16297" t="n">
        <v>12.89</v>
      </c>
      <c r="F16297" t="n">
        <v>1</v>
      </c>
      <c r="G16297" t="n">
        <v>21</v>
      </c>
      <c r="H16297" s="5">
        <f>HYPERLINK("https://api.qogita.com/variants/link/6294019015986/", "View Product")</f>
        <v/>
      </c>
    </row>
    <row r="16298">
      <c r="A16298" t="inlineStr">
        <is>
          <t>6294022300116</t>
        </is>
      </c>
      <c r="B16298" t="inlineStr">
        <is>
          <t>Anfar Florenca Rosella Pour Femme Extrait De Parfum 100ml</t>
        </is>
      </c>
      <c r="C16298" t="inlineStr">
        <is>
          <t>Extrait De Parfum</t>
        </is>
      </c>
      <c r="D16298" t="inlineStr">
        <is>
          <t>Anfar</t>
        </is>
      </c>
      <c r="E16298" t="n">
        <v>33.99</v>
      </c>
      <c r="F16298" t="n">
        <v>1</v>
      </c>
      <c r="G16298" t="n">
        <v>18</v>
      </c>
      <c r="H16298" s="5">
        <f>HYPERLINK("https://api.qogita.com/variants/link/6294022300116/", "View Product")</f>
        <v/>
      </c>
    </row>
    <row r="16299">
      <c r="A16299" t="inlineStr">
        <is>
          <t>6294022300123</t>
        </is>
      </c>
      <c r="B16299" t="inlineStr">
        <is>
          <t>Florenca Di Anfar Violetta By Anfar For Women 3.4 Oz Extrait De Parfum Spray</t>
        </is>
      </c>
      <c r="C16299" t="inlineStr">
        <is>
          <t>Extrait De Parfum</t>
        </is>
      </c>
      <c r="D16299" t="inlineStr">
        <is>
          <t>Anfar</t>
        </is>
      </c>
      <c r="E16299" t="n">
        <v>33.99</v>
      </c>
      <c r="F16299" t="n">
        <v>1</v>
      </c>
      <c r="G16299" t="n">
        <v>18</v>
      </c>
      <c r="H16299" s="5">
        <f>HYPERLINK("https://api.qogita.com/variants/link/6294022300123/", "View Product")</f>
        <v/>
      </c>
    </row>
    <row r="16300">
      <c r="A16300" t="inlineStr">
        <is>
          <t>6294650987352</t>
        </is>
      </c>
      <c r="B16300" t="inlineStr">
        <is>
          <t>Ministry Of Oud Thailand Oud In Cairo Extrait De Perfume 100ml</t>
        </is>
      </c>
      <c r="C16300" t="inlineStr">
        <is>
          <t>Extrait De Parfum</t>
        </is>
      </c>
      <c r="D16300" t="inlineStr">
        <is>
          <t>Ministry Of Oud</t>
        </is>
      </c>
      <c r="E16300" t="n">
        <v>14.02</v>
      </c>
      <c r="F16300" t="n">
        <v>1</v>
      </c>
      <c r="G16300" t="n">
        <v>71</v>
      </c>
      <c r="H16300" s="5">
        <f>HYPERLINK("https://api.qogita.com/variants/link/6294650987352/", "View Product")</f>
        <v/>
      </c>
    </row>
    <row r="16301">
      <c r="A16301" t="inlineStr">
        <is>
          <t>6294651987252</t>
        </is>
      </c>
      <c r="B16301" t="inlineStr">
        <is>
          <t>Ministry Of Oud Oud Indonesian Extrait De Perfume 100ml</t>
        </is>
      </c>
      <c r="C16301" t="inlineStr">
        <is>
          <t>Extrait De Parfum</t>
        </is>
      </c>
      <c r="D16301" t="inlineStr">
        <is>
          <t>Ministry Of Oud</t>
        </is>
      </c>
      <c r="E16301" t="n">
        <v>13.12</v>
      </c>
      <c r="F16301" t="n">
        <v>1</v>
      </c>
      <c r="G16301" t="n">
        <v>166</v>
      </c>
      <c r="H16301" s="5">
        <f>HYPERLINK("https://api.qogita.com/variants/link/6294651987252/", "View Product")</f>
        <v/>
      </c>
    </row>
    <row r="16302">
      <c r="A16302" t="inlineStr">
        <is>
          <t>6294659957257</t>
        </is>
      </c>
      <c r="B16302" t="inlineStr">
        <is>
          <t>Privezarah Superior Eau De Parfum Spray 80ml</t>
        </is>
      </c>
      <c r="C16302" t="inlineStr">
        <is>
          <t>Eau De Parfum</t>
        </is>
      </c>
      <c r="D16302" t="inlineStr">
        <is>
          <t>Privezarah</t>
        </is>
      </c>
      <c r="E16302" t="n">
        <v>13.74</v>
      </c>
      <c r="F16302" t="n">
        <v>1</v>
      </c>
      <c r="G16302" t="n">
        <v>5</v>
      </c>
      <c r="H16302" s="5">
        <f>HYPERLINK("https://api.qogita.com/variants/link/6294659957257/", "View Product")</f>
        <v/>
      </c>
    </row>
    <row r="16303">
      <c r="A16303" t="inlineStr">
        <is>
          <t>6294659977255</t>
        </is>
      </c>
      <c r="B16303" t="inlineStr">
        <is>
          <t>Privezarah Noble George Eau De Parfum 70ml</t>
        </is>
      </c>
      <c r="C16303" t="inlineStr">
        <is>
          <t>Eau De Parfum</t>
        </is>
      </c>
      <c r="D16303" t="inlineStr">
        <is>
          <t>Privezarah</t>
        </is>
      </c>
      <c r="E16303" t="n">
        <v>14.96</v>
      </c>
      <c r="F16303" t="n">
        <v>1</v>
      </c>
      <c r="G16303" t="n">
        <v>60</v>
      </c>
      <c r="H16303" s="5">
        <f>HYPERLINK("https://api.qogita.com/variants/link/6294659977255/", "View Product")</f>
        <v/>
      </c>
    </row>
    <row r="16304">
      <c r="A16304" t="inlineStr">
        <is>
          <t>6294790437205</t>
        </is>
      </c>
      <c r="B16304" t="inlineStr">
        <is>
          <t>Emir Vanilla And Roses Extrait De Parfum Spray 75ml</t>
        </is>
      </c>
      <c r="C16304" t="inlineStr">
        <is>
          <t>Extrait De Parfum</t>
        </is>
      </c>
      <c r="D16304" t="inlineStr">
        <is>
          <t>Emir</t>
        </is>
      </c>
      <c r="E16304" t="n">
        <v>16.76</v>
      </c>
      <c r="F16304" t="n">
        <v>1</v>
      </c>
      <c r="G16304" t="n">
        <v>57</v>
      </c>
      <c r="H16304" s="5">
        <f>HYPERLINK("https://api.qogita.com/variants/link/6294790437205/", "View Product")</f>
        <v/>
      </c>
    </row>
    <row r="16305">
      <c r="A16305" t="inlineStr">
        <is>
          <t>6294790437212</t>
        </is>
      </c>
      <c r="B16305" t="inlineStr">
        <is>
          <t>Emir Wild And Tobacco Extrait De Parfum Spray 75ml</t>
        </is>
      </c>
      <c r="C16305" t="inlineStr">
        <is>
          <t>Extrait De Parfum</t>
        </is>
      </c>
      <c r="D16305" t="inlineStr">
        <is>
          <t>Emir</t>
        </is>
      </c>
      <c r="E16305" t="n">
        <v>16.05</v>
      </c>
      <c r="F16305" t="n">
        <v>1</v>
      </c>
      <c r="G16305" t="n">
        <v>40</v>
      </c>
      <c r="H16305" s="5">
        <f>HYPERLINK("https://api.qogita.com/variants/link/6294790437212/", "View Product")</f>
        <v/>
      </c>
    </row>
    <row r="16306">
      <c r="A16306" t="inlineStr">
        <is>
          <t>6294879841169</t>
        </is>
      </c>
      <c r="B16306" t="inlineStr">
        <is>
          <t>Paris Corner Zodiac Eau De Parfum 100ml</t>
        </is>
      </c>
      <c r="C16306" t="inlineStr">
        <is>
          <t>Eau De Parfum</t>
        </is>
      </c>
      <c r="D16306" t="inlineStr">
        <is>
          <t>Paris Corner</t>
        </is>
      </c>
      <c r="E16306" t="n">
        <v>15.4</v>
      </c>
      <c r="F16306" t="n">
        <v>1</v>
      </c>
      <c r="G16306" t="n">
        <v>137</v>
      </c>
      <c r="H16306" s="5">
        <f>HYPERLINK("https://api.qogita.com/variants/link/6294879841169/", "View Product")</f>
        <v/>
      </c>
    </row>
    <row r="16307">
      <c r="A16307" t="inlineStr">
        <is>
          <t>6295124000133</t>
        </is>
      </c>
      <c r="B16307" t="inlineStr">
        <is>
          <t>Swiss Arabian Nouf Eau De Parfum Spray 50ml</t>
        </is>
      </c>
      <c r="C16307" t="inlineStr">
        <is>
          <t>Eau De Parfum</t>
        </is>
      </c>
      <c r="D16307" t="inlineStr">
        <is>
          <t>Swiss Arabian</t>
        </is>
      </c>
      <c r="E16307" t="n">
        <v>30.34</v>
      </c>
      <c r="F16307" t="n">
        <v>1</v>
      </c>
      <c r="G16307" t="n">
        <v>4</v>
      </c>
      <c r="H16307" s="5">
        <f>HYPERLINK("https://api.qogita.com/variants/link/6295124000133/", "View Product")</f>
        <v/>
      </c>
    </row>
    <row r="16308">
      <c r="A16308" t="inlineStr">
        <is>
          <t>6295124003929</t>
        </is>
      </c>
      <c r="B16308" t="inlineStr">
        <is>
          <t>Swiss Arabian Rakaan Eau De Parfum for Men 50ml Intense Woody Fragrance</t>
        </is>
      </c>
      <c r="C16308" t="inlineStr">
        <is>
          <t>Eau De Parfum</t>
        </is>
      </c>
      <c r="D16308" t="inlineStr">
        <is>
          <t>Swiss Arabian</t>
        </is>
      </c>
      <c r="E16308" t="n">
        <v>29.05</v>
      </c>
      <c r="F16308" t="n">
        <v>1</v>
      </c>
      <c r="G16308" t="n">
        <v>19</v>
      </c>
      <c r="H16308" s="5">
        <f>HYPERLINK("https://api.qogita.com/variants/link/6295124003929/", "View Product")</f>
        <v/>
      </c>
    </row>
    <row r="16309">
      <c r="A16309" t="inlineStr">
        <is>
          <t>6295124004049</t>
        </is>
      </c>
      <c r="B16309" t="inlineStr">
        <is>
          <t>Swiss Arabian Kashkha CPO Unisex Majestic Blend of Oriental Fruity Amber</t>
        </is>
      </c>
      <c r="C16309" t="inlineStr">
        <is>
          <t>Eau De Parfum</t>
        </is>
      </c>
      <c r="D16309" t="inlineStr">
        <is>
          <t>Swiss Arabian</t>
        </is>
      </c>
      <c r="E16309" t="n">
        <v>28.03</v>
      </c>
      <c r="F16309" t="n">
        <v>1</v>
      </c>
      <c r="G16309" t="n">
        <v>5</v>
      </c>
      <c r="H16309" s="5">
        <f>HYPERLINK("https://api.qogita.com/variants/link/6295124004049/", "View Product")</f>
        <v/>
      </c>
    </row>
    <row r="16310">
      <c r="A16310" t="inlineStr">
        <is>
          <t>6295124016844</t>
        </is>
      </c>
      <c r="B16310" t="inlineStr">
        <is>
          <t>Swiss Arabian Hamsah Eau De Parfum for Women 80ml - Honey Sweetness</t>
        </is>
      </c>
      <c r="C16310" t="inlineStr">
        <is>
          <t>Eau De Parfum</t>
        </is>
      </c>
      <c r="D16310" t="inlineStr">
        <is>
          <t>Swiss Arabian</t>
        </is>
      </c>
      <c r="E16310" t="n">
        <v>13.46</v>
      </c>
      <c r="F16310" t="n">
        <v>1</v>
      </c>
      <c r="G16310" t="n">
        <v>5</v>
      </c>
      <c r="H16310" s="5">
        <f>HYPERLINK("https://api.qogita.com/variants/link/6295124016844/", "View Product")</f>
        <v/>
      </c>
    </row>
    <row r="16311">
      <c r="A16311" t="inlineStr">
        <is>
          <t>6295124016882</t>
        </is>
      </c>
      <c r="B16311" t="inlineStr">
        <is>
          <t>Swiss Arabian Shaghaf Eau De Parfum 75ml For Women</t>
        </is>
      </c>
      <c r="C16311" t="inlineStr">
        <is>
          <t>Eau De Parfum</t>
        </is>
      </c>
      <c r="D16311" t="inlineStr">
        <is>
          <t>Swiss Arabian</t>
        </is>
      </c>
      <c r="E16311" t="n">
        <v>11.86</v>
      </c>
      <c r="F16311" t="n">
        <v>1</v>
      </c>
      <c r="G16311" t="n">
        <v>39</v>
      </c>
      <c r="H16311" s="5">
        <f>HYPERLINK("https://api.qogita.com/variants/link/6295124016882/", "View Product")</f>
        <v/>
      </c>
    </row>
    <row r="16312">
      <c r="A16312" t="inlineStr">
        <is>
          <t>6295124027727</t>
        </is>
      </c>
      <c r="B16312" t="inlineStr">
        <is>
          <t>Swiss Arabian Shumoukh Al Ghutra 100ml EDP</t>
        </is>
      </c>
      <c r="C16312" t="inlineStr">
        <is>
          <t>Eau De Parfum</t>
        </is>
      </c>
      <c r="D16312" t="inlineStr">
        <is>
          <t>Swiss Arabian</t>
        </is>
      </c>
      <c r="E16312" t="n">
        <v>50.46</v>
      </c>
      <c r="F16312" t="n">
        <v>1</v>
      </c>
      <c r="G16312" t="n">
        <v>86</v>
      </c>
      <c r="H16312" s="5">
        <f>HYPERLINK("https://api.qogita.com/variants/link/6295124027727/", "View Product")</f>
        <v/>
      </c>
    </row>
    <row r="16313">
      <c r="A16313" t="inlineStr">
        <is>
          <t>6295124030475</t>
        </is>
      </c>
      <c r="B16313" t="inlineStr">
        <is>
          <t>Swiss Arabian Shaghaf Oud Aswad Eau De Parfum 75ml Unisex Spray</t>
        </is>
      </c>
      <c r="C16313" t="inlineStr">
        <is>
          <t>Eau De Parfum</t>
        </is>
      </c>
      <c r="D16313" t="inlineStr">
        <is>
          <t>Swiss Arabian</t>
        </is>
      </c>
      <c r="E16313" t="n">
        <v>26.37</v>
      </c>
      <c r="F16313" t="n">
        <v>1</v>
      </c>
      <c r="G16313" t="n">
        <v>97</v>
      </c>
      <c r="H16313" s="5">
        <f>HYPERLINK("https://api.qogita.com/variants/link/6295124030475/", "View Product")</f>
        <v/>
      </c>
    </row>
    <row r="16314">
      <c r="A16314" t="inlineStr">
        <is>
          <t>6295124031120</t>
        </is>
      </c>
      <c r="B16314" t="inlineStr">
        <is>
          <t>Swiss Arabian Yulali Perfume Oil 15ml</t>
        </is>
      </c>
      <c r="C16314" t="inlineStr">
        <is>
          <t>Eau De Parfum</t>
        </is>
      </c>
      <c r="D16314" t="inlineStr">
        <is>
          <t>Swiss Arabian</t>
        </is>
      </c>
      <c r="E16314" t="n">
        <v>14.38</v>
      </c>
      <c r="F16314" t="n">
        <v>1</v>
      </c>
      <c r="G16314" t="n">
        <v>81</v>
      </c>
      <c r="H16314" s="5">
        <f>HYPERLINK("https://api.qogita.com/variants/link/6295124031120/", "View Product")</f>
        <v/>
      </c>
    </row>
    <row r="16315">
      <c r="A16315" t="inlineStr">
        <is>
          <t>6295124031199</t>
        </is>
      </c>
      <c r="B16315" t="inlineStr">
        <is>
          <t>Swiss Arabian Intense Pride 1070 100ml EDP</t>
        </is>
      </c>
      <c r="C16315" t="inlineStr">
        <is>
          <t>Eau De Parfum</t>
        </is>
      </c>
      <c r="D16315" t="inlineStr">
        <is>
          <t>Swiss Arabian</t>
        </is>
      </c>
      <c r="E16315" t="n">
        <v>31.48</v>
      </c>
      <c r="F16315" t="n">
        <v>1</v>
      </c>
      <c r="G16315" t="n">
        <v>71</v>
      </c>
      <c r="H16315" s="5">
        <f>HYPERLINK("https://api.qogita.com/variants/link/6295124031199/", "View Product")</f>
        <v/>
      </c>
    </row>
    <row r="16316">
      <c r="A16316" t="inlineStr">
        <is>
          <t>6295124031243</t>
        </is>
      </c>
      <c r="B16316" t="inlineStr">
        <is>
          <t>Swiss Arabian Edge for Men EDP Spray Fruity Citrus Fragrance - Long Lasting</t>
        </is>
      </c>
      <c r="C16316" t="inlineStr">
        <is>
          <t>Eau De Parfum</t>
        </is>
      </c>
      <c r="D16316" t="inlineStr">
        <is>
          <t>Swiss Arabian</t>
        </is>
      </c>
      <c r="E16316" t="n">
        <v>24.17</v>
      </c>
      <c r="F16316" t="n">
        <v>1</v>
      </c>
      <c r="G16316" t="n">
        <v>3</v>
      </c>
      <c r="H16316" s="5">
        <f>HYPERLINK("https://api.qogita.com/variants/link/6295124031243/", "View Product")</f>
        <v/>
      </c>
    </row>
    <row r="16317">
      <c r="A16317" t="inlineStr">
        <is>
          <t>6295124037627</t>
        </is>
      </c>
      <c r="B16317" t="inlineStr">
        <is>
          <t>Swiss Arabian Musk Malaki Unisex 1oz Parfum Oil</t>
        </is>
      </c>
      <c r="C16317" t="inlineStr">
        <is>
          <t>Eau De Parfum</t>
        </is>
      </c>
      <c r="D16317" t="inlineStr">
        <is>
          <t>Swiss Arabian</t>
        </is>
      </c>
      <c r="E16317" t="n">
        <v>33.37</v>
      </c>
      <c r="F16317" t="n">
        <v>1</v>
      </c>
      <c r="G16317" t="n">
        <v>3</v>
      </c>
      <c r="H16317" s="5">
        <f>HYPERLINK("https://api.qogita.com/variants/link/6295124037627/", "View Product")</f>
        <v/>
      </c>
    </row>
    <row r="16318">
      <c r="A16318" t="inlineStr">
        <is>
          <t>6295124039805</t>
        </is>
      </c>
      <c r="B16318" t="inlineStr">
        <is>
          <t>Gharaam by Swiss Arabian Unisex Hair Perfume 1.7 Oz 50ml</t>
        </is>
      </c>
      <c r="C16318" t="inlineStr">
        <is>
          <t>Eau De Parfum</t>
        </is>
      </c>
      <c r="D16318" t="inlineStr">
        <is>
          <t>Swiss Arabian</t>
        </is>
      </c>
      <c r="E16318" t="n">
        <v>23.71</v>
      </c>
      <c r="F16318" t="n">
        <v>1</v>
      </c>
      <c r="G16318" t="n">
        <v>44</v>
      </c>
      <c r="H16318" s="5">
        <f>HYPERLINK("https://api.qogita.com/variants/link/6295124039805/", "View Product")</f>
        <v/>
      </c>
    </row>
    <row r="16319">
      <c r="A16319" t="inlineStr">
        <is>
          <t>6295124041266</t>
        </is>
      </c>
      <c r="B16319" t="inlineStr">
        <is>
          <t>Swiss Arabian Shaghaf Oud Azraq Eau De Parfum 75ml</t>
        </is>
      </c>
      <c r="C16319" t="inlineStr">
        <is>
          <t>Eau De Parfum</t>
        </is>
      </c>
      <c r="D16319" t="inlineStr">
        <is>
          <t>Swiss Arabian</t>
        </is>
      </c>
      <c r="E16319" t="n">
        <v>43.91</v>
      </c>
      <c r="F16319" t="n">
        <v>1</v>
      </c>
      <c r="G16319" t="n">
        <v>37</v>
      </c>
      <c r="H16319" s="5">
        <f>HYPERLINK("https://api.qogita.com/variants/link/6295124041266/", "View Product")</f>
        <v/>
      </c>
    </row>
    <row r="16320">
      <c r="A16320" t="inlineStr">
        <is>
          <t>6295124042782</t>
        </is>
      </c>
      <c r="B16320" t="inlineStr">
        <is>
          <t>Swiss Arabian Passion Of Venice EDP Spray 3.38 fl oz</t>
        </is>
      </c>
      <c r="C16320" t="inlineStr">
        <is>
          <t>Eau De Parfum</t>
        </is>
      </c>
      <c r="D16320" t="inlineStr">
        <is>
          <t>Swiss Arabian</t>
        </is>
      </c>
      <c r="E16320" t="n">
        <v>60.39</v>
      </c>
      <c r="F16320" t="n">
        <v>1</v>
      </c>
      <c r="G16320" t="n">
        <v>26</v>
      </c>
      <c r="H16320" s="5">
        <f>HYPERLINK("https://api.qogita.com/variants/link/6295124042782/", "View Product")</f>
        <v/>
      </c>
    </row>
    <row r="16321">
      <c r="A16321" t="inlineStr">
        <is>
          <t>6295151500064</t>
        </is>
      </c>
      <c r="B16321" t="inlineStr">
        <is>
          <t>Riiffs Exclusive Prive Mystique Noir Eau De Parfum - 80ml Unisex</t>
        </is>
      </c>
      <c r="C16321" t="inlineStr">
        <is>
          <t>Eau De Parfum</t>
        </is>
      </c>
      <c r="D16321" t="inlineStr">
        <is>
          <t>Riiffs</t>
        </is>
      </c>
      <c r="E16321" t="n">
        <v>18.45</v>
      </c>
      <c r="F16321" t="n">
        <v>1</v>
      </c>
      <c r="G16321" t="n">
        <v>15</v>
      </c>
      <c r="H16321" s="5">
        <f>HYPERLINK("https://api.qogita.com/variants/link/6295151500064/", "View Product")</f>
        <v/>
      </c>
    </row>
    <row r="16322">
      <c r="A16322" t="inlineStr">
        <is>
          <t>6295199800959</t>
        </is>
      </c>
      <c r="B16322" t="inlineStr">
        <is>
          <t>Armaf Yum Yum Eau De Parfum 100ml</t>
        </is>
      </c>
      <c r="C16322" t="inlineStr">
        <is>
          <t>Eau De Parfum</t>
        </is>
      </c>
      <c r="D16322" t="inlineStr">
        <is>
          <t>Armaf</t>
        </is>
      </c>
      <c r="E16322" t="n">
        <v>30.55</v>
      </c>
      <c r="F16322" t="n">
        <v>1</v>
      </c>
      <c r="G16322" t="n">
        <v>611</v>
      </c>
      <c r="H16322" s="5">
        <f>HYPERLINK("https://api.qogita.com/variants/link/6295199800959/", "View Product")</f>
        <v/>
      </c>
    </row>
    <row r="16323">
      <c r="A16323" t="inlineStr">
        <is>
          <t>6295199803349</t>
        </is>
      </c>
      <c r="B16323" t="inlineStr">
        <is>
          <t>Armaf Le Parfait Opus Pour Femme Perfume</t>
        </is>
      </c>
      <c r="C16323" t="inlineStr">
        <is>
          <t>Eau De Parfum</t>
        </is>
      </c>
      <c r="D16323" t="inlineStr">
        <is>
          <t>Armaf</t>
        </is>
      </c>
      <c r="E16323" t="n">
        <v>13.76</v>
      </c>
      <c r="F16323" t="n">
        <v>1</v>
      </c>
      <c r="G16323" t="n">
        <v>183</v>
      </c>
      <c r="H16323" s="5">
        <f>HYPERLINK("https://api.qogita.com/variants/link/6295199803349/", "View Product")</f>
        <v/>
      </c>
    </row>
    <row r="16324">
      <c r="A16324" t="inlineStr">
        <is>
          <t>6295199804124</t>
        </is>
      </c>
      <c r="B16324" t="inlineStr">
        <is>
          <t>Hamidi Ilham Gold 100ml Eau De Parfum</t>
        </is>
      </c>
      <c r="C16324" t="inlineStr">
        <is>
          <t>Eau De Parfum</t>
        </is>
      </c>
      <c r="D16324" t="inlineStr">
        <is>
          <t>Hamidi</t>
        </is>
      </c>
      <c r="E16324" t="n">
        <v>16.96</v>
      </c>
      <c r="F16324" t="n">
        <v>1</v>
      </c>
      <c r="G16324" t="n">
        <v>39</v>
      </c>
      <c r="H16324" s="5">
        <f>HYPERLINK("https://api.qogita.com/variants/link/6295199804124/", "View Product")</f>
        <v/>
      </c>
    </row>
    <row r="16325">
      <c r="A16325" t="inlineStr">
        <is>
          <t>6295253016425</t>
        </is>
      </c>
      <c r="B16325" t="inlineStr">
        <is>
          <t>Naseem Sakina Khalta Aqua Parfum Spray 80ml</t>
        </is>
      </c>
      <c r="C16325" t="inlineStr">
        <is>
          <t>Eau De Parfum</t>
        </is>
      </c>
      <c r="D16325" t="inlineStr">
        <is>
          <t>Naseem</t>
        </is>
      </c>
      <c r="E16325" t="n">
        <v>7.85</v>
      </c>
      <c r="F16325" t="n">
        <v>1</v>
      </c>
      <c r="G16325" t="n">
        <v>3</v>
      </c>
      <c r="H16325" s="5">
        <f>HYPERLINK("https://api.qogita.com/variants/link/6295253016425/", "View Product")</f>
        <v/>
      </c>
    </row>
    <row r="16326">
      <c r="A16326" t="inlineStr">
        <is>
          <t>6295253017422</t>
        </is>
      </c>
      <c r="B16326" t="inlineStr">
        <is>
          <t>Naseem Oud Aqua Perfume Alcohol Free with Floral Oud and Saffron</t>
        </is>
      </c>
      <c r="C16326" t="inlineStr">
        <is>
          <t>Eau De Parfum</t>
        </is>
      </c>
      <c r="D16326" t="inlineStr">
        <is>
          <t>Naseem</t>
        </is>
      </c>
      <c r="E16326" t="n">
        <v>13.69</v>
      </c>
      <c r="F16326" t="n">
        <v>1</v>
      </c>
      <c r="G16326" t="n">
        <v>113</v>
      </c>
      <c r="H16326" s="5">
        <f>HYPERLINK("https://api.qogita.com/variants/link/6295253017422/", "View Product")</f>
        <v/>
      </c>
    </row>
    <row r="16327">
      <c r="A16327" t="inlineStr">
        <is>
          <t>6295253017521</t>
        </is>
      </c>
      <c r="B16327" t="inlineStr">
        <is>
          <t>Naseem Body Mist Lamsa For Women - 100 Ml</t>
        </is>
      </c>
      <c r="C16327" t="inlineStr">
        <is>
          <t>Eau De Toilette</t>
        </is>
      </c>
      <c r="D16327" t="inlineStr">
        <is>
          <t>Naseem</t>
        </is>
      </c>
      <c r="E16327" t="n">
        <v>4.7</v>
      </c>
      <c r="F16327" t="n">
        <v>1</v>
      </c>
      <c r="G16327" t="n">
        <v>11</v>
      </c>
      <c r="H16327" s="5">
        <f>HYPERLINK("https://api.qogita.com/variants/link/6295253017521/", "View Product")</f>
        <v/>
      </c>
    </row>
    <row r="16328">
      <c r="A16328" t="inlineStr">
        <is>
          <t>6295253025922</t>
        </is>
      </c>
      <c r="B16328" t="inlineStr">
        <is>
          <t>Naseem Burhan Khalta Aqua Parfum Spray 80ml</t>
        </is>
      </c>
      <c r="C16328" t="inlineStr">
        <is>
          <t>Eau De Parfum</t>
        </is>
      </c>
      <c r="D16328" t="inlineStr">
        <is>
          <t>Naseem</t>
        </is>
      </c>
      <c r="E16328" t="n">
        <v>7.85</v>
      </c>
      <c r="F16328" t="n">
        <v>1</v>
      </c>
      <c r="G16328" t="n">
        <v>6</v>
      </c>
      <c r="H16328" s="5">
        <f>HYPERLINK("https://api.qogita.com/variants/link/6295253025922/", "View Product")</f>
        <v/>
      </c>
    </row>
    <row r="16329">
      <c r="A16329" t="inlineStr">
        <is>
          <t>6295253028121</t>
        </is>
      </c>
      <c r="B16329" t="inlineStr">
        <is>
          <t>Naseem Body Mist Naseem Sadaat, Unisex, 100 Ml</t>
        </is>
      </c>
      <c r="C16329" t="inlineStr">
        <is>
          <t>Eau De Toilette</t>
        </is>
      </c>
      <c r="D16329" t="inlineStr">
        <is>
          <t>Naseem</t>
        </is>
      </c>
      <c r="E16329" t="n">
        <v>4.7</v>
      </c>
      <c r="F16329" t="n">
        <v>1</v>
      </c>
      <c r="G16329" t="n">
        <v>11</v>
      </c>
      <c r="H16329" s="5">
        <f>HYPERLINK("https://api.qogita.com/variants/link/6295253028121/", "View Product")</f>
        <v/>
      </c>
    </row>
    <row r="16330">
      <c r="A16330" t="inlineStr">
        <is>
          <t>6295253031527</t>
        </is>
      </c>
      <c r="B16330" t="inlineStr">
        <is>
          <t>Naseem Inferno Aqua Eau De Parfum Spray 80ml</t>
        </is>
      </c>
      <c r="C16330" t="inlineStr">
        <is>
          <t>Eau De Parfum</t>
        </is>
      </c>
      <c r="D16330" t="inlineStr">
        <is>
          <t>Naseem</t>
        </is>
      </c>
      <c r="E16330" t="n">
        <v>12.96</v>
      </c>
      <c r="F16330" t="n">
        <v>1</v>
      </c>
      <c r="G16330" t="n">
        <v>4</v>
      </c>
      <c r="H16330" s="5">
        <f>HYPERLINK("https://api.qogita.com/variants/link/6295253031527/", "View Product")</f>
        <v/>
      </c>
    </row>
    <row r="16331">
      <c r="A16331" t="inlineStr">
        <is>
          <t>6295253042127</t>
        </is>
      </c>
      <c r="B16331" t="inlineStr">
        <is>
          <t>Naseem Mufaddal Khalta Aqua Parfum Spray 80ml</t>
        </is>
      </c>
      <c r="C16331" t="inlineStr">
        <is>
          <t>Eau De Parfum</t>
        </is>
      </c>
      <c r="D16331" t="inlineStr">
        <is>
          <t>Naseem</t>
        </is>
      </c>
      <c r="E16331" t="n">
        <v>7.85</v>
      </c>
      <c r="F16331" t="n">
        <v>1</v>
      </c>
      <c r="G16331" t="n">
        <v>11</v>
      </c>
      <c r="H16331" s="5">
        <f>HYPERLINK("https://api.qogita.com/variants/link/6295253042127/", "View Product")</f>
        <v/>
      </c>
    </row>
    <row r="16332">
      <c r="A16332" t="inlineStr">
        <is>
          <t>6295253053727</t>
        </is>
      </c>
      <c r="B16332" t="inlineStr">
        <is>
          <t>Naseem Ritaaj Aqua Perfume 50ml 1.69 Fl Oz</t>
        </is>
      </c>
      <c r="C16332" t="inlineStr">
        <is>
          <t>Eau De Parfum</t>
        </is>
      </c>
      <c r="D16332" t="inlineStr">
        <is>
          <t>Naseem</t>
        </is>
      </c>
      <c r="E16332" t="n">
        <v>11.2</v>
      </c>
      <c r="F16332" t="n">
        <v>1</v>
      </c>
      <c r="G16332" t="n">
        <v>6</v>
      </c>
      <c r="H16332" s="5">
        <f>HYPERLINK("https://api.qogita.com/variants/link/6295253053727/", "View Product")</f>
        <v/>
      </c>
    </row>
    <row r="16333">
      <c r="A16333" t="inlineStr">
        <is>
          <t>6295253062729</t>
        </is>
      </c>
      <c r="B16333" t="inlineStr">
        <is>
          <t>NASSEM Aqua Parfum For Unisex 80ml Vapo</t>
        </is>
      </c>
      <c r="C16333" t="inlineStr">
        <is>
          <t>Eau De Parfum</t>
        </is>
      </c>
      <c r="D16333" t="inlineStr">
        <is>
          <t>Nassam</t>
        </is>
      </c>
      <c r="E16333" t="n">
        <v>13.69</v>
      </c>
      <c r="F16333" t="n">
        <v>1</v>
      </c>
      <c r="G16333" t="n">
        <v>41</v>
      </c>
      <c r="H16333" s="5">
        <f>HYPERLINK("https://api.qogita.com/variants/link/6295253062729/", "View Product")</f>
        <v/>
      </c>
    </row>
    <row r="16334">
      <c r="A16334" t="inlineStr">
        <is>
          <t>6295253071523</t>
        </is>
      </c>
      <c r="B16334" t="inlineStr">
        <is>
          <t>Naseem Signature Eau De Parfum 100ml - Elegant Unisex Arabian Perfume</t>
        </is>
      </c>
      <c r="C16334" t="inlineStr">
        <is>
          <t>Eau De Parfum</t>
        </is>
      </c>
      <c r="D16334" t="inlineStr">
        <is>
          <t>Naseem</t>
        </is>
      </c>
      <c r="E16334" t="n">
        <v>20.11</v>
      </c>
      <c r="F16334" t="n">
        <v>1</v>
      </c>
      <c r="G16334" t="n">
        <v>11</v>
      </c>
      <c r="H16334" s="5">
        <f>HYPERLINK("https://api.qogita.com/variants/link/6295253071523/", "View Product")</f>
        <v/>
      </c>
    </row>
    <row r="16335">
      <c r="A16335" t="inlineStr">
        <is>
          <t>6295253071820</t>
        </is>
      </c>
      <c r="B16335" t="inlineStr">
        <is>
          <t>Naseem Daliya Khalta Aqua Parfum Spray 80ml</t>
        </is>
      </c>
      <c r="C16335" t="inlineStr">
        <is>
          <t>Eau De Parfum</t>
        </is>
      </c>
      <c r="D16335" t="inlineStr">
        <is>
          <t>Naseem</t>
        </is>
      </c>
      <c r="E16335" t="n">
        <v>7.85</v>
      </c>
      <c r="F16335" t="n">
        <v>1</v>
      </c>
      <c r="G16335" t="n">
        <v>7</v>
      </c>
      <c r="H16335" s="5">
        <f>HYPERLINK("https://api.qogita.com/variants/link/6295253071820/", "View Product")</f>
        <v/>
      </c>
    </row>
    <row r="16336">
      <c r="A16336" t="inlineStr">
        <is>
          <t>6295253074821</t>
        </is>
      </c>
      <c r="B16336" t="inlineStr">
        <is>
          <t>Naseem Solar Aqua Parfum 55ml Luxury Perfume for Women Natural Alcohol</t>
        </is>
      </c>
      <c r="C16336" t="inlineStr">
        <is>
          <t>Eau De Parfum</t>
        </is>
      </c>
      <c r="D16336" t="inlineStr">
        <is>
          <t>Naseem</t>
        </is>
      </c>
      <c r="E16336" t="n">
        <v>6.79</v>
      </c>
      <c r="F16336" t="n">
        <v>1</v>
      </c>
      <c r="G16336" t="n">
        <v>3</v>
      </c>
      <c r="H16336" s="5">
        <f>HYPERLINK("https://api.qogita.com/variants/link/6295253074821/", "View Product")</f>
        <v/>
      </c>
    </row>
    <row r="16337">
      <c r="A16337" t="inlineStr">
        <is>
          <t>6295253080426</t>
        </is>
      </c>
      <c r="B16337" t="inlineStr">
        <is>
          <t>Naseem Aqua Parfum Mufaddal Unisex 30 Ml</t>
        </is>
      </c>
      <c r="C16337" t="inlineStr">
        <is>
          <t>Eau De Parfum</t>
        </is>
      </c>
      <c r="D16337" t="inlineStr">
        <is>
          <t>Naseem</t>
        </is>
      </c>
      <c r="E16337" t="n">
        <v>5.24</v>
      </c>
      <c r="F16337" t="n">
        <v>1</v>
      </c>
      <c r="G16337" t="n">
        <v>11</v>
      </c>
      <c r="H16337" s="5">
        <f>HYPERLINK("https://api.qogita.com/variants/link/6295253080426/", "View Product")</f>
        <v/>
      </c>
    </row>
    <row r="16338">
      <c r="A16338" t="inlineStr">
        <is>
          <t>6295253081423</t>
        </is>
      </c>
      <c r="B16338" t="inlineStr">
        <is>
          <t>Naseem Laeqa Abaya Perfume Spray 100ml - Alcohol Free</t>
        </is>
      </c>
      <c r="C16338" t="inlineStr">
        <is>
          <t>Eau De Parfum</t>
        </is>
      </c>
      <c r="D16338" t="inlineStr">
        <is>
          <t>Naseem</t>
        </is>
      </c>
      <c r="E16338" t="n">
        <v>6.79</v>
      </c>
      <c r="F16338" t="n">
        <v>1</v>
      </c>
      <c r="G16338" t="n">
        <v>7</v>
      </c>
      <c r="H16338" s="5">
        <f>HYPERLINK("https://api.qogita.com/variants/link/6295253081423/", "View Product")</f>
        <v/>
      </c>
    </row>
    <row r="16339">
      <c r="A16339" t="inlineStr">
        <is>
          <t>6295253084820</t>
        </is>
      </c>
      <c r="B16339" t="inlineStr">
        <is>
          <t>Naseem Yumna Aqua Eau De Parfum Spray 80ml</t>
        </is>
      </c>
      <c r="C16339" t="inlineStr">
        <is>
          <t>Eau De Parfum</t>
        </is>
      </c>
      <c r="D16339" t="inlineStr">
        <is>
          <t>Naseem</t>
        </is>
      </c>
      <c r="E16339" t="n">
        <v>12.96</v>
      </c>
      <c r="F16339" t="n">
        <v>1</v>
      </c>
      <c r="G16339" t="n">
        <v>9</v>
      </c>
      <c r="H16339" s="5">
        <f>HYPERLINK("https://api.qogita.com/variants/link/6295253084820/", "View Product")</f>
        <v/>
      </c>
    </row>
    <row r="16340">
      <c r="A16340" t="inlineStr">
        <is>
          <t>6295253087128</t>
        </is>
      </c>
      <c r="B16340" t="inlineStr">
        <is>
          <t>Naseem Paris Oud Aqua Parfum 75ml - Alcohol-Free Eau De Parfum for Unisex</t>
        </is>
      </c>
      <c r="C16340" t="inlineStr">
        <is>
          <t>Eau De Parfum</t>
        </is>
      </c>
      <c r="D16340" t="inlineStr">
        <is>
          <t>Naseem</t>
        </is>
      </c>
      <c r="E16340" t="n">
        <v>19.28</v>
      </c>
      <c r="F16340" t="n">
        <v>1</v>
      </c>
      <c r="G16340" t="n">
        <v>122</v>
      </c>
      <c r="H16340" s="5">
        <f>HYPERLINK("https://api.qogita.com/variants/link/6295253087128/", "View Product")</f>
        <v/>
      </c>
    </row>
    <row r="16341">
      <c r="A16341" t="inlineStr">
        <is>
          <t>6295253089221</t>
        </is>
      </c>
      <c r="B16341" t="inlineStr">
        <is>
          <t>Naseem Nuit &amp; Jour Perfume 60ml N-Collection Eau De Parfum - Sophisticated</t>
        </is>
      </c>
      <c r="C16341" t="inlineStr">
        <is>
          <t>Eau De Parfum</t>
        </is>
      </c>
      <c r="D16341" t="inlineStr">
        <is>
          <t>Naseem</t>
        </is>
      </c>
      <c r="E16341" t="n">
        <v>29.04</v>
      </c>
      <c r="F16341" t="n">
        <v>1</v>
      </c>
      <c r="G16341" t="n">
        <v>10</v>
      </c>
      <c r="H16341" s="5">
        <f>HYPERLINK("https://api.qogita.com/variants/link/6295253089221/", "View Product")</f>
        <v/>
      </c>
    </row>
    <row r="16342">
      <c r="A16342" t="inlineStr">
        <is>
          <t>6295253094829</t>
        </is>
      </c>
      <c r="B16342" t="inlineStr">
        <is>
          <t>Daliya Abaya Perfume Spray 100ml - 100% Alcohol Free</t>
        </is>
      </c>
      <c r="C16342" t="inlineStr">
        <is>
          <t>Eau De Parfum</t>
        </is>
      </c>
      <c r="D16342" t="inlineStr">
        <is>
          <t>Naseem</t>
        </is>
      </c>
      <c r="E16342" t="n">
        <v>6.79</v>
      </c>
      <c r="F16342" t="n">
        <v>1</v>
      </c>
      <c r="G16342" t="n">
        <v>5</v>
      </c>
      <c r="H16342" s="5">
        <f>HYPERLINK("https://api.qogita.com/variants/link/6295253094829/", "View Product")</f>
        <v/>
      </c>
    </row>
    <row r="16343">
      <c r="A16343" t="inlineStr">
        <is>
          <t>6295253095628</t>
        </is>
      </c>
      <c r="B16343" t="inlineStr">
        <is>
          <t>Naseem Summer'69 Aqua Parfum Spray 75ml</t>
        </is>
      </c>
      <c r="C16343" t="inlineStr">
        <is>
          <t>Eau De Parfum</t>
        </is>
      </c>
      <c r="D16343" t="inlineStr">
        <is>
          <t>Naseem</t>
        </is>
      </c>
      <c r="E16343" t="n">
        <v>21.83</v>
      </c>
      <c r="F16343" t="n">
        <v>1</v>
      </c>
      <c r="G16343" t="n">
        <v>11</v>
      </c>
      <c r="H16343" s="5">
        <f>HYPERLINK("https://api.qogita.com/variants/link/6295253095628/", "View Product")</f>
        <v/>
      </c>
    </row>
    <row r="16344">
      <c r="A16344" t="inlineStr">
        <is>
          <t>6295586523157</t>
        </is>
      </c>
      <c r="B16344" t="inlineStr">
        <is>
          <t>Emir Frenetic Delicieuse Eau De Parfum 80ml</t>
        </is>
      </c>
      <c r="C16344" t="inlineStr">
        <is>
          <t>Eau De Parfum</t>
        </is>
      </c>
      <c r="D16344" t="inlineStr">
        <is>
          <t>Emir</t>
        </is>
      </c>
      <c r="E16344" t="n">
        <v>14.77</v>
      </c>
      <c r="F16344" t="n">
        <v>1</v>
      </c>
      <c r="G16344" t="n">
        <v>64</v>
      </c>
      <c r="H16344" s="5">
        <f>HYPERLINK("https://api.qogita.com/variants/link/6295586523157/", "View Product")</f>
        <v/>
      </c>
    </row>
    <row r="16345">
      <c r="A16345" t="inlineStr">
        <is>
          <t>6295652323650</t>
        </is>
      </c>
      <c r="B16345" t="inlineStr">
        <is>
          <t>Paris Corner Mysterium Eau De Parfum 100 Milliliters</t>
        </is>
      </c>
      <c r="C16345" t="inlineStr">
        <is>
          <t>Eau De Parfum</t>
        </is>
      </c>
      <c r="D16345" t="inlineStr">
        <is>
          <t>Paris Corner</t>
        </is>
      </c>
      <c r="E16345" t="n">
        <v>17.52</v>
      </c>
      <c r="F16345" t="n">
        <v>1</v>
      </c>
      <c r="G16345" t="n">
        <v>92</v>
      </c>
      <c r="H16345" s="5">
        <f>HYPERLINK("https://api.qogita.com/variants/link/6295652323650/", "View Product")</f>
        <v/>
      </c>
    </row>
    <row r="16346">
      <c r="A16346" t="inlineStr">
        <is>
          <t>6297000645063</t>
        </is>
      </c>
      <c r="B16346" t="inlineStr">
        <is>
          <t>Azaari - concentrated perfumed oil without alcohol Volume 17 ml</t>
        </is>
      </c>
      <c r="C16346" t="inlineStr">
        <is>
          <t>Extrait De Parfum</t>
        </is>
      </c>
      <c r="D16346" t="inlineStr">
        <is>
          <t>Khadlaj</t>
        </is>
      </c>
      <c r="E16346" t="n">
        <v>7.33</v>
      </c>
      <c r="F16346" t="n">
        <v>1</v>
      </c>
      <c r="G16346" t="n">
        <v>43</v>
      </c>
      <c r="H16346" s="5">
        <f>HYPERLINK("https://api.qogita.com/variants/link/6297000645063/", "View Product")</f>
        <v/>
      </c>
    </row>
    <row r="16347">
      <c r="A16347" t="inlineStr">
        <is>
          <t>6297001574003</t>
        </is>
      </c>
      <c r="B16347" t="inlineStr">
        <is>
          <t>Riiffs Inspiro Men Eau De Parfum 100 Ml</t>
        </is>
      </c>
      <c r="C16347" t="inlineStr">
        <is>
          <t>Eau De Parfum</t>
        </is>
      </c>
      <c r="D16347" t="inlineStr">
        <is>
          <t>Riiffs</t>
        </is>
      </c>
      <c r="E16347" t="n">
        <v>15.21</v>
      </c>
      <c r="F16347" t="n">
        <v>1</v>
      </c>
      <c r="G16347" t="n">
        <v>18</v>
      </c>
      <c r="H16347" s="5">
        <f>HYPERLINK("https://api.qogita.com/variants/link/6297001574003/", "View Product")</f>
        <v/>
      </c>
    </row>
    <row r="16348">
      <c r="A16348" t="inlineStr">
        <is>
          <t>6297001574140</t>
        </is>
      </c>
      <c r="B16348" t="inlineStr">
        <is>
          <t>Riiffs Fleurie Violette Eau De Parfum 100 Ml</t>
        </is>
      </c>
      <c r="C16348" t="inlineStr">
        <is>
          <t>Eau De Parfum</t>
        </is>
      </c>
      <c r="D16348" t="inlineStr">
        <is>
          <t>Riiffs</t>
        </is>
      </c>
      <c r="E16348" t="n">
        <v>16.5</v>
      </c>
      <c r="F16348" t="n">
        <v>1</v>
      </c>
      <c r="G16348" t="n">
        <v>50</v>
      </c>
      <c r="H16348" s="5">
        <f>HYPERLINK("https://api.qogita.com/variants/link/6297001574140/", "View Product")</f>
        <v/>
      </c>
    </row>
    <row r="16349">
      <c r="A16349" t="inlineStr">
        <is>
          <t>6297001574980</t>
        </is>
      </c>
      <c r="B16349" t="inlineStr">
        <is>
          <t>Nusuk Sama Eau De Parfum 100 Milliliters</t>
        </is>
      </c>
      <c r="C16349" t="inlineStr">
        <is>
          <t>Eau De Parfum</t>
        </is>
      </c>
      <c r="D16349" t="inlineStr">
        <is>
          <t>Rituals</t>
        </is>
      </c>
      <c r="E16349" t="n">
        <v>14.53</v>
      </c>
      <c r="F16349" t="n">
        <v>1</v>
      </c>
      <c r="G16349" t="n">
        <v>6</v>
      </c>
      <c r="H16349" s="5">
        <f>HYPERLINK("https://api.qogita.com/variants/link/6297001574980/", "View Product")</f>
        <v/>
      </c>
    </row>
    <row r="16350">
      <c r="A16350" t="inlineStr">
        <is>
          <t>6297001637111</t>
        </is>
      </c>
      <c r="B16350" t="inlineStr">
        <is>
          <t>Attar Collection Annabella - Unisex Fragrance</t>
        </is>
      </c>
      <c r="C16350" t="inlineStr">
        <is>
          <t>Eau De Parfum</t>
        </is>
      </c>
      <c r="D16350" t="inlineStr">
        <is>
          <t>Attar Collection</t>
        </is>
      </c>
      <c r="E16350" t="n">
        <v>68.27</v>
      </c>
      <c r="F16350" t="n">
        <v>1</v>
      </c>
      <c r="G16350" t="n">
        <v>54</v>
      </c>
      <c r="H16350" s="5">
        <f>HYPERLINK("https://api.qogita.com/variants/link/6297001637111/", "View Product")</f>
        <v/>
      </c>
    </row>
    <row r="16351">
      <c r="A16351" t="inlineStr">
        <is>
          <t>6297465736740</t>
        </is>
      </c>
      <c r="B16351" t="inlineStr">
        <is>
          <t>Autobiography Oh Boy Eau De Parfum 65ml</t>
        </is>
      </c>
      <c r="C16351" t="inlineStr">
        <is>
          <t>Eau De Parfum</t>
        </is>
      </c>
      <c r="D16351" t="inlineStr">
        <is>
          <t>Autobiographie</t>
        </is>
      </c>
      <c r="E16351" t="n">
        <v>13.48</v>
      </c>
      <c r="F16351" t="n">
        <v>1</v>
      </c>
      <c r="G16351" t="n">
        <v>37</v>
      </c>
      <c r="H16351" s="5">
        <f>HYPERLINK("https://api.qogita.com/variants/link/6297465736740/", "View Product")</f>
        <v/>
      </c>
    </row>
    <row r="16352">
      <c r="A16352" t="inlineStr">
        <is>
          <t>6298042000186</t>
        </is>
      </c>
      <c r="B16352" t="inlineStr">
        <is>
          <t>French Avenue Grecia Rosa EDP Unisex 34 Fl Oz</t>
        </is>
      </c>
      <c r="C16352" t="inlineStr">
        <is>
          <t>Eau De Parfum</t>
        </is>
      </c>
      <c r="D16352" t="inlineStr">
        <is>
          <t>French Avenue</t>
        </is>
      </c>
      <c r="E16352" t="n">
        <v>40.56</v>
      </c>
      <c r="F16352" t="n">
        <v>1</v>
      </c>
      <c r="G16352" t="n">
        <v>239</v>
      </c>
      <c r="H16352" s="5">
        <f>HYPERLINK("https://api.qogita.com/variants/link/6298042000186/", "View Product")</f>
        <v/>
      </c>
    </row>
    <row r="16353">
      <c r="A16353" t="inlineStr">
        <is>
          <t>6298042000933</t>
        </is>
      </c>
      <c r="B16353" t="inlineStr">
        <is>
          <t>French Avenue Veneno Scarlet Unisex Eau De Parfum 100ml</t>
        </is>
      </c>
      <c r="C16353" t="inlineStr">
        <is>
          <t>Eau De Parfum</t>
        </is>
      </c>
      <c r="D16353" t="inlineStr">
        <is>
          <t>French Avenue</t>
        </is>
      </c>
      <c r="E16353" t="n">
        <v>41.6</v>
      </c>
      <c r="F16353" t="n">
        <v>1</v>
      </c>
      <c r="G16353" t="n">
        <v>113</v>
      </c>
      <c r="H16353" s="5">
        <f>HYPERLINK("https://api.qogita.com/variants/link/6298042000933/", "View Product")</f>
        <v/>
      </c>
    </row>
    <row r="16354">
      <c r="A16354" t="inlineStr">
        <is>
          <t>6298043070041</t>
        </is>
      </c>
      <c r="B16354" t="inlineStr">
        <is>
          <t>Zayaan Gold 100ml Eau De Parfum for Men Khadlaj Fragrance with Plum and Cinnamon</t>
        </is>
      </c>
      <c r="C16354" t="inlineStr">
        <is>
          <t>Eau De Parfum</t>
        </is>
      </c>
      <c r="D16354" t="inlineStr">
        <is>
          <t>Khadlaj</t>
        </is>
      </c>
      <c r="E16354" t="n">
        <v>20.07</v>
      </c>
      <c r="F16354" t="n">
        <v>1</v>
      </c>
      <c r="G16354" t="n">
        <v>51</v>
      </c>
      <c r="H16354" s="5">
        <f>HYPERLINK("https://api.qogita.com/variants/link/6298043070041/", "View Product")</f>
        <v/>
      </c>
    </row>
    <row r="16355">
      <c r="A16355" t="inlineStr">
        <is>
          <t>6298141921238</t>
        </is>
      </c>
      <c r="B16355" t="inlineStr">
        <is>
          <t>Willow Dream Girl Perfume</t>
        </is>
      </c>
      <c r="C16355" t="inlineStr">
        <is>
          <t>Eau De Parfum</t>
        </is>
      </c>
      <c r="D16355" t="inlineStr">
        <is>
          <t>Willow</t>
        </is>
      </c>
      <c r="E16355" t="n">
        <v>16</v>
      </c>
      <c r="F16355" t="n">
        <v>1</v>
      </c>
      <c r="G16355" t="n">
        <v>9</v>
      </c>
      <c r="H16355" s="5">
        <f>HYPERLINK("https://api.qogita.com/variants/link/6298141921238/", "View Product")</f>
        <v/>
      </c>
    </row>
    <row r="16356">
      <c r="A16356" t="inlineStr">
        <is>
          <t>6298141922693</t>
        </is>
      </c>
      <c r="B16356" t="inlineStr">
        <is>
          <t>Emir Arcana Eau De Parfum Spray 100ml</t>
        </is>
      </c>
      <c r="C16356" t="inlineStr">
        <is>
          <t>Eau De Parfum</t>
        </is>
      </c>
      <c r="D16356" t="inlineStr">
        <is>
          <t>Emir</t>
        </is>
      </c>
      <c r="E16356" t="n">
        <v>17.26</v>
      </c>
      <c r="F16356" t="n">
        <v>1</v>
      </c>
      <c r="G16356" t="n">
        <v>94</v>
      </c>
      <c r="H16356" s="5">
        <f>HYPERLINK("https://api.qogita.com/variants/link/6298141922693/", "View Product")</f>
        <v/>
      </c>
    </row>
    <row r="16357">
      <c r="A16357" t="inlineStr">
        <is>
          <t>6298463854641</t>
        </is>
      </c>
      <c r="B16357" t="inlineStr">
        <is>
          <t>Paris Corner Qissa Blue Eau De Parfum 100ml</t>
        </is>
      </c>
      <c r="C16357" t="inlineStr">
        <is>
          <t>Eau De Parfum</t>
        </is>
      </c>
      <c r="D16357" t="inlineStr">
        <is>
          <t>Paris Corner</t>
        </is>
      </c>
      <c r="E16357" t="n">
        <v>12.15</v>
      </c>
      <c r="F16357" t="n">
        <v>1</v>
      </c>
      <c r="G16357" t="n">
        <v>38</v>
      </c>
      <c r="H16357" s="5">
        <f>HYPERLINK("https://api.qogita.com/variants/link/6298463854641/", "View Product")</f>
        <v/>
      </c>
    </row>
    <row r="16358">
      <c r="A16358" t="inlineStr">
        <is>
          <t>6298463856423</t>
        </is>
      </c>
      <c r="B16358" t="inlineStr">
        <is>
          <t>Paris Corner Qissa Delicious Eau De Parfum 100ml</t>
        </is>
      </c>
      <c r="C16358" t="inlineStr">
        <is>
          <t>Eau De Parfum</t>
        </is>
      </c>
      <c r="D16358" t="inlineStr">
        <is>
          <t>Paris Corner</t>
        </is>
      </c>
      <c r="E16358" t="n">
        <v>10.96</v>
      </c>
      <c r="F16358" t="n">
        <v>1</v>
      </c>
      <c r="G16358" t="n">
        <v>206</v>
      </c>
      <c r="H16358" s="5">
        <f>HYPERLINK("https://api.qogita.com/variants/link/6298463856423/", "View Product")</f>
        <v/>
      </c>
    </row>
    <row r="16359">
      <c r="A16359" t="inlineStr">
        <is>
          <t>6298523123625</t>
        </is>
      </c>
      <c r="B16359" t="inlineStr">
        <is>
          <t>Paris Corner Ministry Of Gourmand Tiramisu Speculoos Eau De Parfum 100ml</t>
        </is>
      </c>
      <c r="C16359" t="inlineStr">
        <is>
          <t>Eau De Parfum</t>
        </is>
      </c>
      <c r="D16359" t="inlineStr">
        <is>
          <t>Paris Corner</t>
        </is>
      </c>
      <c r="E16359" t="n">
        <v>23.54</v>
      </c>
      <c r="F16359" t="n">
        <v>1</v>
      </c>
      <c r="G16359" t="n">
        <v>14</v>
      </c>
      <c r="H16359" s="5">
        <f>HYPERLINK("https://api.qogita.com/variants/link/6298523123625/", "View Product")</f>
        <v/>
      </c>
    </row>
    <row r="16360">
      <c r="A16360" t="inlineStr">
        <is>
          <t>6298543265596</t>
        </is>
      </c>
      <c r="B16360" t="inlineStr">
        <is>
          <t>Paris Corner Jardin De Papillons Eau De Parfum 100ml</t>
        </is>
      </c>
      <c r="C16360" t="inlineStr">
        <is>
          <t>Eau De Parfum</t>
        </is>
      </c>
      <c r="D16360" t="inlineStr">
        <is>
          <t>Paris Corner</t>
        </is>
      </c>
      <c r="E16360" t="n">
        <v>23.24</v>
      </c>
      <c r="F16360" t="n">
        <v>1</v>
      </c>
      <c r="G16360" t="n">
        <v>459</v>
      </c>
      <c r="H16360" s="5">
        <f>HYPERLINK("https://api.qogita.com/variants/link/6298543265596/", "View Product")</f>
        <v/>
      </c>
    </row>
    <row r="16361">
      <c r="A16361" t="inlineStr">
        <is>
          <t>6298554200159</t>
        </is>
      </c>
      <c r="B16361" t="inlineStr">
        <is>
          <t>Paris Corner Confidential - Eau De Parfum</t>
        </is>
      </c>
      <c r="C16361" t="inlineStr">
        <is>
          <t>Eau De Parfum</t>
        </is>
      </c>
      <c r="D16361" t="inlineStr">
        <is>
          <t>Paris Corner</t>
        </is>
      </c>
      <c r="E16361" t="n">
        <v>14.43</v>
      </c>
      <c r="F16361" t="n">
        <v>1</v>
      </c>
      <c r="G16361" t="n">
        <v>2</v>
      </c>
      <c r="H16361" s="5">
        <f>HYPERLINK("https://api.qogita.com/variants/link/6298554200159/", "View Product")</f>
        <v/>
      </c>
    </row>
    <row r="16362">
      <c r="A16362" t="inlineStr">
        <is>
          <t>6298575112332</t>
        </is>
      </c>
      <c r="B16362" t="inlineStr">
        <is>
          <t>Paris Corner Minya Eau De Parfum 100ml</t>
        </is>
      </c>
      <c r="C16362" t="inlineStr">
        <is>
          <t>Eau De Parfum</t>
        </is>
      </c>
      <c r="D16362" t="inlineStr">
        <is>
          <t>Paris Corner</t>
        </is>
      </c>
      <c r="E16362" t="n">
        <v>15.14</v>
      </c>
      <c r="F16362" t="n">
        <v>1</v>
      </c>
      <c r="G16362" t="n">
        <v>459</v>
      </c>
      <c r="H16362" s="5">
        <f>HYPERLINK("https://api.qogita.com/variants/link/6298575112332/", "View Product")</f>
        <v/>
      </c>
    </row>
    <row r="16363">
      <c r="A16363" t="inlineStr">
        <is>
          <t>6298769782211</t>
        </is>
      </c>
      <c r="B16363" t="inlineStr">
        <is>
          <t>Arabian Oryx Intense Oud Saffron Eau De Parfum Spray 100ml</t>
        </is>
      </c>
      <c r="C16363" t="inlineStr">
        <is>
          <t>Eau De Parfum</t>
        </is>
      </c>
      <c r="D16363" t="inlineStr">
        <is>
          <t>Arabian Oryx</t>
        </is>
      </c>
      <c r="E16363" t="n">
        <v>14.13</v>
      </c>
      <c r="F16363" t="n">
        <v>1</v>
      </c>
      <c r="G16363" t="n">
        <v>48</v>
      </c>
      <c r="H16363" s="5">
        <f>HYPERLINK("https://api.qogita.com/variants/link/6298769782211/", "View Product")</f>
        <v/>
      </c>
    </row>
    <row r="16364">
      <c r="A16364" t="inlineStr">
        <is>
          <t>6298769855045</t>
        </is>
      </c>
      <c r="B16364" t="inlineStr">
        <is>
          <t>Emir Cherry Cola Eau De Parfum 75ml</t>
        </is>
      </c>
      <c r="C16364" t="inlineStr">
        <is>
          <t>Eau De Parfum</t>
        </is>
      </c>
      <c r="D16364" t="inlineStr">
        <is>
          <t>Emir</t>
        </is>
      </c>
      <c r="E16364" t="n">
        <v>15.55</v>
      </c>
      <c r="F16364" t="n">
        <v>1</v>
      </c>
      <c r="G16364" t="n">
        <v>52</v>
      </c>
      <c r="H16364" s="5">
        <f>HYPERLINK("https://api.qogita.com/variants/link/6298769855045/", "View Product")</f>
        <v/>
      </c>
    </row>
    <row r="16365">
      <c r="A16365" t="inlineStr">
        <is>
          <t>6298998755215</t>
        </is>
      </c>
      <c r="B16365" t="inlineStr">
        <is>
          <t>Paris Corner Cosmic Giardino Eau De Parfum 100ml</t>
        </is>
      </c>
      <c r="C16365" t="inlineStr">
        <is>
          <t>Eau De Parfum</t>
        </is>
      </c>
      <c r="D16365" t="inlineStr">
        <is>
          <t>Paris Corner</t>
        </is>
      </c>
      <c r="E16365" t="n">
        <v>16.45</v>
      </c>
      <c r="F16365" t="n">
        <v>1</v>
      </c>
      <c r="G16365" t="n">
        <v>138</v>
      </c>
      <c r="H16365" s="5">
        <f>HYPERLINK("https://api.qogita.com/variants/link/6298998755215/", "View Product")</f>
        <v/>
      </c>
    </row>
    <row r="16366">
      <c r="A16366" t="inlineStr">
        <is>
          <t>6300020152333</t>
        </is>
      </c>
      <c r="B16366" t="inlineStr">
        <is>
          <t>Attar Collection Khaltat Night</t>
        </is>
      </c>
      <c r="C16366" t="inlineStr">
        <is>
          <t>Eau De Parfum</t>
        </is>
      </c>
      <c r="D16366" t="inlineStr">
        <is>
          <t>Attar Collection</t>
        </is>
      </c>
      <c r="E16366" t="n">
        <v>58.02</v>
      </c>
      <c r="F16366" t="n">
        <v>1</v>
      </c>
      <c r="G16366" t="n">
        <v>677</v>
      </c>
      <c r="H16366" s="5">
        <f>HYPERLINK("https://api.qogita.com/variants/link/6300020152333/", "View Product")</f>
        <v/>
      </c>
    </row>
    <row r="16367">
      <c r="A16367" t="inlineStr">
        <is>
          <t>6423080726761</t>
        </is>
      </c>
      <c r="B16367" t="inlineStr">
        <is>
          <t>Paris Corner Camaro Homme Intense Eau De Parfum 100ml</t>
        </is>
      </c>
      <c r="C16367" t="inlineStr">
        <is>
          <t>Eau De Parfum</t>
        </is>
      </c>
      <c r="D16367" t="inlineStr">
        <is>
          <t>Paris Corner</t>
        </is>
      </c>
      <c r="E16367" t="n">
        <v>12</v>
      </c>
      <c r="F16367" t="n">
        <v>1</v>
      </c>
      <c r="G16367" t="n">
        <v>9</v>
      </c>
      <c r="H16367" s="5">
        <f>HYPERLINK("https://api.qogita.com/variants/link/6423080726761/", "View Product")</f>
        <v/>
      </c>
    </row>
    <row r="16368">
      <c r="A16368" t="inlineStr">
        <is>
          <t>6423080727034</t>
        </is>
      </c>
      <c r="B16368" t="inlineStr">
        <is>
          <t>Emir Elania Pour Femme Eau De Parfum Spray 100ml</t>
        </is>
      </c>
      <c r="C16368" t="inlineStr">
        <is>
          <t>Eau De Parfum</t>
        </is>
      </c>
      <c r="D16368" t="inlineStr">
        <is>
          <t>Emir</t>
        </is>
      </c>
      <c r="E16368" t="n">
        <v>15.47</v>
      </c>
      <c r="F16368" t="n">
        <v>1</v>
      </c>
      <c r="G16368" t="n">
        <v>22</v>
      </c>
      <c r="H16368" s="5">
        <f>HYPERLINK("https://api.qogita.com/variants/link/6423080727034/", "View Product")</f>
        <v/>
      </c>
    </row>
    <row r="16369">
      <c r="A16369" t="inlineStr">
        <is>
          <t>6423080727089</t>
        </is>
      </c>
      <c r="B16369" t="inlineStr">
        <is>
          <t>Emir Opulentia Flame Eau De Parfum 100ml</t>
        </is>
      </c>
      <c r="C16369" t="inlineStr">
        <is>
          <t>Eau De Parfum</t>
        </is>
      </c>
      <c r="D16369" t="inlineStr">
        <is>
          <t>Emir</t>
        </is>
      </c>
      <c r="E16369" t="n">
        <v>16.12</v>
      </c>
      <c r="F16369" t="n">
        <v>1</v>
      </c>
      <c r="G16369" t="n">
        <v>17</v>
      </c>
      <c r="H16369" s="5">
        <f>HYPERLINK("https://api.qogita.com/variants/link/6423080727089/", "View Product")</f>
        <v/>
      </c>
    </row>
    <row r="16370">
      <c r="A16370" t="inlineStr">
        <is>
          <t>6423080728840</t>
        </is>
      </c>
      <c r="B16370" t="inlineStr">
        <is>
          <t>Ard Al Zaafaran Bab Al Hamra Eau De Parfum Spray 100ml</t>
        </is>
      </c>
      <c r="C16370" t="inlineStr">
        <is>
          <t>Eau De Parfum</t>
        </is>
      </c>
      <c r="D16370" t="inlineStr">
        <is>
          <t>Ard Al Zaafaran</t>
        </is>
      </c>
      <c r="E16370" t="n">
        <v>13.68</v>
      </c>
      <c r="F16370" t="n">
        <v>1</v>
      </c>
      <c r="G16370" t="n">
        <v>11</v>
      </c>
      <c r="H16370" s="5">
        <f>HYPERLINK("https://api.qogita.com/variants/link/6423080728840/", "View Product")</f>
        <v/>
      </c>
    </row>
    <row r="16371">
      <c r="A16371" t="inlineStr">
        <is>
          <t>6430021526656</t>
        </is>
      </c>
      <c r="B16371" t="inlineStr">
        <is>
          <t>Paris Corner Reham Rose Petals Eau De Parfum 100ml</t>
        </is>
      </c>
      <c r="C16371" t="inlineStr">
        <is>
          <t>Eau De Parfum</t>
        </is>
      </c>
      <c r="D16371" t="inlineStr">
        <is>
          <t>Paris Corner</t>
        </is>
      </c>
      <c r="E16371" t="n">
        <v>17.65</v>
      </c>
      <c r="F16371" t="n">
        <v>1</v>
      </c>
      <c r="G16371" t="n">
        <v>75</v>
      </c>
      <c r="H16371" s="5">
        <f>HYPERLINK("https://api.qogita.com/variants/link/6430021526656/", "View Product")</f>
        <v/>
      </c>
    </row>
    <row r="16372">
      <c r="A16372" t="inlineStr">
        <is>
          <t>6430074180010</t>
        </is>
      </c>
      <c r="B16372" t="inlineStr">
        <is>
          <t>Rokua Skincare Men Face Moisturizer - Hydratacni Krem Pro Vsechny Typy Pleti</t>
        </is>
      </c>
      <c r="C16372" t="inlineStr">
        <is>
          <t>Face Cream</t>
        </is>
      </c>
      <c r="D16372" t="inlineStr">
        <is>
          <t>Rokua Skincare</t>
        </is>
      </c>
      <c r="E16372" t="n">
        <v>34.69</v>
      </c>
      <c r="F16372" t="n">
        <v>1</v>
      </c>
      <c r="G16372" t="n">
        <v>3</v>
      </c>
      <c r="H16372" s="5">
        <f>HYPERLINK("https://api.qogita.com/variants/link/6430074180010/", "View Product")</f>
        <v/>
      </c>
    </row>
    <row r="16373">
      <c r="A16373" t="inlineStr">
        <is>
          <t>6430074180188</t>
        </is>
      </c>
      <c r="B16373" t="inlineStr">
        <is>
          <t>Rokua Skincare Men Body Wash</t>
        </is>
      </c>
      <c r="C16373" t="inlineStr">
        <is>
          <t>Shower Gel</t>
        </is>
      </c>
      <c r="D16373" t="inlineStr">
        <is>
          <t>Rokua Skincare</t>
        </is>
      </c>
      <c r="E16373" t="n">
        <v>19.5</v>
      </c>
      <c r="F16373" t="n">
        <v>1</v>
      </c>
      <c r="G16373" t="n">
        <v>2</v>
      </c>
      <c r="H16373" s="5">
        <f>HYPERLINK("https://api.qogita.com/variants/link/6430074180188/", "View Product")</f>
        <v/>
      </c>
    </row>
    <row r="16374">
      <c r="A16374" t="inlineStr">
        <is>
          <t>6553001325886</t>
        </is>
      </c>
      <c r="B16374" t="inlineStr">
        <is>
          <t>Emir Identity Oud Crescent Eau De Parfum Spray 100ml</t>
        </is>
      </c>
      <c r="C16374" t="inlineStr">
        <is>
          <t>Eau De Parfum</t>
        </is>
      </c>
      <c r="D16374" t="inlineStr">
        <is>
          <t>Emir</t>
        </is>
      </c>
      <c r="E16374" t="n">
        <v>16.56</v>
      </c>
      <c r="F16374" t="n">
        <v>1</v>
      </c>
      <c r="G16374" t="n">
        <v>18</v>
      </c>
      <c r="H16374" s="5">
        <f>HYPERLINK("https://api.qogita.com/variants/link/6553001325886/", "View Product")</f>
        <v/>
      </c>
    </row>
    <row r="16375">
      <c r="A16375" t="inlineStr">
        <is>
          <t>6600001255108</t>
        </is>
      </c>
      <c r="B16375" t="inlineStr">
        <is>
          <t>Al Haramain Firdous Oriental Perfume Oil 15ml</t>
        </is>
      </c>
      <c r="C16375" t="inlineStr">
        <is>
          <t>Extrait De Parfum</t>
        </is>
      </c>
      <c r="D16375" t="inlineStr">
        <is>
          <t>Al Haramain</t>
        </is>
      </c>
      <c r="E16375" t="n">
        <v>9.210000000000001</v>
      </c>
      <c r="F16375" t="n">
        <v>1</v>
      </c>
      <c r="G16375" t="n">
        <v>2</v>
      </c>
      <c r="H16375" s="5">
        <f>HYPERLINK("https://api.qogita.com/variants/link/6600001255108/", "View Product")</f>
        <v/>
      </c>
    </row>
    <row r="16376">
      <c r="A16376" t="inlineStr">
        <is>
          <t>6600001259618</t>
        </is>
      </c>
      <c r="B16376" t="inlineStr">
        <is>
          <t>Al Haramain Forever Oriental Perfume Oil 15ml</t>
        </is>
      </c>
      <c r="C16376" t="inlineStr">
        <is>
          <t>Extrait De Parfum</t>
        </is>
      </c>
      <c r="D16376" t="inlineStr">
        <is>
          <t>Al Haramain</t>
        </is>
      </c>
      <c r="E16376" t="n">
        <v>9.210000000000001</v>
      </c>
      <c r="F16376" t="n">
        <v>1</v>
      </c>
      <c r="G16376" t="n">
        <v>2</v>
      </c>
      <c r="H16376" s="5">
        <f>HYPERLINK("https://api.qogita.com/variants/link/6600001259618/", "View Product")</f>
        <v/>
      </c>
    </row>
    <row r="16377">
      <c r="A16377" t="inlineStr">
        <is>
          <t>6629021040020</t>
        </is>
      </c>
      <c r="B16377" t="inlineStr">
        <is>
          <t>Azha Amber Malaky For Him EDP 100ml</t>
        </is>
      </c>
      <c r="C16377" t="inlineStr">
        <is>
          <t>Eau De Parfum</t>
        </is>
      </c>
      <c r="D16377" t="inlineStr">
        <is>
          <t>Azha</t>
        </is>
      </c>
      <c r="E16377" t="n">
        <v>13.37</v>
      </c>
      <c r="F16377" t="n">
        <v>1</v>
      </c>
      <c r="G16377" t="n">
        <v>41</v>
      </c>
      <c r="H16377" s="5">
        <f>HYPERLINK("https://api.qogita.com/variants/link/6629021040020/", "View Product")</f>
        <v/>
      </c>
    </row>
    <row r="16378">
      <c r="A16378" t="inlineStr">
        <is>
          <t>6629021040051</t>
        </is>
      </c>
      <c r="B16378" t="inlineStr">
        <is>
          <t>Raghad For Her Eau de Parfum 100ml by Azha</t>
        </is>
      </c>
      <c r="C16378" t="inlineStr">
        <is>
          <t>Eau De Parfum</t>
        </is>
      </c>
      <c r="D16378" t="inlineStr">
        <is>
          <t>Azha</t>
        </is>
      </c>
      <c r="E16378" t="n">
        <v>13.37</v>
      </c>
      <c r="F16378" t="n">
        <v>1</v>
      </c>
      <c r="G16378" t="n">
        <v>32</v>
      </c>
      <c r="H16378" s="5">
        <f>HYPERLINK("https://api.qogita.com/variants/link/6629021040051/", "View Product")</f>
        <v/>
      </c>
    </row>
    <row r="16379">
      <c r="A16379" t="inlineStr">
        <is>
          <t>6629021040075</t>
        </is>
      </c>
      <c r="B16379" t="inlineStr">
        <is>
          <t>Emerald Nebula Collection Renad by Azha for Women 3.3 Oz EDP Spray</t>
        </is>
      </c>
      <c r="C16379" t="inlineStr">
        <is>
          <t>Eau De Parfum</t>
        </is>
      </c>
      <c r="D16379" t="inlineStr">
        <is>
          <t>Azha</t>
        </is>
      </c>
      <c r="E16379" t="n">
        <v>13.37</v>
      </c>
      <c r="F16379" t="n">
        <v>1</v>
      </c>
      <c r="G16379" t="n">
        <v>42</v>
      </c>
      <c r="H16379" s="5">
        <f>HYPERLINK("https://api.qogita.com/variants/link/6629021040075/", "View Product")</f>
        <v/>
      </c>
    </row>
    <row r="16380">
      <c r="A16380" t="inlineStr">
        <is>
          <t>6629021040136</t>
        </is>
      </c>
      <c r="B16380" t="inlineStr">
        <is>
          <t>Astrodome For Her Eau de Parfum 100ml by Azha</t>
        </is>
      </c>
      <c r="C16380" t="inlineStr">
        <is>
          <t>Eau De Parfum</t>
        </is>
      </c>
      <c r="D16380" t="inlineStr">
        <is>
          <t>Azha</t>
        </is>
      </c>
      <c r="E16380" t="n">
        <v>13.37</v>
      </c>
      <c r="F16380" t="n">
        <v>1</v>
      </c>
      <c r="G16380" t="n">
        <v>33</v>
      </c>
      <c r="H16380" s="5">
        <f>HYPERLINK("https://api.qogita.com/variants/link/6629021040136/", "View Product")</f>
        <v/>
      </c>
    </row>
    <row r="16381">
      <c r="A16381" t="inlineStr">
        <is>
          <t>6629021040150</t>
        </is>
      </c>
      <c r="B16381" t="inlineStr">
        <is>
          <t>Intisar For Him EDP 100ml by Azha</t>
        </is>
      </c>
      <c r="C16381" t="inlineStr">
        <is>
          <t>Eau De Parfum</t>
        </is>
      </c>
      <c r="D16381" t="inlineStr">
        <is>
          <t>Azha</t>
        </is>
      </c>
      <c r="E16381" t="n">
        <v>21.47</v>
      </c>
      <c r="F16381" t="n">
        <v>1</v>
      </c>
      <c r="G16381" t="n">
        <v>11</v>
      </c>
      <c r="H16381" s="5">
        <f>HYPERLINK("https://api.qogita.com/variants/link/6629021040150/", "View Product")</f>
        <v/>
      </c>
    </row>
    <row r="16382">
      <c r="A16382" t="inlineStr">
        <is>
          <t>6629021040242</t>
        </is>
      </c>
      <c r="B16382" t="inlineStr">
        <is>
          <t>Azha Explosion Eau De Parfum 100ml</t>
        </is>
      </c>
      <c r="C16382" t="inlineStr">
        <is>
          <t>Eau De Parfum</t>
        </is>
      </c>
      <c r="D16382" t="inlineStr">
        <is>
          <t>Azha</t>
        </is>
      </c>
      <c r="E16382" t="n">
        <v>21.47</v>
      </c>
      <c r="F16382" t="n">
        <v>1</v>
      </c>
      <c r="G16382" t="n">
        <v>9</v>
      </c>
      <c r="H16382" s="5">
        <f>HYPERLINK("https://api.qogita.com/variants/link/6629021040242/", "View Product")</f>
        <v/>
      </c>
    </row>
    <row r="16383">
      <c r="A16383" t="inlineStr">
        <is>
          <t>6629021040334</t>
        </is>
      </c>
      <c r="B16383" t="inlineStr">
        <is>
          <t>Azha Blauer Safran EDP 100ml</t>
        </is>
      </c>
      <c r="C16383" t="inlineStr">
        <is>
          <t>Eau De Parfum</t>
        </is>
      </c>
      <c r="D16383" t="inlineStr">
        <is>
          <t>Azha</t>
        </is>
      </c>
      <c r="E16383" t="n">
        <v>27.64</v>
      </c>
      <c r="F16383" t="n">
        <v>1</v>
      </c>
      <c r="G16383" t="n">
        <v>5</v>
      </c>
      <c r="H16383" s="5">
        <f>HYPERLINK("https://api.qogita.com/variants/link/6629021040334/", "View Product")</f>
        <v/>
      </c>
    </row>
    <row r="16384">
      <c r="A16384" t="inlineStr">
        <is>
          <t>6629021040372</t>
        </is>
      </c>
      <c r="B16384" t="inlineStr">
        <is>
          <t>Azha Woody Drop Eau De Parfum Spray 3.3 Oz for Men</t>
        </is>
      </c>
      <c r="C16384" t="inlineStr">
        <is>
          <t>Eau De Parfum</t>
        </is>
      </c>
      <c r="D16384" t="inlineStr">
        <is>
          <t>Azha</t>
        </is>
      </c>
      <c r="E16384" t="n">
        <v>21.47</v>
      </c>
      <c r="F16384" t="n">
        <v>1</v>
      </c>
      <c r="G16384" t="n">
        <v>9</v>
      </c>
      <c r="H16384" s="5">
        <f>HYPERLINK("https://api.qogita.com/variants/link/6629021040372/", "View Product")</f>
        <v/>
      </c>
    </row>
    <row r="16385">
      <c r="A16385" t="inlineStr">
        <is>
          <t>6629021040525</t>
        </is>
      </c>
      <c r="B16385" t="inlineStr">
        <is>
          <t>Azha Perfume Al Bahr Eau De Parfum 100 Ml For Him</t>
        </is>
      </c>
      <c r="C16385" t="inlineStr">
        <is>
          <t>Eau De Parfum</t>
        </is>
      </c>
      <c r="D16385" t="inlineStr">
        <is>
          <t>Azha</t>
        </is>
      </c>
      <c r="E16385" t="n">
        <v>21.47</v>
      </c>
      <c r="F16385" t="n">
        <v>1</v>
      </c>
      <c r="G16385" t="n">
        <v>11</v>
      </c>
      <c r="H16385" s="5">
        <f>HYPERLINK("https://api.qogita.com/variants/link/6629021040525/", "View Product")</f>
        <v/>
      </c>
    </row>
    <row r="16386">
      <c r="A16386" t="inlineStr">
        <is>
          <t>6629021040570</t>
        </is>
      </c>
      <c r="B16386" t="inlineStr">
        <is>
          <t>Azha Perfume Al Nayyir Eau De Parfum 100 Ml For Her</t>
        </is>
      </c>
      <c r="C16386" t="inlineStr">
        <is>
          <t>Eau De Parfum</t>
        </is>
      </c>
      <c r="D16386" t="inlineStr">
        <is>
          <t>Azha</t>
        </is>
      </c>
      <c r="E16386" t="n">
        <v>21.47</v>
      </c>
      <c r="F16386" t="n">
        <v>1</v>
      </c>
      <c r="G16386" t="n">
        <v>10</v>
      </c>
      <c r="H16386" s="5">
        <f>HYPERLINK("https://api.qogita.com/variants/link/6629021040570/", "View Product")</f>
        <v/>
      </c>
    </row>
    <row r="16387">
      <c r="A16387" t="inlineStr">
        <is>
          <t>6902511222190</t>
        </is>
      </c>
      <c r="B16387" t="inlineStr">
        <is>
          <t>Jo Malone Velvet Rose Oud Eau De Cologne</t>
        </is>
      </c>
      <c r="C16387" t="inlineStr">
        <is>
          <t>Eau De Cologne</t>
        </is>
      </c>
      <c r="D16387" t="inlineStr">
        <is>
          <t>Jo Malone London</t>
        </is>
      </c>
      <c r="E16387" t="n">
        <v>97.66</v>
      </c>
      <c r="F16387" t="n">
        <v>1</v>
      </c>
      <c r="G16387" t="n">
        <v>3</v>
      </c>
      <c r="H16387" s="5">
        <f>HYPERLINK("https://api.qogita.com/variants/link/6902511222190/", "View Product")</f>
        <v/>
      </c>
    </row>
    <row r="16388">
      <c r="A16388" t="inlineStr">
        <is>
          <t>7009535809389</t>
        </is>
      </c>
      <c r="B16388" t="inlineStr">
        <is>
          <t>Ds Laboratories Revita Antihair Loss Tablets 90 Tablets For Hair Growth Support</t>
        </is>
      </c>
      <c r="C16388" t="inlineStr">
        <is>
          <t>Vitamin</t>
        </is>
      </c>
      <c r="D16388" t="inlineStr">
        <is>
          <t>Ds Laboratories</t>
        </is>
      </c>
      <c r="E16388" t="n">
        <v>67.33</v>
      </c>
      <c r="F16388" t="n">
        <v>1</v>
      </c>
      <c r="G16388" t="n">
        <v>14</v>
      </c>
      <c r="H16388" s="5">
        <f>HYPERLINK("https://api.qogita.com/variants/link/7009535809389/", "View Product")</f>
        <v/>
      </c>
    </row>
    <row r="16389">
      <c r="A16389" t="inlineStr">
        <is>
          <t>7290011521004</t>
        </is>
      </c>
      <c r="B16389" t="inlineStr">
        <is>
          <t>Moroccanoil Intense Hydrating Mask 250ml For Medium To Thick Dry Hair</t>
        </is>
      </c>
      <c r="C16389" t="inlineStr">
        <is>
          <t>Hair Masks</t>
        </is>
      </c>
      <c r="D16389" t="inlineStr">
        <is>
          <t>Moroccanoil</t>
        </is>
      </c>
      <c r="E16389" t="n">
        <v>32.25</v>
      </c>
      <c r="F16389" t="n">
        <v>1</v>
      </c>
      <c r="G16389" t="n">
        <v>5</v>
      </c>
      <c r="H16389" s="5">
        <f>HYPERLINK("https://api.qogita.com/variants/link/7290011521004/", "View Product")</f>
        <v/>
      </c>
    </row>
    <row r="16390">
      <c r="A16390" t="inlineStr">
        <is>
          <t>7290011521691</t>
        </is>
      </c>
      <c r="B16390" t="inlineStr">
        <is>
          <t>Moroccanoil Intense Hydrating Mask 75ml</t>
        </is>
      </c>
      <c r="C16390" t="inlineStr">
        <is>
          <t>Hair Masks</t>
        </is>
      </c>
      <c r="D16390" t="inlineStr">
        <is>
          <t>Moroccanoil</t>
        </is>
      </c>
      <c r="E16390" t="n">
        <v>11.69</v>
      </c>
      <c r="F16390" t="n">
        <v>1</v>
      </c>
      <c r="G16390" t="n">
        <v>43</v>
      </c>
      <c r="H16390" s="5">
        <f>HYPERLINK("https://api.qogita.com/variants/link/7290011521691/", "View Product")</f>
        <v/>
      </c>
    </row>
    <row r="16391">
      <c r="A16391" t="inlineStr">
        <is>
          <t>7290011521820</t>
        </is>
      </c>
      <c r="B16391" t="inlineStr">
        <is>
          <t>Moroccanoil Moisturizing Conditioner For Hair With Argan Oil Hydrating Conditioner 70ml</t>
        </is>
      </c>
      <c r="C16391" t="inlineStr">
        <is>
          <t>Conditioner</t>
        </is>
      </c>
      <c r="D16391" t="inlineStr">
        <is>
          <t>Moroccanoil</t>
        </is>
      </c>
      <c r="E16391" t="n">
        <v>8.18</v>
      </c>
      <c r="F16391" t="n">
        <v>1</v>
      </c>
      <c r="G16391" t="n">
        <v>9</v>
      </c>
      <c r="H16391" s="5">
        <f>HYPERLINK("https://api.qogita.com/variants/link/7290011521820/", "View Product")</f>
        <v/>
      </c>
    </row>
    <row r="16392">
      <c r="A16392" t="inlineStr">
        <is>
          <t>7290011521837</t>
        </is>
      </c>
      <c r="B16392" t="inlineStr">
        <is>
          <t>Moroccanoil Hydrating Conditioner 250 Ml Hydrating Conditioner For Hair With Argan Oil</t>
        </is>
      </c>
      <c r="C16392" t="inlineStr">
        <is>
          <t>Conditioner</t>
        </is>
      </c>
      <c r="D16392" t="inlineStr">
        <is>
          <t>Moroccanoil</t>
        </is>
      </c>
      <c r="E16392" t="n">
        <v>19.17</v>
      </c>
      <c r="F16392" t="n">
        <v>1</v>
      </c>
      <c r="G16392" t="n">
        <v>10</v>
      </c>
      <c r="H16392" s="5">
        <f>HYPERLINK("https://api.qogita.com/variants/link/7290011521837/", "View Product")</f>
        <v/>
      </c>
    </row>
    <row r="16393">
      <c r="A16393" t="inlineStr">
        <is>
          <t>7290011521844</t>
        </is>
      </c>
      <c r="B16393" t="inlineStr">
        <is>
          <t>Moroccanoil Hydration Hydrating Conditioner 1000ml For All Hair Types Unisex</t>
        </is>
      </c>
      <c r="C16393" t="inlineStr">
        <is>
          <t>Conditioner</t>
        </is>
      </c>
      <c r="D16393" t="inlineStr">
        <is>
          <t>Moroccanoil</t>
        </is>
      </c>
      <c r="E16393" t="n">
        <v>44.08</v>
      </c>
      <c r="F16393" t="n">
        <v>1</v>
      </c>
      <c r="G16393" t="n">
        <v>41</v>
      </c>
      <c r="H16393" s="5">
        <f>HYPERLINK("https://api.qogita.com/variants/link/7290011521844/", "View Product")</f>
        <v/>
      </c>
    </row>
    <row r="16394">
      <c r="A16394" t="inlineStr">
        <is>
          <t>7290011521950</t>
        </is>
      </c>
      <c r="B16394" t="inlineStr">
        <is>
          <t>Moroccanoil Moisture Repair Shampoo 70ml And 250ml For Weakened And Damaged Hair</t>
        </is>
      </c>
      <c r="C16394" t="inlineStr">
        <is>
          <t>Shampoo</t>
        </is>
      </c>
      <c r="D16394" t="inlineStr">
        <is>
          <t>Moroccanoil</t>
        </is>
      </c>
      <c r="E16394" t="n">
        <v>8.1</v>
      </c>
      <c r="F16394" t="n">
        <v>1</v>
      </c>
      <c r="G16394" t="n">
        <v>5</v>
      </c>
      <c r="H16394" s="5">
        <f>HYPERLINK("https://api.qogita.com/variants/link/7290011521950/", "View Product")</f>
        <v/>
      </c>
    </row>
    <row r="16395">
      <c r="A16395" t="inlineStr">
        <is>
          <t>7290013627216</t>
        </is>
      </c>
      <c r="B16395" t="inlineStr">
        <is>
          <t>Moroccanoil Weightless Hydrating Mask 250 Ml Moisturizing Hair Mask</t>
        </is>
      </c>
      <c r="C16395" t="inlineStr">
        <is>
          <t>Hair Masks</t>
        </is>
      </c>
      <c r="D16395" t="inlineStr">
        <is>
          <t>Moroccanoil</t>
        </is>
      </c>
      <c r="E16395" t="n">
        <v>29.25</v>
      </c>
      <c r="F16395" t="n">
        <v>1</v>
      </c>
      <c r="G16395" t="n">
        <v>61</v>
      </c>
      <c r="H16395" s="5">
        <f>HYPERLINK("https://api.qogita.com/variants/link/7290013627216/", "View Product")</f>
        <v/>
      </c>
    </row>
    <row r="16396">
      <c r="A16396" t="inlineStr">
        <is>
          <t>7290013627506</t>
        </is>
      </c>
      <c r="B16396" t="inlineStr">
        <is>
          <t>Moroccanoil Extra Volume Shampoo 70ml</t>
        </is>
      </c>
      <c r="C16396" t="inlineStr">
        <is>
          <t>Shampoo</t>
        </is>
      </c>
      <c r="D16396" t="inlineStr">
        <is>
          <t>Moroccanoil</t>
        </is>
      </c>
      <c r="E16396" t="n">
        <v>10.44</v>
      </c>
      <c r="F16396" t="n">
        <v>1</v>
      </c>
      <c r="G16396" t="n">
        <v>3</v>
      </c>
      <c r="H16396" s="5">
        <f>HYPERLINK("https://api.qogita.com/variants/link/7290013627506/", "View Product")</f>
        <v/>
      </c>
    </row>
    <row r="16397">
      <c r="A16397" t="inlineStr">
        <is>
          <t>7290014344372</t>
        </is>
      </c>
      <c r="B16397" t="inlineStr">
        <is>
          <t>Moroccanoil Dry Body Oil 100 Ml</t>
        </is>
      </c>
      <c r="C16397" t="inlineStr">
        <is>
          <t>Body Oil</t>
        </is>
      </c>
      <c r="D16397" t="inlineStr">
        <is>
          <t>Moroccanoil</t>
        </is>
      </c>
      <c r="E16397" t="n">
        <v>28.83</v>
      </c>
      <c r="F16397" t="n">
        <v>1</v>
      </c>
      <c r="G16397" t="n">
        <v>24</v>
      </c>
      <c r="H16397" s="5">
        <f>HYPERLINK("https://api.qogita.com/variants/link/7290014344372/", "View Product")</f>
        <v/>
      </c>
    </row>
    <row r="16398">
      <c r="A16398" t="inlineStr">
        <is>
          <t>7290014344440</t>
        </is>
      </c>
      <c r="B16398" t="inlineStr">
        <is>
          <t>Moroccanoil Weightless Hydration Mask 75ml</t>
        </is>
      </c>
      <c r="C16398" t="inlineStr">
        <is>
          <t>Hair Masks</t>
        </is>
      </c>
      <c r="D16398" t="inlineStr">
        <is>
          <t>Moroccanoil</t>
        </is>
      </c>
      <c r="E16398" t="n">
        <v>9.710000000000001</v>
      </c>
      <c r="F16398" t="n">
        <v>1</v>
      </c>
      <c r="G16398" t="n">
        <v>2</v>
      </c>
      <c r="H16398" s="5">
        <f>HYPERLINK("https://api.qogita.com/variants/link/7290014344440/", "View Product")</f>
        <v/>
      </c>
    </row>
    <row r="16399">
      <c r="A16399" t="inlineStr">
        <is>
          <t>7290016033618</t>
        </is>
      </c>
      <c r="B16399" t="inlineStr">
        <is>
          <t>Moroccanoil Styling Dry Texture Spray 60ml Professional Hair Care</t>
        </is>
      </c>
      <c r="C16399" t="inlineStr">
        <is>
          <t>Styling Sprays</t>
        </is>
      </c>
      <c r="D16399" t="inlineStr">
        <is>
          <t>Moroccanoil</t>
        </is>
      </c>
      <c r="E16399" t="n">
        <v>10.44</v>
      </c>
      <c r="F16399" t="n">
        <v>1</v>
      </c>
      <c r="G16399" t="n">
        <v>16</v>
      </c>
      <c r="H16399" s="5">
        <f>HYPERLINK("https://api.qogita.com/variants/link/7290016033618/", "View Product")</f>
        <v/>
      </c>
    </row>
    <row r="16400">
      <c r="A16400" t="inlineStr">
        <is>
          <t>7290113140035</t>
        </is>
      </c>
      <c r="B16400" t="inlineStr">
        <is>
          <t>Moroccanoil Color Care Blonde Perfecting Purple Shampoo 200ml</t>
        </is>
      </c>
      <c r="C16400" t="inlineStr">
        <is>
          <t>Shampoo</t>
        </is>
      </c>
      <c r="D16400" t="inlineStr">
        <is>
          <t>Moroccanoil</t>
        </is>
      </c>
      <c r="E16400" t="n">
        <v>19.25</v>
      </c>
      <c r="F16400" t="n">
        <v>1</v>
      </c>
      <c r="G16400" t="n">
        <v>10</v>
      </c>
      <c r="H16400" s="5">
        <f>HYPERLINK("https://api.qogita.com/variants/link/7290113140035/", "View Product")</f>
        <v/>
      </c>
    </row>
    <row r="16401">
      <c r="A16401" t="inlineStr">
        <is>
          <t>7290113140042</t>
        </is>
      </c>
      <c r="B16401" t="inlineStr">
        <is>
          <t>Moroccanoil Color Care Blonde Perfecting Purple Shampoo 70ml</t>
        </is>
      </c>
      <c r="C16401" t="inlineStr">
        <is>
          <t>Shampoo</t>
        </is>
      </c>
      <c r="D16401" t="inlineStr">
        <is>
          <t>Moroccanoil</t>
        </is>
      </c>
      <c r="E16401" t="n">
        <v>9.640000000000001</v>
      </c>
      <c r="F16401" t="n">
        <v>1</v>
      </c>
      <c r="G16401" t="n">
        <v>3</v>
      </c>
      <c r="H16401" s="5">
        <f>HYPERLINK("https://api.qogita.com/variants/link/7290113140042/", "View Product")</f>
        <v/>
      </c>
    </row>
    <row r="16402">
      <c r="A16402" t="inlineStr">
        <is>
          <t>7290113140745</t>
        </is>
      </c>
      <c r="B16402" t="inlineStr">
        <is>
          <t>Moroccanoil Bordeaux Hair Toning Mask 200ml</t>
        </is>
      </c>
      <c r="C16402" t="inlineStr">
        <is>
          <t>Hair Masks</t>
        </is>
      </c>
      <c r="D16402" t="inlineStr">
        <is>
          <t>Moroccanoil</t>
        </is>
      </c>
      <c r="E16402" t="n">
        <v>24.23</v>
      </c>
      <c r="F16402" t="n">
        <v>1</v>
      </c>
      <c r="G16402" t="n">
        <v>2</v>
      </c>
      <c r="H16402" s="5">
        <f>HYPERLINK("https://api.qogita.com/variants/link/7290113140745/", "View Product")</f>
        <v/>
      </c>
    </row>
    <row r="16403">
      <c r="A16403" t="inlineStr">
        <is>
          <t>7290113141230</t>
        </is>
      </c>
      <c r="B16403" t="inlineStr">
        <is>
          <t>Moroccanoil Brumes Du Maroc 100ml</t>
        </is>
      </c>
      <c r="C16403" t="inlineStr">
        <is>
          <t>Hair Oil &amp; Hair Serum</t>
        </is>
      </c>
      <c r="D16403" t="inlineStr">
        <is>
          <t>Moroccanoil</t>
        </is>
      </c>
      <c r="E16403" t="n">
        <v>25.48</v>
      </c>
      <c r="F16403" t="n">
        <v>1</v>
      </c>
      <c r="G16403" t="n">
        <v>11</v>
      </c>
      <c r="H16403" s="5">
        <f>HYPERLINK("https://api.qogita.com/variants/link/7290113141230/", "View Product")</f>
        <v/>
      </c>
    </row>
    <row r="16404">
      <c r="A16404" t="inlineStr">
        <is>
          <t>7290113142862</t>
        </is>
      </c>
      <c r="B16404" t="inlineStr">
        <is>
          <t>Moroccanoil Color Depositing Mask Copper 200ml</t>
        </is>
      </c>
      <c r="C16404" t="inlineStr">
        <is>
          <t>Hair Masks</t>
        </is>
      </c>
      <c r="D16404" t="inlineStr">
        <is>
          <t>Moroccanoil</t>
        </is>
      </c>
      <c r="E16404" t="n">
        <v>23.96</v>
      </c>
      <c r="F16404" t="n">
        <v>1</v>
      </c>
      <c r="G16404" t="n">
        <v>23</v>
      </c>
      <c r="H16404" s="5">
        <f>HYPERLINK("https://api.qogita.com/variants/link/7290113142862/", "View Product")</f>
        <v/>
      </c>
    </row>
    <row r="16405">
      <c r="A16405" t="inlineStr">
        <is>
          <t>7290113142985</t>
        </is>
      </c>
      <c r="B16405" t="inlineStr">
        <is>
          <t>Moroccanoil Volumizing Mist 50ml</t>
        </is>
      </c>
      <c r="C16405" t="inlineStr">
        <is>
          <t>Hair Care Sets</t>
        </is>
      </c>
      <c r="D16405" t="inlineStr">
        <is>
          <t>Moroccanoil</t>
        </is>
      </c>
      <c r="E16405" t="n">
        <v>12.92</v>
      </c>
      <c r="F16405" t="n">
        <v>1</v>
      </c>
      <c r="G16405" t="n">
        <v>27</v>
      </c>
      <c r="H16405" s="5">
        <f>HYPERLINK("https://api.qogita.com/variants/link/7290113142985/", "View Product")</f>
        <v/>
      </c>
    </row>
    <row r="16406">
      <c r="A16406" t="inlineStr">
        <is>
          <t>7290113145191</t>
        </is>
      </c>
      <c r="B16406" t="inlineStr">
        <is>
          <t>Moroccanoil Original Fragrance Bath Gel 250ml By Moroccanoil</t>
        </is>
      </c>
      <c r="C16406" t="inlineStr">
        <is>
          <t>Shower Gel</t>
        </is>
      </c>
      <c r="D16406" t="inlineStr">
        <is>
          <t>Moroccanoil</t>
        </is>
      </c>
      <c r="E16406" t="n">
        <v>17.5</v>
      </c>
      <c r="F16406" t="n">
        <v>1</v>
      </c>
      <c r="G16406" t="n">
        <v>20</v>
      </c>
      <c r="H16406" s="5">
        <f>HYPERLINK("https://api.qogita.com/variants/link/7290113145191/", "View Product")</f>
        <v/>
      </c>
    </row>
    <row r="16407">
      <c r="A16407" t="inlineStr">
        <is>
          <t>7290113145245</t>
        </is>
      </c>
      <c r="B16407" t="inlineStr">
        <is>
          <t>Moroccanoil Body Souffle Body Lotion 200ml</t>
        </is>
      </c>
      <c r="C16407" t="inlineStr">
        <is>
          <t>Body Lotion</t>
        </is>
      </c>
      <c r="D16407" t="inlineStr">
        <is>
          <t>Moroccanoil</t>
        </is>
      </c>
      <c r="E16407" t="n">
        <v>29.17</v>
      </c>
      <c r="F16407" t="n">
        <v>1</v>
      </c>
      <c r="G16407" t="n">
        <v>4</v>
      </c>
      <c r="H16407" s="5">
        <f>HYPERLINK("https://api.qogita.com/variants/link/7290113145245/", "View Product")</f>
        <v/>
      </c>
    </row>
    <row r="16408">
      <c r="A16408" t="inlineStr">
        <is>
          <t>7290113145825</t>
        </is>
      </c>
      <c r="B16408" t="inlineStr">
        <is>
          <t>Moroccanoil Color Care Shampoo For Dyed Hair</t>
        </is>
      </c>
      <c r="C16408" t="inlineStr">
        <is>
          <t>Shampoo</t>
        </is>
      </c>
      <c r="D16408" t="inlineStr">
        <is>
          <t>Moroccanoil</t>
        </is>
      </c>
      <c r="E16408" t="n">
        <v>55.37</v>
      </c>
      <c r="F16408" t="n">
        <v>1</v>
      </c>
      <c r="G16408" t="n">
        <v>3</v>
      </c>
      <c r="H16408" s="5">
        <f>HYPERLINK("https://api.qogita.com/variants/link/7290113145825/", "View Product")</f>
        <v/>
      </c>
    </row>
    <row r="16409">
      <c r="A16409" t="inlineStr">
        <is>
          <t>7290113146372</t>
        </is>
      </c>
      <c r="B16409" t="inlineStr">
        <is>
          <t>Moroccanoil Ambiance De Plage Hand Wash 360ml Liquid Hand Soap With Argan Oil And Hyaluronic Acid</t>
        </is>
      </c>
      <c r="C16409" t="inlineStr">
        <is>
          <t>Hand Soap</t>
        </is>
      </c>
      <c r="D16409" t="inlineStr">
        <is>
          <t>Moroccanoil</t>
        </is>
      </c>
      <c r="E16409" t="n">
        <v>16.21</v>
      </c>
      <c r="F16409" t="n">
        <v>1</v>
      </c>
      <c r="G16409" t="n">
        <v>5</v>
      </c>
      <c r="H16409" s="5">
        <f>HYPERLINK("https://api.qogita.com/variants/link/7290113146372/", "View Product")</f>
        <v/>
      </c>
    </row>
    <row r="16410">
      <c r="A16410" t="inlineStr">
        <is>
          <t>7290113146464</t>
        </is>
      </c>
      <c r="B16410" t="inlineStr">
        <is>
          <t>Moroccanoil Hand Cream Ambiance de Plage 1.4 Fl Oz</t>
        </is>
      </c>
      <c r="C16410" t="inlineStr">
        <is>
          <t>Hand Cream</t>
        </is>
      </c>
      <c r="D16410" t="inlineStr">
        <is>
          <t>Moroccanoil</t>
        </is>
      </c>
      <c r="E16410" t="n">
        <v>9.550000000000001</v>
      </c>
      <c r="F16410" t="n">
        <v>1</v>
      </c>
      <c r="G16410" t="n">
        <v>5</v>
      </c>
      <c r="H16410" s="5">
        <f>HYPERLINK("https://api.qogita.com/variants/link/7290113146464/", "View Product")</f>
        <v/>
      </c>
    </row>
    <row r="16411">
      <c r="A16411" t="inlineStr">
        <is>
          <t>7290113146471</t>
        </is>
      </c>
      <c r="B16411" t="inlineStr">
        <is>
          <t>Moroccanoil Bergamote Fraiche Hand Cream 100ml Intensive Hydrating Hand Cream</t>
        </is>
      </c>
      <c r="C16411" t="inlineStr">
        <is>
          <t>Hand Cream</t>
        </is>
      </c>
      <c r="D16411" t="inlineStr">
        <is>
          <t>Moroccanoil</t>
        </is>
      </c>
      <c r="E16411" t="n">
        <v>16.21</v>
      </c>
      <c r="F16411" t="n">
        <v>1</v>
      </c>
      <c r="G16411" t="n">
        <v>9</v>
      </c>
      <c r="H16411" s="5">
        <f>HYPERLINK("https://api.qogita.com/variants/link/7290113146471/", "View Product")</f>
        <v/>
      </c>
    </row>
    <row r="16412">
      <c r="A16412" t="inlineStr">
        <is>
          <t>7290113146495</t>
        </is>
      </c>
      <c r="B16412" t="inlineStr">
        <is>
          <t>Moroccanoil Spa Du Maroc Hand Cream Intensive Hydrating Hand Cream 100ml</t>
        </is>
      </c>
      <c r="C16412" t="inlineStr">
        <is>
          <t>Hand Cream</t>
        </is>
      </c>
      <c r="D16412" t="inlineStr">
        <is>
          <t>Moroccanoil</t>
        </is>
      </c>
      <c r="E16412" t="n">
        <v>18.13</v>
      </c>
      <c r="F16412" t="n">
        <v>1</v>
      </c>
      <c r="G16412" t="n">
        <v>3</v>
      </c>
      <c r="H16412" s="5">
        <f>HYPERLINK("https://api.qogita.com/variants/link/7290113146495/", "View Product")</f>
        <v/>
      </c>
    </row>
    <row r="16413">
      <c r="A16413" t="inlineStr">
        <is>
          <t>7290116972510</t>
        </is>
      </c>
      <c r="B16413" t="inlineStr">
        <is>
          <t>Moroccanoil Frizz Control Conditioner 70ml</t>
        </is>
      </c>
      <c r="C16413" t="inlineStr">
        <is>
          <t>Conditioner</t>
        </is>
      </c>
      <c r="D16413" t="inlineStr">
        <is>
          <t>Moroccanoil</t>
        </is>
      </c>
      <c r="E16413" t="n">
        <v>10.15</v>
      </c>
      <c r="F16413" t="n">
        <v>1</v>
      </c>
      <c r="G16413" t="n">
        <v>3</v>
      </c>
      <c r="H16413" s="5">
        <f>HYPERLINK("https://api.qogita.com/variants/link/7290116972510/", "View Product")</f>
        <v/>
      </c>
    </row>
    <row r="16414">
      <c r="A16414" t="inlineStr">
        <is>
          <t>7290116974071</t>
        </is>
      </c>
      <c r="B16414" t="inlineStr">
        <is>
          <t>Moroccanoil Body Dahlia Rouge Hand Cream 40 ml</t>
        </is>
      </c>
      <c r="C16414" t="inlineStr">
        <is>
          <t>Hand Cream</t>
        </is>
      </c>
      <c r="D16414" t="inlineStr">
        <is>
          <t>Moroccanoil</t>
        </is>
      </c>
      <c r="E16414" t="n">
        <v>8.75</v>
      </c>
      <c r="F16414" t="n">
        <v>1</v>
      </c>
      <c r="G16414" t="n">
        <v>3</v>
      </c>
      <c r="H16414" s="5">
        <f>HYPERLINK("https://api.qogita.com/variants/link/7290116974071/", "View Product")</f>
        <v/>
      </c>
    </row>
    <row r="16415">
      <c r="A16415" t="inlineStr">
        <is>
          <t>7290116977713</t>
        </is>
      </c>
      <c r="B16415" t="inlineStr">
        <is>
          <t>Repair and Restore Spring Set</t>
        </is>
      </c>
      <c r="C16415" t="inlineStr">
        <is>
          <t>Hair Care Sets</t>
        </is>
      </c>
      <c r="D16415" t="inlineStr">
        <is>
          <t>Moroccanoil</t>
        </is>
      </c>
      <c r="E16415" t="n">
        <v>44.53</v>
      </c>
      <c r="F16415" t="n">
        <v>1</v>
      </c>
      <c r="G16415" t="n">
        <v>2</v>
      </c>
      <c r="H16415" s="5">
        <f>HYPERLINK("https://api.qogita.com/variants/link/7290116977713/", "View Product")</f>
        <v/>
      </c>
    </row>
    <row r="16416">
      <c r="A16416" t="inlineStr">
        <is>
          <t>7317400002347</t>
        </is>
      </c>
      <c r="B16416" t="inlineStr">
        <is>
          <t>TePe Interdental Brush 0.6 blue xsoft</t>
        </is>
      </c>
      <c r="C16416" t="inlineStr">
        <is>
          <t>Mouth &amp; Gum Care</t>
        </is>
      </c>
      <c r="D16416" t="inlineStr">
        <is>
          <t>Tepe</t>
        </is>
      </c>
      <c r="E16416" t="n">
        <v>4.04</v>
      </c>
      <c r="F16416" t="n">
        <v>1</v>
      </c>
      <c r="G16416" t="n">
        <v>7</v>
      </c>
      <c r="H16416" s="5">
        <f>HYPERLINK("https://api.qogita.com/variants/link/7317400002347/", "View Product")</f>
        <v/>
      </c>
    </row>
    <row r="16417">
      <c r="A16417" t="inlineStr">
        <is>
          <t>7317400011561</t>
        </is>
      </c>
      <c r="B16417" t="inlineStr">
        <is>
          <t>Tepe Interdental Brush Angle Blue 06 Mm 6 Pieces</t>
        </is>
      </c>
      <c r="C16417" t="inlineStr">
        <is>
          <t>Mouth &amp; Gum Care</t>
        </is>
      </c>
      <c r="D16417" t="inlineStr">
        <is>
          <t>Tepe</t>
        </is>
      </c>
      <c r="E16417" t="n">
        <v>3.88</v>
      </c>
      <c r="F16417" t="n">
        <v>1</v>
      </c>
      <c r="G16417" t="n">
        <v>16</v>
      </c>
      <c r="H16417" s="5">
        <f>HYPERLINK("https://api.qogita.com/variants/link/7317400011561/", "View Product")</f>
        <v/>
      </c>
    </row>
    <row r="16418">
      <c r="A16418" t="inlineStr">
        <is>
          <t>7317400015392</t>
        </is>
      </c>
      <c r="B16418" t="inlineStr">
        <is>
          <t>Tepe Interdental Brush Normal 07 Mm Yellow 8 Pcs</t>
        </is>
      </c>
      <c r="C16418" t="inlineStr">
        <is>
          <t>Mouth &amp; Gum Care</t>
        </is>
      </c>
      <c r="D16418" t="inlineStr">
        <is>
          <t>Tepe</t>
        </is>
      </c>
      <c r="E16418" t="n">
        <v>3.81</v>
      </c>
      <c r="F16418" t="n">
        <v>1</v>
      </c>
      <c r="G16418" t="n">
        <v>32</v>
      </c>
      <c r="H16418" s="5">
        <f>HYPERLINK("https://api.qogita.com/variants/link/7317400015392/", "View Product")</f>
        <v/>
      </c>
    </row>
    <row r="16419">
      <c r="A16419" t="inlineStr">
        <is>
          <t>7317400015453</t>
        </is>
      </c>
      <c r="B16419" t="inlineStr">
        <is>
          <t>Tepe Interdental Brush Normal 11 Mm Purple 8 Pieces</t>
        </is>
      </c>
      <c r="C16419" t="inlineStr">
        <is>
          <t>Mouth &amp; Gum Care</t>
        </is>
      </c>
      <c r="D16419" t="inlineStr">
        <is>
          <t>Tepe</t>
        </is>
      </c>
      <c r="E16419" t="n">
        <v>3.78</v>
      </c>
      <c r="F16419" t="n">
        <v>1</v>
      </c>
      <c r="G16419" t="n">
        <v>5</v>
      </c>
      <c r="H16419" s="5">
        <f>HYPERLINK("https://api.qogita.com/variants/link/7317400015453/", "View Product")</f>
        <v/>
      </c>
    </row>
    <row r="16420">
      <c r="A16420" t="inlineStr">
        <is>
          <t>7317400015484</t>
        </is>
      </c>
      <c r="B16420" t="inlineStr">
        <is>
          <t>Tepe Original Interdental Brushes 1.3mm 8 Pieces Grey</t>
        </is>
      </c>
      <c r="C16420" t="inlineStr">
        <is>
          <t>Mouth &amp; Gum Care</t>
        </is>
      </c>
      <c r="D16420" t="inlineStr">
        <is>
          <t>Tepe</t>
        </is>
      </c>
      <c r="E16420" t="n">
        <v>4.07</v>
      </c>
      <c r="F16420" t="n">
        <v>1</v>
      </c>
      <c r="G16420" t="n">
        <v>30</v>
      </c>
      <c r="H16420" s="5">
        <f>HYPERLINK("https://api.qogita.com/variants/link/7317400015484/", "View Product")</f>
        <v/>
      </c>
    </row>
    <row r="16421">
      <c r="A16421" t="inlineStr">
        <is>
          <t>7317400015514</t>
        </is>
      </c>
      <c r="B16421" t="inlineStr">
        <is>
          <t>Tepe Interdental Brush Original Black 1.5mm Iso 8</t>
        </is>
      </c>
      <c r="C16421" t="inlineStr">
        <is>
          <t>Mouth &amp; Gum Care</t>
        </is>
      </c>
      <c r="D16421" t="inlineStr">
        <is>
          <t>Tepe</t>
        </is>
      </c>
      <c r="E16421" t="n">
        <v>4.07</v>
      </c>
      <c r="F16421" t="n">
        <v>1</v>
      </c>
      <c r="G16421" t="n">
        <v>10</v>
      </c>
      <c r="H16421" s="5">
        <f>HYPERLINK("https://api.qogita.com/variants/link/7317400015514/", "View Product")</f>
        <v/>
      </c>
    </row>
    <row r="16422">
      <c r="A16422" t="inlineStr">
        <is>
          <t>7319470012127</t>
        </is>
      </c>
      <c r="B16422" t="inlineStr">
        <is>
          <t>Nivea Sun Protect &amp; Bronze Sun Spray SPF20 200ml</t>
        </is>
      </c>
      <c r="C16422" t="inlineStr">
        <is>
          <t>Body Sun Protection</t>
        </is>
      </c>
      <c r="D16422" t="inlineStr">
        <is>
          <t>Nivea Sun</t>
        </is>
      </c>
      <c r="E16422" t="n">
        <v>12.99</v>
      </c>
      <c r="F16422" t="n">
        <v>1</v>
      </c>
      <c r="G16422" t="n">
        <v>14</v>
      </c>
      <c r="H16422" s="5">
        <f>HYPERLINK("https://api.qogita.com/variants/link/7319470012127/", "View Product")</f>
        <v/>
      </c>
    </row>
    <row r="16423">
      <c r="A16423" t="inlineStr">
        <is>
          <t>7340032815238</t>
        </is>
      </c>
      <c r="B16423" t="inlineStr">
        <is>
          <t>Byredo Super Cedar Eau De Parfum 50ml Unisex Spray</t>
        </is>
      </c>
      <c r="C16423" t="inlineStr">
        <is>
          <t>Eau De Parfum</t>
        </is>
      </c>
      <c r="D16423" t="inlineStr">
        <is>
          <t>Byredo</t>
        </is>
      </c>
      <c r="E16423" t="n">
        <v>149.95</v>
      </c>
      <c r="F16423" t="n">
        <v>1</v>
      </c>
      <c r="G16423" t="n">
        <v>3</v>
      </c>
      <c r="H16423" s="5">
        <f>HYPERLINK("https://api.qogita.com/variants/link/7340032815238/", "View Product")</f>
        <v/>
      </c>
    </row>
    <row r="16424">
      <c r="A16424" t="inlineStr">
        <is>
          <t>7340032821024</t>
        </is>
      </c>
      <c r="B16424" t="inlineStr">
        <is>
          <t>Byredo Eleventh Hour Eau De Parfum 100ml</t>
        </is>
      </c>
      <c r="C16424" t="inlineStr">
        <is>
          <t>Eau De Parfum</t>
        </is>
      </c>
      <c r="D16424" t="inlineStr">
        <is>
          <t>Byredo</t>
        </is>
      </c>
      <c r="E16424" t="n">
        <v>160.84</v>
      </c>
      <c r="F16424" t="n">
        <v>1</v>
      </c>
      <c r="G16424" t="n">
        <v>11</v>
      </c>
      <c r="H16424" s="5">
        <f>HYPERLINK("https://api.qogita.com/variants/link/7340032821024/", "View Product")</f>
        <v/>
      </c>
    </row>
    <row r="16425">
      <c r="A16425" t="inlineStr">
        <is>
          <t>7340032857801</t>
        </is>
      </c>
      <c r="B16425" t="inlineStr">
        <is>
          <t>Byredo Mumbai Noise Eau De Parfum Spray 50ml</t>
        </is>
      </c>
      <c r="C16425" t="inlineStr">
        <is>
          <t>Eau De Parfum</t>
        </is>
      </c>
      <c r="D16425" t="inlineStr">
        <is>
          <t>Byredo</t>
        </is>
      </c>
      <c r="E16425" t="n">
        <v>112.29</v>
      </c>
      <c r="F16425" t="n">
        <v>1</v>
      </c>
      <c r="G16425" t="n">
        <v>4</v>
      </c>
      <c r="H16425" s="5">
        <f>HYPERLINK("https://api.qogita.com/variants/link/7340032857801/", "View Product")</f>
        <v/>
      </c>
    </row>
    <row r="16426">
      <c r="A16426" t="inlineStr">
        <is>
          <t>7340032860696</t>
        </is>
      </c>
      <c r="B16426" t="inlineStr">
        <is>
          <t>Byredo Gypsy Water Hair Perfume 75ml</t>
        </is>
      </c>
      <c r="C16426" t="inlineStr">
        <is>
          <t>Eau De Parfum</t>
        </is>
      </c>
      <c r="D16426" t="inlineStr">
        <is>
          <t>Byredo</t>
        </is>
      </c>
      <c r="E16426" t="n">
        <v>49.98</v>
      </c>
      <c r="F16426" t="n">
        <v>1</v>
      </c>
      <c r="G16426" t="n">
        <v>2</v>
      </c>
      <c r="H16426" s="5">
        <f>HYPERLINK("https://api.qogita.com/variants/link/7340032860696/", "View Product")</f>
        <v/>
      </c>
    </row>
    <row r="16427">
      <c r="A16427" t="inlineStr">
        <is>
          <t>7340032860962</t>
        </is>
      </c>
      <c r="B16427" t="inlineStr">
        <is>
          <t>Rose Of No Mans Land By Byredo Hair Perfume 2.5 Oz</t>
        </is>
      </c>
      <c r="C16427" t="inlineStr">
        <is>
          <t>Eau De Parfum</t>
        </is>
      </c>
      <c r="D16427" t="inlineStr">
        <is>
          <t>Byredo</t>
        </is>
      </c>
      <c r="E16427" t="n">
        <v>55.36</v>
      </c>
      <c r="F16427" t="n">
        <v>1</v>
      </c>
      <c r="G16427" t="n">
        <v>5</v>
      </c>
      <c r="H16427" s="5">
        <f>HYPERLINK("https://api.qogita.com/variants/link/7340032860962/", "View Product")</f>
        <v/>
      </c>
    </row>
    <row r="16428">
      <c r="A16428" t="inlineStr">
        <is>
          <t>7340032875294</t>
        </is>
      </c>
      <c r="B16428" t="inlineStr">
        <is>
          <t>Byredo Gypsy Water Eau De Parfum</t>
        </is>
      </c>
      <c r="C16428" t="inlineStr">
        <is>
          <t>Eau De Parfum</t>
        </is>
      </c>
      <c r="D16428" t="inlineStr">
        <is>
          <t>Byredo</t>
        </is>
      </c>
      <c r="E16428" t="n">
        <v>174.05</v>
      </c>
      <c r="F16428" t="n">
        <v>1</v>
      </c>
      <c r="G16428" t="n">
        <v>10</v>
      </c>
      <c r="H16428" s="5">
        <f>HYPERLINK("https://api.qogita.com/variants/link/7340032875294/", "View Product")</f>
        <v/>
      </c>
    </row>
    <row r="16429">
      <c r="A16429" t="inlineStr">
        <is>
          <t>7350016331043</t>
        </is>
      </c>
      <c r="B16429" t="inlineStr">
        <is>
          <t>SACHAJUAN Conditioner 250ml</t>
        </is>
      </c>
      <c r="C16429" t="inlineStr">
        <is>
          <t>Conditioner</t>
        </is>
      </c>
      <c r="D16429" t="inlineStr">
        <is>
          <t>Sachajuan</t>
        </is>
      </c>
      <c r="E16429" t="n">
        <v>19.03</v>
      </c>
      <c r="F16429" t="n">
        <v>1</v>
      </c>
      <c r="G16429" t="n">
        <v>4</v>
      </c>
      <c r="H16429" s="5">
        <f>HYPERLINK("https://api.qogita.com/variants/link/7350016331043/", "View Product")</f>
        <v/>
      </c>
    </row>
    <row r="16430">
      <c r="A16430" t="inlineStr">
        <is>
          <t>7350016331159</t>
        </is>
      </c>
      <c r="B16430" t="inlineStr">
        <is>
          <t>SACHAJUAN Shine Serum 30ml</t>
        </is>
      </c>
      <c r="C16430" t="inlineStr">
        <is>
          <t>Hair Oil &amp; Hair Serum</t>
        </is>
      </c>
      <c r="D16430" t="inlineStr">
        <is>
          <t>Sachajuan</t>
        </is>
      </c>
      <c r="E16430" t="n">
        <v>19.79</v>
      </c>
      <c r="F16430" t="n">
        <v>1</v>
      </c>
      <c r="G16430" t="n">
        <v>5</v>
      </c>
      <c r="H16430" s="5">
        <f>HYPERLINK("https://api.qogita.com/variants/link/7350016331159/", "View Product")</f>
        <v/>
      </c>
    </row>
    <row r="16431">
      <c r="A16431" t="inlineStr">
        <is>
          <t>7350016331203</t>
        </is>
      </c>
      <c r="B16431" t="inlineStr">
        <is>
          <t>SACHAJUAN Styling Ocean Mist Blue 50ml</t>
        </is>
      </c>
      <c r="C16431" t="inlineStr">
        <is>
          <t>Styling Sprays</t>
        </is>
      </c>
      <c r="D16431" t="inlineStr">
        <is>
          <t>Sachajuan</t>
        </is>
      </c>
      <c r="E16431" t="n">
        <v>10.08</v>
      </c>
      <c r="F16431" t="n">
        <v>1</v>
      </c>
      <c r="G16431" t="n">
        <v>14</v>
      </c>
      <c r="H16431" s="5">
        <f>HYPERLINK("https://api.qogita.com/variants/link/7350016331203/", "View Product")</f>
        <v/>
      </c>
    </row>
    <row r="16432">
      <c r="A16432" t="inlineStr">
        <is>
          <t>7350016331258</t>
        </is>
      </c>
      <c r="B16432" t="inlineStr">
        <is>
          <t>Sachajuan Curl Treatment Nourishing Treatment For Curly And Wavy Hair 220 Ml</t>
        </is>
      </c>
      <c r="C16432" t="inlineStr">
        <is>
          <t>Hair Masks</t>
        </is>
      </c>
      <c r="D16432" t="inlineStr">
        <is>
          <t>Sachajuan</t>
        </is>
      </c>
      <c r="E16432" t="n">
        <v>20.61</v>
      </c>
      <c r="F16432" t="n">
        <v>1</v>
      </c>
      <c r="G16432" t="n">
        <v>5</v>
      </c>
      <c r="H16432" s="5">
        <f>HYPERLINK("https://api.qogita.com/variants/link/7350016331258/", "View Product")</f>
        <v/>
      </c>
    </row>
    <row r="16433">
      <c r="A16433" t="inlineStr">
        <is>
          <t>7350016331357</t>
        </is>
      </c>
      <c r="B16433" t="inlineStr">
        <is>
          <t>Sachajuan Normal Hair Conditioner</t>
        </is>
      </c>
      <c r="C16433" t="inlineStr">
        <is>
          <t>Conditioner</t>
        </is>
      </c>
      <c r="D16433" t="inlineStr">
        <is>
          <t>Sachajuan</t>
        </is>
      </c>
      <c r="E16433" t="n">
        <v>10.53</v>
      </c>
      <c r="F16433" t="n">
        <v>1</v>
      </c>
      <c r="G16433" t="n">
        <v>4</v>
      </c>
      <c r="H16433" s="5">
        <f>HYPERLINK("https://api.qogita.com/variants/link/7350016331357/", "View Product")</f>
        <v/>
      </c>
    </row>
    <row r="16434">
      <c r="A16434" t="inlineStr">
        <is>
          <t>0000000945851</t>
        </is>
      </c>
      <c r="B16434" t="inlineStr">
        <is>
          <t>Opi Nail Lacquer - Nail Polish 15 Ml Nl B29 Do You Lilac It</t>
        </is>
      </c>
      <c r="C16434" t="inlineStr">
        <is>
          <t>Nail Polish</t>
        </is>
      </c>
      <c r="D16434" t="inlineStr">
        <is>
          <t>OPI</t>
        </is>
      </c>
      <c r="E16434" t="n">
        <v>9.380000000000001</v>
      </c>
      <c r="F16434" t="n">
        <v>1</v>
      </c>
      <c r="G16434" t="n">
        <v>5</v>
      </c>
      <c r="H16434" s="5">
        <f>HYPERLINK("https://api.qogita.com/variants/link/0000000945851/", "View Product")</f>
        <v/>
      </c>
    </row>
    <row r="16435">
      <c r="A16435" t="inlineStr">
        <is>
          <t>0000009433618</t>
        </is>
      </c>
      <c r="B16435" t="inlineStr">
        <is>
          <t>Nail Lacquer Lucky Lucky Lavender 14.7ml</t>
        </is>
      </c>
      <c r="C16435" t="inlineStr">
        <is>
          <t>Nail Polish</t>
        </is>
      </c>
      <c r="D16435" t="inlineStr">
        <is>
          <t>OPI</t>
        </is>
      </c>
      <c r="E16435" t="n">
        <v>8.460000000000001</v>
      </c>
      <c r="F16435" t="n">
        <v>1</v>
      </c>
      <c r="G16435" t="n">
        <v>2</v>
      </c>
      <c r="H16435" s="5">
        <f>HYPERLINK("https://api.qogita.com/variants/link/0000009433618/", "View Product")</f>
        <v/>
      </c>
    </row>
    <row r="16436">
      <c r="A16436" t="inlineStr">
        <is>
          <t>0000030098756</t>
        </is>
      </c>
      <c r="B16436" t="inlineStr">
        <is>
          <t>Maybelline the Colossal Volum' Express Mascara 10.7ml - Smoky Eyes</t>
        </is>
      </c>
      <c r="C16436" t="inlineStr">
        <is>
          <t>Mascara</t>
        </is>
      </c>
      <c r="D16436" t="inlineStr">
        <is>
          <t>Maybelline</t>
        </is>
      </c>
      <c r="E16436" t="n">
        <v>4.61</v>
      </c>
      <c r="F16436" t="n">
        <v>1</v>
      </c>
      <c r="G16436" t="n">
        <v>72</v>
      </c>
      <c r="H16436" s="5">
        <f>HYPERLINK("https://api.qogita.com/variants/link/0000030098756/", "View Product")</f>
        <v/>
      </c>
    </row>
    <row r="16437">
      <c r="A16437" t="inlineStr">
        <is>
          <t>0000030122369</t>
        </is>
      </c>
      <c r="B16437" t="inlineStr">
        <is>
          <t>Rimmel Long Lasting Gel Nail Polish 001 Basic B</t>
        </is>
      </c>
      <c r="C16437" t="inlineStr">
        <is>
          <t>Gel Polish</t>
        </is>
      </c>
      <c r="D16437" t="inlineStr">
        <is>
          <t>Rimmel London</t>
        </is>
      </c>
      <c r="E16437" t="n">
        <v>1.52</v>
      </c>
      <c r="F16437" t="n">
        <v>1</v>
      </c>
      <c r="G16437" t="n">
        <v>6</v>
      </c>
      <c r="H16437" s="5">
        <f>HYPERLINK("https://api.qogita.com/variants/link/0000030122369/", "View Product")</f>
        <v/>
      </c>
    </row>
    <row r="16438">
      <c r="A16438" t="inlineStr">
        <is>
          <t>0000030143401</t>
        </is>
      </c>
      <c r="B16438" t="inlineStr">
        <is>
          <t>Maybelline Colossal Big Shot Mascara 9.5ml</t>
        </is>
      </c>
      <c r="C16438" t="inlineStr">
        <is>
          <t>Mascara</t>
        </is>
      </c>
      <c r="D16438" t="inlineStr">
        <is>
          <t>Maybelline</t>
        </is>
      </c>
      <c r="E16438" t="n">
        <v>8.550000000000001</v>
      </c>
      <c r="F16438" t="n">
        <v>1</v>
      </c>
      <c r="G16438" t="n">
        <v>5</v>
      </c>
      <c r="H16438" s="5">
        <f>HYPERLINK("https://api.qogita.com/variants/link/0000030143401/", "View Product")</f>
        <v/>
      </c>
    </row>
    <row r="16439">
      <c r="A16439" t="inlineStr">
        <is>
          <t>0000030144224</t>
        </is>
      </c>
      <c r="B16439" t="inlineStr">
        <is>
          <t>Maybelline New York Sensational Firework Volumizing Mascara 360 Lash By Lash</t>
        </is>
      </c>
      <c r="C16439" t="inlineStr">
        <is>
          <t>Mascara</t>
        </is>
      </c>
      <c r="D16439" t="inlineStr">
        <is>
          <t>Maybelline</t>
        </is>
      </c>
      <c r="E16439" t="n">
        <v>7.07</v>
      </c>
      <c r="F16439" t="n">
        <v>1</v>
      </c>
      <c r="G16439" t="n">
        <v>3</v>
      </c>
      <c r="H16439" s="5">
        <f>HYPERLINK("https://api.qogita.com/variants/link/0000030144224/", "View Product")</f>
        <v/>
      </c>
    </row>
    <row r="16440">
      <c r="A16440" t="inlineStr">
        <is>
          <t>0000030144309</t>
        </is>
      </c>
      <c r="B16440" t="inlineStr">
        <is>
          <t>Maybelline Matte Liquid Lipstick Super Stay Teddy Tint - 5 Ml</t>
        </is>
      </c>
      <c r="C16440" t="inlineStr">
        <is>
          <t>Lipstick</t>
        </is>
      </c>
      <c r="D16440" t="inlineStr">
        <is>
          <t>Maybelline</t>
        </is>
      </c>
      <c r="E16440" t="n">
        <v>9.550000000000001</v>
      </c>
      <c r="F16440" t="n">
        <v>1</v>
      </c>
      <c r="G16440" t="n">
        <v>10</v>
      </c>
      <c r="H16440" s="5">
        <f>HYPERLINK("https://api.qogita.com/variants/link/0000030144309/", "View Product")</f>
        <v/>
      </c>
    </row>
    <row r="16441">
      <c r="A16441" t="inlineStr">
        <is>
          <t>0000030145436</t>
        </is>
      </c>
      <c r="B16441" t="inlineStr">
        <is>
          <t>Maybelline Colossal Curl Bounce Mascara Big Bouncy Curl Volume Up To 24 Hours</t>
        </is>
      </c>
      <c r="C16441" t="inlineStr">
        <is>
          <t>Mascara</t>
        </is>
      </c>
      <c r="D16441" t="inlineStr">
        <is>
          <t>Maybelline</t>
        </is>
      </c>
      <c r="E16441" t="n">
        <v>7.97</v>
      </c>
      <c r="F16441" t="n">
        <v>1</v>
      </c>
      <c r="G16441" t="n">
        <v>21</v>
      </c>
      <c r="H16441" s="5">
        <f>HYPERLINK("https://api.qogita.com/variants/link/0000030145436/", "View Product")</f>
        <v/>
      </c>
    </row>
    <row r="16442">
      <c r="A16442" t="inlineStr">
        <is>
          <t>0000030145559</t>
        </is>
      </c>
      <c r="B16442" t="inlineStr">
        <is>
          <t>Maybelline New York Super Stay Vinyl Ink Liquid Lipstick 4.2ml - Shade 10 Lippy</t>
        </is>
      </c>
      <c r="C16442" t="inlineStr">
        <is>
          <t>Lipstick</t>
        </is>
      </c>
      <c r="D16442" t="inlineStr">
        <is>
          <t>Maybelline</t>
        </is>
      </c>
      <c r="E16442" t="n">
        <v>9.83</v>
      </c>
      <c r="F16442" t="n">
        <v>1</v>
      </c>
      <c r="G16442" t="n">
        <v>2</v>
      </c>
      <c r="H16442" s="5">
        <f>HYPERLINK("https://api.qogita.com/variants/link/0000030145559/", "View Product")</f>
        <v/>
      </c>
    </row>
    <row r="16443">
      <c r="A16443" t="inlineStr">
        <is>
          <t>0000030146778</t>
        </is>
      </c>
      <c r="B16443" t="inlineStr">
        <is>
          <t>Maybelline Matte Liquid Lipstick Super Stay Teddy Tint - 5 Ml</t>
        </is>
      </c>
      <c r="C16443" t="inlineStr">
        <is>
          <t>Lipstick</t>
        </is>
      </c>
      <c r="D16443" t="inlineStr">
        <is>
          <t>Maybelline</t>
        </is>
      </c>
      <c r="E16443" t="n">
        <v>9.550000000000001</v>
      </c>
      <c r="F16443" t="n">
        <v>1</v>
      </c>
      <c r="G16443" t="n">
        <v>7</v>
      </c>
      <c r="H16443" s="5">
        <f>HYPERLINK("https://api.qogita.com/variants/link/0000030146778/", "View Product")</f>
        <v/>
      </c>
    </row>
    <row r="16444">
      <c r="A16444" t="inlineStr">
        <is>
          <t>0000030147089</t>
        </is>
      </c>
      <c r="B16444" t="inlineStr">
        <is>
          <t>L'Oréal Paris Color Riche Intense Volume Matte Nudes Lipstick 18ml</t>
        </is>
      </c>
      <c r="C16444" t="inlineStr">
        <is>
          <t>Lipstick</t>
        </is>
      </c>
      <c r="D16444" t="inlineStr">
        <is>
          <t>L'Oréal</t>
        </is>
      </c>
      <c r="E16444" t="n">
        <v>11.13</v>
      </c>
      <c r="F16444" t="n">
        <v>1</v>
      </c>
      <c r="G16444" t="n">
        <v>3</v>
      </c>
      <c r="H16444" s="5">
        <f>HYPERLINK("https://api.qogita.com/variants/link/0000030147089/", "View Product")</f>
        <v/>
      </c>
    </row>
    <row r="16445">
      <c r="A16445" t="inlineStr">
        <is>
          <t>0000030149311</t>
        </is>
      </c>
      <c r="B16445" t="inlineStr">
        <is>
          <t>L'Oreal Paris False Lash Mascara - Black</t>
        </is>
      </c>
      <c r="C16445" t="inlineStr">
        <is>
          <t>Mascara</t>
        </is>
      </c>
      <c r="D16445" t="inlineStr">
        <is>
          <t>L'Oréal Paris</t>
        </is>
      </c>
      <c r="E16445" t="n">
        <v>8.300000000000001</v>
      </c>
      <c r="F16445" t="n">
        <v>1</v>
      </c>
      <c r="G16445" t="n">
        <v>2</v>
      </c>
      <c r="H16445" s="5">
        <f>HYPERLINK("https://api.qogita.com/variants/link/0000030149311/", "View Product")</f>
        <v/>
      </c>
    </row>
    <row r="16446">
      <c r="A16446" t="inlineStr">
        <is>
          <t>0000030152038</t>
        </is>
      </c>
      <c r="B16446" t="inlineStr">
        <is>
          <t>L'Oreal Paris Nourishing Lipstick with Matte Finish for Vibrant Colors</t>
        </is>
      </c>
      <c r="C16446" t="inlineStr">
        <is>
          <t>Lipstick</t>
        </is>
      </c>
      <c r="D16446" t="inlineStr">
        <is>
          <t>L'Oréal Paris</t>
        </is>
      </c>
      <c r="E16446" t="n">
        <v>12.43</v>
      </c>
      <c r="F16446" t="n">
        <v>1</v>
      </c>
      <c r="G16446" t="n">
        <v>2</v>
      </c>
      <c r="H16446" s="5">
        <f>HYPERLINK("https://api.qogita.com/variants/link/0000030152038/", "View Product")</f>
        <v/>
      </c>
    </row>
    <row r="16447">
      <c r="A16447" t="inlineStr">
        <is>
          <t>0000030152045</t>
        </is>
      </c>
      <c r="B16447" t="inlineStr">
        <is>
          <t>L'Oreal Paris Liquid Lipstick Intense Colour Longwear Matte Formula</t>
        </is>
      </c>
      <c r="C16447" t="inlineStr">
        <is>
          <t>Lipstick</t>
        </is>
      </c>
      <c r="D16447" t="inlineStr">
        <is>
          <t>L'Oréal Paris</t>
        </is>
      </c>
      <c r="E16447" t="n">
        <v>10.03</v>
      </c>
      <c r="F16447" t="n">
        <v>1</v>
      </c>
      <c r="G16447" t="n">
        <v>3</v>
      </c>
      <c r="H16447" s="5">
        <f>HYPERLINK("https://api.qogita.com/variants/link/0000030152045/", "View Product")</f>
        <v/>
      </c>
    </row>
    <row r="16448">
      <c r="A16448" t="inlineStr">
        <is>
          <t>0000030152540</t>
        </is>
      </c>
      <c r="B16448" t="inlineStr">
        <is>
          <t>L'Oreal Paris Telescopic Mascara Long-Lasting 36h Lift Visible Lash Length</t>
        </is>
      </c>
      <c r="C16448" t="inlineStr">
        <is>
          <t>Mascara</t>
        </is>
      </c>
      <c r="D16448" t="inlineStr">
        <is>
          <t>L'Oréal Paris</t>
        </is>
      </c>
      <c r="E16448" t="n">
        <v>11.86</v>
      </c>
      <c r="F16448" t="n">
        <v>1</v>
      </c>
      <c r="G16448" t="n">
        <v>2</v>
      </c>
      <c r="H16448" s="5">
        <f>HYPERLINK("https://api.qogita.com/variants/link/0000030152540/", "View Product")</f>
        <v/>
      </c>
    </row>
    <row r="16449">
      <c r="A16449" t="inlineStr">
        <is>
          <t>0000030152618</t>
        </is>
      </c>
      <c r="B16449" t="inlineStr">
        <is>
          <t>Maybelline New York Smudge-Free Long Lasting Lip Colour Liquid</t>
        </is>
      </c>
      <c r="C16449" t="inlineStr">
        <is>
          <t>Lipstick</t>
        </is>
      </c>
      <c r="D16449" t="inlineStr">
        <is>
          <t>Maybelline</t>
        </is>
      </c>
      <c r="E16449" t="n">
        <v>9.69</v>
      </c>
      <c r="F16449" t="n">
        <v>1</v>
      </c>
      <c r="G16449" t="n">
        <v>3</v>
      </c>
      <c r="H16449" s="5">
        <f>HYPERLINK("https://api.qogita.com/variants/link/0000030152618/", "View Product")</f>
        <v/>
      </c>
    </row>
    <row r="16450">
      <c r="A16450" t="inlineStr">
        <is>
          <t>0000030157538</t>
        </is>
      </c>
      <c r="B16450" t="inlineStr">
        <is>
          <t>Vichy Natural Blend Ultra Hydrating Colored Lip Balm Coral 4.5g</t>
        </is>
      </c>
      <c r="C16450" t="inlineStr">
        <is>
          <t>Lip Balm</t>
        </is>
      </c>
      <c r="D16450" t="inlineStr">
        <is>
          <t>Vichy</t>
        </is>
      </c>
      <c r="E16450" t="n">
        <v>10.21</v>
      </c>
      <c r="F16450" t="n">
        <v>1</v>
      </c>
      <c r="G16450" t="n">
        <v>6</v>
      </c>
      <c r="H16450" s="5">
        <f>HYPERLINK("https://api.qogita.com/variants/link/0000030157538/", "View Product")</f>
        <v/>
      </c>
    </row>
    <row r="16451">
      <c r="A16451" t="inlineStr">
        <is>
          <t>0000030158603</t>
        </is>
      </c>
      <c r="B16451" t="inlineStr">
        <is>
          <t>Maybelline New York Liquid Lipstick with 16-Hour Hold</t>
        </is>
      </c>
      <c r="C16451" t="inlineStr">
        <is>
          <t>Lipstick</t>
        </is>
      </c>
      <c r="D16451" t="inlineStr">
        <is>
          <t>Maybelline</t>
        </is>
      </c>
      <c r="E16451" t="n">
        <v>10.13</v>
      </c>
      <c r="F16451" t="n">
        <v>1</v>
      </c>
      <c r="G16451" t="n">
        <v>2</v>
      </c>
      <c r="H16451" s="5">
        <f>HYPERLINK("https://api.qogita.com/variants/link/0000030158603/", "View Product")</f>
        <v/>
      </c>
    </row>
    <row r="16452">
      <c r="A16452" t="inlineStr">
        <is>
          <t>0000030160262</t>
        </is>
      </c>
      <c r="B16452" t="inlineStr">
        <is>
          <t>L'Oréal Professionnel Paris Tecni.ART Volume Lift Rootlift Mousse Spray 250ml</t>
        </is>
      </c>
      <c r="C16452" t="inlineStr">
        <is>
          <t>Mousse</t>
        </is>
      </c>
      <c r="D16452" t="inlineStr">
        <is>
          <t>L'Oréal Professionnel</t>
        </is>
      </c>
      <c r="E16452" t="n">
        <v>11.42</v>
      </c>
      <c r="F16452" t="n">
        <v>1</v>
      </c>
      <c r="G16452" t="n">
        <v>6</v>
      </c>
      <c r="H16452" s="5">
        <f>HYPERLINK("https://api.qogita.com/variants/link/0000030160262/", "View Product")</f>
        <v/>
      </c>
    </row>
    <row r="16453">
      <c r="A16453" t="inlineStr">
        <is>
          <t>0000030160606</t>
        </is>
      </c>
      <c r="B16453" t="inlineStr">
        <is>
          <t>L'Oreal Professionnel Metal Detox Hair Mask Protects Colored Hair 250ml</t>
        </is>
      </c>
      <c r="C16453" t="inlineStr">
        <is>
          <t>Hair Masks</t>
        </is>
      </c>
      <c r="D16453" t="inlineStr">
        <is>
          <t>L'Oréal Professionnel</t>
        </is>
      </c>
      <c r="E16453" t="n">
        <v>20.75</v>
      </c>
      <c r="F16453" t="n">
        <v>1</v>
      </c>
      <c r="G16453" t="n">
        <v>5</v>
      </c>
      <c r="H16453" s="5">
        <f>HYPERLINK("https://api.qogita.com/variants/link/0000030160606/", "View Product")</f>
        <v/>
      </c>
    </row>
    <row r="16454">
      <c r="A16454" t="inlineStr">
        <is>
          <t>0000030160668</t>
        </is>
      </c>
      <c r="B16454" t="inlineStr">
        <is>
          <t>Metal Detox Shampoo 300ml</t>
        </is>
      </c>
      <c r="C16454" t="inlineStr">
        <is>
          <t>Shampoo</t>
        </is>
      </c>
      <c r="D16454" t="inlineStr">
        <is>
          <t>L'Oréal</t>
        </is>
      </c>
      <c r="E16454" t="n">
        <v>35.08</v>
      </c>
      <c r="F16454" t="n">
        <v>1</v>
      </c>
      <c r="G16454" t="n">
        <v>9</v>
      </c>
      <c r="H16454" s="5">
        <f>HYPERLINK("https://api.qogita.com/variants/link/0000030160668/", "View Product")</f>
        <v/>
      </c>
    </row>
    <row r="16455">
      <c r="A16455" t="inlineStr">
        <is>
          <t>0000030161467</t>
        </is>
      </c>
      <c r="B16455" t="inlineStr">
        <is>
          <t>Maybelline The Falsies Surreal Extension Mascara Black 24H Buildable Formula for Length and Volume 10ml</t>
        </is>
      </c>
      <c r="C16455" t="inlineStr">
        <is>
          <t>Mascara</t>
        </is>
      </c>
      <c r="D16455" t="inlineStr">
        <is>
          <t>Maybelline</t>
        </is>
      </c>
      <c r="E16455" t="n">
        <v>10.97</v>
      </c>
      <c r="F16455" t="n">
        <v>1</v>
      </c>
      <c r="G16455" t="n">
        <v>4</v>
      </c>
      <c r="H16455" s="5">
        <f>HYPERLINK("https://api.qogita.com/variants/link/0000030161467/", "View Product")</f>
        <v/>
      </c>
    </row>
    <row r="16456">
      <c r="A16456" t="inlineStr">
        <is>
          <t>0000030163478</t>
        </is>
      </c>
      <c r="B16456" t="inlineStr">
        <is>
          <t>L'Oreal Serie Expert Metal Detox Anti-Deposit Protector Mask 500ml</t>
        </is>
      </c>
      <c r="C16456" t="inlineStr">
        <is>
          <t>Hair Masks</t>
        </is>
      </c>
      <c r="D16456" t="inlineStr">
        <is>
          <t>L'Oréal Paris</t>
        </is>
      </c>
      <c r="E16456" t="n">
        <v>25.02</v>
      </c>
      <c r="F16456" t="n">
        <v>1</v>
      </c>
      <c r="G16456" t="n">
        <v>2</v>
      </c>
      <c r="H16456" s="5">
        <f>HYPERLINK("https://api.qogita.com/variants/link/0000030163478/", "View Product")</f>
        <v/>
      </c>
    </row>
    <row r="16457">
      <c r="A16457" t="inlineStr">
        <is>
          <t>0000030163720</t>
        </is>
      </c>
      <c r="B16457" t="inlineStr">
        <is>
          <t>L'Oréal Professionnel Paris Serie Expert Metal Detox Chelating Shampoo 500ml</t>
        </is>
      </c>
      <c r="C16457" t="inlineStr">
        <is>
          <t>Shampoo</t>
        </is>
      </c>
      <c r="D16457" t="inlineStr">
        <is>
          <t>L'Oréal Professionnel</t>
        </is>
      </c>
      <c r="E16457" t="n">
        <v>23.35</v>
      </c>
      <c r="F16457" t="n">
        <v>1</v>
      </c>
      <c r="G16457" t="n">
        <v>3</v>
      </c>
      <c r="H16457" s="5">
        <f>HYPERLINK("https://api.qogita.com/variants/link/0000030163720/", "View Product")</f>
        <v/>
      </c>
    </row>
    <row r="16458">
      <c r="A16458" t="inlineStr">
        <is>
          <t>0000030163799</t>
        </is>
      </c>
      <c r="B16458" t="inlineStr">
        <is>
          <t>Maybelline New York Mascara with False Eyelash Effect and Hybrid Fiber Technology 10ml Black Waterproof</t>
        </is>
      </c>
      <c r="C16458" t="inlineStr">
        <is>
          <t>Mascara</t>
        </is>
      </c>
      <c r="D16458" t="inlineStr">
        <is>
          <t>Maybelline</t>
        </is>
      </c>
      <c r="E16458" t="n">
        <v>11.13</v>
      </c>
      <c r="F16458" t="n">
        <v>1</v>
      </c>
      <c r="G16458" t="n">
        <v>3</v>
      </c>
      <c r="H16458" s="5">
        <f>HYPERLINK("https://api.qogita.com/variants/link/0000030163799/", "View Product")</f>
        <v/>
      </c>
    </row>
    <row r="16459">
      <c r="A16459" t="inlineStr">
        <is>
          <t>0000030163836</t>
        </is>
      </c>
      <c r="B16459" t="inlineStr">
        <is>
          <t>Maybelline New York Lifter Plump Lip Gloss Lasting Plump Heated Formula with Hyaluronic Acid and Chilli Pepper XL Wand Vegan Formula Shade 003 Pink Sting</t>
        </is>
      </c>
      <c r="C16459" t="inlineStr">
        <is>
          <t>Lip Gloss</t>
        </is>
      </c>
      <c r="D16459" t="inlineStr">
        <is>
          <t>Maybelline</t>
        </is>
      </c>
      <c r="E16459" t="n">
        <v>7.18</v>
      </c>
      <c r="F16459" t="n">
        <v>1</v>
      </c>
      <c r="G16459" t="n">
        <v>7</v>
      </c>
      <c r="H16459" s="5">
        <f>HYPERLINK("https://api.qogita.com/variants/link/0000030163836/", "View Product")</f>
        <v/>
      </c>
    </row>
    <row r="16460">
      <c r="A16460" t="inlineStr">
        <is>
          <t>0000030164635</t>
        </is>
      </c>
      <c r="B16460" t="inlineStr">
        <is>
          <t>Telescopic Lift Waterproof Mascara by L'Oréal Paris - Lengthens lashes up to 5mm instantly</t>
        </is>
      </c>
      <c r="C16460" t="inlineStr">
        <is>
          <t>Mascara</t>
        </is>
      </c>
      <c r="D16460" t="inlineStr">
        <is>
          <t>L'Oréal</t>
        </is>
      </c>
      <c r="E16460" t="n">
        <v>13.1</v>
      </c>
      <c r="F16460" t="n">
        <v>1</v>
      </c>
      <c r="G16460" t="n">
        <v>5</v>
      </c>
      <c r="H16460" s="5">
        <f>HYPERLINK("https://api.qogita.com/variants/link/0000030164635/", "View Product")</f>
        <v/>
      </c>
    </row>
    <row r="16461">
      <c r="A16461" t="inlineStr">
        <is>
          <t>0000030165519</t>
        </is>
      </c>
      <c r="B16461" t="inlineStr">
        <is>
          <t>Tecni Art Fix Max Shaping Gel 200ml</t>
        </is>
      </c>
      <c r="C16461" t="inlineStr">
        <is>
          <t>Gel</t>
        </is>
      </c>
      <c r="D16461" t="inlineStr">
        <is>
          <t>L'Oréal</t>
        </is>
      </c>
      <c r="E16461" t="n">
        <v>8.279999999999999</v>
      </c>
      <c r="F16461" t="n">
        <v>1</v>
      </c>
      <c r="G16461" t="n">
        <v>6</v>
      </c>
      <c r="H16461" s="5">
        <f>HYPERLINK("https://api.qogita.com/variants/link/0000030165519/", "View Product")</f>
        <v/>
      </c>
    </row>
    <row r="16462">
      <c r="A16462" t="inlineStr">
        <is>
          <t>0000030166899</t>
        </is>
      </c>
      <c r="B16462" t="inlineStr">
        <is>
          <t>Loreal Tecniart Savage Panache Pure 250ml</t>
        </is>
      </c>
      <c r="C16462" t="inlineStr">
        <is>
          <t>Mousse</t>
        </is>
      </c>
      <c r="D16462" t="inlineStr">
        <is>
          <t>L'Oréal Paris</t>
        </is>
      </c>
      <c r="E16462" t="n">
        <v>18.7</v>
      </c>
      <c r="F16462" t="n">
        <v>1</v>
      </c>
      <c r="G16462" t="n">
        <v>32</v>
      </c>
      <c r="H16462" s="5">
        <f>HYPERLINK("https://api.qogita.com/variants/link/0000030166899/", "View Product")</f>
        <v/>
      </c>
    </row>
    <row r="16463">
      <c r="A16463" t="inlineStr">
        <is>
          <t>0000030167223</t>
        </is>
      </c>
      <c r="B16463" t="inlineStr">
        <is>
          <t>Maybelline Lash Sensational Sky High Waterproof Volumizing Mascara</t>
        </is>
      </c>
      <c r="C16463" t="inlineStr">
        <is>
          <t>Mascara</t>
        </is>
      </c>
      <c r="D16463" t="inlineStr">
        <is>
          <t>Maybelline</t>
        </is>
      </c>
      <c r="E16463" t="n">
        <v>6.86</v>
      </c>
      <c r="F16463" t="n">
        <v>1</v>
      </c>
      <c r="G16463" t="n">
        <v>82</v>
      </c>
      <c r="H16463" s="5">
        <f>HYPERLINK("https://api.qogita.com/variants/link/0000030167223/", "View Product")</f>
        <v/>
      </c>
    </row>
    <row r="16464">
      <c r="A16464" t="inlineStr">
        <is>
          <t>0000030171565</t>
        </is>
      </c>
      <c r="B16464" t="inlineStr">
        <is>
          <t>Maybelline Fit Me Full Coverage Concealer Matte &amp; Poreless</t>
        </is>
      </c>
      <c r="C16464" t="inlineStr">
        <is>
          <t>Concealer</t>
        </is>
      </c>
      <c r="D16464" t="inlineStr">
        <is>
          <t>Maybelline</t>
        </is>
      </c>
      <c r="E16464" t="n">
        <v>4.12</v>
      </c>
      <c r="F16464" t="n">
        <v>1</v>
      </c>
      <c r="G16464" t="n">
        <v>5</v>
      </c>
      <c r="H16464" s="5">
        <f>HYPERLINK("https://api.qogita.com/variants/link/0000030171565/", "View Product")</f>
        <v/>
      </c>
    </row>
    <row r="16465">
      <c r="A16465" t="inlineStr">
        <is>
          <t>0000030173576</t>
        </is>
      </c>
      <c r="B16465" t="inlineStr">
        <is>
          <t>L'Oreal Paris Infallible Full Coverage Concealer for Face</t>
        </is>
      </c>
      <c r="C16465" t="inlineStr">
        <is>
          <t>Concealer</t>
        </is>
      </c>
      <c r="D16465" t="inlineStr">
        <is>
          <t>L'Oréal Paris</t>
        </is>
      </c>
      <c r="E16465" t="n">
        <v>7.95</v>
      </c>
      <c r="F16465" t="n">
        <v>1</v>
      </c>
      <c r="G16465" t="n">
        <v>2</v>
      </c>
      <c r="H16465" s="5">
        <f>HYPERLINK("https://api.qogita.com/variants/link/0000030173576/", "View Product")</f>
        <v/>
      </c>
    </row>
    <row r="16466">
      <c r="A16466" t="inlineStr">
        <is>
          <t>0000030173590</t>
        </is>
      </c>
      <c r="B16466" t="inlineStr">
        <is>
          <t>L'Oreal Paris Infallible 24h More Than Concealer Full Coverage Longwear</t>
        </is>
      </c>
      <c r="C16466" t="inlineStr">
        <is>
          <t>Concealer</t>
        </is>
      </c>
      <c r="D16466" t="inlineStr">
        <is>
          <t>L'Oréal Paris</t>
        </is>
      </c>
      <c r="E16466" t="n">
        <v>8.720000000000001</v>
      </c>
      <c r="F16466" t="n">
        <v>1</v>
      </c>
      <c r="G16466" t="n">
        <v>2</v>
      </c>
      <c r="H16466" s="5">
        <f>HYPERLINK("https://api.qogita.com/variants/link/0000030173590/", "View Product")</f>
        <v/>
      </c>
    </row>
    <row r="16467">
      <c r="A16467" t="inlineStr">
        <is>
          <t>0000030176218</t>
        </is>
      </c>
      <c r="B16467" t="inlineStr">
        <is>
          <t>Maybelline Express Brow Fast Sculpt Eyebrow Gel 06 Deep Brown 23g</t>
        </is>
      </c>
      <c r="C16467" t="inlineStr">
        <is>
          <t>Eyebrow Gel</t>
        </is>
      </c>
      <c r="D16467" t="inlineStr">
        <is>
          <t>Maybelline</t>
        </is>
      </c>
      <c r="E16467" t="n">
        <v>5.59</v>
      </c>
      <c r="F16467" t="n">
        <v>1</v>
      </c>
      <c r="G16467" t="n">
        <v>2</v>
      </c>
      <c r="H16467" s="5">
        <f>HYPERLINK("https://api.qogita.com/variants/link/0000030176218/", "View Product")</f>
        <v/>
      </c>
    </row>
    <row r="16468">
      <c r="A16468" t="inlineStr">
        <is>
          <t>0000030177802</t>
        </is>
      </c>
      <c r="B16468" t="inlineStr">
        <is>
          <t>L'Oreal Men Expert Invincible Extreme Fix Extra Strong Hold Hair Paste</t>
        </is>
      </c>
      <c r="C16468" t="inlineStr">
        <is>
          <t>Wax</t>
        </is>
      </c>
      <c r="D16468" t="inlineStr">
        <is>
          <t>L'Oréal Men Expert</t>
        </is>
      </c>
      <c r="E16468" t="n">
        <v>6.34</v>
      </c>
      <c r="F16468" t="n">
        <v>1</v>
      </c>
      <c r="G16468" t="n">
        <v>2</v>
      </c>
      <c r="H16468" s="5">
        <f>HYPERLINK("https://api.qogita.com/variants/link/0000030177802/", "View Product")</f>
        <v/>
      </c>
    </row>
    <row r="16469">
      <c r="A16469" t="inlineStr">
        <is>
          <t>0000030188365</t>
        </is>
      </c>
      <c r="B16469" t="inlineStr">
        <is>
          <t>L'Oreal Paris Infaillible Contour Stick Face Sculptor Contour 2.3 G</t>
        </is>
      </c>
      <c r="C16469" t="inlineStr">
        <is>
          <t>Contouring</t>
        </is>
      </c>
      <c r="D16469" t="inlineStr">
        <is>
          <t>L'Oréal Paris</t>
        </is>
      </c>
      <c r="E16469" t="n">
        <v>9.48</v>
      </c>
      <c r="F16469" t="n">
        <v>1</v>
      </c>
      <c r="G16469" t="n">
        <v>2</v>
      </c>
      <c r="H16469" s="5">
        <f>HYPERLINK("https://api.qogita.com/variants/link/0000030188365/", "View Product")</f>
        <v/>
      </c>
    </row>
    <row r="16470">
      <c r="A16470" t="inlineStr">
        <is>
          <t>0000030188389</t>
        </is>
      </c>
      <c r="B16470" t="inlineStr">
        <is>
          <t>L'Oreal Paris Infaillible Contour Stick Face Sculptor Contour 2.3 G</t>
        </is>
      </c>
      <c r="C16470" t="inlineStr">
        <is>
          <t>Contouring</t>
        </is>
      </c>
      <c r="D16470" t="inlineStr">
        <is>
          <t>L'Oréal Paris</t>
        </is>
      </c>
      <c r="E16470" t="n">
        <v>9.48</v>
      </c>
      <c r="F16470" t="n">
        <v>1</v>
      </c>
      <c r="G16470" t="n">
        <v>3</v>
      </c>
      <c r="H16470" s="5">
        <f>HYPERLINK("https://api.qogita.com/variants/link/0000030188389/", "View Product")</f>
        <v/>
      </c>
    </row>
    <row r="16471">
      <c r="A16471" t="inlineStr">
        <is>
          <t>0000030188631</t>
        </is>
      </c>
      <c r="B16471" t="inlineStr">
        <is>
          <t>Infaillible Matte Resistance Moisturizing Lipstick 5 ml Shade 630 Rose Heat</t>
        </is>
      </c>
      <c r="C16471" t="inlineStr">
        <is>
          <t>Lipstick</t>
        </is>
      </c>
      <c r="D16471" t="inlineStr">
        <is>
          <t>L'Oréal</t>
        </is>
      </c>
      <c r="E16471" t="n">
        <v>11.91</v>
      </c>
      <c r="F16471" t="n">
        <v>1</v>
      </c>
      <c r="G16471" t="n">
        <v>4</v>
      </c>
      <c r="H16471" s="5">
        <f>HYPERLINK("https://api.qogita.com/variants/link/0000030188631/", "View Product")</f>
        <v/>
      </c>
    </row>
    <row r="16472">
      <c r="A16472" t="inlineStr">
        <is>
          <t>0000030188662</t>
        </is>
      </c>
      <c r="B16472" t="inlineStr">
        <is>
          <t>Infaillible Matte Resistance Moisturizing Lipstick 5 ml Shade 645 Crush Alert</t>
        </is>
      </c>
      <c r="C16472" t="inlineStr">
        <is>
          <t>Lipstick</t>
        </is>
      </c>
      <c r="D16472" t="inlineStr">
        <is>
          <t>L'Oréal</t>
        </is>
      </c>
      <c r="E16472" t="n">
        <v>12.43</v>
      </c>
      <c r="F16472" t="n">
        <v>1</v>
      </c>
      <c r="G16472" t="n">
        <v>4</v>
      </c>
      <c r="H16472" s="5">
        <f>HYPERLINK("https://api.qogita.com/variants/link/0000030188662/", "View Product")</f>
        <v/>
      </c>
    </row>
    <row r="16473">
      <c r="A16473" t="inlineStr">
        <is>
          <t>0000030188945</t>
        </is>
      </c>
      <c r="B16473" t="inlineStr">
        <is>
          <t>Essie Long-Lasting Nail Polish Snow White Limited Edition No. 1008</t>
        </is>
      </c>
      <c r="C16473" t="inlineStr">
        <is>
          <t>Nail Polish</t>
        </is>
      </c>
      <c r="D16473" t="inlineStr">
        <is>
          <t>Essie</t>
        </is>
      </c>
      <c r="E16473" t="n">
        <v>7.11</v>
      </c>
      <c r="F16473" t="n">
        <v>1</v>
      </c>
      <c r="G16473" t="n">
        <v>3</v>
      </c>
      <c r="H16473" s="5">
        <f>HYPERLINK("https://api.qogita.com/variants/link/0000030188945/", "View Product")</f>
        <v/>
      </c>
    </row>
    <row r="16474">
      <c r="A16474" t="inlineStr">
        <is>
          <t>0000030189010</t>
        </is>
      </c>
      <c r="B16474" t="inlineStr">
        <is>
          <t>L'Oreal Paris Panorama Volume Mascara - 9.9 Ml</t>
        </is>
      </c>
      <c r="C16474" t="inlineStr">
        <is>
          <t>Mascara</t>
        </is>
      </c>
      <c r="D16474" t="inlineStr">
        <is>
          <t>L'Oréal Paris</t>
        </is>
      </c>
      <c r="E16474" t="n">
        <v>12.37</v>
      </c>
      <c r="F16474" t="n">
        <v>1</v>
      </c>
      <c r="G16474" t="n">
        <v>4</v>
      </c>
      <c r="H16474" s="5">
        <f>HYPERLINK("https://api.qogita.com/variants/link/0000030189010/", "View Product")</f>
        <v/>
      </c>
    </row>
    <row r="16475">
      <c r="A16475" t="inlineStr">
        <is>
          <t>0000042126676</t>
        </is>
      </c>
      <c r="B16475" t="inlineStr">
        <is>
          <t>Eucerin Dry Skin Calming Lip Balm 10ml</t>
        </is>
      </c>
      <c r="C16475" t="inlineStr">
        <is>
          <t>Lip Balm</t>
        </is>
      </c>
      <c r="D16475" t="inlineStr">
        <is>
          <t>Eucerin</t>
        </is>
      </c>
      <c r="E16475" t="n">
        <v>12.96</v>
      </c>
      <c r="F16475" t="n">
        <v>1</v>
      </c>
      <c r="G16475" t="n">
        <v>8</v>
      </c>
      <c r="H16475" s="5">
        <f>HYPERLINK("https://api.qogita.com/variants/link/0000042126676/", "View Product")</f>
        <v/>
      </c>
    </row>
    <row r="16476">
      <c r="A16476" t="inlineStr">
        <is>
          <t>0000042182634</t>
        </is>
      </c>
      <c r="B16476" t="inlineStr">
        <is>
          <t>Vaseline Pure Petroleum Jelly Original 100ml</t>
        </is>
      </c>
      <c r="C16476" t="inlineStr">
        <is>
          <t>Body Lotion</t>
        </is>
      </c>
      <c r="D16476" t="inlineStr">
        <is>
          <t>Vaseline</t>
        </is>
      </c>
      <c r="E16476" t="n">
        <v>4.91</v>
      </c>
      <c r="F16476" t="n">
        <v>1</v>
      </c>
      <c r="G16476" t="n">
        <v>10</v>
      </c>
      <c r="H16476" s="5">
        <f>HYPERLINK("https://api.qogita.com/variants/link/0000042182634/", "View Product")</f>
        <v/>
      </c>
    </row>
    <row r="16477">
      <c r="A16477" t="inlineStr">
        <is>
          <t>0000042240709</t>
        </is>
      </c>
      <c r="B16477" t="inlineStr">
        <is>
          <t>Ball Antiperspirant For Men Invisible For Black &amp; White Power 50ml</t>
        </is>
      </c>
      <c r="C16477" t="inlineStr">
        <is>
          <t>Deodorant &amp; Anti-Perspirant</t>
        </is>
      </c>
      <c r="D16477" t="inlineStr">
        <is>
          <t>Nivea</t>
        </is>
      </c>
      <c r="E16477" t="n">
        <v>5.23</v>
      </c>
      <c r="F16477" t="n">
        <v>1</v>
      </c>
      <c r="G16477" t="n">
        <v>21</v>
      </c>
      <c r="H16477" s="5">
        <f>HYPERLINK("https://api.qogita.com/variants/link/0000042240709/", "View Product")</f>
        <v/>
      </c>
    </row>
    <row r="16478">
      <c r="A16478" t="inlineStr">
        <is>
          <t>0000042289067</t>
        </is>
      </c>
      <c r="B16478" t="inlineStr">
        <is>
          <t>Nivea PROTECT &amp; CARE Men's Roll On Anti-perspirant Deodorant 1.7oz 50ml</t>
        </is>
      </c>
      <c r="C16478" t="inlineStr">
        <is>
          <t>Deodorant &amp; Anti-Perspirant</t>
        </is>
      </c>
      <c r="D16478" t="inlineStr">
        <is>
          <t>Nivea</t>
        </is>
      </c>
      <c r="E16478" t="n">
        <v>3.74</v>
      </c>
      <c r="F16478" t="n">
        <v>1</v>
      </c>
      <c r="G16478" t="n">
        <v>5</v>
      </c>
      <c r="H16478" s="5">
        <f>HYPERLINK("https://api.qogita.com/variants/link/0000042289067/", "View Product")</f>
        <v/>
      </c>
    </row>
    <row r="16479">
      <c r="A16479" t="inlineStr">
        <is>
          <t>0000050160167</t>
        </is>
      </c>
      <c r="B16479" t="inlineStr">
        <is>
          <t>Salt Of The Earth Natural Unscented Deodorant Spray 100ml</t>
        </is>
      </c>
      <c r="C16479" t="inlineStr">
        <is>
          <t>Deodorant &amp; Anti-Perspirant</t>
        </is>
      </c>
      <c r="D16479" t="inlineStr">
        <is>
          <t>Salt Of The Earth</t>
        </is>
      </c>
      <c r="E16479" t="n">
        <v>8.220000000000001</v>
      </c>
      <c r="F16479" t="n">
        <v>1</v>
      </c>
      <c r="G16479" t="n">
        <v>46</v>
      </c>
      <c r="H16479" s="5">
        <f>HYPERLINK("https://api.qogita.com/variants/link/0000050160167/", "View Product")</f>
        <v/>
      </c>
    </row>
    <row r="16480">
      <c r="A16480" t="inlineStr">
        <is>
          <t>0000050544158</t>
        </is>
      </c>
      <c r="B16480" t="inlineStr">
        <is>
          <t>Kohl Eye Liner Pencil No. 70 Olive</t>
        </is>
      </c>
      <c r="C16480" t="inlineStr">
        <is>
          <t>Eyeliner</t>
        </is>
      </c>
      <c r="D16480" t="inlineStr">
        <is>
          <t>Max Factor</t>
        </is>
      </c>
      <c r="E16480" t="n">
        <v>3.29</v>
      </c>
      <c r="F16480" t="n">
        <v>1</v>
      </c>
      <c r="G16480" t="n">
        <v>5</v>
      </c>
      <c r="H16480" s="5">
        <f>HYPERLINK("https://api.qogita.com/variants/link/0000050544158/", "View Product")</f>
        <v/>
      </c>
    </row>
    <row r="16481">
      <c r="A16481" t="inlineStr">
        <is>
          <t>0000050544677</t>
        </is>
      </c>
      <c r="B16481" t="inlineStr">
        <is>
          <t>Max Factor Kohl Eye Pencil 5 Charcoal Grey 050</t>
        </is>
      </c>
      <c r="C16481" t="inlineStr">
        <is>
          <t>Eye Pencil</t>
        </is>
      </c>
      <c r="D16481" t="inlineStr">
        <is>
          <t>Max Factor</t>
        </is>
      </c>
      <c r="E16481" t="n">
        <v>2.57</v>
      </c>
      <c r="F16481" t="n">
        <v>1</v>
      </c>
      <c r="G16481" t="n">
        <v>11</v>
      </c>
      <c r="H16481" s="5">
        <f>HYPERLINK("https://api.qogita.com/variants/link/0000050544677/", "View Product")</f>
        <v/>
      </c>
    </row>
    <row r="16482">
      <c r="A16482" t="inlineStr">
        <is>
          <t>0000050544691</t>
        </is>
      </c>
      <c r="B16482" t="inlineStr">
        <is>
          <t>Max Factor Kohl Pencil Eyeliner 20 Black Easy to Blend Formula</t>
        </is>
      </c>
      <c r="C16482" t="inlineStr">
        <is>
          <t>Eye Pencil</t>
        </is>
      </c>
      <c r="D16482" t="inlineStr">
        <is>
          <t>Max Factor</t>
        </is>
      </c>
      <c r="E16482" t="n">
        <v>3.8</v>
      </c>
      <c r="F16482" t="n">
        <v>1</v>
      </c>
      <c r="G16482" t="n">
        <v>6</v>
      </c>
      <c r="H16482" s="5">
        <f>HYPERLINK("https://api.qogita.com/variants/link/0000050544691/", "View Product")</f>
        <v/>
      </c>
    </row>
    <row r="16483">
      <c r="A16483" t="inlineStr">
        <is>
          <t>0000050671304</t>
        </is>
      </c>
      <c r="B16483" t="inlineStr">
        <is>
          <t>Max Factor 2000 Calorie Dramatic Volume Mascara 9ml</t>
        </is>
      </c>
      <c r="C16483" t="inlineStr">
        <is>
          <t>Mascara</t>
        </is>
      </c>
      <c r="D16483" t="inlineStr">
        <is>
          <t>Max Factor</t>
        </is>
      </c>
      <c r="E16483" t="n">
        <v>4.38</v>
      </c>
      <c r="F16483" t="n">
        <v>1</v>
      </c>
      <c r="G16483" t="n">
        <v>26</v>
      </c>
      <c r="H16483" s="5">
        <f>HYPERLINK("https://api.qogita.com/variants/link/0000050671304/", "View Product")</f>
        <v/>
      </c>
    </row>
    <row r="16484">
      <c r="A16484" t="inlineStr">
        <is>
          <t>0000050681686</t>
        </is>
      </c>
      <c r="B16484" t="inlineStr">
        <is>
          <t>Max Factor 2000 Calorie Dramatic Volume Mascara 9ml - Navy</t>
        </is>
      </c>
      <c r="C16484" t="inlineStr">
        <is>
          <t>Mascara</t>
        </is>
      </c>
      <c r="D16484" t="inlineStr">
        <is>
          <t>Max Factor</t>
        </is>
      </c>
      <c r="E16484" t="n">
        <v>3.77</v>
      </c>
      <c r="F16484" t="n">
        <v>1</v>
      </c>
      <c r="G16484" t="n">
        <v>7</v>
      </c>
      <c r="H16484" s="5">
        <f>HYPERLINK("https://api.qogita.com/variants/link/0000050681686/", "View Product")</f>
        <v/>
      </c>
    </row>
    <row r="16485">
      <c r="A16485" t="inlineStr">
        <is>
          <t>0000050683345</t>
        </is>
      </c>
      <c r="B16485" t="inlineStr">
        <is>
          <t>Max Factor Lasting Performance Touch Proof Foundation 35ml 105 Soft Beige</t>
        </is>
      </c>
      <c r="C16485" t="inlineStr">
        <is>
          <t>Foundation</t>
        </is>
      </c>
      <c r="D16485" t="inlineStr">
        <is>
          <t>Max Factor</t>
        </is>
      </c>
      <c r="E16485" t="n">
        <v>6.99</v>
      </c>
      <c r="F16485" t="n">
        <v>1</v>
      </c>
      <c r="G16485" t="n">
        <v>13</v>
      </c>
      <c r="H16485" s="5">
        <f>HYPERLINK("https://api.qogita.com/variants/link/0000050683345/", "View Product")</f>
        <v/>
      </c>
    </row>
    <row r="16486">
      <c r="A16486" t="inlineStr">
        <is>
          <t>0000059085751</t>
        </is>
      </c>
      <c r="B16486" t="inlineStr">
        <is>
          <t>Rexona Men Invisible Fresh Power Stick Deodorant 48h Sweat Odour Protection</t>
        </is>
      </c>
      <c r="C16486" t="inlineStr">
        <is>
          <t>Deodorant &amp; Anti-Perspirant</t>
        </is>
      </c>
      <c r="D16486" t="inlineStr">
        <is>
          <t>Rexona</t>
        </is>
      </c>
      <c r="E16486" t="n">
        <v>3.96</v>
      </c>
      <c r="F16486" t="n">
        <v>1</v>
      </c>
      <c r="G16486" t="n">
        <v>5</v>
      </c>
      <c r="H16486" s="5">
        <f>HYPERLINK("https://api.qogita.com/variants/link/0000059085751/", "View Product")</f>
        <v/>
      </c>
    </row>
    <row r="16487">
      <c r="A16487" t="inlineStr">
        <is>
          <t>0000059092674</t>
        </is>
      </c>
      <c r="B16487" t="inlineStr">
        <is>
          <t>Dove Advanced Care Go Fresh Acai Berry Waterlily 50ml Deodorant</t>
        </is>
      </c>
      <c r="C16487" t="inlineStr">
        <is>
          <t>Deodorant &amp; Anti-Perspirant</t>
        </is>
      </c>
      <c r="D16487" t="inlineStr">
        <is>
          <t>Dove</t>
        </is>
      </c>
      <c r="E16487" t="n">
        <v>4.33</v>
      </c>
      <c r="F16487" t="n">
        <v>1</v>
      </c>
      <c r="G16487" t="n">
        <v>9</v>
      </c>
      <c r="H16487" s="5">
        <f>HYPERLINK("https://api.qogita.com/variants/link/0000059092674/", "View Product")</f>
        <v/>
      </c>
    </row>
    <row r="16488">
      <c r="A16488" t="inlineStr">
        <is>
          <t>0000080512134</t>
        </is>
      </c>
      <c r="B16488" t="inlineStr">
        <is>
          <t>Borotalco Original Deodorant</t>
        </is>
      </c>
      <c r="C16488" t="inlineStr">
        <is>
          <t>Deodorant &amp; Anti-Perspirant</t>
        </is>
      </c>
      <c r="D16488" t="inlineStr">
        <is>
          <t>Borotalco</t>
        </is>
      </c>
      <c r="E16488" t="n">
        <v>4.5</v>
      </c>
      <c r="F16488" t="n">
        <v>1</v>
      </c>
      <c r="G16488" t="n">
        <v>86</v>
      </c>
      <c r="H16488" s="5">
        <f>HYPERLINK("https://api.qogita.com/variants/link/0000080512134/", "View Product")</f>
        <v/>
      </c>
    </row>
    <row r="16489">
      <c r="A16489" t="inlineStr">
        <is>
          <t>0000080844044</t>
        </is>
      </c>
      <c r="B16489" t="inlineStr">
        <is>
          <t>Borotalco Invisible Deodorant with Roll-On</t>
        </is>
      </c>
      <c r="C16489" t="inlineStr">
        <is>
          <t>Deodorant &amp; Anti-Perspirant</t>
        </is>
      </c>
      <c r="D16489" t="inlineStr">
        <is>
          <t>Borotalco</t>
        </is>
      </c>
      <c r="E16489" t="n">
        <v>3.39</v>
      </c>
      <c r="F16489" t="n">
        <v>1</v>
      </c>
      <c r="G16489" t="n">
        <v>11</v>
      </c>
      <c r="H16489" s="5">
        <f>HYPERLINK("https://api.qogita.com/variants/link/0000080844044/", "View Product")</f>
        <v/>
      </c>
    </row>
    <row r="16490">
      <c r="A16490" t="inlineStr">
        <is>
          <t>0000080859840</t>
        </is>
      </c>
      <c r="B16490" t="inlineStr">
        <is>
          <t>Borotalco Deo Roll On Active Mineral Salt 50ml</t>
        </is>
      </c>
      <c r="C16490" t="inlineStr">
        <is>
          <t>Deodorant &amp; Anti-Perspirant</t>
        </is>
      </c>
      <c r="D16490" t="inlineStr">
        <is>
          <t>Roberts</t>
        </is>
      </c>
      <c r="E16490" t="n">
        <v>3.69</v>
      </c>
      <c r="F16490" t="n">
        <v>1</v>
      </c>
      <c r="G16490" t="n">
        <v>20</v>
      </c>
      <c r="H16490" s="5">
        <f>HYPERLINK("https://api.qogita.com/variants/link/0000080859840/", "View Product")</f>
        <v/>
      </c>
    </row>
    <row r="16491">
      <c r="A16491" t="inlineStr">
        <is>
          <t>0000085911123</t>
        </is>
      </c>
      <c r="B16491" t="inlineStr">
        <is>
          <t>Alpa Fougere Eau De Cologne 250ml</t>
        </is>
      </c>
      <c r="C16491" t="inlineStr">
        <is>
          <t>Eau De Cologne</t>
        </is>
      </c>
      <c r="D16491" t="inlineStr">
        <is>
          <t>Alpa</t>
        </is>
      </c>
      <c r="E16491" t="n">
        <v>3.26</v>
      </c>
      <c r="F16491" t="n">
        <v>1</v>
      </c>
      <c r="G16491" t="n">
        <v>96</v>
      </c>
      <c r="H16491" s="5">
        <f>HYPERLINK("https://api.qogita.com/variants/link/0000085911123/", "View Product")</f>
        <v/>
      </c>
    </row>
    <row r="16492">
      <c r="A16492" t="inlineStr">
        <is>
          <t>0000085922204</t>
        </is>
      </c>
      <c r="B16492" t="inlineStr">
        <is>
          <t>ALPA HERBAL Arthrosan Salbe 30ml Tube - New and Sealed</t>
        </is>
      </c>
      <c r="C16492" t="inlineStr">
        <is>
          <t>Sporting Tension</t>
        </is>
      </c>
      <c r="D16492" t="inlineStr">
        <is>
          <t>Alpa</t>
        </is>
      </c>
      <c r="E16492" t="n">
        <v>4.93</v>
      </c>
      <c r="F16492" t="n">
        <v>1</v>
      </c>
      <c r="G16492" t="n">
        <v>19</v>
      </c>
      <c r="H16492" s="5">
        <f>HYPERLINK("https://api.qogita.com/variants/link/0000085922204/", "View Product")</f>
        <v/>
      </c>
    </row>
    <row r="16493">
      <c r="A16493" t="inlineStr">
        <is>
          <t>0000085933613</t>
        </is>
      </c>
      <c r="B16493" t="inlineStr">
        <is>
          <t>Dermacol 24H Control Liquid Foundation with Coenzyme Q10 for Dry and Oily Skin 30ml</t>
        </is>
      </c>
      <c r="C16493" t="inlineStr">
        <is>
          <t>Foundation</t>
        </is>
      </c>
      <c r="D16493" t="inlineStr">
        <is>
          <t>Dermacol</t>
        </is>
      </c>
      <c r="E16493" t="n">
        <v>11.75</v>
      </c>
      <c r="F16493" t="n">
        <v>1</v>
      </c>
      <c r="G16493" t="n">
        <v>2</v>
      </c>
      <c r="H16493" s="5">
        <f>HYPERLINK("https://api.qogita.com/variants/link/0000085933613/", "View Product")</f>
        <v/>
      </c>
    </row>
    <row r="16494">
      <c r="A16494" t="inlineStr">
        <is>
          <t>0000085934849</t>
        </is>
      </c>
      <c r="B16494" t="inlineStr">
        <is>
          <t>Dermacol Toning Cream 2in1 30ml</t>
        </is>
      </c>
      <c r="C16494" t="inlineStr">
        <is>
          <t>Face Cream</t>
        </is>
      </c>
      <c r="D16494" t="inlineStr">
        <is>
          <t>Dermacol</t>
        </is>
      </c>
      <c r="E16494" t="n">
        <v>3.96</v>
      </c>
      <c r="F16494" t="n">
        <v>1</v>
      </c>
      <c r="G16494" t="n">
        <v>13</v>
      </c>
      <c r="H16494" s="5">
        <f>HYPERLINK("https://api.qogita.com/variants/link/0000085934849/", "View Product")</f>
        <v/>
      </c>
    </row>
    <row r="16495">
      <c r="A16495" t="inlineStr">
        <is>
          <t>0000085948990</t>
        </is>
      </c>
      <c r="B16495" t="inlineStr">
        <is>
          <t>Dermacol Full Coverage Liquid Makeup Matte Foundation with SPF 30</t>
        </is>
      </c>
      <c r="C16495" t="inlineStr">
        <is>
          <t>Foundation</t>
        </is>
      </c>
      <c r="D16495" t="inlineStr">
        <is>
          <t>Dermacol</t>
        </is>
      </c>
      <c r="E16495" t="n">
        <v>8.26</v>
      </c>
      <c r="F16495" t="n">
        <v>1</v>
      </c>
      <c r="G16495" t="n">
        <v>73</v>
      </c>
      <c r="H16495" s="5">
        <f>HYPERLINK("https://api.qogita.com/variants/link/0000085948990/", "View Product")</f>
        <v/>
      </c>
    </row>
    <row r="16496">
      <c r="A16496" t="inlineStr">
        <is>
          <t>0000085950849</t>
        </is>
      </c>
      <c r="B16496" t="inlineStr">
        <is>
          <t>Dermacol 2-in-1 Long-Stay Foundation &amp; Concealer with Caviar Moisturizing and Mattifying Pale</t>
        </is>
      </c>
      <c r="C16496" t="inlineStr">
        <is>
          <t>Foundation</t>
        </is>
      </c>
      <c r="D16496" t="inlineStr">
        <is>
          <t>Dermacol</t>
        </is>
      </c>
      <c r="E16496" t="n">
        <v>12.15</v>
      </c>
      <c r="F16496" t="n">
        <v>1</v>
      </c>
      <c r="G16496" t="n">
        <v>28</v>
      </c>
      <c r="H16496" s="5">
        <f>HYPERLINK("https://api.qogita.com/variants/link/0000085950849/", "View Product")</f>
        <v/>
      </c>
    </row>
    <row r="16497">
      <c r="A16497" t="inlineStr">
        <is>
          <t>0000085950887</t>
        </is>
      </c>
      <c r="B16497" t="inlineStr">
        <is>
          <t>Maquillaje &amp; Corrector Caviar Tan No. 04</t>
        </is>
      </c>
      <c r="C16497" t="inlineStr">
        <is>
          <t>Concealer</t>
        </is>
      </c>
      <c r="D16497" t="inlineStr">
        <is>
          <t>Dermacol</t>
        </is>
      </c>
      <c r="E16497" t="n">
        <v>12.1</v>
      </c>
      <c r="F16497" t="n">
        <v>1</v>
      </c>
      <c r="G16497" t="n">
        <v>5</v>
      </c>
      <c r="H16497" s="5">
        <f>HYPERLINK("https://api.qogita.com/variants/link/0000085950887/", "View Product")</f>
        <v/>
      </c>
    </row>
    <row r="16498">
      <c r="A16498" t="inlineStr">
        <is>
          <t>0000085951853</t>
        </is>
      </c>
      <c r="B16498" t="inlineStr">
        <is>
          <t>Dermacol Satin Makeup Base Matte Face Primer for Wrinkles and Pores 30ml 1410A</t>
        </is>
      </c>
      <c r="C16498" t="inlineStr">
        <is>
          <t>Primer</t>
        </is>
      </c>
      <c r="D16498" t="inlineStr">
        <is>
          <t>Dermacol</t>
        </is>
      </c>
      <c r="E16498" t="n">
        <v>14.06</v>
      </c>
      <c r="F16498" t="n">
        <v>1</v>
      </c>
      <c r="G16498" t="n">
        <v>11</v>
      </c>
      <c r="H16498" s="5">
        <f>HYPERLINK("https://api.qogita.com/variants/link/0000085951853/", "View Product")</f>
        <v/>
      </c>
    </row>
    <row r="16499">
      <c r="A16499" t="inlineStr">
        <is>
          <t>0000085953291</t>
        </is>
      </c>
      <c r="B16499" t="inlineStr">
        <is>
          <t>Dermacol 24H Control Makeup 30ml</t>
        </is>
      </c>
      <c r="C16499" t="inlineStr">
        <is>
          <t>Foundation</t>
        </is>
      </c>
      <c r="D16499" t="inlineStr">
        <is>
          <t>Dermacol</t>
        </is>
      </c>
      <c r="E16499" t="n">
        <v>8.300000000000001</v>
      </c>
      <c r="F16499" t="n">
        <v>1</v>
      </c>
      <c r="G16499" t="n">
        <v>7</v>
      </c>
      <c r="H16499" s="5">
        <f>HYPERLINK("https://api.qogita.com/variants/link/0000085953291/", "View Product")</f>
        <v/>
      </c>
    </row>
    <row r="16500">
      <c r="A16500" t="inlineStr">
        <is>
          <t>0000085953369</t>
        </is>
      </c>
      <c r="B16500" t="inlineStr">
        <is>
          <t>Dermacol Matt Control Corrector 15g</t>
        </is>
      </c>
      <c r="C16500" t="inlineStr">
        <is>
          <t>Color Corrector</t>
        </is>
      </c>
      <c r="D16500" t="inlineStr">
        <is>
          <t>Dermacol</t>
        </is>
      </c>
      <c r="E16500" t="n">
        <v>3.45</v>
      </c>
      <c r="F16500" t="n">
        <v>1</v>
      </c>
      <c r="G16500" t="n">
        <v>16</v>
      </c>
      <c r="H16500" s="5">
        <f>HYPERLINK("https://api.qogita.com/variants/link/0000085953369/", "View Product")</f>
        <v/>
      </c>
    </row>
    <row r="16501">
      <c r="A16501" t="inlineStr">
        <is>
          <t>0000085953475</t>
        </is>
      </c>
      <c r="B16501" t="inlineStr">
        <is>
          <t>Dermacol DC Full Coverage Foundation 30g</t>
        </is>
      </c>
      <c r="C16501" t="inlineStr">
        <is>
          <t>Foundation</t>
        </is>
      </c>
      <c r="D16501" t="inlineStr">
        <is>
          <t>Dermacol</t>
        </is>
      </c>
      <c r="E16501" t="n">
        <v>8.67</v>
      </c>
      <c r="F16501" t="n">
        <v>1</v>
      </c>
      <c r="G16501" t="n">
        <v>32</v>
      </c>
      <c r="H16501" s="5">
        <f>HYPERLINK("https://api.qogita.com/variants/link/0000085953475/", "View Product")</f>
        <v/>
      </c>
    </row>
    <row r="16502">
      <c r="A16502" t="inlineStr">
        <is>
          <t>0000085956117</t>
        </is>
      </c>
      <c r="B16502" t="inlineStr">
        <is>
          <t>Dermacol Megalash Mascara - Voluminous, Strengthens, Nourishes, Hypoallergenic - Black</t>
        </is>
      </c>
      <c r="C16502" t="inlineStr">
        <is>
          <t>Mascara</t>
        </is>
      </c>
      <c r="D16502" t="inlineStr">
        <is>
          <t>Dermacol</t>
        </is>
      </c>
      <c r="E16502" t="n">
        <v>9.31</v>
      </c>
      <c r="F16502" t="n">
        <v>1</v>
      </c>
      <c r="G16502" t="n">
        <v>5</v>
      </c>
      <c r="H16502" s="5">
        <f>HYPERLINK("https://api.qogita.com/variants/link/0000085956117/", "View Product")</f>
        <v/>
      </c>
    </row>
    <row r="16503">
      <c r="A16503" t="inlineStr">
        <is>
          <t>0000085957787</t>
        </is>
      </c>
      <c r="B16503" t="inlineStr">
        <is>
          <t>Megalash Waterproof Mascara</t>
        </is>
      </c>
      <c r="C16503" t="inlineStr">
        <is>
          <t>Mascara</t>
        </is>
      </c>
      <c r="D16503" t="inlineStr">
        <is>
          <t>Dermacol</t>
        </is>
      </c>
      <c r="E16503" t="n">
        <v>6.41</v>
      </c>
      <c r="F16503" t="n">
        <v>1</v>
      </c>
      <c r="G16503" t="n">
        <v>7</v>
      </c>
      <c r="H16503" s="5">
        <f>HYPERLINK("https://api.qogita.com/variants/link/0000085957787/", "View Product")</f>
        <v/>
      </c>
    </row>
    <row r="16504">
      <c r="A16504" t="inlineStr">
        <is>
          <t>0000085958586</t>
        </is>
      </c>
      <c r="B16504" t="inlineStr">
        <is>
          <t>Powder Eyebrow Shadow No. 03</t>
        </is>
      </c>
      <c r="C16504" t="inlineStr">
        <is>
          <t>Eyebrow Powder</t>
        </is>
      </c>
      <c r="D16504" t="inlineStr">
        <is>
          <t>Dermacol</t>
        </is>
      </c>
      <c r="E16504" t="n">
        <v>5.33</v>
      </c>
      <c r="F16504" t="n">
        <v>1</v>
      </c>
      <c r="G16504" t="n">
        <v>16</v>
      </c>
      <c r="H16504" s="5">
        <f>HYPERLINK("https://api.qogita.com/variants/link/0000085958586/", "View Product")</f>
        <v/>
      </c>
    </row>
    <row r="16505">
      <c r="A16505" t="inlineStr">
        <is>
          <t>0000085959040</t>
        </is>
      </c>
      <c r="B16505" t="inlineStr">
        <is>
          <t>Dermacol 16H Automatic Eyeliner Black</t>
        </is>
      </c>
      <c r="C16505" t="inlineStr">
        <is>
          <t>Eyeliner</t>
        </is>
      </c>
      <c r="D16505" t="inlineStr">
        <is>
          <t>Dermacol</t>
        </is>
      </c>
      <c r="E16505" t="n">
        <v>3.85</v>
      </c>
      <c r="F16505" t="n">
        <v>1</v>
      </c>
      <c r="G16505" t="n">
        <v>22</v>
      </c>
      <c r="H16505" s="5">
        <f>HYPERLINK("https://api.qogita.com/variants/link/0000085959040/", "View Product")</f>
        <v/>
      </c>
    </row>
    <row r="16506">
      <c r="A16506" t="inlineStr">
        <is>
          <t>3349668593996</t>
        </is>
      </c>
      <c r="B16506" t="inlineStr">
        <is>
          <t>Paco Rabanne Dandy Me Eau De Parfum 62ml Unisex Spray</t>
        </is>
      </c>
      <c r="C16506" t="inlineStr">
        <is>
          <t>Eau De Parfum</t>
        </is>
      </c>
      <c r="D16506" t="inlineStr">
        <is>
          <t>Paco Rabanne</t>
        </is>
      </c>
      <c r="E16506" t="n">
        <v>46.06</v>
      </c>
      <c r="F16506" t="n">
        <v>1</v>
      </c>
      <c r="G16506" t="n">
        <v>6</v>
      </c>
      <c r="H16506" s="5">
        <f>HYPERLINK("https://api.qogita.com/variants/link/3349668593996/", "View Product")</f>
        <v/>
      </c>
    </row>
    <row r="16507">
      <c r="A16507" t="inlineStr">
        <is>
          <t>3349668594412</t>
        </is>
      </c>
      <c r="B16507" t="inlineStr">
        <is>
          <t>Paco Rabanne Fame Eau De Parfum Spray 80ml</t>
        </is>
      </c>
      <c r="C16507" t="inlineStr">
        <is>
          <t>Eau De Parfum</t>
        </is>
      </c>
      <c r="D16507" t="inlineStr">
        <is>
          <t>Paco Rabanne</t>
        </is>
      </c>
      <c r="E16507" t="n">
        <v>77.40000000000001</v>
      </c>
      <c r="F16507" t="n">
        <v>1</v>
      </c>
      <c r="G16507" t="n">
        <v>3</v>
      </c>
      <c r="H16507" s="5">
        <f>HYPERLINK("https://api.qogita.com/variants/link/3349668594412/", "View Product")</f>
        <v/>
      </c>
    </row>
    <row r="16508">
      <c r="A16508" t="inlineStr">
        <is>
          <t>3349668594429</t>
        </is>
      </c>
      <c r="B16508" t="inlineStr">
        <is>
          <t>Paco Rabanne Fame Eau De Parfum Spray 50ml</t>
        </is>
      </c>
      <c r="C16508" t="inlineStr">
        <is>
          <t>Eau De Parfum</t>
        </is>
      </c>
      <c r="D16508" t="inlineStr">
        <is>
          <t>Paco Rabanne</t>
        </is>
      </c>
      <c r="E16508" t="n">
        <v>61.6</v>
      </c>
      <c r="F16508" t="n">
        <v>1</v>
      </c>
      <c r="G16508" t="n">
        <v>5</v>
      </c>
      <c r="H16508" s="5">
        <f>HYPERLINK("https://api.qogita.com/variants/link/3349668594429/", "View Product")</f>
        <v/>
      </c>
    </row>
    <row r="16509">
      <c r="A16509" t="inlineStr">
        <is>
          <t>3349668594603</t>
        </is>
      </c>
      <c r="B16509" t="inlineStr">
        <is>
          <t>Paco Rabanne Fame Eau De Parfum Spray 30ml</t>
        </is>
      </c>
      <c r="C16509" t="inlineStr">
        <is>
          <t>Eau De Parfum</t>
        </is>
      </c>
      <c r="D16509" t="inlineStr">
        <is>
          <t>Paco Rabanne</t>
        </is>
      </c>
      <c r="E16509" t="n">
        <v>41.88</v>
      </c>
      <c r="F16509" t="n">
        <v>1</v>
      </c>
      <c r="G16509" t="n">
        <v>9</v>
      </c>
      <c r="H16509" s="5">
        <f>HYPERLINK("https://api.qogita.com/variants/link/3349668594603/", "View Product")</f>
        <v/>
      </c>
    </row>
    <row r="16510">
      <c r="A16510" t="inlineStr">
        <is>
          <t>3349668595044</t>
        </is>
      </c>
      <c r="B16510" t="inlineStr">
        <is>
          <t>Paco Rabanne Fame Body Lotion 200ml For Women</t>
        </is>
      </c>
      <c r="C16510" t="inlineStr">
        <is>
          <t>Body Lotion</t>
        </is>
      </c>
      <c r="D16510" t="inlineStr">
        <is>
          <t>Paco Rabanne</t>
        </is>
      </c>
      <c r="E16510" t="n">
        <v>27.36</v>
      </c>
      <c r="F16510" t="n">
        <v>1</v>
      </c>
      <c r="G16510" t="n">
        <v>23</v>
      </c>
      <c r="H16510" s="5">
        <f>HYPERLINK("https://api.qogita.com/variants/link/3349668595044/", "View Product")</f>
        <v/>
      </c>
    </row>
    <row r="16511">
      <c r="A16511" t="inlineStr">
        <is>
          <t>3349668604258</t>
        </is>
      </c>
      <c r="B16511" t="inlineStr">
        <is>
          <t>Paco Rabanne Invictus Eau De Toilette Spray Set 100ml + Eau De Toilette Spray 20ml</t>
        </is>
      </c>
      <c r="C16511" t="inlineStr">
        <is>
          <t>Fragrance Sets</t>
        </is>
      </c>
      <c r="D16511" t="inlineStr">
        <is>
          <t>Paco Rabanne</t>
        </is>
      </c>
      <c r="E16511" t="n">
        <v>75.28</v>
      </c>
      <c r="F16511" t="n">
        <v>1</v>
      </c>
      <c r="G16511" t="n">
        <v>6</v>
      </c>
      <c r="H16511" s="5">
        <f>HYPERLINK("https://api.qogita.com/variants/link/3349668604258/", "View Product")</f>
        <v/>
      </c>
    </row>
    <row r="16512">
      <c r="A16512" t="inlineStr">
        <is>
          <t>3349668612604</t>
        </is>
      </c>
      <c r="B16512" t="inlineStr">
        <is>
          <t>Paco Rabanne Lady Million Eau De Parfum Spray 50ml</t>
        </is>
      </c>
      <c r="C16512" t="inlineStr">
        <is>
          <t>Eau De Parfum</t>
        </is>
      </c>
      <c r="D16512" t="inlineStr">
        <is>
          <t>Paco Rabanne</t>
        </is>
      </c>
      <c r="E16512" t="n">
        <v>51.52</v>
      </c>
      <c r="F16512" t="n">
        <v>1</v>
      </c>
      <c r="G16512" t="n">
        <v>426</v>
      </c>
      <c r="H16512" s="5">
        <f>HYPERLINK("https://api.qogita.com/variants/link/3349668612604/", "View Product")</f>
        <v/>
      </c>
    </row>
    <row r="16513">
      <c r="A16513" t="inlineStr">
        <is>
          <t>3349668614455</t>
        </is>
      </c>
      <c r="B16513" t="inlineStr">
        <is>
          <t>Paco Rabanne Olympea Flora Eau De Parfum Intense Spray 30ml</t>
        </is>
      </c>
      <c r="C16513" t="inlineStr">
        <is>
          <t>Eau De Parfum</t>
        </is>
      </c>
      <c r="D16513" t="inlineStr">
        <is>
          <t>Paco Rabanne</t>
        </is>
      </c>
      <c r="E16513" t="n">
        <v>37.92</v>
      </c>
      <c r="F16513" t="n">
        <v>1</v>
      </c>
      <c r="G16513" t="n">
        <v>37</v>
      </c>
      <c r="H16513" s="5">
        <f>HYPERLINK("https://api.qogita.com/variants/link/3349668614455/", "View Product")</f>
        <v/>
      </c>
    </row>
    <row r="16514">
      <c r="A16514" t="inlineStr">
        <is>
          <t>3349668614479</t>
        </is>
      </c>
      <c r="B16514" t="inlineStr">
        <is>
          <t>Paco Rabanne Olympa Flora Eau De Parfum Intense 80ml</t>
        </is>
      </c>
      <c r="C16514" t="inlineStr">
        <is>
          <t>Eau De Parfum</t>
        </is>
      </c>
      <c r="D16514" t="inlineStr">
        <is>
          <t>Paco Rabanne</t>
        </is>
      </c>
      <c r="E16514" t="n">
        <v>52.58</v>
      </c>
      <c r="F16514" t="n">
        <v>1</v>
      </c>
      <c r="G16514" t="n">
        <v>139</v>
      </c>
      <c r="H16514" s="5">
        <f>HYPERLINK("https://api.qogita.com/variants/link/3349668614479/", "View Product")</f>
        <v/>
      </c>
    </row>
    <row r="16515">
      <c r="A16515" t="inlineStr">
        <is>
          <t>3349668614516</t>
        </is>
      </c>
      <c r="B16515" t="inlineStr">
        <is>
          <t>Paco Rabanne Invictus Victory Elixir Perfume Spray 50ml</t>
        </is>
      </c>
      <c r="C16515" t="inlineStr">
        <is>
          <t>Eau De Parfum</t>
        </is>
      </c>
      <c r="D16515" t="inlineStr">
        <is>
          <t>Paco Rabanne</t>
        </is>
      </c>
      <c r="E16515" t="n">
        <v>69.77</v>
      </c>
      <c r="F16515" t="n">
        <v>1</v>
      </c>
      <c r="G16515" t="n">
        <v>4</v>
      </c>
      <c r="H16515" s="5">
        <f>HYPERLINK("https://api.qogita.com/variants/link/3349668614516/", "View Product")</f>
        <v/>
      </c>
    </row>
    <row r="16516">
      <c r="A16516" t="inlineStr">
        <is>
          <t>3349668614592</t>
        </is>
      </c>
      <c r="B16516" t="inlineStr">
        <is>
          <t>Paco Rabanne Phantom Parfum Eau De Perfume Spray 100ml</t>
        </is>
      </c>
      <c r="C16516" t="inlineStr">
        <is>
          <t>Eau De Parfum</t>
        </is>
      </c>
      <c r="D16516" t="inlineStr">
        <is>
          <t>Paco Rabanne</t>
        </is>
      </c>
      <c r="E16516" t="n">
        <v>73.73999999999999</v>
      </c>
      <c r="F16516" t="n">
        <v>1</v>
      </c>
      <c r="G16516" t="n">
        <v>33</v>
      </c>
      <c r="H16516" s="5">
        <f>HYPERLINK("https://api.qogita.com/variants/link/3349668614592/", "View Product")</f>
        <v/>
      </c>
    </row>
    <row r="16517">
      <c r="A16517" t="inlineStr">
        <is>
          <t>3349668614608</t>
        </is>
      </c>
      <c r="B16517" t="inlineStr">
        <is>
          <t>Paco Rabanne Phantom Parfum Eau De Parfum Spray Rechargeable 150ml</t>
        </is>
      </c>
      <c r="C16517" t="inlineStr">
        <is>
          <t>Eau De Parfum</t>
        </is>
      </c>
      <c r="D16517" t="inlineStr">
        <is>
          <t>Paco Rabanne</t>
        </is>
      </c>
      <c r="E16517" t="n">
        <v>87.97</v>
      </c>
      <c r="F16517" t="n">
        <v>1</v>
      </c>
      <c r="G16517" t="n">
        <v>10</v>
      </c>
      <c r="H16517" s="5">
        <f>HYPERLINK("https://api.qogita.com/variants/link/3349668614608/", "View Product")</f>
        <v/>
      </c>
    </row>
    <row r="16518">
      <c r="A16518" t="inlineStr">
        <is>
          <t>3349668614646</t>
        </is>
      </c>
      <c r="B16518" t="inlineStr">
        <is>
          <t>Paco Rabanne Fame Parfum 30ml Women's Fragrance Spray</t>
        </is>
      </c>
      <c r="C16518" t="inlineStr">
        <is>
          <t>Eau De Parfum</t>
        </is>
      </c>
      <c r="D16518" t="inlineStr">
        <is>
          <t>Paco Rabanne</t>
        </is>
      </c>
      <c r="E16518" t="n">
        <v>50.44</v>
      </c>
      <c r="F16518" t="n">
        <v>1</v>
      </c>
      <c r="G16518" t="n">
        <v>15</v>
      </c>
      <c r="H16518" s="5">
        <f>HYPERLINK("https://api.qogita.com/variants/link/3349668614646/", "View Product")</f>
        <v/>
      </c>
    </row>
    <row r="16519">
      <c r="A16519" t="inlineStr">
        <is>
          <t>3349668617166</t>
        </is>
      </c>
      <c r="B16519" t="inlineStr">
        <is>
          <t>Paco Rabanne Lady Million Royal Eau De Parfum Spray 50ml</t>
        </is>
      </c>
      <c r="C16519" t="inlineStr">
        <is>
          <t>Eau De Parfum</t>
        </is>
      </c>
      <c r="D16519" t="inlineStr">
        <is>
          <t>Paco Rabanne</t>
        </is>
      </c>
      <c r="E16519" t="n">
        <v>55.43</v>
      </c>
      <c r="F16519" t="n">
        <v>1</v>
      </c>
      <c r="G16519" t="n">
        <v>3</v>
      </c>
      <c r="H16519" s="5">
        <f>HYPERLINK("https://api.qogita.com/variants/link/3349668617166/", "View Product")</f>
        <v/>
      </c>
    </row>
    <row r="16520">
      <c r="A16520" t="inlineStr">
        <is>
          <t>3349668619108</t>
        </is>
      </c>
      <c r="B16520" t="inlineStr">
        <is>
          <t>Paco Rabanne Phantom Eau De Toilette Spray 15ml</t>
        </is>
      </c>
      <c r="C16520" t="inlineStr">
        <is>
          <t>Eau De Toilette</t>
        </is>
      </c>
      <c r="D16520" t="inlineStr">
        <is>
          <t>Paco Rabanne</t>
        </is>
      </c>
      <c r="E16520" t="n">
        <v>17.55</v>
      </c>
      <c r="F16520" t="n">
        <v>1</v>
      </c>
      <c r="G16520" t="n">
        <v>4</v>
      </c>
      <c r="H16520" s="5">
        <f>HYPERLINK("https://api.qogita.com/variants/link/3349668619108/", "View Product")</f>
        <v/>
      </c>
    </row>
    <row r="16521">
      <c r="A16521" t="inlineStr">
        <is>
          <t>3349668622009</t>
        </is>
      </c>
      <c r="B16521" t="inlineStr">
        <is>
          <t>Paco Rabanne 1 Million Golden Oud Perfume Spray 100ml</t>
        </is>
      </c>
      <c r="C16521" t="inlineStr">
        <is>
          <t>Eau De Parfum</t>
        </is>
      </c>
      <c r="D16521" t="inlineStr">
        <is>
          <t>Paco Rabanne</t>
        </is>
      </c>
      <c r="E16521" t="n">
        <v>107.4</v>
      </c>
      <c r="F16521" t="n">
        <v>1</v>
      </c>
      <c r="G16521" t="n">
        <v>194</v>
      </c>
      <c r="H16521" s="5">
        <f>HYPERLINK("https://api.qogita.com/variants/link/3349668622009/", "View Product")</f>
        <v/>
      </c>
    </row>
    <row r="16522">
      <c r="A16522" t="inlineStr">
        <is>
          <t>3349668627462</t>
        </is>
      </c>
      <c r="B16522" t="inlineStr">
        <is>
          <t>Paco Rabanne Olympea Parfum Spray 50ml</t>
        </is>
      </c>
      <c r="C16522" t="inlineStr">
        <is>
          <t>Eau De Parfum</t>
        </is>
      </c>
      <c r="D16522" t="inlineStr">
        <is>
          <t>Paco Rabanne</t>
        </is>
      </c>
      <c r="E16522" t="n">
        <v>63.21</v>
      </c>
      <c r="F16522" t="n">
        <v>1</v>
      </c>
      <c r="G16522" t="n">
        <v>14</v>
      </c>
      <c r="H16522" s="5">
        <f>HYPERLINK("https://api.qogita.com/variants/link/3349668627462/", "View Product")</f>
        <v/>
      </c>
    </row>
    <row r="16523">
      <c r="A16523" t="inlineStr">
        <is>
          <t>3349668627486</t>
        </is>
      </c>
      <c r="B16523" t="inlineStr">
        <is>
          <t>Paco Rabanne Olympa Parfum Spray 30ml</t>
        </is>
      </c>
      <c r="C16523" t="inlineStr">
        <is>
          <t>Eau De Parfum</t>
        </is>
      </c>
      <c r="D16523" t="inlineStr">
        <is>
          <t>Paco Rabanne</t>
        </is>
      </c>
      <c r="E16523" t="n">
        <v>42.68</v>
      </c>
      <c r="F16523" t="n">
        <v>1</v>
      </c>
      <c r="G16523" t="n">
        <v>6</v>
      </c>
      <c r="H16523" s="5">
        <f>HYPERLINK("https://api.qogita.com/variants/link/3349668627486/", "View Product")</f>
        <v/>
      </c>
    </row>
    <row r="16524">
      <c r="A16524" t="inlineStr">
        <is>
          <t>3349668627523</t>
        </is>
      </c>
      <c r="B16524" t="inlineStr">
        <is>
          <t>Paco Rabanne Invictus Parfum Spray 50ml</t>
        </is>
      </c>
      <c r="C16524" t="inlineStr">
        <is>
          <t>Eau De Parfum</t>
        </is>
      </c>
      <c r="D16524" t="inlineStr">
        <is>
          <t>Paco Rabanne</t>
        </is>
      </c>
      <c r="E16524" t="n">
        <v>68.78</v>
      </c>
      <c r="F16524" t="n">
        <v>1</v>
      </c>
      <c r="G16524" t="n">
        <v>14</v>
      </c>
      <c r="H16524" s="5">
        <f>HYPERLINK("https://api.qogita.com/variants/link/3349668627523/", "View Product")</f>
        <v/>
      </c>
    </row>
    <row r="16525">
      <c r="A16525" t="inlineStr">
        <is>
          <t>3349668627530</t>
        </is>
      </c>
      <c r="B16525" t="inlineStr">
        <is>
          <t>Paco Rabanne Invictus Parfum Spray 100ml</t>
        </is>
      </c>
      <c r="C16525" t="inlineStr">
        <is>
          <t>Eau De Parfum</t>
        </is>
      </c>
      <c r="D16525" t="inlineStr">
        <is>
          <t>Paco Rabanne</t>
        </is>
      </c>
      <c r="E16525" t="n">
        <v>76.2</v>
      </c>
      <c r="F16525" t="n">
        <v>1</v>
      </c>
      <c r="G16525" t="n">
        <v>5</v>
      </c>
      <c r="H16525" s="5">
        <f>HYPERLINK("https://api.qogita.com/variants/link/3349668627530/", "View Product")</f>
        <v/>
      </c>
    </row>
    <row r="16526">
      <c r="A16526" t="inlineStr">
        <is>
          <t>3349668628650</t>
        </is>
      </c>
      <c r="B16526" t="inlineStr">
        <is>
          <t>Paco Rabanne 1 Million Eau De Toilette Spray 100ml + Eau De Toilette Spray 20ml Set</t>
        </is>
      </c>
      <c r="C16526" t="inlineStr">
        <is>
          <t>Fragrance Sets</t>
        </is>
      </c>
      <c r="D16526" t="inlineStr">
        <is>
          <t>Paco Rabanne</t>
        </is>
      </c>
      <c r="E16526" t="n">
        <v>66.93000000000001</v>
      </c>
      <c r="F16526" t="n">
        <v>1</v>
      </c>
      <c r="G16526" t="n">
        <v>59</v>
      </c>
      <c r="H16526" s="5">
        <f>HYPERLINK("https://api.qogita.com/variants/link/3349668628650/", "View Product")</f>
        <v/>
      </c>
    </row>
    <row r="16527">
      <c r="A16527" t="inlineStr">
        <is>
          <t>3349668630035</t>
        </is>
      </c>
      <c r="B16527" t="inlineStr">
        <is>
          <t>Paco Rabanne Phantom Intense Eau De Parfum Intense Spray 100ml</t>
        </is>
      </c>
      <c r="C16527" t="inlineStr">
        <is>
          <t>Eau De Parfum</t>
        </is>
      </c>
      <c r="D16527" t="inlineStr">
        <is>
          <t>Paco Rabanne</t>
        </is>
      </c>
      <c r="E16527" t="n">
        <v>75.38</v>
      </c>
      <c r="F16527" t="n">
        <v>1</v>
      </c>
      <c r="G16527" t="n">
        <v>37</v>
      </c>
      <c r="H16527" s="5">
        <f>HYPERLINK("https://api.qogita.com/variants/link/3349668630035/", "View Product")</f>
        <v/>
      </c>
    </row>
    <row r="16528">
      <c r="A16528" t="inlineStr">
        <is>
          <t>3349668630110</t>
        </is>
      </c>
      <c r="B16528" t="inlineStr">
        <is>
          <t>Paco Rabanne Fame Eau De Parfum Intense 50ml</t>
        </is>
      </c>
      <c r="C16528" t="inlineStr">
        <is>
          <t>Eau De Parfum</t>
        </is>
      </c>
      <c r="D16528" t="inlineStr">
        <is>
          <t>Paco Rabanne</t>
        </is>
      </c>
      <c r="E16528" t="n">
        <v>61.93</v>
      </c>
      <c r="F16528" t="n">
        <v>1</v>
      </c>
      <c r="G16528" t="n">
        <v>30</v>
      </c>
      <c r="H16528" s="5">
        <f>HYPERLINK("https://api.qogita.com/variants/link/3349668630110/", "View Product")</f>
        <v/>
      </c>
    </row>
    <row r="16529">
      <c r="A16529" t="inlineStr">
        <is>
          <t>3349668630141</t>
        </is>
      </c>
      <c r="B16529" t="inlineStr">
        <is>
          <t>Rabanne Fame Intense Refill Bottle 200ml</t>
        </is>
      </c>
      <c r="C16529" t="inlineStr">
        <is>
          <t>Refillable Fragrances &amp; Refills</t>
        </is>
      </c>
      <c r="D16529" t="inlineStr">
        <is>
          <t>Paco Rabanne</t>
        </is>
      </c>
      <c r="E16529" t="n">
        <v>137.65</v>
      </c>
      <c r="F16529" t="n">
        <v>1</v>
      </c>
      <c r="G16529" t="n">
        <v>12</v>
      </c>
      <c r="H16529" s="5">
        <f>HYPERLINK("https://api.qogita.com/variants/link/3349668630141/", "View Product")</f>
        <v/>
      </c>
    </row>
    <row r="16530">
      <c r="A16530" t="inlineStr">
        <is>
          <t>3349668630240</t>
        </is>
      </c>
      <c r="B16530" t="inlineStr">
        <is>
          <t>Paco Rabanne Million Gold For Her Eau De Parfum</t>
        </is>
      </c>
      <c r="C16530" t="inlineStr">
        <is>
          <t>Eau De Parfum</t>
        </is>
      </c>
      <c r="D16530" t="inlineStr">
        <is>
          <t>Paco Rabanne</t>
        </is>
      </c>
      <c r="E16530" t="n">
        <v>44.21</v>
      </c>
      <c r="F16530" t="n">
        <v>1</v>
      </c>
      <c r="G16530" t="n">
        <v>15</v>
      </c>
      <c r="H16530" s="5">
        <f>HYPERLINK("https://api.qogita.com/variants/link/3349668630240/", "View Product")</f>
        <v/>
      </c>
    </row>
    <row r="16531">
      <c r="A16531" t="inlineStr">
        <is>
          <t>3349668635115</t>
        </is>
      </c>
      <c r="B16531" t="inlineStr">
        <is>
          <t>Paco Rabanne Invictus Eau De Toilette Spray 100 Ml Nav24 Set</t>
        </is>
      </c>
      <c r="C16531" t="inlineStr">
        <is>
          <t>Fragrance Sets</t>
        </is>
      </c>
      <c r="D16531" t="inlineStr">
        <is>
          <t>Paco Rabanne</t>
        </is>
      </c>
      <c r="E16531" t="n">
        <v>76.95999999999999</v>
      </c>
      <c r="F16531" t="n">
        <v>1</v>
      </c>
      <c r="G16531" t="n">
        <v>2</v>
      </c>
      <c r="H16531" s="5">
        <f>HYPERLINK("https://api.qogita.com/variants/link/3349668635115/", "View Product")</f>
        <v/>
      </c>
    </row>
    <row r="16532">
      <c r="A16532" t="inlineStr">
        <is>
          <t>3349668635337</t>
        </is>
      </c>
      <c r="B16532" t="inlineStr">
        <is>
          <t>Paco Rabanne Lady Million Eau De Parfum Spray 80ml + Body Lotion 100ml</t>
        </is>
      </c>
      <c r="C16532" t="inlineStr">
        <is>
          <t>Fragrance Sets</t>
        </is>
      </c>
      <c r="D16532" t="inlineStr">
        <is>
          <t>Paco Rabanne</t>
        </is>
      </c>
      <c r="E16532" t="n">
        <v>85.36</v>
      </c>
      <c r="F16532" t="n">
        <v>1</v>
      </c>
      <c r="G16532" t="n">
        <v>20</v>
      </c>
      <c r="H16532" s="5">
        <f>HYPERLINK("https://api.qogita.com/variants/link/3349668635337/", "View Product")</f>
        <v/>
      </c>
    </row>
    <row r="16533">
      <c r="A16533" t="inlineStr">
        <is>
          <t>3350900000011</t>
        </is>
      </c>
      <c r="B16533" t="inlineStr">
        <is>
          <t>Embryolisse Lait-Creme Concentre Nourishing And Moisturizing Face Cream 75ml</t>
        </is>
      </c>
      <c r="C16533" t="inlineStr">
        <is>
          <t>Face Cream</t>
        </is>
      </c>
      <c r="D16533" t="inlineStr">
        <is>
          <t>Embryolisse</t>
        </is>
      </c>
      <c r="E16533" t="n">
        <v>12.75</v>
      </c>
      <c r="F16533" t="n">
        <v>1</v>
      </c>
      <c r="G16533" t="n">
        <v>2417</v>
      </c>
      <c r="H16533" s="5">
        <f>HYPERLINK("https://api.qogita.com/variants/link/3350900000011/", "View Product")</f>
        <v/>
      </c>
    </row>
    <row r="16534">
      <c r="A16534" t="inlineStr">
        <is>
          <t>3350900000448</t>
        </is>
      </c>
      <c r="B16534" t="inlineStr">
        <is>
          <t>Embryolisse Eau De Beaut Rosamlis Tonic 200 Ml Floral Skin Tonic Spray</t>
        </is>
      </c>
      <c r="C16534" t="inlineStr">
        <is>
          <t>Facial Spray</t>
        </is>
      </c>
      <c r="D16534" t="inlineStr">
        <is>
          <t>Embryolisse</t>
        </is>
      </c>
      <c r="E16534" t="n">
        <v>9.859999999999999</v>
      </c>
      <c r="F16534" t="n">
        <v>1</v>
      </c>
      <c r="G16534" t="n">
        <v>4</v>
      </c>
      <c r="H16534" s="5">
        <f>HYPERLINK("https://api.qogita.com/variants/link/3350900000448/", "View Product")</f>
        <v/>
      </c>
    </row>
    <row r="16535">
      <c r="A16535" t="inlineStr">
        <is>
          <t>3350900000882</t>
        </is>
      </c>
      <c r="B16535" t="inlineStr">
        <is>
          <t>Embryolisse Cicalisse SOS Restorative Cream with Nourishing Plant Butter 40ml</t>
        </is>
      </c>
      <c r="C16535" t="inlineStr">
        <is>
          <t>Face Cream</t>
        </is>
      </c>
      <c r="D16535" t="inlineStr">
        <is>
          <t>Embryolisse</t>
        </is>
      </c>
      <c r="E16535" t="n">
        <v>7.72</v>
      </c>
      <c r="F16535" t="n">
        <v>1</v>
      </c>
      <c r="G16535" t="n">
        <v>4</v>
      </c>
      <c r="H16535" s="5">
        <f>HYPERLINK("https://api.qogita.com/variants/link/3350900000882/", "View Product")</f>
        <v/>
      </c>
    </row>
    <row r="16536">
      <c r="A16536" t="inlineStr">
        <is>
          <t>3350900002053</t>
        </is>
      </c>
      <c r="B16536" t="inlineStr">
        <is>
          <t>Embryolisse Firminglifting Cream 50 Ml</t>
        </is>
      </c>
      <c r="C16536" t="inlineStr">
        <is>
          <t>Anti-Aging Facial Care</t>
        </is>
      </c>
      <c r="D16536" t="inlineStr">
        <is>
          <t>Embryolisse</t>
        </is>
      </c>
      <c r="E16536" t="n">
        <v>23.69</v>
      </c>
      <c r="F16536" t="n">
        <v>1</v>
      </c>
      <c r="G16536" t="n">
        <v>23</v>
      </c>
      <c r="H16536" s="5">
        <f>HYPERLINK("https://api.qogita.com/variants/link/3350900002053/", "View Product")</f>
        <v/>
      </c>
    </row>
    <row r="16537">
      <c r="A16537" t="inlineStr">
        <is>
          <t>3351500016600</t>
        </is>
      </c>
      <c r="B16537" t="inlineStr">
        <is>
          <t>Azzaro Wanted Eau De Toilette 50ml</t>
        </is>
      </c>
      <c r="C16537" t="inlineStr">
        <is>
          <t>Eau De Toilette</t>
        </is>
      </c>
      <c r="D16537" t="inlineStr">
        <is>
          <t>Azzaro</t>
        </is>
      </c>
      <c r="E16537" t="n">
        <v>34.06</v>
      </c>
      <c r="F16537" t="n">
        <v>1</v>
      </c>
      <c r="G16537" t="n">
        <v>7</v>
      </c>
      <c r="H16537" s="5">
        <f>HYPERLINK("https://api.qogita.com/variants/link/3351500016600/", "View Product")</f>
        <v/>
      </c>
    </row>
    <row r="16538">
      <c r="A16538" t="inlineStr">
        <is>
          <t>3351500018024</t>
        </is>
      </c>
      <c r="B16538" t="inlineStr">
        <is>
          <t>Azzaro Pour Homme Cologne Intense Spray 100ml</t>
        </is>
      </c>
      <c r="C16538" t="inlineStr">
        <is>
          <t>Eau De Cologne</t>
        </is>
      </c>
      <c r="D16538" t="inlineStr">
        <is>
          <t>Azzaro</t>
        </is>
      </c>
      <c r="E16538" t="n">
        <v>25.99</v>
      </c>
      <c r="F16538" t="n">
        <v>1</v>
      </c>
      <c r="G16538" t="n">
        <v>32</v>
      </c>
      <c r="H16538" s="5">
        <f>HYPERLINK("https://api.qogita.com/variants/link/3351500018024/", "View Product")</f>
        <v/>
      </c>
    </row>
    <row r="16539">
      <c r="A16539" t="inlineStr">
        <is>
          <t>3351500020416</t>
        </is>
      </c>
      <c r="B16539" t="inlineStr">
        <is>
          <t>Azzaro Chrome Eau De Toilette 200ml Men Spray</t>
        </is>
      </c>
      <c r="C16539" t="inlineStr">
        <is>
          <t>Eau De Toilette</t>
        </is>
      </c>
      <c r="D16539" t="inlineStr">
        <is>
          <t>Azzaro</t>
        </is>
      </c>
      <c r="E16539" t="n">
        <v>42.18</v>
      </c>
      <c r="F16539" t="n">
        <v>1</v>
      </c>
      <c r="G16539" t="n">
        <v>213</v>
      </c>
      <c r="H16539" s="5">
        <f>HYPERLINK("https://api.qogita.com/variants/link/3351500020416/", "View Product")</f>
        <v/>
      </c>
    </row>
    <row r="16540">
      <c r="A16540" t="inlineStr">
        <is>
          <t>3355991000230</t>
        </is>
      </c>
      <c r="B16540" t="inlineStr">
        <is>
          <t>Jacques Bogart One Man Show Eau De Toilette 100ml</t>
        </is>
      </c>
      <c r="C16540" t="inlineStr">
        <is>
          <t>Eau De Toilette</t>
        </is>
      </c>
      <c r="D16540" t="inlineStr">
        <is>
          <t>Jacques Bogart</t>
        </is>
      </c>
      <c r="E16540" t="n">
        <v>10.96</v>
      </c>
      <c r="F16540" t="n">
        <v>1</v>
      </c>
      <c r="G16540" t="n">
        <v>925</v>
      </c>
      <c r="H16540" s="5">
        <f>HYPERLINK("https://api.qogita.com/variants/link/3355991000230/", "View Product")</f>
        <v/>
      </c>
    </row>
    <row r="16541">
      <c r="A16541" t="inlineStr">
        <is>
          <t>3355992009218</t>
        </is>
      </c>
      <c r="B16541" t="inlineStr">
        <is>
          <t>Ted Lapidus Stories Sexy Muse Eau De Toilette Spray 100ml</t>
        </is>
      </c>
      <c r="C16541" t="inlineStr">
        <is>
          <t>Eau De Toilette</t>
        </is>
      </c>
      <c r="D16541" t="inlineStr">
        <is>
          <t>Ted Lapidus</t>
        </is>
      </c>
      <c r="E16541" t="n">
        <v>11.83</v>
      </c>
      <c r="F16541" t="n">
        <v>1</v>
      </c>
      <c r="G16541" t="n">
        <v>5</v>
      </c>
      <c r="H16541" s="5">
        <f>HYPERLINK("https://api.qogita.com/variants/link/3355992009218/", "View Product")</f>
        <v/>
      </c>
    </row>
    <row r="16542">
      <c r="A16542" t="inlineStr">
        <is>
          <t>3359998820006</t>
        </is>
      </c>
      <c r="B16542" t="inlineStr">
        <is>
          <t>ORLANE B21 EXTRAORDINAIRE Brightening Anti-Spot Serum 30ml</t>
        </is>
      </c>
      <c r="C16542" t="inlineStr">
        <is>
          <t>Glow Serum</t>
        </is>
      </c>
      <c r="D16542" t="inlineStr">
        <is>
          <t>Orlane</t>
        </is>
      </c>
      <c r="E16542" t="n">
        <v>126.53</v>
      </c>
      <c r="F16542" t="n">
        <v>1</v>
      </c>
      <c r="G16542" t="n">
        <v>6</v>
      </c>
      <c r="H16542" s="5">
        <f>HYPERLINK("https://api.qogita.com/variants/link/3359998820006/", "View Product")</f>
        <v/>
      </c>
    </row>
    <row r="16543">
      <c r="A16543" t="inlineStr">
        <is>
          <t>3360370512044</t>
        </is>
      </c>
      <c r="B16543" t="inlineStr">
        <is>
          <t>Cacharel Anas Anas Eau De Toilette Spray 30ml</t>
        </is>
      </c>
      <c r="C16543" t="inlineStr">
        <is>
          <t>Eau De Toilette</t>
        </is>
      </c>
      <c r="D16543" t="inlineStr">
        <is>
          <t>Cacharel</t>
        </is>
      </c>
      <c r="E16543" t="n">
        <v>15.9</v>
      </c>
      <c r="F16543" t="n">
        <v>1</v>
      </c>
      <c r="G16543" t="n">
        <v>5</v>
      </c>
      <c r="H16543" s="5">
        <f>HYPERLINK("https://api.qogita.com/variants/link/3360370512044/", "View Product")</f>
        <v/>
      </c>
    </row>
    <row r="16544">
      <c r="A16544" t="inlineStr">
        <is>
          <t>3360370600192</t>
        </is>
      </c>
      <c r="B16544" t="inlineStr">
        <is>
          <t>Paloma Picasso Eau De Parfum Spray 100ml By Paloma Picasso</t>
        </is>
      </c>
      <c r="C16544" t="inlineStr">
        <is>
          <t>Eau De Parfum</t>
        </is>
      </c>
      <c r="D16544" t="inlineStr">
        <is>
          <t>Paloma Picasso</t>
        </is>
      </c>
      <c r="E16544" t="n">
        <v>31.22</v>
      </c>
      <c r="F16544" t="n">
        <v>1</v>
      </c>
      <c r="G16544" t="n">
        <v>333</v>
      </c>
      <c r="H16544" s="5">
        <f>HYPERLINK("https://api.qogita.com/variants/link/3360370600192/", "View Product")</f>
        <v/>
      </c>
    </row>
    <row r="16545">
      <c r="A16545" t="inlineStr">
        <is>
          <t>3360372009436</t>
        </is>
      </c>
      <c r="B16545" t="inlineStr">
        <is>
          <t>Guy Laroche Drakkar Noir Eau De Toilette Spray 100ml</t>
        </is>
      </c>
      <c r="C16545" t="inlineStr">
        <is>
          <t>Eau De Toilette</t>
        </is>
      </c>
      <c r="D16545" t="inlineStr">
        <is>
          <t>Guy Laroche</t>
        </is>
      </c>
      <c r="E16545" t="n">
        <v>12.23</v>
      </c>
      <c r="F16545" t="n">
        <v>1</v>
      </c>
      <c r="G16545" t="n">
        <v>164</v>
      </c>
      <c r="H16545" s="5">
        <f>HYPERLINK("https://api.qogita.com/variants/link/3360372009436/", "View Product")</f>
        <v/>
      </c>
    </row>
    <row r="16546">
      <c r="A16546" t="inlineStr">
        <is>
          <t>3360372009573</t>
        </is>
      </c>
      <c r="B16546" t="inlineStr">
        <is>
          <t>Guy Laroche Fidji Eau De Parfum Spray 50ml</t>
        </is>
      </c>
      <c r="C16546" t="inlineStr">
        <is>
          <t>Eau De Parfum</t>
        </is>
      </c>
      <c r="D16546" t="inlineStr">
        <is>
          <t>Guy Laroche</t>
        </is>
      </c>
      <c r="E16546" t="n">
        <v>20.02</v>
      </c>
      <c r="F16546" t="n">
        <v>1</v>
      </c>
      <c r="G16546" t="n">
        <v>238</v>
      </c>
      <c r="H16546" s="5">
        <f>HYPERLINK("https://api.qogita.com/variants/link/3360372009573/", "View Product")</f>
        <v/>
      </c>
    </row>
    <row r="16547">
      <c r="A16547" t="inlineStr">
        <is>
          <t>3360372009627</t>
        </is>
      </c>
      <c r="B16547" t="inlineStr">
        <is>
          <t>Guy Laroche Fidji Eau De Toilette Spray 50ml</t>
        </is>
      </c>
      <c r="C16547" t="inlineStr">
        <is>
          <t>Eau De Toilette</t>
        </is>
      </c>
      <c r="D16547" t="inlineStr">
        <is>
          <t>Guy Laroche</t>
        </is>
      </c>
      <c r="E16547" t="n">
        <v>15.21</v>
      </c>
      <c r="F16547" t="n">
        <v>1</v>
      </c>
      <c r="G16547" t="n">
        <v>85</v>
      </c>
      <c r="H16547" s="5">
        <f>HYPERLINK("https://api.qogita.com/variants/link/3360372009627/", "View Product")</f>
        <v/>
      </c>
    </row>
    <row r="16548">
      <c r="A16548" t="inlineStr">
        <is>
          <t>3360372009641</t>
        </is>
      </c>
      <c r="B16548" t="inlineStr">
        <is>
          <t>Guy Laroche Fidji Eau De Toilette Spray 100ml</t>
        </is>
      </c>
      <c r="C16548" t="inlineStr">
        <is>
          <t>Eau De Toilette</t>
        </is>
      </c>
      <c r="D16548" t="inlineStr">
        <is>
          <t>Guy Laroche</t>
        </is>
      </c>
      <c r="E16548" t="n">
        <v>22.57</v>
      </c>
      <c r="F16548" t="n">
        <v>1</v>
      </c>
      <c r="G16548" t="n">
        <v>1574</v>
      </c>
      <c r="H16548" s="5">
        <f>HYPERLINK("https://api.qogita.com/variants/link/3360372009641/", "View Product")</f>
        <v/>
      </c>
    </row>
    <row r="16549">
      <c r="A16549" t="inlineStr">
        <is>
          <t>3360372009900</t>
        </is>
      </c>
      <c r="B16549" t="inlineStr">
        <is>
          <t>Guy Laroche Drakkar Noir Deodorant Stick 75g For Men</t>
        </is>
      </c>
      <c r="C16549" t="inlineStr">
        <is>
          <t>Deodorant &amp; Anti-Perspirant</t>
        </is>
      </c>
      <c r="D16549" t="inlineStr">
        <is>
          <t>Guy Laroche</t>
        </is>
      </c>
      <c r="E16549" t="n">
        <v>9.380000000000001</v>
      </c>
      <c r="F16549" t="n">
        <v>1</v>
      </c>
      <c r="G16549" t="n">
        <v>195</v>
      </c>
      <c r="H16549" s="5">
        <f>HYPERLINK("https://api.qogita.com/variants/link/3360372009900/", "View Product")</f>
        <v/>
      </c>
    </row>
    <row r="16550">
      <c r="A16550" t="inlineStr">
        <is>
          <t>3360372050827</t>
        </is>
      </c>
      <c r="B16550" t="inlineStr">
        <is>
          <t>Guy Laroche Drakkar Noir Eau De Toilette Spray 30ml</t>
        </is>
      </c>
      <c r="C16550" t="inlineStr">
        <is>
          <t>Eau De Toilette</t>
        </is>
      </c>
      <c r="D16550" t="inlineStr">
        <is>
          <t>Guy Laroche</t>
        </is>
      </c>
      <c r="E16550" t="n">
        <v>8.08</v>
      </c>
      <c r="F16550" t="n">
        <v>1</v>
      </c>
      <c r="G16550" t="n">
        <v>32</v>
      </c>
      <c r="H16550" s="5">
        <f>HYPERLINK("https://api.qogita.com/variants/link/3360372050827/", "View Product")</f>
        <v/>
      </c>
    </row>
    <row r="16551">
      <c r="A16551" t="inlineStr">
        <is>
          <t>3360372055419</t>
        </is>
      </c>
      <c r="B16551" t="inlineStr">
        <is>
          <t>Ralph Lauren Polo Sport Eau De Toilette Spray 75ml</t>
        </is>
      </c>
      <c r="C16551" t="inlineStr">
        <is>
          <t>Eau De Toilette</t>
        </is>
      </c>
      <c r="D16551" t="inlineStr">
        <is>
          <t>Ralph Lauren</t>
        </is>
      </c>
      <c r="E16551" t="n">
        <v>18.61</v>
      </c>
      <c r="F16551" t="n">
        <v>1</v>
      </c>
      <c r="G16551" t="n">
        <v>21</v>
      </c>
      <c r="H16551" s="5">
        <f>HYPERLINK("https://api.qogita.com/variants/link/3360372055419/", "View Product")</f>
        <v/>
      </c>
    </row>
    <row r="16552">
      <c r="A16552" t="inlineStr">
        <is>
          <t>3360372060734</t>
        </is>
      </c>
      <c r="B16552" t="inlineStr">
        <is>
          <t>Giorgio Armani Acqua Di Gio Deodorant Stick 75ml For Men</t>
        </is>
      </c>
      <c r="C16552" t="inlineStr">
        <is>
          <t>Deodorant &amp; Anti-Perspirant</t>
        </is>
      </c>
      <c r="D16552" t="inlineStr">
        <is>
          <t>Giorgio Armani</t>
        </is>
      </c>
      <c r="E16552" t="n">
        <v>17.91</v>
      </c>
      <c r="F16552" t="n">
        <v>1</v>
      </c>
      <c r="G16552" t="n">
        <v>1024</v>
      </c>
      <c r="H16552" s="5">
        <f>HYPERLINK("https://api.qogita.com/variants/link/3360372060734/", "View Product")</f>
        <v/>
      </c>
    </row>
    <row r="16553">
      <c r="A16553" t="inlineStr">
        <is>
          <t>3360372079927</t>
        </is>
      </c>
      <c r="B16553" t="inlineStr">
        <is>
          <t>Drakkar Noir by Guy Laroche Deodorant Spray 150ml</t>
        </is>
      </c>
      <c r="C16553" t="inlineStr">
        <is>
          <t>Deodorant &amp; Anti-Perspirant</t>
        </is>
      </c>
      <c r="D16553" t="inlineStr">
        <is>
          <t>Guy Laroche</t>
        </is>
      </c>
      <c r="E16553" t="n">
        <v>5.82</v>
      </c>
      <c r="F16553" t="n">
        <v>1</v>
      </c>
      <c r="G16553" t="n">
        <v>41</v>
      </c>
      <c r="H16553" s="5">
        <f>HYPERLINK("https://api.qogita.com/variants/link/3360372079927/", "View Product")</f>
        <v/>
      </c>
    </row>
    <row r="16554">
      <c r="A16554" t="inlineStr">
        <is>
          <t>3360373000074</t>
        </is>
      </c>
      <c r="B16554" t="inlineStr">
        <is>
          <t>Cacharel Lou Lou Eau De Parfum Spray 30ml</t>
        </is>
      </c>
      <c r="C16554" t="inlineStr">
        <is>
          <t>Eau De Parfum</t>
        </is>
      </c>
      <c r="D16554" t="inlineStr">
        <is>
          <t>Cacharel</t>
        </is>
      </c>
      <c r="E16554" t="n">
        <v>15.88</v>
      </c>
      <c r="F16554" t="n">
        <v>1</v>
      </c>
      <c r="G16554" t="n">
        <v>11</v>
      </c>
      <c r="H16554" s="5">
        <f>HYPERLINK("https://api.qogita.com/variants/link/3360373000074/", "View Product")</f>
        <v/>
      </c>
    </row>
    <row r="16555">
      <c r="A16555" t="inlineStr">
        <is>
          <t>3360373000081</t>
        </is>
      </c>
      <c r="B16555" t="inlineStr">
        <is>
          <t>Cacharel Lou Lou Eau De Parfum Spray 50ml</t>
        </is>
      </c>
      <c r="C16555" t="inlineStr">
        <is>
          <t>Eau De Parfum</t>
        </is>
      </c>
      <c r="D16555" t="inlineStr">
        <is>
          <t>Cacharel</t>
        </is>
      </c>
      <c r="E16555" t="n">
        <v>22.88</v>
      </c>
      <c r="F16555" t="n">
        <v>1</v>
      </c>
      <c r="G16555" t="n">
        <v>88</v>
      </c>
      <c r="H16555" s="5">
        <f>HYPERLINK("https://api.qogita.com/variants/link/3360373000081/", "View Product")</f>
        <v/>
      </c>
    </row>
    <row r="16556">
      <c r="A16556" t="inlineStr">
        <is>
          <t>3360373048861</t>
        </is>
      </c>
      <c r="B16556" t="inlineStr">
        <is>
          <t>Cacharel Eden Eau De Parfum Women's Perfume Seductive Sensual Fragrance</t>
        </is>
      </c>
      <c r="C16556" t="inlineStr">
        <is>
          <t>Eau De Parfum</t>
        </is>
      </c>
      <c r="D16556" t="inlineStr">
        <is>
          <t>Cacharel</t>
        </is>
      </c>
      <c r="E16556" t="n">
        <v>14.72</v>
      </c>
      <c r="F16556" t="n">
        <v>1</v>
      </c>
      <c r="G16556" t="n">
        <v>52</v>
      </c>
      <c r="H16556" s="5">
        <f>HYPERLINK("https://api.qogita.com/variants/link/3360373048861/", "View Product")</f>
        <v/>
      </c>
    </row>
    <row r="16557">
      <c r="A16557" t="inlineStr">
        <is>
          <t>3360373048878</t>
        </is>
      </c>
      <c r="B16557" t="inlineStr">
        <is>
          <t>Cacharel Eden Eau De Parfum 50ml Women's Perfume With Seductive Sensual Fragrance</t>
        </is>
      </c>
      <c r="C16557" t="inlineStr">
        <is>
          <t>Eau De Parfum</t>
        </is>
      </c>
      <c r="D16557" t="inlineStr">
        <is>
          <t>Cacharel</t>
        </is>
      </c>
      <c r="E16557" t="n">
        <v>24.1</v>
      </c>
      <c r="F16557" t="n">
        <v>1</v>
      </c>
      <c r="G16557" t="n">
        <v>65</v>
      </c>
      <c r="H16557" s="5">
        <f>HYPERLINK("https://api.qogita.com/variants/link/3360373048878/", "View Product")</f>
        <v/>
      </c>
    </row>
    <row r="16558">
      <c r="A16558" t="inlineStr">
        <is>
          <t>3360373054749</t>
        </is>
      </c>
      <c r="B16558" t="inlineStr">
        <is>
          <t>Paloma Picasso Eau De Toilette Spray 100ml By Paloma Picasso</t>
        </is>
      </c>
      <c r="C16558" t="inlineStr">
        <is>
          <t>Eau De Toilette</t>
        </is>
      </c>
      <c r="D16558" t="inlineStr">
        <is>
          <t>Paloma Picasso</t>
        </is>
      </c>
      <c r="E16558" t="n">
        <v>22.89</v>
      </c>
      <c r="F16558" t="n">
        <v>1</v>
      </c>
      <c r="G16558" t="n">
        <v>5</v>
      </c>
      <c r="H16558" s="5">
        <f>HYPERLINK("https://api.qogita.com/variants/link/3360373054749/", "View Product")</f>
        <v/>
      </c>
    </row>
    <row r="16559">
      <c r="A16559" t="inlineStr">
        <is>
          <t>3360373063703</t>
        </is>
      </c>
      <c r="B16559" t="inlineStr">
        <is>
          <t>Cacharel Amor Amor Eau De Toilette 50ml Women's Fragrance</t>
        </is>
      </c>
      <c r="C16559" t="inlineStr">
        <is>
          <t>Eau De Toilette</t>
        </is>
      </c>
      <c r="D16559" t="inlineStr">
        <is>
          <t>Cacharel</t>
        </is>
      </c>
      <c r="E16559" t="n">
        <v>20.61</v>
      </c>
      <c r="F16559" t="n">
        <v>1</v>
      </c>
      <c r="G16559" t="n">
        <v>7</v>
      </c>
      <c r="H16559" s="5">
        <f>HYPERLINK("https://api.qogita.com/variants/link/3360373063703/", "View Product")</f>
        <v/>
      </c>
    </row>
    <row r="16560">
      <c r="A16560" t="inlineStr">
        <is>
          <t>3360374507206</t>
        </is>
      </c>
      <c r="B16560" t="inlineStr">
        <is>
          <t>Cacharel Anais Anais L'Original Eau De Toilette Spray 50ml</t>
        </is>
      </c>
      <c r="C16560" t="inlineStr">
        <is>
          <t>Eau De Toilette</t>
        </is>
      </c>
      <c r="D16560" t="inlineStr">
        <is>
          <t>Cacharel</t>
        </is>
      </c>
      <c r="E16560" t="n">
        <v>21.9</v>
      </c>
      <c r="F16560" t="n">
        <v>1</v>
      </c>
      <c r="G16560" t="n">
        <v>16</v>
      </c>
      <c r="H16560" s="5">
        <f>HYPERLINK("https://api.qogita.com/variants/link/3360374507206/", "View Product")</f>
        <v/>
      </c>
    </row>
    <row r="16561">
      <c r="A16561" t="inlineStr">
        <is>
          <t>3360374533205</t>
        </is>
      </c>
      <c r="B16561" t="inlineStr">
        <is>
          <t>Cacharel Anais Anais Eau De Toilette Spray 100ml</t>
        </is>
      </c>
      <c r="C16561" t="inlineStr">
        <is>
          <t>Eau De Toilette</t>
        </is>
      </c>
      <c r="D16561" t="inlineStr">
        <is>
          <t>Cacharel</t>
        </is>
      </c>
      <c r="E16561" t="n">
        <v>25.73</v>
      </c>
      <c r="F16561" t="n">
        <v>1</v>
      </c>
      <c r="G16561" t="n">
        <v>113</v>
      </c>
      <c r="H16561" s="5">
        <f>HYPERLINK("https://api.qogita.com/variants/link/3360374533205/", "View Product")</f>
        <v/>
      </c>
    </row>
    <row r="16562">
      <c r="A16562" t="inlineStr">
        <is>
          <t>3360377002968</t>
        </is>
      </c>
      <c r="B16562" t="inlineStr">
        <is>
          <t>Ralph Lauren Romance Eau De Parfum 100ml For Women</t>
        </is>
      </c>
      <c r="C16562" t="inlineStr">
        <is>
          <t>Eau De Parfum</t>
        </is>
      </c>
      <c r="D16562" t="inlineStr">
        <is>
          <t>Ralph Lauren</t>
        </is>
      </c>
      <c r="E16562" t="n">
        <v>42.67</v>
      </c>
      <c r="F16562" t="n">
        <v>1</v>
      </c>
      <c r="G16562" t="n">
        <v>14</v>
      </c>
      <c r="H16562" s="5">
        <f>HYPERLINK("https://api.qogita.com/variants/link/3360377002968/", "View Product")</f>
        <v/>
      </c>
    </row>
    <row r="16563">
      <c r="A16563" t="inlineStr">
        <is>
          <t>3365440007017</t>
        </is>
      </c>
      <c r="B16563" t="inlineStr">
        <is>
          <t>Yves Saint Laurent Touche Eclat Radiant Touch Highlighter Concealer 1 Luminous Radiance 2.5ml</t>
        </is>
      </c>
      <c r="C16563" t="inlineStr">
        <is>
          <t>Highlighter</t>
        </is>
      </c>
      <c r="D16563" t="inlineStr">
        <is>
          <t>Yves Saint Laurent</t>
        </is>
      </c>
      <c r="E16563" t="n">
        <v>27.86</v>
      </c>
      <c r="F16563" t="n">
        <v>1</v>
      </c>
      <c r="G16563" t="n">
        <v>5</v>
      </c>
      <c r="H16563" s="5">
        <f>HYPERLINK("https://api.qogita.com/variants/link/3365440007017/", "View Product")</f>
        <v/>
      </c>
    </row>
    <row r="16564">
      <c r="A16564" t="inlineStr">
        <is>
          <t>3365440316546</t>
        </is>
      </c>
      <c r="B16564" t="inlineStr">
        <is>
          <t>Yves Saint Laurent L'Homme Eau De Toilette 60 Ml</t>
        </is>
      </c>
      <c r="C16564" t="inlineStr">
        <is>
          <t>Eau De Toilette</t>
        </is>
      </c>
      <c r="D16564" t="inlineStr">
        <is>
          <t>Yves Saint Laurent</t>
        </is>
      </c>
      <c r="E16564" t="n">
        <v>64.69</v>
      </c>
      <c r="F16564" t="n">
        <v>1</v>
      </c>
      <c r="G16564" t="n">
        <v>19</v>
      </c>
      <c r="H16564" s="5">
        <f>HYPERLINK("https://api.qogita.com/variants/link/3365440316546/", "View Product")</f>
        <v/>
      </c>
    </row>
    <row r="16565">
      <c r="A16565" t="inlineStr">
        <is>
          <t>3365440316621</t>
        </is>
      </c>
      <c r="B16565" t="inlineStr">
        <is>
          <t>YSL Homme Deodorant Stick 75g</t>
        </is>
      </c>
      <c r="C16565" t="inlineStr">
        <is>
          <t>Deodorant &amp; Anti-Perspirant</t>
        </is>
      </c>
      <c r="D16565" t="inlineStr">
        <is>
          <t>Yves Saint Laurent</t>
        </is>
      </c>
      <c r="E16565" t="n">
        <v>28.12</v>
      </c>
      <c r="F16565" t="n">
        <v>1</v>
      </c>
      <c r="G16565" t="n">
        <v>5</v>
      </c>
      <c r="H16565" s="5">
        <f>HYPERLINK("https://api.qogita.com/variants/link/3365440316621/", "View Product")</f>
        <v/>
      </c>
    </row>
    <row r="16566">
      <c r="A16566" t="inlineStr">
        <is>
          <t>3365440328761</t>
        </is>
      </c>
      <c r="B16566" t="inlineStr">
        <is>
          <t>Yves Saint Laurent L'Homme Eau De Toilette 200ml Spray For Men</t>
        </is>
      </c>
      <c r="C16566" t="inlineStr">
        <is>
          <t>Eau De Toilette</t>
        </is>
      </c>
      <c r="D16566" t="inlineStr">
        <is>
          <t>Yves Saint Laurent</t>
        </is>
      </c>
      <c r="E16566" t="n">
        <v>87.42</v>
      </c>
      <c r="F16566" t="n">
        <v>1</v>
      </c>
      <c r="G16566" t="n">
        <v>18</v>
      </c>
      <c r="H16566" s="5">
        <f>HYPERLINK("https://api.qogita.com/variants/link/3365440328761/", "View Product")</f>
        <v/>
      </c>
    </row>
    <row r="16567">
      <c r="A16567" t="inlineStr">
        <is>
          <t>3365440375055</t>
        </is>
      </c>
      <c r="B16567" t="inlineStr">
        <is>
          <t>Yves Saint Laurent La Nuit De L'Homme Eau De Toilette 60ml</t>
        </is>
      </c>
      <c r="C16567" t="inlineStr">
        <is>
          <t>Eau De Toilette</t>
        </is>
      </c>
      <c r="D16567" t="inlineStr">
        <is>
          <t>Yves Saint Laurent</t>
        </is>
      </c>
      <c r="E16567" t="n">
        <v>48.31</v>
      </c>
      <c r="F16567" t="n">
        <v>1</v>
      </c>
      <c r="G16567" t="n">
        <v>10</v>
      </c>
      <c r="H16567" s="5">
        <f>HYPERLINK("https://api.qogita.com/variants/link/3365440375055/", "View Product")</f>
        <v/>
      </c>
    </row>
    <row r="16568">
      <c r="A16568" t="inlineStr">
        <is>
          <t>3365440556461</t>
        </is>
      </c>
      <c r="B16568" t="inlineStr">
        <is>
          <t>Yves Saint Laurent Opium Pour Femme Eau De Toilette Spray 50ml</t>
        </is>
      </c>
      <c r="C16568" t="inlineStr">
        <is>
          <t>Eau De Toilette</t>
        </is>
      </c>
      <c r="D16568" t="inlineStr">
        <is>
          <t>Yves Saint Laurent</t>
        </is>
      </c>
      <c r="E16568" t="n">
        <v>63.45</v>
      </c>
      <c r="F16568" t="n">
        <v>1</v>
      </c>
      <c r="G16568" t="n">
        <v>3</v>
      </c>
      <c r="H16568" s="5">
        <f>HYPERLINK("https://api.qogita.com/variants/link/3365440556461/", "View Product")</f>
        <v/>
      </c>
    </row>
    <row r="16569">
      <c r="A16569" t="inlineStr">
        <is>
          <t>3365440621015</t>
        </is>
      </c>
      <c r="B16569" t="inlineStr">
        <is>
          <t>Yves Saint Laurent La Nuit De L'Homme Le Parfum Eau De Parfum Spray 60ml</t>
        </is>
      </c>
      <c r="C16569" t="inlineStr">
        <is>
          <t>Eau De Parfum</t>
        </is>
      </c>
      <c r="D16569" t="inlineStr">
        <is>
          <t>Yves Saint Laurent</t>
        </is>
      </c>
      <c r="E16569" t="n">
        <v>57.01</v>
      </c>
      <c r="F16569" t="n">
        <v>1</v>
      </c>
      <c r="G16569" t="n">
        <v>6</v>
      </c>
      <c r="H16569" s="5">
        <f>HYPERLINK("https://api.qogita.com/variants/link/3365440621015/", "View Product")</f>
        <v/>
      </c>
    </row>
    <row r="16570">
      <c r="A16570" t="inlineStr">
        <is>
          <t>3367729017212</t>
        </is>
      </c>
      <c r="B16570" t="inlineStr">
        <is>
          <t>Biotherm Homme Shaving Foam Sensitive Skin 200ml</t>
        </is>
      </c>
      <c r="C16570" t="inlineStr">
        <is>
          <t>Shaving</t>
        </is>
      </c>
      <c r="D16570" t="inlineStr">
        <is>
          <t>Biotherm</t>
        </is>
      </c>
      <c r="E16570" t="n">
        <v>21.12</v>
      </c>
      <c r="F16570" t="n">
        <v>1</v>
      </c>
      <c r="G16570" t="n">
        <v>3</v>
      </c>
      <c r="H16570" s="5">
        <f>HYPERLINK("https://api.qogita.com/variants/link/3367729017212/", "View Product")</f>
        <v/>
      </c>
    </row>
    <row r="16571">
      <c r="A16571" t="inlineStr">
        <is>
          <t>3367729018981</t>
        </is>
      </c>
      <c r="B16571" t="inlineStr">
        <is>
          <t>Biotherm Deo Pure Rollon 75ml Antiperspirant With Triactive Mineral Complex</t>
        </is>
      </c>
      <c r="C16571" t="inlineStr">
        <is>
          <t>Deodorant &amp; Anti-Perspirant</t>
        </is>
      </c>
      <c r="D16571" t="inlineStr">
        <is>
          <t>Biotherm</t>
        </is>
      </c>
      <c r="E16571" t="n">
        <v>17.38</v>
      </c>
      <c r="F16571" t="n">
        <v>1</v>
      </c>
      <c r="G16571" t="n">
        <v>19</v>
      </c>
      <c r="H16571" s="5">
        <f>HYPERLINK("https://api.qogita.com/variants/link/3367729018981/", "View Product")</f>
        <v/>
      </c>
    </row>
    <row r="16572">
      <c r="A16572" t="inlineStr">
        <is>
          <t>3367729202403</t>
        </is>
      </c>
      <c r="B16572" t="inlineStr">
        <is>
          <t>Biotherm Eau D'Energie Eau De Toilette 100ml</t>
        </is>
      </c>
      <c r="C16572" t="inlineStr">
        <is>
          <t>Eau De Toilette</t>
        </is>
      </c>
      <c r="D16572" t="inlineStr">
        <is>
          <t>Biotherm</t>
        </is>
      </c>
      <c r="E16572" t="n">
        <v>35.88</v>
      </c>
      <c r="F16572" t="n">
        <v>1</v>
      </c>
      <c r="G16572" t="n">
        <v>4</v>
      </c>
      <c r="H16572" s="5">
        <f>HYPERLINK("https://api.qogita.com/variants/link/3367729202403/", "View Product")</f>
        <v/>
      </c>
    </row>
    <row r="16573">
      <c r="A16573" t="inlineStr">
        <is>
          <t>3380810083996</t>
        </is>
      </c>
      <c r="B16573" t="inlineStr">
        <is>
          <t>Clarins Liftaffine Masque Intensif 75ml Brightening Facial Mask</t>
        </is>
      </c>
      <c r="C16573" t="inlineStr">
        <is>
          <t>Glow Mask</t>
        </is>
      </c>
      <c r="D16573" t="inlineStr">
        <is>
          <t>Clarins</t>
        </is>
      </c>
      <c r="E16573" t="n">
        <v>35.16</v>
      </c>
      <c r="F16573" t="n">
        <v>1</v>
      </c>
      <c r="G16573" t="n">
        <v>32</v>
      </c>
      <c r="H16573" s="5">
        <f>HYPERLINK("https://api.qogita.com/variants/link/3380810083996/", "View Product")</f>
        <v/>
      </c>
    </row>
    <row r="16574">
      <c r="A16574" t="inlineStr">
        <is>
          <t>3380810106787</t>
        </is>
      </c>
      <c r="B16574" t="inlineStr">
        <is>
          <t>Clarins White Plus Brightening Revive Night Maskgel 50ml Facial Mask For Women</t>
        </is>
      </c>
      <c r="C16574" t="inlineStr">
        <is>
          <t>Glow Mask</t>
        </is>
      </c>
      <c r="D16574" t="inlineStr">
        <is>
          <t>Clarins</t>
        </is>
      </c>
      <c r="E16574" t="n">
        <v>15.48</v>
      </c>
      <c r="F16574" t="n">
        <v>1</v>
      </c>
      <c r="G16574" t="n">
        <v>19</v>
      </c>
      <c r="H16574" s="5">
        <f>HYPERLINK("https://api.qogita.com/variants/link/3380810106787/", "View Product")</f>
        <v/>
      </c>
    </row>
    <row r="16575">
      <c r="A16575" t="inlineStr">
        <is>
          <t>3380810156690</t>
        </is>
      </c>
      <c r="B16575" t="inlineStr">
        <is>
          <t>Clarins Graphic Ink Liner Longlasting Eyeliner 04 Ml In Intense Black</t>
        </is>
      </c>
      <c r="C16575" t="inlineStr">
        <is>
          <t>Eyeliner</t>
        </is>
      </c>
      <c r="D16575" t="inlineStr">
        <is>
          <t>Clarins</t>
        </is>
      </c>
      <c r="E16575" t="n">
        <v>19.29</v>
      </c>
      <c r="F16575" t="n">
        <v>1</v>
      </c>
      <c r="G16575" t="n">
        <v>6</v>
      </c>
      <c r="H16575" s="5">
        <f>HYPERLINK("https://api.qogita.com/variants/link/3380810156690/", "View Product")</f>
        <v/>
      </c>
    </row>
    <row r="16576">
      <c r="A16576" t="inlineStr">
        <is>
          <t>3380810219623</t>
        </is>
      </c>
      <c r="B16576" t="inlineStr">
        <is>
          <t>Clarins Pore Control 30ml</t>
        </is>
      </c>
      <c r="C16576" t="inlineStr">
        <is>
          <t>Hydrating Serum</t>
        </is>
      </c>
      <c r="D16576" t="inlineStr">
        <is>
          <t>Clarins</t>
        </is>
      </c>
      <c r="E16576" t="n">
        <v>35.16</v>
      </c>
      <c r="F16576" t="n">
        <v>1</v>
      </c>
      <c r="G16576" t="n">
        <v>7</v>
      </c>
      <c r="H16576" s="5">
        <f>HYPERLINK("https://api.qogita.com/variants/link/3380810219623/", "View Product")</f>
        <v/>
      </c>
    </row>
    <row r="16577">
      <c r="A16577" t="inlineStr">
        <is>
          <t>3380810228816</t>
        </is>
      </c>
      <c r="B16577" t="inlineStr">
        <is>
          <t>Clarins Blending Brush Eye Shadow Cosmetic Brush</t>
        </is>
      </c>
      <c r="C16577" t="inlineStr">
        <is>
          <t>Eyeshadow Brushes</t>
        </is>
      </c>
      <c r="D16577" t="inlineStr">
        <is>
          <t>Clarins</t>
        </is>
      </c>
      <c r="E16577" t="n">
        <v>13.53</v>
      </c>
      <c r="F16577" t="n">
        <v>1</v>
      </c>
      <c r="G16577" t="n">
        <v>4</v>
      </c>
      <c r="H16577" s="5">
        <f>HYPERLINK("https://api.qogita.com/variants/link/3380810228816/", "View Product")</f>
        <v/>
      </c>
    </row>
    <row r="16578">
      <c r="A16578" t="inlineStr">
        <is>
          <t>3380810234428</t>
        </is>
      </c>
      <c r="B16578" t="inlineStr">
        <is>
          <t>Clarins Skin Illusion Natural Hydrating Foundation Spf 15 113 Chestnut 30ml</t>
        </is>
      </c>
      <c r="C16578" t="inlineStr">
        <is>
          <t>Foundation</t>
        </is>
      </c>
      <c r="D16578" t="inlineStr">
        <is>
          <t>Clarins</t>
        </is>
      </c>
      <c r="E16578" t="n">
        <v>30.72</v>
      </c>
      <c r="F16578" t="n">
        <v>1</v>
      </c>
      <c r="G16578" t="n">
        <v>2</v>
      </c>
      <c r="H16578" s="5">
        <f>HYPERLINK("https://api.qogita.com/variants/link/3380810234428/", "View Product")</f>
        <v/>
      </c>
    </row>
    <row r="16579">
      <c r="A16579" t="inlineStr">
        <is>
          <t>3380810234459</t>
        </is>
      </c>
      <c r="B16579" t="inlineStr">
        <is>
          <t>Clarins 116.5 Coffee 150ml</t>
        </is>
      </c>
      <c r="C16579" t="inlineStr">
        <is>
          <t>Eau De Toilette</t>
        </is>
      </c>
      <c r="D16579" t="inlineStr">
        <is>
          <t>Clarins</t>
        </is>
      </c>
      <c r="E16579" t="n">
        <v>28.8</v>
      </c>
      <c r="F16579" t="n">
        <v>1</v>
      </c>
      <c r="G16579" t="n">
        <v>5</v>
      </c>
      <c r="H16579" s="5">
        <f>HYPERLINK("https://api.qogita.com/variants/link/3380810234459/", "View Product")</f>
        <v/>
      </c>
    </row>
    <row r="16580">
      <c r="A16580" t="inlineStr">
        <is>
          <t>3380810269369</t>
        </is>
      </c>
      <c r="B16580" t="inlineStr">
        <is>
          <t>Clarins Waterproof Eye Pencil 03 Blue Orchid 029g</t>
        </is>
      </c>
      <c r="C16580" t="inlineStr">
        <is>
          <t>Eye Pencil</t>
        </is>
      </c>
      <c r="D16580" t="inlineStr">
        <is>
          <t>Clarins</t>
        </is>
      </c>
      <c r="E16580" t="n">
        <v>13.33</v>
      </c>
      <c r="F16580" t="n">
        <v>1</v>
      </c>
      <c r="G16580" t="n">
        <v>10</v>
      </c>
      <c r="H16580" s="5">
        <f>HYPERLINK("https://api.qogita.com/variants/link/3380810269369/", "View Product")</f>
        <v/>
      </c>
    </row>
    <row r="16581">
      <c r="A16581" t="inlineStr">
        <is>
          <t>3380810296679</t>
        </is>
      </c>
      <c r="B16581" t="inlineStr">
        <is>
          <t>Clarins Bust Beauty Extra Lift Gel 50ml</t>
        </is>
      </c>
      <c r="C16581" t="inlineStr">
        <is>
          <t>Neck &amp; Decollete</t>
        </is>
      </c>
      <c r="D16581" t="inlineStr">
        <is>
          <t>Clarins</t>
        </is>
      </c>
      <c r="E16581" t="n">
        <v>31.16</v>
      </c>
      <c r="F16581" t="n">
        <v>1</v>
      </c>
      <c r="G16581" t="n">
        <v>2</v>
      </c>
      <c r="H16581" s="5">
        <f>HYPERLINK("https://api.qogita.com/variants/link/3380810296679/", "View Product")</f>
        <v/>
      </c>
    </row>
    <row r="16582">
      <c r="A16582" t="inlineStr">
        <is>
          <t>3380810309393</t>
        </is>
      </c>
      <c r="B16582" t="inlineStr">
        <is>
          <t>Clarins Joli Blush 06 Cheeky Coral 5g</t>
        </is>
      </c>
      <c r="C16582" t="inlineStr">
        <is>
          <t>Blush</t>
        </is>
      </c>
      <c r="D16582" t="inlineStr">
        <is>
          <t>Clarins</t>
        </is>
      </c>
      <c r="E16582" t="n">
        <v>21.47</v>
      </c>
      <c r="F16582" t="n">
        <v>1</v>
      </c>
      <c r="G16582" t="n">
        <v>5</v>
      </c>
      <c r="H16582" s="5">
        <f>HYPERLINK("https://api.qogita.com/variants/link/3380810309393/", "View Product")</f>
        <v/>
      </c>
    </row>
    <row r="16583">
      <c r="A16583" t="inlineStr">
        <is>
          <t>3380810318821</t>
        </is>
      </c>
      <c r="B16583" t="inlineStr">
        <is>
          <t>Clarins Everlasting Youth Fluid Foundation 113 Chestnut Illuminating &amp; Firming Foundation 30 Ml</t>
        </is>
      </c>
      <c r="C16583" t="inlineStr">
        <is>
          <t>Foundation</t>
        </is>
      </c>
      <c r="D16583" t="inlineStr">
        <is>
          <t>Clarins</t>
        </is>
      </c>
      <c r="E16583" t="n">
        <v>29.37</v>
      </c>
      <c r="F16583" t="n">
        <v>1</v>
      </c>
      <c r="G16583" t="n">
        <v>3</v>
      </c>
      <c r="H16583" s="5">
        <f>HYPERLINK("https://api.qogita.com/variants/link/3380810318821/", "View Product")</f>
        <v/>
      </c>
    </row>
    <row r="16584">
      <c r="A16584" t="inlineStr">
        <is>
          <t>3380810343281</t>
        </is>
      </c>
      <c r="B16584" t="inlineStr">
        <is>
          <t>Clarins Extra Firming Neck &amp; Dcollete Cream 75 Ml</t>
        </is>
      </c>
      <c r="C16584" t="inlineStr">
        <is>
          <t>Neck &amp; Decollete</t>
        </is>
      </c>
      <c r="D16584" t="inlineStr">
        <is>
          <t>Clarins</t>
        </is>
      </c>
      <c r="E16584" t="n">
        <v>39.99</v>
      </c>
      <c r="F16584" t="n">
        <v>1</v>
      </c>
      <c r="G16584" t="n">
        <v>13</v>
      </c>
      <c r="H16584" s="5">
        <f>HYPERLINK("https://api.qogita.com/variants/link/3380810343281/", "View Product")</f>
        <v/>
      </c>
    </row>
    <row r="16585">
      <c r="A16585" t="inlineStr">
        <is>
          <t>3380810354331</t>
        </is>
      </c>
      <c r="B16585" t="inlineStr">
        <is>
          <t>Clarins Nutrilumire Night Cream 50ml Nourishing Revitalizing Night Cream</t>
        </is>
      </c>
      <c r="C16585" t="inlineStr">
        <is>
          <t>Night Cream</t>
        </is>
      </c>
      <c r="D16585" t="inlineStr">
        <is>
          <t>Clarins</t>
        </is>
      </c>
      <c r="E16585" t="n">
        <v>66.38</v>
      </c>
      <c r="F16585" t="n">
        <v>1</v>
      </c>
      <c r="G16585" t="n">
        <v>4</v>
      </c>
      <c r="H16585" s="5">
        <f>HYPERLINK("https://api.qogita.com/variants/link/3380810354331/", "View Product")</f>
        <v/>
      </c>
    </row>
    <row r="16586">
      <c r="A16586" t="inlineStr">
        <is>
          <t>3380810402995</t>
        </is>
      </c>
      <c r="B16586" t="inlineStr">
        <is>
          <t>Clarins Everlasting Foundation 119W Mocha 30ml</t>
        </is>
      </c>
      <c r="C16586" t="inlineStr">
        <is>
          <t>Foundation</t>
        </is>
      </c>
      <c r="D16586" t="inlineStr">
        <is>
          <t>Clarins</t>
        </is>
      </c>
      <c r="E16586" t="n">
        <v>29.09</v>
      </c>
      <c r="F16586" t="n">
        <v>1</v>
      </c>
      <c r="G16586" t="n">
        <v>2</v>
      </c>
      <c r="H16586" s="5">
        <f>HYPERLINK("https://api.qogita.com/variants/link/3380810402995/", "View Product")</f>
        <v/>
      </c>
    </row>
    <row r="16587">
      <c r="A16587" t="inlineStr">
        <is>
          <t>3380810405217</t>
        </is>
      </c>
      <c r="B16587" t="inlineStr">
        <is>
          <t>Clarins Total Eye Lift Cream Firming Antiwrinkle Eye Cream 15ml</t>
        </is>
      </c>
      <c r="C16587" t="inlineStr">
        <is>
          <t>Eye Cream</t>
        </is>
      </c>
      <c r="D16587" t="inlineStr">
        <is>
          <t>Clarins</t>
        </is>
      </c>
      <c r="E16587" t="n">
        <v>47.81</v>
      </c>
      <c r="F16587" t="n">
        <v>1</v>
      </c>
      <c r="G16587" t="n">
        <v>84</v>
      </c>
      <c r="H16587" s="5">
        <f>HYPERLINK("https://api.qogita.com/variants/link/3380810405217/", "View Product")</f>
        <v/>
      </c>
    </row>
    <row r="16588">
      <c r="A16588" t="inlineStr">
        <is>
          <t>3380810439670</t>
        </is>
      </c>
      <c r="B16588" t="inlineStr">
        <is>
          <t>Clarins Calmessentiel Restoring Treatment Oil 30ml Soothing Oil For Sensitive Skin</t>
        </is>
      </c>
      <c r="C16588" t="inlineStr">
        <is>
          <t>Facial Oil</t>
        </is>
      </c>
      <c r="D16588" t="inlineStr">
        <is>
          <t>Clarins</t>
        </is>
      </c>
      <c r="E16588" t="n">
        <v>42.95</v>
      </c>
      <c r="F16588" t="n">
        <v>1</v>
      </c>
      <c r="G16588" t="n">
        <v>5</v>
      </c>
      <c r="H16588" s="5">
        <f>HYPERLINK("https://api.qogita.com/variants/link/3380810439670/", "View Product")</f>
        <v/>
      </c>
    </row>
    <row r="16589">
      <c r="A16589" t="inlineStr">
        <is>
          <t>3380810458169</t>
        </is>
      </c>
      <c r="B16589" t="inlineStr">
        <is>
          <t>Clarins Moisture Rich Body Lotion With Shea Butter - 400ml</t>
        </is>
      </c>
      <c r="C16589" t="inlineStr">
        <is>
          <t>Body Lotion</t>
        </is>
      </c>
      <c r="D16589" t="inlineStr">
        <is>
          <t>Clarins</t>
        </is>
      </c>
      <c r="E16589" t="n">
        <v>24.53</v>
      </c>
      <c r="F16589" t="n">
        <v>1</v>
      </c>
      <c r="G16589" t="n">
        <v>186</v>
      </c>
      <c r="H16589" s="5">
        <f>HYPERLINK("https://api.qogita.com/variants/link/3380810458169/", "View Product")</f>
        <v/>
      </c>
    </row>
    <row r="16590">
      <c r="A16590" t="inlineStr">
        <is>
          <t>3380810482447</t>
        </is>
      </c>
      <c r="B16590" t="inlineStr">
        <is>
          <t>Clarins Skin Illusion Velvet Foundation 1085w Cashew 30ml Natural Matifying &amp; Hydrating Foundation</t>
        </is>
      </c>
      <c r="C16590" t="inlineStr">
        <is>
          <t>Foundation</t>
        </is>
      </c>
      <c r="D16590" t="inlineStr">
        <is>
          <t>Clarins</t>
        </is>
      </c>
      <c r="E16590" t="n">
        <v>29.9</v>
      </c>
      <c r="F16590" t="n">
        <v>1</v>
      </c>
      <c r="G16590" t="n">
        <v>2</v>
      </c>
      <c r="H16590" s="5">
        <f>HYPERLINK("https://api.qogita.com/variants/link/3380810482447/", "View Product")</f>
        <v/>
      </c>
    </row>
    <row r="16591">
      <c r="A16591" t="inlineStr">
        <is>
          <t>3386460010399</t>
        </is>
      </c>
      <c r="B16591" t="inlineStr">
        <is>
          <t>Lanvin Jeanne Eau De Parfum Spray 100ml For Women</t>
        </is>
      </c>
      <c r="C16591" t="inlineStr">
        <is>
          <t>Eau De Parfum</t>
        </is>
      </c>
      <c r="D16591" t="inlineStr">
        <is>
          <t>Lanvin</t>
        </is>
      </c>
      <c r="E16591" t="n">
        <v>22.79</v>
      </c>
      <c r="F16591" t="n">
        <v>1</v>
      </c>
      <c r="G16591" t="n">
        <v>596</v>
      </c>
      <c r="H16591" s="5">
        <f>HYPERLINK("https://api.qogita.com/variants/link/3386460010399/", "View Product")</f>
        <v/>
      </c>
    </row>
    <row r="16592">
      <c r="A16592" t="inlineStr">
        <is>
          <t>3386460023337</t>
        </is>
      </c>
      <c r="B16592" t="inlineStr">
        <is>
          <t>Lanvin Marry Me Eau De Parfum 75ml</t>
        </is>
      </c>
      <c r="C16592" t="inlineStr">
        <is>
          <t>Eau De Parfum</t>
        </is>
      </c>
      <c r="D16592" t="inlineStr">
        <is>
          <t>Lanvin</t>
        </is>
      </c>
      <c r="E16592" t="n">
        <v>21.38</v>
      </c>
      <c r="F16592" t="n">
        <v>1</v>
      </c>
      <c r="G16592" t="n">
        <v>151</v>
      </c>
      <c r="H16592" s="5">
        <f>HYPERLINK("https://api.qogita.com/variants/link/3386460023337/", "View Product")</f>
        <v/>
      </c>
    </row>
    <row r="16593">
      <c r="A16593" t="inlineStr">
        <is>
          <t>3386460025515</t>
        </is>
      </c>
      <c r="B16593" t="inlineStr">
        <is>
          <t>Jimmy Choo Eau De Toilette Spray 60ml</t>
        </is>
      </c>
      <c r="C16593" t="inlineStr">
        <is>
          <t>Eau De Toilette</t>
        </is>
      </c>
      <c r="D16593" t="inlineStr">
        <is>
          <t>Jimmy Choo</t>
        </is>
      </c>
      <c r="E16593" t="n">
        <v>23.23</v>
      </c>
      <c r="F16593" t="n">
        <v>1</v>
      </c>
      <c r="G16593" t="n">
        <v>23</v>
      </c>
      <c r="H16593" s="5">
        <f>HYPERLINK("https://api.qogita.com/variants/link/3386460025515/", "View Product")</f>
        <v/>
      </c>
    </row>
    <row r="16594">
      <c r="A16594" t="inlineStr">
        <is>
          <t>3386460028394</t>
        </is>
      </c>
      <c r="B16594" t="inlineStr">
        <is>
          <t>Mont Blanc Individuel For Men Eau De Toilette Spray 75ml</t>
        </is>
      </c>
      <c r="C16594" t="inlineStr">
        <is>
          <t>Eau De Toilette</t>
        </is>
      </c>
      <c r="D16594" t="inlineStr">
        <is>
          <t>Montblanc</t>
        </is>
      </c>
      <c r="E16594" t="n">
        <v>22.28</v>
      </c>
      <c r="F16594" t="n">
        <v>1</v>
      </c>
      <c r="G16594" t="n">
        <v>1326</v>
      </c>
      <c r="H16594" s="5">
        <f>HYPERLINK("https://api.qogita.com/variants/link/3386460028394/", "View Product")</f>
        <v/>
      </c>
    </row>
    <row r="16595">
      <c r="A16595" t="inlineStr">
        <is>
          <t>3386460028424</t>
        </is>
      </c>
      <c r="B16595" t="inlineStr">
        <is>
          <t>Mont Blanc Individuelle Femme Eau De Toilette Spray 75ml</t>
        </is>
      </c>
      <c r="C16595" t="inlineStr">
        <is>
          <t>Eau De Toilette</t>
        </is>
      </c>
      <c r="D16595" t="inlineStr">
        <is>
          <t>Montblanc</t>
        </is>
      </c>
      <c r="E16595" t="n">
        <v>22.27</v>
      </c>
      <c r="F16595" t="n">
        <v>1</v>
      </c>
      <c r="G16595" t="n">
        <v>67</v>
      </c>
      <c r="H16595" s="5">
        <f>HYPERLINK("https://api.qogita.com/variants/link/3386460028424/", "View Product")</f>
        <v/>
      </c>
    </row>
    <row r="16596">
      <c r="A16596" t="inlineStr">
        <is>
          <t>3386460028462</t>
        </is>
      </c>
      <c r="B16596" t="inlineStr">
        <is>
          <t>Mont Blanc Starwalker Eau De Toilette Spray 75ml</t>
        </is>
      </c>
      <c r="C16596" t="inlineStr">
        <is>
          <t>Eau De Toilette</t>
        </is>
      </c>
      <c r="D16596" t="inlineStr">
        <is>
          <t>Montblanc</t>
        </is>
      </c>
      <c r="E16596" t="n">
        <v>21.71</v>
      </c>
      <c r="F16596" t="n">
        <v>1</v>
      </c>
      <c r="G16596" t="n">
        <v>1455</v>
      </c>
      <c r="H16596" s="5">
        <f>HYPERLINK("https://api.qogita.com/variants/link/3386460028462/", "View Product")</f>
        <v/>
      </c>
    </row>
    <row r="16597">
      <c r="A16597" t="inlineStr">
        <is>
          <t>3386460032704</t>
        </is>
      </c>
      <c r="B16597" t="inlineStr">
        <is>
          <t>Mont Blanc Legend Eau De Toilette Spray 30ml</t>
        </is>
      </c>
      <c r="C16597" t="inlineStr">
        <is>
          <t>Eau De Toilette</t>
        </is>
      </c>
      <c r="D16597" t="inlineStr">
        <is>
          <t>Montblanc</t>
        </is>
      </c>
      <c r="E16597" t="n">
        <v>16.05</v>
      </c>
      <c r="F16597" t="n">
        <v>1</v>
      </c>
      <c r="G16597" t="n">
        <v>16</v>
      </c>
      <c r="H16597" s="5">
        <f>HYPERLINK("https://api.qogita.com/variants/link/3386460032704/", "View Product")</f>
        <v/>
      </c>
    </row>
    <row r="16598">
      <c r="A16598" t="inlineStr">
        <is>
          <t>3386460036467</t>
        </is>
      </c>
      <c r="B16598" t="inlineStr">
        <is>
          <t>Boucheron Jaipur Bracelet Eau De Parfum Spray 100ml</t>
        </is>
      </c>
      <c r="C16598" t="inlineStr">
        <is>
          <t>Eau De Parfum</t>
        </is>
      </c>
      <c r="D16598" t="inlineStr">
        <is>
          <t>Boucheron</t>
        </is>
      </c>
      <c r="E16598" t="n">
        <v>21.14</v>
      </c>
      <c r="F16598" t="n">
        <v>1</v>
      </c>
      <c r="G16598" t="n">
        <v>415</v>
      </c>
      <c r="H16598" s="5">
        <f>HYPERLINK("https://api.qogita.com/variants/link/3386460036467/", "View Product")</f>
        <v/>
      </c>
    </row>
    <row r="16599">
      <c r="A16599" t="inlineStr">
        <is>
          <t>3386460036528</t>
        </is>
      </c>
      <c r="B16599" t="inlineStr">
        <is>
          <t>Boucheron Jaipur Homme Eau De Parfum Spray 100ml</t>
        </is>
      </c>
      <c r="C16599" t="inlineStr">
        <is>
          <t>Eau De Parfum</t>
        </is>
      </c>
      <c r="D16599" t="inlineStr">
        <is>
          <t>Boucheron</t>
        </is>
      </c>
      <c r="E16599" t="n">
        <v>26.6</v>
      </c>
      <c r="F16599" t="n">
        <v>1</v>
      </c>
      <c r="G16599" t="n">
        <v>2</v>
      </c>
      <c r="H16599" s="5">
        <f>HYPERLINK("https://api.qogita.com/variants/link/3386460036528/", "View Product")</f>
        <v/>
      </c>
    </row>
    <row r="16600">
      <c r="A16600" t="inlineStr">
        <is>
          <t>3386460038249</t>
        </is>
      </c>
      <c r="B16600" t="inlineStr">
        <is>
          <t>Dupont 58 Avenue Montaigne Eau De Toilette Miniature</t>
        </is>
      </c>
      <c r="C16600" t="inlineStr">
        <is>
          <t>Eau De Toilette</t>
        </is>
      </c>
      <c r="D16600" t="inlineStr">
        <is>
          <t>Dupont</t>
        </is>
      </c>
      <c r="E16600" t="n">
        <v>0.45</v>
      </c>
      <c r="F16600" t="n">
        <v>1</v>
      </c>
      <c r="G16600" t="n">
        <v>23495</v>
      </c>
      <c r="H16600" s="5">
        <f>HYPERLINK("https://api.qogita.com/variants/link/3386460038249/", "View Product")</f>
        <v/>
      </c>
    </row>
    <row r="16601">
      <c r="A16601" t="inlineStr">
        <is>
          <t>3386460057059</t>
        </is>
      </c>
      <c r="B16601" t="inlineStr">
        <is>
          <t>Boucheron Place Vendome Eau De Parfum Spray 100ml</t>
        </is>
      </c>
      <c r="C16601" t="inlineStr">
        <is>
          <t>Eau De Parfum</t>
        </is>
      </c>
      <c r="D16601" t="inlineStr">
        <is>
          <t>Boucheron</t>
        </is>
      </c>
      <c r="E16601" t="n">
        <v>21.12</v>
      </c>
      <c r="F16601" t="n">
        <v>1</v>
      </c>
      <c r="G16601" t="n">
        <v>544</v>
      </c>
      <c r="H16601" s="5">
        <f>HYPERLINK("https://api.qogita.com/variants/link/3386460057059/", "View Product")</f>
        <v/>
      </c>
    </row>
    <row r="16602">
      <c r="A16602" t="inlineStr">
        <is>
          <t>3386460058407</t>
        </is>
      </c>
      <c r="B16602" t="inlineStr">
        <is>
          <t>Karl Lagerfeld Classic Pour Homme Eau De Toilette Spray 50ml</t>
        </is>
      </c>
      <c r="C16602" t="inlineStr">
        <is>
          <t>Eau De Toilette</t>
        </is>
      </c>
      <c r="D16602" t="inlineStr">
        <is>
          <t>Karl Lagerfeld</t>
        </is>
      </c>
      <c r="E16602" t="n">
        <v>12.93</v>
      </c>
      <c r="F16602" t="n">
        <v>1</v>
      </c>
      <c r="G16602" t="n">
        <v>17</v>
      </c>
      <c r="H16602" s="5">
        <f>HYPERLINK("https://api.qogita.com/variants/link/3386460058407/", "View Product")</f>
        <v/>
      </c>
    </row>
    <row r="16603">
      <c r="A16603" t="inlineStr">
        <is>
          <t>3386460059121</t>
        </is>
      </c>
      <c r="B16603" t="inlineStr">
        <is>
          <t>Karl Lagerfeld Pour Femme Eau De Parfum Spray 45ml</t>
        </is>
      </c>
      <c r="C16603" t="inlineStr">
        <is>
          <t>Eau De Parfum</t>
        </is>
      </c>
      <c r="D16603" t="inlineStr">
        <is>
          <t>Karl Lagerfeld</t>
        </is>
      </c>
      <c r="E16603" t="n">
        <v>12.87</v>
      </c>
      <c r="F16603" t="n">
        <v>1</v>
      </c>
      <c r="G16603" t="n">
        <v>335</v>
      </c>
      <c r="H16603" s="5">
        <f>HYPERLINK("https://api.qogita.com/variants/link/3386460059121/", "View Product")</f>
        <v/>
      </c>
    </row>
    <row r="16604">
      <c r="A16604" t="inlineStr">
        <is>
          <t>3386460059190</t>
        </is>
      </c>
      <c r="B16604" t="inlineStr">
        <is>
          <t>Karl Lagerfeld Pour Homme Eau De Toilette Spray 50ml</t>
        </is>
      </c>
      <c r="C16604" t="inlineStr">
        <is>
          <t>Eau De Toilette</t>
        </is>
      </c>
      <c r="D16604" t="inlineStr">
        <is>
          <t>Karl Lagerfeld</t>
        </is>
      </c>
      <c r="E16604" t="n">
        <v>13</v>
      </c>
      <c r="F16604" t="n">
        <v>1</v>
      </c>
      <c r="G16604" t="n">
        <v>1010</v>
      </c>
      <c r="H16604" s="5">
        <f>HYPERLINK("https://api.qogita.com/variants/link/3386460059190/", "View Product")</f>
        <v/>
      </c>
    </row>
    <row r="16605">
      <c r="A16605" t="inlineStr">
        <is>
          <t>3386460066167</t>
        </is>
      </c>
      <c r="B16605" t="inlineStr">
        <is>
          <t>Quatre By Boucheron Eau De Toilette Spray 3.3 Oz 100 Ml</t>
        </is>
      </c>
      <c r="C16605" t="inlineStr">
        <is>
          <t>Eau De Toilette</t>
        </is>
      </c>
      <c r="D16605" t="inlineStr">
        <is>
          <t>Boucheron</t>
        </is>
      </c>
      <c r="E16605" t="n">
        <v>28.12</v>
      </c>
      <c r="F16605" t="n">
        <v>1</v>
      </c>
      <c r="G16605" t="n">
        <v>9</v>
      </c>
      <c r="H16605" s="5">
        <f>HYPERLINK("https://api.qogita.com/variants/link/3386460066167/", "View Product")</f>
        <v/>
      </c>
    </row>
    <row r="16606">
      <c r="A16606" t="inlineStr">
        <is>
          <t>3386460071741</t>
        </is>
      </c>
      <c r="B16606" t="inlineStr">
        <is>
          <t>Jimmy Choo Illicit Eau De Parfum 40ml Women Spray</t>
        </is>
      </c>
      <c r="C16606" t="inlineStr">
        <is>
          <t>Eau De Parfum</t>
        </is>
      </c>
      <c r="D16606" t="inlineStr">
        <is>
          <t>Jimmy Choo</t>
        </is>
      </c>
      <c r="E16606" t="n">
        <v>19.77</v>
      </c>
      <c r="F16606" t="n">
        <v>1</v>
      </c>
      <c r="G16606" t="n">
        <v>14</v>
      </c>
      <c r="H16606" s="5">
        <f>HYPERLINK("https://api.qogita.com/variants/link/3386460071741/", "View Product")</f>
        <v/>
      </c>
    </row>
    <row r="16607">
      <c r="A16607" t="inlineStr">
        <is>
          <t>3386460073882</t>
        </is>
      </c>
      <c r="B16607" t="inlineStr">
        <is>
          <t>Jimmy Choo L'Eau Femme Eau De Toilette 40ml</t>
        </is>
      </c>
      <c r="C16607" t="inlineStr">
        <is>
          <t>Eau De Toilette</t>
        </is>
      </c>
      <c r="D16607" t="inlineStr">
        <is>
          <t>Jimmy Choo</t>
        </is>
      </c>
      <c r="E16607" t="n">
        <v>18.35</v>
      </c>
      <c r="F16607" t="n">
        <v>1</v>
      </c>
      <c r="G16607" t="n">
        <v>16</v>
      </c>
      <c r="H16607" s="5">
        <f>HYPERLINK("https://api.qogita.com/variants/link/3386460073882/", "View Product")</f>
        <v/>
      </c>
    </row>
    <row r="16608">
      <c r="A16608" t="inlineStr">
        <is>
          <t>3386460074797</t>
        </is>
      </c>
      <c r="B16608" t="inlineStr">
        <is>
          <t>Montblanc Legend Eau De Toilette 200ml For Men</t>
        </is>
      </c>
      <c r="C16608" t="inlineStr">
        <is>
          <t>Eau De Toilette</t>
        </is>
      </c>
      <c r="D16608" t="inlineStr">
        <is>
          <t>Montblanc</t>
        </is>
      </c>
      <c r="E16608" t="n">
        <v>44.49</v>
      </c>
      <c r="F16608" t="n">
        <v>1</v>
      </c>
      <c r="G16608" t="n">
        <v>11</v>
      </c>
      <c r="H16608" s="5">
        <f>HYPERLINK("https://api.qogita.com/variants/link/3386460074797/", "View Product")</f>
        <v/>
      </c>
    </row>
    <row r="16609">
      <c r="A16609" t="inlineStr">
        <is>
          <t>3386460074834</t>
        </is>
      </c>
      <c r="B16609" t="inlineStr">
        <is>
          <t>Mont Blanc Legend Spirit Pour Homme Eau De Toilette Spray 50ml</t>
        </is>
      </c>
      <c r="C16609" t="inlineStr">
        <is>
          <t>Eau De Toilette</t>
        </is>
      </c>
      <c r="D16609" t="inlineStr">
        <is>
          <t>Montblanc</t>
        </is>
      </c>
      <c r="E16609" t="n">
        <v>25.87</v>
      </c>
      <c r="F16609" t="n">
        <v>1</v>
      </c>
      <c r="G16609" t="n">
        <v>30</v>
      </c>
      <c r="H16609" s="5">
        <f>HYPERLINK("https://api.qogita.com/variants/link/3386460074834/", "View Product")</f>
        <v/>
      </c>
    </row>
    <row r="16610">
      <c r="A16610" t="inlineStr">
        <is>
          <t>3386460074872</t>
        </is>
      </c>
      <c r="B16610" t="inlineStr">
        <is>
          <t>Montblanc Legend Spirit Deodorant Stick 75g</t>
        </is>
      </c>
      <c r="C16610" t="inlineStr">
        <is>
          <t>Deodorant &amp; Anti-Perspirant</t>
        </is>
      </c>
      <c r="D16610" t="inlineStr">
        <is>
          <t>Montblanc</t>
        </is>
      </c>
      <c r="E16610" t="n">
        <v>12.03</v>
      </c>
      <c r="F16610" t="n">
        <v>1</v>
      </c>
      <c r="G16610" t="n">
        <v>35</v>
      </c>
      <c r="H16610" s="5">
        <f>HYPERLINK("https://api.qogita.com/variants/link/3386460074872/", "View Product")</f>
        <v/>
      </c>
    </row>
    <row r="16611">
      <c r="A16611" t="inlineStr">
        <is>
          <t>3386460075367</t>
        </is>
      </c>
      <c r="B16611" t="inlineStr">
        <is>
          <t>Jimmy Choo Illicit Flower Eau De Toilette Spray 40ml</t>
        </is>
      </c>
      <c r="C16611" t="inlineStr">
        <is>
          <t>Eau De Toilette</t>
        </is>
      </c>
      <c r="D16611" t="inlineStr">
        <is>
          <t>Jimmy Choo</t>
        </is>
      </c>
      <c r="E16611" t="n">
        <v>20.2</v>
      </c>
      <c r="F16611" t="n">
        <v>1</v>
      </c>
      <c r="G16611" t="n">
        <v>14</v>
      </c>
      <c r="H16611" s="5">
        <f>HYPERLINK("https://api.qogita.com/variants/link/3386460075367/", "View Product")</f>
        <v/>
      </c>
    </row>
    <row r="16612">
      <c r="A16612" t="inlineStr">
        <is>
          <t>3386460076272</t>
        </is>
      </c>
      <c r="B16612" t="inlineStr">
        <is>
          <t>Rochas Eau De Rochas Eau De Toilette Spray 50ml</t>
        </is>
      </c>
      <c r="C16612" t="inlineStr">
        <is>
          <t>Eau De Toilette</t>
        </is>
      </c>
      <c r="D16612" t="inlineStr">
        <is>
          <t>Rochas</t>
        </is>
      </c>
      <c r="E16612" t="n">
        <v>22.95</v>
      </c>
      <c r="F16612" t="n">
        <v>1</v>
      </c>
      <c r="G16612" t="n">
        <v>11</v>
      </c>
      <c r="H16612" s="5">
        <f>HYPERLINK("https://api.qogita.com/variants/link/3386460076272/", "View Product")</f>
        <v/>
      </c>
    </row>
    <row r="16613">
      <c r="A16613" t="inlineStr">
        <is>
          <t>3386460076296</t>
        </is>
      </c>
      <c r="B16613" t="inlineStr">
        <is>
          <t>Rochas Eau Sensuelle F Eau De Toilette Spray 100ml</t>
        </is>
      </c>
      <c r="C16613" t="inlineStr">
        <is>
          <t>Eau De Toilette</t>
        </is>
      </c>
      <c r="D16613" t="inlineStr">
        <is>
          <t>Un</t>
        </is>
      </c>
      <c r="E16613" t="n">
        <v>37.93</v>
      </c>
      <c r="F16613" t="n">
        <v>1</v>
      </c>
      <c r="G16613" t="n">
        <v>2</v>
      </c>
      <c r="H16613" s="5">
        <f>HYPERLINK("https://api.qogita.com/variants/link/3386460076296/", "View Product")</f>
        <v/>
      </c>
    </row>
    <row r="16614">
      <c r="A16614" t="inlineStr">
        <is>
          <t>3386460077019</t>
        </is>
      </c>
      <c r="B16614" t="inlineStr">
        <is>
          <t>Rochas Eau De Rochas Bath &amp; Shower Gel 500ml</t>
        </is>
      </c>
      <c r="C16614" t="inlineStr">
        <is>
          <t>Shower Gel</t>
        </is>
      </c>
      <c r="D16614" t="inlineStr">
        <is>
          <t>Rochas</t>
        </is>
      </c>
      <c r="E16614" t="n">
        <v>16.84</v>
      </c>
      <c r="F16614" t="n">
        <v>1</v>
      </c>
      <c r="G16614" t="n">
        <v>15</v>
      </c>
      <c r="H16614" s="5">
        <f>HYPERLINK("https://api.qogita.com/variants/link/3386460077019/", "View Product")</f>
        <v/>
      </c>
    </row>
    <row r="16615">
      <c r="A16615" t="inlineStr">
        <is>
          <t>3386460077224</t>
        </is>
      </c>
      <c r="B16615" t="inlineStr">
        <is>
          <t>Lanvin Modern Princess Eau De Parfum Spray 30ml</t>
        </is>
      </c>
      <c r="C16615" t="inlineStr">
        <is>
          <t>Eau De Parfum</t>
        </is>
      </c>
      <c r="D16615" t="inlineStr">
        <is>
          <t>Lanvin</t>
        </is>
      </c>
      <c r="E16615" t="n">
        <v>16.86</v>
      </c>
      <c r="F16615" t="n">
        <v>1</v>
      </c>
      <c r="G16615" t="n">
        <v>56</v>
      </c>
      <c r="H16615" s="5">
        <f>HYPERLINK("https://api.qogita.com/variants/link/3386460077224/", "View Product")</f>
        <v/>
      </c>
    </row>
    <row r="16616">
      <c r="A16616" t="inlineStr">
        <is>
          <t>3386460078306</t>
        </is>
      </c>
      <c r="B16616" t="inlineStr">
        <is>
          <t>Coach The Fragrance Eau De Parfum 90ml For Women</t>
        </is>
      </c>
      <c r="C16616" t="inlineStr">
        <is>
          <t>Eau De Parfum</t>
        </is>
      </c>
      <c r="D16616" t="inlineStr">
        <is>
          <t>Coach</t>
        </is>
      </c>
      <c r="E16616" t="n">
        <v>37.22</v>
      </c>
      <c r="F16616" t="n">
        <v>1</v>
      </c>
      <c r="G16616" t="n">
        <v>41</v>
      </c>
      <c r="H16616" s="5">
        <f>HYPERLINK("https://api.qogita.com/variants/link/3386460078306/", "View Product")</f>
        <v/>
      </c>
    </row>
    <row r="16617">
      <c r="A16617" t="inlineStr">
        <is>
          <t>3386460078320</t>
        </is>
      </c>
      <c r="B16617" t="inlineStr">
        <is>
          <t>Coach Woman Eau De Parfum Spray 30ml</t>
        </is>
      </c>
      <c r="C16617" t="inlineStr">
        <is>
          <t>Eau De Parfum</t>
        </is>
      </c>
      <c r="D16617" t="inlineStr">
        <is>
          <t>Coach</t>
        </is>
      </c>
      <c r="E16617" t="n">
        <v>18.34</v>
      </c>
      <c r="F16617" t="n">
        <v>1</v>
      </c>
      <c r="G16617" t="n">
        <v>31</v>
      </c>
      <c r="H16617" s="5">
        <f>HYPERLINK("https://api.qogita.com/variants/link/3386460078320/", "View Product")</f>
        <v/>
      </c>
    </row>
    <row r="16618">
      <c r="A16618" t="inlineStr">
        <is>
          <t>3386460078580</t>
        </is>
      </c>
      <c r="B16618" t="inlineStr">
        <is>
          <t>Madame Rochas Eau De Toilette Spray 100ml - Product Without Packaging</t>
        </is>
      </c>
      <c r="C16618" t="inlineStr">
        <is>
          <t>Eau De Toilette</t>
        </is>
      </c>
      <c r="D16618" t="inlineStr">
        <is>
          <t>Madame Rochas</t>
        </is>
      </c>
      <c r="E16618" t="n">
        <v>20.01</v>
      </c>
      <c r="F16618" t="n">
        <v>1</v>
      </c>
      <c r="G16618" t="n">
        <v>11</v>
      </c>
      <c r="H16618" s="5">
        <f>HYPERLINK("https://api.qogita.com/variants/link/3386460078580/", "View Product")</f>
        <v/>
      </c>
    </row>
    <row r="16619">
      <c r="A16619" t="inlineStr">
        <is>
          <t>3386460078887</t>
        </is>
      </c>
      <c r="B16619" t="inlineStr">
        <is>
          <t>Jimmy Choo Man Intense Eau De Parfum 50ml For Men</t>
        </is>
      </c>
      <c r="C16619" t="inlineStr">
        <is>
          <t>Eau De Parfum</t>
        </is>
      </c>
      <c r="D16619" t="inlineStr">
        <is>
          <t>Jimmy Choo</t>
        </is>
      </c>
      <c r="E16619" t="n">
        <v>28.4</v>
      </c>
      <c r="F16619" t="n">
        <v>1</v>
      </c>
      <c r="G16619" t="n">
        <v>5</v>
      </c>
      <c r="H16619" s="5">
        <f>HYPERLINK("https://api.qogita.com/variants/link/3386460078887/", "View Product")</f>
        <v/>
      </c>
    </row>
    <row r="16620">
      <c r="A16620" t="inlineStr">
        <is>
          <t>3386460079143</t>
        </is>
      </c>
      <c r="B16620" t="inlineStr">
        <is>
          <t>Coach Eau De Toilette For Women 50ml Spray</t>
        </is>
      </c>
      <c r="C16620" t="inlineStr">
        <is>
          <t>Eau De Toilette</t>
        </is>
      </c>
      <c r="D16620" t="inlineStr">
        <is>
          <t>Coach</t>
        </is>
      </c>
      <c r="E16620" t="n">
        <v>29.51</v>
      </c>
      <c r="F16620" t="n">
        <v>1</v>
      </c>
      <c r="G16620" t="n">
        <v>2</v>
      </c>
      <c r="H16620" s="5">
        <f>HYPERLINK("https://api.qogita.com/variants/link/3386460079143/", "View Product")</f>
        <v/>
      </c>
    </row>
    <row r="16621">
      <c r="A16621" t="inlineStr">
        <is>
          <t>3386460081016</t>
        </is>
      </c>
      <c r="B16621" t="inlineStr">
        <is>
          <t>Rochas Mademoiselle Rochas Woman Eau De Parfum Spray 90ml</t>
        </is>
      </c>
      <c r="C16621" t="inlineStr">
        <is>
          <t>Eau De Parfum</t>
        </is>
      </c>
      <c r="D16621" t="inlineStr">
        <is>
          <t>Rochas</t>
        </is>
      </c>
      <c r="E16621" t="n">
        <v>26.56</v>
      </c>
      <c r="F16621" t="n">
        <v>1</v>
      </c>
      <c r="G16621" t="n">
        <v>1232</v>
      </c>
      <c r="H16621" s="5">
        <f>HYPERLINK("https://api.qogita.com/variants/link/3386460081016/", "View Product")</f>
        <v/>
      </c>
    </row>
    <row r="16622">
      <c r="A16622" t="inlineStr">
        <is>
          <t>3386460081931</t>
        </is>
      </c>
      <c r="B16622" t="inlineStr">
        <is>
          <t>Mont Blanc Eau De Toilette 75ml</t>
        </is>
      </c>
      <c r="C16622" t="inlineStr">
        <is>
          <t>Eau De Toilette</t>
        </is>
      </c>
      <c r="D16622" t="inlineStr">
        <is>
          <t>Montblanc</t>
        </is>
      </c>
      <c r="E16622" t="n">
        <v>32.61</v>
      </c>
      <c r="F16622" t="n">
        <v>1</v>
      </c>
      <c r="G16622" t="n">
        <v>9</v>
      </c>
      <c r="H16622" s="5">
        <f>HYPERLINK("https://api.qogita.com/variants/link/3386460081931/", "View Product")</f>
        <v/>
      </c>
    </row>
    <row r="16623">
      <c r="A16623" t="inlineStr">
        <is>
          <t>3386460082075</t>
        </is>
      </c>
      <c r="B16623" t="inlineStr">
        <is>
          <t>Karl Lagerfeld Classic Eau De Toilette Spray 150ml For Men</t>
        </is>
      </c>
      <c r="C16623" t="inlineStr">
        <is>
          <t>Eau De Toilette</t>
        </is>
      </c>
      <c r="D16623" t="inlineStr">
        <is>
          <t>Karl Lagerfeld</t>
        </is>
      </c>
      <c r="E16623" t="n">
        <v>19.17</v>
      </c>
      <c r="F16623" t="n">
        <v>1</v>
      </c>
      <c r="G16623" t="n">
        <v>257</v>
      </c>
      <c r="H16623" s="5">
        <f>HYPERLINK("https://api.qogita.com/variants/link/3386460082075/", "View Product")</f>
        <v/>
      </c>
    </row>
    <row r="16624">
      <c r="A16624" t="inlineStr">
        <is>
          <t>3386460082174</t>
        </is>
      </c>
      <c r="B16624" t="inlineStr">
        <is>
          <t>Jimmy Choo Man Ice Eau De Toilette 100ml For Men</t>
        </is>
      </c>
      <c r="C16624" t="inlineStr">
        <is>
          <t>Eau De Toilette</t>
        </is>
      </c>
      <c r="D16624" t="inlineStr">
        <is>
          <t>Jimmy Choo</t>
        </is>
      </c>
      <c r="E16624" t="n">
        <v>30.32</v>
      </c>
      <c r="F16624" t="n">
        <v>1</v>
      </c>
      <c r="G16624" t="n">
        <v>82</v>
      </c>
      <c r="H16624" s="5">
        <f>HYPERLINK("https://api.qogita.com/variants/link/3386460082174/", "View Product")</f>
        <v/>
      </c>
    </row>
    <row r="16625">
      <c r="A16625" t="inlineStr">
        <is>
          <t>3386460086325</t>
        </is>
      </c>
      <c r="B16625" t="inlineStr">
        <is>
          <t>Coach For Men Eau De Toilette Spray 100ml</t>
        </is>
      </c>
      <c r="C16625" t="inlineStr">
        <is>
          <t>Eau De Toilette</t>
        </is>
      </c>
      <c r="D16625" t="inlineStr">
        <is>
          <t>Coach</t>
        </is>
      </c>
      <c r="E16625" t="n">
        <v>32.88</v>
      </c>
      <c r="F16625" t="n">
        <v>1</v>
      </c>
      <c r="G16625" t="n">
        <v>9</v>
      </c>
      <c r="H16625" s="5">
        <f>HYPERLINK("https://api.qogita.com/variants/link/3386460086325/", "View Product")</f>
        <v/>
      </c>
    </row>
    <row r="16626">
      <c r="A16626" t="inlineStr">
        <is>
          <t>3386460086349</t>
        </is>
      </c>
      <c r="B16626" t="inlineStr">
        <is>
          <t>Coach For Men Eau De Toilette Spray 40ml</t>
        </is>
      </c>
      <c r="C16626" t="inlineStr">
        <is>
          <t>Eau De Toilette</t>
        </is>
      </c>
      <c r="D16626" t="inlineStr">
        <is>
          <t>Coach</t>
        </is>
      </c>
      <c r="E16626" t="n">
        <v>16.1</v>
      </c>
      <c r="F16626" t="n">
        <v>1</v>
      </c>
      <c r="G16626" t="n">
        <v>29</v>
      </c>
      <c r="H16626" s="5">
        <f>HYPERLINK("https://api.qogita.com/variants/link/3386460086349/", "View Product")</f>
        <v/>
      </c>
    </row>
    <row r="16627">
      <c r="A16627" t="inlineStr">
        <is>
          <t>3386460087261</t>
        </is>
      </c>
      <c r="B16627" t="inlineStr">
        <is>
          <t>Karl Lagerfeld Bois De Vetiver Eau De Toilette Spray 100ml</t>
        </is>
      </c>
      <c r="C16627" t="inlineStr">
        <is>
          <t>Eau De Toilette</t>
        </is>
      </c>
      <c r="D16627" t="inlineStr">
        <is>
          <t>Karl Lagerfeld</t>
        </is>
      </c>
      <c r="E16627" t="n">
        <v>17.83</v>
      </c>
      <c r="F16627" t="n">
        <v>1</v>
      </c>
      <c r="G16627" t="n">
        <v>1998</v>
      </c>
      <c r="H16627" s="5">
        <f>HYPERLINK("https://api.qogita.com/variants/link/3386460087261/", "View Product")</f>
        <v/>
      </c>
    </row>
    <row r="16628">
      <c r="A16628" t="inlineStr">
        <is>
          <t>3386460087285</t>
        </is>
      </c>
      <c r="B16628" t="inlineStr">
        <is>
          <t>Karl Lagerfeld Bois De Vtiver Eau De Toilette For Men</t>
        </is>
      </c>
      <c r="C16628" t="inlineStr">
        <is>
          <t>Eau De Toilette</t>
        </is>
      </c>
      <c r="D16628" t="inlineStr">
        <is>
          <t>Karl Lagerfeld</t>
        </is>
      </c>
      <c r="E16628" t="n">
        <v>12.76</v>
      </c>
      <c r="F16628" t="n">
        <v>1</v>
      </c>
      <c r="G16628" t="n">
        <v>16</v>
      </c>
      <c r="H16628" s="5">
        <f>HYPERLINK("https://api.qogita.com/variants/link/3386460087285/", "View Product")</f>
        <v/>
      </c>
    </row>
    <row r="16629">
      <c r="A16629" t="inlineStr">
        <is>
          <t>3386460087940</t>
        </is>
      </c>
      <c r="B16629" t="inlineStr">
        <is>
          <t>Mont Blanc Legend Night Eau De Parfum Spray 100ml</t>
        </is>
      </c>
      <c r="C16629" t="inlineStr">
        <is>
          <t>Eau De Parfum</t>
        </is>
      </c>
      <c r="D16629" t="inlineStr">
        <is>
          <t>Montblanc</t>
        </is>
      </c>
      <c r="E16629" t="n">
        <v>30.9</v>
      </c>
      <c r="F16629" t="n">
        <v>1</v>
      </c>
      <c r="G16629" t="n">
        <v>83</v>
      </c>
      <c r="H16629" s="5">
        <f>HYPERLINK("https://api.qogita.com/variants/link/3386460087940/", "View Product")</f>
        <v/>
      </c>
    </row>
    <row r="16630">
      <c r="A16630" t="inlineStr">
        <is>
          <t>3386460089012</t>
        </is>
      </c>
      <c r="B16630" t="inlineStr">
        <is>
          <t>St Dupont Be Exceptional Eau De Toilette 50ml For Men</t>
        </is>
      </c>
      <c r="C16630" t="inlineStr">
        <is>
          <t>Eau De Toilette</t>
        </is>
      </c>
      <c r="D16630" t="inlineStr">
        <is>
          <t>S.T. Dupont</t>
        </is>
      </c>
      <c r="E16630" t="n">
        <v>13.85</v>
      </c>
      <c r="F16630" t="n">
        <v>1</v>
      </c>
      <c r="G16630" t="n">
        <v>15</v>
      </c>
      <c r="H16630" s="5">
        <f>HYPERLINK("https://api.qogita.com/variants/link/3386460089012/", "View Product")</f>
        <v/>
      </c>
    </row>
    <row r="16631">
      <c r="A16631" t="inlineStr">
        <is>
          <t>3386460095464</t>
        </is>
      </c>
      <c r="B16631" t="inlineStr">
        <is>
          <t>Coach Signature Eau De Parfum 100ml For Women</t>
        </is>
      </c>
      <c r="C16631" t="inlineStr">
        <is>
          <t>Eau De Parfum</t>
        </is>
      </c>
      <c r="D16631" t="inlineStr">
        <is>
          <t>Coach</t>
        </is>
      </c>
      <c r="E16631" t="n">
        <v>35.54</v>
      </c>
      <c r="F16631" t="n">
        <v>1</v>
      </c>
      <c r="G16631" t="n">
        <v>10</v>
      </c>
      <c r="H16631" s="5">
        <f>HYPERLINK("https://api.qogita.com/variants/link/3386460095464/", "View Product")</f>
        <v/>
      </c>
    </row>
    <row r="16632">
      <c r="A16632" t="inlineStr">
        <is>
          <t>3386460096874</t>
        </is>
      </c>
      <c r="B16632" t="inlineStr">
        <is>
          <t>Coach Platinum Man Eau De Parfum Spray 60ml</t>
        </is>
      </c>
      <c r="C16632" t="inlineStr">
        <is>
          <t>Eau De Parfum</t>
        </is>
      </c>
      <c r="D16632" t="inlineStr">
        <is>
          <t>Coach</t>
        </is>
      </c>
      <c r="E16632" t="n">
        <v>26.36</v>
      </c>
      <c r="F16632" t="n">
        <v>1</v>
      </c>
      <c r="G16632" t="n">
        <v>29</v>
      </c>
      <c r="H16632" s="5">
        <f>HYPERLINK("https://api.qogita.com/variants/link/3386460096874/", "View Product")</f>
        <v/>
      </c>
    </row>
    <row r="16633">
      <c r="A16633" t="inlineStr">
        <is>
          <t>3386460097338</t>
        </is>
      </c>
      <c r="B16633" t="inlineStr">
        <is>
          <t>Jimmy Choo Fever Eau De Parfum 60ml For Women</t>
        </is>
      </c>
      <c r="C16633" t="inlineStr">
        <is>
          <t>Eau De Parfum</t>
        </is>
      </c>
      <c r="D16633" t="inlineStr">
        <is>
          <t>Jimmy Choo</t>
        </is>
      </c>
      <c r="E16633" t="n">
        <v>28.71</v>
      </c>
      <c r="F16633" t="n">
        <v>1</v>
      </c>
      <c r="G16633" t="n">
        <v>3</v>
      </c>
      <c r="H16633" s="5">
        <f>HYPERLINK("https://api.qogita.com/variants/link/3386460097338/", "View Product")</f>
        <v/>
      </c>
    </row>
    <row r="16634">
      <c r="A16634" t="inlineStr">
        <is>
          <t>3386460101042</t>
        </is>
      </c>
      <c r="B16634" t="inlineStr">
        <is>
          <t>Mont Blanc Explorer Eau De Parfum Spray 60ml</t>
        </is>
      </c>
      <c r="C16634" t="inlineStr">
        <is>
          <t>Eau De Parfum</t>
        </is>
      </c>
      <c r="D16634" t="inlineStr">
        <is>
          <t>Montblanc</t>
        </is>
      </c>
      <c r="E16634" t="n">
        <v>29.39</v>
      </c>
      <c r="F16634" t="n">
        <v>1</v>
      </c>
      <c r="G16634" t="n">
        <v>23</v>
      </c>
      <c r="H16634" s="5">
        <f>HYPERLINK("https://api.qogita.com/variants/link/3386460101042/", "View Product")</f>
        <v/>
      </c>
    </row>
    <row r="16635">
      <c r="A16635" t="inlineStr">
        <is>
          <t>3386460101301</t>
        </is>
      </c>
      <c r="B16635" t="inlineStr">
        <is>
          <t>St Dupont Be Exceptional Gold Eau De Parfum 50ml For Men</t>
        </is>
      </c>
      <c r="C16635" t="inlineStr">
        <is>
          <t>Eau De Parfum</t>
        </is>
      </c>
      <c r="D16635" t="inlineStr">
        <is>
          <t>S.T. Dupont</t>
        </is>
      </c>
      <c r="E16635" t="n">
        <v>19.79</v>
      </c>
      <c r="F16635" t="n">
        <v>1</v>
      </c>
      <c r="G16635" t="n">
        <v>4</v>
      </c>
      <c r="H16635" s="5">
        <f>HYPERLINK("https://api.qogita.com/variants/link/3386460101301/", "View Product")</f>
        <v/>
      </c>
    </row>
    <row r="16636">
      <c r="A16636" t="inlineStr">
        <is>
          <t>3386460103015</t>
        </is>
      </c>
      <c r="B16636" t="inlineStr">
        <is>
          <t>Rochas Byzance Eau De Parfum 40ml</t>
        </is>
      </c>
      <c r="C16636" t="inlineStr">
        <is>
          <t>Eau De Parfum</t>
        </is>
      </c>
      <c r="D16636" t="inlineStr">
        <is>
          <t>Rochas</t>
        </is>
      </c>
      <c r="E16636" t="n">
        <v>20.35</v>
      </c>
      <c r="F16636" t="n">
        <v>1</v>
      </c>
      <c r="G16636" t="n">
        <v>2</v>
      </c>
      <c r="H16636" s="5">
        <f>HYPERLINK("https://api.qogita.com/variants/link/3386460103015/", "View Product")</f>
        <v/>
      </c>
    </row>
    <row r="16637">
      <c r="A16637" t="inlineStr">
        <is>
          <t>3386460103107</t>
        </is>
      </c>
      <c r="B16637" t="inlineStr">
        <is>
          <t>Boucheron Patchouli D'Angkor Eau De Parfum Spray 125ml</t>
        </is>
      </c>
      <c r="C16637" t="inlineStr">
        <is>
          <t>Eau De Parfum</t>
        </is>
      </c>
      <c r="D16637" t="inlineStr">
        <is>
          <t>Boucheron</t>
        </is>
      </c>
      <c r="E16637" t="n">
        <v>63.85</v>
      </c>
      <c r="F16637" t="n">
        <v>1</v>
      </c>
      <c r="G16637" t="n">
        <v>29</v>
      </c>
      <c r="H16637" s="5">
        <f>HYPERLINK("https://api.qogita.com/variants/link/3386460103107/", "View Product")</f>
        <v/>
      </c>
    </row>
    <row r="16638">
      <c r="A16638" t="inlineStr">
        <is>
          <t>3386460103688</t>
        </is>
      </c>
      <c r="B16638" t="inlineStr">
        <is>
          <t>Jimmy Choo Floral Eau De Toilette 90ml Spray For Women</t>
        </is>
      </c>
      <c r="C16638" t="inlineStr">
        <is>
          <t>Eau De Toilette</t>
        </is>
      </c>
      <c r="D16638" t="inlineStr">
        <is>
          <t>Jimmy Choo</t>
        </is>
      </c>
      <c r="E16638" t="n">
        <v>34.6</v>
      </c>
      <c r="F16638" t="n">
        <v>1</v>
      </c>
      <c r="G16638" t="n">
        <v>17</v>
      </c>
      <c r="H16638" s="5">
        <f>HYPERLINK("https://api.qogita.com/variants/link/3386460103688/", "View Product")</f>
        <v/>
      </c>
    </row>
    <row r="16639">
      <c r="A16639" t="inlineStr">
        <is>
          <t>3386460108119</t>
        </is>
      </c>
      <c r="B16639" t="inlineStr">
        <is>
          <t>Coach Floral Blush Eau De Parfum 90ml For Women</t>
        </is>
      </c>
      <c r="C16639" t="inlineStr">
        <is>
          <t>Eau De Parfum</t>
        </is>
      </c>
      <c r="D16639" t="inlineStr">
        <is>
          <t>Coach</t>
        </is>
      </c>
      <c r="E16639" t="n">
        <v>37</v>
      </c>
      <c r="F16639" t="n">
        <v>1</v>
      </c>
      <c r="G16639" t="n">
        <v>33</v>
      </c>
      <c r="H16639" s="5">
        <f>HYPERLINK("https://api.qogita.com/variants/link/3386460108119/", "View Product")</f>
        <v/>
      </c>
    </row>
    <row r="16640">
      <c r="A16640" t="inlineStr">
        <is>
          <t>3386460109369</t>
        </is>
      </c>
      <c r="B16640" t="inlineStr">
        <is>
          <t>Jimmy Choo Urban Hero Eau De Parfum 100ml For Men</t>
        </is>
      </c>
      <c r="C16640" t="inlineStr">
        <is>
          <t>Eau De Parfum</t>
        </is>
      </c>
      <c r="D16640" t="inlineStr">
        <is>
          <t>Jimmy Choo</t>
        </is>
      </c>
      <c r="E16640" t="n">
        <v>35.25</v>
      </c>
      <c r="F16640" t="n">
        <v>1</v>
      </c>
      <c r="G16640" t="n">
        <v>5</v>
      </c>
      <c r="H16640" s="5">
        <f>HYPERLINK("https://api.qogita.com/variants/link/3386460109369/", "View Product")</f>
        <v/>
      </c>
    </row>
    <row r="16641">
      <c r="A16641" t="inlineStr">
        <is>
          <t>3386460109567</t>
        </is>
      </c>
      <c r="B16641" t="inlineStr">
        <is>
          <t>Coach Coach Dreams Eau De Parfum Spray 90ml</t>
        </is>
      </c>
      <c r="C16641" t="inlineStr">
        <is>
          <t>Eau De Parfum</t>
        </is>
      </c>
      <c r="D16641" t="inlineStr">
        <is>
          <t>Coach</t>
        </is>
      </c>
      <c r="E16641" t="n">
        <v>36.74</v>
      </c>
      <c r="F16641" t="n">
        <v>1</v>
      </c>
      <c r="G16641" t="n">
        <v>14</v>
      </c>
      <c r="H16641" s="5">
        <f>HYPERLINK("https://api.qogita.com/variants/link/3386460109567/", "View Product")</f>
        <v/>
      </c>
    </row>
    <row r="16642">
      <c r="A16642" t="inlineStr">
        <is>
          <t>3386460118132</t>
        </is>
      </c>
      <c r="B16642" t="inlineStr">
        <is>
          <t>Mont Blanc Legend Eau De Parfum Spray 50ml</t>
        </is>
      </c>
      <c r="C16642" t="inlineStr">
        <is>
          <t>Eau De Parfum</t>
        </is>
      </c>
      <c r="D16642" t="inlineStr">
        <is>
          <t>Montblanc</t>
        </is>
      </c>
      <c r="E16642" t="n">
        <v>25.06</v>
      </c>
      <c r="F16642" t="n">
        <v>1</v>
      </c>
      <c r="G16642" t="n">
        <v>148</v>
      </c>
      <c r="H16642" s="5">
        <f>HYPERLINK("https://api.qogita.com/variants/link/3386460118132/", "View Product")</f>
        <v/>
      </c>
    </row>
    <row r="16643">
      <c r="A16643" t="inlineStr">
        <is>
          <t>3386460118149</t>
        </is>
      </c>
      <c r="B16643" t="inlineStr">
        <is>
          <t>Mont Blanc Legend 3.3 Oz EDP Spray Men's Cologne 100ml</t>
        </is>
      </c>
      <c r="C16643" t="inlineStr">
        <is>
          <t>Eau De Parfum</t>
        </is>
      </c>
      <c r="D16643" t="inlineStr">
        <is>
          <t>Montblanc</t>
        </is>
      </c>
      <c r="E16643" t="n">
        <v>35.66</v>
      </c>
      <c r="F16643" t="n">
        <v>1</v>
      </c>
      <c r="G16643" t="n">
        <v>2</v>
      </c>
      <c r="H16643" s="5">
        <f>HYPERLINK("https://api.qogita.com/variants/link/3386460118149/", "View Product")</f>
        <v/>
      </c>
    </row>
    <row r="16644">
      <c r="A16644" t="inlineStr">
        <is>
          <t>3386460119269</t>
        </is>
      </c>
      <c r="B16644" t="inlineStr">
        <is>
          <t>Jimmy Choo I Want Choo Eau De Parfum 60ml</t>
        </is>
      </c>
      <c r="C16644" t="inlineStr">
        <is>
          <t>Eau De Parfum</t>
        </is>
      </c>
      <c r="D16644" t="inlineStr">
        <is>
          <t>Jimmy Choo</t>
        </is>
      </c>
      <c r="E16644" t="n">
        <v>40.19</v>
      </c>
      <c r="F16644" t="n">
        <v>1</v>
      </c>
      <c r="G16644" t="n">
        <v>15</v>
      </c>
      <c r="H16644" s="5">
        <f>HYPERLINK("https://api.qogita.com/variants/link/3386460119269/", "View Product")</f>
        <v/>
      </c>
    </row>
    <row r="16645">
      <c r="A16645" t="inlineStr">
        <is>
          <t>3386460119399</t>
        </is>
      </c>
      <c r="B16645" t="inlineStr">
        <is>
          <t>Rochas Mademoiselle In Black Eau De Parfum Spray 90ml</t>
        </is>
      </c>
      <c r="C16645" t="inlineStr">
        <is>
          <t>Eau De Parfum</t>
        </is>
      </c>
      <c r="D16645" t="inlineStr">
        <is>
          <t>Rochas</t>
        </is>
      </c>
      <c r="E16645" t="n">
        <v>27.48</v>
      </c>
      <c r="F16645" t="n">
        <v>1</v>
      </c>
      <c r="G16645" t="n">
        <v>14</v>
      </c>
      <c r="H16645" s="5">
        <f>HYPERLINK("https://api.qogita.com/variants/link/3386460119399/", "View Product")</f>
        <v/>
      </c>
    </row>
    <row r="16646">
      <c r="A16646" t="inlineStr">
        <is>
          <t>3386460119948</t>
        </is>
      </c>
      <c r="B16646" t="inlineStr">
        <is>
          <t>Kate Spade New York Eau De Parfum 100ml</t>
        </is>
      </c>
      <c r="C16646" t="inlineStr">
        <is>
          <t>Eau De Parfum</t>
        </is>
      </c>
      <c r="D16646" t="inlineStr">
        <is>
          <t>Kate Spade New York</t>
        </is>
      </c>
      <c r="E16646" t="n">
        <v>40.19</v>
      </c>
      <c r="F16646" t="n">
        <v>1</v>
      </c>
      <c r="G16646" t="n">
        <v>13</v>
      </c>
      <c r="H16646" s="5">
        <f>HYPERLINK("https://api.qogita.com/variants/link/3386460119948/", "View Product")</f>
        <v/>
      </c>
    </row>
    <row r="16647">
      <c r="A16647" t="inlineStr">
        <is>
          <t>3386460120630</t>
        </is>
      </c>
      <c r="B16647" t="inlineStr">
        <is>
          <t>Kate Spade Sparkle Eau De Parfum Spray 100ml</t>
        </is>
      </c>
      <c r="C16647" t="inlineStr">
        <is>
          <t>Eau De Parfum</t>
        </is>
      </c>
      <c r="D16647" t="inlineStr">
        <is>
          <t>Kate Spade</t>
        </is>
      </c>
      <c r="E16647" t="n">
        <v>27.59</v>
      </c>
      <c r="F16647" t="n">
        <v>1</v>
      </c>
      <c r="G16647" t="n">
        <v>343</v>
      </c>
      <c r="H16647" s="5">
        <f>HYPERLINK("https://api.qogita.com/variants/link/3386460120630/", "View Product")</f>
        <v/>
      </c>
    </row>
    <row r="16648">
      <c r="A16648" t="inlineStr">
        <is>
          <t>3386460121514</t>
        </is>
      </c>
      <c r="B16648" t="inlineStr">
        <is>
          <t>Mont Blanc Explorer Ultra Blue Eau De Parfum Spray 100ml</t>
        </is>
      </c>
      <c r="C16648" t="inlineStr">
        <is>
          <t>Eau De Parfum</t>
        </is>
      </c>
      <c r="D16648" t="inlineStr">
        <is>
          <t>Montblanc</t>
        </is>
      </c>
      <c r="E16648" t="n">
        <v>32.41</v>
      </c>
      <c r="F16648" t="n">
        <v>1</v>
      </c>
      <c r="G16648" t="n">
        <v>31</v>
      </c>
      <c r="H16648" s="5">
        <f>HYPERLINK("https://api.qogita.com/variants/link/3386460121514/", "View Product")</f>
        <v/>
      </c>
    </row>
    <row r="16649">
      <c r="A16649" t="inlineStr">
        <is>
          <t>3386460123181</t>
        </is>
      </c>
      <c r="B16649" t="inlineStr">
        <is>
          <t>Lanvin Eclat D'Arpege Sheer Eau De Toilette Spray 30ml</t>
        </is>
      </c>
      <c r="C16649" t="inlineStr">
        <is>
          <t>Eau De Toilette</t>
        </is>
      </c>
      <c r="D16649" t="inlineStr">
        <is>
          <t>Lanvin</t>
        </is>
      </c>
      <c r="E16649" t="n">
        <v>6.92</v>
      </c>
      <c r="F16649" t="n">
        <v>1</v>
      </c>
      <c r="G16649" t="n">
        <v>870</v>
      </c>
      <c r="H16649" s="5">
        <f>HYPERLINK("https://api.qogita.com/variants/link/3386460123181/", "View Product")</f>
        <v/>
      </c>
    </row>
    <row r="16650">
      <c r="A16650" t="inlineStr">
        <is>
          <t>3386460123518</t>
        </is>
      </c>
      <c r="B16650" t="inlineStr">
        <is>
          <t>Coach Dreams Sunset Eau De Parfum Spray 60ml</t>
        </is>
      </c>
      <c r="C16650" t="inlineStr">
        <is>
          <t>Eau De Parfum</t>
        </is>
      </c>
      <c r="D16650" t="inlineStr">
        <is>
          <t>Coach</t>
        </is>
      </c>
      <c r="E16650" t="n">
        <v>31.09</v>
      </c>
      <c r="F16650" t="n">
        <v>1</v>
      </c>
      <c r="G16650" t="n">
        <v>6</v>
      </c>
      <c r="H16650" s="5">
        <f>HYPERLINK("https://api.qogita.com/variants/link/3386460123518/", "View Product")</f>
        <v/>
      </c>
    </row>
    <row r="16651">
      <c r="A16651" t="inlineStr">
        <is>
          <t>3386460123525</t>
        </is>
      </c>
      <c r="B16651" t="inlineStr">
        <is>
          <t>Coach Dreams Sunset Eau De Parfum Spray 40ml</t>
        </is>
      </c>
      <c r="C16651" t="inlineStr">
        <is>
          <t>Eau De Parfum</t>
        </is>
      </c>
      <c r="D16651" t="inlineStr">
        <is>
          <t>Coach</t>
        </is>
      </c>
      <c r="E16651" t="n">
        <v>19.6</v>
      </c>
      <c r="F16651" t="n">
        <v>1</v>
      </c>
      <c r="G16651" t="n">
        <v>26</v>
      </c>
      <c r="H16651" s="5">
        <f>HYPERLINK("https://api.qogita.com/variants/link/3386460123525/", "View Product")</f>
        <v/>
      </c>
    </row>
    <row r="16652">
      <c r="A16652" t="inlineStr">
        <is>
          <t>3386460124447</t>
        </is>
      </c>
      <c r="B16652" t="inlineStr">
        <is>
          <t>Karl Tokyo Shibuya Perfumed Water Spray 60ml</t>
        </is>
      </c>
      <c r="C16652" t="inlineStr">
        <is>
          <t>Eau De Parfum</t>
        </is>
      </c>
      <c r="D16652" t="inlineStr">
        <is>
          <t>Karl Lagerfeld</t>
        </is>
      </c>
      <c r="E16652" t="n">
        <v>13.23</v>
      </c>
      <c r="F16652" t="n">
        <v>1</v>
      </c>
      <c r="G16652" t="n">
        <v>49</v>
      </c>
      <c r="H16652" s="5">
        <f>HYPERLINK("https://api.qogita.com/variants/link/3386460124447/", "View Product")</f>
        <v/>
      </c>
    </row>
    <row r="16653">
      <c r="A16653" t="inlineStr">
        <is>
          <t>3386460124874</t>
        </is>
      </c>
      <c r="B16653" t="inlineStr">
        <is>
          <t>Karl Lagerfeld Bois D'Ambre Eau De Toilette Spray 50ml</t>
        </is>
      </c>
      <c r="C16653" t="inlineStr">
        <is>
          <t>Eau De Toilette</t>
        </is>
      </c>
      <c r="D16653" t="inlineStr">
        <is>
          <t>Karl Lagerfeld</t>
        </is>
      </c>
      <c r="E16653" t="n">
        <v>14.73</v>
      </c>
      <c r="F16653" t="n">
        <v>1</v>
      </c>
      <c r="G16653" t="n">
        <v>32</v>
      </c>
      <c r="H16653" s="5">
        <f>HYPERLINK("https://api.qogita.com/variants/link/3386460124874/", "View Product")</f>
        <v/>
      </c>
    </row>
    <row r="16654">
      <c r="A16654" t="inlineStr">
        <is>
          <t>3386460124966</t>
        </is>
      </c>
      <c r="B16654" t="inlineStr">
        <is>
          <t>Boucheron Quatre En Bleu Eau De Parfum Spray 100ml</t>
        </is>
      </c>
      <c r="C16654" t="inlineStr">
        <is>
          <t>Eau De Parfum</t>
        </is>
      </c>
      <c r="D16654" t="inlineStr">
        <is>
          <t>Boucheron</t>
        </is>
      </c>
      <c r="E16654" t="n">
        <v>42.95</v>
      </c>
      <c r="F16654" t="n">
        <v>1</v>
      </c>
      <c r="G16654" t="n">
        <v>4</v>
      </c>
      <c r="H16654" s="5">
        <f>HYPERLINK("https://api.qogita.com/variants/link/3386460124966/", "View Product")</f>
        <v/>
      </c>
    </row>
    <row r="16655">
      <c r="A16655" t="inlineStr">
        <is>
          <t>3386460126243</t>
        </is>
      </c>
      <c r="B16655" t="inlineStr">
        <is>
          <t>Moncler Pour Homme Eau De Parfum Refill 150ml</t>
        </is>
      </c>
      <c r="C16655" t="inlineStr">
        <is>
          <t>Eau De Parfum</t>
        </is>
      </c>
      <c r="D16655" t="inlineStr">
        <is>
          <t>Moncler</t>
        </is>
      </c>
      <c r="E16655" t="n">
        <v>48.13</v>
      </c>
      <c r="F16655" t="n">
        <v>1</v>
      </c>
      <c r="G16655" t="n">
        <v>20</v>
      </c>
      <c r="H16655" s="5">
        <f>HYPERLINK("https://api.qogita.com/variants/link/3386460126243/", "View Product")</f>
        <v/>
      </c>
    </row>
    <row r="16656">
      <c r="A16656" t="inlineStr">
        <is>
          <t>3386460126250</t>
        </is>
      </c>
      <c r="B16656" t="inlineStr">
        <is>
          <t>Moncler Pour Homme by Moncler 3.4 oz Tester</t>
        </is>
      </c>
      <c r="C16656" t="inlineStr">
        <is>
          <t>Eau De Toilette</t>
        </is>
      </c>
      <c r="D16656" t="inlineStr">
        <is>
          <t>Moncler</t>
        </is>
      </c>
      <c r="E16656" t="n">
        <v>40.19</v>
      </c>
      <c r="F16656" t="n">
        <v>1</v>
      </c>
      <c r="G16656" t="n">
        <v>10</v>
      </c>
      <c r="H16656" s="5">
        <f>HYPERLINK("https://api.qogita.com/variants/link/3386460126250/", "View Product")</f>
        <v/>
      </c>
    </row>
    <row r="16657">
      <c r="A16657" t="inlineStr">
        <is>
          <t>3386460126274</t>
        </is>
      </c>
      <c r="B16657" t="inlineStr">
        <is>
          <t>Moncler Pour Femme Eau De Parfum Spray 100ml</t>
        </is>
      </c>
      <c r="C16657" t="inlineStr">
        <is>
          <t>Eau De Parfum</t>
        </is>
      </c>
      <c r="D16657" t="inlineStr">
        <is>
          <t>Moncler</t>
        </is>
      </c>
      <c r="E16657" t="n">
        <v>38.33</v>
      </c>
      <c r="F16657" t="n">
        <v>1</v>
      </c>
      <c r="G16657" t="n">
        <v>135</v>
      </c>
      <c r="H16657" s="5">
        <f>HYPERLINK("https://api.qogita.com/variants/link/3386460126274/", "View Product")</f>
        <v/>
      </c>
    </row>
    <row r="16658">
      <c r="A16658" t="inlineStr">
        <is>
          <t>3386460126298</t>
        </is>
      </c>
      <c r="B16658" t="inlineStr">
        <is>
          <t>Moncler Pour Femme Eau De Parfum Spray 150ml</t>
        </is>
      </c>
      <c r="C16658" t="inlineStr">
        <is>
          <t>Eau De Parfum</t>
        </is>
      </c>
      <c r="D16658" t="inlineStr">
        <is>
          <t>Moncler</t>
        </is>
      </c>
      <c r="E16658" t="n">
        <v>58.6</v>
      </c>
      <c r="F16658" t="n">
        <v>1</v>
      </c>
      <c r="G16658" t="n">
        <v>18</v>
      </c>
      <c r="H16658" s="5">
        <f>HYPERLINK("https://api.qogita.com/variants/link/3386460126298/", "View Product")</f>
        <v/>
      </c>
    </row>
    <row r="16659">
      <c r="A16659" t="inlineStr">
        <is>
          <t>3386460126595</t>
        </is>
      </c>
      <c r="B16659" t="inlineStr">
        <is>
          <t>Coach Wild Rose Eau De Parfum 30ml For Women</t>
        </is>
      </c>
      <c r="C16659" t="inlineStr">
        <is>
          <t>Eau De Parfum</t>
        </is>
      </c>
      <c r="D16659" t="inlineStr">
        <is>
          <t>Coach</t>
        </is>
      </c>
      <c r="E16659" t="n">
        <v>19.71</v>
      </c>
      <c r="F16659" t="n">
        <v>1</v>
      </c>
      <c r="G16659" t="n">
        <v>12</v>
      </c>
      <c r="H16659" s="5">
        <f>HYPERLINK("https://api.qogita.com/variants/link/3386460126595/", "View Product")</f>
        <v/>
      </c>
    </row>
    <row r="16660">
      <c r="A16660" t="inlineStr">
        <is>
          <t>3386460127172</t>
        </is>
      </c>
      <c r="B16660" t="inlineStr">
        <is>
          <t>Lanvin Les Fleurs De Lanvin Water Lily Eau De Toilette Spray 90ml</t>
        </is>
      </c>
      <c r="C16660" t="inlineStr">
        <is>
          <t>Eau De Toilette</t>
        </is>
      </c>
      <c r="D16660" t="inlineStr">
        <is>
          <t>Lanvin</t>
        </is>
      </c>
      <c r="E16660" t="n">
        <v>27.01</v>
      </c>
      <c r="F16660" t="n">
        <v>1</v>
      </c>
      <c r="G16660" t="n">
        <v>12</v>
      </c>
      <c r="H16660" s="5">
        <f>HYPERLINK("https://api.qogita.com/variants/link/3386460127172/", "View Product")</f>
        <v/>
      </c>
    </row>
    <row r="16661">
      <c r="A16661" t="inlineStr">
        <is>
          <t>3386460127257</t>
        </is>
      </c>
      <c r="B16661" t="inlineStr">
        <is>
          <t>Lanvin Les Fleurs De Lanvin Blue Orchid Eau De Toilette 90ml</t>
        </is>
      </c>
      <c r="C16661" t="inlineStr">
        <is>
          <t>Eau De Toilette</t>
        </is>
      </c>
      <c r="D16661" t="inlineStr">
        <is>
          <t>Lanvin</t>
        </is>
      </c>
      <c r="E16661" t="n">
        <v>23</v>
      </c>
      <c r="F16661" t="n">
        <v>1</v>
      </c>
      <c r="G16661" t="n">
        <v>8</v>
      </c>
      <c r="H16661" s="5">
        <f>HYPERLINK("https://api.qogita.com/variants/link/3386460127257/", "View Product")</f>
        <v/>
      </c>
    </row>
    <row r="16662">
      <c r="A16662" t="inlineStr">
        <is>
          <t>3386460127981</t>
        </is>
      </c>
      <c r="B16662" t="inlineStr">
        <is>
          <t>Mont Blanc Legend Red Eau De Parfum Spray 30ml</t>
        </is>
      </c>
      <c r="C16662" t="inlineStr">
        <is>
          <t>Eau De Parfum</t>
        </is>
      </c>
      <c r="D16662" t="inlineStr">
        <is>
          <t>Montblanc</t>
        </is>
      </c>
      <c r="E16662" t="n">
        <v>18.34</v>
      </c>
      <c r="F16662" t="n">
        <v>1</v>
      </c>
      <c r="G16662" t="n">
        <v>12</v>
      </c>
      <c r="H16662" s="5">
        <f>HYPERLINK("https://api.qogita.com/variants/link/3386460127981/", "View Product")</f>
        <v/>
      </c>
    </row>
    <row r="16663">
      <c r="A16663" t="inlineStr">
        <is>
          <t>3386460129886</t>
        </is>
      </c>
      <c r="B16663" t="inlineStr">
        <is>
          <t>Jimmy Choo I Want Choo Forever Eau De Parfum Spray 60ml</t>
        </is>
      </c>
      <c r="C16663" t="inlineStr">
        <is>
          <t>Eau De Parfum</t>
        </is>
      </c>
      <c r="D16663" t="inlineStr">
        <is>
          <t>Jimmy Choo</t>
        </is>
      </c>
      <c r="E16663" t="n">
        <v>36.17</v>
      </c>
      <c r="F16663" t="n">
        <v>1</v>
      </c>
      <c r="G16663" t="n">
        <v>12</v>
      </c>
      <c r="H16663" s="5">
        <f>HYPERLINK("https://api.qogita.com/variants/link/3386460129886/", "View Product")</f>
        <v/>
      </c>
    </row>
    <row r="16664">
      <c r="A16664" t="inlineStr">
        <is>
          <t>3386460132695</t>
        </is>
      </c>
      <c r="B16664" t="inlineStr">
        <is>
          <t>Rochas Girl Gift Set - Includes 60 Ml Eau De Toilette, 75 Ml Eau De Toilette Miniature, And 75 G Solid Soap</t>
        </is>
      </c>
      <c r="C16664" t="inlineStr">
        <is>
          <t>Fragrance Sets</t>
        </is>
      </c>
      <c r="D16664" t="inlineStr">
        <is>
          <t>Rochas</t>
        </is>
      </c>
      <c r="E16664" t="n">
        <v>22.13</v>
      </c>
      <c r="F16664" t="n">
        <v>1</v>
      </c>
      <c r="G16664" t="n">
        <v>5</v>
      </c>
      <c r="H16664" s="5">
        <f>HYPERLINK("https://api.qogita.com/variants/link/3386460132695/", "View Product")</f>
        <v/>
      </c>
    </row>
    <row r="16665">
      <c r="A16665" t="inlineStr">
        <is>
          <t>3386460133876</t>
        </is>
      </c>
      <c r="B16665" t="inlineStr">
        <is>
          <t>Karl Lagerfeld Les Matieres Base Bois De Cypres Eau De Toilette Spray 50ml</t>
        </is>
      </c>
      <c r="C16665" t="inlineStr">
        <is>
          <t>Eau De Toilette</t>
        </is>
      </c>
      <c r="D16665" t="inlineStr">
        <is>
          <t>Karl Lagerfeld</t>
        </is>
      </c>
      <c r="E16665" t="n">
        <v>12.53</v>
      </c>
      <c r="F16665" t="n">
        <v>1</v>
      </c>
      <c r="G16665" t="n">
        <v>35</v>
      </c>
      <c r="H16665" s="5">
        <f>HYPERLINK("https://api.qogita.com/variants/link/3386460133876/", "View Product")</f>
        <v/>
      </c>
    </row>
    <row r="16666">
      <c r="A16666" t="inlineStr">
        <is>
          <t>3386460134712</t>
        </is>
      </c>
      <c r="B16666" t="inlineStr">
        <is>
          <t>S.T. Dupont Exceptional Eau De Parfum Spray for Men 3.3 Oz 100ml</t>
        </is>
      </c>
      <c r="C16666" t="inlineStr">
        <is>
          <t>Eau De Parfum</t>
        </is>
      </c>
      <c r="D16666" t="inlineStr">
        <is>
          <t>S.T. Dupont</t>
        </is>
      </c>
      <c r="E16666" t="n">
        <v>20.19</v>
      </c>
      <c r="F16666" t="n">
        <v>1</v>
      </c>
      <c r="G16666" t="n">
        <v>3</v>
      </c>
      <c r="H16666" s="5">
        <f>HYPERLINK("https://api.qogita.com/variants/link/3386460134712/", "View Product")</f>
        <v/>
      </c>
    </row>
    <row r="16667">
      <c r="A16667" t="inlineStr">
        <is>
          <t>3386460136358</t>
        </is>
      </c>
      <c r="B16667" t="inlineStr">
        <is>
          <t>Kate Spade Cherie 1.30 Fl Oz</t>
        </is>
      </c>
      <c r="C16667" t="inlineStr">
        <is>
          <t>Eau De Parfum</t>
        </is>
      </c>
      <c r="D16667" t="inlineStr">
        <is>
          <t>Kate Spade</t>
        </is>
      </c>
      <c r="E16667" t="n">
        <v>15.27</v>
      </c>
      <c r="F16667" t="n">
        <v>1</v>
      </c>
      <c r="G16667" t="n">
        <v>38</v>
      </c>
      <c r="H16667" s="5">
        <f>HYPERLINK("https://api.qogita.com/variants/link/3386460136358/", "View Product")</f>
        <v/>
      </c>
    </row>
    <row r="16668">
      <c r="A16668" t="inlineStr">
        <is>
          <t>3386460137379</t>
        </is>
      </c>
      <c r="B16668" t="inlineStr">
        <is>
          <t>Rochas Girl Life Eau De Parfum Spray 40ml For Women</t>
        </is>
      </c>
      <c r="C16668" t="inlineStr">
        <is>
          <t>Eau De Parfum</t>
        </is>
      </c>
      <c r="D16668" t="inlineStr">
        <is>
          <t>Rochas</t>
        </is>
      </c>
      <c r="E16668" t="n">
        <v>28.5</v>
      </c>
      <c r="F16668" t="n">
        <v>1</v>
      </c>
      <c r="G16668" t="n">
        <v>13</v>
      </c>
      <c r="H16668" s="5">
        <f>HYPERLINK("https://api.qogita.com/variants/link/3386460137379/", "View Product")</f>
        <v/>
      </c>
    </row>
    <row r="16669">
      <c r="A16669" t="inlineStr">
        <is>
          <t>3386460137386</t>
        </is>
      </c>
      <c r="B16669" t="inlineStr">
        <is>
          <t>Rochas Girl Life Eau De Parfum Refill 150ml</t>
        </is>
      </c>
      <c r="C16669" t="inlineStr">
        <is>
          <t>Refillable Fragrances &amp; Refills</t>
        </is>
      </c>
      <c r="D16669" t="inlineStr">
        <is>
          <t>Rochas</t>
        </is>
      </c>
      <c r="E16669" t="n">
        <v>55.01</v>
      </c>
      <c r="F16669" t="n">
        <v>1</v>
      </c>
      <c r="G16669" t="n">
        <v>21</v>
      </c>
      <c r="H16669" s="5">
        <f>HYPERLINK("https://api.qogita.com/variants/link/3386460137386/", "View Product")</f>
        <v/>
      </c>
    </row>
    <row r="16670">
      <c r="A16670" t="inlineStr">
        <is>
          <t>3386460137560</t>
        </is>
      </c>
      <c r="B16670" t="inlineStr">
        <is>
          <t>Jimmy Choo Rose Passion Eau De Parfum 40ml For Women</t>
        </is>
      </c>
      <c r="C16670" t="inlineStr">
        <is>
          <t>Eau De Parfum</t>
        </is>
      </c>
      <c r="D16670" t="inlineStr">
        <is>
          <t>Jimmy Choo</t>
        </is>
      </c>
      <c r="E16670" t="n">
        <v>22.36</v>
      </c>
      <c r="F16670" t="n">
        <v>1</v>
      </c>
      <c r="G16670" t="n">
        <v>16</v>
      </c>
      <c r="H16670" s="5">
        <f>HYPERLINK("https://api.qogita.com/variants/link/3386460137560/", "View Product")</f>
        <v/>
      </c>
    </row>
    <row r="16671">
      <c r="A16671" t="inlineStr">
        <is>
          <t>3386460139069</t>
        </is>
      </c>
      <c r="B16671" t="inlineStr">
        <is>
          <t>Montblanc Legend Red Men's Fragrance Set EdP 50ml + SG 100ml</t>
        </is>
      </c>
      <c r="C16671" t="inlineStr">
        <is>
          <t>Fragrance Sets</t>
        </is>
      </c>
      <c r="D16671" t="inlineStr">
        <is>
          <t>Montblanc</t>
        </is>
      </c>
      <c r="E16671" t="n">
        <v>21.55</v>
      </c>
      <c r="F16671" t="n">
        <v>1</v>
      </c>
      <c r="G16671" t="n">
        <v>33</v>
      </c>
      <c r="H16671" s="5">
        <f>HYPERLINK("https://api.qogita.com/variants/link/3386460139069/", "View Product")</f>
        <v/>
      </c>
    </row>
    <row r="16672">
      <c r="A16672" t="inlineStr">
        <is>
          <t>3386460141000</t>
        </is>
      </c>
      <c r="B16672" t="inlineStr">
        <is>
          <t>Moncler Sunrise Pour Femme Eau de Parfum Spray</t>
        </is>
      </c>
      <c r="C16672" t="inlineStr">
        <is>
          <t>Eau De Parfum</t>
        </is>
      </c>
      <c r="D16672" t="inlineStr">
        <is>
          <t>Moncler</t>
        </is>
      </c>
      <c r="E16672" t="n">
        <v>47.41</v>
      </c>
      <c r="F16672" t="n">
        <v>1</v>
      </c>
      <c r="G16672" t="n">
        <v>44</v>
      </c>
      <c r="H16672" s="5">
        <f>HYPERLINK("https://api.qogita.com/variants/link/3386460141000/", "View Product")</f>
        <v/>
      </c>
    </row>
    <row r="16673">
      <c r="A16673" t="inlineStr">
        <is>
          <t>3386460141260</t>
        </is>
      </c>
      <c r="B16673" t="inlineStr">
        <is>
          <t>Coach 1941 Coach Green Man Eau De Toilette Spray 60ml</t>
        </is>
      </c>
      <c r="C16673" t="inlineStr">
        <is>
          <t>Eau De Toilette</t>
        </is>
      </c>
      <c r="D16673" t="inlineStr">
        <is>
          <t>Coach</t>
        </is>
      </c>
      <c r="E16673" t="n">
        <v>23.31</v>
      </c>
      <c r="F16673" t="n">
        <v>1</v>
      </c>
      <c r="G16673" t="n">
        <v>41</v>
      </c>
      <c r="H16673" s="5">
        <f>HYPERLINK("https://api.qogita.com/variants/link/3386460141260/", "View Product")</f>
        <v/>
      </c>
    </row>
    <row r="16674">
      <c r="A16674" t="inlineStr">
        <is>
          <t>3386460142021</t>
        </is>
      </c>
      <c r="B16674" t="inlineStr">
        <is>
          <t>Jimmy Choo I Want Choo Le Parfum Spray 40ml</t>
        </is>
      </c>
      <c r="C16674" t="inlineStr">
        <is>
          <t>Eau De Parfum</t>
        </is>
      </c>
      <c r="D16674" t="inlineStr">
        <is>
          <t>Jimmy Choo</t>
        </is>
      </c>
      <c r="E16674" t="n">
        <v>28.77</v>
      </c>
      <c r="F16674" t="n">
        <v>1</v>
      </c>
      <c r="G16674" t="n">
        <v>32</v>
      </c>
      <c r="H16674" s="5">
        <f>HYPERLINK("https://api.qogita.com/variants/link/3386460142021/", "View Product")</f>
        <v/>
      </c>
    </row>
    <row r="16675">
      <c r="A16675" t="inlineStr">
        <is>
          <t>3386460142175</t>
        </is>
      </c>
      <c r="B16675" t="inlineStr">
        <is>
          <t>Coach Love Eau De Parfum 90ml For Women</t>
        </is>
      </c>
      <c r="C16675" t="inlineStr">
        <is>
          <t>Eau De Parfum</t>
        </is>
      </c>
      <c r="D16675" t="inlineStr">
        <is>
          <t>Coach</t>
        </is>
      </c>
      <c r="E16675" t="n">
        <v>38.45</v>
      </c>
      <c r="F16675" t="n">
        <v>1</v>
      </c>
      <c r="G16675" t="n">
        <v>22</v>
      </c>
      <c r="H16675" s="5">
        <f>HYPERLINK("https://api.qogita.com/variants/link/3386460142175/", "View Product")</f>
        <v/>
      </c>
    </row>
    <row r="16676">
      <c r="A16676" t="inlineStr">
        <is>
          <t>3386460142182</t>
        </is>
      </c>
      <c r="B16676" t="inlineStr">
        <is>
          <t>Coach Love Eau De Parfum 50ml For Women</t>
        </is>
      </c>
      <c r="C16676" t="inlineStr">
        <is>
          <t>Eau De Parfum</t>
        </is>
      </c>
      <c r="D16676" t="inlineStr">
        <is>
          <t>Coach</t>
        </is>
      </c>
      <c r="E16676" t="n">
        <v>33.56</v>
      </c>
      <c r="F16676" t="n">
        <v>1</v>
      </c>
      <c r="G16676" t="n">
        <v>25</v>
      </c>
      <c r="H16676" s="5">
        <f>HYPERLINK("https://api.qogita.com/variants/link/3386460142182/", "View Product")</f>
        <v/>
      </c>
    </row>
    <row r="16677">
      <c r="A16677" t="inlineStr">
        <is>
          <t>3386460145077</t>
        </is>
      </c>
      <c r="B16677" t="inlineStr">
        <is>
          <t>Kate Spade New York Bloom Eau De Toilette Women's Perfume Floral &amp; Musky</t>
        </is>
      </c>
      <c r="C16677" t="inlineStr">
        <is>
          <t>Eau De Toilette</t>
        </is>
      </c>
      <c r="D16677" t="inlineStr">
        <is>
          <t>Kate Spade New York</t>
        </is>
      </c>
      <c r="E16677" t="n">
        <v>15.75</v>
      </c>
      <c r="F16677" t="n">
        <v>1</v>
      </c>
      <c r="G16677" t="n">
        <v>15</v>
      </c>
      <c r="H16677" s="5">
        <f>HYPERLINK("https://api.qogita.com/variants/link/3386460145077/", "View Product")</f>
        <v/>
      </c>
    </row>
    <row r="16678">
      <c r="A16678" t="inlineStr">
        <is>
          <t>3386460146029</t>
        </is>
      </c>
      <c r="B16678" t="inlineStr">
        <is>
          <t>Karl Lagerfeld Rouge Eau De Parfum 85ml</t>
        </is>
      </c>
      <c r="C16678" t="inlineStr">
        <is>
          <t>Eau De Parfum</t>
        </is>
      </c>
      <c r="D16678" t="inlineStr">
        <is>
          <t>Karl Lagerfeld</t>
        </is>
      </c>
      <c r="E16678" t="n">
        <v>21.48</v>
      </c>
      <c r="F16678" t="n">
        <v>1</v>
      </c>
      <c r="G16678" t="n">
        <v>667</v>
      </c>
      <c r="H16678" s="5">
        <f>HYPERLINK("https://api.qogita.com/variants/link/3386460146029/", "View Product")</f>
        <v/>
      </c>
    </row>
    <row r="16679">
      <c r="A16679" t="inlineStr">
        <is>
          <t>3386460146104</t>
        </is>
      </c>
      <c r="B16679" t="inlineStr">
        <is>
          <t>Jimmy Choo Man Eau De Toilette Spray 100ml Set 3 Pieces</t>
        </is>
      </c>
      <c r="C16679" t="inlineStr">
        <is>
          <t>Fragrance Sets</t>
        </is>
      </c>
      <c r="D16679" t="inlineStr">
        <is>
          <t>Jimmy Choo</t>
        </is>
      </c>
      <c r="E16679" t="n">
        <v>48.27</v>
      </c>
      <c r="F16679" t="n">
        <v>1</v>
      </c>
      <c r="G16679" t="n">
        <v>14</v>
      </c>
      <c r="H16679" s="5">
        <f>HYPERLINK("https://api.qogita.com/variants/link/3386460146104/", "View Product")</f>
        <v/>
      </c>
    </row>
    <row r="16680">
      <c r="A16680" t="inlineStr">
        <is>
          <t>3386460146814</t>
        </is>
      </c>
      <c r="B16680" t="inlineStr">
        <is>
          <t>Rochas Mademoiselle Rochas Eau De Parfum 50 Ml + Body Lotion 50 Ml + Eau De Parfum 7.5 Ml</t>
        </is>
      </c>
      <c r="C16680" t="inlineStr">
        <is>
          <t>Fragrance Sets</t>
        </is>
      </c>
      <c r="D16680" t="inlineStr">
        <is>
          <t>Rochas</t>
        </is>
      </c>
      <c r="E16680" t="n">
        <v>45.21</v>
      </c>
      <c r="F16680" t="n">
        <v>1</v>
      </c>
      <c r="G16680" t="n">
        <v>6</v>
      </c>
      <c r="H16680" s="5">
        <f>HYPERLINK("https://api.qogita.com/variants/link/3386460146814/", "View Product")</f>
        <v/>
      </c>
    </row>
    <row r="16681">
      <c r="A16681" t="inlineStr">
        <is>
          <t>3386460147798</t>
        </is>
      </c>
      <c r="B16681" t="inlineStr">
        <is>
          <t>Mont Blanc Legend Eau De Parfum Spray Set - 100ml Spray + 100ml Shower Gel + 7.5ml Spray</t>
        </is>
      </c>
      <c r="C16681" t="inlineStr">
        <is>
          <t>Fragrance Sets</t>
        </is>
      </c>
      <c r="D16681" t="inlineStr">
        <is>
          <t>Montblanc</t>
        </is>
      </c>
      <c r="E16681" t="n">
        <v>48.61</v>
      </c>
      <c r="F16681" t="n">
        <v>1</v>
      </c>
      <c r="G16681" t="n">
        <v>3</v>
      </c>
      <c r="H16681" s="5">
        <f>HYPERLINK("https://api.qogita.com/variants/link/3386460147798/", "View Product")</f>
        <v/>
      </c>
    </row>
    <row r="16682">
      <c r="A16682" t="inlineStr">
        <is>
          <t>3386460149129</t>
        </is>
      </c>
      <c r="B16682" t="inlineStr">
        <is>
          <t>Lacoste L1212 Blanc Eau De Parfum 100ml</t>
        </is>
      </c>
      <c r="C16682" t="inlineStr">
        <is>
          <t>Eau De Parfum</t>
        </is>
      </c>
      <c r="D16682" t="inlineStr">
        <is>
          <t>Lacoste</t>
        </is>
      </c>
      <c r="E16682" t="n">
        <v>34.23</v>
      </c>
      <c r="F16682" t="n">
        <v>1</v>
      </c>
      <c r="G16682" t="n">
        <v>256</v>
      </c>
      <c r="H16682" s="5">
        <f>HYPERLINK("https://api.qogita.com/variants/link/3386460149129/", "View Product")</f>
        <v/>
      </c>
    </row>
    <row r="16683">
      <c r="A16683" t="inlineStr">
        <is>
          <t>3386460149150</t>
        </is>
      </c>
      <c r="B16683" t="inlineStr">
        <is>
          <t>Lacoste Blanc Eau Intense Eau De Toilette 100ml</t>
        </is>
      </c>
      <c r="C16683" t="inlineStr">
        <is>
          <t>Eau De Toilette</t>
        </is>
      </c>
      <c r="D16683" t="inlineStr">
        <is>
          <t>Lacoste</t>
        </is>
      </c>
      <c r="E16683" t="n">
        <v>31.24</v>
      </c>
      <c r="F16683" t="n">
        <v>1</v>
      </c>
      <c r="G16683" t="n">
        <v>5</v>
      </c>
      <c r="H16683" s="5">
        <f>HYPERLINK("https://api.qogita.com/variants/link/3386460149150/", "View Product")</f>
        <v/>
      </c>
    </row>
    <row r="16684">
      <c r="A16684" t="inlineStr">
        <is>
          <t>3386460149174</t>
        </is>
      </c>
      <c r="B16684" t="inlineStr">
        <is>
          <t>Lacoste Eau De Lacoste Noir Eau De Toilette 100 Ml</t>
        </is>
      </c>
      <c r="C16684" t="inlineStr">
        <is>
          <t>Eau De Toilette</t>
        </is>
      </c>
      <c r="D16684" t="inlineStr">
        <is>
          <t>Lacoste</t>
        </is>
      </c>
      <c r="E16684" t="n">
        <v>32.1</v>
      </c>
      <c r="F16684" t="n">
        <v>1</v>
      </c>
      <c r="G16684" t="n">
        <v>5</v>
      </c>
      <c r="H16684" s="5">
        <f>HYPERLINK("https://api.qogita.com/variants/link/3386460149174/", "View Product")</f>
        <v/>
      </c>
    </row>
    <row r="16685">
      <c r="A16685" t="inlineStr">
        <is>
          <t>3386460149228</t>
        </is>
      </c>
      <c r="B16685" t="inlineStr">
        <is>
          <t>Lacoste L.12.12 Rose Eau De Parfum 50ml</t>
        </is>
      </c>
      <c r="C16685" t="inlineStr">
        <is>
          <t>Eau De Parfum</t>
        </is>
      </c>
      <c r="D16685" t="inlineStr">
        <is>
          <t>Lacoste</t>
        </is>
      </c>
      <c r="E16685" t="n">
        <v>25.52</v>
      </c>
      <c r="F16685" t="n">
        <v>1</v>
      </c>
      <c r="G16685" t="n">
        <v>18</v>
      </c>
      <c r="H16685" s="5">
        <f>HYPERLINK("https://api.qogita.com/variants/link/3386460149228/", "View Product")</f>
        <v/>
      </c>
    </row>
    <row r="16686">
      <c r="A16686" t="inlineStr">
        <is>
          <t>3386460149297</t>
        </is>
      </c>
      <c r="B16686" t="inlineStr">
        <is>
          <t>Lacoste Essential Eau De Toilette 125ml Spray</t>
        </is>
      </c>
      <c r="C16686" t="inlineStr">
        <is>
          <t>Eau De Toilette</t>
        </is>
      </c>
      <c r="D16686" t="inlineStr">
        <is>
          <t>Lacoste</t>
        </is>
      </c>
      <c r="E16686" t="n">
        <v>29.94</v>
      </c>
      <c r="F16686" t="n">
        <v>1</v>
      </c>
      <c r="G16686" t="n">
        <v>5</v>
      </c>
      <c r="H16686" s="5">
        <f>HYPERLINK("https://api.qogita.com/variants/link/3386460149297/", "View Product")</f>
        <v/>
      </c>
    </row>
    <row r="16687">
      <c r="A16687" t="inlineStr">
        <is>
          <t>3386460149334</t>
        </is>
      </c>
      <c r="B16687" t="inlineStr">
        <is>
          <t>Lacoste L'Homme Eau De Toilette Spray 100ml A Refreshing Fragrance For Men</t>
        </is>
      </c>
      <c r="C16687" t="inlineStr">
        <is>
          <t>Eau De Toilette</t>
        </is>
      </c>
      <c r="D16687" t="inlineStr">
        <is>
          <t>Lacoste</t>
        </is>
      </c>
      <c r="E16687" t="n">
        <v>30.38</v>
      </c>
      <c r="F16687" t="n">
        <v>1</v>
      </c>
      <c r="G16687" t="n">
        <v>10</v>
      </c>
      <c r="H16687" s="5">
        <f>HYPERLINK("https://api.qogita.com/variants/link/3386460149334/", "View Product")</f>
        <v/>
      </c>
    </row>
    <row r="16688">
      <c r="A16688" t="inlineStr">
        <is>
          <t>3386460149440</t>
        </is>
      </c>
      <c r="B16688" t="inlineStr">
        <is>
          <t>Lacoste Touch Of Pink Eau De Toilette Spray 90ml</t>
        </is>
      </c>
      <c r="C16688" t="inlineStr">
        <is>
          <t>Eau De Toilette</t>
        </is>
      </c>
      <c r="D16688" t="inlineStr">
        <is>
          <t>Lacoste</t>
        </is>
      </c>
      <c r="E16688" t="n">
        <v>29.81</v>
      </c>
      <c r="F16688" t="n">
        <v>1</v>
      </c>
      <c r="G16688" t="n">
        <v>12</v>
      </c>
      <c r="H16688" s="5">
        <f>HYPERLINK("https://api.qogita.com/variants/link/3386460149440/", "View Product")</f>
        <v/>
      </c>
    </row>
    <row r="16689">
      <c r="A16689" t="inlineStr">
        <is>
          <t>3386460149884</t>
        </is>
      </c>
      <c r="B16689" t="inlineStr">
        <is>
          <t>Lagerfeld Ikonik For Men - Eau De Parfum</t>
        </is>
      </c>
      <c r="C16689" t="inlineStr">
        <is>
          <t>Eau De Parfum</t>
        </is>
      </c>
      <c r="D16689" t="inlineStr">
        <is>
          <t>Lagerfeld</t>
        </is>
      </c>
      <c r="E16689" t="n">
        <v>25.43</v>
      </c>
      <c r="F16689" t="n">
        <v>1</v>
      </c>
      <c r="G16689" t="n">
        <v>19</v>
      </c>
      <c r="H16689" s="5">
        <f>HYPERLINK("https://api.qogita.com/variants/link/3386460149884/", "View Product")</f>
        <v/>
      </c>
    </row>
    <row r="16690">
      <c r="A16690" t="inlineStr">
        <is>
          <t>3386460149969</t>
        </is>
      </c>
      <c r="B16690" t="inlineStr">
        <is>
          <t>Lacoste Original Eau De Parfum Spray 100ml</t>
        </is>
      </c>
      <c r="C16690" t="inlineStr">
        <is>
          <t>Eau De Parfum</t>
        </is>
      </c>
      <c r="D16690" t="inlineStr">
        <is>
          <t>Lacoste</t>
        </is>
      </c>
      <c r="E16690" t="n">
        <v>48.24</v>
      </c>
      <c r="F16690" t="n">
        <v>1</v>
      </c>
      <c r="G16690" t="n">
        <v>26</v>
      </c>
      <c r="H16690" s="5">
        <f>HYPERLINK("https://api.qogita.com/variants/link/3386460149969/", "View Product")</f>
        <v/>
      </c>
    </row>
    <row r="16691">
      <c r="A16691" t="inlineStr">
        <is>
          <t>3386460149976</t>
        </is>
      </c>
      <c r="B16691" t="inlineStr">
        <is>
          <t>Lacoste Original Eau De Parfum Spray 60ml</t>
        </is>
      </c>
      <c r="C16691" t="inlineStr">
        <is>
          <t>Eau De Parfum</t>
        </is>
      </c>
      <c r="D16691" t="inlineStr">
        <is>
          <t>Lacoste</t>
        </is>
      </c>
      <c r="E16691" t="n">
        <v>36.17</v>
      </c>
      <c r="F16691" t="n">
        <v>1</v>
      </c>
      <c r="G16691" t="n">
        <v>10</v>
      </c>
      <c r="H16691" s="5">
        <f>HYPERLINK("https://api.qogita.com/variants/link/3386460149976/", "View Product")</f>
        <v/>
      </c>
    </row>
    <row r="16692">
      <c r="A16692" t="inlineStr">
        <is>
          <t>3386460153720</t>
        </is>
      </c>
      <c r="B16692" t="inlineStr">
        <is>
          <t>Montblanc Explorer Extreme Eau De Parfum Spray 100ml</t>
        </is>
      </c>
      <c r="C16692" t="inlineStr">
        <is>
          <t>Eau De Parfum</t>
        </is>
      </c>
      <c r="D16692" t="inlineStr">
        <is>
          <t>Montblanc</t>
        </is>
      </c>
      <c r="E16692" t="n">
        <v>51.18</v>
      </c>
      <c r="F16692" t="n">
        <v>1</v>
      </c>
      <c r="G16692" t="n">
        <v>32</v>
      </c>
      <c r="H16692" s="5">
        <f>HYPERLINK("https://api.qogita.com/variants/link/3386460153720/", "View Product")</f>
        <v/>
      </c>
    </row>
    <row r="16693">
      <c r="A16693" t="inlineStr">
        <is>
          <t>3386461515671</t>
        </is>
      </c>
      <c r="B16693" t="inlineStr">
        <is>
          <t>Lanvin Eclat D'Arpege Eau De Parfum Spray 100ml</t>
        </is>
      </c>
      <c r="C16693" t="inlineStr">
        <is>
          <t>Eau De Parfum</t>
        </is>
      </c>
      <c r="D16693" t="inlineStr">
        <is>
          <t>Lanvin</t>
        </is>
      </c>
      <c r="E16693" t="n">
        <v>25.69</v>
      </c>
      <c r="F16693" t="n">
        <v>1</v>
      </c>
      <c r="G16693" t="n">
        <v>4575</v>
      </c>
      <c r="H16693" s="5">
        <f>HYPERLINK("https://api.qogita.com/variants/link/3386461515671/", "View Product")</f>
        <v/>
      </c>
    </row>
    <row r="16694">
      <c r="A16694" t="inlineStr">
        <is>
          <t>3386461515688</t>
        </is>
      </c>
      <c r="B16694" t="inlineStr">
        <is>
          <t>Lanvin Eclat D'Arpege Eau De Parfum Spray 50ml</t>
        </is>
      </c>
      <c r="C16694" t="inlineStr">
        <is>
          <t>Eau De Parfum</t>
        </is>
      </c>
      <c r="D16694" t="inlineStr">
        <is>
          <t>Lanvin</t>
        </is>
      </c>
      <c r="E16694" t="n">
        <v>19.86</v>
      </c>
      <c r="F16694" t="n">
        <v>1</v>
      </c>
      <c r="G16694" t="n">
        <v>1146</v>
      </c>
      <c r="H16694" s="5">
        <f>HYPERLINK("https://api.qogita.com/variants/link/3386461515688/", "View Product")</f>
        <v/>
      </c>
    </row>
    <row r="16695">
      <c r="A16695" t="inlineStr">
        <is>
          <t>3387952012808</t>
        </is>
      </c>
      <c r="B16695" t="inlineStr">
        <is>
          <t>Caron Pour Un Homme Eau De Toilette 125ml Men Spray</t>
        </is>
      </c>
      <c r="C16695" t="inlineStr">
        <is>
          <t>Eau De Toilette</t>
        </is>
      </c>
      <c r="D16695" t="inlineStr">
        <is>
          <t>Caron</t>
        </is>
      </c>
      <c r="E16695" t="n">
        <v>75.19</v>
      </c>
      <c r="F16695" t="n">
        <v>1</v>
      </c>
      <c r="G16695" t="n">
        <v>5</v>
      </c>
      <c r="H16695" s="5">
        <f>HYPERLINK("https://api.qogita.com/variants/link/3387952012808/", "View Product")</f>
        <v/>
      </c>
    </row>
    <row r="16696">
      <c r="A16696" t="inlineStr">
        <is>
          <t>3390150581755</t>
        </is>
      </c>
      <c r="B16696" t="inlineStr">
        <is>
          <t>Payot Authentic Gold Care 50ml + Authentic Divine Cream 150ml</t>
        </is>
      </c>
      <c r="C16696" t="inlineStr">
        <is>
          <t>Facial Care Sets</t>
        </is>
      </c>
      <c r="D16696" t="inlineStr">
        <is>
          <t>Payot</t>
        </is>
      </c>
      <c r="E16696" t="n">
        <v>84.95999999999999</v>
      </c>
      <c r="F16696" t="n">
        <v>1</v>
      </c>
      <c r="G16696" t="n">
        <v>4</v>
      </c>
      <c r="H16696" s="5">
        <f>HYPERLINK("https://api.qogita.com/variants/link/3390150581755/", "View Product")</f>
        <v/>
      </c>
    </row>
    <row r="16697">
      <c r="A16697" t="inlineStr">
        <is>
          <t>3390150583124</t>
        </is>
      </c>
      <c r="B16697" t="inlineStr">
        <is>
          <t>My Payot Super Eye Energiser Energizing Eye Cream 15ml</t>
        </is>
      </c>
      <c r="C16697" t="inlineStr">
        <is>
          <t>Eye Cream</t>
        </is>
      </c>
      <c r="D16697" t="inlineStr">
        <is>
          <t>Payot</t>
        </is>
      </c>
      <c r="E16697" t="n">
        <v>15.71</v>
      </c>
      <c r="F16697" t="n">
        <v>1</v>
      </c>
      <c r="G16697" t="n">
        <v>2</v>
      </c>
      <c r="H16697" s="5">
        <f>HYPERLINK("https://api.qogita.com/variants/link/3390150583124/", "View Product")</f>
        <v/>
      </c>
    </row>
    <row r="16698">
      <c r="A16698" t="inlineStr">
        <is>
          <t>3390150583247</t>
        </is>
      </c>
      <c r="B16698" t="inlineStr">
        <is>
          <t>Payot Glatte Sleeping Creme Resurposante 50ml Night Cream for Renewed Skin</t>
        </is>
      </c>
      <c r="C16698" t="inlineStr">
        <is>
          <t>Night Cream</t>
        </is>
      </c>
      <c r="D16698" t="inlineStr">
        <is>
          <t>Payot</t>
        </is>
      </c>
      <c r="E16698" t="n">
        <v>41.96</v>
      </c>
      <c r="F16698" t="n">
        <v>1</v>
      </c>
      <c r="G16698" t="n">
        <v>5</v>
      </c>
      <c r="H16698" s="5">
        <f>HYPERLINK("https://api.qogita.com/variants/link/3390150583247/", "View Product")</f>
        <v/>
      </c>
    </row>
    <row r="16699">
      <c r="A16699" t="inlineStr">
        <is>
          <t>3390150583681</t>
        </is>
      </c>
      <c r="B16699" t="inlineStr">
        <is>
          <t>Payot Nue Radiant Boosting Toning Lotion 200ml Oxygenating Skin Tonic</t>
        </is>
      </c>
      <c r="C16699" t="inlineStr">
        <is>
          <t>Facial Spray</t>
        </is>
      </c>
      <c r="D16699" t="inlineStr">
        <is>
          <t>Payot</t>
        </is>
      </c>
      <c r="E16699" t="n">
        <v>10.7</v>
      </c>
      <c r="F16699" t="n">
        <v>1</v>
      </c>
      <c r="G16699" t="n">
        <v>3</v>
      </c>
      <c r="H16699" s="5">
        <f>HYPERLINK("https://api.qogita.com/variants/link/3390150583681/", "View Product")</f>
        <v/>
      </c>
    </row>
    <row r="16700">
      <c r="A16700" t="inlineStr">
        <is>
          <t>3390150584206</t>
        </is>
      </c>
      <c r="B16700" t="inlineStr">
        <is>
          <t>Herbier Beneficial Interior Mist - 100ml</t>
        </is>
      </c>
      <c r="C16700" t="inlineStr">
        <is>
          <t>Diffusers</t>
        </is>
      </c>
      <c r="D16700" t="inlineStr">
        <is>
          <t>Herbier</t>
        </is>
      </c>
      <c r="E16700" t="n">
        <v>14.94</v>
      </c>
      <c r="F16700" t="n">
        <v>1</v>
      </c>
      <c r="G16700" t="n">
        <v>3</v>
      </c>
      <c r="H16700" s="5">
        <f>HYPERLINK("https://api.qogita.com/variants/link/3390150584206/", "View Product")</f>
        <v/>
      </c>
    </row>
    <row r="16701">
      <c r="A16701" t="inlineStr">
        <is>
          <t>3390150585180</t>
        </is>
      </c>
      <c r="B16701" t="inlineStr">
        <is>
          <t>Payot Pasta Grigia Serum Clear Skin Anti-Imperfections 30ml</t>
        </is>
      </c>
      <c r="C16701" t="inlineStr">
        <is>
          <t>Hydrating Serum</t>
        </is>
      </c>
      <c r="D16701" t="inlineStr">
        <is>
          <t>Payot</t>
        </is>
      </c>
      <c r="E16701" t="n">
        <v>20.34</v>
      </c>
      <c r="F16701" t="n">
        <v>1</v>
      </c>
      <c r="G16701" t="n">
        <v>13</v>
      </c>
      <c r="H16701" s="5">
        <f>HYPERLINK("https://api.qogita.com/variants/link/3390150585180/", "View Product")</f>
        <v/>
      </c>
    </row>
    <row r="16702">
      <c r="A16702" t="inlineStr">
        <is>
          <t>3390150585340</t>
        </is>
      </c>
      <c r="B16702" t="inlineStr">
        <is>
          <t>My Payot Micro Exfoliating Essence - 125ml</t>
        </is>
      </c>
      <c r="C16702" t="inlineStr">
        <is>
          <t>Facial Scrub &amp; Peeling</t>
        </is>
      </c>
      <c r="D16702" t="inlineStr">
        <is>
          <t>Payot</t>
        </is>
      </c>
      <c r="E16702" t="n">
        <v>15.39</v>
      </c>
      <c r="F16702" t="n">
        <v>1</v>
      </c>
      <c r="G16702" t="n">
        <v>41</v>
      </c>
      <c r="H16702" s="5">
        <f>HYPERLINK("https://api.qogita.com/variants/link/3390150585340/", "View Product")</f>
        <v/>
      </c>
    </row>
    <row r="16703">
      <c r="A16703" t="inlineStr">
        <is>
          <t>3390150585494</t>
        </is>
      </c>
      <c r="B16703" t="inlineStr">
        <is>
          <t>Payot My Payot Tinted Radiance Cream Spf 15 40ml</t>
        </is>
      </c>
      <c r="C16703" t="inlineStr">
        <is>
          <t>Tinted Day Cream</t>
        </is>
      </c>
      <c r="D16703" t="inlineStr">
        <is>
          <t>Payot</t>
        </is>
      </c>
      <c r="E16703" t="n">
        <v>22.61</v>
      </c>
      <c r="F16703" t="n">
        <v>1</v>
      </c>
      <c r="G16703" t="n">
        <v>12</v>
      </c>
      <c r="H16703" s="5">
        <f>HYPERLINK("https://api.qogita.com/variants/link/3390150585494/", "View Product")</f>
        <v/>
      </c>
    </row>
    <row r="16704">
      <c r="A16704" t="inlineStr">
        <is>
          <t>3390150586033</t>
        </is>
      </c>
      <c r="B16704" t="inlineStr">
        <is>
          <t>Payot Supreme Care Youth Regard Eye Cream</t>
        </is>
      </c>
      <c r="C16704" t="inlineStr">
        <is>
          <t>Eye Cream</t>
        </is>
      </c>
      <c r="D16704" t="inlineStr">
        <is>
          <t>Payot</t>
        </is>
      </c>
      <c r="E16704" t="n">
        <v>30.7</v>
      </c>
      <c r="F16704" t="n">
        <v>1</v>
      </c>
      <c r="G16704" t="n">
        <v>16</v>
      </c>
      <c r="H16704" s="5">
        <f>HYPERLINK("https://api.qogita.com/variants/link/3390150586033/", "View Product")</f>
        <v/>
      </c>
    </row>
    <row r="16705">
      <c r="A16705" t="inlineStr">
        <is>
          <t>3390150586224</t>
        </is>
      </c>
      <c r="B16705" t="inlineStr">
        <is>
          <t>Payot Rituel Douceur Deodorant Rollon 75ml Alcoholfree</t>
        </is>
      </c>
      <c r="C16705" t="inlineStr">
        <is>
          <t>Deodorant &amp; Anti-Perspirant</t>
        </is>
      </c>
      <c r="D16705" t="inlineStr">
        <is>
          <t>Payot</t>
        </is>
      </c>
      <c r="E16705" t="n">
        <v>9.06</v>
      </c>
      <c r="F16705" t="n">
        <v>1</v>
      </c>
      <c r="G16705" t="n">
        <v>34</v>
      </c>
      <c r="H16705" s="5">
        <f>HYPERLINK("https://api.qogita.com/variants/link/3390150586224/", "View Product")</f>
        <v/>
      </c>
    </row>
    <row r="16706">
      <c r="A16706" t="inlineStr">
        <is>
          <t>3390150586316</t>
        </is>
      </c>
      <c r="B16706" t="inlineStr">
        <is>
          <t>Payot Nourishing Body Cream 200ml Ritual Douceur</t>
        </is>
      </c>
      <c r="C16706" t="inlineStr">
        <is>
          <t>Body Lotion</t>
        </is>
      </c>
      <c r="D16706" t="inlineStr">
        <is>
          <t>Payot</t>
        </is>
      </c>
      <c r="E16706" t="n">
        <v>13.63</v>
      </c>
      <c r="F16706" t="n">
        <v>1</v>
      </c>
      <c r="G16706" t="n">
        <v>7</v>
      </c>
      <c r="H16706" s="5">
        <f>HYPERLINK("https://api.qogita.com/variants/link/3390150586316/", "View Product")</f>
        <v/>
      </c>
    </row>
    <row r="16707">
      <c r="A16707" t="inlineStr">
        <is>
          <t>3390150587283</t>
        </is>
      </c>
      <c r="B16707" t="inlineStr">
        <is>
          <t>Payot Roselift Lifting Cares Ritual Giftset</t>
        </is>
      </c>
      <c r="C16707" t="inlineStr">
        <is>
          <t>Anti-Aging Facial Care</t>
        </is>
      </c>
      <c r="D16707" t="inlineStr">
        <is>
          <t>Payot</t>
        </is>
      </c>
      <c r="E16707" t="n">
        <v>41.63</v>
      </c>
      <c r="F16707" t="n">
        <v>1</v>
      </c>
      <c r="G16707" t="n">
        <v>7</v>
      </c>
      <c r="H16707" s="5">
        <f>HYPERLINK("https://api.qogita.com/variants/link/3390150587283/", "View Product")</f>
        <v/>
      </c>
    </row>
    <row r="16708">
      <c r="A16708" t="inlineStr">
        <is>
          <t>3390150587320</t>
        </is>
      </c>
      <c r="B16708" t="inlineStr">
        <is>
          <t>Payot Supreme Gift Set</t>
        </is>
      </c>
      <c r="C16708" t="inlineStr">
        <is>
          <t>Facial Care Sets</t>
        </is>
      </c>
      <c r="D16708" t="inlineStr">
        <is>
          <t>Payot</t>
        </is>
      </c>
      <c r="E16708" t="n">
        <v>51.14</v>
      </c>
      <c r="F16708" t="n">
        <v>1</v>
      </c>
      <c r="G16708" t="n">
        <v>14</v>
      </c>
      <c r="H16708" s="5">
        <f>HYPERLINK("https://api.qogita.com/variants/link/3390150587320/", "View Product")</f>
        <v/>
      </c>
    </row>
    <row r="16709">
      <c r="A16709" t="inlineStr">
        <is>
          <t>3390150588624</t>
        </is>
      </c>
      <c r="B16709" t="inlineStr">
        <is>
          <t>Payot Pte Grise Stop Pimple Original Paste 15ml</t>
        </is>
      </c>
      <c r="C16709" t="inlineStr">
        <is>
          <t>Pimple &amp; Blackhead Treatments</t>
        </is>
      </c>
      <c r="D16709" t="inlineStr">
        <is>
          <t>Payot</t>
        </is>
      </c>
      <c r="E16709" t="n">
        <v>11.52</v>
      </c>
      <c r="F16709" t="n">
        <v>1</v>
      </c>
      <c r="G16709" t="n">
        <v>2</v>
      </c>
      <c r="H16709" s="5">
        <f>HYPERLINK("https://api.qogita.com/variants/link/3390150588624/", "View Product")</f>
        <v/>
      </c>
    </row>
    <row r="16710">
      <c r="A16710" t="inlineStr">
        <is>
          <t>3390150589171</t>
        </is>
      </c>
      <c r="B16710" t="inlineStr">
        <is>
          <t>Payot Adaptogen Moisturising Cream 50ml Hydrating Skin Cream</t>
        </is>
      </c>
      <c r="C16710" t="inlineStr">
        <is>
          <t>Face Cream</t>
        </is>
      </c>
      <c r="D16710" t="inlineStr">
        <is>
          <t>Payot</t>
        </is>
      </c>
      <c r="E16710" t="n">
        <v>32.77</v>
      </c>
      <c r="F16710" t="n">
        <v>1</v>
      </c>
      <c r="G16710" t="n">
        <v>17</v>
      </c>
      <c r="H16710" s="5">
        <f>HYPERLINK("https://api.qogita.com/variants/link/3390150589171/", "View Product")</f>
        <v/>
      </c>
    </row>
    <row r="16711">
      <c r="A16711" t="inlineStr">
        <is>
          <t>3390150589201</t>
        </is>
      </c>
      <c r="B16711" t="inlineStr">
        <is>
          <t>Payot Adaptogen Moisturising Eye Stick 45g</t>
        </is>
      </c>
      <c r="C16711" t="inlineStr">
        <is>
          <t>Eye Cream</t>
        </is>
      </c>
      <c r="D16711" t="inlineStr">
        <is>
          <t>Payot</t>
        </is>
      </c>
      <c r="E16711" t="n">
        <v>15.03</v>
      </c>
      <c r="F16711" t="n">
        <v>1</v>
      </c>
      <c r="G16711" t="n">
        <v>5</v>
      </c>
      <c r="H16711" s="5">
        <f>HYPERLINK("https://api.qogita.com/variants/link/3390150589201/", "View Product")</f>
        <v/>
      </c>
    </row>
    <row r="16712">
      <c r="A16712" t="inlineStr">
        <is>
          <t>3390150590856</t>
        </is>
      </c>
      <c r="B16712" t="inlineStr">
        <is>
          <t>Payot Nue Agua Micellar Cleansing Limited Edition 400ml</t>
        </is>
      </c>
      <c r="C16712" t="inlineStr">
        <is>
          <t>Micellar Water</t>
        </is>
      </c>
      <c r="D16712" t="inlineStr">
        <is>
          <t>Nue</t>
        </is>
      </c>
      <c r="E16712" t="n">
        <v>19.33</v>
      </c>
      <c r="F16712" t="n">
        <v>1</v>
      </c>
      <c r="G16712" t="n">
        <v>12</v>
      </c>
      <c r="H16712" s="5">
        <f>HYPERLINK("https://api.qogita.com/variants/link/3390150590856/", "View Product")</f>
        <v/>
      </c>
    </row>
    <row r="16713">
      <c r="A16713" t="inlineStr">
        <is>
          <t>3390150591532</t>
        </is>
      </c>
      <c r="B16713" t="inlineStr">
        <is>
          <t>Payot Solaire After Sun Soothing Gel 150 Ml</t>
        </is>
      </c>
      <c r="C16713" t="inlineStr">
        <is>
          <t>Aftersun</t>
        </is>
      </c>
      <c r="D16713" t="inlineStr">
        <is>
          <t>Payot</t>
        </is>
      </c>
      <c r="E16713" t="n">
        <v>12.07</v>
      </c>
      <c r="F16713" t="n">
        <v>1</v>
      </c>
      <c r="G16713" t="n">
        <v>8</v>
      </c>
      <c r="H16713" s="5">
        <f>HYPERLINK("https://api.qogita.com/variants/link/3390150591532/", "View Product")</f>
        <v/>
      </c>
    </row>
    <row r="16714">
      <c r="A16714" t="inlineStr">
        <is>
          <t>3390150591754</t>
        </is>
      </c>
      <c r="B16714" t="inlineStr">
        <is>
          <t>Payot My Payot Cream Stick Radiance 25 Grams</t>
        </is>
      </c>
      <c r="C16714" t="inlineStr">
        <is>
          <t>Face Cream</t>
        </is>
      </c>
      <c r="D16714" t="inlineStr">
        <is>
          <t>Payot</t>
        </is>
      </c>
      <c r="E16714" t="n">
        <v>19.68</v>
      </c>
      <c r="F16714" t="n">
        <v>1</v>
      </c>
      <c r="G16714" t="n">
        <v>5</v>
      </c>
      <c r="H16714" s="5">
        <f>HYPERLINK("https://api.qogita.com/variants/link/3390150591754/", "View Product")</f>
        <v/>
      </c>
    </row>
    <row r="16715">
      <c r="A16715" t="inlineStr">
        <is>
          <t>3390150591785</t>
        </is>
      </c>
      <c r="B16715" t="inlineStr">
        <is>
          <t>Payot My Payot Radiance Cleansing Mask 100ml Brightening Face Mask 2 In 1</t>
        </is>
      </c>
      <c r="C16715" t="inlineStr">
        <is>
          <t>Glow Mask</t>
        </is>
      </c>
      <c r="D16715" t="inlineStr">
        <is>
          <t>Payot</t>
        </is>
      </c>
      <c r="E16715" t="n">
        <v>15.53</v>
      </c>
      <c r="F16715" t="n">
        <v>1</v>
      </c>
      <c r="G16715" t="n">
        <v>3</v>
      </c>
      <c r="H16715" s="5">
        <f>HYPERLINK("https://api.qogita.com/variants/link/3390150591785/", "View Product")</f>
        <v/>
      </c>
    </row>
    <row r="16716">
      <c r="A16716" t="inlineStr">
        <is>
          <t>3390150592461</t>
        </is>
      </c>
      <c r="B16716" t="inlineStr">
        <is>
          <t>Payot Payot Pate Grise Serum Peeling Renovator 30ml</t>
        </is>
      </c>
      <c r="C16716" t="inlineStr">
        <is>
          <t>Hydrating Serum</t>
        </is>
      </c>
      <c r="D16716" t="inlineStr">
        <is>
          <t>Payot</t>
        </is>
      </c>
      <c r="E16716" t="n">
        <v>19.02</v>
      </c>
      <c r="F16716" t="n">
        <v>1</v>
      </c>
      <c r="G16716" t="n">
        <v>3</v>
      </c>
      <c r="H16716" s="5">
        <f>HYPERLINK("https://api.qogita.com/variants/link/3390150592461/", "View Product")</f>
        <v/>
      </c>
    </row>
    <row r="16717">
      <c r="A16717" t="inlineStr">
        <is>
          <t>3390150592706</t>
        </is>
      </c>
      <c r="B16717" t="inlineStr">
        <is>
          <t>Payot Payot Rose Lift Cream 50ml</t>
        </is>
      </c>
      <c r="C16717" t="inlineStr">
        <is>
          <t>Face Cream</t>
        </is>
      </c>
      <c r="D16717" t="inlineStr">
        <is>
          <t>Payot</t>
        </is>
      </c>
      <c r="E16717" t="n">
        <v>55.73</v>
      </c>
      <c r="F16717" t="n">
        <v>1</v>
      </c>
      <c r="G16717" t="n">
        <v>6</v>
      </c>
      <c r="H16717" s="5">
        <f>HYPERLINK("https://api.qogita.com/variants/link/3390150592706/", "View Product")</f>
        <v/>
      </c>
    </row>
    <row r="16718">
      <c r="A16718" t="inlineStr">
        <is>
          <t>3390150592713</t>
        </is>
      </c>
      <c r="B16718" t="inlineStr">
        <is>
          <t>Payot Payot Rose Lift Cc Cream Lifting 40ml</t>
        </is>
      </c>
      <c r="C16718" t="inlineStr">
        <is>
          <t>Tinted Day Cream</t>
        </is>
      </c>
      <c r="D16718" t="inlineStr">
        <is>
          <t>Payot</t>
        </is>
      </c>
      <c r="E16718" t="n">
        <v>44.26</v>
      </c>
      <c r="F16718" t="n">
        <v>1</v>
      </c>
      <c r="G16718" t="n">
        <v>11</v>
      </c>
      <c r="H16718" s="5">
        <f>HYPERLINK("https://api.qogita.com/variants/link/3390150592713/", "View Product")</f>
        <v/>
      </c>
    </row>
    <row r="16719">
      <c r="A16719" t="inlineStr">
        <is>
          <t>3390150593277</t>
        </is>
      </c>
      <c r="B16719" t="inlineStr">
        <is>
          <t>Payot Neroli Dete Perfumed Shower Gel - 200 Ml</t>
        </is>
      </c>
      <c r="C16719" t="inlineStr">
        <is>
          <t>Shower Gel</t>
        </is>
      </c>
      <c r="D16719" t="inlineStr">
        <is>
          <t>Payot</t>
        </is>
      </c>
      <c r="E16719" t="n">
        <v>9.640000000000001</v>
      </c>
      <c r="F16719" t="n">
        <v>1</v>
      </c>
      <c r="G16719" t="n">
        <v>2</v>
      </c>
      <c r="H16719" s="5">
        <f>HYPERLINK("https://api.qogita.com/variants/link/3390150593277/", "View Product")</f>
        <v/>
      </c>
    </row>
    <row r="16720">
      <c r="A16720" t="inlineStr">
        <is>
          <t>3390150593291</t>
        </is>
      </c>
      <c r="B16720" t="inlineStr">
        <is>
          <t>Payot Neroli D'T Perfumed Body Water 100 Ml</t>
        </is>
      </c>
      <c r="C16720" t="inlineStr">
        <is>
          <t>Eau De Toilette</t>
        </is>
      </c>
      <c r="D16720" t="inlineStr">
        <is>
          <t>Payot</t>
        </is>
      </c>
      <c r="E16720" t="n">
        <v>22.61</v>
      </c>
      <c r="F16720" t="n">
        <v>1</v>
      </c>
      <c r="G16720" t="n">
        <v>18</v>
      </c>
      <c r="H16720" s="5">
        <f>HYPERLINK("https://api.qogita.com/variants/link/3390150593291/", "View Product")</f>
        <v/>
      </c>
    </row>
    <row r="16721">
      <c r="A16721" t="inlineStr">
        <is>
          <t>3390150595899</t>
        </is>
      </c>
      <c r="B16721" t="inlineStr">
        <is>
          <t>Payot Payot Ritual Softness Youth Smoothing Body Balm 200ml</t>
        </is>
      </c>
      <c r="C16721" t="inlineStr">
        <is>
          <t>Body Butter</t>
        </is>
      </c>
      <c r="D16721" t="inlineStr">
        <is>
          <t>Payot</t>
        </is>
      </c>
      <c r="E16721" t="n">
        <v>27.53</v>
      </c>
      <c r="F16721" t="n">
        <v>1</v>
      </c>
      <c r="G16721" t="n">
        <v>10</v>
      </c>
      <c r="H16721" s="5">
        <f>HYPERLINK("https://api.qogita.com/variants/link/3390150595899/", "View Product")</f>
        <v/>
      </c>
    </row>
    <row r="16722">
      <c r="A16722" t="inlineStr">
        <is>
          <t>3392865441249</t>
        </is>
      </c>
      <c r="B16722" t="inlineStr">
        <is>
          <t>Korloff White Eau de Toilette for Men 88ml</t>
        </is>
      </c>
      <c r="C16722" t="inlineStr">
        <is>
          <t>Eau De Toilette</t>
        </is>
      </c>
      <c r="D16722" t="inlineStr">
        <is>
          <t>Korloff</t>
        </is>
      </c>
      <c r="E16722" t="n">
        <v>23.35</v>
      </c>
      <c r="F16722" t="n">
        <v>1</v>
      </c>
      <c r="G16722" t="n">
        <v>6</v>
      </c>
      <c r="H16722" s="5">
        <f>HYPERLINK("https://api.qogita.com/variants/link/3392865441249/", "View Product")</f>
        <v/>
      </c>
    </row>
    <row r="16723">
      <c r="A16723" t="inlineStr">
        <is>
          <t>3392865441300</t>
        </is>
      </c>
      <c r="B16723" t="inlineStr">
        <is>
          <t>Korloff Korloff In Love Edp Spray 100ml Woman</t>
        </is>
      </c>
      <c r="C16723" t="inlineStr">
        <is>
          <t>Eau De Parfum</t>
        </is>
      </c>
      <c r="D16723" t="inlineStr">
        <is>
          <t>Korloff</t>
        </is>
      </c>
      <c r="E16723" t="n">
        <v>26.95</v>
      </c>
      <c r="F16723" t="n">
        <v>1</v>
      </c>
      <c r="G16723" t="n">
        <v>4</v>
      </c>
      <c r="H16723" s="5">
        <f>HYPERLINK("https://api.qogita.com/variants/link/3392865441300/", "View Product")</f>
        <v/>
      </c>
    </row>
    <row r="16724">
      <c r="A16724" t="inlineStr">
        <is>
          <t>3401340652619</t>
        </is>
      </c>
      <c r="B16724" t="inlineStr">
        <is>
          <t>Bioderma Atoderm Pp Baume Ultra Nourishing 500 Ml</t>
        </is>
      </c>
      <c r="C16724" t="inlineStr">
        <is>
          <t>Body Lotion</t>
        </is>
      </c>
      <c r="D16724" t="inlineStr">
        <is>
          <t>Bioderma</t>
        </is>
      </c>
      <c r="E16724" t="n">
        <v>16.44</v>
      </c>
      <c r="F16724" t="n">
        <v>1</v>
      </c>
      <c r="G16724" t="n">
        <v>42</v>
      </c>
      <c r="H16724" s="5">
        <f>HYPERLINK("https://api.qogita.com/variants/link/3401340652619/", "View Product")</f>
        <v/>
      </c>
    </row>
    <row r="16725">
      <c r="A16725" t="inlineStr">
        <is>
          <t>3401340710432</t>
        </is>
      </c>
      <c r="B16725" t="inlineStr">
        <is>
          <t>Bioderma Node P Anti-Dandruff Cleansing Shampoo for Sensitive Oily Hair 400ml</t>
        </is>
      </c>
      <c r="C16725" t="inlineStr">
        <is>
          <t>Shampoo</t>
        </is>
      </c>
      <c r="D16725" t="inlineStr">
        <is>
          <t>Bioderma</t>
        </is>
      </c>
      <c r="E16725" t="n">
        <v>13.7</v>
      </c>
      <c r="F16725" t="n">
        <v>1</v>
      </c>
      <c r="G16725" t="n">
        <v>14</v>
      </c>
      <c r="H16725" s="5">
        <f>HYPERLINK("https://api.qogita.com/variants/link/3401340710432/", "View Product")</f>
        <v/>
      </c>
    </row>
    <row r="16726">
      <c r="A16726" t="inlineStr">
        <is>
          <t>3401348840421</t>
        </is>
      </c>
      <c r="B16726" t="inlineStr">
        <is>
          <t>Bioderma Sebium Hydra Moisturising Compensating Cream 40ml</t>
        </is>
      </c>
      <c r="C16726" t="inlineStr">
        <is>
          <t>Face Cream</t>
        </is>
      </c>
      <c r="D16726" t="inlineStr">
        <is>
          <t>Bioderma</t>
        </is>
      </c>
      <c r="E16726" t="n">
        <v>9.039999999999999</v>
      </c>
      <c r="F16726" t="n">
        <v>1</v>
      </c>
      <c r="G16726" t="n">
        <v>9</v>
      </c>
      <c r="H16726" s="5">
        <f>HYPERLINK("https://api.qogita.com/variants/link/3401348840421/", "View Product")</f>
        <v/>
      </c>
    </row>
    <row r="16727">
      <c r="A16727" t="inlineStr">
        <is>
          <t>3401351366789</t>
        </is>
      </c>
      <c r="B16727" t="inlineStr">
        <is>
          <t>Bioderma Sensibio H2o Ar Micellar Water 250ml For Sensitive Skin</t>
        </is>
      </c>
      <c r="C16727" t="inlineStr">
        <is>
          <t>Micellar Water</t>
        </is>
      </c>
      <c r="D16727" t="inlineStr">
        <is>
          <t>Bioderma</t>
        </is>
      </c>
      <c r="E16727" t="n">
        <v>8.08</v>
      </c>
      <c r="F16727" t="n">
        <v>1</v>
      </c>
      <c r="G16727" t="n">
        <v>3</v>
      </c>
      <c r="H16727" s="5">
        <f>HYPERLINK("https://api.qogita.com/variants/link/3401351366789/", "View Product")</f>
        <v/>
      </c>
    </row>
    <row r="16728">
      <c r="A16728" t="inlineStr">
        <is>
          <t>3401360106994</t>
        </is>
      </c>
      <c r="B16728" t="inlineStr">
        <is>
          <t>Bioderma Sebium Sensitive Soothing Antiblemish Care 30ml</t>
        </is>
      </c>
      <c r="C16728" t="inlineStr">
        <is>
          <t>Pimple &amp; Blackhead Treatments</t>
        </is>
      </c>
      <c r="D16728" t="inlineStr">
        <is>
          <t>Bioderma</t>
        </is>
      </c>
      <c r="E16728" t="n">
        <v>11.92</v>
      </c>
      <c r="F16728" t="n">
        <v>1</v>
      </c>
      <c r="G16728" t="n">
        <v>2</v>
      </c>
      <c r="H16728" s="5">
        <f>HYPERLINK("https://api.qogita.com/variants/link/3401360106994/", "View Product")</f>
        <v/>
      </c>
    </row>
    <row r="16729">
      <c r="A16729" t="inlineStr">
        <is>
          <t>3401360226906</t>
        </is>
      </c>
      <c r="B16729" t="inlineStr">
        <is>
          <t>Filorga Universal Cream Moisturizing - Regenerating Face Cream 100ml</t>
        </is>
      </c>
      <c r="C16729" t="inlineStr">
        <is>
          <t>Face Cream</t>
        </is>
      </c>
      <c r="D16729" t="inlineStr">
        <is>
          <t>Filorga</t>
        </is>
      </c>
      <c r="E16729" t="n">
        <v>22.31</v>
      </c>
      <c r="F16729" t="n">
        <v>1</v>
      </c>
      <c r="G16729" t="n">
        <v>4</v>
      </c>
      <c r="H16729" s="5">
        <f>HYPERLINK("https://api.qogita.com/variants/link/3401360226906/", "View Product")</f>
        <v/>
      </c>
    </row>
    <row r="16730">
      <c r="A16730" t="inlineStr">
        <is>
          <t>3401360245761</t>
        </is>
      </c>
      <c r="B16730" t="inlineStr">
        <is>
          <t>UV-Bronze Face SPF50+ 40ml</t>
        </is>
      </c>
      <c r="C16730" t="inlineStr">
        <is>
          <t>Face Sun Protection</t>
        </is>
      </c>
      <c r="D16730" t="inlineStr">
        <is>
          <t>Filorga</t>
        </is>
      </c>
      <c r="E16730" t="n">
        <v>21.48</v>
      </c>
      <c r="F16730" t="n">
        <v>1</v>
      </c>
      <c r="G16730" t="n">
        <v>10</v>
      </c>
      <c r="H16730" s="5">
        <f>HYPERLINK("https://api.qogita.com/variants/link/3401360245761/", "View Product")</f>
        <v/>
      </c>
    </row>
    <row r="16731">
      <c r="A16731" t="inlineStr">
        <is>
          <t>3401381330255</t>
        </is>
      </c>
      <c r="B16731" t="inlineStr">
        <is>
          <t>Svr Physiopure Micellar Water 400ml - Gentle Cleansing Solution</t>
        </is>
      </c>
      <c r="C16731" t="inlineStr">
        <is>
          <t>Micellar Water</t>
        </is>
      </c>
      <c r="D16731" t="inlineStr">
        <is>
          <t>Svr</t>
        </is>
      </c>
      <c r="E16731" t="n">
        <v>10.36</v>
      </c>
      <c r="F16731" t="n">
        <v>1</v>
      </c>
      <c r="G16731" t="n">
        <v>3</v>
      </c>
      <c r="H16731" s="5">
        <f>HYPERLINK("https://api.qogita.com/variants/link/3401381330255/", "View Product")</f>
        <v/>
      </c>
    </row>
    <row r="16732">
      <c r="A16732" t="inlineStr">
        <is>
          <t>3401397240470</t>
        </is>
      </c>
      <c r="B16732" t="inlineStr">
        <is>
          <t>Bioderma Sensibio Ds Cream 40ml Soothing Purifying Cream</t>
        </is>
      </c>
      <c r="C16732" t="inlineStr">
        <is>
          <t>Face Cream</t>
        </is>
      </c>
      <c r="D16732" t="inlineStr">
        <is>
          <t>Bioderma</t>
        </is>
      </c>
      <c r="E16732" t="n">
        <v>10.02</v>
      </c>
      <c r="F16732" t="n">
        <v>1</v>
      </c>
      <c r="G16732" t="n">
        <v>38</v>
      </c>
      <c r="H16732" s="5">
        <f>HYPERLINK("https://api.qogita.com/variants/link/3401397240470/", "View Product")</f>
        <v/>
      </c>
    </row>
    <row r="16733">
      <c r="A16733" t="inlineStr">
        <is>
          <t>3401399372407</t>
        </is>
      </c>
      <c r="B16733" t="inlineStr">
        <is>
          <t>Bioderma Atoderm Gentle Shower Gel Nourishing Shower Gel For Dry Skin 500 Milliliters</t>
        </is>
      </c>
      <c r="C16733" t="inlineStr">
        <is>
          <t>Shower Gel</t>
        </is>
      </c>
      <c r="D16733" t="inlineStr">
        <is>
          <t>Bioderma</t>
        </is>
      </c>
      <c r="E16733" t="n">
        <v>10.79</v>
      </c>
      <c r="F16733" t="n">
        <v>1</v>
      </c>
      <c r="G16733" t="n">
        <v>5</v>
      </c>
      <c r="H16733" s="5">
        <f>HYPERLINK("https://api.qogita.com/variants/link/3401399372407/", "View Product")</f>
        <v/>
      </c>
    </row>
    <row r="16734">
      <c r="A16734" t="inlineStr">
        <is>
          <t>3401399694356</t>
        </is>
      </c>
      <c r="B16734" t="inlineStr">
        <is>
          <t>Bioderma Hydrabio Lotion Tonique 250ml</t>
        </is>
      </c>
      <c r="C16734" t="inlineStr">
        <is>
          <t>Facial Spray</t>
        </is>
      </c>
      <c r="D16734" t="inlineStr">
        <is>
          <t>Bioderma</t>
        </is>
      </c>
      <c r="E16734" t="n">
        <v>8.619999999999999</v>
      </c>
      <c r="F16734" t="n">
        <v>1</v>
      </c>
      <c r="G16734" t="n">
        <v>58</v>
      </c>
      <c r="H16734" s="5">
        <f>HYPERLINK("https://api.qogita.com/variants/link/3401399694356/", "View Product")</f>
        <v/>
      </c>
    </row>
    <row r="16735">
      <c r="A16735" t="inlineStr">
        <is>
          <t>3401399848254</t>
        </is>
      </c>
      <c r="B16735" t="inlineStr">
        <is>
          <t>Bioderma Hydrabio Mist Soothing Water Spray 300ml</t>
        </is>
      </c>
      <c r="C16735" t="inlineStr">
        <is>
          <t>Facial Spray</t>
        </is>
      </c>
      <c r="D16735" t="inlineStr">
        <is>
          <t>Bioderma</t>
        </is>
      </c>
      <c r="E16735" t="n">
        <v>10.46</v>
      </c>
      <c r="F16735" t="n">
        <v>1</v>
      </c>
      <c r="G16735" t="n">
        <v>30</v>
      </c>
      <c r="H16735" s="5">
        <f>HYPERLINK("https://api.qogita.com/variants/link/3401399848254/", "View Product")</f>
        <v/>
      </c>
    </row>
    <row r="16736">
      <c r="A16736" t="inlineStr">
        <is>
          <t>3401572288297</t>
        </is>
      </c>
      <c r="B16736" t="inlineStr">
        <is>
          <t>Bioderma Sbium H2o Micellar Solution 250ml Cleansing Water For Oily Skin</t>
        </is>
      </c>
      <c r="C16736" t="inlineStr">
        <is>
          <t>Micellar Water</t>
        </is>
      </c>
      <c r="D16736" t="inlineStr">
        <is>
          <t>Bioderma</t>
        </is>
      </c>
      <c r="E16736" t="n">
        <v>8.5</v>
      </c>
      <c r="F16736" t="n">
        <v>1</v>
      </c>
      <c r="G16736" t="n">
        <v>3</v>
      </c>
      <c r="H16736" s="5">
        <f>HYPERLINK("https://api.qogita.com/variants/link/3401572288297/", "View Product")</f>
        <v/>
      </c>
    </row>
    <row r="16737">
      <c r="A16737" t="inlineStr">
        <is>
          <t>3401573697197</t>
        </is>
      </c>
      <c r="B16737" t="inlineStr">
        <is>
          <t>Node Gentle Shampoo For Frequent Hair Washing 400ml</t>
        </is>
      </c>
      <c r="C16737" t="inlineStr">
        <is>
          <t>Shampoo</t>
        </is>
      </c>
      <c r="D16737" t="inlineStr">
        <is>
          <t>Node</t>
        </is>
      </c>
      <c r="E16737" t="n">
        <v>12.87</v>
      </c>
      <c r="F16737" t="n">
        <v>1</v>
      </c>
      <c r="G16737" t="n">
        <v>2</v>
      </c>
      <c r="H16737" s="5">
        <f>HYPERLINK("https://api.qogita.com/variants/link/3401573697197/", "View Product")</f>
        <v/>
      </c>
    </row>
    <row r="16738">
      <c r="A16738" t="inlineStr">
        <is>
          <t>3401574131423</t>
        </is>
      </c>
      <c r="B16738" t="inlineStr">
        <is>
          <t>Bioderma Exfoliating Purifying Gel 100 Ml Ideal For Oily Skin</t>
        </is>
      </c>
      <c r="C16738" t="inlineStr">
        <is>
          <t>Cleansing Gel</t>
        </is>
      </c>
      <c r="D16738" t="inlineStr">
        <is>
          <t>Bioderma</t>
        </is>
      </c>
      <c r="E16738" t="n">
        <v>8.25</v>
      </c>
      <c r="F16738" t="n">
        <v>1</v>
      </c>
      <c r="G16738" t="n">
        <v>13</v>
      </c>
      <c r="H16738" s="5">
        <f>HYPERLINK("https://api.qogita.com/variants/link/3401574131423/", "View Product")</f>
        <v/>
      </c>
    </row>
    <row r="16739">
      <c r="A16739" t="inlineStr">
        <is>
          <t>3412242310057</t>
        </is>
      </c>
      <c r="B16739" t="inlineStr">
        <is>
          <t>Adidas Dynamic Pulse Eau de Toilette 50ml</t>
        </is>
      </c>
      <c r="C16739" t="inlineStr">
        <is>
          <t>Eau De Toilette</t>
        </is>
      </c>
      <c r="D16739" t="inlineStr">
        <is>
          <t>adidas</t>
        </is>
      </c>
      <c r="E16739" t="n">
        <v>4.92</v>
      </c>
      <c r="F16739" t="n">
        <v>1</v>
      </c>
      <c r="G16739" t="n">
        <v>2</v>
      </c>
      <c r="H16739" s="5">
        <f>HYPERLINK("https://api.qogita.com/variants/link/3412242310057/", "View Product")</f>
        <v/>
      </c>
    </row>
    <row r="16740">
      <c r="A16740" t="inlineStr">
        <is>
          <t>3414200064064</t>
        </is>
      </c>
      <c r="B16740" t="inlineStr">
        <is>
          <t>Joop Go Eau De Toilette For Men 100ml Spray</t>
        </is>
      </c>
      <c r="C16740" t="inlineStr">
        <is>
          <t>Eau De Toilette</t>
        </is>
      </c>
      <c r="D16740" t="inlineStr">
        <is>
          <t>Joop!</t>
        </is>
      </c>
      <c r="E16740" t="n">
        <v>15.29</v>
      </c>
      <c r="F16740" t="n">
        <v>1</v>
      </c>
      <c r="G16740" t="n">
        <v>12</v>
      </c>
      <c r="H16740" s="5">
        <f>HYPERLINK("https://api.qogita.com/variants/link/3414200064064/", "View Product")</f>
        <v/>
      </c>
    </row>
    <row r="16741">
      <c r="A16741" t="inlineStr">
        <is>
          <t>3414200640015</t>
        </is>
      </c>
      <c r="B16741" t="inlineStr">
        <is>
          <t>Joop Joop Jump Eau De Toilette Spray 100ml For Men</t>
        </is>
      </c>
      <c r="C16741" t="inlineStr">
        <is>
          <t>Eau De Toilette</t>
        </is>
      </c>
      <c r="D16741" t="inlineStr">
        <is>
          <t>Joop!</t>
        </is>
      </c>
      <c r="E16741" t="n">
        <v>15.69</v>
      </c>
      <c r="F16741" t="n">
        <v>1</v>
      </c>
      <c r="G16741" t="n">
        <v>53</v>
      </c>
      <c r="H16741" s="5">
        <f>HYPERLINK("https://api.qogita.com/variants/link/3414200640015/", "View Product")</f>
        <v/>
      </c>
    </row>
    <row r="16742">
      <c r="A16742" t="inlineStr">
        <is>
          <t>3414200755023</t>
        </is>
      </c>
      <c r="B16742" t="inlineStr">
        <is>
          <t>Jil Sander Sport Eau De Toilette for Women 30ml</t>
        </is>
      </c>
      <c r="C16742" t="inlineStr">
        <is>
          <t>Eau De Toilette</t>
        </is>
      </c>
      <c r="D16742" t="inlineStr">
        <is>
          <t>Jil Sander</t>
        </is>
      </c>
      <c r="E16742" t="n">
        <v>13.35</v>
      </c>
      <c r="F16742" t="n">
        <v>1</v>
      </c>
      <c r="G16742" t="n">
        <v>53</v>
      </c>
      <c r="H16742" s="5">
        <f>HYPERLINK("https://api.qogita.com/variants/link/3414200755023/", "View Product")</f>
        <v/>
      </c>
    </row>
    <row r="16743">
      <c r="A16743" t="inlineStr">
        <is>
          <t>3414202000572</t>
        </is>
      </c>
      <c r="B16743" t="inlineStr">
        <is>
          <t>Davidoff Cool Water Eau De Toilette 125ml For Men</t>
        </is>
      </c>
      <c r="C16743" t="inlineStr">
        <is>
          <t>Eau De Toilette</t>
        </is>
      </c>
      <c r="D16743" t="inlineStr">
        <is>
          <t>Davidoff</t>
        </is>
      </c>
      <c r="E16743" t="n">
        <v>19.87</v>
      </c>
      <c r="F16743" t="n">
        <v>1</v>
      </c>
      <c r="G16743" t="n">
        <v>246</v>
      </c>
      <c r="H16743" s="5">
        <f>HYPERLINK("https://api.qogita.com/variants/link/3414202000572/", "View Product")</f>
        <v/>
      </c>
    </row>
    <row r="16744">
      <c r="A16744" t="inlineStr">
        <is>
          <t>3414202051444</t>
        </is>
      </c>
      <c r="B16744" t="inlineStr">
        <is>
          <t>Lancaster Eau De Lancaster Deodorant Cream 125ml</t>
        </is>
      </c>
      <c r="C16744" t="inlineStr">
        <is>
          <t>Deodorant &amp; Anti-Perspirant</t>
        </is>
      </c>
      <c r="D16744" t="inlineStr">
        <is>
          <t>Lancaster</t>
        </is>
      </c>
      <c r="E16744" t="n">
        <v>8.050000000000001</v>
      </c>
      <c r="F16744" t="n">
        <v>1</v>
      </c>
      <c r="G16744" t="n">
        <v>64</v>
      </c>
      <c r="H16744" s="5">
        <f>HYPERLINK("https://api.qogita.com/variants/link/3414202051444/", "View Product")</f>
        <v/>
      </c>
    </row>
    <row r="16745">
      <c r="A16745" t="inlineStr">
        <is>
          <t>3414202772219</t>
        </is>
      </c>
      <c r="B16745" t="inlineStr">
        <is>
          <t>Joop! Homme Shower Gel</t>
        </is>
      </c>
      <c r="C16745" t="inlineStr">
        <is>
          <t>Shower Gel</t>
        </is>
      </c>
      <c r="D16745" t="inlineStr">
        <is>
          <t>Joop!</t>
        </is>
      </c>
      <c r="E16745" t="n">
        <v>7.19</v>
      </c>
      <c r="F16745" t="n">
        <v>1</v>
      </c>
      <c r="G16745" t="n">
        <v>23</v>
      </c>
      <c r="H16745" s="5">
        <f>HYPERLINK("https://api.qogita.com/variants/link/3414202772219/", "View Product")</f>
        <v/>
      </c>
    </row>
    <row r="16746">
      <c r="A16746" t="inlineStr">
        <is>
          <t>3414206000592</t>
        </is>
      </c>
      <c r="B16746" t="inlineStr">
        <is>
          <t>Joop Homme Eau De Toilette Spray 75ml</t>
        </is>
      </c>
      <c r="C16746" t="inlineStr">
        <is>
          <t>Eau De Toilette</t>
        </is>
      </c>
      <c r="D16746" t="inlineStr">
        <is>
          <t>Joop!</t>
        </is>
      </c>
      <c r="E16746" t="n">
        <v>16.56</v>
      </c>
      <c r="F16746" t="n">
        <v>1</v>
      </c>
      <c r="G16746" t="n">
        <v>23</v>
      </c>
      <c r="H16746" s="5">
        <f>HYPERLINK("https://api.qogita.com/variants/link/3414206000592/", "View Product")</f>
        <v/>
      </c>
    </row>
    <row r="16747">
      <c r="A16747" t="inlineStr">
        <is>
          <t>3414206000714</t>
        </is>
      </c>
      <c r="B16747" t="inlineStr">
        <is>
          <t>Joop Homme Mild Deodorant 75ml Men's Deodorant Spray</t>
        </is>
      </c>
      <c r="C16747" t="inlineStr">
        <is>
          <t>Deodorant &amp; Anti-Perspirant</t>
        </is>
      </c>
      <c r="D16747" t="inlineStr">
        <is>
          <t>Joop!</t>
        </is>
      </c>
      <c r="E16747" t="n">
        <v>7.69</v>
      </c>
      <c r="F16747" t="n">
        <v>1</v>
      </c>
      <c r="G16747" t="n">
        <v>11</v>
      </c>
      <c r="H16747" s="5">
        <f>HYPERLINK("https://api.qogita.com/variants/link/3414206000714/", "View Product")</f>
        <v/>
      </c>
    </row>
    <row r="16748">
      <c r="A16748" t="inlineStr">
        <is>
          <t>3414206015763</t>
        </is>
      </c>
      <c r="B16748" t="inlineStr">
        <is>
          <t>Joop! All About Eve Eau De Parfum 40ml</t>
        </is>
      </c>
      <c r="C16748" t="inlineStr">
        <is>
          <t>Eau De Parfum</t>
        </is>
      </c>
      <c r="D16748" t="inlineStr">
        <is>
          <t>Joop!</t>
        </is>
      </c>
      <c r="E16748" t="n">
        <v>14.58</v>
      </c>
      <c r="F16748" t="n">
        <v>1</v>
      </c>
      <c r="G16748" t="n">
        <v>5</v>
      </c>
      <c r="H16748" s="5">
        <f>HYPERLINK("https://api.qogita.com/variants/link/3414206015763/", "View Product")</f>
        <v/>
      </c>
    </row>
    <row r="16749">
      <c r="A16749" t="inlineStr">
        <is>
          <t>3423220003175</t>
        </is>
      </c>
      <c r="B16749" t="inlineStr">
        <is>
          <t>Dolce &amp; Gabbana Shinissimo High Shine Lacquer 320 Dahlia 45 Ml Liquid Lipstick</t>
        </is>
      </c>
      <c r="C16749" t="inlineStr">
        <is>
          <t>Lipstick</t>
        </is>
      </c>
      <c r="D16749" t="inlineStr">
        <is>
          <t>Dolce &amp; Gabbana</t>
        </is>
      </c>
      <c r="E16749" t="n">
        <v>27.35</v>
      </c>
      <c r="F16749" t="n">
        <v>1</v>
      </c>
      <c r="G16749" t="n">
        <v>3</v>
      </c>
      <c r="H16749" s="5">
        <f>HYPERLINK("https://api.qogita.com/variants/link/3423220003175/", "View Product")</f>
        <v/>
      </c>
    </row>
    <row r="16750">
      <c r="A16750" t="inlineStr">
        <is>
          <t>3423473026792</t>
        </is>
      </c>
      <c r="B16750" t="inlineStr">
        <is>
          <t>Dolce &amp; Gabbana Pour Homme Intenso Eau De Parfum 125ml Tester</t>
        </is>
      </c>
      <c r="C16750" t="inlineStr">
        <is>
          <t>Eau De Parfum</t>
        </is>
      </c>
      <c r="D16750" t="inlineStr">
        <is>
          <t>Dolce And Gabbana</t>
        </is>
      </c>
      <c r="E16750" t="n">
        <v>29.94</v>
      </c>
      <c r="F16750" t="n">
        <v>1</v>
      </c>
      <c r="G16750" t="n">
        <v>30</v>
      </c>
      <c r="H16750" s="5">
        <f>HYPERLINK("https://api.qogita.com/variants/link/3423473026792/", "View Product")</f>
        <v/>
      </c>
    </row>
    <row r="16751">
      <c r="A16751" t="inlineStr">
        <is>
          <t>3423473102151</t>
        </is>
      </c>
      <c r="B16751" t="inlineStr">
        <is>
          <t>Dolce &amp; Gabbana Eyebroweyeliner Pencil Brush</t>
        </is>
      </c>
      <c r="C16751" t="inlineStr">
        <is>
          <t>Eyeliner Brushes</t>
        </is>
      </c>
      <c r="D16751" t="inlineStr">
        <is>
          <t>Dolce &amp; Gabbana</t>
        </is>
      </c>
      <c r="E16751" t="n">
        <v>24.92</v>
      </c>
      <c r="F16751" t="n">
        <v>1</v>
      </c>
      <c r="G16751" t="n">
        <v>4</v>
      </c>
      <c r="H16751" s="5">
        <f>HYPERLINK("https://api.qogita.com/variants/link/3423473102151/", "View Product")</f>
        <v/>
      </c>
    </row>
    <row r="16752">
      <c r="A16752" t="inlineStr">
        <is>
          <t>3432240026750</t>
        </is>
      </c>
      <c r="B16752" t="inlineStr">
        <is>
          <t>Cartier Baiser Vole Eau De Parfum 100ml</t>
        </is>
      </c>
      <c r="C16752" t="inlineStr">
        <is>
          <t>Eau De Parfum</t>
        </is>
      </c>
      <c r="D16752" t="inlineStr">
        <is>
          <t>Cartier</t>
        </is>
      </c>
      <c r="E16752" t="n">
        <v>77.88</v>
      </c>
      <c r="F16752" t="n">
        <v>1</v>
      </c>
      <c r="G16752" t="n">
        <v>6</v>
      </c>
      <c r="H16752" s="5">
        <f>HYPERLINK("https://api.qogita.com/variants/link/3432240026750/", "View Product")</f>
        <v/>
      </c>
    </row>
    <row r="16753">
      <c r="A16753" t="inlineStr">
        <is>
          <t>3432240026767</t>
        </is>
      </c>
      <c r="B16753" t="inlineStr">
        <is>
          <t>Cartier Baiser Vole Eau De Parfum for Her 50ml</t>
        </is>
      </c>
      <c r="C16753" t="inlineStr">
        <is>
          <t>Eau De Parfum</t>
        </is>
      </c>
      <c r="D16753" t="inlineStr">
        <is>
          <t>Cartier</t>
        </is>
      </c>
      <c r="E16753" t="n">
        <v>58.95</v>
      </c>
      <c r="F16753" t="n">
        <v>1</v>
      </c>
      <c r="G16753" t="n">
        <v>442</v>
      </c>
      <c r="H16753" s="5">
        <f>HYPERLINK("https://api.qogita.com/variants/link/3432240026767/", "View Product")</f>
        <v/>
      </c>
    </row>
    <row r="16754">
      <c r="A16754" t="inlineStr">
        <is>
          <t>3432240505286</t>
        </is>
      </c>
      <c r="B16754" t="inlineStr">
        <is>
          <t>Cartier Declaration Haute Fraicheur Eau De Toilette 50ml Men Spray</t>
        </is>
      </c>
      <c r="C16754" t="inlineStr">
        <is>
          <t>Eau De Toilette</t>
        </is>
      </c>
      <c r="D16754" t="inlineStr">
        <is>
          <t>Cartier</t>
        </is>
      </c>
      <c r="E16754" t="n">
        <v>52.4</v>
      </c>
      <c r="F16754" t="n">
        <v>1</v>
      </c>
      <c r="G16754" t="n">
        <v>2</v>
      </c>
      <c r="H16754" s="5">
        <f>HYPERLINK("https://api.qogita.com/variants/link/3432240505286/", "View Product")</f>
        <v/>
      </c>
    </row>
    <row r="16755">
      <c r="A16755" t="inlineStr">
        <is>
          <t>3432240506252</t>
        </is>
      </c>
      <c r="B16755" t="inlineStr">
        <is>
          <t>Cartier Pasha Edition Noir Eau De Toilette Spray 100ml</t>
        </is>
      </c>
      <c r="C16755" t="inlineStr">
        <is>
          <t>Eau De Toilette</t>
        </is>
      </c>
      <c r="D16755" t="inlineStr">
        <is>
          <t>Cartier</t>
        </is>
      </c>
      <c r="E16755" t="n">
        <v>58.96</v>
      </c>
      <c r="F16755" t="n">
        <v>1</v>
      </c>
      <c r="G16755" t="n">
        <v>498</v>
      </c>
      <c r="H16755" s="5">
        <f>HYPERLINK("https://api.qogita.com/variants/link/3432240506252/", "View Product")</f>
        <v/>
      </c>
    </row>
    <row r="16756">
      <c r="A16756" t="inlineStr">
        <is>
          <t>3432240506276</t>
        </is>
      </c>
      <c r="B16756" t="inlineStr">
        <is>
          <t>Cartier Pasha De Cartier Perfume Spray 50ml</t>
        </is>
      </c>
      <c r="C16756" t="inlineStr">
        <is>
          <t>Eau De Parfum</t>
        </is>
      </c>
      <c r="D16756" t="inlineStr">
        <is>
          <t>Cartier</t>
        </is>
      </c>
      <c r="E16756" t="n">
        <v>59.13</v>
      </c>
      <c r="F16756" t="n">
        <v>1</v>
      </c>
      <c r="G16756" t="n">
        <v>3</v>
      </c>
      <c r="H16756" s="5">
        <f>HYPERLINK("https://api.qogita.com/variants/link/3432240506276/", "View Product")</f>
        <v/>
      </c>
    </row>
    <row r="16757">
      <c r="A16757" t="inlineStr">
        <is>
          <t>3432240506306</t>
        </is>
      </c>
      <c r="B16757" t="inlineStr">
        <is>
          <t>Cartier Pasha Eau De Toilette Spray 100ml</t>
        </is>
      </c>
      <c r="C16757" t="inlineStr">
        <is>
          <t>Eau De Toilette</t>
        </is>
      </c>
      <c r="D16757" t="inlineStr">
        <is>
          <t>Cartier</t>
        </is>
      </c>
      <c r="E16757" t="n">
        <v>60.69</v>
      </c>
      <c r="F16757" t="n">
        <v>1</v>
      </c>
      <c r="G16757" t="n">
        <v>537</v>
      </c>
      <c r="H16757" s="5">
        <f>HYPERLINK("https://api.qogita.com/variants/link/3432240506306/", "View Product")</f>
        <v/>
      </c>
    </row>
    <row r="16758">
      <c r="A16758" t="inlineStr">
        <is>
          <t>3432240506610</t>
        </is>
      </c>
      <c r="B16758" t="inlineStr">
        <is>
          <t>Cartier La Panthere Eau De Toilette Spray 100ml</t>
        </is>
      </c>
      <c r="C16758" t="inlineStr">
        <is>
          <t>Eau De Toilette</t>
        </is>
      </c>
      <c r="D16758" t="inlineStr">
        <is>
          <t>Cartier</t>
        </is>
      </c>
      <c r="E16758" t="n">
        <v>63.76</v>
      </c>
      <c r="F16758" t="n">
        <v>1</v>
      </c>
      <c r="G16758" t="n">
        <v>235</v>
      </c>
      <c r="H16758" s="5">
        <f>HYPERLINK("https://api.qogita.com/variants/link/3432240506610/", "View Product")</f>
        <v/>
      </c>
    </row>
    <row r="16759">
      <c r="A16759" t="inlineStr">
        <is>
          <t>3432240506757</t>
        </is>
      </c>
      <c r="B16759" t="inlineStr">
        <is>
          <t>Cartier Declaration Eau De Toilette 150ml</t>
        </is>
      </c>
      <c r="C16759" t="inlineStr">
        <is>
          <t>Eau De Toilette</t>
        </is>
      </c>
      <c r="D16759" t="inlineStr">
        <is>
          <t>Cartier</t>
        </is>
      </c>
      <c r="E16759" t="n">
        <v>83.41</v>
      </c>
      <c r="F16759" t="n">
        <v>1</v>
      </c>
      <c r="G16759" t="n">
        <v>78</v>
      </c>
      <c r="H16759" s="5">
        <f>HYPERLINK("https://api.qogita.com/variants/link/3432240506757/", "View Product")</f>
        <v/>
      </c>
    </row>
    <row r="16760">
      <c r="A16760" t="inlineStr">
        <is>
          <t>3432240506764</t>
        </is>
      </c>
      <c r="B16760" t="inlineStr">
        <is>
          <t>Cartier Declaration Eau De Toilette Spray 100 Ml Refill</t>
        </is>
      </c>
      <c r="C16760" t="inlineStr">
        <is>
          <t>Eau De Toilette</t>
        </is>
      </c>
      <c r="D16760" t="inlineStr">
        <is>
          <t>Cartier</t>
        </is>
      </c>
      <c r="E16760" t="n">
        <v>63.09</v>
      </c>
      <c r="F16760" t="n">
        <v>1</v>
      </c>
      <c r="G16760" t="n">
        <v>482</v>
      </c>
      <c r="H16760" s="5">
        <f>HYPERLINK("https://api.qogita.com/variants/link/3432240506764/", "View Product")</f>
        <v/>
      </c>
    </row>
    <row r="16761">
      <c r="A16761" t="inlineStr">
        <is>
          <t>3433422404403</t>
        </is>
      </c>
      <c r="B16761" t="inlineStr">
        <is>
          <t>La Rocheposay Thermal Water 300ml Soothing And Hydrating Facial Mist</t>
        </is>
      </c>
      <c r="C16761" t="inlineStr">
        <is>
          <t>Facial Spray</t>
        </is>
      </c>
      <c r="D16761" t="inlineStr">
        <is>
          <t>La Roche-Posay</t>
        </is>
      </c>
      <c r="E16761" t="n">
        <v>11.37</v>
      </c>
      <c r="F16761" t="n">
        <v>1</v>
      </c>
      <c r="G16761" t="n">
        <v>8</v>
      </c>
      <c r="H16761" s="5">
        <f>HYPERLINK("https://api.qogita.com/variants/link/3433422404403/", "View Product")</f>
        <v/>
      </c>
    </row>
    <row r="16762">
      <c r="A16762" t="inlineStr">
        <is>
          <t>3433425000596</t>
        </is>
      </c>
      <c r="B16762" t="inlineStr">
        <is>
          <t>Vichy Unisex 48H Anti-Perspirant Roll-On Intense 100ml</t>
        </is>
      </c>
      <c r="C16762" t="inlineStr">
        <is>
          <t>Deodorant &amp; Anti-Perspirant</t>
        </is>
      </c>
      <c r="D16762" t="inlineStr">
        <is>
          <t>Vichy</t>
        </is>
      </c>
      <c r="E16762" t="n">
        <v>20.34</v>
      </c>
      <c r="F16762" t="n">
        <v>1</v>
      </c>
      <c r="G16762" t="n">
        <v>43</v>
      </c>
      <c r="H16762" s="5">
        <f>HYPERLINK("https://api.qogita.com/variants/link/3433425000596/", "View Product")</f>
        <v/>
      </c>
    </row>
    <row r="16763">
      <c r="A16763" t="inlineStr">
        <is>
          <t>3433425000657</t>
        </is>
      </c>
      <c r="B16763" t="inlineStr">
        <is>
          <t>Vichy Homme 48Hr Anti-Transpirant Deodorant</t>
        </is>
      </c>
      <c r="C16763" t="inlineStr">
        <is>
          <t>Deodorant &amp; Anti-Perspirant</t>
        </is>
      </c>
      <c r="D16763" t="inlineStr">
        <is>
          <t>Vichy</t>
        </is>
      </c>
      <c r="E16763" t="n">
        <v>19.82</v>
      </c>
      <c r="F16763" t="n">
        <v>1</v>
      </c>
      <c r="G16763" t="n">
        <v>39</v>
      </c>
      <c r="H16763" s="5">
        <f>HYPERLINK("https://api.qogita.com/variants/link/3433425000657/", "View Product")</f>
        <v/>
      </c>
    </row>
    <row r="16764">
      <c r="A16764" t="inlineStr">
        <is>
          <t>3433425135779</t>
        </is>
      </c>
      <c r="B16764" t="inlineStr">
        <is>
          <t>Vichy Set Of Deodorant Balls For Sensitive Skin 2 X 50 Ml 24h Protection</t>
        </is>
      </c>
      <c r="C16764" t="inlineStr">
        <is>
          <t>Deodorant &amp; Anti-Perspirant</t>
        </is>
      </c>
      <c r="D16764" t="inlineStr">
        <is>
          <t>Vichy</t>
        </is>
      </c>
      <c r="E16764" t="n">
        <v>18.85</v>
      </c>
      <c r="F16764" t="n">
        <v>1</v>
      </c>
      <c r="G16764" t="n">
        <v>19</v>
      </c>
      <c r="H16764" s="5">
        <f>HYPERLINK("https://api.qogita.com/variants/link/3433425135779/", "View Product")</f>
        <v/>
      </c>
    </row>
    <row r="16765">
      <c r="A16765" t="inlineStr">
        <is>
          <t>3433425473468</t>
        </is>
      </c>
      <c r="B16765" t="inlineStr">
        <is>
          <t>Cerave Cleansing Skin Care Gift Set</t>
        </is>
      </c>
      <c r="C16765" t="inlineStr">
        <is>
          <t>Face</t>
        </is>
      </c>
      <c r="D16765" t="inlineStr">
        <is>
          <t>CeraVe</t>
        </is>
      </c>
      <c r="E16765" t="n">
        <v>32.95</v>
      </c>
      <c r="F16765" t="n">
        <v>1</v>
      </c>
      <c r="G16765" t="n">
        <v>16</v>
      </c>
      <c r="H16765" s="5">
        <f>HYPERLINK("https://api.qogita.com/variants/link/3433425473468/", "View Product")</f>
        <v/>
      </c>
    </row>
    <row r="16766">
      <c r="A16766" t="inlineStr">
        <is>
          <t>3433425473819</t>
        </is>
      </c>
      <c r="B16766" t="inlineStr">
        <is>
          <t>Cerave Moisturizing Balm 177 Ml + Free Moisturizing Cream Wash 20 Ml</t>
        </is>
      </c>
      <c r="C16766" t="inlineStr">
        <is>
          <t>Face Cream</t>
        </is>
      </c>
      <c r="D16766" t="inlineStr">
        <is>
          <t>CeraVe</t>
        </is>
      </c>
      <c r="E16766" t="n">
        <v>11.16</v>
      </c>
      <c r="F16766" t="n">
        <v>1</v>
      </c>
      <c r="G16766" t="n">
        <v>7</v>
      </c>
      <c r="H16766" s="5">
        <f>HYPERLINK("https://api.qogita.com/variants/link/3433425473819/", "View Product")</f>
        <v/>
      </c>
    </row>
    <row r="16767">
      <c r="A16767" t="inlineStr">
        <is>
          <t>3434730772338</t>
        </is>
      </c>
      <c r="B16767" t="inlineStr">
        <is>
          <t>Alyssa Ashley Vanilla Eau De Toilette Spray 50ml</t>
        </is>
      </c>
      <c r="C16767" t="inlineStr">
        <is>
          <t>Eau De Toilette</t>
        </is>
      </c>
      <c r="D16767" t="inlineStr">
        <is>
          <t>Alyssa Ashley</t>
        </is>
      </c>
      <c r="E16767" t="n">
        <v>9.300000000000001</v>
      </c>
      <c r="F16767" t="n">
        <v>1</v>
      </c>
      <c r="G16767" t="n">
        <v>3</v>
      </c>
      <c r="H16767" s="5">
        <f>HYPERLINK("https://api.qogita.com/variants/link/3434730772338/", "View Product")</f>
        <v/>
      </c>
    </row>
    <row r="16768">
      <c r="A16768" t="inlineStr">
        <is>
          <t>3439600040920</t>
        </is>
      </c>
      <c r="B16768" t="inlineStr">
        <is>
          <t>Thierry Mugler Angel Eau De Toilette 50ml Spray</t>
        </is>
      </c>
      <c r="C16768" t="inlineStr">
        <is>
          <t>Eau De Toilette</t>
        </is>
      </c>
      <c r="D16768" t="inlineStr">
        <is>
          <t>Thierry Mugler</t>
        </is>
      </c>
      <c r="E16768" t="n">
        <v>55.73</v>
      </c>
      <c r="F16768" t="n">
        <v>1</v>
      </c>
      <c r="G16768" t="n">
        <v>8</v>
      </c>
      <c r="H16768" s="5">
        <f>HYPERLINK("https://api.qogita.com/variants/link/3439600040920/", "View Product")</f>
        <v/>
      </c>
    </row>
    <row r="16769">
      <c r="A16769" t="inlineStr">
        <is>
          <t>3439600056204</t>
        </is>
      </c>
      <c r="B16769" t="inlineStr">
        <is>
          <t>Thierry Mugler Alien Eau De Toilette Spray 30ml</t>
        </is>
      </c>
      <c r="C16769" t="inlineStr">
        <is>
          <t>Eau De Toilette</t>
        </is>
      </c>
      <c r="D16769" t="inlineStr">
        <is>
          <t>Thierry Mugler</t>
        </is>
      </c>
      <c r="E16769" t="n">
        <v>39.8</v>
      </c>
      <c r="F16769" t="n">
        <v>1</v>
      </c>
      <c r="G16769" t="n">
        <v>5</v>
      </c>
      <c r="H16769" s="5">
        <f>HYPERLINK("https://api.qogita.com/variants/link/3439600056204/", "View Product")</f>
        <v/>
      </c>
    </row>
    <row r="16770">
      <c r="A16770" t="inlineStr">
        <is>
          <t>3439600056525</t>
        </is>
      </c>
      <c r="B16770" t="inlineStr">
        <is>
          <t>Thierry Mugler Angel Eau De Parfum Spray 25 Ml Refillable Amber Gourmand Fragrance For Women</t>
        </is>
      </c>
      <c r="C16770" t="inlineStr">
        <is>
          <t>Eau De Parfum</t>
        </is>
      </c>
      <c r="D16770" t="inlineStr">
        <is>
          <t>Thierry Mugler</t>
        </is>
      </c>
      <c r="E16770" t="n">
        <v>40.81</v>
      </c>
      <c r="F16770" t="n">
        <v>1</v>
      </c>
      <c r="G16770" t="n">
        <v>22</v>
      </c>
      <c r="H16770" s="5">
        <f>HYPERLINK("https://api.qogita.com/variants/link/3439600056525/", "View Product")</f>
        <v/>
      </c>
    </row>
    <row r="16771">
      <c r="A16771" t="inlineStr">
        <is>
          <t>3439600056969</t>
        </is>
      </c>
      <c r="B16771" t="inlineStr">
        <is>
          <t>Thierry Mugler Alien Eau De Parfum Refillable Spray 90ml</t>
        </is>
      </c>
      <c r="C16771" t="inlineStr">
        <is>
          <t>Eau De Parfum</t>
        </is>
      </c>
      <c r="D16771" t="inlineStr">
        <is>
          <t>Thierry Mugler</t>
        </is>
      </c>
      <c r="E16771" t="n">
        <v>62.46</v>
      </c>
      <c r="F16771" t="n">
        <v>1</v>
      </c>
      <c r="G16771" t="n">
        <v>543</v>
      </c>
      <c r="H16771" s="5">
        <f>HYPERLINK("https://api.qogita.com/variants/link/3439600056969/", "View Product")</f>
        <v/>
      </c>
    </row>
    <row r="16772">
      <c r="A16772" t="inlineStr">
        <is>
          <t>3442180004428</t>
        </is>
      </c>
      <c r="B16772" t="inlineStr">
        <is>
          <t>Courreges Courreges C Eau De Parfum Spray 30ml</t>
        </is>
      </c>
      <c r="C16772" t="inlineStr">
        <is>
          <t>Eau De Parfum</t>
        </is>
      </c>
      <c r="D16772" t="inlineStr">
        <is>
          <t>Courreges</t>
        </is>
      </c>
      <c r="E16772" t="n">
        <v>34.38</v>
      </c>
      <c r="F16772" t="n">
        <v>1</v>
      </c>
      <c r="G16772" t="n">
        <v>5</v>
      </c>
      <c r="H16772" s="5">
        <f>HYPERLINK("https://api.qogita.com/variants/link/3442180004428/", "View Product")</f>
        <v/>
      </c>
    </row>
    <row r="16773">
      <c r="A16773" t="inlineStr">
        <is>
          <t>3442180007016</t>
        </is>
      </c>
      <c r="B16773" t="inlineStr">
        <is>
          <t>Courreges L'Eau Pale Eau De Parfum Spray 50ml</t>
        </is>
      </c>
      <c r="C16773" t="inlineStr">
        <is>
          <t>Eau De Parfum</t>
        </is>
      </c>
      <c r="D16773" t="inlineStr">
        <is>
          <t>Courreges</t>
        </is>
      </c>
      <c r="E16773" t="n">
        <v>47.55</v>
      </c>
      <c r="F16773" t="n">
        <v>1</v>
      </c>
      <c r="G16773" t="n">
        <v>4</v>
      </c>
      <c r="H16773" s="5">
        <f>HYPERLINK("https://api.qogita.com/variants/link/3442180007016/", "View Product")</f>
        <v/>
      </c>
    </row>
    <row r="16774">
      <c r="A16774" t="inlineStr">
        <is>
          <t>3461020000543</t>
        </is>
      </c>
      <c r="B16774" t="inlineStr">
        <is>
          <t>Institut Esthederm Intensive Vitamin C Serum 10ml</t>
        </is>
      </c>
      <c r="C16774" t="inlineStr">
        <is>
          <t>Vitamin Serum</t>
        </is>
      </c>
      <c r="D16774" t="inlineStr">
        <is>
          <t>Institut Esthederm</t>
        </is>
      </c>
      <c r="E16774" t="n">
        <v>37.73</v>
      </c>
      <c r="F16774" t="n">
        <v>1</v>
      </c>
      <c r="G16774" t="n">
        <v>2</v>
      </c>
      <c r="H16774" s="5">
        <f>HYPERLINK("https://api.qogita.com/variants/link/3461020000543/", "View Product")</f>
        <v/>
      </c>
    </row>
    <row r="16775">
      <c r="A16775" t="inlineStr">
        <is>
          <t>3461022001999</t>
        </is>
      </c>
      <c r="B16775" t="inlineStr">
        <is>
          <t>Institut Esthederm Protective Sunshine Care Powder Moderate Sun 15g</t>
        </is>
      </c>
      <c r="C16775" t="inlineStr">
        <is>
          <t>Face Sun Protection</t>
        </is>
      </c>
      <c r="D16775" t="inlineStr">
        <is>
          <t>Institut Esthederm</t>
        </is>
      </c>
      <c r="E16775" t="n">
        <v>33.48</v>
      </c>
      <c r="F16775" t="n">
        <v>1</v>
      </c>
      <c r="G16775" t="n">
        <v>5</v>
      </c>
      <c r="H16775" s="5">
        <f>HYPERLINK("https://api.qogita.com/variants/link/3461022001999/", "View Product")</f>
        <v/>
      </c>
    </row>
    <row r="16776">
      <c r="A16776" t="inlineStr">
        <is>
          <t>3473311071019</t>
        </is>
      </c>
      <c r="B16776" t="inlineStr">
        <is>
          <t>Resines Tropicales Purifying Balancing Lotion 125ml</t>
        </is>
      </c>
      <c r="C16776" t="inlineStr">
        <is>
          <t>Facial Care Sets</t>
        </is>
      </c>
      <c r="D16776" t="inlineStr">
        <is>
          <t>Sisley-Paris</t>
        </is>
      </c>
      <c r="E16776" t="n">
        <v>49.32</v>
      </c>
      <c r="F16776" t="n">
        <v>1</v>
      </c>
      <c r="G16776" t="n">
        <v>6</v>
      </c>
      <c r="H16776" s="5">
        <f>HYPERLINK("https://api.qogita.com/variants/link/3473311071019/", "View Product")</f>
        <v/>
      </c>
    </row>
    <row r="16777">
      <c r="A16777" t="inlineStr">
        <is>
          <t>3473311415707</t>
        </is>
      </c>
      <c r="B16777" t="inlineStr">
        <is>
          <t>Sisley Gentle Cleansing Gel with Tropical Resins</t>
        </is>
      </c>
      <c r="C16777" t="inlineStr">
        <is>
          <t>Cleansing Gel</t>
        </is>
      </c>
      <c r="D16777" t="inlineStr">
        <is>
          <t>Sisley-Paris</t>
        </is>
      </c>
      <c r="E16777" t="n">
        <v>51.52</v>
      </c>
      <c r="F16777" t="n">
        <v>1</v>
      </c>
      <c r="G16777" t="n">
        <v>2</v>
      </c>
      <c r="H16777" s="5">
        <f>HYPERLINK("https://api.qogita.com/variants/link/3473311415707/", "View Product")</f>
        <v/>
      </c>
    </row>
    <row r="16778">
      <c r="A16778" t="inlineStr">
        <is>
          <t>3473311420008</t>
        </is>
      </c>
      <c r="B16778" t="inlineStr">
        <is>
          <t>Sisley Express Flower Gel Hydrating And Toning Mask 60 Ml</t>
        </is>
      </c>
      <c r="C16778" t="inlineStr">
        <is>
          <t>Hydrating Mask</t>
        </is>
      </c>
      <c r="D16778" t="inlineStr">
        <is>
          <t>Sisley</t>
        </is>
      </c>
      <c r="E16778" t="n">
        <v>75.7</v>
      </c>
      <c r="F16778" t="n">
        <v>1</v>
      </c>
      <c r="G16778" t="n">
        <v>2</v>
      </c>
      <c r="H16778" s="5">
        <f>HYPERLINK("https://api.qogita.com/variants/link/3473311420008/", "View Product")</f>
        <v/>
      </c>
    </row>
    <row r="16779">
      <c r="A16779" t="inlineStr">
        <is>
          <t>3473311615213</t>
        </is>
      </c>
      <c r="B16779" t="inlineStr">
        <is>
          <t>Sisley Phyto Cernes Clat Eye Concealer 15 Ml</t>
        </is>
      </c>
      <c r="C16779" t="inlineStr">
        <is>
          <t>Concealer</t>
        </is>
      </c>
      <c r="D16779" t="inlineStr">
        <is>
          <t>Sisley</t>
        </is>
      </c>
      <c r="E16779" t="n">
        <v>56.44</v>
      </c>
      <c r="F16779" t="n">
        <v>1</v>
      </c>
      <c r="G16779" t="n">
        <v>3</v>
      </c>
      <c r="H16779" s="5">
        <f>HYPERLINK("https://api.qogita.com/variants/link/3473311615213/", "View Product")</f>
        <v/>
      </c>
    </row>
    <row r="16780">
      <c r="A16780" t="inlineStr">
        <is>
          <t>3473311682239</t>
        </is>
      </c>
      <c r="B16780" t="inlineStr">
        <is>
          <t>Sisley Super Soin Solaire Tinted Sun Care Spf30 3 Amber 40ml</t>
        </is>
      </c>
      <c r="C16780" t="inlineStr">
        <is>
          <t>Face Sun Protection</t>
        </is>
      </c>
      <c r="D16780" t="inlineStr">
        <is>
          <t>Sisley-Paris</t>
        </is>
      </c>
      <c r="E16780" t="n">
        <v>96.22</v>
      </c>
      <c r="F16780" t="n">
        <v>1</v>
      </c>
      <c r="G16780" t="n">
        <v>4</v>
      </c>
      <c r="H16780" s="5">
        <f>HYPERLINK("https://api.qogita.com/variants/link/3473311682239/", "View Product")</f>
        <v/>
      </c>
    </row>
    <row r="16781">
      <c r="A16781" t="inlineStr">
        <is>
          <t>3473311691224</t>
        </is>
      </c>
      <c r="B16781" t="inlineStr">
        <is>
          <t>Gift set for dyed hair Hair Rituel</t>
        </is>
      </c>
      <c r="C16781" t="inlineStr">
        <is>
          <t>Hair Care Sets</t>
        </is>
      </c>
      <c r="D16781" t="inlineStr">
        <is>
          <t>Sisley</t>
        </is>
      </c>
      <c r="E16781" t="n">
        <v>49.05</v>
      </c>
      <c r="F16781" t="n">
        <v>1</v>
      </c>
      <c r="G16781" t="n">
        <v>2</v>
      </c>
      <c r="H16781" s="5">
        <f>HYPERLINK("https://api.qogita.com/variants/link/3473311691224/", "View Product")</f>
        <v/>
      </c>
    </row>
    <row r="16782">
      <c r="A16782" t="inlineStr">
        <is>
          <t>3473311692207</t>
        </is>
      </c>
      <c r="B16782" t="inlineStr">
        <is>
          <t>Sisley Revitalizing Volumizing Shampoo 200ml</t>
        </is>
      </c>
      <c r="C16782" t="inlineStr">
        <is>
          <t>Shampoo</t>
        </is>
      </c>
      <c r="D16782" t="inlineStr">
        <is>
          <t>Sisley</t>
        </is>
      </c>
      <c r="E16782" t="n">
        <v>45.36</v>
      </c>
      <c r="F16782" t="n">
        <v>1</v>
      </c>
      <c r="G16782" t="n">
        <v>3</v>
      </c>
      <c r="H16782" s="5">
        <f>HYPERLINK("https://api.qogita.com/variants/link/3473311692207/", "View Product")</f>
        <v/>
      </c>
    </row>
    <row r="16783">
      <c r="A16783" t="inlineStr">
        <is>
          <t>3473311692313</t>
        </is>
      </c>
      <c r="B16783" t="inlineStr">
        <is>
          <t>Sisley Hair Rituel Revitalizing Smoothing Disciplinant Shampoo 500ml</t>
        </is>
      </c>
      <c r="C16783" t="inlineStr">
        <is>
          <t>Shampoo</t>
        </is>
      </c>
      <c r="D16783" t="inlineStr">
        <is>
          <t>Sisley-Paris</t>
        </is>
      </c>
      <c r="E16783" t="n">
        <v>78.8</v>
      </c>
      <c r="F16783" t="n">
        <v>1</v>
      </c>
      <c r="G16783" t="n">
        <v>14</v>
      </c>
      <c r="H16783" s="5">
        <f>HYPERLINK("https://api.qogita.com/variants/link/3473311692313/", "View Product")</f>
        <v/>
      </c>
    </row>
    <row r="16784">
      <c r="A16784" t="inlineStr">
        <is>
          <t>3473311692603</t>
        </is>
      </c>
      <c r="B16784" t="inlineStr">
        <is>
          <t>Sisley Precious Hair Care Oil for Women 3.4 Oz</t>
        </is>
      </c>
      <c r="C16784" t="inlineStr">
        <is>
          <t>Hair Oil &amp; Hair Serum</t>
        </is>
      </c>
      <c r="D16784" t="inlineStr">
        <is>
          <t>Sisley</t>
        </is>
      </c>
      <c r="E16784" t="n">
        <v>57.48</v>
      </c>
      <c r="F16784" t="n">
        <v>1</v>
      </c>
      <c r="G16784" t="n">
        <v>11</v>
      </c>
      <c r="H16784" s="5">
        <f>HYPERLINK("https://api.qogita.com/variants/link/3473311692603/", "View Product")</f>
        <v/>
      </c>
    </row>
    <row r="16785">
      <c r="A16785" t="inlineStr">
        <is>
          <t>3473311692900</t>
        </is>
      </c>
      <c r="B16785" t="inlineStr">
        <is>
          <t>Sisley Hair Rituel Volumizing Spray 150 ml</t>
        </is>
      </c>
      <c r="C16785" t="inlineStr">
        <is>
          <t>Styling Sprays</t>
        </is>
      </c>
      <c r="D16785" t="inlineStr">
        <is>
          <t>Sisley-Paris</t>
        </is>
      </c>
      <c r="E16785" t="n">
        <v>50.19</v>
      </c>
      <c r="F16785" t="n">
        <v>1</v>
      </c>
      <c r="G16785" t="n">
        <v>5</v>
      </c>
      <c r="H16785" s="5">
        <f>HYPERLINK("https://api.qogita.com/variants/link/3473311692900/", "View Product")</f>
        <v/>
      </c>
    </row>
    <row r="16786">
      <c r="A16786" t="inlineStr">
        <is>
          <t>3473311694201</t>
        </is>
      </c>
      <c r="B16786" t="inlineStr">
        <is>
          <t>Sisley The Invisible Hold Hairspray 250 Ml</t>
        </is>
      </c>
      <c r="C16786" t="inlineStr">
        <is>
          <t>Hairspray</t>
        </is>
      </c>
      <c r="D16786" t="inlineStr">
        <is>
          <t>Sisley</t>
        </is>
      </c>
      <c r="E16786" t="n">
        <v>49.76</v>
      </c>
      <c r="F16786" t="n">
        <v>1</v>
      </c>
      <c r="G16786" t="n">
        <v>3</v>
      </c>
      <c r="H16786" s="5">
        <f>HYPERLINK("https://api.qogita.com/variants/link/3473311694201/", "View Product")</f>
        <v/>
      </c>
    </row>
    <row r="16787">
      <c r="A16787" t="inlineStr">
        <is>
          <t>3473311705051</t>
        </is>
      </c>
      <c r="B16787" t="inlineStr">
        <is>
          <t>Sisley Phyto Rouge Shine Lipstick 22 Raspberry 3 Grams</t>
        </is>
      </c>
      <c r="C16787" t="inlineStr">
        <is>
          <t>Lipstick</t>
        </is>
      </c>
      <c r="D16787" t="inlineStr">
        <is>
          <t>Sisley</t>
        </is>
      </c>
      <c r="E16787" t="n">
        <v>28.88</v>
      </c>
      <c r="F16787" t="n">
        <v>1</v>
      </c>
      <c r="G16787" t="n">
        <v>8</v>
      </c>
      <c r="H16787" s="5">
        <f>HYPERLINK("https://api.qogita.com/variants/link/3473311705051/", "View Product")</f>
        <v/>
      </c>
    </row>
    <row r="16788">
      <c r="A16788" t="inlineStr">
        <is>
          <t>3473311705068</t>
        </is>
      </c>
      <c r="B16788" t="inlineStr">
        <is>
          <t>Sisley Phytorouge Shine Glossy Lipstick 3 G</t>
        </is>
      </c>
      <c r="C16788" t="inlineStr">
        <is>
          <t>Lipstick</t>
        </is>
      </c>
      <c r="D16788" t="inlineStr">
        <is>
          <t>Sisley</t>
        </is>
      </c>
      <c r="E16788" t="n">
        <v>29.85</v>
      </c>
      <c r="F16788" t="n">
        <v>1</v>
      </c>
      <c r="G16788" t="n">
        <v>3</v>
      </c>
      <c r="H16788" s="5">
        <f>HYPERLINK("https://api.qogita.com/variants/link/3473311705068/", "View Product")</f>
        <v/>
      </c>
    </row>
    <row r="16789">
      <c r="A16789" t="inlineStr">
        <is>
          <t>3473311705112</t>
        </is>
      </c>
      <c r="B16789" t="inlineStr">
        <is>
          <t>Sisley Phytorouge Shine Glossy Lipstick 3 Grams</t>
        </is>
      </c>
      <c r="C16789" t="inlineStr">
        <is>
          <t>Lipstick</t>
        </is>
      </c>
      <c r="D16789" t="inlineStr">
        <is>
          <t>Sisley</t>
        </is>
      </c>
      <c r="E16789" t="n">
        <v>30.7</v>
      </c>
      <c r="F16789" t="n">
        <v>1</v>
      </c>
      <c r="G16789" t="n">
        <v>2</v>
      </c>
      <c r="H16789" s="5">
        <f>HYPERLINK("https://api.qogita.com/variants/link/3473311705112/", "View Product")</f>
        <v/>
      </c>
    </row>
    <row r="16790">
      <c r="A16790" t="inlineStr">
        <is>
          <t>3473311706003</t>
        </is>
      </c>
      <c r="B16790" t="inlineStr">
        <is>
          <t>SISLEY Phyto-Lip Balm Tinted Lip Balm Cloud</t>
        </is>
      </c>
      <c r="C16790" t="inlineStr">
        <is>
          <t>Lip Balm</t>
        </is>
      </c>
      <c r="D16790" t="inlineStr">
        <is>
          <t>Sisley</t>
        </is>
      </c>
      <c r="E16790" t="n">
        <v>30.56</v>
      </c>
      <c r="F16790" t="n">
        <v>1</v>
      </c>
      <c r="G16790" t="n">
        <v>5</v>
      </c>
      <c r="H16790" s="5">
        <f>HYPERLINK("https://api.qogita.com/variants/link/3473311706003/", "View Product")</f>
        <v/>
      </c>
    </row>
    <row r="16791">
      <c r="A16791" t="inlineStr">
        <is>
          <t>3473311707000</t>
        </is>
      </c>
      <c r="B16791" t="inlineStr">
        <is>
          <t>Sisley Phyto Rouge Velvet Lipstick - 3 Grams</t>
        </is>
      </c>
      <c r="C16791" t="inlineStr">
        <is>
          <t>Lipstick</t>
        </is>
      </c>
      <c r="D16791" t="inlineStr">
        <is>
          <t>Sisley</t>
        </is>
      </c>
      <c r="E16791" t="n">
        <v>33.93</v>
      </c>
      <c r="F16791" t="n">
        <v>1</v>
      </c>
      <c r="G16791" t="n">
        <v>2</v>
      </c>
      <c r="H16791" s="5">
        <f>HYPERLINK("https://api.qogita.com/variants/link/3473311707000/", "View Product")</f>
        <v/>
      </c>
    </row>
    <row r="16792">
      <c r="A16792" t="inlineStr">
        <is>
          <t>3473311707086</t>
        </is>
      </c>
      <c r="B16792" t="inlineStr">
        <is>
          <t>Sisley Phyto Rouge Velvet Lipstick - 3 G</t>
        </is>
      </c>
      <c r="C16792" t="inlineStr">
        <is>
          <t>Lipstick</t>
        </is>
      </c>
      <c r="D16792" t="inlineStr">
        <is>
          <t>Sisley</t>
        </is>
      </c>
      <c r="E16792" t="n">
        <v>39.82</v>
      </c>
      <c r="F16792" t="n">
        <v>1</v>
      </c>
      <c r="G16792" t="n">
        <v>3</v>
      </c>
      <c r="H16792" s="5">
        <f>HYPERLINK("https://api.qogita.com/variants/link/3473311707086/", "View Product")</f>
        <v/>
      </c>
    </row>
    <row r="16793">
      <c r="A16793" t="inlineStr">
        <is>
          <t>3473311754042</t>
        </is>
      </c>
      <c r="B16793" t="inlineStr">
        <is>
          <t>Sisley Le Phytogloss Intense Glow Lip Gloss 4 Twilight 65 Ml</t>
        </is>
      </c>
      <c r="C16793" t="inlineStr">
        <is>
          <t>Lip Gloss</t>
        </is>
      </c>
      <c r="D16793" t="inlineStr">
        <is>
          <t>Sisley</t>
        </is>
      </c>
      <c r="E16793" t="n">
        <v>30.87</v>
      </c>
      <c r="F16793" t="n">
        <v>1</v>
      </c>
      <c r="G16793" t="n">
        <v>2</v>
      </c>
      <c r="H16793" s="5">
        <f>HYPERLINK("https://api.qogita.com/variants/link/3473311754042/", "View Product")</f>
        <v/>
      </c>
    </row>
    <row r="16794">
      <c r="A16794" t="inlineStr">
        <is>
          <t>3473311754080</t>
        </is>
      </c>
      <c r="B16794" t="inlineStr">
        <is>
          <t>Sisley Le Phytogloss Lip Gloss 65 Ml And 65 Ml In Shade 08 Milkyway</t>
        </is>
      </c>
      <c r="C16794" t="inlineStr">
        <is>
          <t>Lip Gloss</t>
        </is>
      </c>
      <c r="D16794" t="inlineStr">
        <is>
          <t>Sisley</t>
        </is>
      </c>
      <c r="E16794" t="n">
        <v>28.84</v>
      </c>
      <c r="F16794" t="n">
        <v>1</v>
      </c>
      <c r="G16794" t="n">
        <v>3</v>
      </c>
      <c r="H16794" s="5">
        <f>HYPERLINK("https://api.qogita.com/variants/link/3473311754080/", "View Product")</f>
        <v/>
      </c>
    </row>
    <row r="16795">
      <c r="A16795" t="inlineStr">
        <is>
          <t>3473311800145</t>
        </is>
      </c>
      <c r="B16795" t="inlineStr">
        <is>
          <t>Sisley Kabuki Brush A Premium Kabuki Powder Brush For Flawless Makeup Application</t>
        </is>
      </c>
      <c r="C16795" t="inlineStr">
        <is>
          <t>Powder Brushes</t>
        </is>
      </c>
      <c r="D16795" t="inlineStr">
        <is>
          <t>Sisley</t>
        </is>
      </c>
      <c r="E16795" t="n">
        <v>38.89</v>
      </c>
      <c r="F16795" t="n">
        <v>1</v>
      </c>
      <c r="G16795" t="n">
        <v>2</v>
      </c>
      <c r="H16795" s="5">
        <f>HYPERLINK("https://api.qogita.com/variants/link/3473311800145/", "View Product")</f>
        <v/>
      </c>
    </row>
    <row r="16796">
      <c r="A16796" t="inlineStr">
        <is>
          <t>3473311805799</t>
        </is>
      </c>
      <c r="B16796" t="inlineStr">
        <is>
          <t>Sisley Make-Up Phyto-Teint Ultra Eclat Long Lasting Liquid Face Base</t>
        </is>
      </c>
      <c r="C16796" t="inlineStr">
        <is>
          <t>Foundation</t>
        </is>
      </c>
      <c r="D16796" t="inlineStr">
        <is>
          <t>Sisley-Paris</t>
        </is>
      </c>
      <c r="E16796" t="n">
        <v>51.48</v>
      </c>
      <c r="F16796" t="n">
        <v>1</v>
      </c>
      <c r="G16796" t="n">
        <v>2</v>
      </c>
      <c r="H16796" s="5">
        <f>HYPERLINK("https://api.qogita.com/variants/link/3473311805799/", "View Product")</f>
        <v/>
      </c>
    </row>
    <row r="16797">
      <c r="A16797" t="inlineStr">
        <is>
          <t>3473311807175</t>
        </is>
      </c>
      <c r="B16797" t="inlineStr">
        <is>
          <t>Sisley Le Teint Antiaging Foundation 4b Chestnut 30 Ml</t>
        </is>
      </c>
      <c r="C16797" t="inlineStr">
        <is>
          <t>Foundation</t>
        </is>
      </c>
      <c r="D16797" t="inlineStr">
        <is>
          <t>Sisley</t>
        </is>
      </c>
      <c r="E16797" t="n">
        <v>97.95999999999999</v>
      </c>
      <c r="F16797" t="n">
        <v>1</v>
      </c>
      <c r="G16797" t="n">
        <v>3</v>
      </c>
      <c r="H16797" s="5">
        <f>HYPERLINK("https://api.qogita.com/variants/link/3473311807175/", "View Product")</f>
        <v/>
      </c>
    </row>
    <row r="16798">
      <c r="A16798" t="inlineStr">
        <is>
          <t>3473311807182</t>
        </is>
      </c>
      <c r="B16798" t="inlineStr">
        <is>
          <t>Sisley Sisleÿa Le Teint Foundation 30ml</t>
        </is>
      </c>
      <c r="C16798" t="inlineStr">
        <is>
          <t>Foundation</t>
        </is>
      </c>
      <c r="D16798" t="inlineStr">
        <is>
          <t>Sisley-Paris</t>
        </is>
      </c>
      <c r="E16798" t="n">
        <v>92.08</v>
      </c>
      <c r="F16798" t="n">
        <v>1</v>
      </c>
      <c r="G16798" t="n">
        <v>4</v>
      </c>
      <c r="H16798" s="5">
        <f>HYPERLINK("https://api.qogita.com/variants/link/3473311807182/", "View Product")</f>
        <v/>
      </c>
    </row>
    <row r="16799">
      <c r="A16799" t="inlineStr">
        <is>
          <t>3473311809032</t>
        </is>
      </c>
      <c r="B16799" t="inlineStr">
        <is>
          <t>Ladies Phyto Teint Nude Water Infused Second Skin Foundation 1 oz # 00W</t>
        </is>
      </c>
      <c r="C16799" t="inlineStr">
        <is>
          <t>Foundation</t>
        </is>
      </c>
      <c r="D16799" t="inlineStr">
        <is>
          <t>Sisley-Paris</t>
        </is>
      </c>
      <c r="E16799" t="n">
        <v>53.36</v>
      </c>
      <c r="F16799" t="n">
        <v>1</v>
      </c>
      <c r="G16799" t="n">
        <v>3</v>
      </c>
      <c r="H16799" s="5">
        <f>HYPERLINK("https://api.qogita.com/variants/link/3473311809032/", "View Product")</f>
        <v/>
      </c>
    </row>
    <row r="16800">
      <c r="A16800" t="inlineStr">
        <is>
          <t>3473311853127</t>
        </is>
      </c>
      <c r="B16800" t="inlineStr">
        <is>
          <t>Sisley So Intense Mascara 02 Deep Brown 75 Ml Strengthening Mascara For Longer And Bulkier Lashes</t>
        </is>
      </c>
      <c r="C16800" t="inlineStr">
        <is>
          <t>Mascara</t>
        </is>
      </c>
      <c r="D16800" t="inlineStr">
        <is>
          <t>Sisley</t>
        </is>
      </c>
      <c r="E16800" t="n">
        <v>36.88</v>
      </c>
      <c r="F16800" t="n">
        <v>1</v>
      </c>
      <c r="G16800" t="n">
        <v>7</v>
      </c>
      <c r="H16800" s="5">
        <f>HYPERLINK("https://api.qogita.com/variants/link/3473311853127/", "View Product")</f>
        <v/>
      </c>
    </row>
    <row r="16801">
      <c r="A16801" t="inlineStr">
        <is>
          <t>3473311866134</t>
        </is>
      </c>
      <c r="B16801" t="inlineStr">
        <is>
          <t>Sisley Les Phytoombres Eye Shadow 30 Silky Sky 15 G</t>
        </is>
      </c>
      <c r="C16801" t="inlineStr">
        <is>
          <t>Eyeshadow</t>
        </is>
      </c>
      <c r="D16801" t="inlineStr">
        <is>
          <t>Sisley</t>
        </is>
      </c>
      <c r="E16801" t="n">
        <v>28.13</v>
      </c>
      <c r="F16801" t="n">
        <v>1</v>
      </c>
      <c r="G16801" t="n">
        <v>5</v>
      </c>
      <c r="H16801" s="5">
        <f>HYPERLINK("https://api.qogita.com/variants/link/3473311866134/", "View Product")</f>
        <v/>
      </c>
    </row>
    <row r="16802">
      <c r="A16802" t="inlineStr">
        <is>
          <t>3473311866196</t>
        </is>
      </c>
      <c r="B16802" t="inlineStr">
        <is>
          <t>Sisley Les Phytoombres Eye Shadow 41 Glow Gold 15 G</t>
        </is>
      </c>
      <c r="C16802" t="inlineStr">
        <is>
          <t>Eyeshadow</t>
        </is>
      </c>
      <c r="D16802" t="inlineStr">
        <is>
          <t>Sisley</t>
        </is>
      </c>
      <c r="E16802" t="n">
        <v>27.99</v>
      </c>
      <c r="F16802" t="n">
        <v>1</v>
      </c>
      <c r="G16802" t="n">
        <v>2</v>
      </c>
      <c r="H16802" s="5">
        <f>HYPERLINK("https://api.qogita.com/variants/link/3473311866196/", "View Product")</f>
        <v/>
      </c>
    </row>
    <row r="16803">
      <c r="A16803" t="inlineStr">
        <is>
          <t>3473311867063</t>
        </is>
      </c>
      <c r="B16803" t="inlineStr">
        <is>
          <t>Sisley Eclat Liquid Eyeshadow 6 Wild 65 Ml</t>
        </is>
      </c>
      <c r="C16803" t="inlineStr">
        <is>
          <t>Eyeshadow</t>
        </is>
      </c>
      <c r="D16803" t="inlineStr">
        <is>
          <t>Sisley</t>
        </is>
      </c>
      <c r="E16803" t="n">
        <v>28.67</v>
      </c>
      <c r="F16803" t="n">
        <v>1</v>
      </c>
      <c r="G16803" t="n">
        <v>3</v>
      </c>
      <c r="H16803" s="5">
        <f>HYPERLINK("https://api.qogita.com/variants/link/3473311867063/", "View Product")</f>
        <v/>
      </c>
    </row>
    <row r="16804">
      <c r="A16804" t="inlineStr">
        <is>
          <t>3473311874207</t>
        </is>
      </c>
      <c r="B16804" t="inlineStr">
        <is>
          <t>Sisley Phytokhol Star Waterproof Eye Pencil 1 Sparkling Black 03g</t>
        </is>
      </c>
      <c r="C16804" t="inlineStr">
        <is>
          <t>Eye Pencil</t>
        </is>
      </c>
      <c r="D16804" t="inlineStr">
        <is>
          <t>Sisley</t>
        </is>
      </c>
      <c r="E16804" t="n">
        <v>29.12</v>
      </c>
      <c r="F16804" t="n">
        <v>1</v>
      </c>
      <c r="G16804" t="n">
        <v>5</v>
      </c>
      <c r="H16804" s="5">
        <f>HYPERLINK("https://api.qogita.com/variants/link/3473311874207/", "View Product")</f>
        <v/>
      </c>
    </row>
    <row r="16805">
      <c r="A16805" t="inlineStr">
        <is>
          <t>3473311874252</t>
        </is>
      </c>
      <c r="B16805" t="inlineStr">
        <is>
          <t>Sisley Phytokhol Star Waterproof Eye Pencil 6 Mystic Purple 03g</t>
        </is>
      </c>
      <c r="C16805" t="inlineStr">
        <is>
          <t>Eye Pencil</t>
        </is>
      </c>
      <c r="D16805" t="inlineStr">
        <is>
          <t>Sisley</t>
        </is>
      </c>
      <c r="E16805" t="n">
        <v>29.77</v>
      </c>
      <c r="F16805" t="n">
        <v>1</v>
      </c>
      <c r="G16805" t="n">
        <v>3</v>
      </c>
      <c r="H16805" s="5">
        <f>HYPERLINK("https://api.qogita.com/variants/link/3473311874252/", "View Product")</f>
        <v/>
      </c>
    </row>
    <row r="16806">
      <c r="A16806" t="inlineStr">
        <is>
          <t>3473311876218</t>
        </is>
      </c>
      <c r="B16806" t="inlineStr">
        <is>
          <t>Phyto Levres Perfect Lip Liner In Sweet Coral, 1.2g</t>
        </is>
      </c>
      <c r="C16806" t="inlineStr">
        <is>
          <t>Lip Liner</t>
        </is>
      </c>
      <c r="D16806" t="inlineStr">
        <is>
          <t>Phyto</t>
        </is>
      </c>
      <c r="E16806" t="n">
        <v>32.56</v>
      </c>
      <c r="F16806" t="n">
        <v>1</v>
      </c>
      <c r="G16806" t="n">
        <v>5</v>
      </c>
      <c r="H16806" s="5">
        <f>HYPERLINK("https://api.qogita.com/variants/link/3473311876218/", "View Product")</f>
        <v/>
      </c>
    </row>
    <row r="16807">
      <c r="A16807" t="inlineStr">
        <is>
          <t>3473311902016</t>
        </is>
      </c>
      <c r="B16807" t="inlineStr">
        <is>
          <t>Sisley Eau De Campagne Eau De Toilette</t>
        </is>
      </c>
      <c r="C16807" t="inlineStr">
        <is>
          <t>Eau De Toilette</t>
        </is>
      </c>
      <c r="D16807" t="inlineStr">
        <is>
          <t>Sisley</t>
        </is>
      </c>
      <c r="E16807" t="n">
        <v>53.29</v>
      </c>
      <c r="F16807" t="n">
        <v>1</v>
      </c>
      <c r="G16807" t="n">
        <v>4</v>
      </c>
      <c r="H16807" s="5">
        <f>HYPERLINK("https://api.qogita.com/variants/link/3473311902016/", "View Product")</f>
        <v/>
      </c>
    </row>
    <row r="16808">
      <c r="A16808" t="inlineStr">
        <is>
          <t>3473311932600</t>
        </is>
      </c>
      <c r="B16808" t="inlineStr">
        <is>
          <t>Sisley L'Eau Revee D'Alma Eau De Toilette Spray 50ml</t>
        </is>
      </c>
      <c r="C16808" t="inlineStr">
        <is>
          <t>Eau De Toilette</t>
        </is>
      </c>
      <c r="D16808" t="inlineStr">
        <is>
          <t>Sisley</t>
        </is>
      </c>
      <c r="E16808" t="n">
        <v>51.05</v>
      </c>
      <c r="F16808" t="n">
        <v>1</v>
      </c>
      <c r="G16808" t="n">
        <v>18</v>
      </c>
      <c r="H16808" s="5">
        <f>HYPERLINK("https://api.qogita.com/variants/link/3473311932600/", "View Product")</f>
        <v/>
      </c>
    </row>
    <row r="16809">
      <c r="A16809" t="inlineStr">
        <is>
          <t>3473311941015</t>
        </is>
      </c>
      <c r="B16809" t="inlineStr">
        <is>
          <t>Sisley L'Eau Revee D'Ikar Eau De Toilette Spray 100ml</t>
        </is>
      </c>
      <c r="C16809" t="inlineStr">
        <is>
          <t>Eau De Toilette</t>
        </is>
      </c>
      <c r="D16809" t="inlineStr">
        <is>
          <t>Sisley</t>
        </is>
      </c>
      <c r="E16809" t="n">
        <v>67.81999999999999</v>
      </c>
      <c r="F16809" t="n">
        <v>1</v>
      </c>
      <c r="G16809" t="n">
        <v>3</v>
      </c>
      <c r="H16809" s="5">
        <f>HYPERLINK("https://api.qogita.com/variants/link/3473311941015/", "View Product")</f>
        <v/>
      </c>
    </row>
    <row r="16810">
      <c r="A16810" t="inlineStr">
        <is>
          <t>3473311941510</t>
        </is>
      </c>
      <c r="B16810" t="inlineStr">
        <is>
          <t>Sisley L'Eau Revee D'Ikar Eau De Toilette Spray 50ml</t>
        </is>
      </c>
      <c r="C16810" t="inlineStr">
        <is>
          <t>Eau De Toilette</t>
        </is>
      </c>
      <c r="D16810" t="inlineStr">
        <is>
          <t>Sisley</t>
        </is>
      </c>
      <c r="E16810" t="n">
        <v>57.16</v>
      </c>
      <c r="F16810" t="n">
        <v>1</v>
      </c>
      <c r="G16810" t="n">
        <v>2</v>
      </c>
      <c r="H16810" s="5">
        <f>HYPERLINK("https://api.qogita.com/variants/link/3473311941510/", "View Product")</f>
        <v/>
      </c>
    </row>
    <row r="16811">
      <c r="A16811" t="inlineStr">
        <is>
          <t>3473311963109</t>
        </is>
      </c>
      <c r="B16811" t="inlineStr">
        <is>
          <t>Sisley Soir D'Orient Eau De Parfum 100ml</t>
        </is>
      </c>
      <c r="C16811" t="inlineStr">
        <is>
          <t>Eau De Parfum</t>
        </is>
      </c>
      <c r="D16811" t="inlineStr">
        <is>
          <t>Sisley</t>
        </is>
      </c>
      <c r="E16811" t="n">
        <v>94.77</v>
      </c>
      <c r="F16811" t="n">
        <v>1</v>
      </c>
      <c r="G16811" t="n">
        <v>18</v>
      </c>
      <c r="H16811" s="5">
        <f>HYPERLINK("https://api.qogita.com/variants/link/3473311963109/", "View Product")</f>
        <v/>
      </c>
    </row>
    <row r="16812">
      <c r="A16812" t="inlineStr">
        <is>
          <t>3473311963208</t>
        </is>
      </c>
      <c r="B16812" t="inlineStr">
        <is>
          <t>Sisley Soir D'Orient Eau De Parfum Spray 50ml</t>
        </is>
      </c>
      <c r="C16812" t="inlineStr">
        <is>
          <t>Eau De Parfum</t>
        </is>
      </c>
      <c r="D16812" t="inlineStr">
        <is>
          <t>Sisley</t>
        </is>
      </c>
      <c r="E16812" t="n">
        <v>83.26000000000001</v>
      </c>
      <c r="F16812" t="n">
        <v>1</v>
      </c>
      <c r="G16812" t="n">
        <v>14</v>
      </c>
      <c r="H16812" s="5">
        <f>HYPERLINK("https://api.qogita.com/variants/link/3473311963208/", "View Product")</f>
        <v/>
      </c>
    </row>
    <row r="16813">
      <c r="A16813" t="inlineStr">
        <is>
          <t>3473311980014</t>
        </is>
      </c>
      <c r="B16813" t="inlineStr">
        <is>
          <t>Sisley Soir De Lune Eau De Parfum Spray 50ml</t>
        </is>
      </c>
      <c r="C16813" t="inlineStr">
        <is>
          <t>Eau De Parfum</t>
        </is>
      </c>
      <c r="D16813" t="inlineStr">
        <is>
          <t>Sisley</t>
        </is>
      </c>
      <c r="E16813" t="n">
        <v>83.31</v>
      </c>
      <c r="F16813" t="n">
        <v>1</v>
      </c>
      <c r="G16813" t="n">
        <v>3</v>
      </c>
      <c r="H16813" s="5">
        <f>HYPERLINK("https://api.qogita.com/variants/link/3473311980014/", "View Product")</f>
        <v/>
      </c>
    </row>
    <row r="16814">
      <c r="A16814" t="inlineStr">
        <is>
          <t>3473311980021</t>
        </is>
      </c>
      <c r="B16814" t="inlineStr">
        <is>
          <t>Sisley Soir De Lune Eau De Parfum Spray 100ml</t>
        </is>
      </c>
      <c r="C16814" t="inlineStr">
        <is>
          <t>Eau De Parfum</t>
        </is>
      </c>
      <c r="D16814" t="inlineStr">
        <is>
          <t>Sisley</t>
        </is>
      </c>
      <c r="E16814" t="n">
        <v>102.88</v>
      </c>
      <c r="F16814" t="n">
        <v>1</v>
      </c>
      <c r="G16814" t="n">
        <v>11</v>
      </c>
      <c r="H16814" s="5">
        <f>HYPERLINK("https://api.qogita.com/variants/link/3473311980021/", "View Product")</f>
        <v/>
      </c>
    </row>
    <row r="16815">
      <c r="A16815" t="inlineStr">
        <is>
          <t>3473311984005</t>
        </is>
      </c>
      <c r="B16815" t="inlineStr">
        <is>
          <t>Sisley Soir De Lune Perfumed Bath &amp; Shower Gel 200ml 6.8oz</t>
        </is>
      </c>
      <c r="C16815" t="inlineStr">
        <is>
          <t>Shower Gel</t>
        </is>
      </c>
      <c r="D16815" t="inlineStr">
        <is>
          <t>Sisley</t>
        </is>
      </c>
      <c r="E16815" t="n">
        <v>43.87</v>
      </c>
      <c r="F16815" t="n">
        <v>1</v>
      </c>
      <c r="G16815" t="n">
        <v>3</v>
      </c>
      <c r="H16815" s="5">
        <f>HYPERLINK("https://api.qogita.com/variants/link/3473311984005/", "View Product")</f>
        <v/>
      </c>
    </row>
    <row r="16816">
      <c r="A16816" t="inlineStr">
        <is>
          <t>3473311985309</t>
        </is>
      </c>
      <c r="B16816" t="inlineStr">
        <is>
          <t>Sisley Izia Eau de Parfum 30ml</t>
        </is>
      </c>
      <c r="C16816" t="inlineStr">
        <is>
          <t>Eau De Parfum</t>
        </is>
      </c>
      <c r="D16816" t="inlineStr">
        <is>
          <t>Sisley-Paris</t>
        </is>
      </c>
      <c r="E16816" t="n">
        <v>58.47</v>
      </c>
      <c r="F16816" t="n">
        <v>1</v>
      </c>
      <c r="G16816" t="n">
        <v>4</v>
      </c>
      <c r="H16816" s="5">
        <f>HYPERLINK("https://api.qogita.com/variants/link/3473311985309/", "View Product")</f>
        <v/>
      </c>
    </row>
    <row r="16817">
      <c r="A16817" t="inlineStr">
        <is>
          <t>3474630417762</t>
        </is>
      </c>
      <c r="B16817" t="inlineStr">
        <is>
          <t>Loreal INOA 200 OXYDANT 10 VOL 1L V034 Light Blonde 1000ml</t>
        </is>
      </c>
      <c r="C16817" t="inlineStr">
        <is>
          <t>Hair Dye</t>
        </is>
      </c>
      <c r="D16817" t="inlineStr">
        <is>
          <t>L'Oréal</t>
        </is>
      </c>
      <c r="E16817" t="n">
        <v>10.96</v>
      </c>
      <c r="F16817" t="n">
        <v>1</v>
      </c>
      <c r="G16817" t="n">
        <v>3</v>
      </c>
      <c r="H16817" s="5">
        <f>HYPERLINK("https://api.qogita.com/variants/link/3474630417762/", "View Product")</f>
        <v/>
      </c>
    </row>
    <row r="16818">
      <c r="A16818" t="inlineStr">
        <is>
          <t>3474630574823</t>
        </is>
      </c>
      <c r="B16818" t="inlineStr">
        <is>
          <t>L'Oréal Professionnel Majirel Cool Cover 50ml</t>
        </is>
      </c>
      <c r="C16818" t="inlineStr">
        <is>
          <t>Hair Dye</t>
        </is>
      </c>
      <c r="D16818" t="inlineStr">
        <is>
          <t>L'Oréal Professionnel</t>
        </is>
      </c>
      <c r="E16818" t="n">
        <v>7.28</v>
      </c>
      <c r="F16818" t="n">
        <v>1</v>
      </c>
      <c r="G16818" t="n">
        <v>3</v>
      </c>
      <c r="H16818" s="5">
        <f>HYPERLINK("https://api.qogita.com/variants/link/3474630574823/", "View Product")</f>
        <v/>
      </c>
    </row>
    <row r="16819">
      <c r="A16819" t="inlineStr">
        <is>
          <t>3474630650459</t>
        </is>
      </c>
      <c r="B16819" t="inlineStr">
        <is>
          <t>Redken Cerafill Retaliate Stemoxidine Treatment 90 Ml For Thinning Hair</t>
        </is>
      </c>
      <c r="C16819" t="inlineStr">
        <is>
          <t>Scalp Care</t>
        </is>
      </c>
      <c r="D16819" t="inlineStr">
        <is>
          <t>Redken</t>
        </is>
      </c>
      <c r="E16819" t="n">
        <v>40.24</v>
      </c>
      <c r="F16819" t="n">
        <v>1</v>
      </c>
      <c r="G16819" t="n">
        <v>2</v>
      </c>
      <c r="H16819" s="5">
        <f>HYPERLINK("https://api.qogita.com/variants/link/3474630650459/", "View Product")</f>
        <v/>
      </c>
    </row>
    <row r="16820">
      <c r="A16820" t="inlineStr">
        <is>
          <t>3474630698000</t>
        </is>
      </c>
      <c r="B16820" t="inlineStr">
        <is>
          <t>L'Oral Professionnel Hair Touch Up Root Concealer Black 75 Ml</t>
        </is>
      </c>
      <c r="C16820" t="inlineStr">
        <is>
          <t>Hairline Paint</t>
        </is>
      </c>
      <c r="D16820" t="inlineStr">
        <is>
          <t>L'Oréal Professionnel</t>
        </is>
      </c>
      <c r="E16820" t="n">
        <v>12.33</v>
      </c>
      <c r="F16820" t="n">
        <v>1</v>
      </c>
      <c r="G16820" t="n">
        <v>18</v>
      </c>
      <c r="H16820" s="5">
        <f>HYPERLINK("https://api.qogita.com/variants/link/3474630698000/", "View Product")</f>
        <v/>
      </c>
    </row>
    <row r="16821">
      <c r="A16821" t="inlineStr">
        <is>
          <t>3474630698185</t>
        </is>
      </c>
      <c r="B16821" t="inlineStr">
        <is>
          <t>L'Oral Professionnel Hair Touch Up Brown 75ml Root Concealer</t>
        </is>
      </c>
      <c r="C16821" t="inlineStr">
        <is>
          <t>Hairline Paint</t>
        </is>
      </c>
      <c r="D16821" t="inlineStr">
        <is>
          <t>L'Oréal Professionnel</t>
        </is>
      </c>
      <c r="E16821" t="n">
        <v>12.18</v>
      </c>
      <c r="F16821" t="n">
        <v>1</v>
      </c>
      <c r="G16821" t="n">
        <v>15</v>
      </c>
      <c r="H16821" s="5">
        <f>HYPERLINK("https://api.qogita.com/variants/link/3474630698185/", "View Product")</f>
        <v/>
      </c>
    </row>
    <row r="16822">
      <c r="A16822" t="inlineStr">
        <is>
          <t>3474630740969</t>
        </is>
      </c>
      <c r="B16822" t="inlineStr">
        <is>
          <t>Matrix Total Results Color Obsessed Antioxidant Conditioner - 1000ml</t>
        </is>
      </c>
      <c r="C16822" t="inlineStr">
        <is>
          <t>Conditioner</t>
        </is>
      </c>
      <c r="D16822" t="inlineStr">
        <is>
          <t>Matrix</t>
        </is>
      </c>
      <c r="E16822" t="n">
        <v>16.84</v>
      </c>
      <c r="F16822" t="n">
        <v>1</v>
      </c>
      <c r="G16822" t="n">
        <v>5</v>
      </c>
      <c r="H16822" s="5">
        <f>HYPERLINK("https://api.qogita.com/variants/link/3474630740969/", "View Product")</f>
        <v/>
      </c>
    </row>
    <row r="16823">
      <c r="A16823" t="inlineStr">
        <is>
          <t>3474634002049</t>
        </is>
      </c>
      <c r="B16823" t="inlineStr">
        <is>
          <t>L'Oréal Professionnel Majirel 8.3 Light Blonde Gold 50ml Hair Color</t>
        </is>
      </c>
      <c r="C16823" t="inlineStr">
        <is>
          <t>Hair Dye</t>
        </is>
      </c>
      <c r="D16823" t="inlineStr">
        <is>
          <t>L'Oréal Professionnel</t>
        </is>
      </c>
      <c r="E16823" t="n">
        <v>8.640000000000001</v>
      </c>
      <c r="F16823" t="n">
        <v>1</v>
      </c>
      <c r="G16823" t="n">
        <v>3</v>
      </c>
      <c r="H16823" s="5">
        <f>HYPERLINK("https://api.qogita.com/variants/link/3474634002049/", "View Product")</f>
        <v/>
      </c>
    </row>
    <row r="16824">
      <c r="A16824" t="inlineStr">
        <is>
          <t>3474634002087</t>
        </is>
      </c>
      <c r="B16824" t="inlineStr">
        <is>
          <t>L'Oréal Majirel 7.3 Medium Blonde Gold 69g</t>
        </is>
      </c>
      <c r="C16824" t="inlineStr">
        <is>
          <t>Hair Dye</t>
        </is>
      </c>
      <c r="D16824" t="inlineStr">
        <is>
          <t>L'Oréal Paris</t>
        </is>
      </c>
      <c r="E16824" t="n">
        <v>8.17</v>
      </c>
      <c r="F16824" t="n">
        <v>1</v>
      </c>
      <c r="G16824" t="n">
        <v>3</v>
      </c>
      <c r="H16824" s="5">
        <f>HYPERLINK("https://api.qogita.com/variants/link/3474634002087/", "View Product")</f>
        <v/>
      </c>
    </row>
    <row r="16825">
      <c r="A16825" t="inlineStr">
        <is>
          <t>3474634002100</t>
        </is>
      </c>
      <c r="B16825" t="inlineStr">
        <is>
          <t>Loreal Majirel #7.4 Copper Blonde Permanent Hair Color Ion 50ml</t>
        </is>
      </c>
      <c r="C16825" t="inlineStr">
        <is>
          <t>Hair Dye</t>
        </is>
      </c>
      <c r="D16825" t="inlineStr">
        <is>
          <t>Majirel</t>
        </is>
      </c>
      <c r="E16825" t="n">
        <v>8.390000000000001</v>
      </c>
      <c r="F16825" t="n">
        <v>1</v>
      </c>
      <c r="G16825" t="n">
        <v>3</v>
      </c>
      <c r="H16825" s="5">
        <f>HYPERLINK("https://api.qogita.com/variants/link/3474634002100/", "View Product")</f>
        <v/>
      </c>
    </row>
    <row r="16826">
      <c r="A16826" t="inlineStr">
        <is>
          <t>3474634005200</t>
        </is>
      </c>
      <c r="B16826" t="inlineStr">
        <is>
          <t>L'Oral Professionnel Majirel 1031 Permanent Hair Color</t>
        </is>
      </c>
      <c r="C16826" t="inlineStr">
        <is>
          <t>Hair Dye</t>
        </is>
      </c>
      <c r="D16826" t="inlineStr">
        <is>
          <t>L'Oréal Professionnel</t>
        </is>
      </c>
      <c r="E16826" t="n">
        <v>8.93</v>
      </c>
      <c r="F16826" t="n">
        <v>1</v>
      </c>
      <c r="G16826" t="n">
        <v>2</v>
      </c>
      <c r="H16826" s="5">
        <f>HYPERLINK("https://api.qogita.com/variants/link/3474634005200/", "View Product")</f>
        <v/>
      </c>
    </row>
    <row r="16827">
      <c r="A16827" t="inlineStr">
        <is>
          <t>3474634005316</t>
        </is>
      </c>
      <c r="B16827" t="inlineStr">
        <is>
          <t>Loreal Majirel EU ABS HT/RC 8.31 14B V511 MJ 8.31 Light Blonde Gold Ash 50ml</t>
        </is>
      </c>
      <c r="C16827" t="inlineStr">
        <is>
          <t>Hair Dye</t>
        </is>
      </c>
      <c r="D16827" t="inlineStr">
        <is>
          <t>L'Oréal</t>
        </is>
      </c>
      <c r="E16827" t="n">
        <v>9.65</v>
      </c>
      <c r="F16827" t="n">
        <v>1</v>
      </c>
      <c r="G16827" t="n">
        <v>2</v>
      </c>
      <c r="H16827" s="5">
        <f>HYPERLINK("https://api.qogita.com/variants/link/3474634005316/", "View Product")</f>
        <v/>
      </c>
    </row>
    <row r="16828">
      <c r="A16828" t="inlineStr">
        <is>
          <t>3474636397389</t>
        </is>
      </c>
      <c r="B16828" t="inlineStr">
        <is>
          <t>Krastase Bain Vital Dermocalm Hypoallergenic Hydrasoothing Shampoo 250 Ml For Sensitive Scalps</t>
        </is>
      </c>
      <c r="C16828" t="inlineStr">
        <is>
          <t>Shampoo</t>
        </is>
      </c>
      <c r="D16828" t="inlineStr">
        <is>
          <t>Kérastase</t>
        </is>
      </c>
      <c r="E16828" t="n">
        <v>23.32</v>
      </c>
      <c r="F16828" t="n">
        <v>1</v>
      </c>
      <c r="G16828" t="n">
        <v>10</v>
      </c>
      <c r="H16828" s="5">
        <f>HYPERLINK("https://api.qogita.com/variants/link/3474636397389/", "View Product")</f>
        <v/>
      </c>
    </row>
    <row r="16829">
      <c r="A16829" t="inlineStr">
        <is>
          <t>3474636397495</t>
        </is>
      </c>
      <c r="B16829" t="inlineStr">
        <is>
          <t>Krastase Masque Hydraapaisant 200ml For All Hair Types</t>
        </is>
      </c>
      <c r="C16829" t="inlineStr">
        <is>
          <t>Hair Masks</t>
        </is>
      </c>
      <c r="D16829" t="inlineStr">
        <is>
          <t>Kérastase</t>
        </is>
      </c>
      <c r="E16829" t="n">
        <v>37.27</v>
      </c>
      <c r="F16829" t="n">
        <v>1</v>
      </c>
      <c r="G16829" t="n">
        <v>5</v>
      </c>
      <c r="H16829" s="5">
        <f>HYPERLINK("https://api.qogita.com/variants/link/3474636397495/", "View Product")</f>
        <v/>
      </c>
    </row>
    <row r="16830">
      <c r="A16830" t="inlineStr">
        <is>
          <t>3474636400331</t>
        </is>
      </c>
      <c r="B16830" t="inlineStr">
        <is>
          <t>Shu Uemura Urban Moisture Shampoo 300ml Nourishing Shampoo For Dry Hair</t>
        </is>
      </c>
      <c r="C16830" t="inlineStr">
        <is>
          <t>Shampoo</t>
        </is>
      </c>
      <c r="D16830" t="inlineStr">
        <is>
          <t>Shu Uemura</t>
        </is>
      </c>
      <c r="E16830" t="n">
        <v>47.61</v>
      </c>
      <c r="F16830" t="n">
        <v>1</v>
      </c>
      <c r="G16830" t="n">
        <v>5</v>
      </c>
      <c r="H16830" s="5">
        <f>HYPERLINK("https://api.qogita.com/variants/link/3474636400331/", "View Product")</f>
        <v/>
      </c>
    </row>
    <row r="16831">
      <c r="A16831" t="inlineStr">
        <is>
          <t>3474636400355</t>
        </is>
      </c>
      <c r="B16831" t="inlineStr">
        <is>
          <t>Shu Uemura Urban Moisture Masque 200ml Nourishing Mask For Dry Hair</t>
        </is>
      </c>
      <c r="C16831" t="inlineStr">
        <is>
          <t>Hair Masks</t>
        </is>
      </c>
      <c r="D16831" t="inlineStr">
        <is>
          <t>Shu Uemura</t>
        </is>
      </c>
      <c r="E16831" t="n">
        <v>72.59</v>
      </c>
      <c r="F16831" t="n">
        <v>1</v>
      </c>
      <c r="G16831" t="n">
        <v>3</v>
      </c>
      <c r="H16831" s="5">
        <f>HYPERLINK("https://api.qogita.com/variants/link/3474636400355/", "View Product")</f>
        <v/>
      </c>
    </row>
    <row r="16832">
      <c r="A16832" t="inlineStr">
        <is>
          <t>3474636476640</t>
        </is>
      </c>
      <c r="B16832" t="inlineStr">
        <is>
          <t>L'Oreal Professionnel Infinium Pure Extra Strong Hair Spray - Very Strong Hold</t>
        </is>
      </c>
      <c r="C16832" t="inlineStr">
        <is>
          <t>Hairspray</t>
        </is>
      </c>
      <c r="D16832" t="inlineStr">
        <is>
          <t>L'Oréal</t>
        </is>
      </c>
      <c r="E16832" t="n">
        <v>11.42</v>
      </c>
      <c r="F16832" t="n">
        <v>1</v>
      </c>
      <c r="G16832" t="n">
        <v>84</v>
      </c>
      <c r="H16832" s="5">
        <f>HYPERLINK("https://api.qogita.com/variants/link/3474636476640/", "View Product")</f>
        <v/>
      </c>
    </row>
    <row r="16833">
      <c r="A16833" t="inlineStr">
        <is>
          <t>3474636695287</t>
        </is>
      </c>
      <c r="B16833" t="inlineStr">
        <is>
          <t>Krastase Revitalizing Mask For Hair Stressed By The Sun Soleil 200ml</t>
        </is>
      </c>
      <c r="C16833" t="inlineStr">
        <is>
          <t>Hair Masks</t>
        </is>
      </c>
      <c r="D16833" t="inlineStr">
        <is>
          <t>Kérastase</t>
        </is>
      </c>
      <c r="E16833" t="n">
        <v>43.02</v>
      </c>
      <c r="F16833" t="n">
        <v>1</v>
      </c>
      <c r="G16833" t="n">
        <v>5</v>
      </c>
      <c r="H16833" s="5">
        <f>HYPERLINK("https://api.qogita.com/variants/link/3474636695287/", "View Product")</f>
        <v/>
      </c>
    </row>
    <row r="16834">
      <c r="A16834" t="inlineStr">
        <is>
          <t>3474636876891</t>
        </is>
      </c>
      <c r="B16834" t="inlineStr">
        <is>
          <t>Shu Uemura Ishi Sculpt Sculpting Paste 71g</t>
        </is>
      </c>
      <c r="C16834" t="inlineStr">
        <is>
          <t>Wax</t>
        </is>
      </c>
      <c r="D16834" t="inlineStr">
        <is>
          <t>Shu Uemura</t>
        </is>
      </c>
      <c r="E16834" t="n">
        <v>41.16</v>
      </c>
      <c r="F16834" t="n">
        <v>1</v>
      </c>
      <c r="G16834" t="n">
        <v>3</v>
      </c>
      <c r="H16834" s="5">
        <f>HYPERLINK("https://api.qogita.com/variants/link/3474636876891/", "View Product")</f>
        <v/>
      </c>
    </row>
    <row r="16835">
      <c r="A16835" t="inlineStr">
        <is>
          <t>3474636876907</t>
        </is>
      </c>
      <c r="B16835" t="inlineStr">
        <is>
          <t>Shu Uemura Uzu Cotton Styling Cream 75 Ml</t>
        </is>
      </c>
      <c r="C16835" t="inlineStr">
        <is>
          <t>Styling Creams</t>
        </is>
      </c>
      <c r="D16835" t="inlineStr">
        <is>
          <t>Shu Uemura</t>
        </is>
      </c>
      <c r="E16835" t="n">
        <v>42.06</v>
      </c>
      <c r="F16835" t="n">
        <v>1</v>
      </c>
      <c r="G16835" t="n">
        <v>3</v>
      </c>
      <c r="H16835" s="5">
        <f>HYPERLINK("https://api.qogita.com/variants/link/3474636876907/", "View Product")</f>
        <v/>
      </c>
    </row>
    <row r="16836">
      <c r="A16836" t="inlineStr">
        <is>
          <t>3474636968756</t>
        </is>
      </c>
      <c r="B16836" t="inlineStr">
        <is>
          <t>Kérastase Curl Manifesto Fundamental Day Cream Moisturizing Anti-Frizz Care 150ml</t>
        </is>
      </c>
      <c r="C16836" t="inlineStr">
        <is>
          <t>Leave-In Conditioner</t>
        </is>
      </c>
      <c r="D16836" t="inlineStr">
        <is>
          <t>Kérastase</t>
        </is>
      </c>
      <c r="E16836" t="n">
        <v>28.91</v>
      </c>
      <c r="F16836" t="n">
        <v>1</v>
      </c>
      <c r="G16836" t="n">
        <v>7</v>
      </c>
      <c r="H16836" s="5">
        <f>HYPERLINK("https://api.qogita.com/variants/link/3474636968756/", "View Product")</f>
        <v/>
      </c>
    </row>
    <row r="16837">
      <c r="A16837" t="inlineStr">
        <is>
          <t>3474636968787</t>
        </is>
      </c>
      <c r="B16837" t="inlineStr">
        <is>
          <t>Krastase Curl Manifesto Fondant Hydratation Essentielle 250ml Lightweight Moisture Replenishing Conditioner For Wavy And Curly Hair</t>
        </is>
      </c>
      <c r="C16837" t="inlineStr">
        <is>
          <t>Conditioner</t>
        </is>
      </c>
      <c r="D16837" t="inlineStr">
        <is>
          <t>Kérastase</t>
        </is>
      </c>
      <c r="E16837" t="n">
        <v>32.03</v>
      </c>
      <c r="F16837" t="n">
        <v>1</v>
      </c>
      <c r="G16837" t="n">
        <v>7</v>
      </c>
      <c r="H16837" s="5">
        <f>HYPERLINK("https://api.qogita.com/variants/link/3474636968787/", "View Product")</f>
        <v/>
      </c>
    </row>
    <row r="16838">
      <c r="A16838" t="inlineStr">
        <is>
          <t>3474636974252</t>
        </is>
      </c>
      <c r="B16838" t="inlineStr">
        <is>
          <t>L'Oral Professionnel Absolut Repair Gold Professional Mask 250ml</t>
        </is>
      </c>
      <c r="C16838" t="inlineStr">
        <is>
          <t>Hair Masks</t>
        </is>
      </c>
      <c r="D16838" t="inlineStr">
        <is>
          <t>L'Oréal Professionnel</t>
        </is>
      </c>
      <c r="E16838" t="n">
        <v>14.1</v>
      </c>
      <c r="F16838" t="n">
        <v>1</v>
      </c>
      <c r="G16838" t="n">
        <v>24</v>
      </c>
      <c r="H16838" s="5">
        <f>HYPERLINK("https://api.qogita.com/variants/link/3474636974252/", "View Product")</f>
        <v/>
      </c>
    </row>
    <row r="16839">
      <c r="A16839" t="inlineStr">
        <is>
          <t>3474636974337</t>
        </is>
      </c>
      <c r="B16839" t="inlineStr">
        <is>
          <t>L'Oréal Professionnel Serie Expert Aminexil Advanced Scalp Serum for Non-Disease Hair Loss with Omega-6 6ml</t>
        </is>
      </c>
      <c r="C16839" t="inlineStr">
        <is>
          <t>Scalp Care</t>
        </is>
      </c>
      <c r="D16839" t="inlineStr">
        <is>
          <t>L'Oréal Professionnel</t>
        </is>
      </c>
      <c r="E16839" t="n">
        <v>113.26</v>
      </c>
      <c r="F16839" t="n">
        <v>1</v>
      </c>
      <c r="G16839" t="n">
        <v>4</v>
      </c>
      <c r="H16839" s="5">
        <f>HYPERLINK("https://api.qogita.com/variants/link/3474636974337/", "View Product")</f>
        <v/>
      </c>
    </row>
    <row r="16840">
      <c r="A16840" t="inlineStr">
        <is>
          <t>3474636975358</t>
        </is>
      </c>
      <c r="B16840" t="inlineStr">
        <is>
          <t>L'Oral Professionnel Vitamino Color Conditioner 750ml</t>
        </is>
      </c>
      <c r="C16840" t="inlineStr">
        <is>
          <t>Conditioner</t>
        </is>
      </c>
      <c r="D16840" t="inlineStr">
        <is>
          <t>L'Oréal Professionnel</t>
        </is>
      </c>
      <c r="E16840" t="n">
        <v>20.48</v>
      </c>
      <c r="F16840" t="n">
        <v>1</v>
      </c>
      <c r="G16840" t="n">
        <v>8</v>
      </c>
      <c r="H16840" s="5">
        <f>HYPERLINK("https://api.qogita.com/variants/link/3474636975358/", "View Product")</f>
        <v/>
      </c>
    </row>
    <row r="16841">
      <c r="A16841" t="inlineStr">
        <is>
          <t>3474636975471</t>
        </is>
      </c>
      <c r="B16841" t="inlineStr">
        <is>
          <t>L'Oreal Professionnel Absolut Repair Conditioner 750ml Professional Hair Care</t>
        </is>
      </c>
      <c r="C16841" t="inlineStr">
        <is>
          <t>Conditioner</t>
        </is>
      </c>
      <c r="D16841" t="inlineStr">
        <is>
          <t>L'Oréal Professionnel</t>
        </is>
      </c>
      <c r="E16841" t="n">
        <v>20.48</v>
      </c>
      <c r="F16841" t="n">
        <v>1</v>
      </c>
      <c r="G16841" t="n">
        <v>10</v>
      </c>
      <c r="H16841" s="5">
        <f>HYPERLINK("https://api.qogita.com/variants/link/3474636975471/", "View Product")</f>
        <v/>
      </c>
    </row>
    <row r="16842">
      <c r="A16842" t="inlineStr">
        <is>
          <t>3474636975518</t>
        </is>
      </c>
      <c r="B16842" t="inlineStr">
        <is>
          <t>L'Oral Professionnel Expert Resveratrol Vitamino Color Colored Hair Shampoo 300ml</t>
        </is>
      </c>
      <c r="C16842" t="inlineStr">
        <is>
          <t>Shampoo</t>
        </is>
      </c>
      <c r="D16842" t="inlineStr">
        <is>
          <t>L'Oréal Professionnel</t>
        </is>
      </c>
      <c r="E16842" t="n">
        <v>11.17</v>
      </c>
      <c r="F16842" t="n">
        <v>1</v>
      </c>
      <c r="G16842" t="n">
        <v>11</v>
      </c>
      <c r="H16842" s="5">
        <f>HYPERLINK("https://api.qogita.com/variants/link/3474636975518/", "View Product")</f>
        <v/>
      </c>
    </row>
    <row r="16843">
      <c r="A16843" t="inlineStr">
        <is>
          <t>3474636975976</t>
        </is>
      </c>
      <c r="B16843" t="inlineStr">
        <is>
          <t>L'Oreal Professionnel Shampoo with Resveratrol for Colored Hair Serie Expert Vitamino Colour 1.5L</t>
        </is>
      </c>
      <c r="C16843" t="inlineStr">
        <is>
          <t>Shampoo</t>
        </is>
      </c>
      <c r="D16843" t="inlineStr">
        <is>
          <t>L'Oréal Paris</t>
        </is>
      </c>
      <c r="E16843" t="n">
        <v>29.58</v>
      </c>
      <c r="F16843" t="n">
        <v>1</v>
      </c>
      <c r="G16843" t="n">
        <v>41</v>
      </c>
      <c r="H16843" s="5">
        <f>HYPERLINK("https://api.qogita.com/variants/link/3474636975976/", "View Product")</f>
        <v/>
      </c>
    </row>
    <row r="16844">
      <c r="A16844" t="inlineStr">
        <is>
          <t>3474636977048</t>
        </is>
      </c>
      <c r="B16844" t="inlineStr">
        <is>
          <t>Redken Color Extend Blondage Conditioner Color Depositing Conditioner</t>
        </is>
      </c>
      <c r="C16844" t="inlineStr">
        <is>
          <t>Conditioner</t>
        </is>
      </c>
      <c r="D16844" t="inlineStr">
        <is>
          <t>Redken</t>
        </is>
      </c>
      <c r="E16844" t="n">
        <v>21.17</v>
      </c>
      <c r="F16844" t="n">
        <v>1</v>
      </c>
      <c r="G16844" t="n">
        <v>2</v>
      </c>
      <c r="H16844" s="5">
        <f>HYPERLINK("https://api.qogita.com/variants/link/3474636977048/", "View Product")</f>
        <v/>
      </c>
    </row>
    <row r="16845">
      <c r="A16845" t="inlineStr">
        <is>
          <t>3474636980284</t>
        </is>
      </c>
      <c r="B16845" t="inlineStr">
        <is>
          <t>Genesis Bain Nutri-Fortifiant Nourishing And Strengthening Shampoo Against Hair Loss - 500ml</t>
        </is>
      </c>
      <c r="C16845" t="inlineStr">
        <is>
          <t>Shampoo</t>
        </is>
      </c>
      <c r="D16845" t="inlineStr">
        <is>
          <t>Genesis</t>
        </is>
      </c>
      <c r="E16845" t="n">
        <v>45.04</v>
      </c>
      <c r="F16845" t="n">
        <v>1</v>
      </c>
      <c r="G16845" t="n">
        <v>7</v>
      </c>
      <c r="H16845" s="5">
        <f>HYPERLINK("https://api.qogita.com/variants/link/3474636980284/", "View Product")</f>
        <v/>
      </c>
    </row>
    <row r="16846">
      <c r="A16846" t="inlineStr">
        <is>
          <t>3474637068578</t>
        </is>
      </c>
      <c r="B16846" t="inlineStr">
        <is>
          <t>Matrix Styling Height Riser Hair Powder 7g</t>
        </is>
      </c>
      <c r="C16846" t="inlineStr">
        <is>
          <t>Volume Powder</t>
        </is>
      </c>
      <c r="D16846" t="inlineStr">
        <is>
          <t>Matrix</t>
        </is>
      </c>
      <c r="E16846" t="n">
        <v>12.83</v>
      </c>
      <c r="F16846" t="n">
        <v>1</v>
      </c>
      <c r="G16846" t="n">
        <v>32</v>
      </c>
      <c r="H16846" s="5">
        <f>HYPERLINK("https://api.qogita.com/variants/link/3474637068578/", "View Product")</f>
        <v/>
      </c>
    </row>
    <row r="16847">
      <c r="A16847" t="inlineStr">
        <is>
          <t>3474637068592</t>
        </is>
      </c>
      <c r="B16847" t="inlineStr">
        <is>
          <t>Matrix Total Results Insta Cure Antibreakage Conditioner 1000ml</t>
        </is>
      </c>
      <c r="C16847" t="inlineStr">
        <is>
          <t>Conditioner</t>
        </is>
      </c>
      <c r="D16847" t="inlineStr">
        <is>
          <t>Matrix</t>
        </is>
      </c>
      <c r="E16847" t="n">
        <v>23.04</v>
      </c>
      <c r="F16847" t="n">
        <v>1</v>
      </c>
      <c r="G16847" t="n">
        <v>4</v>
      </c>
      <c r="H16847" s="5">
        <f>HYPERLINK("https://api.qogita.com/variants/link/3474637068592/", "View Product")</f>
        <v/>
      </c>
    </row>
    <row r="16848">
      <c r="A16848" t="inlineStr">
        <is>
          <t>3474637069124</t>
        </is>
      </c>
      <c r="B16848" t="inlineStr">
        <is>
          <t>L'Oral Professionnel Curl Expression Leave In 200ml Professional Cream For Curls</t>
        </is>
      </c>
      <c r="C16848" t="inlineStr">
        <is>
          <t>Leave-In Conditioner</t>
        </is>
      </c>
      <c r="D16848" t="inlineStr">
        <is>
          <t>L'Oréal Professionnel</t>
        </is>
      </c>
      <c r="E16848" t="n">
        <v>12.62</v>
      </c>
      <c r="F16848" t="n">
        <v>1</v>
      </c>
      <c r="G16848" t="n">
        <v>5</v>
      </c>
      <c r="H16848" s="5">
        <f>HYPERLINK("https://api.qogita.com/variants/link/3474637069124/", "View Product")</f>
        <v/>
      </c>
    </row>
    <row r="16849">
      <c r="A16849" t="inlineStr">
        <is>
          <t>3474637069131</t>
        </is>
      </c>
      <c r="B16849" t="inlineStr">
        <is>
          <t>L'Oréal Serie Expert Curl Expression 10-in-1 Cream-in-Mousse 250ml</t>
        </is>
      </c>
      <c r="C16849" t="inlineStr">
        <is>
          <t>Mousse</t>
        </is>
      </c>
      <c r="D16849" t="inlineStr">
        <is>
          <t>L'Oréal Professionnel</t>
        </is>
      </c>
      <c r="E16849" t="n">
        <v>19.1</v>
      </c>
      <c r="F16849" t="n">
        <v>1</v>
      </c>
      <c r="G16849" t="n">
        <v>4</v>
      </c>
      <c r="H16849" s="5">
        <f>HYPERLINK("https://api.qogita.com/variants/link/3474637069131/", "View Product")</f>
        <v/>
      </c>
    </row>
    <row r="16850">
      <c r="A16850" t="inlineStr">
        <is>
          <t>3474637069148</t>
        </is>
      </c>
      <c r="B16850" t="inlineStr">
        <is>
          <t>L'Oral Professionnel Curl Expression Drying Accelerator 150 Ml For Curly And Wavy Hair</t>
        </is>
      </c>
      <c r="C16850" t="inlineStr">
        <is>
          <t>Hair Care Sets</t>
        </is>
      </c>
      <c r="D16850" t="inlineStr">
        <is>
          <t>L'Oréal Professionnel</t>
        </is>
      </c>
      <c r="E16850" t="n">
        <v>14.02</v>
      </c>
      <c r="F16850" t="n">
        <v>1</v>
      </c>
      <c r="G16850" t="n">
        <v>3</v>
      </c>
      <c r="H16850" s="5">
        <f>HYPERLINK("https://api.qogita.com/variants/link/3474637069148/", "View Product")</f>
        <v/>
      </c>
    </row>
    <row r="16851">
      <c r="A16851" t="inlineStr">
        <is>
          <t>3474637090500</t>
        </is>
      </c>
      <c r="B16851" t="inlineStr">
        <is>
          <t>L'Oral Professionnel Scalp Advanced Antidiscomfort Shampoo 500ml</t>
        </is>
      </c>
      <c r="C16851" t="inlineStr">
        <is>
          <t>Shampoo</t>
        </is>
      </c>
      <c r="D16851" t="inlineStr">
        <is>
          <t>L'Oréal Professionnel</t>
        </is>
      </c>
      <c r="E16851" t="n">
        <v>25.65</v>
      </c>
      <c r="F16851" t="n">
        <v>1</v>
      </c>
      <c r="G16851" t="n">
        <v>2</v>
      </c>
      <c r="H16851" s="5">
        <f>HYPERLINK("https://api.qogita.com/variants/link/3474637090500/", "View Product")</f>
        <v/>
      </c>
    </row>
    <row r="16852">
      <c r="A16852" t="inlineStr">
        <is>
          <t>3474637103590</t>
        </is>
      </c>
      <c r="B16852" t="inlineStr">
        <is>
          <t>Matrix Vavoom Freezing Spray Extra Full Volumizing Hair Spray 500ml</t>
        </is>
      </c>
      <c r="C16852" t="inlineStr">
        <is>
          <t>Hairspray</t>
        </is>
      </c>
      <c r="D16852" t="inlineStr">
        <is>
          <t>Matrix</t>
        </is>
      </c>
      <c r="E16852" t="n">
        <v>10.04</v>
      </c>
      <c r="F16852" t="n">
        <v>1</v>
      </c>
      <c r="G16852" t="n">
        <v>7</v>
      </c>
      <c r="H16852" s="5">
        <f>HYPERLINK("https://api.qogita.com/variants/link/3474637103590/", "View Product")</f>
        <v/>
      </c>
    </row>
    <row r="16853">
      <c r="A16853" t="inlineStr">
        <is>
          <t>3474637106386</t>
        </is>
      </c>
      <c r="B16853" t="inlineStr">
        <is>
          <t>L'Oreal Professionnel Serie Expert Serioxyl Advanced Shampoo 500ml</t>
        </is>
      </c>
      <c r="C16853" t="inlineStr">
        <is>
          <t>Shampoo</t>
        </is>
      </c>
      <c r="D16853" t="inlineStr">
        <is>
          <t>Lo'real Professionnel</t>
        </is>
      </c>
      <c r="E16853" t="n">
        <v>27.07</v>
      </c>
      <c r="F16853" t="n">
        <v>1</v>
      </c>
      <c r="G16853" t="n">
        <v>5</v>
      </c>
      <c r="H16853" s="5">
        <f>HYPERLINK("https://api.qogita.com/variants/link/3474637106386/", "View Product")</f>
        <v/>
      </c>
    </row>
    <row r="16854">
      <c r="A16854" t="inlineStr">
        <is>
          <t>3474637106393</t>
        </is>
      </c>
      <c r="B16854" t="inlineStr">
        <is>
          <t>L'Oral Professionnel Serioxyl Advanced Densifying Shampoo 300ml Ideal For Thinning Hair</t>
        </is>
      </c>
      <c r="C16854" t="inlineStr">
        <is>
          <t>Shampoo</t>
        </is>
      </c>
      <c r="D16854" t="inlineStr">
        <is>
          <t>L'Oréal Professionnel</t>
        </is>
      </c>
      <c r="E16854" t="n">
        <v>13.84</v>
      </c>
      <c r="F16854" t="n">
        <v>1</v>
      </c>
      <c r="G16854" t="n">
        <v>5</v>
      </c>
      <c r="H16854" s="5">
        <f>HYPERLINK("https://api.qogita.com/variants/link/3474637106393/", "View Product")</f>
        <v/>
      </c>
    </row>
    <row r="16855">
      <c r="A16855" t="inlineStr">
        <is>
          <t>3474637106416</t>
        </is>
      </c>
      <c r="B16855" t="inlineStr">
        <is>
          <t>Loreal Serie Expert Scalp Advanced Anti-Oiliness Dermo Purifier Shampoo 1500ml</t>
        </is>
      </c>
      <c r="C16855" t="inlineStr">
        <is>
          <t>Shampoo</t>
        </is>
      </c>
      <c r="D16855" t="inlineStr">
        <is>
          <t>L'Oréal</t>
        </is>
      </c>
      <c r="E16855" t="n">
        <v>34.36</v>
      </c>
      <c r="F16855" t="n">
        <v>1</v>
      </c>
      <c r="G16855" t="n">
        <v>23</v>
      </c>
      <c r="H16855" s="5">
        <f>HYPERLINK("https://api.qogita.com/variants/link/3474637106416/", "View Product")</f>
        <v/>
      </c>
    </row>
    <row r="16856">
      <c r="A16856" t="inlineStr">
        <is>
          <t>3474637106461</t>
        </is>
      </c>
      <c r="B16856" t="inlineStr">
        <is>
          <t>L'Oreal Professionnel Serie Expert Scalp Advanced Shampoo Cleansing Shampoo For Oily Scalp 300ml</t>
        </is>
      </c>
      <c r="C16856" t="inlineStr">
        <is>
          <t>Shampoo</t>
        </is>
      </c>
      <c r="D16856" t="inlineStr">
        <is>
          <t>Lo'real Professionnel</t>
        </is>
      </c>
      <c r="E16856" t="n">
        <v>18.69</v>
      </c>
      <c r="F16856" t="n">
        <v>1</v>
      </c>
      <c r="G16856" t="n">
        <v>17</v>
      </c>
      <c r="H16856" s="5">
        <f>HYPERLINK("https://api.qogita.com/variants/link/3474637106461/", "View Product")</f>
        <v/>
      </c>
    </row>
    <row r="16857">
      <c r="A16857" t="inlineStr">
        <is>
          <t>3474637109424</t>
        </is>
      </c>
      <c r="B16857" t="inlineStr">
        <is>
          <t>L'Oreal Professionnel Scalp Advanced Antidandruff Shampoo 1500ml</t>
        </is>
      </c>
      <c r="C16857" t="inlineStr">
        <is>
          <t>Shampoo</t>
        </is>
      </c>
      <c r="D16857" t="inlineStr">
        <is>
          <t>L'Oréal Professionnel</t>
        </is>
      </c>
      <c r="E16857" t="n">
        <v>32.94</v>
      </c>
      <c r="F16857" t="n">
        <v>1</v>
      </c>
      <c r="G16857" t="n">
        <v>5</v>
      </c>
      <c r="H16857" s="5">
        <f>HYPERLINK("https://api.qogita.com/variants/link/3474637109424/", "View Product")</f>
        <v/>
      </c>
    </row>
    <row r="16858">
      <c r="A16858" t="inlineStr">
        <is>
          <t>3474637116415</t>
        </is>
      </c>
      <c r="B16858" t="inlineStr">
        <is>
          <t>L'Oral Professionnel Steampod 4 Professional Steam Styler</t>
        </is>
      </c>
      <c r="C16858" t="inlineStr">
        <is>
          <t>Hair Straighteners</t>
        </is>
      </c>
      <c r="D16858" t="inlineStr">
        <is>
          <t>L'Oréal Professionnel</t>
        </is>
      </c>
      <c r="E16858" t="n">
        <v>392.06</v>
      </c>
      <c r="F16858" t="n">
        <v>1</v>
      </c>
      <c r="G16858" t="n">
        <v>12</v>
      </c>
      <c r="H16858" s="5">
        <f>HYPERLINK("https://api.qogita.com/variants/link/3474637116415/", "View Product")</f>
        <v/>
      </c>
    </row>
    <row r="16859">
      <c r="A16859" t="inlineStr">
        <is>
          <t>3474637121532</t>
        </is>
      </c>
      <c r="B16859" t="inlineStr">
        <is>
          <t>Biolage Bio Full Density Conditioner For Thinning Hair 200ml</t>
        </is>
      </c>
      <c r="C16859" t="inlineStr">
        <is>
          <t>Conditioner</t>
        </is>
      </c>
      <c r="D16859" t="inlineStr">
        <is>
          <t>Biolage</t>
        </is>
      </c>
      <c r="E16859" t="n">
        <v>13.29</v>
      </c>
      <c r="F16859" t="n">
        <v>1</v>
      </c>
      <c r="G16859" t="n">
        <v>8</v>
      </c>
      <c r="H16859" s="5">
        <f>HYPERLINK("https://api.qogita.com/variants/link/3474637121532/", "View Product")</f>
        <v/>
      </c>
    </row>
    <row r="16860">
      <c r="A16860" t="inlineStr">
        <is>
          <t>3474637124311</t>
        </is>
      </c>
      <c r="B16860" t="inlineStr">
        <is>
          <t>Redken Forceful 23 Super Strength Finishing Spray 400 Ml Strong Hold Hairspray</t>
        </is>
      </c>
      <c r="C16860" t="inlineStr">
        <is>
          <t>Hairspray</t>
        </is>
      </c>
      <c r="D16860" t="inlineStr">
        <is>
          <t>Redken</t>
        </is>
      </c>
      <c r="E16860" t="n">
        <v>20.11</v>
      </c>
      <c r="F16860" t="n">
        <v>1</v>
      </c>
      <c r="G16860" t="n">
        <v>3</v>
      </c>
      <c r="H16860" s="5">
        <f>HYPERLINK("https://api.qogita.com/variants/link/3474637124311/", "View Product")</f>
        <v/>
      </c>
    </row>
    <row r="16861">
      <c r="A16861" t="inlineStr">
        <is>
          <t>3474637135676</t>
        </is>
      </c>
      <c r="B16861" t="inlineStr">
        <is>
          <t>Redken All Soft Mega Curls Shampoo For Hair 300ml</t>
        </is>
      </c>
      <c r="C16861" t="inlineStr">
        <is>
          <t>Shampoo</t>
        </is>
      </c>
      <c r="D16861" t="inlineStr">
        <is>
          <t>Redken</t>
        </is>
      </c>
      <c r="E16861" t="n">
        <v>19.23</v>
      </c>
      <c r="F16861" t="n">
        <v>1</v>
      </c>
      <c r="G16861" t="n">
        <v>5</v>
      </c>
      <c r="H16861" s="5">
        <f>HYPERLINK("https://api.qogita.com/variants/link/3474637135676/", "View Product")</f>
        <v/>
      </c>
    </row>
    <row r="16862">
      <c r="A16862" t="inlineStr">
        <is>
          <t>3474637136383</t>
        </is>
      </c>
      <c r="B16862" t="inlineStr">
        <is>
          <t>Krastase Symbiose Detangling Soothing Cellular Conditioner 200ml</t>
        </is>
      </c>
      <c r="C16862" t="inlineStr">
        <is>
          <t>Conditioner</t>
        </is>
      </c>
      <c r="D16862" t="inlineStr">
        <is>
          <t>Kérastase</t>
        </is>
      </c>
      <c r="E16862" t="n">
        <v>33.46</v>
      </c>
      <c r="F16862" t="n">
        <v>1</v>
      </c>
      <c r="G16862" t="n">
        <v>5</v>
      </c>
      <c r="H16862" s="5">
        <f>HYPERLINK("https://api.qogita.com/variants/link/3474637136383/", "View Product")</f>
        <v/>
      </c>
    </row>
    <row r="16863">
      <c r="A16863" t="inlineStr">
        <is>
          <t>3474637152000</t>
        </is>
      </c>
      <c r="B16863" t="inlineStr">
        <is>
          <t>Redken Acidic Bonding Concentrate 5min Liquid Mask 250ml</t>
        </is>
      </c>
      <c r="C16863" t="inlineStr">
        <is>
          <t>Hair Masks</t>
        </is>
      </c>
      <c r="D16863" t="inlineStr">
        <is>
          <t>Redken</t>
        </is>
      </c>
      <c r="E16863" t="n">
        <v>35.13</v>
      </c>
      <c r="F16863" t="n">
        <v>1</v>
      </c>
      <c r="G16863" t="n">
        <v>8</v>
      </c>
      <c r="H16863" s="5">
        <f>HYPERLINK("https://api.qogita.com/variants/link/3474637152000/", "View Product")</f>
        <v/>
      </c>
    </row>
    <row r="16864">
      <c r="A16864" t="inlineStr">
        <is>
          <t>3474637153489</t>
        </is>
      </c>
      <c r="B16864" t="inlineStr">
        <is>
          <t>L'Oral Professionnel Absolut Repair Molecular Leavein Mask 100ml For Damaged Hair</t>
        </is>
      </c>
      <c r="C16864" t="inlineStr">
        <is>
          <t>Hair Masks</t>
        </is>
      </c>
      <c r="D16864" t="inlineStr">
        <is>
          <t>L'Oréal Professionnel</t>
        </is>
      </c>
      <c r="E16864" t="n">
        <v>23.29</v>
      </c>
      <c r="F16864" t="n">
        <v>1</v>
      </c>
      <c r="G16864" t="n">
        <v>10</v>
      </c>
      <c r="H16864" s="5">
        <f>HYPERLINK("https://api.qogita.com/variants/link/3474637153489/", "View Product")</f>
        <v/>
      </c>
    </row>
    <row r="16865">
      <c r="A16865" t="inlineStr">
        <is>
          <t>3474637155001</t>
        </is>
      </c>
      <c r="B16865" t="inlineStr">
        <is>
          <t>Krastase Nutritive Masquintense Riche 200ml Intense Thick Hair Mask</t>
        </is>
      </c>
      <c r="C16865" t="inlineStr">
        <is>
          <t>Hair Masks</t>
        </is>
      </c>
      <c r="D16865" t="inlineStr">
        <is>
          <t>Kérastase</t>
        </is>
      </c>
      <c r="E16865" t="n">
        <v>43.65</v>
      </c>
      <c r="F16865" t="n">
        <v>1</v>
      </c>
      <c r="G16865" t="n">
        <v>15</v>
      </c>
      <c r="H16865" s="5">
        <f>HYPERLINK("https://api.qogita.com/variants/link/3474637155001/", "View Product")</f>
        <v/>
      </c>
    </row>
    <row r="16866">
      <c r="A16866" t="inlineStr">
        <is>
          <t>3474637157906</t>
        </is>
      </c>
      <c r="B16866" t="inlineStr">
        <is>
          <t>Krastase Symbiose Bain Puret Antidandruff 500ml</t>
        </is>
      </c>
      <c r="C16866" t="inlineStr">
        <is>
          <t>Shampoo</t>
        </is>
      </c>
      <c r="D16866" t="inlineStr">
        <is>
          <t>Kérastase</t>
        </is>
      </c>
      <c r="E16866" t="n">
        <v>49.31</v>
      </c>
      <c r="F16866" t="n">
        <v>1</v>
      </c>
      <c r="G16866" t="n">
        <v>2</v>
      </c>
      <c r="H16866" s="5">
        <f>HYPERLINK("https://api.qogita.com/variants/link/3474637157906/", "View Product")</f>
        <v/>
      </c>
    </row>
    <row r="16867">
      <c r="A16867" t="inlineStr">
        <is>
          <t>3474637174170</t>
        </is>
      </c>
      <c r="B16867" t="inlineStr">
        <is>
          <t>Redken Acidic Color Gloss Leavein 190ml Heat Protective Treatment For Hair</t>
        </is>
      </c>
      <c r="C16867" t="inlineStr">
        <is>
          <t>Leave-In Conditioner</t>
        </is>
      </c>
      <c r="D16867" t="inlineStr">
        <is>
          <t>Redken</t>
        </is>
      </c>
      <c r="E16867" t="n">
        <v>28.54</v>
      </c>
      <c r="F16867" t="n">
        <v>1</v>
      </c>
      <c r="G16867" t="n">
        <v>3</v>
      </c>
      <c r="H16867" s="5">
        <f>HYPERLINK("https://api.qogita.com/variants/link/3474637174170/", "View Product")</f>
        <v/>
      </c>
    </row>
    <row r="16868">
      <c r="A16868" t="inlineStr">
        <is>
          <t>3474637196974</t>
        </is>
      </c>
      <c r="B16868" t="inlineStr">
        <is>
          <t>MX TR INSTACURE RP LV IN 190ML VE89</t>
        </is>
      </c>
      <c r="C16868" t="inlineStr">
        <is>
          <t>Acne</t>
        </is>
      </c>
      <c r="D16868" t="inlineStr">
        <is>
          <t>Matrix</t>
        </is>
      </c>
      <c r="E16868" t="n">
        <v>16</v>
      </c>
      <c r="F16868" t="n">
        <v>1</v>
      </c>
      <c r="G16868" t="n">
        <v>16</v>
      </c>
      <c r="H16868" s="5">
        <f>HYPERLINK("https://api.qogita.com/variants/link/3474637196974/", "View Product")</f>
        <v/>
      </c>
    </row>
    <row r="16869">
      <c r="A16869" t="inlineStr">
        <is>
          <t>3474637196981</t>
        </is>
      </c>
      <c r="B16869" t="inlineStr">
        <is>
          <t>Redken Beach Spray Texturizing Hair Spray 150 Ml</t>
        </is>
      </c>
      <c r="C16869" t="inlineStr">
        <is>
          <t>Hairspray</t>
        </is>
      </c>
      <c r="D16869" t="inlineStr">
        <is>
          <t>Redken</t>
        </is>
      </c>
      <c r="E16869" t="n">
        <v>18.4</v>
      </c>
      <c r="F16869" t="n">
        <v>1</v>
      </c>
      <c r="G16869" t="n">
        <v>30</v>
      </c>
      <c r="H16869" s="5">
        <f>HYPERLINK("https://api.qogita.com/variants/link/3474637196981/", "View Product")</f>
        <v/>
      </c>
    </row>
    <row r="16870">
      <c r="A16870" t="inlineStr">
        <is>
          <t>3474637199708</t>
        </is>
      </c>
      <c r="B16870" t="inlineStr">
        <is>
          <t>L'Oral Professionnel Metal Detox Preshampoo Treatment 250ml</t>
        </is>
      </c>
      <c r="C16870" t="inlineStr">
        <is>
          <t>Shampoo</t>
        </is>
      </c>
      <c r="D16870" t="inlineStr">
        <is>
          <t>L'Oréal Professionnel</t>
        </is>
      </c>
      <c r="E16870" t="n">
        <v>21.01</v>
      </c>
      <c r="F16870" t="n">
        <v>1</v>
      </c>
      <c r="G16870" t="n">
        <v>6</v>
      </c>
      <c r="H16870" s="5">
        <f>HYPERLINK("https://api.qogita.com/variants/link/3474637199708/", "View Product")</f>
        <v/>
      </c>
    </row>
    <row r="16871">
      <c r="A16871" t="inlineStr">
        <is>
          <t>3474637206062</t>
        </is>
      </c>
      <c r="B16871" t="inlineStr">
        <is>
          <t>Matrix Total Results Mega Sleek Iron Smoother Leave-In Spray 250ml</t>
        </is>
      </c>
      <c r="C16871" t="inlineStr">
        <is>
          <t>Leave-In Conditioner</t>
        </is>
      </c>
      <c r="D16871" t="inlineStr">
        <is>
          <t>Matrix</t>
        </is>
      </c>
      <c r="E16871" t="n">
        <v>13.29</v>
      </c>
      <c r="F16871" t="n">
        <v>1</v>
      </c>
      <c r="G16871" t="n">
        <v>32</v>
      </c>
      <c r="H16871" s="5">
        <f>HYPERLINK("https://api.qogita.com/variants/link/3474637206062/", "View Product")</f>
        <v/>
      </c>
    </row>
    <row r="16872">
      <c r="A16872" t="inlineStr">
        <is>
          <t>3474637212582</t>
        </is>
      </c>
      <c r="B16872" t="inlineStr">
        <is>
          <t>Biolage Bond Therapy Intensive Treatment Preshampoo Care For Extremely Damaged Hair 150 Ml</t>
        </is>
      </c>
      <c r="C16872" t="inlineStr">
        <is>
          <t>Hair Masks</t>
        </is>
      </c>
      <c r="D16872" t="inlineStr">
        <is>
          <t>Biolage</t>
        </is>
      </c>
      <c r="E16872" t="n">
        <v>11.57</v>
      </c>
      <c r="F16872" t="n">
        <v>1</v>
      </c>
      <c r="G16872" t="n">
        <v>3</v>
      </c>
      <c r="H16872" s="5">
        <f>HYPERLINK("https://api.qogita.com/variants/link/3474637212582/", "View Product")</f>
        <v/>
      </c>
    </row>
    <row r="16873">
      <c r="A16873" t="inlineStr">
        <is>
          <t>3474637212605</t>
        </is>
      </c>
      <c r="B16873" t="inlineStr">
        <is>
          <t>BIOLAGE Bond Therapy Conditioner for Damaged and Over-Processed Hair 1000ml</t>
        </is>
      </c>
      <c r="C16873" t="inlineStr">
        <is>
          <t>Conditioner</t>
        </is>
      </c>
      <c r="D16873" t="inlineStr">
        <is>
          <t>Biolage</t>
        </is>
      </c>
      <c r="E16873" t="n">
        <v>26.03</v>
      </c>
      <c r="F16873" t="n">
        <v>1</v>
      </c>
      <c r="G16873" t="n">
        <v>5</v>
      </c>
      <c r="H16873" s="5">
        <f>HYPERLINK("https://api.qogita.com/variants/link/3474637212605/", "View Product")</f>
        <v/>
      </c>
    </row>
    <row r="16874">
      <c r="A16874" t="inlineStr">
        <is>
          <t>3474637240400</t>
        </is>
      </c>
      <c r="B16874" t="inlineStr">
        <is>
          <t>Kérastase Nutritive Fondant Gift Set for Dry Hair - Includes Bain Satin 250ml, Lait Vital 200ml, Lotion Thermique 150ml</t>
        </is>
      </c>
      <c r="C16874" t="inlineStr">
        <is>
          <t>Hair Care Sets</t>
        </is>
      </c>
      <c r="D16874" t="inlineStr">
        <is>
          <t>Kérastase</t>
        </is>
      </c>
      <c r="E16874" t="n">
        <v>87.12</v>
      </c>
      <c r="F16874" t="n">
        <v>1</v>
      </c>
      <c r="G16874" t="n">
        <v>23</v>
      </c>
      <c r="H16874" s="5">
        <f>HYPERLINK("https://api.qogita.com/variants/link/3474637240400/", "View Product")</f>
        <v/>
      </c>
    </row>
    <row r="16875">
      <c r="A16875" t="inlineStr">
        <is>
          <t>3474637244392</t>
        </is>
      </c>
      <c r="B16875" t="inlineStr">
        <is>
          <t>Biolage Leave-in Serum for All Hair Types - Absorbs Excess Oil with Fermented Tea 200ml</t>
        </is>
      </c>
      <c r="C16875" t="inlineStr">
        <is>
          <t>Hair Oil &amp; Hair Serum</t>
        </is>
      </c>
      <c r="D16875" t="inlineStr">
        <is>
          <t>Biolage</t>
        </is>
      </c>
      <c r="E16875" t="n">
        <v>15.26</v>
      </c>
      <c r="F16875" t="n">
        <v>1</v>
      </c>
      <c r="G16875" t="n">
        <v>2</v>
      </c>
      <c r="H16875" s="5">
        <f>HYPERLINK("https://api.qogita.com/variants/link/3474637244392/", "View Product")</f>
        <v/>
      </c>
    </row>
    <row r="16876">
      <c r="A16876" t="inlineStr">
        <is>
          <t>3474637244415</t>
        </is>
      </c>
      <c r="B16876" t="inlineStr">
        <is>
          <t>Biolage Scalp Sync Clarifying Shampoo 250ml</t>
        </is>
      </c>
      <c r="C16876" t="inlineStr">
        <is>
          <t>Shampoo</t>
        </is>
      </c>
      <c r="D16876" t="inlineStr">
        <is>
          <t>Biolage</t>
        </is>
      </c>
      <c r="E16876" t="n">
        <v>13.1</v>
      </c>
      <c r="F16876" t="n">
        <v>1</v>
      </c>
      <c r="G16876" t="n">
        <v>10</v>
      </c>
      <c r="H16876" s="5">
        <f>HYPERLINK("https://api.qogita.com/variants/link/3474637244415/", "View Product")</f>
        <v/>
      </c>
    </row>
    <row r="16877">
      <c r="A16877" t="inlineStr">
        <is>
          <t>3474637247478</t>
        </is>
      </c>
      <c r="B16877" t="inlineStr">
        <is>
          <t>L'Oreal Professionnel Multifunctional Professional Iron Steampod Utopia</t>
        </is>
      </c>
      <c r="C16877" t="inlineStr">
        <is>
          <t>Hair Straighteners</t>
        </is>
      </c>
      <c r="D16877" t="inlineStr">
        <is>
          <t>Lo'real Professionnel</t>
        </is>
      </c>
      <c r="E16877" t="n">
        <v>401.03</v>
      </c>
      <c r="F16877" t="n">
        <v>1</v>
      </c>
      <c r="G16877" t="n">
        <v>2</v>
      </c>
      <c r="H16877" s="5">
        <f>HYPERLINK("https://api.qogita.com/variants/link/3474637247478/", "View Product")</f>
        <v/>
      </c>
    </row>
    <row r="16878">
      <c r="A16878" t="inlineStr">
        <is>
          <t>3474637258016</t>
        </is>
      </c>
      <c r="B16878" t="inlineStr">
        <is>
          <t>Matrix Glow Mania Glow Gatekeeper Leave-In Conditioner 250 Ml</t>
        </is>
      </c>
      <c r="C16878" t="inlineStr">
        <is>
          <t>Leave-In Conditioner</t>
        </is>
      </c>
      <c r="D16878" t="inlineStr">
        <is>
          <t>Matrix</t>
        </is>
      </c>
      <c r="E16878" t="n">
        <v>13.95</v>
      </c>
      <c r="F16878" t="n">
        <v>1</v>
      </c>
      <c r="G16878" t="n">
        <v>5</v>
      </c>
      <c r="H16878" s="5">
        <f>HYPERLINK("https://api.qogita.com/variants/link/3474637258016/", "View Product")</f>
        <v/>
      </c>
    </row>
    <row r="16879">
      <c r="A16879" t="inlineStr">
        <is>
          <t>3474637268008</t>
        </is>
      </c>
      <c r="B16879" t="inlineStr">
        <is>
          <t>Biolage Nourishing Conditioner for Dry and Damaged Hair</t>
        </is>
      </c>
      <c r="C16879" t="inlineStr">
        <is>
          <t>Conditioner</t>
        </is>
      </c>
      <c r="D16879" t="inlineStr">
        <is>
          <t>Biolage</t>
        </is>
      </c>
      <c r="E16879" t="n">
        <v>17.16</v>
      </c>
      <c r="F16879" t="n">
        <v>1</v>
      </c>
      <c r="G16879" t="n">
        <v>3</v>
      </c>
      <c r="H16879" s="5">
        <f>HYPERLINK("https://api.qogita.com/variants/link/3474637268008/", "View Product")</f>
        <v/>
      </c>
    </row>
    <row r="16880">
      <c r="A16880" t="inlineStr">
        <is>
          <t>3474637268039</t>
        </is>
      </c>
      <c r="B16880" t="inlineStr">
        <is>
          <t>Biolage Soothing Shampoo for Dry and Sensitive Scalp - Suitable for All Skin Types</t>
        </is>
      </c>
      <c r="C16880" t="inlineStr">
        <is>
          <t>Shampoo</t>
        </is>
      </c>
      <c r="D16880" t="inlineStr">
        <is>
          <t>Biolage</t>
        </is>
      </c>
      <c r="E16880" t="n">
        <v>21.1</v>
      </c>
      <c r="F16880" t="n">
        <v>1</v>
      </c>
      <c r="G16880" t="n">
        <v>5</v>
      </c>
      <c r="H16880" s="5">
        <f>HYPERLINK("https://api.qogita.com/variants/link/3474637268039/", "View Product")</f>
        <v/>
      </c>
    </row>
    <row r="16881">
      <c r="A16881" t="inlineStr">
        <is>
          <t>3474637268206</t>
        </is>
      </c>
      <c r="B16881" t="inlineStr">
        <is>
          <t>L'Oreal Professionnel Neutralizing Shampoo For Brown Hair Vitamino Color Spectrum Green Dyes</t>
        </is>
      </c>
      <c r="C16881" t="inlineStr">
        <is>
          <t>Shampoo</t>
        </is>
      </c>
      <c r="D16881" t="inlineStr">
        <is>
          <t>Lo'real Professionnel</t>
        </is>
      </c>
      <c r="E16881" t="n">
        <v>22.12</v>
      </c>
      <c r="F16881" t="n">
        <v>1</v>
      </c>
      <c r="G16881" t="n">
        <v>14</v>
      </c>
      <c r="H16881" s="5">
        <f>HYPERLINK("https://api.qogita.com/variants/link/3474637268206/", "View Product")</f>
        <v/>
      </c>
    </row>
    <row r="16882">
      <c r="A16882" t="inlineStr">
        <is>
          <t>3474637268459</t>
        </is>
      </c>
      <c r="B16882" t="inlineStr">
        <is>
          <t>L'Oreal Professionnel Vitamino Color Spectrum Mask For Colored Hair - Professional Hair Care</t>
        </is>
      </c>
      <c r="C16882" t="inlineStr">
        <is>
          <t>Hair Masks</t>
        </is>
      </c>
      <c r="D16882" t="inlineStr">
        <is>
          <t>Lo'real Professionnel</t>
        </is>
      </c>
      <c r="E16882" t="n">
        <v>26.36</v>
      </c>
      <c r="F16882" t="n">
        <v>1</v>
      </c>
      <c r="G16882" t="n">
        <v>8</v>
      </c>
      <c r="H16882" s="5">
        <f>HYPERLINK("https://api.qogita.com/variants/link/3474637268459/", "View Product")</f>
        <v/>
      </c>
    </row>
    <row r="16883">
      <c r="A16883" t="inlineStr">
        <is>
          <t>3474637270018</t>
        </is>
      </c>
      <c r="B16883" t="inlineStr">
        <is>
          <t>L'Oreal Professionnel Vitamino Color Spectrum Shampoo For Colored Hair</t>
        </is>
      </c>
      <c r="C16883" t="inlineStr">
        <is>
          <t>Shampoo</t>
        </is>
      </c>
      <c r="D16883" t="inlineStr">
        <is>
          <t>Lo'real Professionnel</t>
        </is>
      </c>
      <c r="E16883" t="n">
        <v>29.14</v>
      </c>
      <c r="F16883" t="n">
        <v>1</v>
      </c>
      <c r="G16883" t="n">
        <v>6</v>
      </c>
      <c r="H16883" s="5">
        <f>HYPERLINK("https://api.qogita.com/variants/link/3474637270018/", "View Product")</f>
        <v/>
      </c>
    </row>
    <row r="16884">
      <c r="A16884" t="inlineStr">
        <is>
          <t>3474637285722</t>
        </is>
      </c>
      <c r="B16884" t="inlineStr">
        <is>
          <t>L'Oral Professionnel Absolut Repair Molecular Mini Trio</t>
        </is>
      </c>
      <c r="C16884" t="inlineStr">
        <is>
          <t>Hair Care Sets</t>
        </is>
      </c>
      <c r="D16884" t="inlineStr">
        <is>
          <t>L'Oréal Professionnel</t>
        </is>
      </c>
      <c r="E16884" t="n">
        <v>35.5</v>
      </c>
      <c r="F16884" t="n">
        <v>1</v>
      </c>
      <c r="G16884" t="n">
        <v>5</v>
      </c>
      <c r="H16884" s="5">
        <f>HYPERLINK("https://api.qogita.com/variants/link/3474637285722/", "View Product")</f>
        <v/>
      </c>
    </row>
    <row r="16885">
      <c r="A16885" t="inlineStr">
        <is>
          <t>3474637285753</t>
        </is>
      </c>
      <c r="B16885" t="inlineStr">
        <is>
          <t>L'Oreal Professionnel Molecular Mini Duo Kit Hair Care Gift Set</t>
        </is>
      </c>
      <c r="C16885" t="inlineStr">
        <is>
          <t>Hair Care Sets</t>
        </is>
      </c>
      <c r="D16885" t="inlineStr">
        <is>
          <t>Lo'real Professionnel</t>
        </is>
      </c>
      <c r="E16885" t="n">
        <v>22.88</v>
      </c>
      <c r="F16885" t="n">
        <v>1</v>
      </c>
      <c r="G16885" t="n">
        <v>2</v>
      </c>
      <c r="H16885" s="5">
        <f>HYPERLINK("https://api.qogita.com/variants/link/3474637285753/", "View Product")</f>
        <v/>
      </c>
    </row>
    <row r="16886">
      <c r="A16886" t="inlineStr">
        <is>
          <t>3474637286545</t>
        </is>
      </c>
      <c r="B16886" t="inlineStr">
        <is>
          <t>Redken Nourishing Shampoo for Cleansing and Color Protection for Colored Hair</t>
        </is>
      </c>
      <c r="C16886" t="inlineStr">
        <is>
          <t>Shampoo</t>
        </is>
      </c>
      <c r="D16886" t="inlineStr">
        <is>
          <t>Redken</t>
        </is>
      </c>
      <c r="E16886" t="n">
        <v>28.77</v>
      </c>
      <c r="F16886" t="n">
        <v>1</v>
      </c>
      <c r="G16886" t="n">
        <v>5</v>
      </c>
      <c r="H16886" s="5">
        <f>HYPERLINK("https://api.qogita.com/variants/link/3474637286545/", "View Product")</f>
        <v/>
      </c>
    </row>
    <row r="16887">
      <c r="A16887" t="inlineStr">
        <is>
          <t>3474637292560</t>
        </is>
      </c>
      <c r="B16887" t="inlineStr">
        <is>
          <t>L'Oreal Professionnel Deep Conditioner for Color Brilliance and Strengthening</t>
        </is>
      </c>
      <c r="C16887" t="inlineStr">
        <is>
          <t>Conditioner</t>
        </is>
      </c>
      <c r="D16887" t="inlineStr">
        <is>
          <t>Lo'real Professionnel</t>
        </is>
      </c>
      <c r="E16887" t="n">
        <v>16.8</v>
      </c>
      <c r="F16887" t="n">
        <v>1</v>
      </c>
      <c r="G16887" t="n">
        <v>5</v>
      </c>
      <c r="H16887" s="5">
        <f>HYPERLINK("https://api.qogita.com/variants/link/3474637292560/", "View Product")</f>
        <v/>
      </c>
    </row>
    <row r="16888">
      <c r="A16888" t="inlineStr">
        <is>
          <t>3494802020033</t>
        </is>
      </c>
      <c r="B16888" t="inlineStr">
        <is>
          <t>My Dynastie Princess by Princesse Marina de Bourbon for Women 3.4 oz EDP Spray</t>
        </is>
      </c>
      <c r="C16888" t="inlineStr">
        <is>
          <t>Eau De Parfum</t>
        </is>
      </c>
      <c r="D16888" t="inlineStr">
        <is>
          <t>Marina De Bourbon</t>
        </is>
      </c>
      <c r="E16888" t="n">
        <v>37.85</v>
      </c>
      <c r="F16888" t="n">
        <v>1</v>
      </c>
      <c r="G16888" t="n">
        <v>5</v>
      </c>
      <c r="H16888" s="5">
        <f>HYPERLINK("https://api.qogita.com/variants/link/3494802020033/", "View Product")</f>
        <v/>
      </c>
    </row>
    <row r="16889">
      <c r="A16889" t="inlineStr">
        <is>
          <t>3495080222058</t>
        </is>
      </c>
      <c r="B16889" t="inlineStr">
        <is>
          <t>Alyssa Ashley EDP Ambre Rouge Unisex Perfume 50ml</t>
        </is>
      </c>
      <c r="C16889" t="inlineStr">
        <is>
          <t>Eau De Parfum</t>
        </is>
      </c>
      <c r="D16889" t="inlineStr">
        <is>
          <t>Alyssa Ashley</t>
        </is>
      </c>
      <c r="E16889" t="n">
        <v>21.14</v>
      </c>
      <c r="F16889" t="n">
        <v>1</v>
      </c>
      <c r="G16889" t="n">
        <v>2</v>
      </c>
      <c r="H16889" s="5">
        <f>HYPERLINK("https://api.qogita.com/variants/link/3495080222058/", "View Product")</f>
        <v/>
      </c>
    </row>
    <row r="16890">
      <c r="A16890" t="inlineStr">
        <is>
          <t>3495080312056</t>
        </is>
      </c>
      <c r="B16890" t="inlineStr">
        <is>
          <t>Alyssa Ashley Tonka Musk Eau De Parfum Spray 50ml</t>
        </is>
      </c>
      <c r="C16890" t="inlineStr">
        <is>
          <t>Eau De Parfum</t>
        </is>
      </c>
      <c r="D16890" t="inlineStr">
        <is>
          <t>Alyssa Ashley</t>
        </is>
      </c>
      <c r="E16890" t="n">
        <v>19.49</v>
      </c>
      <c r="F16890" t="n">
        <v>1</v>
      </c>
      <c r="G16890" t="n">
        <v>8</v>
      </c>
      <c r="H16890" s="5">
        <f>HYPERLINK("https://api.qogita.com/variants/link/3495080312056/", "View Product")</f>
        <v/>
      </c>
    </row>
    <row r="16891">
      <c r="A16891" t="inlineStr">
        <is>
          <t>3495080322031</t>
        </is>
      </c>
      <c r="B16891" t="inlineStr">
        <is>
          <t>Alyssa Ashley Rose Musk Eau De Parfum Spray 30ml</t>
        </is>
      </c>
      <c r="C16891" t="inlineStr">
        <is>
          <t>Eau De Parfum</t>
        </is>
      </c>
      <c r="D16891" t="inlineStr">
        <is>
          <t>Alyssa Ashley</t>
        </is>
      </c>
      <c r="E16891" t="n">
        <v>16.28</v>
      </c>
      <c r="F16891" t="n">
        <v>1</v>
      </c>
      <c r="G16891" t="n">
        <v>3</v>
      </c>
      <c r="H16891" s="5">
        <f>HYPERLINK("https://api.qogita.com/variants/link/3495080322031/", "View Product")</f>
        <v/>
      </c>
    </row>
    <row r="16892">
      <c r="A16892" t="inlineStr">
        <is>
          <t>3495080342053</t>
        </is>
      </c>
      <c r="B16892" t="inlineStr">
        <is>
          <t>Eau de Parfum Spray 50ml</t>
        </is>
      </c>
      <c r="C16892" t="inlineStr">
        <is>
          <t>Eau De Parfum</t>
        </is>
      </c>
      <c r="D16892" t="inlineStr">
        <is>
          <t>Alyssa Ashley</t>
        </is>
      </c>
      <c r="E16892" t="n">
        <v>20.62</v>
      </c>
      <c r="F16892" t="n">
        <v>1</v>
      </c>
      <c r="G16892" t="n">
        <v>2</v>
      </c>
      <c r="H16892" s="5">
        <f>HYPERLINK("https://api.qogita.com/variants/link/3495080342053/", "View Product")</f>
        <v/>
      </c>
    </row>
    <row r="16893">
      <c r="A16893" t="inlineStr">
        <is>
          <t>3495080362051</t>
        </is>
      </c>
      <c r="B16893" t="inlineStr">
        <is>
          <t>Red Berry-Musk Eau de Parfum Natural Spray 50ml Unisex</t>
        </is>
      </c>
      <c r="C16893" t="inlineStr">
        <is>
          <t>Eau De Parfum</t>
        </is>
      </c>
      <c r="D16893" t="inlineStr">
        <is>
          <t>Alyssa Ashley</t>
        </is>
      </c>
      <c r="E16893" t="n">
        <v>22.99</v>
      </c>
      <c r="F16893" t="n">
        <v>1</v>
      </c>
      <c r="G16893" t="n">
        <v>5</v>
      </c>
      <c r="H16893" s="5">
        <f>HYPERLINK("https://api.qogita.com/variants/link/3495080362051/", "View Product")</f>
        <v/>
      </c>
    </row>
    <row r="16894">
      <c r="A16894" t="inlineStr">
        <is>
          <t>3495080382059</t>
        </is>
      </c>
      <c r="B16894" t="inlineStr">
        <is>
          <t>Unisex-Parfum Alyssa Ashley Oud Patchouli Edp 50 Ml</t>
        </is>
      </c>
      <c r="C16894" t="inlineStr">
        <is>
          <t>Eau De Parfum</t>
        </is>
      </c>
      <c r="D16894" t="inlineStr">
        <is>
          <t>Alyssa Ashley</t>
        </is>
      </c>
      <c r="E16894" t="n">
        <v>22.24</v>
      </c>
      <c r="F16894" t="n">
        <v>1</v>
      </c>
      <c r="G16894" t="n">
        <v>3</v>
      </c>
      <c r="H16894" s="5">
        <f>HYPERLINK("https://api.qogita.com/variants/link/3495080382059/", "View Product")</f>
        <v/>
      </c>
    </row>
    <row r="16895">
      <c r="A16895" t="inlineStr">
        <is>
          <t>3495080382103</t>
        </is>
      </c>
      <c r="B16895" t="inlineStr">
        <is>
          <t>Unisex-Parfum Alyssa Ashley Oud Patchouli Edp 100 Ml</t>
        </is>
      </c>
      <c r="C16895" t="inlineStr">
        <is>
          <t>Eau De Parfum</t>
        </is>
      </c>
      <c r="D16895" t="inlineStr">
        <is>
          <t>Alyssa Ashley</t>
        </is>
      </c>
      <c r="E16895" t="n">
        <v>36.24</v>
      </c>
      <c r="F16895" t="n">
        <v>1</v>
      </c>
      <c r="G16895" t="n">
        <v>2</v>
      </c>
      <c r="H16895" s="5">
        <f>HYPERLINK("https://api.qogita.com/variants/link/3495080382103/", "View Product")</f>
        <v/>
      </c>
    </row>
    <row r="16896">
      <c r="A16896" t="inlineStr">
        <is>
          <t>3495080735176</t>
        </is>
      </c>
      <c r="B16896" t="inlineStr">
        <is>
          <t>Alyssa Ashley MUSK Bubbling Bath and Shower Gel Limited Edition 750ml</t>
        </is>
      </c>
      <c r="C16896" t="inlineStr">
        <is>
          <t>Shower Gel</t>
        </is>
      </c>
      <c r="D16896" t="inlineStr">
        <is>
          <t>Alyssa Ashley</t>
        </is>
      </c>
      <c r="E16896" t="n">
        <v>9.140000000000001</v>
      </c>
      <c r="F16896" t="n">
        <v>1</v>
      </c>
      <c r="G16896" t="n">
        <v>8</v>
      </c>
      <c r="H16896" s="5">
        <f>HYPERLINK("https://api.qogita.com/variants/link/3495080735176/", "View Product")</f>
        <v/>
      </c>
    </row>
    <row r="16897">
      <c r="A16897" t="inlineStr">
        <is>
          <t>3495080785010</t>
        </is>
      </c>
      <c r="B16897" t="inlineStr">
        <is>
          <t>Coco Vanilla Perfumed Hand &amp; Body Moisturizer 100ml</t>
        </is>
      </c>
      <c r="C16897" t="inlineStr">
        <is>
          <t>Body Lotion</t>
        </is>
      </c>
      <c r="D16897" t="inlineStr">
        <is>
          <t>Alyssa Ashley</t>
        </is>
      </c>
      <c r="E16897" t="n">
        <v>1.95</v>
      </c>
      <c r="F16897" t="n">
        <v>1</v>
      </c>
      <c r="G16897" t="n">
        <v>3</v>
      </c>
      <c r="H16897" s="5">
        <f>HYPERLINK("https://api.qogita.com/variants/link/3495080785010/", "View Product")</f>
        <v/>
      </c>
    </row>
    <row r="16898">
      <c r="A16898" t="inlineStr">
        <is>
          <t>3499320009539</t>
        </is>
      </c>
      <c r="B16898" t="inlineStr">
        <is>
          <t>Cetaphil Sun Liposomal Sun Lotion SPF 50+ 100ml</t>
        </is>
      </c>
      <c r="C16898" t="inlineStr">
        <is>
          <t>Body Sun Protection</t>
        </is>
      </c>
      <c r="D16898" t="inlineStr">
        <is>
          <t>Cetaphil</t>
        </is>
      </c>
      <c r="E16898" t="n">
        <v>19.62</v>
      </c>
      <c r="F16898" t="n">
        <v>1</v>
      </c>
      <c r="G16898" t="n">
        <v>27</v>
      </c>
      <c r="H16898" s="5">
        <f>HYPERLINK("https://api.qogita.com/variants/link/3499320009539/", "View Product")</f>
        <v/>
      </c>
    </row>
    <row r="16899">
      <c r="A16899" t="inlineStr">
        <is>
          <t>3499320010238</t>
        </is>
      </c>
      <c r="B16899" t="inlineStr">
        <is>
          <t>Daylong Sunscreen Gel Fluid For Sensitive To Oily Skin Spf 50 50 Ml</t>
        </is>
      </c>
      <c r="C16899" t="inlineStr">
        <is>
          <t>Face Sun Protection</t>
        </is>
      </c>
      <c r="D16899" t="inlineStr">
        <is>
          <t>Daylong</t>
        </is>
      </c>
      <c r="E16899" t="n">
        <v>16.37</v>
      </c>
      <c r="F16899" t="n">
        <v>1</v>
      </c>
      <c r="G16899" t="n">
        <v>49</v>
      </c>
      <c r="H16899" s="5">
        <f>HYPERLINK("https://api.qogita.com/variants/link/3499320010238/", "View Product")</f>
        <v/>
      </c>
    </row>
    <row r="16900">
      <c r="A16900" t="inlineStr">
        <is>
          <t>3504105031572</t>
        </is>
      </c>
      <c r="B16900" t="inlineStr">
        <is>
          <t>Mustela Bb Stelatopia Emollient Cream 40ml Daily Skin Cream For Unisex</t>
        </is>
      </c>
      <c r="C16900" t="inlineStr">
        <is>
          <t>Baby Cream &amp; Oil</t>
        </is>
      </c>
      <c r="D16900" t="inlineStr">
        <is>
          <t>Mustela</t>
        </is>
      </c>
      <c r="E16900" t="n">
        <v>6.66</v>
      </c>
      <c r="F16900" t="n">
        <v>1</v>
      </c>
      <c r="G16900" t="n">
        <v>8</v>
      </c>
      <c r="H16900" s="5">
        <f>HYPERLINK("https://api.qogita.com/variants/link/3504105031572/", "View Product")</f>
        <v/>
      </c>
    </row>
    <row r="16901">
      <c r="A16901" t="inlineStr">
        <is>
          <t>3504105033347</t>
        </is>
      </c>
      <c r="B16901" t="inlineStr">
        <is>
          <t>Mustela Cica Cream 40ml</t>
        </is>
      </c>
      <c r="C16901" t="inlineStr">
        <is>
          <t>Baby Cream &amp; Oil</t>
        </is>
      </c>
      <c r="D16901" t="inlineStr">
        <is>
          <t>Mustela</t>
        </is>
      </c>
      <c r="E16901" t="n">
        <v>8.130000000000001</v>
      </c>
      <c r="F16901" t="n">
        <v>1</v>
      </c>
      <c r="G16901" t="n">
        <v>5</v>
      </c>
      <c r="H16901" s="5">
        <f>HYPERLINK("https://api.qogita.com/variants/link/3504105033347/", "View Product")</f>
        <v/>
      </c>
    </row>
    <row r="16902">
      <c r="A16902" t="inlineStr">
        <is>
          <t>3504105033637</t>
        </is>
      </c>
      <c r="B16902" t="inlineStr">
        <is>
          <t>Mustela Stelatopia Cleansing Gel 200ml</t>
        </is>
      </c>
      <c r="C16902" t="inlineStr">
        <is>
          <t>Baby Shower Gel &amp; Soap</t>
        </is>
      </c>
      <c r="D16902" t="inlineStr">
        <is>
          <t>Mustela</t>
        </is>
      </c>
      <c r="E16902" t="n">
        <v>8.19</v>
      </c>
      <c r="F16902" t="n">
        <v>1</v>
      </c>
      <c r="G16902" t="n">
        <v>3</v>
      </c>
      <c r="H16902" s="5">
        <f>HYPERLINK("https://api.qogita.com/variants/link/3504105033637/", "View Product")</f>
        <v/>
      </c>
    </row>
    <row r="16903">
      <c r="A16903" t="inlineStr">
        <is>
          <t>3504105034306</t>
        </is>
      </c>
      <c r="B16903" t="inlineStr">
        <is>
          <t>Mustela Bb Stelatopia Shower Oil 500 Ml For Extremely Dry And Atopic Skin</t>
        </is>
      </c>
      <c r="C16903" t="inlineStr">
        <is>
          <t>Baby Cream &amp; Oil</t>
        </is>
      </c>
      <c r="D16903" t="inlineStr">
        <is>
          <t>Mustela</t>
        </is>
      </c>
      <c r="E16903" t="n">
        <v>18.51</v>
      </c>
      <c r="F16903" t="n">
        <v>1</v>
      </c>
      <c r="G16903" t="n">
        <v>5</v>
      </c>
      <c r="H16903" s="5">
        <f>HYPERLINK("https://api.qogita.com/variants/link/3504105034306/", "View Product")</f>
        <v/>
      </c>
    </row>
    <row r="16904">
      <c r="A16904" t="inlineStr">
        <is>
          <t>3504105034405</t>
        </is>
      </c>
      <c r="B16904" t="inlineStr">
        <is>
          <t>Mustela Foam Shampoo For Newborns 150ml By Mustela</t>
        </is>
      </c>
      <c r="C16904" t="inlineStr">
        <is>
          <t>Children's Hair Cleaning</t>
        </is>
      </c>
      <c r="D16904" t="inlineStr">
        <is>
          <t>Mustela</t>
        </is>
      </c>
      <c r="E16904" t="n">
        <v>6.43</v>
      </c>
      <c r="F16904" t="n">
        <v>1</v>
      </c>
      <c r="G16904" t="n">
        <v>351</v>
      </c>
      <c r="H16904" s="5">
        <f>HYPERLINK("https://api.qogita.com/variants/link/3504105034405/", "View Product")</f>
        <v/>
      </c>
    </row>
    <row r="16905">
      <c r="A16905" t="inlineStr">
        <is>
          <t>3504105034481</t>
        </is>
      </c>
      <c r="B16905" t="inlineStr">
        <is>
          <t>Mustela Lactation Balm Bio 30ml Maternity Nursing Comfort Balm</t>
        </is>
      </c>
      <c r="C16905" t="inlineStr">
        <is>
          <t>Pregnancy</t>
        </is>
      </c>
      <c r="D16905" t="inlineStr">
        <is>
          <t>Mustela</t>
        </is>
      </c>
      <c r="E16905" t="n">
        <v>12.95</v>
      </c>
      <c r="F16905" t="n">
        <v>1</v>
      </c>
      <c r="G16905" t="n">
        <v>5</v>
      </c>
      <c r="H16905" s="5">
        <f>HYPERLINK("https://api.qogita.com/variants/link/3504105034481/", "View Product")</f>
        <v/>
      </c>
    </row>
    <row r="16906">
      <c r="A16906" t="inlineStr">
        <is>
          <t>3504105035518</t>
        </is>
      </c>
      <c r="B16906" t="inlineStr">
        <is>
          <t>Mustela Hydra Bb Body Lotion 750ml Mustela</t>
        </is>
      </c>
      <c r="C16906" t="inlineStr">
        <is>
          <t>Body Lotion</t>
        </is>
      </c>
      <c r="D16906" t="inlineStr">
        <is>
          <t>Mustela</t>
        </is>
      </c>
      <c r="E16906" t="n">
        <v>18.41</v>
      </c>
      <c r="F16906" t="n">
        <v>1</v>
      </c>
      <c r="G16906" t="n">
        <v>5</v>
      </c>
      <c r="H16906" s="5">
        <f>HYPERLINK("https://api.qogita.com/variants/link/3504105035518/", "View Product")</f>
        <v/>
      </c>
    </row>
    <row r="16907">
      <c r="A16907" t="inlineStr">
        <is>
          <t>3504105035990</t>
        </is>
      </c>
      <c r="B16907" t="inlineStr">
        <is>
          <t>Mustela Nourishing Cream with Cold Cream 40ml</t>
        </is>
      </c>
      <c r="C16907" t="inlineStr">
        <is>
          <t>Face Cream</t>
        </is>
      </c>
      <c r="D16907" t="inlineStr">
        <is>
          <t>Mustela</t>
        </is>
      </c>
      <c r="E16907" t="n">
        <v>7.07</v>
      </c>
      <c r="F16907" t="n">
        <v>1</v>
      </c>
      <c r="G16907" t="n">
        <v>20</v>
      </c>
      <c r="H16907" s="5">
        <f>HYPERLINK("https://api.qogita.com/variants/link/3504105035990/", "View Product")</f>
        <v/>
      </c>
    </row>
    <row r="16908">
      <c r="A16908" t="inlineStr">
        <is>
          <t>3504105037987</t>
        </is>
      </c>
      <c r="B16908" t="inlineStr">
        <is>
          <t>Mustela Bio Diaper Cream 75ml</t>
        </is>
      </c>
      <c r="C16908" t="inlineStr">
        <is>
          <t>Baby Cream &amp; Oil</t>
        </is>
      </c>
      <c r="D16908" t="inlineStr">
        <is>
          <t>Mustela</t>
        </is>
      </c>
      <c r="E16908" t="n">
        <v>10.05</v>
      </c>
      <c r="F16908" t="n">
        <v>1</v>
      </c>
      <c r="G16908" t="n">
        <v>5</v>
      </c>
      <c r="H16908" s="5">
        <f>HYPERLINK("https://api.qogita.com/variants/link/3504105037987/", "View Product")</f>
        <v/>
      </c>
    </row>
    <row r="16909">
      <c r="A16909" t="inlineStr">
        <is>
          <t>3508240003937</t>
        </is>
      </c>
      <c r="B16909" t="inlineStr">
        <is>
          <t>Lierac Lumilogie Eventone Brightening Mask Facial Mask</t>
        </is>
      </c>
      <c r="C16909" t="inlineStr">
        <is>
          <t>Glow Mask</t>
        </is>
      </c>
      <c r="D16909" t="inlineStr">
        <is>
          <t>Lierac</t>
        </is>
      </c>
      <c r="E16909" t="n">
        <v>10.44</v>
      </c>
      <c r="F16909" t="n">
        <v>1</v>
      </c>
      <c r="G16909" t="n">
        <v>2</v>
      </c>
      <c r="H16909" s="5">
        <f>HYPERLINK("https://api.qogita.com/variants/link/3508240003937/", "View Product")</f>
        <v/>
      </c>
    </row>
    <row r="16910">
      <c r="A16910" t="inlineStr">
        <is>
          <t>3508240006556</t>
        </is>
      </c>
      <c r="B16910" t="inlineStr">
        <is>
          <t>Lierac Sunissime Protective Milk Global Anti-Aging SPF30 150ml</t>
        </is>
      </c>
      <c r="C16910" t="inlineStr">
        <is>
          <t>Body Sun Protection</t>
        </is>
      </c>
      <c r="D16910" t="inlineStr">
        <is>
          <t>Lierac</t>
        </is>
      </c>
      <c r="E16910" t="n">
        <v>23.75</v>
      </c>
      <c r="F16910" t="n">
        <v>1</v>
      </c>
      <c r="G16910" t="n">
        <v>10</v>
      </c>
      <c r="H16910" s="5">
        <f>HYPERLINK("https://api.qogita.com/variants/link/3508240006556/", "View Product")</f>
        <v/>
      </c>
    </row>
    <row r="16911">
      <c r="A16911" t="inlineStr">
        <is>
          <t>3508240008253</t>
        </is>
      </c>
      <c r="B16911" t="inlineStr">
        <is>
          <t>Lierac Teint Perfect Skin Spf20 Light Illuminating Foundation 01 Beige Clair 30ml</t>
        </is>
      </c>
      <c r="C16911" t="inlineStr">
        <is>
          <t>Foundation</t>
        </is>
      </c>
      <c r="D16911" t="inlineStr">
        <is>
          <t>Lierac</t>
        </is>
      </c>
      <c r="E16911" t="n">
        <v>16.89</v>
      </c>
      <c r="F16911" t="n">
        <v>1</v>
      </c>
      <c r="G16911" t="n">
        <v>5</v>
      </c>
      <c r="H16911" s="5">
        <f>HYPERLINK("https://api.qogita.com/variants/link/3508240008253/", "View Product")</f>
        <v/>
      </c>
    </row>
    <row r="16912">
      <c r="A16912" t="inlineStr">
        <is>
          <t>3508240014087</t>
        </is>
      </c>
      <c r="B16912" t="inlineStr">
        <is>
          <t>Lierac Homme Shaving Foam 150 Ml</t>
        </is>
      </c>
      <c r="C16912" t="inlineStr">
        <is>
          <t>Shaving</t>
        </is>
      </c>
      <c r="D16912" t="inlineStr">
        <is>
          <t>Lierac</t>
        </is>
      </c>
      <c r="E16912" t="n">
        <v>7.89</v>
      </c>
      <c r="F16912" t="n">
        <v>1</v>
      </c>
      <c r="G16912" t="n">
        <v>21</v>
      </c>
      <c r="H16912" s="5">
        <f>HYPERLINK("https://api.qogita.com/variants/link/3508240014087/", "View Product")</f>
        <v/>
      </c>
    </row>
    <row r="16913">
      <c r="A16913" t="inlineStr">
        <is>
          <t>3508240014094</t>
        </is>
      </c>
      <c r="B16913" t="inlineStr">
        <is>
          <t>Lierac Homme Integral Shower Gel 200ml 3 In 1 Shower Gel For Men</t>
        </is>
      </c>
      <c r="C16913" t="inlineStr">
        <is>
          <t>Shower Gel</t>
        </is>
      </c>
      <c r="D16913" t="inlineStr">
        <is>
          <t>Lierac</t>
        </is>
      </c>
      <c r="E16913" t="n">
        <v>9.460000000000001</v>
      </c>
      <c r="F16913" t="n">
        <v>1</v>
      </c>
      <c r="G16913" t="n">
        <v>10</v>
      </c>
      <c r="H16913" s="5">
        <f>HYPERLINK("https://api.qogita.com/variants/link/3508240014094/", "View Product")</f>
        <v/>
      </c>
    </row>
    <row r="16914">
      <c r="A16914" t="inlineStr">
        <is>
          <t>3508440001344</t>
        </is>
      </c>
      <c r="B16914" t="inlineStr">
        <is>
          <t>Creed Centaurus Eau De Parfum 50 Ml</t>
        </is>
      </c>
      <c r="C16914" t="inlineStr">
        <is>
          <t>Eau De Parfum</t>
        </is>
      </c>
      <c r="D16914" t="inlineStr">
        <is>
          <t>Creed</t>
        </is>
      </c>
      <c r="E16914" t="n">
        <v>224.58</v>
      </c>
      <c r="F16914" t="n">
        <v>1</v>
      </c>
      <c r="G16914" t="n">
        <v>2</v>
      </c>
      <c r="H16914" s="5">
        <f>HYPERLINK("https://api.qogita.com/variants/link/3508440001344/", "View Product")</f>
        <v/>
      </c>
    </row>
    <row r="16915">
      <c r="A16915" t="inlineStr">
        <is>
          <t>3508440251435</t>
        </is>
      </c>
      <c r="B16915" t="inlineStr">
        <is>
          <t>Creed Carmina Eau De Parfum Spray 75ml</t>
        </is>
      </c>
      <c r="C16915" t="inlineStr">
        <is>
          <t>Eau De Parfum</t>
        </is>
      </c>
      <c r="D16915" t="inlineStr">
        <is>
          <t>Creed</t>
        </is>
      </c>
      <c r="E16915" t="n">
        <v>228.88</v>
      </c>
      <c r="F16915" t="n">
        <v>1</v>
      </c>
      <c r="G16915" t="n">
        <v>5</v>
      </c>
      <c r="H16915" s="5">
        <f>HYPERLINK("https://api.qogita.com/variants/link/3508440251435/", "View Product")</f>
        <v/>
      </c>
    </row>
    <row r="16916">
      <c r="A16916" t="inlineStr">
        <is>
          <t>3508440505095</t>
        </is>
      </c>
      <c r="B16916" t="inlineStr">
        <is>
          <t>Creed Original Vetiver Eau De Parfum Spray 50ml</t>
        </is>
      </c>
      <c r="C16916" t="inlineStr">
        <is>
          <t>Eau De Parfum</t>
        </is>
      </c>
      <c r="D16916" t="inlineStr">
        <is>
          <t>Creed</t>
        </is>
      </c>
      <c r="E16916" t="n">
        <v>273.42</v>
      </c>
      <c r="F16916" t="n">
        <v>1</v>
      </c>
      <c r="G16916" t="n">
        <v>3</v>
      </c>
      <c r="H16916" s="5">
        <f>HYPERLINK("https://api.qogita.com/variants/link/3508440505095/", "View Product")</f>
        <v/>
      </c>
    </row>
    <row r="16917">
      <c r="A16917" t="inlineStr">
        <is>
          <t>3508440505163</t>
        </is>
      </c>
      <c r="B16917" t="inlineStr">
        <is>
          <t>Creed Millesime Viking Eau De Parfum 50ml For Men</t>
        </is>
      </c>
      <c r="C16917" t="inlineStr">
        <is>
          <t>Eau De Parfum</t>
        </is>
      </c>
      <c r="D16917" t="inlineStr">
        <is>
          <t>Creed</t>
        </is>
      </c>
      <c r="E16917" t="n">
        <v>171.51</v>
      </c>
      <c r="F16917" t="n">
        <v>1</v>
      </c>
      <c r="G16917" t="n">
        <v>4</v>
      </c>
      <c r="H16917" s="5">
        <f>HYPERLINK("https://api.qogita.com/variants/link/3508440505163/", "View Product")</f>
        <v/>
      </c>
    </row>
    <row r="16918">
      <c r="A16918" t="inlineStr">
        <is>
          <t>3508440506856</t>
        </is>
      </c>
      <c r="B16918" t="inlineStr">
        <is>
          <t>Creed Wind Flowers Eau De Parfum</t>
        </is>
      </c>
      <c r="C16918" t="inlineStr">
        <is>
          <t>Eau De Parfum</t>
        </is>
      </c>
      <c r="D16918" t="inlineStr">
        <is>
          <t>Creed</t>
        </is>
      </c>
      <c r="E16918" t="n">
        <v>197.06</v>
      </c>
      <c r="F16918" t="n">
        <v>1</v>
      </c>
      <c r="G16918" t="n">
        <v>4</v>
      </c>
      <c r="H16918" s="5">
        <f>HYPERLINK("https://api.qogita.com/variants/link/3508440506856/", "View Product")</f>
        <v/>
      </c>
    </row>
    <row r="16919">
      <c r="A16919" t="inlineStr">
        <is>
          <t>3508441001015</t>
        </is>
      </c>
      <c r="B16919" t="inlineStr">
        <is>
          <t>Creed Erolfa Eau De Parfum For Men 100 Ml</t>
        </is>
      </c>
      <c r="C16919" t="inlineStr">
        <is>
          <t>Eau De Parfum</t>
        </is>
      </c>
      <c r="D16919" t="inlineStr">
        <is>
          <t>Creed</t>
        </is>
      </c>
      <c r="E16919" t="n">
        <v>199.88</v>
      </c>
      <c r="F16919" t="n">
        <v>1</v>
      </c>
      <c r="G16919" t="n">
        <v>6</v>
      </c>
      <c r="H16919" s="5">
        <f>HYPERLINK("https://api.qogita.com/variants/link/3508441001015/", "View Product")</f>
        <v/>
      </c>
    </row>
    <row r="16920">
      <c r="A16920" t="inlineStr">
        <is>
          <t>3508441001046</t>
        </is>
      </c>
      <c r="B16920" t="inlineStr">
        <is>
          <t>Creed Neroli Sauvage Eau De Parfum 0.15kg</t>
        </is>
      </c>
      <c r="C16920" t="inlineStr">
        <is>
          <t>Eau De Parfum</t>
        </is>
      </c>
      <c r="D16920" t="inlineStr">
        <is>
          <t>Creed</t>
        </is>
      </c>
      <c r="E16920" t="n">
        <v>180.26</v>
      </c>
      <c r="F16920" t="n">
        <v>1</v>
      </c>
      <c r="G16920" t="n">
        <v>4</v>
      </c>
      <c r="H16920" s="5">
        <f>HYPERLINK("https://api.qogita.com/variants/link/3508441001046/", "View Product")</f>
        <v/>
      </c>
    </row>
    <row r="16921">
      <c r="A16921" t="inlineStr">
        <is>
          <t>3508441001060</t>
        </is>
      </c>
      <c r="B16921" t="inlineStr">
        <is>
          <t>Creed Royal Water Eau De Parfum Spray 100ml</t>
        </is>
      </c>
      <c r="C16921" t="inlineStr">
        <is>
          <t>Eau De Parfum</t>
        </is>
      </c>
      <c r="D16921" t="inlineStr">
        <is>
          <t>Creed</t>
        </is>
      </c>
      <c r="E16921" t="n">
        <v>179.55</v>
      </c>
      <c r="F16921" t="n">
        <v>1</v>
      </c>
      <c r="G16921" t="n">
        <v>5</v>
      </c>
      <c r="H16921" s="5">
        <f>HYPERLINK("https://api.qogita.com/variants/link/3508441001060/", "View Product")</f>
        <v/>
      </c>
    </row>
    <row r="16922">
      <c r="A16922" t="inlineStr">
        <is>
          <t>3508441001084</t>
        </is>
      </c>
      <c r="B16922" t="inlineStr">
        <is>
          <t>Creed Millesime For Men Himalaya Eau De Parfum Spray 100ml</t>
        </is>
      </c>
      <c r="C16922" t="inlineStr">
        <is>
          <t>Eau De Parfum</t>
        </is>
      </c>
      <c r="D16922" t="inlineStr">
        <is>
          <t>Creed</t>
        </is>
      </c>
      <c r="E16922" t="n">
        <v>202.07</v>
      </c>
      <c r="F16922" t="n">
        <v>1</v>
      </c>
      <c r="G16922" t="n">
        <v>5</v>
      </c>
      <c r="H16922" s="5">
        <f>HYPERLINK("https://api.qogita.com/variants/link/3508441001084/", "View Product")</f>
        <v/>
      </c>
    </row>
    <row r="16923">
      <c r="A16923" t="inlineStr">
        <is>
          <t>3508441001169</t>
        </is>
      </c>
      <c r="B16923" t="inlineStr">
        <is>
          <t>Creed Viking Eau De Parfum Spray 100ml</t>
        </is>
      </c>
      <c r="C16923" t="inlineStr">
        <is>
          <t>Eau De Parfum</t>
        </is>
      </c>
      <c r="D16923" t="inlineStr">
        <is>
          <t>Creed</t>
        </is>
      </c>
      <c r="E16923" t="n">
        <v>239.97</v>
      </c>
      <c r="F16923" t="n">
        <v>1</v>
      </c>
      <c r="G16923" t="n">
        <v>2</v>
      </c>
      <c r="H16923" s="5">
        <f>HYPERLINK("https://api.qogita.com/variants/link/3508441001169/", "View Product")</f>
        <v/>
      </c>
    </row>
    <row r="16924">
      <c r="A16924" t="inlineStr">
        <is>
          <t>3508441001268</t>
        </is>
      </c>
      <c r="B16924" t="inlineStr">
        <is>
          <t>Creed Aventus Cologne Eau De Parfum Spray 50ml</t>
        </is>
      </c>
      <c r="C16924" t="inlineStr">
        <is>
          <t>Eau De Parfum</t>
        </is>
      </c>
      <c r="D16924" t="inlineStr">
        <is>
          <t>Creed</t>
        </is>
      </c>
      <c r="E16924" t="n">
        <v>170.15</v>
      </c>
      <c r="F16924" t="n">
        <v>1</v>
      </c>
      <c r="G16924" t="n">
        <v>8</v>
      </c>
      <c r="H16924" s="5">
        <f>HYPERLINK("https://api.qogita.com/variants/link/3508441001268/", "View Product")</f>
        <v/>
      </c>
    </row>
    <row r="16925">
      <c r="A16925" t="inlineStr">
        <is>
          <t>3508441001275</t>
        </is>
      </c>
      <c r="B16925" t="inlineStr">
        <is>
          <t>Creed Aventus Cologne 100 Ml Eau De Parfum</t>
        </is>
      </c>
      <c r="C16925" t="inlineStr">
        <is>
          <t>Eau De Parfum</t>
        </is>
      </c>
      <c r="D16925" t="inlineStr">
        <is>
          <t>Creed</t>
        </is>
      </c>
      <c r="E16925" t="n">
        <v>216.11</v>
      </c>
      <c r="F16925" t="n">
        <v>1</v>
      </c>
      <c r="G16925" t="n">
        <v>6</v>
      </c>
      <c r="H16925" s="5">
        <f>HYPERLINK("https://api.qogita.com/variants/link/3508441001275/", "View Product")</f>
        <v/>
      </c>
    </row>
    <row r="16926">
      <c r="A16926" t="inlineStr">
        <is>
          <t>3508441001381</t>
        </is>
      </c>
      <c r="B16926" t="inlineStr">
        <is>
          <t>Creed Viking Cologne Eau De Parfum Spray 100ml</t>
        </is>
      </c>
      <c r="C16926" t="inlineStr">
        <is>
          <t>Eau De Parfum</t>
        </is>
      </c>
      <c r="D16926" t="inlineStr">
        <is>
          <t>Creed</t>
        </is>
      </c>
      <c r="E16926" t="n">
        <v>167.57</v>
      </c>
      <c r="F16926" t="n">
        <v>1</v>
      </c>
      <c r="G16926" t="n">
        <v>5</v>
      </c>
      <c r="H16926" s="5">
        <f>HYPERLINK("https://api.qogita.com/variants/link/3508441001381/", "View Product")</f>
        <v/>
      </c>
    </row>
    <row r="16927">
      <c r="A16927" t="inlineStr">
        <is>
          <t>3508441103665</t>
        </is>
      </c>
      <c r="B16927" t="inlineStr">
        <is>
          <t>Creed Aventus For Her Eau De Parfum 30ml</t>
        </is>
      </c>
      <c r="C16927" t="inlineStr">
        <is>
          <t>Eau De Parfum</t>
        </is>
      </c>
      <c r="D16927" t="inlineStr">
        <is>
          <t>Creed</t>
        </is>
      </c>
      <c r="E16927" t="n">
        <v>164.6</v>
      </c>
      <c r="F16927" t="n">
        <v>1</v>
      </c>
      <c r="G16927" t="n">
        <v>5</v>
      </c>
      <c r="H16927" s="5">
        <f>HYPERLINK("https://api.qogita.com/variants/link/3508441103665/", "View Product")</f>
        <v/>
      </c>
    </row>
    <row r="16928">
      <c r="A16928" t="inlineStr">
        <is>
          <t>3508441104600</t>
        </is>
      </c>
      <c r="B16928" t="inlineStr">
        <is>
          <t>Creed Love In Black Eau De Parfum Spray 75ml</t>
        </is>
      </c>
      <c r="C16928" t="inlineStr">
        <is>
          <t>Eau De Parfum</t>
        </is>
      </c>
      <c r="D16928" t="inlineStr">
        <is>
          <t>Creed</t>
        </is>
      </c>
      <c r="E16928" t="n">
        <v>157.25</v>
      </c>
      <c r="F16928" t="n">
        <v>1</v>
      </c>
      <c r="G16928" t="n">
        <v>2</v>
      </c>
      <c r="H16928" s="5">
        <f>HYPERLINK("https://api.qogita.com/variants/link/3508441104600/", "View Product")</f>
        <v/>
      </c>
    </row>
    <row r="16929">
      <c r="A16929" t="inlineStr">
        <is>
          <t>3508441104662</t>
        </is>
      </c>
      <c r="B16929" t="inlineStr">
        <is>
          <t>Aventus By Creed Eau De Parfum for Women 75ml</t>
        </is>
      </c>
      <c r="C16929" t="inlineStr">
        <is>
          <t>Eau De Parfum</t>
        </is>
      </c>
      <c r="D16929" t="inlineStr">
        <is>
          <t>Creed</t>
        </is>
      </c>
      <c r="E16929" t="n">
        <v>216.08</v>
      </c>
      <c r="F16929" t="n">
        <v>1</v>
      </c>
      <c r="G16929" t="n">
        <v>9</v>
      </c>
      <c r="H16929" s="5">
        <f>HYPERLINK("https://api.qogita.com/variants/link/3508441104662/", "View Product")</f>
        <v/>
      </c>
    </row>
    <row r="16930">
      <c r="A16930" t="inlineStr">
        <is>
          <t>3516641842321</t>
        </is>
      </c>
      <c r="B16930" t="inlineStr">
        <is>
          <t>Franck Olivier Bella In Paris Women's Eau De Parfum</t>
        </is>
      </c>
      <c r="C16930" t="inlineStr">
        <is>
          <t>Eau De Parfum</t>
        </is>
      </c>
      <c r="D16930" t="inlineStr">
        <is>
          <t>Franck Olivier</t>
        </is>
      </c>
      <c r="E16930" t="n">
        <v>14.29</v>
      </c>
      <c r="F16930" t="n">
        <v>1</v>
      </c>
      <c r="G16930" t="n">
        <v>2</v>
      </c>
      <c r="H16930" s="5">
        <f>HYPERLINK("https://api.qogita.com/variants/link/3516641842321/", "View Product")</f>
        <v/>
      </c>
    </row>
    <row r="16931">
      <c r="A16931" t="inlineStr">
        <is>
          <t>3516641964313</t>
        </is>
      </c>
      <c r="B16931" t="inlineStr">
        <is>
          <t>Franck Olivier Mademoiselle Red Eau de Parfum Spray 3.4 oz</t>
        </is>
      </c>
      <c r="C16931" t="inlineStr">
        <is>
          <t>Eau De Parfum</t>
        </is>
      </c>
      <c r="D16931" t="inlineStr">
        <is>
          <t>Franck Olivier</t>
        </is>
      </c>
      <c r="E16931" t="n">
        <v>14.63</v>
      </c>
      <c r="F16931" t="n">
        <v>1</v>
      </c>
      <c r="G16931" t="n">
        <v>9</v>
      </c>
      <c r="H16931" s="5">
        <f>HYPERLINK("https://api.qogita.com/variants/link/3516641964313/", "View Product")</f>
        <v/>
      </c>
    </row>
    <row r="16932">
      <c r="A16932" t="inlineStr">
        <is>
          <t>3516642128110</t>
        </is>
      </c>
      <c r="B16932" t="inlineStr">
        <is>
          <t>Franck Olivier Black Touch 100ml Eau De Toilette Spray</t>
        </is>
      </c>
      <c r="C16932" t="inlineStr">
        <is>
          <t>Eau De Toilette</t>
        </is>
      </c>
      <c r="D16932" t="inlineStr">
        <is>
          <t>Franck Olivier</t>
        </is>
      </c>
      <c r="E16932" t="n">
        <v>14.71</v>
      </c>
      <c r="F16932" t="n">
        <v>1</v>
      </c>
      <c r="G16932" t="n">
        <v>14</v>
      </c>
      <c r="H16932" s="5">
        <f>HYPERLINK("https://api.qogita.com/variants/link/3516642128110/", "View Product")</f>
        <v/>
      </c>
    </row>
    <row r="16933">
      <c r="A16933" t="inlineStr">
        <is>
          <t>3516642227325</t>
        </is>
      </c>
      <c r="B16933" t="inlineStr">
        <is>
          <t>Franck Olivier Nature Eau De Parfum 75 Ml</t>
        </is>
      </c>
      <c r="C16933" t="inlineStr">
        <is>
          <t>Eau De Parfum</t>
        </is>
      </c>
      <c r="D16933" t="inlineStr">
        <is>
          <t>Franck Olivier</t>
        </is>
      </c>
      <c r="E16933" t="n">
        <v>17.64</v>
      </c>
      <c r="F16933" t="n">
        <v>1</v>
      </c>
      <c r="G16933" t="n">
        <v>19</v>
      </c>
      <c r="H16933" s="5">
        <f>HYPERLINK("https://api.qogita.com/variants/link/3516642227325/", "View Product")</f>
        <v/>
      </c>
    </row>
    <row r="16934">
      <c r="A16934" t="inlineStr">
        <is>
          <t>3525801658375</t>
        </is>
      </c>
      <c r="B16934" t="inlineStr">
        <is>
          <t>Thalgo Eveil À La Mer Cream Remover 50ml</t>
        </is>
      </c>
      <c r="C16934" t="inlineStr">
        <is>
          <t>Makeup Remover</t>
        </is>
      </c>
      <c r="D16934" t="inlineStr">
        <is>
          <t>Thalgo</t>
        </is>
      </c>
      <c r="E16934" t="n">
        <v>21.73</v>
      </c>
      <c r="F16934" t="n">
        <v>1</v>
      </c>
      <c r="G16934" t="n">
        <v>7</v>
      </c>
      <c r="H16934" s="5">
        <f>HYPERLINK("https://api.qogita.com/variants/link/3525801658375/", "View Product")</f>
        <v/>
      </c>
    </row>
    <row r="16935">
      <c r="A16935" t="inlineStr">
        <is>
          <t>3525801669579</t>
        </is>
      </c>
      <c r="B16935" t="inlineStr">
        <is>
          <t>Thalgo Exception Marine Eye Lift Cream 15ml</t>
        </is>
      </c>
      <c r="C16935" t="inlineStr">
        <is>
          <t>Eye Cream</t>
        </is>
      </c>
      <c r="D16935" t="inlineStr">
        <is>
          <t>Thalgo</t>
        </is>
      </c>
      <c r="E16935" t="n">
        <v>34.19</v>
      </c>
      <c r="F16935" t="n">
        <v>1</v>
      </c>
      <c r="G16935" t="n">
        <v>2</v>
      </c>
      <c r="H16935" s="5">
        <f>HYPERLINK("https://api.qogita.com/variants/link/3525801669579/", "View Product")</f>
        <v/>
      </c>
    </row>
    <row r="16936">
      <c r="A16936" t="inlineStr">
        <is>
          <t>3525801677581</t>
        </is>
      </c>
      <c r="B16936" t="inlineStr">
        <is>
          <t>Thalgo Spa Mer Des Indes Ginger Exfoliating Scrub 270g</t>
        </is>
      </c>
      <c r="C16936" t="inlineStr">
        <is>
          <t>Body Scrub &amp; Peeling</t>
        </is>
      </c>
      <c r="D16936" t="inlineStr">
        <is>
          <t>Thalgo</t>
        </is>
      </c>
      <c r="E16936" t="n">
        <v>32.64</v>
      </c>
      <c r="F16936" t="n">
        <v>1</v>
      </c>
      <c r="G16936" t="n">
        <v>2</v>
      </c>
      <c r="H16936" s="5">
        <f>HYPERLINK("https://api.qogita.com/variants/link/3525801677581/", "View Product")</f>
        <v/>
      </c>
    </row>
    <row r="16937">
      <c r="A16937" t="inlineStr">
        <is>
          <t>3537090018358</t>
        </is>
      </c>
      <c r="B16937" t="inlineStr">
        <is>
          <t>Centifolia Eclat De Rose Fluid</t>
        </is>
      </c>
      <c r="C16937" t="inlineStr">
        <is>
          <t>Face Cream</t>
        </is>
      </c>
      <c r="D16937" t="inlineStr">
        <is>
          <t>Centifolia</t>
        </is>
      </c>
      <c r="E16937" t="n">
        <v>14.8</v>
      </c>
      <c r="F16937" t="n">
        <v>1</v>
      </c>
      <c r="G16937" t="n">
        <v>3</v>
      </c>
      <c r="H16937" s="5">
        <f>HYPERLINK("https://api.qogita.com/variants/link/3537090018358/", "View Product")</f>
        <v/>
      </c>
    </row>
    <row r="16938">
      <c r="A16938" t="inlineStr">
        <is>
          <t>3540550002200</t>
        </is>
      </c>
      <c r="B16938" t="inlineStr">
        <is>
          <t>Filorga Scented Candle</t>
        </is>
      </c>
      <c r="C16938" t="inlineStr">
        <is>
          <t>Candles</t>
        </is>
      </c>
      <c r="D16938" t="inlineStr">
        <is>
          <t>Filorga</t>
        </is>
      </c>
      <c r="E16938" t="n">
        <v>9.81</v>
      </c>
      <c r="F16938" t="n">
        <v>1</v>
      </c>
      <c r="G16938" t="n">
        <v>4</v>
      </c>
      <c r="H16938" s="5">
        <f>HYPERLINK("https://api.qogita.com/variants/link/3540550002200/", "View Product")</f>
        <v/>
      </c>
    </row>
    <row r="16939">
      <c r="A16939" t="inlineStr">
        <is>
          <t>3540550012810</t>
        </is>
      </c>
      <c r="B16939" t="inlineStr">
        <is>
          <t>Filorga Regeneration Experts Skin Care Gift Set</t>
        </is>
      </c>
      <c r="C16939" t="inlineStr">
        <is>
          <t>Face</t>
        </is>
      </c>
      <c r="D16939" t="inlineStr">
        <is>
          <t>Filorga</t>
        </is>
      </c>
      <c r="E16939" t="n">
        <v>40.45</v>
      </c>
      <c r="F16939" t="n">
        <v>1</v>
      </c>
      <c r="G16939" t="n">
        <v>7</v>
      </c>
      <c r="H16939" s="5">
        <f>HYPERLINK("https://api.qogita.com/variants/link/3540550012810/", "View Product")</f>
        <v/>
      </c>
    </row>
    <row r="16940">
      <c r="A16940" t="inlineStr">
        <is>
          <t>3551440592039</t>
        </is>
      </c>
      <c r="B16940" t="inlineStr">
        <is>
          <t>Delroba Rose Musk Eau De Parfum Spray 100ml</t>
        </is>
      </c>
      <c r="C16940" t="inlineStr">
        <is>
          <t>Eau De Parfum</t>
        </is>
      </c>
      <c r="D16940" t="inlineStr">
        <is>
          <t>Delroba</t>
        </is>
      </c>
      <c r="E16940" t="n">
        <v>37.83</v>
      </c>
      <c r="F16940" t="n">
        <v>1</v>
      </c>
      <c r="G16940" t="n">
        <v>27</v>
      </c>
      <c r="H16940" s="5">
        <f>HYPERLINK("https://api.qogita.com/variants/link/3551440592039/", "View Product")</f>
        <v/>
      </c>
    </row>
    <row r="16941">
      <c r="A16941" t="inlineStr">
        <is>
          <t>3551440592046</t>
        </is>
      </c>
      <c r="B16941" t="inlineStr">
        <is>
          <t>Delroba Cashmere Bouquet For Women Eau de Parfum 100ml</t>
        </is>
      </c>
      <c r="C16941" t="inlineStr">
        <is>
          <t>Eau De Parfum</t>
        </is>
      </c>
      <c r="D16941" t="inlineStr">
        <is>
          <t>Delroba</t>
        </is>
      </c>
      <c r="E16941" t="n">
        <v>38.13</v>
      </c>
      <c r="F16941" t="n">
        <v>1</v>
      </c>
      <c r="G16941" t="n">
        <v>14</v>
      </c>
      <c r="H16941" s="5">
        <f>HYPERLINK("https://api.qogita.com/variants/link/3551440592046/", "View Product")</f>
        <v/>
      </c>
    </row>
    <row r="16942">
      <c r="A16942" t="inlineStr">
        <is>
          <t>3552570127016</t>
        </is>
      </c>
      <c r="B16942" t="inlineStr">
        <is>
          <t>ANNAYAKE Dojou Eau de Toilette For Him 100ml</t>
        </is>
      </c>
      <c r="C16942" t="inlineStr">
        <is>
          <t>Eau De Toilette</t>
        </is>
      </c>
      <c r="D16942" t="inlineStr">
        <is>
          <t>Annayake</t>
        </is>
      </c>
      <c r="E16942" t="n">
        <v>51.42</v>
      </c>
      <c r="F16942" t="n">
        <v>1</v>
      </c>
      <c r="G16942" t="n">
        <v>3</v>
      </c>
      <c r="H16942" s="5">
        <f>HYPERLINK("https://api.qogita.com/variants/link/3552570127016/", "View Product")</f>
        <v/>
      </c>
    </row>
    <row r="16943">
      <c r="A16943" t="inlineStr">
        <is>
          <t>3562700373084</t>
        </is>
      </c>
      <c r="B16943" t="inlineStr">
        <is>
          <t>Jaguar Classic Eau De Toilette Spray 100ml For Men</t>
        </is>
      </c>
      <c r="C16943" t="inlineStr">
        <is>
          <t>Eau De Toilette</t>
        </is>
      </c>
      <c r="D16943" t="inlineStr">
        <is>
          <t>Jaguar</t>
        </is>
      </c>
      <c r="E16943" t="n">
        <v>10.36</v>
      </c>
      <c r="F16943" t="n">
        <v>1</v>
      </c>
      <c r="G16943" t="n">
        <v>80</v>
      </c>
      <c r="H16943" s="5">
        <f>HYPERLINK("https://api.qogita.com/variants/link/3562700373084/", "View Product")</f>
        <v/>
      </c>
    </row>
    <row r="16944">
      <c r="A16944" t="inlineStr">
        <is>
          <t>3574660520132</t>
        </is>
      </c>
      <c r="B16944" t="inlineStr">
        <is>
          <t>Listerine Coolmint Mouthwash 1000ml</t>
        </is>
      </c>
      <c r="C16944" t="inlineStr">
        <is>
          <t>Mouthwash</t>
        </is>
      </c>
      <c r="D16944" t="inlineStr">
        <is>
          <t>Listerine</t>
        </is>
      </c>
      <c r="E16944" t="n">
        <v>5.78</v>
      </c>
      <c r="F16944" t="n">
        <v>1</v>
      </c>
      <c r="G16944" t="n">
        <v>21</v>
      </c>
      <c r="H16944" s="5">
        <f>HYPERLINK("https://api.qogita.com/variants/link/3574660520132/", "View Product")</f>
        <v/>
      </c>
    </row>
    <row r="16945">
      <c r="A16945" t="inlineStr">
        <is>
          <t>3574660537253</t>
        </is>
      </c>
      <c r="B16945" t="inlineStr">
        <is>
          <t>Listerine Total Care Mouthwash For Complete Protection</t>
        </is>
      </c>
      <c r="C16945" t="inlineStr">
        <is>
          <t>Mouthwash</t>
        </is>
      </c>
      <c r="D16945" t="inlineStr">
        <is>
          <t>Listerine</t>
        </is>
      </c>
      <c r="E16945" t="n">
        <v>5.19</v>
      </c>
      <c r="F16945" t="n">
        <v>1</v>
      </c>
      <c r="G16945" t="n">
        <v>5</v>
      </c>
      <c r="H16945" s="5">
        <f>HYPERLINK("https://api.qogita.com/variants/link/3574660537253/", "View Product")</f>
        <v/>
      </c>
    </row>
    <row r="16946">
      <c r="A16946" t="inlineStr">
        <is>
          <t>3574660602807</t>
        </is>
      </c>
      <c r="B16946" t="inlineStr">
        <is>
          <t>Neutrogena Norwegian Formula Intense Repair Lip Balm - 15ml</t>
        </is>
      </c>
      <c r="C16946" t="inlineStr">
        <is>
          <t>Medicated Treatments</t>
        </is>
      </c>
      <c r="D16946" t="inlineStr">
        <is>
          <t>Neutrogena</t>
        </is>
      </c>
      <c r="E16946" t="n">
        <v>4.92</v>
      </c>
      <c r="F16946" t="n">
        <v>1</v>
      </c>
      <c r="G16946" t="n">
        <v>18</v>
      </c>
      <c r="H16946" s="5">
        <f>HYPERLINK("https://api.qogita.com/variants/link/3574660602807/", "View Product")</f>
        <v/>
      </c>
    </row>
    <row r="16947">
      <c r="A16947" t="inlineStr">
        <is>
          <t>3574661098937</t>
        </is>
      </c>
      <c r="B16947" t="inlineStr">
        <is>
          <t>Neutrogena Norwegian Formula Deep Moisture Body Lotion for Dry Skin 400ml</t>
        </is>
      </c>
      <c r="C16947" t="inlineStr">
        <is>
          <t>Body Lotion</t>
        </is>
      </c>
      <c r="D16947" t="inlineStr">
        <is>
          <t>Neutrogena</t>
        </is>
      </c>
      <c r="E16947" t="n">
        <v>4.85</v>
      </c>
      <c r="F16947" t="n">
        <v>1</v>
      </c>
      <c r="G16947" t="n">
        <v>10</v>
      </c>
      <c r="H16947" s="5">
        <f>HYPERLINK("https://api.qogita.com/variants/link/3574661098937/", "View Product")</f>
        <v/>
      </c>
    </row>
    <row r="16948">
      <c r="A16948" t="inlineStr">
        <is>
          <t>3574661117621</t>
        </is>
      </c>
      <c r="B16948" t="inlineStr">
        <is>
          <t>Piz Buin Allergy Face Cream Spf 50 50 Ml</t>
        </is>
      </c>
      <c r="C16948" t="inlineStr">
        <is>
          <t>Face Sun Protection</t>
        </is>
      </c>
      <c r="D16948" t="inlineStr">
        <is>
          <t>Piz Buin</t>
        </is>
      </c>
      <c r="E16948" t="n">
        <v>8.27</v>
      </c>
      <c r="F16948" t="n">
        <v>1</v>
      </c>
      <c r="G16948" t="n">
        <v>74</v>
      </c>
      <c r="H16948" s="5">
        <f>HYPERLINK("https://api.qogita.com/variants/link/3574661117621/", "View Product")</f>
        <v/>
      </c>
    </row>
    <row r="16949">
      <c r="A16949" t="inlineStr">
        <is>
          <t>3574661184272</t>
        </is>
      </c>
      <c r="B16949" t="inlineStr">
        <is>
          <t>Piz Buin Tan &amp; Protect Tan Intensifying Sun Lotion Spf 30 150ml</t>
        </is>
      </c>
      <c r="C16949" t="inlineStr">
        <is>
          <t>Body Sun Protection</t>
        </is>
      </c>
      <c r="D16949" t="inlineStr">
        <is>
          <t>Piz Buin</t>
        </is>
      </c>
      <c r="E16949" t="n">
        <v>7.66</v>
      </c>
      <c r="F16949" t="n">
        <v>1</v>
      </c>
      <c r="G16949" t="n">
        <v>113</v>
      </c>
      <c r="H16949" s="5">
        <f>HYPERLINK("https://api.qogita.com/variants/link/3574661184272/", "View Product")</f>
        <v/>
      </c>
    </row>
    <row r="16950">
      <c r="A16950" t="inlineStr">
        <is>
          <t>3574661236667</t>
        </is>
      </c>
      <c r="B16950" t="inlineStr">
        <is>
          <t>Neutrogena Norwegian Formula Nourishing Foot Cream 100 Ml</t>
        </is>
      </c>
      <c r="C16950" t="inlineStr">
        <is>
          <t>Foot Cream</t>
        </is>
      </c>
      <c r="D16950" t="inlineStr">
        <is>
          <t>Neutrogena</t>
        </is>
      </c>
      <c r="E16950" t="n">
        <v>7.88</v>
      </c>
      <c r="F16950" t="n">
        <v>1</v>
      </c>
      <c r="G16950" t="n">
        <v>32</v>
      </c>
      <c r="H16950" s="5">
        <f>HYPERLINK("https://api.qogita.com/variants/link/3574661236667/", "View Product")</f>
        <v/>
      </c>
    </row>
    <row r="16951">
      <c r="A16951" t="inlineStr">
        <is>
          <t>3574661255910</t>
        </is>
      </c>
      <c r="B16951" t="inlineStr">
        <is>
          <t>Neutrogena Norwegian Formula Intense Repair Foot Cream 50ml</t>
        </is>
      </c>
      <c r="C16951" t="inlineStr">
        <is>
          <t>Foot Cream</t>
        </is>
      </c>
      <c r="D16951" t="inlineStr">
        <is>
          <t>Neutrogena</t>
        </is>
      </c>
      <c r="E16951" t="n">
        <v>7.61</v>
      </c>
      <c r="F16951" t="n">
        <v>1</v>
      </c>
      <c r="G16951" t="n">
        <v>53</v>
      </c>
      <c r="H16951" s="5">
        <f>HYPERLINK("https://api.qogita.com/variants/link/3574661255910/", "View Product")</f>
        <v/>
      </c>
    </row>
    <row r="16952">
      <c r="A16952" t="inlineStr">
        <is>
          <t>3574661293509</t>
        </is>
      </c>
      <c r="B16952" t="inlineStr">
        <is>
          <t>Neutrogena Hydro Boost Exfoliator Smoothing Gel 150 Ml</t>
        </is>
      </c>
      <c r="C16952" t="inlineStr">
        <is>
          <t>Facial Scrub &amp; Peeling</t>
        </is>
      </c>
      <c r="D16952" t="inlineStr">
        <is>
          <t>Neutrogena</t>
        </is>
      </c>
      <c r="E16952" t="n">
        <v>7.36</v>
      </c>
      <c r="F16952" t="n">
        <v>1</v>
      </c>
      <c r="G16952" t="n">
        <v>35</v>
      </c>
      <c r="H16952" s="5">
        <f>HYPERLINK("https://api.qogita.com/variants/link/3574661293509/", "View Product")</f>
        <v/>
      </c>
    </row>
    <row r="16953">
      <c r="A16953" t="inlineStr">
        <is>
          <t>3574661467160</t>
        </is>
      </c>
      <c r="B16953" t="inlineStr">
        <is>
          <t>Piz Buin Allergy Sun Sensitive Skin Lotion Spf 15 200ml Suntan Lotion For Sensitive Skin</t>
        </is>
      </c>
      <c r="C16953" t="inlineStr">
        <is>
          <t>Body Sun Protection</t>
        </is>
      </c>
      <c r="D16953" t="inlineStr">
        <is>
          <t>Piz Buin</t>
        </is>
      </c>
      <c r="E16953" t="n">
        <v>6.73</v>
      </c>
      <c r="F16953" t="n">
        <v>1</v>
      </c>
      <c r="G16953" t="n">
        <v>85</v>
      </c>
      <c r="H16953" s="5">
        <f>HYPERLINK("https://api.qogita.com/variants/link/3574661467160/", "View Product")</f>
        <v/>
      </c>
    </row>
    <row r="16954">
      <c r="A16954" t="inlineStr">
        <is>
          <t>3574661498478</t>
        </is>
      </c>
      <c r="B16954" t="inlineStr">
        <is>
          <t>Neutrogena Salicylic Acid Face Scrub 150 Ml Blackhead Eliminating Facial Scrub</t>
        </is>
      </c>
      <c r="C16954" t="inlineStr">
        <is>
          <t>Facial Scrub &amp; Peeling</t>
        </is>
      </c>
      <c r="D16954" t="inlineStr">
        <is>
          <t>Neutrogena</t>
        </is>
      </c>
      <c r="E16954" t="n">
        <v>7.34</v>
      </c>
      <c r="F16954" t="n">
        <v>1</v>
      </c>
      <c r="G16954" t="n">
        <v>28</v>
      </c>
      <c r="H16954" s="5">
        <f>HYPERLINK("https://api.qogita.com/variants/link/3574661498478/", "View Product")</f>
        <v/>
      </c>
    </row>
    <row r="16955">
      <c r="A16955" t="inlineStr">
        <is>
          <t>3574661562056</t>
        </is>
      </c>
      <c r="B16955" t="inlineStr">
        <is>
          <t>Listerine Fresh Ginger &amp; Lime Mild Taste Mouthwash</t>
        </is>
      </c>
      <c r="C16955" t="inlineStr">
        <is>
          <t>Mouthwash</t>
        </is>
      </c>
      <c r="D16955" t="inlineStr">
        <is>
          <t>Listerine</t>
        </is>
      </c>
      <c r="E16955" t="n">
        <v>6.6</v>
      </c>
      <c r="F16955" t="n">
        <v>1</v>
      </c>
      <c r="G16955" t="n">
        <v>5</v>
      </c>
      <c r="H16955" s="5">
        <f>HYPERLINK("https://api.qogita.com/variants/link/3574661562056/", "View Product")</f>
        <v/>
      </c>
    </row>
    <row r="16956">
      <c r="A16956" t="inlineStr">
        <is>
          <t>3574661651699</t>
        </is>
      </c>
      <c r="B16956" t="inlineStr">
        <is>
          <t>Neutrogena Retinol Boost Serum 30 Ml</t>
        </is>
      </c>
      <c r="C16956" t="inlineStr">
        <is>
          <t>Anti-Aging Serum</t>
        </is>
      </c>
      <c r="D16956" t="inlineStr">
        <is>
          <t>Neutrogena</t>
        </is>
      </c>
      <c r="E16956" t="n">
        <v>16.63</v>
      </c>
      <c r="F16956" t="n">
        <v>1</v>
      </c>
      <c r="G16956" t="n">
        <v>44</v>
      </c>
      <c r="H16956" s="5">
        <f>HYPERLINK("https://api.qogita.com/variants/link/3574661651699/", "View Product")</f>
        <v/>
      </c>
    </row>
    <row r="16957">
      <c r="A16957" t="inlineStr">
        <is>
          <t>3574661674711</t>
        </is>
      </c>
      <c r="B16957" t="inlineStr">
        <is>
          <t>Aveeno Calm + Restore Re-Hydrating Night Cream - Intensely Nourishes</t>
        </is>
      </c>
      <c r="C16957" t="inlineStr">
        <is>
          <t>Night Cream</t>
        </is>
      </c>
      <c r="D16957" t="inlineStr">
        <is>
          <t>Aveeno</t>
        </is>
      </c>
      <c r="E16957" t="n">
        <v>17.6</v>
      </c>
      <c r="F16957" t="n">
        <v>1</v>
      </c>
      <c r="G16957" t="n">
        <v>32</v>
      </c>
      <c r="H16957" s="5">
        <f>HYPERLINK("https://api.qogita.com/variants/link/3574661674711/", "View Product")</f>
        <v/>
      </c>
    </row>
    <row r="16958">
      <c r="A16958" t="inlineStr">
        <is>
          <t>3574661752945</t>
        </is>
      </c>
      <c r="B16958" t="inlineStr">
        <is>
          <t>Neutrogena Clear &amp; Defend Liquid Exfoliant 125 Ml</t>
        </is>
      </c>
      <c r="C16958" t="inlineStr">
        <is>
          <t>Facial Scrub &amp; Peeling</t>
        </is>
      </c>
      <c r="D16958" t="inlineStr">
        <is>
          <t>Neutrogena</t>
        </is>
      </c>
      <c r="E16958" t="n">
        <v>9.69</v>
      </c>
      <c r="F16958" t="n">
        <v>1</v>
      </c>
      <c r="G16958" t="n">
        <v>41</v>
      </c>
      <c r="H16958" s="5">
        <f>HYPERLINK("https://api.qogita.com/variants/link/3574661752945/", "View Product")</f>
        <v/>
      </c>
    </row>
    <row r="16959">
      <c r="A16959" t="inlineStr">
        <is>
          <t>3574661786469</t>
        </is>
      </c>
      <c r="B16959" t="inlineStr">
        <is>
          <t>Listerine Total Care Extra Mild Mouthwash With Smooth Mint Taste</t>
        </is>
      </c>
      <c r="C16959" t="inlineStr">
        <is>
          <t>Mouthwash</t>
        </is>
      </c>
      <c r="D16959" t="inlineStr">
        <is>
          <t>Listerine</t>
        </is>
      </c>
      <c r="E16959" t="n">
        <v>7.3</v>
      </c>
      <c r="F16959" t="n">
        <v>1</v>
      </c>
      <c r="G16959" t="n">
        <v>10</v>
      </c>
      <c r="H16959" s="5">
        <f>HYPERLINK("https://api.qogita.com/variants/link/3574661786469/", "View Product")</f>
        <v/>
      </c>
    </row>
    <row r="16960">
      <c r="A16960" t="inlineStr">
        <is>
          <t>3574661809021</t>
        </is>
      </c>
      <c r="B16960" t="inlineStr">
        <is>
          <t>Aveeno Calm Restore Triple Oat Serum 30 Ml</t>
        </is>
      </c>
      <c r="C16960" t="inlineStr">
        <is>
          <t>Hydrating Serum</t>
        </is>
      </c>
      <c r="D16960" t="inlineStr">
        <is>
          <t>Aveeno</t>
        </is>
      </c>
      <c r="E16960" t="n">
        <v>20.8</v>
      </c>
      <c r="F16960" t="n">
        <v>1</v>
      </c>
      <c r="G16960" t="n">
        <v>26</v>
      </c>
      <c r="H16960" s="5">
        <f>HYPERLINK("https://api.qogita.com/variants/link/3574661809021/", "View Product")</f>
        <v/>
      </c>
    </row>
    <row r="16961">
      <c r="A16961" t="inlineStr">
        <is>
          <t>3574661810713</t>
        </is>
      </c>
      <c r="B16961" t="inlineStr">
        <is>
          <t>Aveeno Skin Relief Body Oil Spray with Oat Oil &amp; Jojoba Oil for Very Dry Sensitive Skin</t>
        </is>
      </c>
      <c r="C16961" t="inlineStr">
        <is>
          <t>Body Oil</t>
        </is>
      </c>
      <c r="D16961" t="inlineStr">
        <is>
          <t>Aveeno</t>
        </is>
      </c>
      <c r="E16961" t="n">
        <v>14.39</v>
      </c>
      <c r="F16961" t="n">
        <v>1</v>
      </c>
      <c r="G16961" t="n">
        <v>38</v>
      </c>
      <c r="H16961" s="5">
        <f>HYPERLINK("https://api.qogita.com/variants/link/3574661810713/", "View Product")</f>
        <v/>
      </c>
    </row>
    <row r="16962">
      <c r="A16962" t="inlineStr">
        <is>
          <t>3574661810720</t>
        </is>
      </c>
      <c r="B16962" t="inlineStr">
        <is>
          <t>Aveeno Daily Moisturising Body Wash 500 Ml</t>
        </is>
      </c>
      <c r="C16962" t="inlineStr">
        <is>
          <t>Shower Gel</t>
        </is>
      </c>
      <c r="D16962" t="inlineStr">
        <is>
          <t>Aveeno</t>
        </is>
      </c>
      <c r="E16962" t="n">
        <v>12.45</v>
      </c>
      <c r="F16962" t="n">
        <v>1</v>
      </c>
      <c r="G16962" t="n">
        <v>11</v>
      </c>
      <c r="H16962" s="5">
        <f>HYPERLINK("https://api.qogita.com/variants/link/3574661810720/", "View Product")</f>
        <v/>
      </c>
    </row>
    <row r="16963">
      <c r="A16963" t="inlineStr">
        <is>
          <t>3574661812670</t>
        </is>
      </c>
      <c r="B16963" t="inlineStr">
        <is>
          <t>Neutrogena Clear &amp; Radiant Face Scrub - 150 Ml</t>
        </is>
      </c>
      <c r="C16963" t="inlineStr">
        <is>
          <t>Facial Scrub &amp; Peeling</t>
        </is>
      </c>
      <c r="D16963" t="inlineStr">
        <is>
          <t>Neutrogena</t>
        </is>
      </c>
      <c r="E16963" t="n">
        <v>6.94</v>
      </c>
      <c r="F16963" t="n">
        <v>1</v>
      </c>
      <c r="G16963" t="n">
        <v>13</v>
      </c>
      <c r="H16963" s="5">
        <f>HYPERLINK("https://api.qogita.com/variants/link/3574661812670/", "View Product")</f>
        <v/>
      </c>
    </row>
    <row r="16964">
      <c r="A16964" t="inlineStr">
        <is>
          <t>3574661813882</t>
        </is>
      </c>
      <c r="B16964" t="inlineStr">
        <is>
          <t>Neutrogena Hydro Boost Serum With Niacinamide 30ml</t>
        </is>
      </c>
      <c r="C16964" t="inlineStr">
        <is>
          <t>Hydrating Serum</t>
        </is>
      </c>
      <c r="D16964" t="inlineStr">
        <is>
          <t>Neutrogena</t>
        </is>
      </c>
      <c r="E16964" t="n">
        <v>14.41</v>
      </c>
      <c r="F16964" t="n">
        <v>1</v>
      </c>
      <c r="G16964" t="n">
        <v>11</v>
      </c>
      <c r="H16964" s="5">
        <f>HYPERLINK("https://api.qogita.com/variants/link/3574661813882/", "View Product")</f>
        <v/>
      </c>
    </row>
    <row r="16965">
      <c r="A16965" t="inlineStr">
        <is>
          <t>3575070054453</t>
        </is>
      </c>
      <c r="B16965" t="inlineStr">
        <is>
          <t>Franck Boclet Unisex Parfum Rebel 3.4 Oz</t>
        </is>
      </c>
      <c r="C16965" t="inlineStr">
        <is>
          <t>Eau De Parfum</t>
        </is>
      </c>
      <c r="D16965" t="inlineStr">
        <is>
          <t>Franck Boclet</t>
        </is>
      </c>
      <c r="E16965" t="n">
        <v>87.79000000000001</v>
      </c>
      <c r="F16965" t="n">
        <v>1</v>
      </c>
      <c r="G16965" t="n">
        <v>4</v>
      </c>
      <c r="H16965" s="5">
        <f>HYPERLINK("https://api.qogita.com/variants/link/3575070054453/", "View Product")</f>
        <v/>
      </c>
    </row>
    <row r="16966">
      <c r="A16966" t="inlineStr">
        <is>
          <t>3575070055238</t>
        </is>
      </c>
      <c r="B16966" t="inlineStr">
        <is>
          <t>Orlov Women Eau de Parfum 2.5oz</t>
        </is>
      </c>
      <c r="C16966" t="inlineStr">
        <is>
          <t>Eau De Parfum</t>
        </is>
      </c>
      <c r="D16966" t="inlineStr">
        <is>
          <t>Orlov</t>
        </is>
      </c>
      <c r="E16966" t="n">
        <v>44.83</v>
      </c>
      <c r="F16966" t="n">
        <v>1</v>
      </c>
      <c r="G16966" t="n">
        <v>8</v>
      </c>
      <c r="H16966" s="5">
        <f>HYPERLINK("https://api.qogita.com/variants/link/3575070055238/", "View Product")</f>
        <v/>
      </c>
    </row>
    <row r="16967">
      <c r="A16967" t="inlineStr">
        <is>
          <t>3581000018679</t>
        </is>
      </c>
      <c r="B16967" t="inlineStr">
        <is>
          <t>NICOLAI Nic Patchouli Intense EDP Vapo 100ml</t>
        </is>
      </c>
      <c r="C16967" t="inlineStr">
        <is>
          <t>Eau De Parfum</t>
        </is>
      </c>
      <c r="D16967" t="inlineStr">
        <is>
          <t>Nikolai</t>
        </is>
      </c>
      <c r="E16967" t="n">
        <v>106</v>
      </c>
      <c r="F16967" t="n">
        <v>1</v>
      </c>
      <c r="G16967" t="n">
        <v>9</v>
      </c>
      <c r="H16967" s="5">
        <f>HYPERLINK("https://api.qogita.com/variants/link/3581000018679/", "View Product")</f>
        <v/>
      </c>
    </row>
    <row r="16968">
      <c r="A16968" t="inlineStr">
        <is>
          <t>3593787002291</t>
        </is>
      </c>
      <c r="B16968" t="inlineStr">
        <is>
          <t>Rexaline Derma Night Mask-In-Cream 3ml - Pack of 6</t>
        </is>
      </c>
      <c r="C16968" t="inlineStr">
        <is>
          <t>Hydrating Mask</t>
        </is>
      </c>
      <c r="D16968" t="inlineStr">
        <is>
          <t>Rexaline</t>
        </is>
      </c>
      <c r="E16968" t="n">
        <v>33.55</v>
      </c>
      <c r="F16968" t="n">
        <v>1</v>
      </c>
      <c r="G16968" t="n">
        <v>12</v>
      </c>
      <c r="H16968" s="5">
        <f>HYPERLINK("https://api.qogita.com/variants/link/3593787002291/", "View Product")</f>
        <v/>
      </c>
    </row>
    <row r="16969">
      <c r="A16969" t="inlineStr">
        <is>
          <t>3593787600084</t>
        </is>
      </c>
      <c r="B16969" t="inlineStr">
        <is>
          <t>Rexaline X-treme Renovator Rich Regenerating Anti-Aging Cream with Hyaluronic Acid 50ml</t>
        </is>
      </c>
      <c r="C16969" t="inlineStr">
        <is>
          <t>Anti-Aging Facial Care</t>
        </is>
      </c>
      <c r="D16969" t="inlineStr">
        <is>
          <t>Rexaline</t>
        </is>
      </c>
      <c r="E16969" t="n">
        <v>67.98</v>
      </c>
      <c r="F16969" t="n">
        <v>1</v>
      </c>
      <c r="G16969" t="n">
        <v>2</v>
      </c>
      <c r="H16969" s="5">
        <f>HYPERLINK("https://api.qogita.com/variants/link/3593787600084/", "View Product")</f>
        <v/>
      </c>
    </row>
    <row r="16970">
      <c r="A16970" t="inlineStr">
        <is>
          <t>3595471023001</t>
        </is>
      </c>
      <c r="B16970" t="inlineStr">
        <is>
          <t>Mercedesbenz For Men Ultimate Eau De Parfum 75ml</t>
        </is>
      </c>
      <c r="C16970" t="inlineStr">
        <is>
          <t>Eau De Parfum</t>
        </is>
      </c>
      <c r="D16970" t="inlineStr">
        <is>
          <t>Mercedes-Benz</t>
        </is>
      </c>
      <c r="E16970" t="n">
        <v>21.85</v>
      </c>
      <c r="F16970" t="n">
        <v>1</v>
      </c>
      <c r="G16970" t="n">
        <v>51</v>
      </c>
      <c r="H16970" s="5">
        <f>HYPERLINK("https://api.qogita.com/variants/link/3595471023001/", "View Product")</f>
        <v/>
      </c>
    </row>
    <row r="16971">
      <c r="A16971" t="inlineStr">
        <is>
          <t>3595471024718</t>
        </is>
      </c>
      <c r="B16971" t="inlineStr">
        <is>
          <t>Mercedes-Benz For Men Eau De Toilette Spray 120ml</t>
        </is>
      </c>
      <c r="C16971" t="inlineStr">
        <is>
          <t>Eau De Toilette</t>
        </is>
      </c>
      <c r="D16971" t="inlineStr">
        <is>
          <t>Mercedes-Benz</t>
        </is>
      </c>
      <c r="E16971" t="n">
        <v>32.38</v>
      </c>
      <c r="F16971" t="n">
        <v>1</v>
      </c>
      <c r="G16971" t="n">
        <v>22</v>
      </c>
      <c r="H16971" s="5">
        <f>HYPERLINK("https://api.qogita.com/variants/link/3595471024718/", "View Product")</f>
        <v/>
      </c>
    </row>
    <row r="16972">
      <c r="A16972" t="inlineStr">
        <is>
          <t>3595471026842</t>
        </is>
      </c>
      <c r="B16972" t="inlineStr">
        <is>
          <t>Mercedes-Benz Air Eau De Parfum Spray 60ml</t>
        </is>
      </c>
      <c r="C16972" t="inlineStr">
        <is>
          <t>Eau De Parfum</t>
        </is>
      </c>
      <c r="D16972" t="inlineStr">
        <is>
          <t>Mercedes-Benz</t>
        </is>
      </c>
      <c r="E16972" t="n">
        <v>25.15</v>
      </c>
      <c r="F16972" t="n">
        <v>1</v>
      </c>
      <c r="G16972" t="n">
        <v>12</v>
      </c>
      <c r="H16972" s="5">
        <f>HYPERLINK("https://api.qogita.com/variants/link/3595471026842/", "View Product")</f>
        <v/>
      </c>
    </row>
    <row r="16973">
      <c r="A16973" t="inlineStr">
        <is>
          <t>3595471026897</t>
        </is>
      </c>
      <c r="B16973" t="inlineStr">
        <is>
          <t>Mercedes Benz Lsa Land for Men 3.4 oz EDP Spray</t>
        </is>
      </c>
      <c r="C16973" t="inlineStr">
        <is>
          <t>Eau De Parfum</t>
        </is>
      </c>
      <c r="D16973" t="inlineStr">
        <is>
          <t>Mercedes-Benz</t>
        </is>
      </c>
      <c r="E16973" t="n">
        <v>33.22</v>
      </c>
      <c r="F16973" t="n">
        <v>1</v>
      </c>
      <c r="G16973" t="n">
        <v>19</v>
      </c>
      <c r="H16973" s="5">
        <f>HYPERLINK("https://api.qogita.com/variants/link/3595471026897/", "View Product")</f>
        <v/>
      </c>
    </row>
    <row r="16974">
      <c r="A16974" t="inlineStr">
        <is>
          <t>3595471031167</t>
        </is>
      </c>
      <c r="B16974" t="inlineStr">
        <is>
          <t>Mercedesbenz For Women Pop Edition Eau De Parfum 90ml</t>
        </is>
      </c>
      <c r="C16974" t="inlineStr">
        <is>
          <t>Eau De Parfum</t>
        </is>
      </c>
      <c r="D16974" t="inlineStr">
        <is>
          <t>Mercedes-Benz</t>
        </is>
      </c>
      <c r="E16974" t="n">
        <v>37.83</v>
      </c>
      <c r="F16974" t="n">
        <v>1</v>
      </c>
      <c r="G16974" t="n">
        <v>13</v>
      </c>
      <c r="H16974" s="5">
        <f>HYPERLINK("https://api.qogita.com/variants/link/3595471031167/", "View Product")</f>
        <v/>
      </c>
    </row>
    <row r="16975">
      <c r="A16975" t="inlineStr">
        <is>
          <t>3595471071057</t>
        </is>
      </c>
      <c r="B16975" t="inlineStr">
        <is>
          <t>Mercedes-Benz Woman Amber Floral Fragrance for Women</t>
        </is>
      </c>
      <c r="C16975" t="inlineStr">
        <is>
          <t>Eau De Parfum</t>
        </is>
      </c>
      <c r="D16975" t="inlineStr">
        <is>
          <t>Mercedes-Benz</t>
        </is>
      </c>
      <c r="E16975" t="n">
        <v>32.69</v>
      </c>
      <c r="F16975" t="n">
        <v>1</v>
      </c>
      <c r="G16975" t="n">
        <v>3</v>
      </c>
      <c r="H16975" s="5">
        <f>HYPERLINK("https://api.qogita.com/variants/link/3595471071057/", "View Product")</f>
        <v/>
      </c>
    </row>
    <row r="16976">
      <c r="A16976" t="inlineStr">
        <is>
          <t>3595471081018</t>
        </is>
      </c>
      <c r="B16976" t="inlineStr">
        <is>
          <t>Mercedesbenz Select Eau De Toilette 100ml</t>
        </is>
      </c>
      <c r="C16976" t="inlineStr">
        <is>
          <t>Eau De Toilette</t>
        </is>
      </c>
      <c r="D16976" t="inlineStr">
        <is>
          <t>Mercedes-Benz</t>
        </is>
      </c>
      <c r="E16976" t="n">
        <v>29.97</v>
      </c>
      <c r="F16976" t="n">
        <v>1</v>
      </c>
      <c r="G16976" t="n">
        <v>51</v>
      </c>
      <c r="H16976" s="5">
        <f>HYPERLINK("https://api.qogita.com/variants/link/3595471081018/", "View Product")</f>
        <v/>
      </c>
    </row>
    <row r="16977">
      <c r="A16977" t="inlineStr">
        <is>
          <t>3595471081032</t>
        </is>
      </c>
      <c r="B16977" t="inlineStr">
        <is>
          <t>Mercedes Benz Select Night Eau De Parfum 100ml</t>
        </is>
      </c>
      <c r="C16977" t="inlineStr">
        <is>
          <t>Eau De Parfum</t>
        </is>
      </c>
      <c r="D16977" t="inlineStr">
        <is>
          <t>Mercedes-Benz</t>
        </is>
      </c>
      <c r="E16977" t="n">
        <v>29.43</v>
      </c>
      <c r="F16977" t="n">
        <v>1</v>
      </c>
      <c r="G16977" t="n">
        <v>26</v>
      </c>
      <c r="H16977" s="5">
        <f>HYPERLINK("https://api.qogita.com/variants/link/3595471081032/", "View Product")</f>
        <v/>
      </c>
    </row>
    <row r="16978">
      <c r="A16978" t="inlineStr">
        <is>
          <t>3595471091017</t>
        </is>
      </c>
      <c r="B16978" t="inlineStr">
        <is>
          <t>Mercedes-Benz The Move For Men Eau De Toilette Spray 100ml</t>
        </is>
      </c>
      <c r="C16978" t="inlineStr">
        <is>
          <t>Eau De Toilette</t>
        </is>
      </c>
      <c r="D16978" t="inlineStr">
        <is>
          <t>Mercedes-Benz</t>
        </is>
      </c>
      <c r="E16978" t="n">
        <v>27.34</v>
      </c>
      <c r="F16978" t="n">
        <v>1</v>
      </c>
      <c r="G16978" t="n">
        <v>33</v>
      </c>
      <c r="H16978" s="5">
        <f>HYPERLINK("https://api.qogita.com/variants/link/3595471091017/", "View Product")</f>
        <v/>
      </c>
    </row>
    <row r="16979">
      <c r="A16979" t="inlineStr">
        <is>
          <t>3595471091031</t>
        </is>
      </c>
      <c r="B16979" t="inlineStr">
        <is>
          <t>Mercedes Benz The Move Express Yourself Eau De Toilette 100ml</t>
        </is>
      </c>
      <c r="C16979" t="inlineStr">
        <is>
          <t>Eau De Toilette</t>
        </is>
      </c>
      <c r="D16979" t="inlineStr">
        <is>
          <t>Mercedes-Benz</t>
        </is>
      </c>
      <c r="E16979" t="n">
        <v>23.66</v>
      </c>
      <c r="F16979" t="n">
        <v>1</v>
      </c>
      <c r="G16979" t="n">
        <v>27</v>
      </c>
      <c r="H16979" s="5">
        <f>HYPERLINK("https://api.qogita.com/variants/link/3595471091031/", "View Product")</f>
        <v/>
      </c>
    </row>
    <row r="16980">
      <c r="A16980" t="inlineStr">
        <is>
          <t>3595471091079</t>
        </is>
      </c>
      <c r="B16980" t="inlineStr">
        <is>
          <t>Mercedes-Benz The Move Exclusive Eau De Toilette 20ml</t>
        </is>
      </c>
      <c r="C16980" t="inlineStr">
        <is>
          <t>Eau De Toilette</t>
        </is>
      </c>
      <c r="D16980" t="inlineStr">
        <is>
          <t>Mercedes-Benz</t>
        </is>
      </c>
      <c r="E16980" t="n">
        <v>7.97</v>
      </c>
      <c r="F16980" t="n">
        <v>1</v>
      </c>
      <c r="G16980" t="n">
        <v>6</v>
      </c>
      <c r="H16980" s="5">
        <f>HYPERLINK("https://api.qogita.com/variants/link/3595471091079/", "View Product")</f>
        <v/>
      </c>
    </row>
    <row r="16981">
      <c r="A16981" t="inlineStr">
        <is>
          <t>3595471111012</t>
        </is>
      </c>
      <c r="B16981" t="inlineStr">
        <is>
          <t>Mercedes-Benz Sign Eau De Parfum Spray 100ml</t>
        </is>
      </c>
      <c r="C16981" t="inlineStr">
        <is>
          <t>Eau De Parfum</t>
        </is>
      </c>
      <c r="D16981" t="inlineStr">
        <is>
          <t>Mercedes-Benz</t>
        </is>
      </c>
      <c r="E16981" t="n">
        <v>42.56</v>
      </c>
      <c r="F16981" t="n">
        <v>1</v>
      </c>
      <c r="G16981" t="n">
        <v>6</v>
      </c>
      <c r="H16981" s="5">
        <f>HYPERLINK("https://api.qogita.com/variants/link/3595471111012/", "View Product")</f>
        <v/>
      </c>
    </row>
    <row r="16982">
      <c r="A16982" t="inlineStr">
        <is>
          <t>3596200050879</t>
        </is>
      </c>
      <c r="B16982" t="inlineStr">
        <is>
          <t>Weleda Arnica Massage Body Butter 150 Ml</t>
        </is>
      </c>
      <c r="C16982" t="inlineStr">
        <is>
          <t>Body Butter</t>
        </is>
      </c>
      <c r="D16982" t="inlineStr">
        <is>
          <t>Weleda</t>
        </is>
      </c>
      <c r="E16982" t="n">
        <v>18.96</v>
      </c>
      <c r="F16982" t="n">
        <v>1</v>
      </c>
      <c r="G16982" t="n">
        <v>4</v>
      </c>
      <c r="H16982" s="5">
        <f>HYPERLINK("https://api.qogita.com/variants/link/3596200050879/", "View Product")</f>
        <v/>
      </c>
    </row>
    <row r="16983">
      <c r="A16983" t="inlineStr">
        <is>
          <t>3596200093616</t>
        </is>
      </c>
      <c r="B16983" t="inlineStr">
        <is>
          <t>Sensitive Repairing Face Oil</t>
        </is>
      </c>
      <c r="C16983" t="inlineStr">
        <is>
          <t>Facial Oil</t>
        </is>
      </c>
      <c r="D16983" t="inlineStr">
        <is>
          <t>Weleda</t>
        </is>
      </c>
      <c r="E16983" t="n">
        <v>15.17</v>
      </c>
      <c r="F16983" t="n">
        <v>1</v>
      </c>
      <c r="G16983" t="n">
        <v>4</v>
      </c>
      <c r="H16983" s="5">
        <f>HYPERLINK("https://api.qogita.com/variants/link/3596200093616/", "View Product")</f>
        <v/>
      </c>
    </row>
    <row r="16984">
      <c r="A16984" t="inlineStr">
        <is>
          <t>3596936251533</t>
        </is>
      </c>
      <c r="B16984" t="inlineStr">
        <is>
          <t>Reminiscence Lady Rem Eau De Parfum Spray 100ml</t>
        </is>
      </c>
      <c r="C16984" t="inlineStr">
        <is>
          <t>Eau De Parfum</t>
        </is>
      </c>
      <c r="D16984" t="inlineStr">
        <is>
          <t>Reminiscence</t>
        </is>
      </c>
      <c r="E16984" t="n">
        <v>30.99</v>
      </c>
      <c r="F16984" t="n">
        <v>1</v>
      </c>
      <c r="G16984" t="n">
        <v>2</v>
      </c>
      <c r="H16984" s="5">
        <f>HYPERLINK("https://api.qogita.com/variants/link/3596936251533/", "View Product")</f>
        <v/>
      </c>
    </row>
    <row r="16985">
      <c r="A16985" t="inlineStr">
        <is>
          <t>3600010018179</t>
        </is>
      </c>
      <c r="B16985" t="inlineStr">
        <is>
          <t>Garnier Essentials Softening Toner 200ml</t>
        </is>
      </c>
      <c r="C16985" t="inlineStr">
        <is>
          <t>Facial Spray</t>
        </is>
      </c>
      <c r="D16985" t="inlineStr">
        <is>
          <t>Garnier</t>
        </is>
      </c>
      <c r="E16985" t="n">
        <v>5.81</v>
      </c>
      <c r="F16985" t="n">
        <v>1</v>
      </c>
      <c r="G16985" t="n">
        <v>25</v>
      </c>
      <c r="H16985" s="5">
        <f>HYPERLINK("https://api.qogita.com/variants/link/3600010018179/", "View Product")</f>
        <v/>
      </c>
    </row>
    <row r="16986">
      <c r="A16986" t="inlineStr">
        <is>
          <t>3600521018149</t>
        </is>
      </c>
      <c r="B16986" t="inlineStr">
        <is>
          <t>L'Oral Paris Voluminous Royale Volume Mascara 85 Ml Carbon Black</t>
        </is>
      </c>
      <c r="C16986" t="inlineStr">
        <is>
          <t>Mascara</t>
        </is>
      </c>
      <c r="D16986" t="inlineStr">
        <is>
          <t>L'Oréal Paris</t>
        </is>
      </c>
      <c r="E16986" t="n">
        <v>9.81</v>
      </c>
      <c r="F16986" t="n">
        <v>1</v>
      </c>
      <c r="G16986" t="n">
        <v>23</v>
      </c>
      <c r="H16986" s="5">
        <f>HYPERLINK("https://api.qogita.com/variants/link/3600521018149/", "View Product")</f>
        <v/>
      </c>
    </row>
    <row r="16987">
      <c r="A16987" t="inlineStr">
        <is>
          <t>3600521459201</t>
        </is>
      </c>
      <c r="B16987" t="inlineStr">
        <is>
          <t>L'Oreal Color Riche Lipstick 265 Rose Pearl 24g</t>
        </is>
      </c>
      <c r="C16987" t="inlineStr">
        <is>
          <t>Lipstick</t>
        </is>
      </c>
      <c r="D16987" t="inlineStr">
        <is>
          <t>L'Oréal</t>
        </is>
      </c>
      <c r="E16987" t="n">
        <v>8.550000000000001</v>
      </c>
      <c r="F16987" t="n">
        <v>1</v>
      </c>
      <c r="G16987" t="n">
        <v>3</v>
      </c>
      <c r="H16987" s="5">
        <f>HYPERLINK("https://api.qogita.com/variants/link/3600521459201/", "View Product")</f>
        <v/>
      </c>
    </row>
    <row r="16988">
      <c r="A16988" t="inlineStr">
        <is>
          <t>3600521719893</t>
        </is>
      </c>
      <c r="B16988" t="inlineStr">
        <is>
          <t>L'Oral Paris Hydra Specialist Day Cream 50 Ml Daily Moisturizing Cream For Normal And Combination Skin</t>
        </is>
      </c>
      <c r="C16988" t="inlineStr">
        <is>
          <t>Day Cream</t>
        </is>
      </c>
      <c r="D16988" t="inlineStr">
        <is>
          <t>L'Oréal Paris</t>
        </is>
      </c>
      <c r="E16988" t="n">
        <v>8.35</v>
      </c>
      <c r="F16988" t="n">
        <v>1</v>
      </c>
      <c r="G16988" t="n">
        <v>8</v>
      </c>
      <c r="H16988" s="5">
        <f>HYPERLINK("https://api.qogita.com/variants/link/3600521719893/", "View Product")</f>
        <v/>
      </c>
    </row>
    <row r="16989">
      <c r="A16989" t="inlineStr">
        <is>
          <t>3600521961216</t>
        </is>
      </c>
      <c r="B16989" t="inlineStr">
        <is>
          <t>L'Oreal Volume Million Lashes Waterproof Mascara - Black, 9ml</t>
        </is>
      </c>
      <c r="C16989" t="inlineStr">
        <is>
          <t>Mascara</t>
        </is>
      </c>
      <c r="D16989" t="inlineStr">
        <is>
          <t>L'Oréal</t>
        </is>
      </c>
      <c r="E16989" t="n">
        <v>11.25</v>
      </c>
      <c r="F16989" t="n">
        <v>1</v>
      </c>
      <c r="G16989" t="n">
        <v>32</v>
      </c>
      <c r="H16989" s="5">
        <f>HYPERLINK("https://api.qogita.com/variants/link/3600521961216/", "View Product")</f>
        <v/>
      </c>
    </row>
    <row r="16990">
      <c r="A16990" t="inlineStr">
        <is>
          <t>3600522626077</t>
        </is>
      </c>
      <c r="B16990" t="inlineStr">
        <is>
          <t>L'Oral Paris Men Expert Thermic Resist Antiperspirant Rollon 50 Ml</t>
        </is>
      </c>
      <c r="C16990" t="inlineStr">
        <is>
          <t>Deodorant &amp; Anti-Perspirant</t>
        </is>
      </c>
      <c r="D16990" t="inlineStr">
        <is>
          <t>L'Oréal Paris</t>
        </is>
      </c>
      <c r="E16990" t="n">
        <v>5.1</v>
      </c>
      <c r="F16990" t="n">
        <v>1</v>
      </c>
      <c r="G16990" t="n">
        <v>5</v>
      </c>
      <c r="H16990" s="5">
        <f>HYPERLINK("https://api.qogita.com/variants/link/3600522626077/", "View Product")</f>
        <v/>
      </c>
    </row>
    <row r="16991">
      <c r="A16991" t="inlineStr">
        <is>
          <t>3600522632436</t>
        </is>
      </c>
      <c r="B16991" t="inlineStr">
        <is>
          <t>L'Oral Paris Night Wrinkle Cream Specialist Age 55 50 Ml</t>
        </is>
      </c>
      <c r="C16991" t="inlineStr">
        <is>
          <t>Night Cream</t>
        </is>
      </c>
      <c r="D16991" t="inlineStr">
        <is>
          <t>L'Oréal Paris</t>
        </is>
      </c>
      <c r="E16991" t="n">
        <v>8.35</v>
      </c>
      <c r="F16991" t="n">
        <v>1</v>
      </c>
      <c r="G16991" t="n">
        <v>11</v>
      </c>
      <c r="H16991" s="5">
        <f>HYPERLINK("https://api.qogita.com/variants/link/3600522632436/", "View Product")</f>
        <v/>
      </c>
    </row>
    <row r="16992">
      <c r="A16992" t="inlineStr">
        <is>
          <t>3600522840114</t>
        </is>
      </c>
      <c r="B16992" t="inlineStr">
        <is>
          <t>L'Oreal True Match Foundation - 1.5.N Neutral Undertone, 30ml</t>
        </is>
      </c>
      <c r="C16992" t="inlineStr">
        <is>
          <t>Foundation</t>
        </is>
      </c>
      <c r="D16992" t="inlineStr">
        <is>
          <t>L'Oréal</t>
        </is>
      </c>
      <c r="E16992" t="n">
        <v>11.03</v>
      </c>
      <c r="F16992" t="n">
        <v>1</v>
      </c>
      <c r="G16992" t="n">
        <v>3</v>
      </c>
      <c r="H16992" s="5">
        <f>HYPERLINK("https://api.qogita.com/variants/link/3600522840114/", "View Product")</f>
        <v/>
      </c>
    </row>
    <row r="16993">
      <c r="A16993" t="inlineStr">
        <is>
          <t>3600522851301</t>
        </is>
      </c>
      <c r="B16993" t="inlineStr">
        <is>
          <t>L'Oreal Color Riche Lipstick 632 Greige Amoureux - 24g</t>
        </is>
      </c>
      <c r="C16993" t="inlineStr">
        <is>
          <t>Lipstick</t>
        </is>
      </c>
      <c r="D16993" t="inlineStr">
        <is>
          <t>L'Oréal</t>
        </is>
      </c>
      <c r="E16993" t="n">
        <v>8.779999999999999</v>
      </c>
      <c r="F16993" t="n">
        <v>1</v>
      </c>
      <c r="G16993" t="n">
        <v>2</v>
      </c>
      <c r="H16993" s="5">
        <f>HYPERLINK("https://api.qogita.com/variants/link/3600522851301/", "View Product")</f>
        <v/>
      </c>
    </row>
    <row r="16994">
      <c r="A16994" t="inlineStr">
        <is>
          <t>3600522862406</t>
        </is>
      </c>
      <c r="B16994" t="inlineStr">
        <is>
          <t>L'Oreal True Match Foundation 3.N Neutral Undertone 30ml</t>
        </is>
      </c>
      <c r="C16994" t="inlineStr">
        <is>
          <t>Foundation</t>
        </is>
      </c>
      <c r="D16994" t="inlineStr">
        <is>
          <t>L'Oréal</t>
        </is>
      </c>
      <c r="E16994" t="n">
        <v>8.460000000000001</v>
      </c>
      <c r="F16994" t="n">
        <v>1</v>
      </c>
      <c r="G16994" t="n">
        <v>29</v>
      </c>
      <c r="H16994" s="5">
        <f>HYPERLINK("https://api.qogita.com/variants/link/3600522862406/", "View Product")</f>
        <v/>
      </c>
    </row>
    <row r="16995">
      <c r="A16995" t="inlineStr">
        <is>
          <t>3600522862413</t>
        </is>
      </c>
      <c r="B16995" t="inlineStr">
        <is>
          <t>L'Oreal True Match Foundation New Face Foundation N4 Beige 30ml</t>
        </is>
      </c>
      <c r="C16995" t="inlineStr">
        <is>
          <t>Foundation</t>
        </is>
      </c>
      <c r="D16995" t="inlineStr">
        <is>
          <t>L'Oréal</t>
        </is>
      </c>
      <c r="E16995" t="n">
        <v>9.039999999999999</v>
      </c>
      <c r="F16995" t="n">
        <v>1</v>
      </c>
      <c r="G16995" t="n">
        <v>8</v>
      </c>
      <c r="H16995" s="5">
        <f>HYPERLINK("https://api.qogita.com/variants/link/3600522862413/", "View Product")</f>
        <v/>
      </c>
    </row>
    <row r="16996">
      <c r="A16996" t="inlineStr">
        <is>
          <t>3600522862499</t>
        </is>
      </c>
      <c r="B16996" t="inlineStr">
        <is>
          <t>L'Oreal True Match Foundation In R3-C3 Rose Beige, 30ml</t>
        </is>
      </c>
      <c r="C16996" t="inlineStr">
        <is>
          <t>Foundation</t>
        </is>
      </c>
      <c r="D16996" t="inlineStr">
        <is>
          <t>L'Oréal</t>
        </is>
      </c>
      <c r="E16996" t="n">
        <v>12.5</v>
      </c>
      <c r="F16996" t="n">
        <v>1</v>
      </c>
      <c r="G16996" t="n">
        <v>9</v>
      </c>
      <c r="H16996" s="5">
        <f>HYPERLINK("https://api.qogita.com/variants/link/3600522862499/", "View Product")</f>
        <v/>
      </c>
    </row>
    <row r="16997">
      <c r="A16997" t="inlineStr">
        <is>
          <t>3600522862505</t>
        </is>
      </c>
      <c r="B16997" t="inlineStr">
        <is>
          <t>L'Oreal Paris True Match Foundation 5.R/5.C Cool Undertone 30ml</t>
        </is>
      </c>
      <c r="C16997" t="inlineStr">
        <is>
          <t>Foundation</t>
        </is>
      </c>
      <c r="D16997" t="inlineStr">
        <is>
          <t>L'Oréal Paris</t>
        </is>
      </c>
      <c r="E16997" t="n">
        <v>11.79</v>
      </c>
      <c r="F16997" t="n">
        <v>1</v>
      </c>
      <c r="G16997" t="n">
        <v>2</v>
      </c>
      <c r="H16997" s="5">
        <f>HYPERLINK("https://api.qogita.com/variants/link/3600522862505/", "View Product")</f>
        <v/>
      </c>
    </row>
    <row r="16998">
      <c r="A16998" t="inlineStr">
        <is>
          <t>3600522862529</t>
        </is>
      </c>
      <c r="B16998" t="inlineStr">
        <is>
          <t>L'Oreal Paris True Match Liquid Foundation with Hyaluronic Acid 30ml</t>
        </is>
      </c>
      <c r="C16998" t="inlineStr">
        <is>
          <t>Foundation</t>
        </is>
      </c>
      <c r="D16998" t="inlineStr">
        <is>
          <t>L'Oréal Paris</t>
        </is>
      </c>
      <c r="E16998" t="n">
        <v>8.6</v>
      </c>
      <c r="F16998" t="n">
        <v>1</v>
      </c>
      <c r="G16998" t="n">
        <v>7</v>
      </c>
      <c r="H16998" s="5">
        <f>HYPERLINK("https://api.qogita.com/variants/link/3600522862529/", "View Product")</f>
        <v/>
      </c>
    </row>
    <row r="16999">
      <c r="A16999" t="inlineStr">
        <is>
          <t>3600523242641</t>
        </is>
      </c>
      <c r="B16999" t="inlineStr">
        <is>
          <t>L'Oreal Age Perfect Golden Age Anti-Wrinkle Night Cream For Mature Skin 50ml</t>
        </is>
      </c>
      <c r="C16999" t="inlineStr">
        <is>
          <t>Night Cream</t>
        </is>
      </c>
      <c r="D16999" t="inlineStr">
        <is>
          <t>L'Oréal</t>
        </is>
      </c>
      <c r="E16999" t="n">
        <v>10.42</v>
      </c>
      <c r="F16999" t="n">
        <v>1</v>
      </c>
      <c r="G16999" t="n">
        <v>16</v>
      </c>
      <c r="H16999" s="5">
        <f>HYPERLINK("https://api.qogita.com/variants/link/3600523242641/", "View Product")</f>
        <v/>
      </c>
    </row>
    <row r="17000">
      <c r="A17000" t="inlineStr">
        <is>
          <t>3600523337705</t>
        </is>
      </c>
      <c r="B17000" t="inlineStr">
        <is>
          <t>L'Oreal Magic Retouch Instant Root Concealer Spray Cool Brown 75ml</t>
        </is>
      </c>
      <c r="C17000" t="inlineStr">
        <is>
          <t>Hairline Paint</t>
        </is>
      </c>
      <c r="D17000" t="inlineStr">
        <is>
          <t>L'Oréal</t>
        </is>
      </c>
      <c r="E17000" t="n">
        <v>6.58</v>
      </c>
      <c r="F17000" t="n">
        <v>1</v>
      </c>
      <c r="G17000" t="n">
        <v>2</v>
      </c>
      <c r="H17000" s="5">
        <f>HYPERLINK("https://api.qogita.com/variants/link/3600523337705/", "View Product")</f>
        <v/>
      </c>
    </row>
    <row r="17001">
      <c r="A17001" t="inlineStr">
        <is>
          <t>3600523363193</t>
        </is>
      </c>
      <c r="B17001" t="inlineStr">
        <is>
          <t>L'Oreal Paris Hydra Genius Liquid Care Moisturizer for Normal Dry Skin 70ml</t>
        </is>
      </c>
      <c r="C17001" t="inlineStr">
        <is>
          <t>Face Cream</t>
        </is>
      </c>
      <c r="D17001" t="inlineStr">
        <is>
          <t>L'Oréal</t>
        </is>
      </c>
      <c r="E17001" t="n">
        <v>12.11</v>
      </c>
      <c r="F17001" t="n">
        <v>1</v>
      </c>
      <c r="G17001" t="n">
        <v>25</v>
      </c>
      <c r="H17001" s="5">
        <f>HYPERLINK("https://api.qogita.com/variants/link/3600523363193/", "View Product")</f>
        <v/>
      </c>
    </row>
    <row r="17002">
      <c r="A17002" t="inlineStr">
        <is>
          <t>3600523448746</t>
        </is>
      </c>
      <c r="B17002" t="inlineStr">
        <is>
          <t>L'Oral Paris Antiwrinkle Day Cream Spf 20 Revitalift Laser Renew 50 Ml</t>
        </is>
      </c>
      <c r="C17002" t="inlineStr">
        <is>
          <t>Day Cream</t>
        </is>
      </c>
      <c r="D17002" t="inlineStr">
        <is>
          <t>L'Oréal Paris</t>
        </is>
      </c>
      <c r="E17002" t="n">
        <v>12.57</v>
      </c>
      <c r="F17002" t="n">
        <v>1</v>
      </c>
      <c r="G17002" t="n">
        <v>4</v>
      </c>
      <c r="H17002" s="5">
        <f>HYPERLINK("https://api.qogita.com/variants/link/3600523448746/", "View Product")</f>
        <v/>
      </c>
    </row>
    <row r="17003">
      <c r="A17003" t="inlineStr">
        <is>
          <t>3600523503285</t>
        </is>
      </c>
      <c r="B17003" t="inlineStr">
        <is>
          <t>L'Oreal Paradise Extatic Mascara Volumizing Black 6.4ml</t>
        </is>
      </c>
      <c r="C17003" t="inlineStr">
        <is>
          <t>Mascara</t>
        </is>
      </c>
      <c r="D17003" t="inlineStr">
        <is>
          <t>L'Oréal</t>
        </is>
      </c>
      <c r="E17003" t="n">
        <v>8.1</v>
      </c>
      <c r="F17003" t="n">
        <v>1</v>
      </c>
      <c r="G17003" t="n">
        <v>27</v>
      </c>
      <c r="H17003" s="5">
        <f>HYPERLINK("https://api.qogita.com/variants/link/3600523503285/", "View Product")</f>
        <v/>
      </c>
    </row>
    <row r="17004">
      <c r="A17004" t="inlineStr">
        <is>
          <t>3600523503384</t>
        </is>
      </c>
      <c r="B17004" t="inlineStr">
        <is>
          <t>L'Oreal Voluminous Paradise Mascara Primer 01 White</t>
        </is>
      </c>
      <c r="C17004" t="inlineStr">
        <is>
          <t>Mascara</t>
        </is>
      </c>
      <c r="D17004" t="inlineStr">
        <is>
          <t>L'Oréal</t>
        </is>
      </c>
      <c r="E17004" t="n">
        <v>10.68</v>
      </c>
      <c r="F17004" t="n">
        <v>1</v>
      </c>
      <c r="G17004" t="n">
        <v>11</v>
      </c>
      <c r="H17004" s="5">
        <f>HYPERLINK("https://api.qogita.com/variants/link/3600523503384/", "View Product")</f>
        <v/>
      </c>
    </row>
    <row r="17005">
      <c r="A17005" t="inlineStr">
        <is>
          <t>3600523527878</t>
        </is>
      </c>
      <c r="B17005" t="inlineStr">
        <is>
          <t>L'Oreal Infallible 24h Fresh Wear Foundation Long-Lasting Face Foundation 110 Vanilla Rose 30ml</t>
        </is>
      </c>
      <c r="C17005" t="inlineStr">
        <is>
          <t>Foundation</t>
        </is>
      </c>
      <c r="D17005" t="inlineStr">
        <is>
          <t>L'Oréal</t>
        </is>
      </c>
      <c r="E17005" t="n">
        <v>9.199999999999999</v>
      </c>
      <c r="F17005" t="n">
        <v>1</v>
      </c>
      <c r="G17005" t="n">
        <v>6</v>
      </c>
      <c r="H17005" s="5">
        <f>HYPERLINK("https://api.qogita.com/variants/link/3600523527878/", "View Product")</f>
        <v/>
      </c>
    </row>
    <row r="17006">
      <c r="A17006" t="inlineStr">
        <is>
          <t>3600523553082</t>
        </is>
      </c>
      <c r="B17006" t="inlineStr">
        <is>
          <t>L'Oreal Volumissime Royale X10 Volume Mascara - Black, 7.9ml</t>
        </is>
      </c>
      <c r="C17006" t="inlineStr">
        <is>
          <t>Mascara</t>
        </is>
      </c>
      <c r="D17006" t="inlineStr">
        <is>
          <t>L'Oréal</t>
        </is>
      </c>
      <c r="E17006" t="n">
        <v>5.32</v>
      </c>
      <c r="F17006" t="n">
        <v>1</v>
      </c>
      <c r="G17006" t="n">
        <v>5</v>
      </c>
      <c r="H17006" s="5">
        <f>HYPERLINK("https://api.qogita.com/variants/link/3600523553082/", "View Product")</f>
        <v/>
      </c>
    </row>
    <row r="17007">
      <c r="A17007" t="inlineStr">
        <is>
          <t>3600523610204</t>
        </is>
      </c>
      <c r="B17007" t="inlineStr">
        <is>
          <t>L'Oréal Paris Men Expert Barber Club Long Beard &amp; Skin Oil 30ml</t>
        </is>
      </c>
      <c r="C17007" t="inlineStr">
        <is>
          <t>Beard Care Accessories</t>
        </is>
      </c>
      <c r="D17007" t="inlineStr">
        <is>
          <t>L'Oréal</t>
        </is>
      </c>
      <c r="E17007" t="n">
        <v>11.79</v>
      </c>
      <c r="F17007" t="n">
        <v>1</v>
      </c>
      <c r="G17007" t="n">
        <v>2</v>
      </c>
      <c r="H17007" s="5">
        <f>HYPERLINK("https://api.qogita.com/variants/link/3600523610204/", "View Product")</f>
        <v/>
      </c>
    </row>
    <row r="17008">
      <c r="A17008" t="inlineStr">
        <is>
          <t>3600523614400</t>
        </is>
      </c>
      <c r="B17008" t="inlineStr">
        <is>
          <t>L'Oreal Infallible 24h Fresh Wear Foundation Long-Lasting Face Foundation 15 Porcelain 30ml</t>
        </is>
      </c>
      <c r="C17008" t="inlineStr">
        <is>
          <t>Foundation</t>
        </is>
      </c>
      <c r="D17008" t="inlineStr">
        <is>
          <t>L'Oréal</t>
        </is>
      </c>
      <c r="E17008" t="n">
        <v>9.199999999999999</v>
      </c>
      <c r="F17008" t="n">
        <v>1</v>
      </c>
      <c r="G17008" t="n">
        <v>2</v>
      </c>
      <c r="H17008" s="5">
        <f>HYPERLINK("https://api.qogita.com/variants/link/3600523614400/", "View Product")</f>
        <v/>
      </c>
    </row>
    <row r="17009">
      <c r="A17009" t="inlineStr">
        <is>
          <t>3600523614523</t>
        </is>
      </c>
      <c r="B17009" t="inlineStr">
        <is>
          <t>L'Oreal Paris Infallible 24h Fresh Wear Foundation Long-Lasting Face Foundation 300 Amber 30ml</t>
        </is>
      </c>
      <c r="C17009" t="inlineStr">
        <is>
          <t>Foundation</t>
        </is>
      </c>
      <c r="D17009" t="inlineStr">
        <is>
          <t>L'Oréal Paris</t>
        </is>
      </c>
      <c r="E17009" t="n">
        <v>9.74</v>
      </c>
      <c r="F17009" t="n">
        <v>1</v>
      </c>
      <c r="G17009" t="n">
        <v>5</v>
      </c>
      <c r="H17009" s="5">
        <f>HYPERLINK("https://api.qogita.com/variants/link/3600523614523/", "View Product")</f>
        <v/>
      </c>
    </row>
    <row r="17010">
      <c r="A17010" t="inlineStr">
        <is>
          <t>3600523687121</t>
        </is>
      </c>
      <c r="B17010" t="inlineStr">
        <is>
          <t>L'Oreal Color Riche Glow Paradise Lipstick 351 Watermelon Dream - 3.8g</t>
        </is>
      </c>
      <c r="C17010" t="inlineStr">
        <is>
          <t>Lipstick</t>
        </is>
      </c>
      <c r="D17010" t="inlineStr">
        <is>
          <t>L'Oréal</t>
        </is>
      </c>
      <c r="E17010" t="n">
        <v>8.779999999999999</v>
      </c>
      <c r="F17010" t="n">
        <v>1</v>
      </c>
      <c r="G17010" t="n">
        <v>2</v>
      </c>
      <c r="H17010" s="5">
        <f>HYPERLINK("https://api.qogita.com/variants/link/3600523687121/", "View Product")</f>
        <v/>
      </c>
    </row>
    <row r="17011">
      <c r="A17011" t="inlineStr">
        <is>
          <t>3600523699155</t>
        </is>
      </c>
      <c r="B17011" t="inlineStr">
        <is>
          <t>L'Oral Paris Elseve Colorvive Purple Shampoo 200 Ml</t>
        </is>
      </c>
      <c r="C17011" t="inlineStr">
        <is>
          <t>Shampoo</t>
        </is>
      </c>
      <c r="D17011" t="inlineStr">
        <is>
          <t>L'Oréal Paris</t>
        </is>
      </c>
      <c r="E17011" t="n">
        <v>7.35</v>
      </c>
      <c r="F17011" t="n">
        <v>1</v>
      </c>
      <c r="G17011" t="n">
        <v>21</v>
      </c>
      <c r="H17011" s="5">
        <f>HYPERLINK("https://api.qogita.com/variants/link/3600523699155/", "View Product")</f>
        <v/>
      </c>
    </row>
    <row r="17012">
      <c r="A17012" t="inlineStr">
        <is>
          <t>3600523723492</t>
        </is>
      </c>
      <c r="B17012" t="inlineStr">
        <is>
          <t>L'Oral Paris Cest Magic Skin Perfector Bb Cream 30 Ml Very Light</t>
        </is>
      </c>
      <c r="C17012" t="inlineStr">
        <is>
          <t>Tinted Day Cream</t>
        </is>
      </c>
      <c r="D17012" t="inlineStr">
        <is>
          <t>L'Oréal Paris</t>
        </is>
      </c>
      <c r="E17012" t="n">
        <v>11.44</v>
      </c>
      <c r="F17012" t="n">
        <v>1</v>
      </c>
      <c r="G17012" t="n">
        <v>14</v>
      </c>
      <c r="H17012" s="5">
        <f>HYPERLINK("https://api.qogita.com/variants/link/3600523723492/", "View Product")</f>
        <v/>
      </c>
    </row>
    <row r="17013">
      <c r="A17013" t="inlineStr">
        <is>
          <t>3600523767106</t>
        </is>
      </c>
      <c r="B17013" t="inlineStr">
        <is>
          <t>L'Oral Paris Men Expert Invisicontrol Neat Matte Control Cream 150 Ml</t>
        </is>
      </c>
      <c r="C17013" t="inlineStr">
        <is>
          <t>Face Cream</t>
        </is>
      </c>
      <c r="D17013" t="inlineStr">
        <is>
          <t>L'Oréal Paris</t>
        </is>
      </c>
      <c r="E17013" t="n">
        <v>6.34</v>
      </c>
      <c r="F17013" t="n">
        <v>1</v>
      </c>
      <c r="G17013" t="n">
        <v>18</v>
      </c>
      <c r="H17013" s="5">
        <f>HYPERLINK("https://api.qogita.com/variants/link/3600523767106/", "View Product")</f>
        <v/>
      </c>
    </row>
    <row r="17014">
      <c r="A17014" t="inlineStr">
        <is>
          <t>3600523796861</t>
        </is>
      </c>
      <c r="B17014" t="inlineStr">
        <is>
          <t>L'Oreal Infallible Brows 24h Micro Precision Pencil Automatic Eyebrow Pencil Brunette</t>
        </is>
      </c>
      <c r="C17014" t="inlineStr">
        <is>
          <t>Eyebrow Pencil</t>
        </is>
      </c>
      <c r="D17014" t="inlineStr">
        <is>
          <t>L'Oréal</t>
        </is>
      </c>
      <c r="E17014" t="n">
        <v>8.94</v>
      </c>
      <c r="F17014" t="n">
        <v>1</v>
      </c>
      <c r="G17014" t="n">
        <v>3</v>
      </c>
      <c r="H17014" s="5">
        <f>HYPERLINK("https://api.qogita.com/variants/link/3600523796861/", "View Product")</f>
        <v/>
      </c>
    </row>
    <row r="17015">
      <c r="A17015" t="inlineStr">
        <is>
          <t>3600523917464</t>
        </is>
      </c>
      <c r="B17015" t="inlineStr">
        <is>
          <t>L'Oral Paris Elseve Colorvive Deep Purple Mask 250 Ml Neutralizes Yellow Tones In Blonde And Gray Hair</t>
        </is>
      </c>
      <c r="C17015" t="inlineStr">
        <is>
          <t>Hair Masks</t>
        </is>
      </c>
      <c r="D17015" t="inlineStr">
        <is>
          <t>L'Oréal Paris</t>
        </is>
      </c>
      <c r="E17015" t="n">
        <v>7.5</v>
      </c>
      <c r="F17015" t="n">
        <v>1</v>
      </c>
      <c r="G17015" t="n">
        <v>3</v>
      </c>
      <c r="H17015" s="5">
        <f>HYPERLINK("https://api.qogita.com/variants/link/3600523917464/", "View Product")</f>
        <v/>
      </c>
    </row>
    <row r="17016">
      <c r="A17016" t="inlineStr">
        <is>
          <t>3600523951598</t>
        </is>
      </c>
      <c r="B17016" t="inlineStr">
        <is>
          <t>L'Oreal Infaillible 24h Fresh Wear Foundation In A Powder - 140 Golden Beige, 9g</t>
        </is>
      </c>
      <c r="C17016" t="inlineStr">
        <is>
          <t>Foundation</t>
        </is>
      </c>
      <c r="D17016" t="inlineStr">
        <is>
          <t>L'Oréal</t>
        </is>
      </c>
      <c r="E17016" t="n">
        <v>13.01</v>
      </c>
      <c r="F17016" t="n">
        <v>1</v>
      </c>
      <c r="G17016" t="n">
        <v>5</v>
      </c>
      <c r="H17016" s="5">
        <f>HYPERLINK("https://api.qogita.com/variants/link/3600523951598/", "View Product")</f>
        <v/>
      </c>
    </row>
    <row r="17017">
      <c r="A17017" t="inlineStr">
        <is>
          <t>3600523951741</t>
        </is>
      </c>
      <c r="B17017" t="inlineStr">
        <is>
          <t>L'Oral Paris Infaillible 24h Fresh Wear Foundation In A Powder 9 G 180 Rose Sand</t>
        </is>
      </c>
      <c r="C17017" t="inlineStr">
        <is>
          <t>Foundation</t>
        </is>
      </c>
      <c r="D17017" t="inlineStr">
        <is>
          <t>L'Oréal Paris</t>
        </is>
      </c>
      <c r="E17017" t="n">
        <v>11.65</v>
      </c>
      <c r="F17017" t="n">
        <v>1</v>
      </c>
      <c r="G17017" t="n">
        <v>5</v>
      </c>
      <c r="H17017" s="5">
        <f>HYPERLINK("https://api.qogita.com/variants/link/3600523951741/", "View Product")</f>
        <v/>
      </c>
    </row>
    <row r="17018">
      <c r="A17018" t="inlineStr">
        <is>
          <t>3600523957392</t>
        </is>
      </c>
      <c r="B17018" t="inlineStr">
        <is>
          <t>L'Oreal Color Riche Les Nus Lipstick 181 Intense 3.8g</t>
        </is>
      </c>
      <c r="C17018" t="inlineStr">
        <is>
          <t>Lipstick</t>
        </is>
      </c>
      <c r="D17018" t="inlineStr">
        <is>
          <t>L'Oréal</t>
        </is>
      </c>
      <c r="E17018" t="n">
        <v>10.25</v>
      </c>
      <c r="F17018" t="n">
        <v>1</v>
      </c>
      <c r="G17018" t="n">
        <v>5</v>
      </c>
      <c r="H17018" s="5">
        <f>HYPERLINK("https://api.qogita.com/variants/link/3600523957392/", "View Product")</f>
        <v/>
      </c>
    </row>
    <row r="17019">
      <c r="A17019" t="inlineStr">
        <is>
          <t>3600523959648</t>
        </is>
      </c>
      <c r="B17019" t="inlineStr">
        <is>
          <t>Hyaluron Specialist Plumping Smoothing Toner - Face Tonic 200ml</t>
        </is>
      </c>
      <c r="C17019" t="inlineStr">
        <is>
          <t>Facial Spray</t>
        </is>
      </c>
      <c r="D17019" t="inlineStr">
        <is>
          <t>L'Oréal Paris</t>
        </is>
      </c>
      <c r="E17019" t="n">
        <v>7.13</v>
      </c>
      <c r="F17019" t="n">
        <v>1</v>
      </c>
      <c r="G17019" t="n">
        <v>3</v>
      </c>
      <c r="H17019" s="5">
        <f>HYPERLINK("https://api.qogita.com/variants/link/3600523959648/", "View Product")</f>
        <v/>
      </c>
    </row>
    <row r="17020">
      <c r="A17020" t="inlineStr">
        <is>
          <t>3600523971329</t>
        </is>
      </c>
      <c r="B17020" t="inlineStr">
        <is>
          <t>L'Oral Paris Brilliant Signature Plumpingloss 400 I Maximize Assert 404 7 Ml</t>
        </is>
      </c>
      <c r="C17020" t="inlineStr">
        <is>
          <t>Lip Gloss</t>
        </is>
      </c>
      <c r="D17020" t="inlineStr">
        <is>
          <t>L'Oréal Paris</t>
        </is>
      </c>
      <c r="E17020" t="n">
        <v>10.41</v>
      </c>
      <c r="F17020" t="n">
        <v>1</v>
      </c>
      <c r="G17020" t="n">
        <v>16</v>
      </c>
      <c r="H17020" s="5">
        <f>HYPERLINK("https://api.qogita.com/variants/link/3600523971329/", "View Product")</f>
        <v/>
      </c>
    </row>
    <row r="17021">
      <c r="A17021" t="inlineStr">
        <is>
          <t>3600524012601</t>
        </is>
      </c>
      <c r="B17021" t="inlineStr">
        <is>
          <t>L'Oreal Age Perfect Cell Renew Midnight Serum Anti-Wrinkle Serum 30ml</t>
        </is>
      </c>
      <c r="C17021" t="inlineStr">
        <is>
          <t>Anti-Aging Serum</t>
        </is>
      </c>
      <c r="D17021" t="inlineStr">
        <is>
          <t>L'Oréal</t>
        </is>
      </c>
      <c r="E17021" t="n">
        <v>17.67</v>
      </c>
      <c r="F17021" t="n">
        <v>1</v>
      </c>
      <c r="G17021" t="n">
        <v>5</v>
      </c>
      <c r="H17021" s="5">
        <f>HYPERLINK("https://api.qogita.com/variants/link/3600524012601/", "View Product")</f>
        <v/>
      </c>
    </row>
    <row r="17022">
      <c r="A17022" t="inlineStr">
        <is>
          <t>3600524019679</t>
        </is>
      </c>
      <c r="B17022" t="inlineStr">
        <is>
          <t>L'Oréal Paris Revitalift 5 Pure Glycolic Acid Peeling Toner 180ml</t>
        </is>
      </c>
      <c r="C17022" t="inlineStr">
        <is>
          <t>Facial Scrub &amp; Peeling</t>
        </is>
      </c>
      <c r="D17022" t="inlineStr">
        <is>
          <t>L'Oréal</t>
        </is>
      </c>
      <c r="E17022" t="n">
        <v>7.38</v>
      </c>
      <c r="F17022" t="n">
        <v>1</v>
      </c>
      <c r="G17022" t="n">
        <v>2</v>
      </c>
      <c r="H17022" s="5">
        <f>HYPERLINK("https://api.qogita.com/variants/link/3600524019679/", "View Product")</f>
        <v/>
      </c>
    </row>
    <row r="17023">
      <c r="A17023" t="inlineStr">
        <is>
          <t>3600524026639</t>
        </is>
      </c>
      <c r="B17023" t="inlineStr">
        <is>
          <t>L'Oral Paris Infaillible Grip 36h Automatic Gel Eyeliner Intense Black</t>
        </is>
      </c>
      <c r="C17023" t="inlineStr">
        <is>
          <t>Eyeliner</t>
        </is>
      </c>
      <c r="D17023" t="inlineStr">
        <is>
          <t>L'Oréal Paris</t>
        </is>
      </c>
      <c r="E17023" t="n">
        <v>7.1</v>
      </c>
      <c r="F17023" t="n">
        <v>1</v>
      </c>
      <c r="G17023" t="n">
        <v>3</v>
      </c>
      <c r="H17023" s="5">
        <f>HYPERLINK("https://api.qogita.com/variants/link/3600524026639/", "View Product")</f>
        <v/>
      </c>
    </row>
    <row r="17024">
      <c r="A17024" t="inlineStr">
        <is>
          <t>3600524027087</t>
        </is>
      </c>
      <c r="B17024" t="inlineStr">
        <is>
          <t>L'Oral Men Expert Magnesium Defence 48h Deodorant</t>
        </is>
      </c>
      <c r="C17024" t="inlineStr">
        <is>
          <t>Deodorant &amp; Anti-Perspirant</t>
        </is>
      </c>
      <c r="D17024" t="inlineStr">
        <is>
          <t>L'Oréal</t>
        </is>
      </c>
      <c r="E17024" t="n">
        <v>5.1</v>
      </c>
      <c r="F17024" t="n">
        <v>1</v>
      </c>
      <c r="G17024" t="n">
        <v>5</v>
      </c>
      <c r="H17024" s="5">
        <f>HYPERLINK("https://api.qogita.com/variants/link/3600524027087/", "View Product")</f>
        <v/>
      </c>
    </row>
    <row r="17025">
      <c r="A17025" t="inlineStr">
        <is>
          <t>3600524030186</t>
        </is>
      </c>
      <c r="B17025" t="inlineStr">
        <is>
          <t>L'Oreal Men Expert Sensitive Skin Moisturiser with Magnesium and Hyaluronic Acid 50ml</t>
        </is>
      </c>
      <c r="C17025" t="inlineStr">
        <is>
          <t>Face Cream</t>
        </is>
      </c>
      <c r="D17025" t="inlineStr">
        <is>
          <t>L'Oréal</t>
        </is>
      </c>
      <c r="E17025" t="n">
        <v>11.8</v>
      </c>
      <c r="F17025" t="n">
        <v>1</v>
      </c>
      <c r="G17025" t="n">
        <v>5</v>
      </c>
      <c r="H17025" s="5">
        <f>HYPERLINK("https://api.qogita.com/variants/link/3600524030186/", "View Product")</f>
        <v/>
      </c>
    </row>
    <row r="17026">
      <c r="A17026" t="inlineStr">
        <is>
          <t>3600524031107</t>
        </is>
      </c>
      <c r="B17026" t="inlineStr">
        <is>
          <t>L'Oreal Pro Xxl Double Mascara Black 12 Ml</t>
        </is>
      </c>
      <c r="C17026" t="inlineStr">
        <is>
          <t>Mascara</t>
        </is>
      </c>
      <c r="D17026" t="inlineStr">
        <is>
          <t>L'Oréal</t>
        </is>
      </c>
      <c r="E17026" t="n">
        <v>13.1</v>
      </c>
      <c r="F17026" t="n">
        <v>1</v>
      </c>
      <c r="G17026" t="n">
        <v>11</v>
      </c>
      <c r="H17026" s="5">
        <f>HYPERLINK("https://api.qogita.com/variants/link/3600524031107/", "View Product")</f>
        <v/>
      </c>
    </row>
    <row r="17027">
      <c r="A17027" t="inlineStr">
        <is>
          <t>3600524050849</t>
        </is>
      </c>
      <c r="B17027" t="inlineStr">
        <is>
          <t>L'Oral Infaillible Grip 27h Precision Felt Eye Liner 1 Ml 02 Brown</t>
        </is>
      </c>
      <c r="C17027" t="inlineStr">
        <is>
          <t>Eyeliner</t>
        </is>
      </c>
      <c r="D17027" t="inlineStr">
        <is>
          <t>L'Oréal</t>
        </is>
      </c>
      <c r="E17027" t="n">
        <v>9.81</v>
      </c>
      <c r="F17027" t="n">
        <v>1</v>
      </c>
      <c r="G17027" t="n">
        <v>5</v>
      </c>
      <c r="H17027" s="5">
        <f>HYPERLINK("https://api.qogita.com/variants/link/3600524050849/", "View Product")</f>
        <v/>
      </c>
    </row>
    <row r="17028">
      <c r="A17028" t="inlineStr">
        <is>
          <t>3600524063597</t>
        </is>
      </c>
      <c r="B17028" t="inlineStr">
        <is>
          <t>L'Oreal Elseve Dream Long Restoring Shampoo 1000ml</t>
        </is>
      </c>
      <c r="C17028" t="inlineStr">
        <is>
          <t>Shampoo</t>
        </is>
      </c>
      <c r="D17028" t="inlineStr">
        <is>
          <t>L'Oréal</t>
        </is>
      </c>
      <c r="E17028" t="n">
        <v>11.5</v>
      </c>
      <c r="F17028" t="n">
        <v>1</v>
      </c>
      <c r="G17028" t="n">
        <v>2</v>
      </c>
      <c r="H17028" s="5">
        <f>HYPERLINK("https://api.qogita.com/variants/link/3600524063597/", "View Product")</f>
        <v/>
      </c>
    </row>
    <row r="17029">
      <c r="A17029" t="inlineStr">
        <is>
          <t>3600524076689</t>
        </is>
      </c>
      <c r="B17029" t="inlineStr">
        <is>
          <t>L'Oral Paris Men Expert Barber Club Deodorant Spray 150 Ml</t>
        </is>
      </c>
      <c r="C17029" t="inlineStr">
        <is>
          <t>Deodorant &amp; Anti-Perspirant</t>
        </is>
      </c>
      <c r="D17029" t="inlineStr">
        <is>
          <t>L'Oréal Paris</t>
        </is>
      </c>
      <c r="E17029" t="n">
        <v>5.1</v>
      </c>
      <c r="F17029" t="n">
        <v>1</v>
      </c>
      <c r="G17029" t="n">
        <v>32</v>
      </c>
      <c r="H17029" s="5">
        <f>HYPERLINK("https://api.qogita.com/variants/link/3600524076689/", "View Product")</f>
        <v/>
      </c>
    </row>
    <row r="17030">
      <c r="A17030" t="inlineStr">
        <is>
          <t>3600524076719</t>
        </is>
      </c>
      <c r="B17030" t="inlineStr">
        <is>
          <t>L'Oral Paris Men Expert Barber Club Rollon Deodorant 50 Ml</t>
        </is>
      </c>
      <c r="C17030" t="inlineStr">
        <is>
          <t>Deodorant &amp; Anti-Perspirant</t>
        </is>
      </c>
      <c r="D17030" t="inlineStr">
        <is>
          <t>L'Oréal Paris</t>
        </is>
      </c>
      <c r="E17030" t="n">
        <v>5.1</v>
      </c>
      <c r="F17030" t="n">
        <v>1</v>
      </c>
      <c r="G17030" t="n">
        <v>16</v>
      </c>
      <c r="H17030" s="5">
        <f>HYPERLINK("https://api.qogita.com/variants/link/3600524076719/", "View Product")</f>
        <v/>
      </c>
    </row>
    <row r="17031">
      <c r="A17031" t="inlineStr">
        <is>
          <t>3600524081690</t>
        </is>
      </c>
      <c r="B17031" t="inlineStr">
        <is>
          <t>L'Oral Paris Revitalift Clinical Serum With Pure Vitamin C 30 Ml</t>
        </is>
      </c>
      <c r="C17031" t="inlineStr">
        <is>
          <t>Vitamin Serum</t>
        </is>
      </c>
      <c r="D17031" t="inlineStr">
        <is>
          <t>L'Oréal Paris</t>
        </is>
      </c>
      <c r="E17031" t="n">
        <v>16.72</v>
      </c>
      <c r="F17031" t="n">
        <v>1</v>
      </c>
      <c r="G17031" t="n">
        <v>16</v>
      </c>
      <c r="H17031" s="5">
        <f>HYPERLINK("https://api.qogita.com/variants/link/3600524081690/", "View Product")</f>
        <v/>
      </c>
    </row>
    <row r="17032">
      <c r="A17032" t="inlineStr">
        <is>
          <t>3600524088323</t>
        </is>
      </c>
      <c r="B17032" t="inlineStr">
        <is>
          <t>L'Oreal Men Expert Power Age Serum Multi-Action Reducing Wrinkles 30ml</t>
        </is>
      </c>
      <c r="C17032" t="inlineStr">
        <is>
          <t>Anti-Aging Serum</t>
        </is>
      </c>
      <c r="D17032" t="inlineStr">
        <is>
          <t>L'Oréal</t>
        </is>
      </c>
      <c r="E17032" t="n">
        <v>15.71</v>
      </c>
      <c r="F17032" t="n">
        <v>1</v>
      </c>
      <c r="G17032" t="n">
        <v>12</v>
      </c>
      <c r="H17032" s="5">
        <f>HYPERLINK("https://api.qogita.com/variants/link/3600524088323/", "View Product")</f>
        <v/>
      </c>
    </row>
    <row r="17033">
      <c r="A17033" t="inlineStr">
        <is>
          <t>3600524122881</t>
        </is>
      </c>
      <c r="B17033" t="inlineStr">
        <is>
          <t>L'Oréal Paris Bright Reveal Dark Spot Exfoliant Peel 25ml</t>
        </is>
      </c>
      <c r="C17033" t="inlineStr">
        <is>
          <t>Anti-Pigmentation Spot Cream</t>
        </is>
      </c>
      <c r="D17033" t="inlineStr">
        <is>
          <t>L'Oréal</t>
        </is>
      </c>
      <c r="E17033" t="n">
        <v>16.2</v>
      </c>
      <c r="F17033" t="n">
        <v>1</v>
      </c>
      <c r="G17033" t="n">
        <v>3</v>
      </c>
      <c r="H17033" s="5">
        <f>HYPERLINK("https://api.qogita.com/variants/link/3600524122881/", "View Product")</f>
        <v/>
      </c>
    </row>
    <row r="17034">
      <c r="A17034" t="inlineStr">
        <is>
          <t>3600524125738</t>
        </is>
      </c>
      <c r="B17034" t="inlineStr">
        <is>
          <t>L'Oreal Men Expert Hydra Energetic Face Serum 30ml</t>
        </is>
      </c>
      <c r="C17034" t="inlineStr">
        <is>
          <t>Hydrating Serum</t>
        </is>
      </c>
      <c r="D17034" t="inlineStr">
        <is>
          <t>L'Oréal</t>
        </is>
      </c>
      <c r="E17034" t="n">
        <v>15.04</v>
      </c>
      <c r="F17034" t="n">
        <v>1</v>
      </c>
      <c r="G17034" t="n">
        <v>5</v>
      </c>
      <c r="H17034" s="5">
        <f>HYPERLINK("https://api.qogita.com/variants/link/3600524125738/", "View Product")</f>
        <v/>
      </c>
    </row>
    <row r="17035">
      <c r="A17035" t="inlineStr">
        <is>
          <t>3600524135256</t>
        </is>
      </c>
      <c r="B17035" t="inlineStr">
        <is>
          <t>L'Oréal Paris Elseve Hyaluron Pure 250ml Shampoo</t>
        </is>
      </c>
      <c r="C17035" t="inlineStr">
        <is>
          <t>Shampoo</t>
        </is>
      </c>
      <c r="D17035" t="inlineStr">
        <is>
          <t>L'Oréal</t>
        </is>
      </c>
      <c r="E17035" t="n">
        <v>5.76</v>
      </c>
      <c r="F17035" t="n">
        <v>1</v>
      </c>
      <c r="G17035" t="n">
        <v>7</v>
      </c>
      <c r="H17035" s="5">
        <f>HYPERLINK("https://api.qogita.com/variants/link/3600524135256/", "View Product")</f>
        <v/>
      </c>
    </row>
    <row r="17036">
      <c r="A17036" t="inlineStr">
        <is>
          <t>3600524135966</t>
        </is>
      </c>
      <c r="B17036" t="inlineStr">
        <is>
          <t>L'Oreal Brow Color Eyebrow Coloring Set 3.0 Dark Brunette</t>
        </is>
      </c>
      <c r="C17036" t="inlineStr">
        <is>
          <t>Eyebrow Dye</t>
        </is>
      </c>
      <c r="D17036" t="inlineStr">
        <is>
          <t>L'Oréal</t>
        </is>
      </c>
      <c r="E17036" t="n">
        <v>14.5</v>
      </c>
      <c r="F17036" t="n">
        <v>1</v>
      </c>
      <c r="G17036" t="n">
        <v>3</v>
      </c>
      <c r="H17036" s="5">
        <f>HYPERLINK("https://api.qogita.com/variants/link/3600524135966/", "View Product")</f>
        <v/>
      </c>
    </row>
    <row r="17037">
      <c r="A17037" t="inlineStr">
        <is>
          <t>3600524136987</t>
        </is>
      </c>
      <c r="B17037" t="inlineStr">
        <is>
          <t>L'Oreal Infaillible 24h Brow Lamination Brow Gel 00 Transparent - 5g</t>
        </is>
      </c>
      <c r="C17037" t="inlineStr">
        <is>
          <t>Eyebrow Gel</t>
        </is>
      </c>
      <c r="D17037" t="inlineStr">
        <is>
          <t>L'Oréal</t>
        </is>
      </c>
      <c r="E17037" t="n">
        <v>11.48</v>
      </c>
      <c r="F17037" t="n">
        <v>1</v>
      </c>
      <c r="G17037" t="n">
        <v>4</v>
      </c>
      <c r="H17037" s="5">
        <f>HYPERLINK("https://api.qogita.com/variants/link/3600524136987/", "View Product")</f>
        <v/>
      </c>
    </row>
    <row r="17038">
      <c r="A17038" t="inlineStr">
        <is>
          <t>3600524142667</t>
        </is>
      </c>
      <c r="B17038" t="inlineStr">
        <is>
          <t>L'Oreal Paris Elseve Dream Long Hair Conditioner - 300 ml</t>
        </is>
      </c>
      <c r="C17038" t="inlineStr">
        <is>
          <t>Conditioner</t>
        </is>
      </c>
      <c r="D17038" t="inlineStr">
        <is>
          <t>L'Oréal Paris</t>
        </is>
      </c>
      <c r="E17038" t="n">
        <v>7.03</v>
      </c>
      <c r="F17038" t="n">
        <v>1</v>
      </c>
      <c r="G17038" t="n">
        <v>10</v>
      </c>
      <c r="H17038" s="5">
        <f>HYPERLINK("https://api.qogita.com/variants/link/3600524142667/", "View Product")</f>
        <v/>
      </c>
    </row>
    <row r="17039">
      <c r="A17039" t="inlineStr">
        <is>
          <t>3600524144623</t>
        </is>
      </c>
      <c r="B17039" t="inlineStr">
        <is>
          <t>Paradise Le Shadow Stick Pearly Shimmery Pink</t>
        </is>
      </c>
      <c r="C17039" t="inlineStr">
        <is>
          <t>Eyeshadow</t>
        </is>
      </c>
      <c r="D17039" t="inlineStr">
        <is>
          <t>L'Oréal Paris</t>
        </is>
      </c>
      <c r="E17039" t="n">
        <v>11.44</v>
      </c>
      <c r="F17039" t="n">
        <v>1</v>
      </c>
      <c r="G17039" t="n">
        <v>2</v>
      </c>
      <c r="H17039" s="5">
        <f>HYPERLINK("https://api.qogita.com/variants/link/3600524144623/", "View Product")</f>
        <v/>
      </c>
    </row>
    <row r="17040">
      <c r="A17040" t="inlineStr">
        <is>
          <t>3600524145941</t>
        </is>
      </c>
      <c r="B17040" t="inlineStr">
        <is>
          <t>L'Oreal Paris Gel Eyeshadow In A Pencil Shadow Stick 1.4 G</t>
        </is>
      </c>
      <c r="C17040" t="inlineStr">
        <is>
          <t>Eyeshadow</t>
        </is>
      </c>
      <c r="D17040" t="inlineStr">
        <is>
          <t>L'Oréal Paris</t>
        </is>
      </c>
      <c r="E17040" t="n">
        <v>7.64</v>
      </c>
      <c r="F17040" t="n">
        <v>1</v>
      </c>
      <c r="G17040" t="n">
        <v>4</v>
      </c>
      <c r="H17040" s="5">
        <f>HYPERLINK("https://api.qogita.com/variants/link/3600524145941/", "View Product")</f>
        <v/>
      </c>
    </row>
    <row r="17041">
      <c r="A17041" t="inlineStr">
        <is>
          <t>3600524150556</t>
        </is>
      </c>
      <c r="B17041" t="inlineStr">
        <is>
          <t>L'Oreal Lumi Glotion Liquid Highlighter 901 40ml</t>
        </is>
      </c>
      <c r="C17041" t="inlineStr">
        <is>
          <t>Highlighter</t>
        </is>
      </c>
      <c r="D17041" t="inlineStr">
        <is>
          <t>L'Oréal</t>
        </is>
      </c>
      <c r="E17041" t="n">
        <v>12.76</v>
      </c>
      <c r="F17041" t="n">
        <v>1</v>
      </c>
      <c r="G17041" t="n">
        <v>4</v>
      </c>
      <c r="H17041" s="5">
        <f>HYPERLINK("https://api.qogita.com/variants/link/3600524150556/", "View Product")</f>
        <v/>
      </c>
    </row>
    <row r="17042">
      <c r="A17042" t="inlineStr">
        <is>
          <t>3600524165215</t>
        </is>
      </c>
      <c r="B17042" t="inlineStr">
        <is>
          <t>L'Oreal Revitalift Resurfacing Cleanser - Exfoliating Cleansing Gel With Glycolic Acid</t>
        </is>
      </c>
      <c r="C17042" t="inlineStr">
        <is>
          <t>Cleansing Gel</t>
        </is>
      </c>
      <c r="D17042" t="inlineStr">
        <is>
          <t>L'Oréal</t>
        </is>
      </c>
      <c r="E17042" t="n">
        <v>8.880000000000001</v>
      </c>
      <c r="F17042" t="n">
        <v>1</v>
      </c>
      <c r="G17042" t="n">
        <v>8</v>
      </c>
      <c r="H17042" s="5">
        <f>HYPERLINK("https://api.qogita.com/variants/link/3600524165215/", "View Product")</f>
        <v/>
      </c>
    </row>
    <row r="17043">
      <c r="A17043" t="inlineStr">
        <is>
          <t>3600524167219</t>
        </is>
      </c>
      <c r="B17043" t="inlineStr">
        <is>
          <t>L'Oreal Paris Long-Lasting Gel Eyeliner Infaillible Grip 36h Gel Automatic Liner - 5 G</t>
        </is>
      </c>
      <c r="C17043" t="inlineStr">
        <is>
          <t>Eyeliner</t>
        </is>
      </c>
      <c r="D17043" t="inlineStr">
        <is>
          <t>L'Oréal Paris</t>
        </is>
      </c>
      <c r="E17043" t="n">
        <v>8.94</v>
      </c>
      <c r="F17043" t="n">
        <v>1</v>
      </c>
      <c r="G17043" t="n">
        <v>3</v>
      </c>
      <c r="H17043" s="5">
        <f>HYPERLINK("https://api.qogita.com/variants/link/3600524167219/", "View Product")</f>
        <v/>
      </c>
    </row>
    <row r="17044">
      <c r="A17044" t="inlineStr">
        <is>
          <t>3600524172718</t>
        </is>
      </c>
      <c r="B17044" t="inlineStr">
        <is>
          <t>L'Oreal Paris Plump Ambition Hydrating Lip Gloss Hyaluron Lip Oil - 5 Ml</t>
        </is>
      </c>
      <c r="C17044" t="inlineStr">
        <is>
          <t>Lip Gloss</t>
        </is>
      </c>
      <c r="D17044" t="inlineStr">
        <is>
          <t>L'Oréal Paris</t>
        </is>
      </c>
      <c r="E17044" t="n">
        <v>9.58</v>
      </c>
      <c r="F17044" t="n">
        <v>1</v>
      </c>
      <c r="G17044" t="n">
        <v>3</v>
      </c>
      <c r="H17044" s="5">
        <f>HYPERLINK("https://api.qogita.com/variants/link/3600524172718/", "View Product")</f>
        <v/>
      </c>
    </row>
    <row r="17045">
      <c r="A17045" t="inlineStr">
        <is>
          <t>3600524172794</t>
        </is>
      </c>
      <c r="B17045" t="inlineStr">
        <is>
          <t>L'Oreal Paris Lip Plumping Gloss Nourishing and Hydrating with Cooling Sensation</t>
        </is>
      </c>
      <c r="C17045" t="inlineStr">
        <is>
          <t>Lip Gloss</t>
        </is>
      </c>
      <c r="D17045" t="inlineStr">
        <is>
          <t>L'Oréal Paris</t>
        </is>
      </c>
      <c r="E17045" t="n">
        <v>10.34</v>
      </c>
      <c r="F17045" t="n">
        <v>1</v>
      </c>
      <c r="G17045" t="n">
        <v>5</v>
      </c>
      <c r="H17045" s="5">
        <f>HYPERLINK("https://api.qogita.com/variants/link/3600524172794/", "View Product")</f>
        <v/>
      </c>
    </row>
    <row r="17046">
      <c r="A17046" t="inlineStr">
        <is>
          <t>3600524172800</t>
        </is>
      </c>
      <c r="B17046" t="inlineStr">
        <is>
          <t>L'Oreal Paris Lip Plumping Gloss Nourishing and Hydrating with Cooling Sensation</t>
        </is>
      </c>
      <c r="C17046" t="inlineStr">
        <is>
          <t>Lip Gloss</t>
        </is>
      </c>
      <c r="D17046" t="inlineStr">
        <is>
          <t>L'Oréal Paris</t>
        </is>
      </c>
      <c r="E17046" t="n">
        <v>10.37</v>
      </c>
      <c r="F17046" t="n">
        <v>1</v>
      </c>
      <c r="G17046" t="n">
        <v>3</v>
      </c>
      <c r="H17046" s="5">
        <f>HYPERLINK("https://api.qogita.com/variants/link/3600524172800/", "View Product")</f>
        <v/>
      </c>
    </row>
    <row r="17047">
      <c r="A17047" t="inlineStr">
        <is>
          <t>3600524188467</t>
        </is>
      </c>
      <c r="B17047" t="inlineStr">
        <is>
          <t>L'Oreal True Match Foundation Face Makeup 1.5d/W Warm Light 30ml</t>
        </is>
      </c>
      <c r="C17047" t="inlineStr">
        <is>
          <t>Foundation</t>
        </is>
      </c>
      <c r="D17047" t="inlineStr">
        <is>
          <t>L'Oréal</t>
        </is>
      </c>
      <c r="E17047" t="n">
        <v>11.77</v>
      </c>
      <c r="F17047" t="n">
        <v>1</v>
      </c>
      <c r="G17047" t="n">
        <v>2</v>
      </c>
      <c r="H17047" s="5">
        <f>HYPERLINK("https://api.qogita.com/variants/link/3600524188467/", "View Product")</f>
        <v/>
      </c>
    </row>
    <row r="17048">
      <c r="A17048" t="inlineStr">
        <is>
          <t>3600524192570</t>
        </is>
      </c>
      <c r="B17048" t="inlineStr">
        <is>
          <t>L'Oreal Paris Lumi Le Glass Highlighter Stick - 7 G</t>
        </is>
      </c>
      <c r="C17048" t="inlineStr">
        <is>
          <t>Highlighter</t>
        </is>
      </c>
      <c r="D17048" t="inlineStr">
        <is>
          <t>L'Oréal Paris</t>
        </is>
      </c>
      <c r="E17048" t="n">
        <v>8.51</v>
      </c>
      <c r="F17048" t="n">
        <v>1</v>
      </c>
      <c r="G17048" t="n">
        <v>2</v>
      </c>
      <c r="H17048" s="5">
        <f>HYPERLINK("https://api.qogita.com/variants/link/3600524192570/", "View Product")</f>
        <v/>
      </c>
    </row>
    <row r="17049">
      <c r="A17049" t="inlineStr">
        <is>
          <t>3600524195687</t>
        </is>
      </c>
      <c r="B17049" t="inlineStr">
        <is>
          <t>L'Oreal Paris Hydrating Fluid Spf 50+ Men Expert Hydra Energetic Invisible Anti-Uv Fluid - 50 Ml</t>
        </is>
      </c>
      <c r="C17049" t="inlineStr">
        <is>
          <t>Face Sun Protection</t>
        </is>
      </c>
      <c r="D17049" t="inlineStr">
        <is>
          <t>L'Oréal Paris</t>
        </is>
      </c>
      <c r="E17049" t="n">
        <v>13.02</v>
      </c>
      <c r="F17049" t="n">
        <v>1</v>
      </c>
      <c r="G17049" t="n">
        <v>7</v>
      </c>
      <c r="H17049" s="5">
        <f>HYPERLINK("https://api.qogita.com/variants/link/3600524195687/", "View Product")</f>
        <v/>
      </c>
    </row>
    <row r="17050">
      <c r="A17050" t="inlineStr">
        <is>
          <t>3600524196882</t>
        </is>
      </c>
      <c r="B17050" t="inlineStr">
        <is>
          <t>L'Oreal Paris Infaillible Liquid Lipstick Laque Resistance 4.3 Ml</t>
        </is>
      </c>
      <c r="C17050" t="inlineStr">
        <is>
          <t>Lipstick</t>
        </is>
      </c>
      <c r="D17050" t="inlineStr">
        <is>
          <t>L'Oréal Paris</t>
        </is>
      </c>
      <c r="E17050" t="n">
        <v>11.74</v>
      </c>
      <c r="F17050" t="n">
        <v>1</v>
      </c>
      <c r="G17050" t="n">
        <v>3</v>
      </c>
      <c r="H17050" s="5">
        <f>HYPERLINK("https://api.qogita.com/variants/link/3600524196882/", "View Product")</f>
        <v/>
      </c>
    </row>
    <row r="17051">
      <c r="A17051" t="inlineStr">
        <is>
          <t>3600524197742</t>
        </is>
      </c>
      <c r="B17051" t="inlineStr">
        <is>
          <t>L'Oreal Paris Moisturizing Cream Against Skin Imperfections Spf 30 Men Expert Derma Control Oil-Control Moisturiser 50 Ml</t>
        </is>
      </c>
      <c r="C17051" t="inlineStr">
        <is>
          <t>Day Cream</t>
        </is>
      </c>
      <c r="D17051" t="inlineStr">
        <is>
          <t>L'Oréal Paris</t>
        </is>
      </c>
      <c r="E17051" t="n">
        <v>11.66</v>
      </c>
      <c r="F17051" t="n">
        <v>1</v>
      </c>
      <c r="G17051" t="n">
        <v>3</v>
      </c>
      <c r="H17051" s="5">
        <f>HYPERLINK("https://api.qogita.com/variants/link/3600524197742/", "View Product")</f>
        <v/>
      </c>
    </row>
    <row r="17052">
      <c r="A17052" t="inlineStr">
        <is>
          <t>3600524198350</t>
        </is>
      </c>
      <c r="B17052" t="inlineStr">
        <is>
          <t>L'Oreal Paris Anti-Hair Loss Balm Elseve Growth Booster Anti-Fall Conditioner 150 Ml</t>
        </is>
      </c>
      <c r="C17052" t="inlineStr">
        <is>
          <t>Conditioner</t>
        </is>
      </c>
      <c r="D17052" t="inlineStr">
        <is>
          <t>L'Oréal Paris</t>
        </is>
      </c>
      <c r="E17052" t="n">
        <v>9.289999999999999</v>
      </c>
      <c r="F17052" t="n">
        <v>1</v>
      </c>
      <c r="G17052" t="n">
        <v>5</v>
      </c>
      <c r="H17052" s="5">
        <f>HYPERLINK("https://api.qogita.com/variants/link/3600524198350/", "View Product")</f>
        <v/>
      </c>
    </row>
    <row r="17053">
      <c r="A17053" t="inlineStr">
        <is>
          <t>3600524202323</t>
        </is>
      </c>
      <c r="B17053" t="inlineStr">
        <is>
          <t>L'Oreal Paris Infaillible Eyebrow Pencil Faux Brow 1 Ml</t>
        </is>
      </c>
      <c r="C17053" t="inlineStr">
        <is>
          <t>Eyebrow Pencil</t>
        </is>
      </c>
      <c r="D17053" t="inlineStr">
        <is>
          <t>L'Oréal Paris</t>
        </is>
      </c>
      <c r="E17053" t="n">
        <v>12.18</v>
      </c>
      <c r="F17053" t="n">
        <v>1</v>
      </c>
      <c r="G17053" t="n">
        <v>3</v>
      </c>
      <c r="H17053" s="5">
        <f>HYPERLINK("https://api.qogita.com/variants/link/3600524202323/", "View Product")</f>
        <v/>
      </c>
    </row>
    <row r="17054">
      <c r="A17054" t="inlineStr">
        <is>
          <t>3600524205850</t>
        </is>
      </c>
      <c r="B17054" t="inlineStr">
        <is>
          <t>L'Oreal Paris Magic Retouch Instant Root Concealer Spray - 75 Ml</t>
        </is>
      </c>
      <c r="C17054" t="inlineStr">
        <is>
          <t>Hairline Paint</t>
        </is>
      </c>
      <c r="D17054" t="inlineStr">
        <is>
          <t>L'Oréal Paris</t>
        </is>
      </c>
      <c r="E17054" t="n">
        <v>7.97</v>
      </c>
      <c r="F17054" t="n">
        <v>1</v>
      </c>
      <c r="G17054" t="n">
        <v>2</v>
      </c>
      <c r="H17054" s="5">
        <f>HYPERLINK("https://api.qogita.com/variants/link/3600524205850/", "View Product")</f>
        <v/>
      </c>
    </row>
    <row r="17055">
      <c r="A17055" t="inlineStr">
        <is>
          <t>3600530073320</t>
        </is>
      </c>
      <c r="B17055" t="inlineStr">
        <is>
          <t>Maybelline Great Lash Blackest Black Mascara Nourishing And Thickening 125 Ml</t>
        </is>
      </c>
      <c r="C17055" t="inlineStr">
        <is>
          <t>Mascara</t>
        </is>
      </c>
      <c r="D17055" t="inlineStr">
        <is>
          <t>Maybelline</t>
        </is>
      </c>
      <c r="E17055" t="n">
        <v>5.37</v>
      </c>
      <c r="F17055" t="n">
        <v>1</v>
      </c>
      <c r="G17055" t="n">
        <v>23</v>
      </c>
      <c r="H17055" s="5">
        <f>HYPERLINK("https://api.qogita.com/variants/link/3600530073320/", "View Product")</f>
        <v/>
      </c>
    </row>
    <row r="17056">
      <c r="A17056" t="inlineStr">
        <is>
          <t>3600531143657</t>
        </is>
      </c>
      <c r="B17056" t="inlineStr">
        <is>
          <t>Maybelline Lash Sensational Waterproof Mascara Black 94 Ml</t>
        </is>
      </c>
      <c r="C17056" t="inlineStr">
        <is>
          <t>Mascara</t>
        </is>
      </c>
      <c r="D17056" t="inlineStr">
        <is>
          <t>Maybelline</t>
        </is>
      </c>
      <c r="E17056" t="n">
        <v>5.73</v>
      </c>
      <c r="F17056" t="n">
        <v>1</v>
      </c>
      <c r="G17056" t="n">
        <v>306</v>
      </c>
      <c r="H17056" s="5">
        <f>HYPERLINK("https://api.qogita.com/variants/link/3600531143657/", "View Product")</f>
        <v/>
      </c>
    </row>
    <row r="17057">
      <c r="A17057" t="inlineStr">
        <is>
          <t>3600531340834</t>
        </is>
      </c>
      <c r="B17057" t="inlineStr">
        <is>
          <t>Maybelline Color Drama Intense Lip Paint Vamped Up 370 6.40ml</t>
        </is>
      </c>
      <c r="C17057" t="inlineStr">
        <is>
          <t>Lipstick</t>
        </is>
      </c>
      <c r="D17057" t="inlineStr">
        <is>
          <t>Maybelline</t>
        </is>
      </c>
      <c r="E17057" t="n">
        <v>2.74</v>
      </c>
      <c r="F17057" t="n">
        <v>1</v>
      </c>
      <c r="G17057" t="n">
        <v>3</v>
      </c>
      <c r="H17057" s="5">
        <f>HYPERLINK("https://api.qogita.com/variants/link/3600531340834/", "View Product")</f>
        <v/>
      </c>
    </row>
    <row r="17058">
      <c r="A17058" t="inlineStr">
        <is>
          <t>3600531361396</t>
        </is>
      </c>
      <c r="B17058" t="inlineStr">
        <is>
          <t>Maybelline Color Sensational Clearance Concealer Pencil 20 Nude Seduction 12 Grams</t>
        </is>
      </c>
      <c r="C17058" t="inlineStr">
        <is>
          <t>Concealer</t>
        </is>
      </c>
      <c r="D17058" t="inlineStr">
        <is>
          <t>Maybelline</t>
        </is>
      </c>
      <c r="E17058" t="n">
        <v>5.25</v>
      </c>
      <c r="F17058" t="n">
        <v>1</v>
      </c>
      <c r="G17058" t="n">
        <v>6</v>
      </c>
      <c r="H17058" s="5">
        <f>HYPERLINK("https://api.qogita.com/variants/link/3600531361396/", "View Product")</f>
        <v/>
      </c>
    </row>
    <row r="17059">
      <c r="A17059" t="inlineStr">
        <is>
          <t>3600531369026</t>
        </is>
      </c>
      <c r="B17059" t="inlineStr">
        <is>
          <t>Maybelline Fit Me Matte &amp; Poreless Foundation 128 Warm Nude 30ml</t>
        </is>
      </c>
      <c r="C17059" t="inlineStr">
        <is>
          <t>Foundation</t>
        </is>
      </c>
      <c r="D17059" t="inlineStr">
        <is>
          <t>Maybelline</t>
        </is>
      </c>
      <c r="E17059" t="n">
        <v>5.19</v>
      </c>
      <c r="F17059" t="n">
        <v>1</v>
      </c>
      <c r="G17059" t="n">
        <v>4</v>
      </c>
      <c r="H17059" s="5">
        <f>HYPERLINK("https://api.qogita.com/variants/link/3600531369026/", "View Product")</f>
        <v/>
      </c>
    </row>
    <row r="17060">
      <c r="A17060" t="inlineStr">
        <is>
          <t>3600531369361</t>
        </is>
      </c>
      <c r="B17060" t="inlineStr">
        <is>
          <t>Maybelline Fit Me Matte &amp; Poreless Foundation 102 Fair Ivory 30ml</t>
        </is>
      </c>
      <c r="C17060" t="inlineStr">
        <is>
          <t>Foundation</t>
        </is>
      </c>
      <c r="D17060" t="inlineStr">
        <is>
          <t>Maybelline</t>
        </is>
      </c>
      <c r="E17060" t="n">
        <v>5.56</v>
      </c>
      <c r="F17060" t="n">
        <v>1</v>
      </c>
      <c r="G17060" t="n">
        <v>2</v>
      </c>
      <c r="H17060" s="5">
        <f>HYPERLINK("https://api.qogita.com/variants/link/3600531369361/", "View Product")</f>
        <v/>
      </c>
    </row>
    <row r="17061">
      <c r="A17061" t="inlineStr">
        <is>
          <t>3600531384005</t>
        </is>
      </c>
      <c r="B17061" t="inlineStr">
        <is>
          <t>Maybelline Fit Me Matte Poreless Pressed Powder 090 Translucent 9g</t>
        </is>
      </c>
      <c r="C17061" t="inlineStr">
        <is>
          <t>Powder</t>
        </is>
      </c>
      <c r="D17061" t="inlineStr">
        <is>
          <t>Maybelline</t>
        </is>
      </c>
      <c r="E17061" t="n">
        <v>6.16</v>
      </c>
      <c r="F17061" t="n">
        <v>1</v>
      </c>
      <c r="G17061" t="n">
        <v>3</v>
      </c>
      <c r="H17061" s="5">
        <f>HYPERLINK("https://api.qogita.com/variants/link/3600531384005/", "View Product")</f>
        <v/>
      </c>
    </row>
    <row r="17062">
      <c r="A17062" t="inlineStr">
        <is>
          <t>3600531393809</t>
        </is>
      </c>
      <c r="B17062" t="inlineStr">
        <is>
          <t>Maybelline Color Sensational Vivid Hot Lacquer Liquid Lipstick Number 78 Royal Royal 7.7ml</t>
        </is>
      </c>
      <c r="C17062" t="inlineStr">
        <is>
          <t>Lip Gloss</t>
        </is>
      </c>
      <c r="D17062" t="inlineStr">
        <is>
          <t>Maybelline</t>
        </is>
      </c>
      <c r="E17062" t="n">
        <v>2.74</v>
      </c>
      <c r="F17062" t="n">
        <v>1</v>
      </c>
      <c r="G17062" t="n">
        <v>2</v>
      </c>
      <c r="H17062" s="5">
        <f>HYPERLINK("https://api.qogita.com/variants/link/3600531393809/", "View Product")</f>
        <v/>
      </c>
    </row>
    <row r="17063">
      <c r="A17063" t="inlineStr">
        <is>
          <t>3600531396831</t>
        </is>
      </c>
      <c r="B17063" t="inlineStr">
        <is>
          <t>Maybelline Instant Anti Age Eraser Concealer - 05 Brightener, 6.8ml</t>
        </is>
      </c>
      <c r="C17063" t="inlineStr">
        <is>
          <t>Concealer</t>
        </is>
      </c>
      <c r="D17063" t="inlineStr">
        <is>
          <t>Maybelline</t>
        </is>
      </c>
      <c r="E17063" t="n">
        <v>9.140000000000001</v>
      </c>
      <c r="F17063" t="n">
        <v>1</v>
      </c>
      <c r="G17063" t="n">
        <v>5</v>
      </c>
      <c r="H17063" s="5">
        <f>HYPERLINK("https://api.qogita.com/variants/link/3600531396831/", "View Product")</f>
        <v/>
      </c>
    </row>
    <row r="17064">
      <c r="A17064" t="inlineStr">
        <is>
          <t>3600531417734</t>
        </is>
      </c>
      <c r="B17064" t="inlineStr">
        <is>
          <t>Maybelline Tattoo Brow Easy Peel Off Tint 1 Light Brown Semipermanent Eyebrow Color</t>
        </is>
      </c>
      <c r="C17064" t="inlineStr">
        <is>
          <t>Eyebrow Dye</t>
        </is>
      </c>
      <c r="D17064" t="inlineStr">
        <is>
          <t>Maybelline</t>
        </is>
      </c>
      <c r="E17064" t="n">
        <v>7.23</v>
      </c>
      <c r="F17064" t="n">
        <v>1</v>
      </c>
      <c r="G17064" t="n">
        <v>44</v>
      </c>
      <c r="H17064" s="5">
        <f>HYPERLINK("https://api.qogita.com/variants/link/3600531417734/", "View Product")</f>
        <v/>
      </c>
    </row>
    <row r="17065">
      <c r="A17065" t="inlineStr">
        <is>
          <t>3600531417758</t>
        </is>
      </c>
      <c r="B17065" t="inlineStr">
        <is>
          <t>Maybelline Tattoo Brow Eyebrow Color Medium Brown Semipermanent Eyebrow Color</t>
        </is>
      </c>
      <c r="C17065" t="inlineStr">
        <is>
          <t>Eyebrow Dye</t>
        </is>
      </c>
      <c r="D17065" t="inlineStr">
        <is>
          <t>Maybelline</t>
        </is>
      </c>
      <c r="E17065" t="n">
        <v>10.2</v>
      </c>
      <c r="F17065" t="n">
        <v>1</v>
      </c>
      <c r="G17065" t="n">
        <v>10</v>
      </c>
      <c r="H17065" s="5">
        <f>HYPERLINK("https://api.qogita.com/variants/link/3600531417758/", "View Product")</f>
        <v/>
      </c>
    </row>
    <row r="17066">
      <c r="A17066" t="inlineStr">
        <is>
          <t>3600531453435</t>
        </is>
      </c>
      <c r="B17066" t="inlineStr">
        <is>
          <t>Maybelline Fit Me Matte &amp; Poreless Foundation 95 Fair Porcelain 30ml</t>
        </is>
      </c>
      <c r="C17066" t="inlineStr">
        <is>
          <t>Foundation</t>
        </is>
      </c>
      <c r="D17066" t="inlineStr">
        <is>
          <t>Maybelline</t>
        </is>
      </c>
      <c r="E17066" t="n">
        <v>5.56</v>
      </c>
      <c r="F17066" t="n">
        <v>1</v>
      </c>
      <c r="G17066" t="n">
        <v>3</v>
      </c>
      <c r="H17066" s="5">
        <f>HYPERLINK("https://api.qogita.com/variants/link/3600531453435/", "View Product")</f>
        <v/>
      </c>
    </row>
    <row r="17067">
      <c r="A17067" t="inlineStr">
        <is>
          <t>3600531465230</t>
        </is>
      </c>
      <c r="B17067" t="inlineStr">
        <is>
          <t>Maybelline Instant Anti Age Eraser Concealer - 00 Ivory, 6.8ml</t>
        </is>
      </c>
      <c r="C17067" t="inlineStr">
        <is>
          <t>Concealer</t>
        </is>
      </c>
      <c r="D17067" t="inlineStr">
        <is>
          <t>Maybelline</t>
        </is>
      </c>
      <c r="E17067" t="n">
        <v>6.79</v>
      </c>
      <c r="F17067" t="n">
        <v>1</v>
      </c>
      <c r="G17067" t="n">
        <v>10</v>
      </c>
      <c r="H17067" s="5">
        <f>HYPERLINK("https://api.qogita.com/variants/link/3600531465230/", "View Product")</f>
        <v/>
      </c>
    </row>
    <row r="17068">
      <c r="A17068" t="inlineStr">
        <is>
          <t>3600531502768</t>
        </is>
      </c>
      <c r="B17068" t="inlineStr">
        <is>
          <t>Maybelline Hyper Precise Matte Eyeliner Pen Noir Matte 1ml</t>
        </is>
      </c>
      <c r="C17068" t="inlineStr">
        <is>
          <t>Eyeliner</t>
        </is>
      </c>
      <c r="D17068" t="inlineStr">
        <is>
          <t>Maybelline</t>
        </is>
      </c>
      <c r="E17068" t="n">
        <v>5.73</v>
      </c>
      <c r="F17068" t="n">
        <v>1</v>
      </c>
      <c r="G17068" t="n">
        <v>5</v>
      </c>
      <c r="H17068" s="5">
        <f>HYPERLINK("https://api.qogita.com/variants/link/3600531502768/", "View Product")</f>
        <v/>
      </c>
    </row>
    <row r="17069">
      <c r="A17069" t="inlineStr">
        <is>
          <t>3600531507268</t>
        </is>
      </c>
      <c r="B17069" t="inlineStr">
        <is>
          <t>Maybelline The Falsies Volum'express Volumizing Mascara 9 Ml Black</t>
        </is>
      </c>
      <c r="C17069" t="inlineStr">
        <is>
          <t>Mascara</t>
        </is>
      </c>
      <c r="D17069" t="inlineStr">
        <is>
          <t>Maybelline</t>
        </is>
      </c>
      <c r="E17069" t="n">
        <v>9.359999999999999</v>
      </c>
      <c r="F17069" t="n">
        <v>1</v>
      </c>
      <c r="G17069" t="n">
        <v>2</v>
      </c>
      <c r="H17069" s="5">
        <f>HYPERLINK("https://api.qogita.com/variants/link/3600531507268/", "View Product")</f>
        <v/>
      </c>
    </row>
    <row r="17070">
      <c r="A17070" t="inlineStr">
        <is>
          <t>3600531509163</t>
        </is>
      </c>
      <c r="B17070" t="inlineStr">
        <is>
          <t>Maybelline New York Lasting Drama 24H Carbon Matte Gel Eyeliner 820 Lapis Navy 1g</t>
        </is>
      </c>
      <c r="C17070" t="inlineStr">
        <is>
          <t>Eyeliner</t>
        </is>
      </c>
      <c r="D17070" t="inlineStr">
        <is>
          <t>Maybelline</t>
        </is>
      </c>
      <c r="E17070" t="n">
        <v>3.11</v>
      </c>
      <c r="F17070" t="n">
        <v>1</v>
      </c>
      <c r="G17070" t="n">
        <v>2</v>
      </c>
      <c r="H17070" s="5">
        <f>HYPERLINK("https://api.qogita.com/variants/link/3600531509163/", "View Product")</f>
        <v/>
      </c>
    </row>
    <row r="17071">
      <c r="A17071" t="inlineStr">
        <is>
          <t>3600531533694</t>
        </is>
      </c>
      <c r="B17071" t="inlineStr">
        <is>
          <t>Maybelline Lasting Fix Make Up Setting Spray - 100ml</t>
        </is>
      </c>
      <c r="C17071" t="inlineStr">
        <is>
          <t>Setting Spray</t>
        </is>
      </c>
      <c r="D17071" t="inlineStr">
        <is>
          <t>Maybelline</t>
        </is>
      </c>
      <c r="E17071" t="n">
        <v>7.27</v>
      </c>
      <c r="F17071" t="n">
        <v>1</v>
      </c>
      <c r="G17071" t="n">
        <v>4</v>
      </c>
      <c r="H17071" s="5">
        <f>HYPERLINK("https://api.qogita.com/variants/link/3600531533694/", "View Product")</f>
        <v/>
      </c>
    </row>
    <row r="17072">
      <c r="A17072" t="inlineStr">
        <is>
          <t>3600531548773</t>
        </is>
      </c>
      <c r="B17072" t="inlineStr">
        <is>
          <t>Maybelline The City Mini Palette 430 Downtown Sunrise 6g</t>
        </is>
      </c>
      <c r="C17072" t="inlineStr">
        <is>
          <t>Eye Sets &amp; Pallets</t>
        </is>
      </c>
      <c r="D17072" t="inlineStr">
        <is>
          <t>Maybelline</t>
        </is>
      </c>
      <c r="E17072" t="n">
        <v>10.49</v>
      </c>
      <c r="F17072" t="n">
        <v>1</v>
      </c>
      <c r="G17072" t="n">
        <v>5</v>
      </c>
      <c r="H17072" s="5">
        <f>HYPERLINK("https://api.qogita.com/variants/link/3600531548773/", "View Product")</f>
        <v/>
      </c>
    </row>
    <row r="17073">
      <c r="A17073" t="inlineStr">
        <is>
          <t>3600531553401</t>
        </is>
      </c>
      <c r="B17073" t="inlineStr">
        <is>
          <t>Maybelline Color Sensational Smoked Roses Moisturizing Lipstick 320 Steamy Rose 3.6g</t>
        </is>
      </c>
      <c r="C17073" t="inlineStr">
        <is>
          <t>Lipstick</t>
        </is>
      </c>
      <c r="D17073" t="inlineStr">
        <is>
          <t>Maybelline</t>
        </is>
      </c>
      <c r="E17073" t="n">
        <v>6.81</v>
      </c>
      <c r="F17073" t="n">
        <v>1</v>
      </c>
      <c r="G17073" t="n">
        <v>5</v>
      </c>
      <c r="H17073" s="5">
        <f>HYPERLINK("https://api.qogita.com/variants/link/3600531553401/", "View Product")</f>
        <v/>
      </c>
    </row>
    <row r="17074">
      <c r="A17074" t="inlineStr">
        <is>
          <t>3600531579449</t>
        </is>
      </c>
      <c r="B17074" t="inlineStr">
        <is>
          <t>Maybelline Brow Ultra Slim Automatic Eyebrow Pencil 03 Warm Brown 9g</t>
        </is>
      </c>
      <c r="C17074" t="inlineStr">
        <is>
          <t>Eyebrow Pencil</t>
        </is>
      </c>
      <c r="D17074" t="inlineStr">
        <is>
          <t>Maybelline</t>
        </is>
      </c>
      <c r="E17074" t="n">
        <v>5.33</v>
      </c>
      <c r="F17074" t="n">
        <v>1</v>
      </c>
      <c r="G17074" t="n">
        <v>3</v>
      </c>
      <c r="H17074" s="5">
        <f>HYPERLINK("https://api.qogita.com/variants/link/3600531579449/", "View Product")</f>
        <v/>
      </c>
    </row>
    <row r="17075">
      <c r="A17075" t="inlineStr">
        <is>
          <t>3600531579463</t>
        </is>
      </c>
      <c r="B17075" t="inlineStr">
        <is>
          <t>Maybelline Brow Ultra Slim Automatic Eyebrow Pencil Deep Brown 9g</t>
        </is>
      </c>
      <c r="C17075" t="inlineStr">
        <is>
          <t>Eyebrow Pencil</t>
        </is>
      </c>
      <c r="D17075" t="inlineStr">
        <is>
          <t>Maybelline</t>
        </is>
      </c>
      <c r="E17075" t="n">
        <v>5.19</v>
      </c>
      <c r="F17075" t="n">
        <v>1</v>
      </c>
      <c r="G17075" t="n">
        <v>3</v>
      </c>
      <c r="H17075" s="5">
        <f>HYPERLINK("https://api.qogita.com/variants/link/3600531579463/", "View Product")</f>
        <v/>
      </c>
    </row>
    <row r="17076">
      <c r="A17076" t="inlineStr">
        <is>
          <t>3600531609757</t>
        </is>
      </c>
      <c r="B17076" t="inlineStr">
        <is>
          <t>Maybelline Lifter Gloss Moisturizing Lip Gloss 07 Amber 54 Ml</t>
        </is>
      </c>
      <c r="C17076" t="inlineStr">
        <is>
          <t>Lip Gloss</t>
        </is>
      </c>
      <c r="D17076" t="inlineStr">
        <is>
          <t>Maybelline</t>
        </is>
      </c>
      <c r="E17076" t="n">
        <v>7.79</v>
      </c>
      <c r="F17076" t="n">
        <v>1</v>
      </c>
      <c r="G17076" t="n">
        <v>2</v>
      </c>
      <c r="H17076" s="5">
        <f>HYPERLINK("https://api.qogita.com/variants/link/3600531609757/", "View Product")</f>
        <v/>
      </c>
    </row>
    <row r="17077">
      <c r="A17077" t="inlineStr">
        <is>
          <t>3600531637309</t>
        </is>
      </c>
      <c r="B17077" t="inlineStr">
        <is>
          <t>Maybelline Hyper Easy Liner Eyeliner In Pencil 810 Pitch Brown 6g</t>
        </is>
      </c>
      <c r="C17077" t="inlineStr">
        <is>
          <t>Eye Pencil</t>
        </is>
      </c>
      <c r="D17077" t="inlineStr">
        <is>
          <t>Maybelline</t>
        </is>
      </c>
      <c r="E17077" t="n">
        <v>6.01</v>
      </c>
      <c r="F17077" t="n">
        <v>1</v>
      </c>
      <c r="G17077" t="n">
        <v>3</v>
      </c>
      <c r="H17077" s="5">
        <f>HYPERLINK("https://api.qogita.com/variants/link/3600531637309/", "View Product")</f>
        <v/>
      </c>
    </row>
    <row r="17078">
      <c r="A17078" t="inlineStr">
        <is>
          <t>3600531640408</t>
        </is>
      </c>
      <c r="B17078" t="inlineStr">
        <is>
          <t>Maybelline Express Brow Satin Duo Eyebrow Pencil 04 Dark Brown 0.71g</t>
        </is>
      </c>
      <c r="C17078" t="inlineStr">
        <is>
          <t>Eyebrow Pencil</t>
        </is>
      </c>
      <c r="D17078" t="inlineStr">
        <is>
          <t>Maybelline</t>
        </is>
      </c>
      <c r="E17078" t="n">
        <v>4.81</v>
      </c>
      <c r="F17078" t="n">
        <v>1</v>
      </c>
      <c r="G17078" t="n">
        <v>5</v>
      </c>
      <c r="H17078" s="5">
        <f>HYPERLINK("https://api.qogita.com/variants/link/3600531640408/", "View Product")</f>
        <v/>
      </c>
    </row>
    <row r="17079">
      <c r="A17079" t="inlineStr">
        <is>
          <t>3600531658113</t>
        </is>
      </c>
      <c r="B17079" t="inlineStr">
        <is>
          <t>Maybelline Instant Perfector 4in1 Glow Makeup 20 Ml 03 Medium Deep</t>
        </is>
      </c>
      <c r="C17079" t="inlineStr">
        <is>
          <t>Foundation</t>
        </is>
      </c>
      <c r="D17079" t="inlineStr">
        <is>
          <t>Maybelline</t>
        </is>
      </c>
      <c r="E17079" t="n">
        <v>9.58</v>
      </c>
      <c r="F17079" t="n">
        <v>1</v>
      </c>
      <c r="G17079" t="n">
        <v>4</v>
      </c>
      <c r="H17079" s="5">
        <f>HYPERLINK("https://api.qogita.com/variants/link/3600531658113/", "View Product")</f>
        <v/>
      </c>
    </row>
    <row r="17080">
      <c r="A17080" t="inlineStr">
        <is>
          <t>3600531668501</t>
        </is>
      </c>
      <c r="B17080" t="inlineStr">
        <is>
          <t>Maybelline Sunkisser Liquid Blush And Bronzer 12summer In The City 47 Ml</t>
        </is>
      </c>
      <c r="C17080" t="inlineStr">
        <is>
          <t>Bronzer</t>
        </is>
      </c>
      <c r="D17080" t="inlineStr">
        <is>
          <t>Maybelline</t>
        </is>
      </c>
      <c r="E17080" t="n">
        <v>9.16</v>
      </c>
      <c r="F17080" t="n">
        <v>1</v>
      </c>
      <c r="G17080" t="n">
        <v>2</v>
      </c>
      <c r="H17080" s="5">
        <f>HYPERLINK("https://api.qogita.com/variants/link/3600531668501/", "View Product")</f>
        <v/>
      </c>
    </row>
    <row r="17081">
      <c r="A17081" t="inlineStr">
        <is>
          <t>3600531672355</t>
        </is>
      </c>
      <c r="B17081" t="inlineStr">
        <is>
          <t>Maybelline Super Stay 24h Skin Tint Illuminating Foundation With Vitamin C 06 30ml</t>
        </is>
      </c>
      <c r="C17081" t="inlineStr">
        <is>
          <t>Foundation</t>
        </is>
      </c>
      <c r="D17081" t="inlineStr">
        <is>
          <t>Maybelline</t>
        </is>
      </c>
      <c r="E17081" t="n">
        <v>12.5</v>
      </c>
      <c r="F17081" t="n">
        <v>1</v>
      </c>
      <c r="G17081" t="n">
        <v>2</v>
      </c>
      <c r="H17081" s="5">
        <f>HYPERLINK("https://api.qogita.com/variants/link/3600531672355/", "View Product")</f>
        <v/>
      </c>
    </row>
    <row r="17082">
      <c r="A17082" t="inlineStr">
        <is>
          <t>3600531672409</t>
        </is>
      </c>
      <c r="B17082" t="inlineStr">
        <is>
          <t>Maybelline Super Stay 24h Skin Tint Illuminating Foundation With Vitamin C 23 30ml</t>
        </is>
      </c>
      <c r="C17082" t="inlineStr">
        <is>
          <t>Foundation</t>
        </is>
      </c>
      <c r="D17082" t="inlineStr">
        <is>
          <t>Maybelline</t>
        </is>
      </c>
      <c r="E17082" t="n">
        <v>12.5</v>
      </c>
      <c r="F17082" t="n">
        <v>1</v>
      </c>
      <c r="G17082" t="n">
        <v>3</v>
      </c>
      <c r="H17082" s="5">
        <f>HYPERLINK("https://api.qogita.com/variants/link/3600531672409/", "View Product")</f>
        <v/>
      </c>
    </row>
    <row r="17083">
      <c r="A17083" t="inlineStr">
        <is>
          <t>3600531674441</t>
        </is>
      </c>
      <c r="B17083" t="inlineStr">
        <is>
          <t>Maybelline Brow Ultra Slim Automatic Eyebrow Pencil In Taupe 9 G</t>
        </is>
      </c>
      <c r="C17083" t="inlineStr">
        <is>
          <t>Eyebrow Pencil</t>
        </is>
      </c>
      <c r="D17083" t="inlineStr">
        <is>
          <t>Maybelline</t>
        </is>
      </c>
      <c r="E17083" t="n">
        <v>6.44</v>
      </c>
      <c r="F17083" t="n">
        <v>1</v>
      </c>
      <c r="G17083" t="n">
        <v>3</v>
      </c>
      <c r="H17083" s="5">
        <f>HYPERLINK("https://api.qogita.com/variants/link/3600531674441/", "View Product")</f>
        <v/>
      </c>
    </row>
    <row r="17084">
      <c r="A17084" t="inlineStr">
        <is>
          <t>3600531687175</t>
        </is>
      </c>
      <c r="B17084" t="inlineStr">
        <is>
          <t>Maybelline Tattoo Liner Sharpenable Gel Pencil 802 Ultra Pink</t>
        </is>
      </c>
      <c r="C17084" t="inlineStr">
        <is>
          <t>Eye Pencil</t>
        </is>
      </c>
      <c r="D17084" t="inlineStr">
        <is>
          <t>Maybelline</t>
        </is>
      </c>
      <c r="E17084" t="n">
        <v>5.55</v>
      </c>
      <c r="F17084" t="n">
        <v>1</v>
      </c>
      <c r="G17084" t="n">
        <v>2</v>
      </c>
      <c r="H17084" s="5">
        <f>HYPERLINK("https://api.qogita.com/variants/link/3600531687175/", "View Product")</f>
        <v/>
      </c>
    </row>
    <row r="17085">
      <c r="A17085" t="inlineStr">
        <is>
          <t>3600531687922</t>
        </is>
      </c>
      <c r="B17085" t="inlineStr">
        <is>
          <t>Maybelline Waterproof Tattoo Liner Gel Pencil 801 Purple Pop 13 G</t>
        </is>
      </c>
      <c r="C17085" t="inlineStr">
        <is>
          <t>Eye Pencil</t>
        </is>
      </c>
      <c r="D17085" t="inlineStr">
        <is>
          <t>Maybelline</t>
        </is>
      </c>
      <c r="E17085" t="n">
        <v>6.51</v>
      </c>
      <c r="F17085" t="n">
        <v>1</v>
      </c>
      <c r="G17085" t="n">
        <v>3</v>
      </c>
      <c r="H17085" s="5">
        <f>HYPERLINK("https://api.qogita.com/variants/link/3600531687922/", "View Product")</f>
        <v/>
      </c>
    </row>
    <row r="17086">
      <c r="A17086" t="inlineStr">
        <is>
          <t>3600531691929</t>
        </is>
      </c>
      <c r="B17086" t="inlineStr">
        <is>
          <t>Maybelline Super Stay Lumi Matte Foundation 118 35ml</t>
        </is>
      </c>
      <c r="C17086" t="inlineStr">
        <is>
          <t>Foundation</t>
        </is>
      </c>
      <c r="D17086" t="inlineStr">
        <is>
          <t>Maybelline</t>
        </is>
      </c>
      <c r="E17086" t="n">
        <v>10.75</v>
      </c>
      <c r="F17086" t="n">
        <v>1</v>
      </c>
      <c r="G17086" t="n">
        <v>7</v>
      </c>
      <c r="H17086" s="5">
        <f>HYPERLINK("https://api.qogita.com/variants/link/3600531691929/", "View Product")</f>
        <v/>
      </c>
    </row>
    <row r="17087">
      <c r="A17087" t="inlineStr">
        <is>
          <t>3600531692063</t>
        </is>
      </c>
      <c r="B17087" t="inlineStr">
        <is>
          <t>Maybelline Lifter Liner Lip Liner 007 Big Lift 1.2g</t>
        </is>
      </c>
      <c r="C17087" t="inlineStr">
        <is>
          <t>Lip Liner</t>
        </is>
      </c>
      <c r="D17087" t="inlineStr">
        <is>
          <t>Maybelline</t>
        </is>
      </c>
      <c r="E17087" t="n">
        <v>6.81</v>
      </c>
      <c r="F17087" t="n">
        <v>1</v>
      </c>
      <c r="G17087" t="n">
        <v>2</v>
      </c>
      <c r="H17087" s="5">
        <f>HYPERLINK("https://api.qogita.com/variants/link/3600531692063/", "View Product")</f>
        <v/>
      </c>
    </row>
    <row r="17088">
      <c r="A17088" t="inlineStr">
        <is>
          <t>3600531694197</t>
        </is>
      </c>
      <c r="B17088" t="inlineStr">
        <is>
          <t>Maybelline Matte Blush - 4.7 Ml</t>
        </is>
      </c>
      <c r="C17088" t="inlineStr">
        <is>
          <t>Blush</t>
        </is>
      </c>
      <c r="D17088" t="inlineStr">
        <is>
          <t>Maybelline</t>
        </is>
      </c>
      <c r="E17088" t="n">
        <v>9.16</v>
      </c>
      <c r="F17088" t="n">
        <v>1</v>
      </c>
      <c r="G17088" t="n">
        <v>3</v>
      </c>
      <c r="H17088" s="5">
        <f>HYPERLINK("https://api.qogita.com/variants/link/3600531694197/", "View Product")</f>
        <v/>
      </c>
    </row>
    <row r="17089">
      <c r="A17089" t="inlineStr">
        <is>
          <t>3600531697419</t>
        </is>
      </c>
      <c r="B17089" t="inlineStr">
        <is>
          <t>Maybelline Sunkisser Highlighter 4.7 Ml</t>
        </is>
      </c>
      <c r="C17089" t="inlineStr">
        <is>
          <t>Highlighter</t>
        </is>
      </c>
      <c r="D17089" t="inlineStr">
        <is>
          <t>Maybelline</t>
        </is>
      </c>
      <c r="E17089" t="n">
        <v>9.140000000000001</v>
      </c>
      <c r="F17089" t="n">
        <v>1</v>
      </c>
      <c r="G17089" t="n">
        <v>2</v>
      </c>
      <c r="H17089" s="5">
        <f>HYPERLINK("https://api.qogita.com/variants/link/3600531697419/", "View Product")</f>
        <v/>
      </c>
    </row>
    <row r="17090">
      <c r="A17090" t="inlineStr">
        <is>
          <t>3600531697426</t>
        </is>
      </c>
      <c r="B17090" t="inlineStr">
        <is>
          <t>Maybelline Sunkisser Highlighter 4.7 Ml</t>
        </is>
      </c>
      <c r="C17090" t="inlineStr">
        <is>
          <t>Highlighter</t>
        </is>
      </c>
      <c r="D17090" t="inlineStr">
        <is>
          <t>Maybelline</t>
        </is>
      </c>
      <c r="E17090" t="n">
        <v>9.140000000000001</v>
      </c>
      <c r="F17090" t="n">
        <v>1</v>
      </c>
      <c r="G17090" t="n">
        <v>3</v>
      </c>
      <c r="H17090" s="5">
        <f>HYPERLINK("https://api.qogita.com/variants/link/3600531697426/", "View Product")</f>
        <v/>
      </c>
    </row>
    <row r="17091">
      <c r="A17091" t="inlineStr">
        <is>
          <t>3600531698638</t>
        </is>
      </c>
      <c r="B17091" t="inlineStr">
        <is>
          <t>Maybelline Instant Anti-Age Eraser Concealer - 6.8 Ml</t>
        </is>
      </c>
      <c r="C17091" t="inlineStr">
        <is>
          <t>Concealer</t>
        </is>
      </c>
      <c r="D17091" t="inlineStr">
        <is>
          <t>Maybelline</t>
        </is>
      </c>
      <c r="E17091" t="n">
        <v>9.16</v>
      </c>
      <c r="F17091" t="n">
        <v>1</v>
      </c>
      <c r="G17091" t="n">
        <v>2</v>
      </c>
      <c r="H17091" s="5">
        <f>HYPERLINK("https://api.qogita.com/variants/link/3600531698638/", "View Product")</f>
        <v/>
      </c>
    </row>
    <row r="17092">
      <c r="A17092" t="inlineStr">
        <is>
          <t>3600531698720</t>
        </is>
      </c>
      <c r="B17092" t="inlineStr">
        <is>
          <t>Maybelline New York Superfluff Brow Mousse for Soft Full Brows All Day Wear</t>
        </is>
      </c>
      <c r="C17092" t="inlineStr">
        <is>
          <t>Eyebrow Gel</t>
        </is>
      </c>
      <c r="D17092" t="inlineStr">
        <is>
          <t>Maybelline</t>
        </is>
      </c>
      <c r="E17092" t="n">
        <v>8.44</v>
      </c>
      <c r="F17092" t="n">
        <v>1</v>
      </c>
      <c r="G17092" t="n">
        <v>8</v>
      </c>
      <c r="H17092" s="5">
        <f>HYPERLINK("https://api.qogita.com/variants/link/3600531698720/", "View Product")</f>
        <v/>
      </c>
    </row>
    <row r="17093">
      <c r="A17093" t="inlineStr">
        <is>
          <t>3600531698737</t>
        </is>
      </c>
      <c r="B17093" t="inlineStr">
        <is>
          <t>Maybelline Super Fluff Eyebrow Mousse 255 Soft Brown Perfect For Defining And Filling Eyebrows</t>
        </is>
      </c>
      <c r="C17093" t="inlineStr">
        <is>
          <t>Other</t>
        </is>
      </c>
      <c r="D17093" t="inlineStr">
        <is>
          <t>Maybelline</t>
        </is>
      </c>
      <c r="E17093" t="n">
        <v>8.44</v>
      </c>
      <c r="F17093" t="n">
        <v>1</v>
      </c>
      <c r="G17093" t="n">
        <v>8</v>
      </c>
      <c r="H17093" s="5">
        <f>HYPERLINK("https://api.qogita.com/variants/link/3600531698737/", "View Product")</f>
        <v/>
      </c>
    </row>
    <row r="17094">
      <c r="A17094" t="inlineStr">
        <is>
          <t>3600531698744</t>
        </is>
      </c>
      <c r="B17094" t="inlineStr">
        <is>
          <t>Maybelline Superfluff Eyebrow Gel Brow Mousse - 5 Ml For A Full And Fluffy Look</t>
        </is>
      </c>
      <c r="C17094" t="inlineStr">
        <is>
          <t>Eyebrow Gel</t>
        </is>
      </c>
      <c r="D17094" t="inlineStr">
        <is>
          <t>Maybelline</t>
        </is>
      </c>
      <c r="E17094" t="n">
        <v>8.44</v>
      </c>
      <c r="F17094" t="n">
        <v>1</v>
      </c>
      <c r="G17094" t="n">
        <v>9</v>
      </c>
      <c r="H17094" s="5">
        <f>HYPERLINK("https://api.qogita.com/variants/link/3600531698744/", "View Product")</f>
        <v/>
      </c>
    </row>
    <row r="17095">
      <c r="A17095" t="inlineStr">
        <is>
          <t>3600531701857</t>
        </is>
      </c>
      <c r="B17095" t="inlineStr">
        <is>
          <t>Maybelline Eye Pencil 3 In 1 Color Tattoo 24h Eye Stix 1.4 G</t>
        </is>
      </c>
      <c r="C17095" t="inlineStr">
        <is>
          <t>Eye Pencil</t>
        </is>
      </c>
      <c r="D17095" t="inlineStr">
        <is>
          <t>Maybelline</t>
        </is>
      </c>
      <c r="E17095" t="n">
        <v>9.41</v>
      </c>
      <c r="F17095" t="n">
        <v>1</v>
      </c>
      <c r="G17095" t="n">
        <v>3</v>
      </c>
      <c r="H17095" s="5">
        <f>HYPERLINK("https://api.qogita.com/variants/link/3600531701857/", "View Product")</f>
        <v/>
      </c>
    </row>
    <row r="17096">
      <c r="A17096" t="inlineStr">
        <is>
          <t>3600531701949</t>
        </is>
      </c>
      <c r="B17096" t="inlineStr">
        <is>
          <t>Maybelline Moisturizing Lip Gloss Lifter Gloss 5.4 Ml</t>
        </is>
      </c>
      <c r="C17096" t="inlineStr">
        <is>
          <t>Lip Gloss</t>
        </is>
      </c>
      <c r="D17096" t="inlineStr">
        <is>
          <t>Maybelline</t>
        </is>
      </c>
      <c r="E17096" t="n">
        <v>7.79</v>
      </c>
      <c r="F17096" t="n">
        <v>1</v>
      </c>
      <c r="G17096" t="n">
        <v>3</v>
      </c>
      <c r="H17096" s="5">
        <f>HYPERLINK("https://api.qogita.com/variants/link/3600531701949/", "View Product")</f>
        <v/>
      </c>
    </row>
    <row r="17097">
      <c r="A17097" t="inlineStr">
        <is>
          <t>3600540784995</t>
        </is>
      </c>
      <c r="B17097" t="inlineStr">
        <is>
          <t>Garnier Ambre Solaire Natural Bronzer Medium Selftan Mist Body 150 Ml</t>
        </is>
      </c>
      <c r="C17097" t="inlineStr">
        <is>
          <t>Body Self-Tanner</t>
        </is>
      </c>
      <c r="D17097" t="inlineStr">
        <is>
          <t>Garnier</t>
        </is>
      </c>
      <c r="E17097" t="n">
        <v>10.51</v>
      </c>
      <c r="F17097" t="n">
        <v>1</v>
      </c>
      <c r="G17097" t="n">
        <v>19</v>
      </c>
      <c r="H17097" s="5">
        <f>HYPERLINK("https://api.qogita.com/variants/link/3600540784995/", "View Product")</f>
        <v/>
      </c>
    </row>
    <row r="17098">
      <c r="A17098" t="inlineStr">
        <is>
          <t>3600540889515</t>
        </is>
      </c>
      <c r="B17098" t="inlineStr">
        <is>
          <t>Men Extreme Protection 72h Deodorant</t>
        </is>
      </c>
      <c r="C17098" t="inlineStr">
        <is>
          <t>Deodorant &amp; Anti-Perspirant</t>
        </is>
      </c>
      <c r="D17098" t="inlineStr">
        <is>
          <t>Garnier</t>
        </is>
      </c>
      <c r="E17098" t="n">
        <v>5.15</v>
      </c>
      <c r="F17098" t="n">
        <v>1</v>
      </c>
      <c r="G17098" t="n">
        <v>3</v>
      </c>
      <c r="H17098" s="5">
        <f>HYPERLINK("https://api.qogita.com/variants/link/3600540889515/", "View Product")</f>
        <v/>
      </c>
    </row>
    <row r="17099">
      <c r="A17099" t="inlineStr">
        <is>
          <t>3600541284470</t>
        </is>
      </c>
      <c r="B17099" t="inlineStr">
        <is>
          <t>Garnier Fructis Goodbye Damage Strengthening Shampoo</t>
        </is>
      </c>
      <c r="C17099" t="inlineStr">
        <is>
          <t>Shampoo</t>
        </is>
      </c>
      <c r="D17099" t="inlineStr">
        <is>
          <t>Garnier</t>
        </is>
      </c>
      <c r="E17099" t="n">
        <v>6.05</v>
      </c>
      <c r="F17099" t="n">
        <v>1</v>
      </c>
      <c r="G17099" t="n">
        <v>18</v>
      </c>
      <c r="H17099" s="5">
        <f>HYPERLINK("https://api.qogita.com/variants/link/3600541284470/", "View Product")</f>
        <v/>
      </c>
    </row>
    <row r="17100">
      <c r="A17100" t="inlineStr">
        <is>
          <t>3600541392229</t>
        </is>
      </c>
      <c r="B17100" t="inlineStr">
        <is>
          <t>Garnier Essentials Refreshing Eye Make Up Remover 125 Ml</t>
        </is>
      </c>
      <c r="C17100" t="inlineStr">
        <is>
          <t>Makeup Remover</t>
        </is>
      </c>
      <c r="D17100" t="inlineStr">
        <is>
          <t>Garnier</t>
        </is>
      </c>
      <c r="E17100" t="n">
        <v>6.08</v>
      </c>
      <c r="F17100" t="n">
        <v>1</v>
      </c>
      <c r="G17100" t="n">
        <v>21</v>
      </c>
      <c r="H17100" s="5">
        <f>HYPERLINK("https://api.qogita.com/variants/link/3600541392229/", "View Product")</f>
        <v/>
      </c>
    </row>
    <row r="17101">
      <c r="A17101" t="inlineStr">
        <is>
          <t>3600541436190</t>
        </is>
      </c>
      <c r="B17101" t="inlineStr">
        <is>
          <t>Garnier Ambre Solaire Spf 50 Sensitive Advanced Sunscreen For Children 50 Ml</t>
        </is>
      </c>
      <c r="C17101" t="inlineStr">
        <is>
          <t>Sun Protection For Children</t>
        </is>
      </c>
      <c r="D17101" t="inlineStr">
        <is>
          <t>Garnier</t>
        </is>
      </c>
      <c r="E17101" t="n">
        <v>8.92</v>
      </c>
      <c r="F17101" t="n">
        <v>1</v>
      </c>
      <c r="G17101" t="n">
        <v>5</v>
      </c>
      <c r="H17101" s="5">
        <f>HYPERLINK("https://api.qogita.com/variants/link/3600541436190/", "View Product")</f>
        <v/>
      </c>
    </row>
    <row r="17102">
      <c r="A17102" t="inlineStr">
        <is>
          <t>3600541744547</t>
        </is>
      </c>
      <c r="B17102" t="inlineStr">
        <is>
          <t>Garnier Skin Naturals 3in1 Micellar Water 400ml</t>
        </is>
      </c>
      <c r="C17102" t="inlineStr">
        <is>
          <t>Micellar Water</t>
        </is>
      </c>
      <c r="D17102" t="inlineStr">
        <is>
          <t>Garnier</t>
        </is>
      </c>
      <c r="E17102" t="n">
        <v>8.09</v>
      </c>
      <c r="F17102" t="n">
        <v>1</v>
      </c>
      <c r="G17102" t="n">
        <v>64</v>
      </c>
      <c r="H17102" s="5">
        <f>HYPERLINK("https://api.qogita.com/variants/link/3600541744547/", "View Product")</f>
        <v/>
      </c>
    </row>
    <row r="17103">
      <c r="A17103" t="inlineStr">
        <is>
          <t>3600541970540</t>
        </is>
      </c>
      <c r="B17103" t="inlineStr">
        <is>
          <t>Garnier Coconut Water Strengthening Shampoo</t>
        </is>
      </c>
      <c r="C17103" t="inlineStr">
        <is>
          <t>Shampoo</t>
        </is>
      </c>
      <c r="D17103" t="inlineStr">
        <is>
          <t>Garnier</t>
        </is>
      </c>
      <c r="E17103" t="n">
        <v>6.05</v>
      </c>
      <c r="F17103" t="n">
        <v>1</v>
      </c>
      <c r="G17103" t="n">
        <v>4</v>
      </c>
      <c r="H17103" s="5">
        <f>HYPERLINK("https://api.qogita.com/variants/link/3600541970540/", "View Product")</f>
        <v/>
      </c>
    </row>
    <row r="17104">
      <c r="A17104" t="inlineStr">
        <is>
          <t>3600542066129</t>
        </is>
      </c>
      <c r="B17104" t="inlineStr">
        <is>
          <t>Garnier Moisture Bomb Lavender Sheet Mask</t>
        </is>
      </c>
      <c r="C17104" t="inlineStr">
        <is>
          <t>Sheet Mask</t>
        </is>
      </c>
      <c r="D17104" t="inlineStr">
        <is>
          <t>Garnier</t>
        </is>
      </c>
      <c r="E17104" t="n">
        <v>3.81</v>
      </c>
      <c r="F17104" t="n">
        <v>1</v>
      </c>
      <c r="G17104" t="n">
        <v>4</v>
      </c>
      <c r="H17104" s="5">
        <f>HYPERLINK("https://api.qogita.com/variants/link/3600542066129/", "View Product")</f>
        <v/>
      </c>
    </row>
    <row r="17105">
      <c r="A17105" t="inlineStr">
        <is>
          <t>3600542084437</t>
        </is>
      </c>
      <c r="B17105" t="inlineStr">
        <is>
          <t>Garnier Pure Active Black Intensive Charcoal Anti Blackhead 150ml</t>
        </is>
      </c>
      <c r="C17105" t="inlineStr">
        <is>
          <t>Pimple &amp; Blackhead Treatments</t>
        </is>
      </c>
      <c r="D17105" t="inlineStr">
        <is>
          <t>Garnier</t>
        </is>
      </c>
      <c r="E17105" t="n">
        <v>6.75</v>
      </c>
      <c r="F17105" t="n">
        <v>1</v>
      </c>
      <c r="G17105" t="n">
        <v>15</v>
      </c>
      <c r="H17105" s="5">
        <f>HYPERLINK("https://api.qogita.com/variants/link/3600542084437/", "View Product")</f>
        <v/>
      </c>
    </row>
    <row r="17106">
      <c r="A17106" t="inlineStr">
        <is>
          <t>3600542098137</t>
        </is>
      </c>
      <c r="B17106" t="inlineStr">
        <is>
          <t>Garnier Careful Micellar Water For Very Sensitive Skin And Eyes 400 Ml</t>
        </is>
      </c>
      <c r="C17106" t="inlineStr">
        <is>
          <t>Micellar Water</t>
        </is>
      </c>
      <c r="D17106" t="inlineStr">
        <is>
          <t>Garnier</t>
        </is>
      </c>
      <c r="E17106" t="n">
        <v>8.09</v>
      </c>
      <c r="F17106" t="n">
        <v>1</v>
      </c>
      <c r="G17106" t="n">
        <v>6</v>
      </c>
      <c r="H17106" s="5">
        <f>HYPERLINK("https://api.qogita.com/variants/link/3600542098137/", "View Product")</f>
        <v/>
      </c>
    </row>
    <row r="17107">
      <c r="A17107" t="inlineStr">
        <is>
          <t>3600542109734</t>
        </is>
      </c>
      <c r="B17107" t="inlineStr">
        <is>
          <t>Garnier Skin Active Micellar Cleansing Water In Oil</t>
        </is>
      </c>
      <c r="C17107" t="inlineStr">
        <is>
          <t>Micellar Water</t>
        </is>
      </c>
      <c r="D17107" t="inlineStr">
        <is>
          <t>Garnier</t>
        </is>
      </c>
      <c r="E17107" t="n">
        <v>4.71</v>
      </c>
      <c r="F17107" t="n">
        <v>1</v>
      </c>
      <c r="G17107" t="n">
        <v>12</v>
      </c>
      <c r="H17107" s="5">
        <f>HYPERLINK("https://api.qogita.com/variants/link/3600542109734/", "View Product")</f>
        <v/>
      </c>
    </row>
    <row r="17108">
      <c r="A17108" t="inlineStr">
        <is>
          <t>3600542319768</t>
        </is>
      </c>
      <c r="B17108" t="inlineStr">
        <is>
          <t>Garnier Skin Naturals Nutri Bomb Intense Nutrition And Glow Milky Tissue Mask - 28g</t>
        </is>
      </c>
      <c r="C17108" t="inlineStr">
        <is>
          <t>Sheet Mask</t>
        </is>
      </c>
      <c r="D17108" t="inlineStr">
        <is>
          <t>Garnier</t>
        </is>
      </c>
      <c r="E17108" t="n">
        <v>3.81</v>
      </c>
      <c r="F17108" t="n">
        <v>1</v>
      </c>
      <c r="G17108" t="n">
        <v>14</v>
      </c>
      <c r="H17108" s="5">
        <f>HYPERLINK("https://api.qogita.com/variants/link/3600542319768/", "View Product")</f>
        <v/>
      </c>
    </row>
    <row r="17109">
      <c r="A17109" t="inlineStr">
        <is>
          <t>3600542368896</t>
        </is>
      </c>
      <c r="B17109" t="inlineStr">
        <is>
          <t>Garnier Skin Naturals Pure Active Moisturizing Textile Mask Against Imperfections Enriched With Tea Tree And Salicylic Acid</t>
        </is>
      </c>
      <c r="C17109" t="inlineStr">
        <is>
          <t>Sheet Mask</t>
        </is>
      </c>
      <c r="D17109" t="inlineStr">
        <is>
          <t>Garnier</t>
        </is>
      </c>
      <c r="E17109" t="n">
        <v>3.81</v>
      </c>
      <c r="F17109" t="n">
        <v>1</v>
      </c>
      <c r="G17109" t="n">
        <v>7</v>
      </c>
      <c r="H17109" s="5">
        <f>HYPERLINK("https://api.qogita.com/variants/link/3600542368896/", "View Product")</f>
        <v/>
      </c>
    </row>
    <row r="17110">
      <c r="A17110" t="inlineStr">
        <is>
          <t>3600542385312</t>
        </is>
      </c>
      <c r="B17110" t="inlineStr">
        <is>
          <t>Garnier Skin Naturals Hydra Bomb Intensive Moisturizing And Firming Fabric Mask 28g</t>
        </is>
      </c>
      <c r="C17110" t="inlineStr">
        <is>
          <t>Sheet Mask</t>
        </is>
      </c>
      <c r="D17110" t="inlineStr">
        <is>
          <t>Garnier</t>
        </is>
      </c>
      <c r="E17110" t="n">
        <v>3.81</v>
      </c>
      <c r="F17110" t="n">
        <v>1</v>
      </c>
      <c r="G17110" t="n">
        <v>12</v>
      </c>
      <c r="H17110" s="5">
        <f>HYPERLINK("https://api.qogita.com/variants/link/3600542385312/", "View Product")</f>
        <v/>
      </c>
    </row>
    <row r="17111">
      <c r="A17111" t="inlineStr">
        <is>
          <t>3600542415682</t>
        </is>
      </c>
      <c r="B17111" t="inlineStr">
        <is>
          <t>Garnier Micellar Cleansing Rose Water Gentle Micellar Water With Rose Water</t>
        </is>
      </c>
      <c r="C17111" t="inlineStr">
        <is>
          <t>Micellar Water</t>
        </is>
      </c>
      <c r="D17111" t="inlineStr">
        <is>
          <t>Garnier</t>
        </is>
      </c>
      <c r="E17111" t="n">
        <v>9.26</v>
      </c>
      <c r="F17111" t="n">
        <v>1</v>
      </c>
      <c r="G17111" t="n">
        <v>9</v>
      </c>
      <c r="H17111" s="5">
        <f>HYPERLINK("https://api.qogita.com/variants/link/3600542415682/", "View Product")</f>
        <v/>
      </c>
    </row>
    <row r="17112">
      <c r="A17112" t="inlineStr">
        <is>
          <t>3600542452663</t>
        </is>
      </c>
      <c r="B17112" t="inlineStr">
        <is>
          <t>Fructis Vitamin Strength Anti-Fall Treatment Serum by Garnier - 125ml</t>
        </is>
      </c>
      <c r="C17112" t="inlineStr">
        <is>
          <t>Hair Oil &amp; Hair Serum</t>
        </is>
      </c>
      <c r="D17112" t="inlineStr">
        <is>
          <t>Garnier</t>
        </is>
      </c>
      <c r="E17112" t="n">
        <v>8.029999999999999</v>
      </c>
      <c r="F17112" t="n">
        <v>1</v>
      </c>
      <c r="G17112" t="n">
        <v>14</v>
      </c>
      <c r="H17112" s="5">
        <f>HYPERLINK("https://api.qogita.com/variants/link/3600542452663/", "View Product")</f>
        <v/>
      </c>
    </row>
    <row r="17113">
      <c r="A17113" t="inlineStr">
        <is>
          <t>3600542456630</t>
        </is>
      </c>
      <c r="B17113" t="inlineStr">
        <is>
          <t>Hydrating Night Skin Gel with Hyaluronic Aloe Jelly (Night Moisturizing Jelly) 50 ml</t>
        </is>
      </c>
      <c r="C17113" t="inlineStr">
        <is>
          <t>Night Cream</t>
        </is>
      </c>
      <c r="D17113" t="inlineStr">
        <is>
          <t>Garnier</t>
        </is>
      </c>
      <c r="E17113" t="n">
        <v>7.33</v>
      </c>
      <c r="F17113" t="n">
        <v>1</v>
      </c>
      <c r="G17113" t="n">
        <v>13</v>
      </c>
      <c r="H17113" s="5">
        <f>HYPERLINK("https://api.qogita.com/variants/link/3600542456630/", "View Product")</f>
        <v/>
      </c>
    </row>
    <row r="17114">
      <c r="A17114" t="inlineStr">
        <is>
          <t>3600542470438</t>
        </is>
      </c>
      <c r="B17114" t="inlineStr">
        <is>
          <t>Garnier Nourishing Body Butter With Cocoa And Ceramide, 380 Ml</t>
        </is>
      </c>
      <c r="C17114" t="inlineStr">
        <is>
          <t>Body Butter</t>
        </is>
      </c>
      <c r="D17114" t="inlineStr">
        <is>
          <t>Garnier</t>
        </is>
      </c>
      <c r="E17114" t="n">
        <v>8.300000000000001</v>
      </c>
      <c r="F17114" t="n">
        <v>1</v>
      </c>
      <c r="G17114" t="n">
        <v>5</v>
      </c>
      <c r="H17114" s="5">
        <f>HYPERLINK("https://api.qogita.com/variants/link/3600542470438/", "View Product")</f>
        <v/>
      </c>
    </row>
    <row r="17115">
      <c r="A17115" t="inlineStr">
        <is>
          <t>3600542486866</t>
        </is>
      </c>
      <c r="B17115" t="inlineStr">
        <is>
          <t>Garnier Superfood Cocoa Hand Repairing Balm 75ml</t>
        </is>
      </c>
      <c r="C17115" t="inlineStr">
        <is>
          <t>Hand Cream</t>
        </is>
      </c>
      <c r="D17115" t="inlineStr">
        <is>
          <t>Garnier</t>
        </is>
      </c>
      <c r="E17115" t="n">
        <v>5.08</v>
      </c>
      <c r="F17115" t="n">
        <v>1</v>
      </c>
      <c r="G17115" t="n">
        <v>3</v>
      </c>
      <c r="H17115" s="5">
        <f>HYPERLINK("https://api.qogita.com/variants/link/3600542486866/", "View Product")</f>
        <v/>
      </c>
    </row>
    <row r="17116">
      <c r="A17116" t="inlineStr">
        <is>
          <t>3600542497954</t>
        </is>
      </c>
      <c r="B17116" t="inlineStr">
        <is>
          <t>Garnier Pure Active AHA BHA Charcoal Serum 30ml - Facial Serum</t>
        </is>
      </c>
      <c r="C17116" t="inlineStr">
        <is>
          <t>Hydrating Serum</t>
        </is>
      </c>
      <c r="D17116" t="inlineStr">
        <is>
          <t>Garnier</t>
        </is>
      </c>
      <c r="E17116" t="n">
        <v>10.13</v>
      </c>
      <c r="F17116" t="n">
        <v>1</v>
      </c>
      <c r="G17116" t="n">
        <v>10</v>
      </c>
      <c r="H17116" s="5">
        <f>HYPERLINK("https://api.qogita.com/variants/link/3600542497954/", "View Product")</f>
        <v/>
      </c>
    </row>
    <row r="17117">
      <c r="A17117" t="inlineStr">
        <is>
          <t>3600542512060</t>
        </is>
      </c>
      <c r="B17117" t="inlineStr">
        <is>
          <t>Garnier Botanic Therapy Kids Lion King Shampoo Detangler 400 Ml</t>
        </is>
      </c>
      <c r="C17117" t="inlineStr">
        <is>
          <t>Shampoo</t>
        </is>
      </c>
      <c r="D17117" t="inlineStr">
        <is>
          <t>Garnier</t>
        </is>
      </c>
      <c r="E17117" t="n">
        <v>6.05</v>
      </c>
      <c r="F17117" t="n">
        <v>1</v>
      </c>
      <c r="G17117" t="n">
        <v>33</v>
      </c>
      <c r="H17117" s="5">
        <f>HYPERLINK("https://api.qogita.com/variants/link/3600542512060/", "View Product")</f>
        <v/>
      </c>
    </row>
    <row r="17118">
      <c r="A17118" t="inlineStr">
        <is>
          <t>3600542512961</t>
        </is>
      </c>
      <c r="B17118" t="inlineStr">
        <is>
          <t>Garnier Ambre Solaire Sensitive Advanced Face Mist Spf 50 150 Ml For Light Sensitive Skin</t>
        </is>
      </c>
      <c r="C17118" t="inlineStr">
        <is>
          <t>Face Sun Protection</t>
        </is>
      </c>
      <c r="D17118" t="inlineStr">
        <is>
          <t>Garnier</t>
        </is>
      </c>
      <c r="E17118" t="n">
        <v>13.17</v>
      </c>
      <c r="F17118" t="n">
        <v>1</v>
      </c>
      <c r="G17118" t="n">
        <v>62</v>
      </c>
      <c r="H17118" s="5">
        <f>HYPERLINK("https://api.qogita.com/variants/link/3600542512961/", "View Product")</f>
        <v/>
      </c>
    </row>
    <row r="17119">
      <c r="A17119" t="inlineStr">
        <is>
          <t>3600542514163</t>
        </is>
      </c>
      <c r="B17119" t="inlineStr">
        <is>
          <t>Garnier Skin Naturals Vitamin C Eye Cream 15 Ml</t>
        </is>
      </c>
      <c r="C17119" t="inlineStr">
        <is>
          <t>Eye Cream</t>
        </is>
      </c>
      <c r="D17119" t="inlineStr">
        <is>
          <t>Garnier</t>
        </is>
      </c>
      <c r="E17119" t="n">
        <v>7.33</v>
      </c>
      <c r="F17119" t="n">
        <v>1</v>
      </c>
      <c r="G17119" t="n">
        <v>10</v>
      </c>
      <c r="H17119" s="5">
        <f>HYPERLINK("https://api.qogita.com/variants/link/3600542514163/", "View Product")</f>
        <v/>
      </c>
    </row>
    <row r="17120">
      <c r="A17120" t="inlineStr">
        <is>
          <t>3600542522823</t>
        </is>
      </c>
      <c r="B17120" t="inlineStr">
        <is>
          <t>Garnier Fructis Hair Food Pineapple Mask 400 Ml For Long Hair</t>
        </is>
      </c>
      <c r="C17120" t="inlineStr">
        <is>
          <t>Hair Masks</t>
        </is>
      </c>
      <c r="D17120" t="inlineStr">
        <is>
          <t>Garnier</t>
        </is>
      </c>
      <c r="E17120" t="n">
        <v>7.63</v>
      </c>
      <c r="F17120" t="n">
        <v>1</v>
      </c>
      <c r="G17120" t="n">
        <v>32</v>
      </c>
      <c r="H17120" s="5">
        <f>HYPERLINK("https://api.qogita.com/variants/link/3600542522823/", "View Product")</f>
        <v/>
      </c>
    </row>
    <row r="17121">
      <c r="A17121" t="inlineStr">
        <is>
          <t>3600542522915</t>
        </is>
      </c>
      <c r="B17121" t="inlineStr">
        <is>
          <t>Garnier Ambre Solaire Kids Sensitive Advanced Spray Spf 50 270 Ml Sunscreen For The Body</t>
        </is>
      </c>
      <c r="C17121" t="inlineStr">
        <is>
          <t>Sun Protection For Children</t>
        </is>
      </c>
      <c r="D17121" t="inlineStr">
        <is>
          <t>Garnier</t>
        </is>
      </c>
      <c r="E17121" t="n">
        <v>15.24</v>
      </c>
      <c r="F17121" t="n">
        <v>1</v>
      </c>
      <c r="G17121" t="n">
        <v>20</v>
      </c>
      <c r="H17121" s="5">
        <f>HYPERLINK("https://api.qogita.com/variants/link/3600542522915/", "View Product")</f>
        <v/>
      </c>
    </row>
    <row r="17122">
      <c r="A17122" t="inlineStr">
        <is>
          <t>3600542545259</t>
        </is>
      </c>
      <c r="B17122" t="inlineStr">
        <is>
          <t>Garnier Skin Naturals Pro-Retinol Face Mask 22g</t>
        </is>
      </c>
      <c r="C17122" t="inlineStr">
        <is>
          <t>Anti-Aging Mask</t>
        </is>
      </c>
      <c r="D17122" t="inlineStr">
        <is>
          <t>Garnier</t>
        </is>
      </c>
      <c r="E17122" t="n">
        <v>4.07</v>
      </c>
      <c r="F17122" t="n">
        <v>1</v>
      </c>
      <c r="G17122" t="n">
        <v>7</v>
      </c>
      <c r="H17122" s="5">
        <f>HYPERLINK("https://api.qogita.com/variants/link/3600542545259/", "View Product")</f>
        <v/>
      </c>
    </row>
    <row r="17123">
      <c r="A17123" t="inlineStr">
        <is>
          <t>3600542566278</t>
        </is>
      </c>
      <c r="B17123" t="inlineStr">
        <is>
          <t>Charcoal Cleansing Gel 250 ml</t>
        </is>
      </c>
      <c r="C17123" t="inlineStr">
        <is>
          <t>Cleansing Gel</t>
        </is>
      </c>
      <c r="D17123" t="inlineStr">
        <is>
          <t>Garnier</t>
        </is>
      </c>
      <c r="E17123" t="n">
        <v>6.93</v>
      </c>
      <c r="F17123" t="n">
        <v>1</v>
      </c>
      <c r="G17123" t="n">
        <v>8</v>
      </c>
      <c r="H17123" s="5">
        <f>HYPERLINK("https://api.qogita.com/variants/link/3600542566278/", "View Product")</f>
        <v/>
      </c>
    </row>
    <row r="17124">
      <c r="A17124" t="inlineStr">
        <is>
          <t>3600542569040</t>
        </is>
      </c>
      <c r="B17124" t="inlineStr">
        <is>
          <t>Garnier Skin Active Brightening Eye Patches 5g</t>
        </is>
      </c>
      <c r="C17124" t="inlineStr">
        <is>
          <t>Eye Masks &amp; Eye Pads</t>
        </is>
      </c>
      <c r="D17124" t="inlineStr">
        <is>
          <t>Garnier</t>
        </is>
      </c>
      <c r="E17124" t="n">
        <v>3.81</v>
      </c>
      <c r="F17124" t="n">
        <v>1</v>
      </c>
      <c r="G17124" t="n">
        <v>5</v>
      </c>
      <c r="H17124" s="5">
        <f>HYPERLINK("https://api.qogita.com/variants/link/3600542569040/", "View Product")</f>
        <v/>
      </c>
    </row>
    <row r="17125">
      <c r="A17125" t="inlineStr">
        <is>
          <t>3600542573023</t>
        </is>
      </c>
      <c r="B17125" t="inlineStr">
        <is>
          <t>Garnier Skin Naturals Vitamin C Daily Uv Glow Spf50 Fluid Brightening Daily Facial Fluid With High Uv Protection And Mineral Pigments</t>
        </is>
      </c>
      <c r="C17125" t="inlineStr">
        <is>
          <t>Face Sun Protection</t>
        </is>
      </c>
      <c r="D17125" t="inlineStr">
        <is>
          <t>Garnier</t>
        </is>
      </c>
      <c r="E17125" t="n">
        <v>10.13</v>
      </c>
      <c r="F17125" t="n">
        <v>1</v>
      </c>
      <c r="G17125" t="n">
        <v>5</v>
      </c>
      <c r="H17125" s="5">
        <f>HYPERLINK("https://api.qogita.com/variants/link/3600542573023/", "View Product")</f>
        <v/>
      </c>
    </row>
    <row r="17126">
      <c r="A17126" t="inlineStr">
        <is>
          <t>3600542586078</t>
        </is>
      </c>
      <c r="B17126" t="inlineStr">
        <is>
          <t>Garnier Vitamin C Brightening Cream Cleanser 250ml</t>
        </is>
      </c>
      <c r="C17126" t="inlineStr">
        <is>
          <t>Cleansing Cream</t>
        </is>
      </c>
      <c r="D17126" t="inlineStr">
        <is>
          <t>Skin Naturals</t>
        </is>
      </c>
      <c r="E17126" t="n">
        <v>6.93</v>
      </c>
      <c r="F17126" t="n">
        <v>1</v>
      </c>
      <c r="G17126" t="n">
        <v>5</v>
      </c>
      <c r="H17126" s="5">
        <f>HYPERLINK("https://api.qogita.com/variants/link/3600542586078/", "View Product")</f>
        <v/>
      </c>
    </row>
    <row r="17127">
      <c r="A17127" t="inlineStr">
        <is>
          <t>3600542597807</t>
        </is>
      </c>
      <c r="B17127" t="inlineStr">
        <is>
          <t>Garnier Pure Active BHA Niacinamide Daily UV Anti-Imperfection Fluid 40ml</t>
        </is>
      </c>
      <c r="C17127" t="inlineStr">
        <is>
          <t>Face Sun Protection</t>
        </is>
      </c>
      <c r="D17127" t="inlineStr">
        <is>
          <t>Garnier</t>
        </is>
      </c>
      <c r="E17127" t="n">
        <v>10.13</v>
      </c>
      <c r="F17127" t="n">
        <v>1</v>
      </c>
      <c r="G17127" t="n">
        <v>9</v>
      </c>
      <c r="H17127" s="5">
        <f>HYPERLINK("https://api.qogita.com/variants/link/3600542597807/", "View Product")</f>
        <v/>
      </c>
    </row>
    <row r="17128">
      <c r="A17128" t="inlineStr">
        <is>
          <t>3600542624916</t>
        </is>
      </c>
      <c r="B17128" t="inlineStr">
        <is>
          <t>Garnier Ambre Solaire Hydra 24 Sun Milk Spf 30</t>
        </is>
      </c>
      <c r="C17128" t="inlineStr">
        <is>
          <t>Body Sun Protection</t>
        </is>
      </c>
      <c r="D17128" t="inlineStr">
        <is>
          <t>Ambre Solaire</t>
        </is>
      </c>
      <c r="E17128" t="n">
        <v>9.9</v>
      </c>
      <c r="F17128" t="n">
        <v>1</v>
      </c>
      <c r="G17128" t="n">
        <v>15</v>
      </c>
      <c r="H17128" s="5">
        <f>HYPERLINK("https://api.qogita.com/variants/link/3600542624916/", "View Product")</f>
        <v/>
      </c>
    </row>
    <row r="17129">
      <c r="A17129" t="inlineStr">
        <is>
          <t>3600542624961</t>
        </is>
      </c>
      <c r="B17129" t="inlineStr">
        <is>
          <t>Garnier Sunscreen Milk Spf 50 Ambre Solaire Hydra 24h Protect Very High Protection Milk - 175 Ml</t>
        </is>
      </c>
      <c r="C17129" t="inlineStr">
        <is>
          <t>Body Sun Protection</t>
        </is>
      </c>
      <c r="D17129" t="inlineStr">
        <is>
          <t>Garnier</t>
        </is>
      </c>
      <c r="E17129" t="n">
        <v>9.9</v>
      </c>
      <c r="F17129" t="n">
        <v>1</v>
      </c>
      <c r="G17129" t="n">
        <v>15</v>
      </c>
      <c r="H17129" s="5">
        <f>HYPERLINK("https://api.qogita.com/variants/link/3600542624961/", "View Product")</f>
        <v/>
      </c>
    </row>
    <row r="17130">
      <c r="A17130" t="inlineStr">
        <is>
          <t>3600542639071</t>
        </is>
      </c>
      <c r="B17130" t="inlineStr">
        <is>
          <t>Garnier Fructis Keratin Sleek Conditioner For Dry And Frizzy Hair - 200 Ml</t>
        </is>
      </c>
      <c r="C17130" t="inlineStr">
        <is>
          <t>Conditioner</t>
        </is>
      </c>
      <c r="D17130" t="inlineStr">
        <is>
          <t>Garnier</t>
        </is>
      </c>
      <c r="E17130" t="n">
        <v>6.47</v>
      </c>
      <c r="F17130" t="n">
        <v>1</v>
      </c>
      <c r="G17130" t="n">
        <v>12</v>
      </c>
      <c r="H17130" s="5">
        <f>HYPERLINK("https://api.qogita.com/variants/link/3600542639071/", "View Product")</f>
        <v/>
      </c>
    </row>
    <row r="17131">
      <c r="A17131" t="inlineStr">
        <is>
          <t>3600542642682</t>
        </is>
      </c>
      <c r="B17131" t="inlineStr">
        <is>
          <t>Garnier Soothing Shampoo For All Hair Types With Dandruff</t>
        </is>
      </c>
      <c r="C17131" t="inlineStr">
        <is>
          <t>Shampoo</t>
        </is>
      </c>
      <c r="D17131" t="inlineStr">
        <is>
          <t>Garnier</t>
        </is>
      </c>
      <c r="E17131" t="n">
        <v>6.47</v>
      </c>
      <c r="F17131" t="n">
        <v>1</v>
      </c>
      <c r="G17131" t="n">
        <v>12</v>
      </c>
      <c r="H17131" s="5">
        <f>HYPERLINK("https://api.qogita.com/variants/link/3600542642682/", "View Product")</f>
        <v/>
      </c>
    </row>
    <row r="17132">
      <c r="A17132" t="inlineStr">
        <is>
          <t>3600550307115</t>
        </is>
      </c>
      <c r="B17132" t="inlineStr">
        <is>
          <t>Mixa Shea Nourish Intensive Nourishing Body Milk 400 Ml For Dry Skin</t>
        </is>
      </c>
      <c r="C17132" t="inlineStr">
        <is>
          <t>Body Lotion</t>
        </is>
      </c>
      <c r="D17132" t="inlineStr">
        <is>
          <t>Mixa</t>
        </is>
      </c>
      <c r="E17132" t="n">
        <v>9.02</v>
      </c>
      <c r="F17132" t="n">
        <v>1</v>
      </c>
      <c r="G17132" t="n">
        <v>7</v>
      </c>
      <c r="H17132" s="5">
        <f>HYPERLINK("https://api.qogita.com/variants/link/3600550307115/", "View Product")</f>
        <v/>
      </c>
    </row>
    <row r="17133">
      <c r="A17133" t="inlineStr">
        <is>
          <t>3600550368383</t>
        </is>
      </c>
      <c r="B17133" t="inlineStr">
        <is>
          <t>Mixa Baby Delicate Bath And Wash Liquid With Oil 400ml</t>
        </is>
      </c>
      <c r="C17133" t="inlineStr">
        <is>
          <t>Baby Bath</t>
        </is>
      </c>
      <c r="D17133" t="inlineStr">
        <is>
          <t>Mixa</t>
        </is>
      </c>
      <c r="E17133" t="n">
        <v>7.43</v>
      </c>
      <c r="F17133" t="n">
        <v>1</v>
      </c>
      <c r="G17133" t="n">
        <v>14</v>
      </c>
      <c r="H17133" s="5">
        <f>HYPERLINK("https://api.qogita.com/variants/link/3600550368383/", "View Product")</f>
        <v/>
      </c>
    </row>
    <row r="17134">
      <c r="A17134" t="inlineStr">
        <is>
          <t>3600550934908</t>
        </is>
      </c>
      <c r="B17134" t="inlineStr">
        <is>
          <t>Mixa Expert Sensitive Skin Hyalurogel Rich Cream Intensively Moisturizing 50ml</t>
        </is>
      </c>
      <c r="C17134" t="inlineStr">
        <is>
          <t>Face Cream</t>
        </is>
      </c>
      <c r="D17134" t="inlineStr">
        <is>
          <t>Mixa</t>
        </is>
      </c>
      <c r="E17134" t="n">
        <v>7.03</v>
      </c>
      <c r="F17134" t="n">
        <v>1</v>
      </c>
      <c r="G17134" t="n">
        <v>3</v>
      </c>
      <c r="H17134" s="5">
        <f>HYPERLINK("https://api.qogita.com/variants/link/3600550934908/", "View Product")</f>
        <v/>
      </c>
    </row>
    <row r="17135">
      <c r="A17135" t="inlineStr">
        <is>
          <t>3600550949292</t>
        </is>
      </c>
      <c r="B17135" t="inlineStr">
        <is>
          <t>Vanderbilt Gloria Jardin A New York Eau De Parfum Spray 100ml</t>
        </is>
      </c>
      <c r="C17135" t="inlineStr">
        <is>
          <t>Eau De Parfum</t>
        </is>
      </c>
      <c r="D17135" t="inlineStr">
        <is>
          <t>Vanderbilt</t>
        </is>
      </c>
      <c r="E17135" t="n">
        <v>7.96</v>
      </c>
      <c r="F17135" t="n">
        <v>1</v>
      </c>
      <c r="G17135" t="n">
        <v>19</v>
      </c>
      <c r="H17135" s="5">
        <f>HYPERLINK("https://api.qogita.com/variants/link/3600550949292/", "View Product")</f>
        <v/>
      </c>
    </row>
    <row r="17136">
      <c r="A17136" t="inlineStr">
        <is>
          <t>3600550950670</t>
        </is>
      </c>
      <c r="B17136" t="inlineStr">
        <is>
          <t>Mixa Expert Sensitive Skin Hyalurogel Night Moisturizing Cream-Mask 50ml</t>
        </is>
      </c>
      <c r="C17136" t="inlineStr">
        <is>
          <t>Night Cream</t>
        </is>
      </c>
      <c r="D17136" t="inlineStr">
        <is>
          <t>Mixa</t>
        </is>
      </c>
      <c r="E17136" t="n">
        <v>7.03</v>
      </c>
      <c r="F17136" t="n">
        <v>1</v>
      </c>
      <c r="G17136" t="n">
        <v>3</v>
      </c>
      <c r="H17136" s="5">
        <f>HYPERLINK("https://api.qogita.com/variants/link/3600550950670/", "View Product")</f>
        <v/>
      </c>
    </row>
    <row r="17137">
      <c r="A17137" t="inlineStr">
        <is>
          <t>3600550958423</t>
        </is>
      </c>
      <c r="B17137" t="inlineStr">
        <is>
          <t>Mixa Light Moisturizing Body Lotion For Dry And Sensitive Skin Hyalurogel 400 Ml</t>
        </is>
      </c>
      <c r="C17137" t="inlineStr">
        <is>
          <t>Body Lotion</t>
        </is>
      </c>
      <c r="D17137" t="inlineStr">
        <is>
          <t>Mixa</t>
        </is>
      </c>
      <c r="E17137" t="n">
        <v>9.02</v>
      </c>
      <c r="F17137" t="n">
        <v>1</v>
      </c>
      <c r="G17137" t="n">
        <v>64</v>
      </c>
      <c r="H17137" s="5">
        <f>HYPERLINK("https://api.qogita.com/variants/link/3600550958423/", "View Product")</f>
        <v/>
      </c>
    </row>
    <row r="17138">
      <c r="A17138" t="inlineStr">
        <is>
          <t>3600551124407</t>
        </is>
      </c>
      <c r="B17138" t="inlineStr">
        <is>
          <t>Vanderbilt in Red Eau de Parfum Spray 30ml</t>
        </is>
      </c>
      <c r="C17138" t="inlineStr">
        <is>
          <t>Eau De Parfum</t>
        </is>
      </c>
      <c r="D17138" t="inlineStr">
        <is>
          <t>Vanderbilt</t>
        </is>
      </c>
      <c r="E17138" t="n">
        <v>4.85</v>
      </c>
      <c r="F17138" t="n">
        <v>1</v>
      </c>
      <c r="G17138" t="n">
        <v>2</v>
      </c>
      <c r="H17138" s="5">
        <f>HYPERLINK("https://api.qogita.com/variants/link/3600551124407/", "View Product")</f>
        <v/>
      </c>
    </row>
    <row r="17139">
      <c r="A17139" t="inlineStr">
        <is>
          <t>3600551135946</t>
        </is>
      </c>
      <c r="B17139" t="inlineStr">
        <is>
          <t>Mixa Ceramide Protect Strengthening Cream For Very Dry Skin 400 Ml</t>
        </is>
      </c>
      <c r="C17139" t="inlineStr">
        <is>
          <t>Face Cream</t>
        </is>
      </c>
      <c r="D17139" t="inlineStr">
        <is>
          <t>Mixa</t>
        </is>
      </c>
      <c r="E17139" t="n">
        <v>9.02</v>
      </c>
      <c r="F17139" t="n">
        <v>1</v>
      </c>
      <c r="G17139" t="n">
        <v>19</v>
      </c>
      <c r="H17139" s="5">
        <f>HYPERLINK("https://api.qogita.com/variants/link/3600551135946/", "View Product")</f>
        <v/>
      </c>
    </row>
    <row r="17140">
      <c r="A17140" t="inlineStr">
        <is>
          <t>3600551136912</t>
        </is>
      </c>
      <c r="B17140" t="inlineStr">
        <is>
          <t>Mixa Hyaluronic Acid Lactic Acid Anti-Dryness Hydrating Serum 30ml</t>
        </is>
      </c>
      <c r="C17140" t="inlineStr">
        <is>
          <t>Hyaluronic Acid Serum</t>
        </is>
      </c>
      <c r="D17140" t="inlineStr">
        <is>
          <t>Mixa</t>
        </is>
      </c>
      <c r="E17140" t="n">
        <v>10.61</v>
      </c>
      <c r="F17140" t="n">
        <v>1</v>
      </c>
      <c r="G17140" t="n">
        <v>7</v>
      </c>
      <c r="H17140" s="5">
        <f>HYPERLINK("https://api.qogita.com/variants/link/3600551136912/", "View Product")</f>
        <v/>
      </c>
    </row>
    <row r="17141">
      <c r="A17141" t="inlineStr">
        <is>
          <t>3600551159614</t>
        </is>
      </c>
      <c r="B17141" t="inlineStr">
        <is>
          <t>Mixa Anti-Imperfection Mattifying Gel 50 Ml</t>
        </is>
      </c>
      <c r="C17141" t="inlineStr">
        <is>
          <t>Pimple &amp; Blackhead Treatments</t>
        </is>
      </c>
      <c r="D17141" t="inlineStr">
        <is>
          <t>Mixa</t>
        </is>
      </c>
      <c r="E17141" t="n">
        <v>9.94</v>
      </c>
      <c r="F17141" t="n">
        <v>1</v>
      </c>
      <c r="G17141" t="n">
        <v>3</v>
      </c>
      <c r="H17141" s="5">
        <f>HYPERLINK("https://api.qogita.com/variants/link/3600551159614/", "View Product")</f>
        <v/>
      </c>
    </row>
    <row r="17142">
      <c r="A17142" t="inlineStr">
        <is>
          <t>3600551164595</t>
        </is>
      </c>
      <c r="B17142" t="inlineStr">
        <is>
          <t>Mixa Moisturizing Anti-Dark Spot Cream - 400 Ml</t>
        </is>
      </c>
      <c r="C17142" t="inlineStr">
        <is>
          <t>Anti-Pigmentation Spot Cream</t>
        </is>
      </c>
      <c r="D17142" t="inlineStr">
        <is>
          <t>Mixa</t>
        </is>
      </c>
      <c r="E17142" t="n">
        <v>9.02</v>
      </c>
      <c r="F17142" t="n">
        <v>1</v>
      </c>
      <c r="G17142" t="n">
        <v>58</v>
      </c>
      <c r="H17142" s="5">
        <f>HYPERLINK("https://api.qogita.com/variants/link/3600551164595/", "View Product")</f>
        <v/>
      </c>
    </row>
    <row r="17143">
      <c r="A17143" t="inlineStr">
        <is>
          <t>3600551164618</t>
        </is>
      </c>
      <c r="B17143" t="inlineStr">
        <is>
          <t>Mixa Protective And Correcting Dark Spot Cream Spf 50 Niacinamide Bright - 50 Ml</t>
        </is>
      </c>
      <c r="C17143" t="inlineStr">
        <is>
          <t>Anti-Pigmentation Spot Cream</t>
        </is>
      </c>
      <c r="D17143" t="inlineStr">
        <is>
          <t>Mixa</t>
        </is>
      </c>
      <c r="E17143" t="n">
        <v>10.34</v>
      </c>
      <c r="F17143" t="n">
        <v>1</v>
      </c>
      <c r="G17143" t="n">
        <v>15</v>
      </c>
      <c r="H17143" s="5">
        <f>HYPERLINK("https://api.qogita.com/variants/link/3600551164618/", "View Product")</f>
        <v/>
      </c>
    </row>
    <row r="17144">
      <c r="A17144" t="inlineStr">
        <is>
          <t>3600551175904</t>
        </is>
      </c>
      <c r="B17144" t="inlineStr">
        <is>
          <t>Mixa Urea Cica Repair+ Body Milk For Very Dry Skin, 400 Ml</t>
        </is>
      </c>
      <c r="C17144" t="inlineStr">
        <is>
          <t>Body Lotion</t>
        </is>
      </c>
      <c r="D17144" t="inlineStr">
        <is>
          <t>Mixa</t>
        </is>
      </c>
      <c r="E17144" t="n">
        <v>7.7</v>
      </c>
      <c r="F17144" t="n">
        <v>1</v>
      </c>
      <c r="G17144" t="n">
        <v>3</v>
      </c>
      <c r="H17144" s="5">
        <f>HYPERLINK("https://api.qogita.com/variants/link/3600551175904/", "View Product")</f>
        <v/>
      </c>
    </row>
    <row r="17145">
      <c r="A17145" t="inlineStr">
        <is>
          <t>3605061299812</t>
        </is>
      </c>
      <c r="B17145" t="inlineStr">
        <is>
          <t>Biotherm Homme Day Control 72h Non-Stop Antiperspirant Spray - 2 X 150ml</t>
        </is>
      </c>
      <c r="C17145" t="inlineStr">
        <is>
          <t>Deodorant &amp; Anti-Perspirant</t>
        </is>
      </c>
      <c r="D17145" t="inlineStr">
        <is>
          <t>Biotherm Homme</t>
        </is>
      </c>
      <c r="E17145" t="n">
        <v>30.3</v>
      </c>
      <c r="F17145" t="n">
        <v>1</v>
      </c>
      <c r="G17145" t="n">
        <v>33</v>
      </c>
      <c r="H17145" s="5">
        <f>HYPERLINK("https://api.qogita.com/variants/link/3605061299812/", "View Product")</f>
        <v/>
      </c>
    </row>
    <row r="17146">
      <c r="A17146" t="inlineStr">
        <is>
          <t>3605520381096</t>
        </is>
      </c>
      <c r="B17146" t="inlineStr">
        <is>
          <t>Giorgio Armani Diamonds For Men Eau De Toilette Spray 75ml</t>
        </is>
      </c>
      <c r="C17146" t="inlineStr">
        <is>
          <t>Eau De Toilette</t>
        </is>
      </c>
      <c r="D17146" t="inlineStr">
        <is>
          <t>Giorgio Armani</t>
        </is>
      </c>
      <c r="E17146" t="n">
        <v>36.65</v>
      </c>
      <c r="F17146" t="n">
        <v>1</v>
      </c>
      <c r="G17146" t="n">
        <v>109</v>
      </c>
      <c r="H17146" s="5">
        <f>HYPERLINK("https://api.qogita.com/variants/link/3605520381096/", "View Product")</f>
        <v/>
      </c>
    </row>
    <row r="17147">
      <c r="A17147" t="inlineStr">
        <is>
          <t>3605520679957</t>
        </is>
      </c>
      <c r="B17147" t="inlineStr">
        <is>
          <t>Diesel Only The Brave Eau De Toilette 35ml Men's Spray</t>
        </is>
      </c>
      <c r="C17147" t="inlineStr">
        <is>
          <t>Eau De Toilette</t>
        </is>
      </c>
      <c r="D17147" t="inlineStr">
        <is>
          <t>Diesel</t>
        </is>
      </c>
      <c r="E17147" t="n">
        <v>18.92</v>
      </c>
      <c r="F17147" t="n">
        <v>1</v>
      </c>
      <c r="G17147" t="n">
        <v>2</v>
      </c>
      <c r="H17147" s="5">
        <f>HYPERLINK("https://api.qogita.com/variants/link/3605520679957/", "View Product")</f>
        <v/>
      </c>
    </row>
    <row r="17148">
      <c r="A17148" t="inlineStr">
        <is>
          <t>3605521132376</t>
        </is>
      </c>
      <c r="B17148" t="inlineStr">
        <is>
          <t>Diesel Loverdose Eau De Parfum 30ml For Women</t>
        </is>
      </c>
      <c r="C17148" t="inlineStr">
        <is>
          <t>Eau De Parfum</t>
        </is>
      </c>
      <c r="D17148" t="inlineStr">
        <is>
          <t>Diesel</t>
        </is>
      </c>
      <c r="E17148" t="n">
        <v>34.77</v>
      </c>
      <c r="F17148" t="n">
        <v>1</v>
      </c>
      <c r="G17148" t="n">
        <v>2</v>
      </c>
      <c r="H17148" s="5">
        <f>HYPERLINK("https://api.qogita.com/variants/link/3605521132376/", "View Product")</f>
        <v/>
      </c>
    </row>
    <row r="17149">
      <c r="A17149" t="inlineStr">
        <is>
          <t>3605521172587</t>
        </is>
      </c>
      <c r="B17149" t="inlineStr">
        <is>
          <t>Acqua Di Gioia Femme Eau De Parfum Spray by Giorgio Armani 50ml</t>
        </is>
      </c>
      <c r="C17149" t="inlineStr">
        <is>
          <t>Eau De Parfum</t>
        </is>
      </c>
      <c r="D17149" t="inlineStr">
        <is>
          <t>Armani Beauty</t>
        </is>
      </c>
      <c r="E17149" t="n">
        <v>55.18</v>
      </c>
      <c r="F17149" t="n">
        <v>1</v>
      </c>
      <c r="G17149" t="n">
        <v>37</v>
      </c>
      <c r="H17149" s="5">
        <f>HYPERLINK("https://api.qogita.com/variants/link/3605521172587/", "View Product")</f>
        <v/>
      </c>
    </row>
    <row r="17150">
      <c r="A17150" t="inlineStr">
        <is>
          <t>3605521172648</t>
        </is>
      </c>
      <c r="B17150" t="inlineStr">
        <is>
          <t>Giorgio Armani Acqua Di Gioia Eau De Parfum 30ml Women Spray</t>
        </is>
      </c>
      <c r="C17150" t="inlineStr">
        <is>
          <t>Eau De Parfum</t>
        </is>
      </c>
      <c r="D17150" t="inlineStr">
        <is>
          <t>Giorgio Armani</t>
        </is>
      </c>
      <c r="E17150" t="n">
        <v>50.25</v>
      </c>
      <c r="F17150" t="n">
        <v>1</v>
      </c>
      <c r="G17150" t="n">
        <v>3</v>
      </c>
      <c r="H17150" s="5">
        <f>HYPERLINK("https://api.qogita.com/variants/link/3605521172648/", "View Product")</f>
        <v/>
      </c>
    </row>
    <row r="17151">
      <c r="A17151" t="inlineStr">
        <is>
          <t>3605521489654</t>
        </is>
      </c>
      <c r="B17151" t="inlineStr">
        <is>
          <t>Helena Rubinstein Night Creams 0.4kg</t>
        </is>
      </c>
      <c r="C17151" t="inlineStr">
        <is>
          <t>Night Cream</t>
        </is>
      </c>
      <c r="D17151" t="inlineStr">
        <is>
          <t>Helena Rubinstein</t>
        </is>
      </c>
      <c r="E17151" t="n">
        <v>278.89</v>
      </c>
      <c r="F17151" t="n">
        <v>1</v>
      </c>
      <c r="G17151" t="n">
        <v>6</v>
      </c>
      <c r="H17151" s="5">
        <f>HYPERLINK("https://api.qogita.com/variants/link/3605521489654/", "View Product")</f>
        <v/>
      </c>
    </row>
    <row r="17152">
      <c r="A17152" t="inlineStr">
        <is>
          <t>3605521515629</t>
        </is>
      </c>
      <c r="B17152" t="inlineStr">
        <is>
          <t>Viktor &amp; Rolf Spicebomb Eau De Toilette Spray For Men 50 Ml</t>
        </is>
      </c>
      <c r="C17152" t="inlineStr">
        <is>
          <t>Eau De Toilette</t>
        </is>
      </c>
      <c r="D17152" t="inlineStr">
        <is>
          <t>Viktor &amp; Rolf</t>
        </is>
      </c>
      <c r="E17152" t="n">
        <v>46.87</v>
      </c>
      <c r="F17152" t="n">
        <v>1</v>
      </c>
      <c r="G17152" t="n">
        <v>31</v>
      </c>
      <c r="H17152" s="5">
        <f>HYPERLINK("https://api.qogita.com/variants/link/3605521515629/", "View Product")</f>
        <v/>
      </c>
    </row>
    <row r="17153">
      <c r="A17153" t="inlineStr">
        <is>
          <t>3605521534064</t>
        </is>
      </c>
      <c r="B17153" t="inlineStr">
        <is>
          <t>Diesel Only The Brave Tattoo Eau De Toilette 50ml For Men</t>
        </is>
      </c>
      <c r="C17153" t="inlineStr">
        <is>
          <t>Eau De Toilette</t>
        </is>
      </c>
      <c r="D17153" t="inlineStr">
        <is>
          <t>Diesel</t>
        </is>
      </c>
      <c r="E17153" t="n">
        <v>43.08</v>
      </c>
      <c r="F17153" t="n">
        <v>1</v>
      </c>
      <c r="G17153" t="n">
        <v>12</v>
      </c>
      <c r="H17153" s="5">
        <f>HYPERLINK("https://api.qogita.com/variants/link/3605521534064/", "View Product")</f>
        <v/>
      </c>
    </row>
    <row r="17154">
      <c r="A17154" t="inlineStr">
        <is>
          <t>3605521648433</t>
        </is>
      </c>
      <c r="B17154" t="inlineStr">
        <is>
          <t>Armani Lip Maestro 400 Red</t>
        </is>
      </c>
      <c r="C17154" t="inlineStr">
        <is>
          <t>Lipstick</t>
        </is>
      </c>
      <c r="D17154" t="inlineStr">
        <is>
          <t>Emporio Armani</t>
        </is>
      </c>
      <c r="E17154" t="n">
        <v>31.96</v>
      </c>
      <c r="F17154" t="n">
        <v>1</v>
      </c>
      <c r="G17154" t="n">
        <v>5</v>
      </c>
      <c r="H17154" s="5">
        <f>HYPERLINK("https://api.qogita.com/variants/link/3605521648433/", "View Product")</f>
        <v/>
      </c>
    </row>
    <row r="17155">
      <c r="A17155" t="inlineStr">
        <is>
          <t>3605521752505</t>
        </is>
      </c>
      <c r="B17155" t="inlineStr">
        <is>
          <t>Giorgio Armani Luminous Silk Foundation  No.6.25 30ml</t>
        </is>
      </c>
      <c r="C17155" t="inlineStr">
        <is>
          <t>Foundation</t>
        </is>
      </c>
      <c r="D17155" t="inlineStr">
        <is>
          <t>Giorgio Armani</t>
        </is>
      </c>
      <c r="E17155" t="n">
        <v>44.58</v>
      </c>
      <c r="F17155" t="n">
        <v>1</v>
      </c>
      <c r="G17155" t="n">
        <v>11</v>
      </c>
      <c r="H17155" s="5">
        <f>HYPERLINK("https://api.qogita.com/variants/link/3605521752505/", "View Product")</f>
        <v/>
      </c>
    </row>
    <row r="17156">
      <c r="A17156" t="inlineStr">
        <is>
          <t>3605521879905</t>
        </is>
      </c>
      <c r="B17156" t="inlineStr">
        <is>
          <t>Viktor &amp; Rolf Bonbon Eau De Parfum 50ml Women Spray</t>
        </is>
      </c>
      <c r="C17156" t="inlineStr">
        <is>
          <t>Eau De Parfum</t>
        </is>
      </c>
      <c r="D17156" t="inlineStr">
        <is>
          <t>Viktor &amp; Rolf</t>
        </is>
      </c>
      <c r="E17156" t="n">
        <v>43.48</v>
      </c>
      <c r="F17156" t="n">
        <v>1</v>
      </c>
      <c r="G17156" t="n">
        <v>11</v>
      </c>
      <c r="H17156" s="5">
        <f>HYPERLINK("https://api.qogita.com/variants/link/3605521879905/", "View Product")</f>
        <v/>
      </c>
    </row>
    <row r="17157">
      <c r="A17157" t="inlineStr">
        <is>
          <t>3605521951328</t>
        </is>
      </c>
      <c r="B17157" t="inlineStr">
        <is>
          <t>Helena Rubinstein Pure Ritual Intense Comfort Makeup Remover Milk 6.76 Ounce</t>
        </is>
      </c>
      <c r="C17157" t="inlineStr">
        <is>
          <t>Cleansing Milk</t>
        </is>
      </c>
      <c r="D17157" t="inlineStr">
        <is>
          <t>Helena Rubinstein</t>
        </is>
      </c>
      <c r="E17157" t="n">
        <v>71.47</v>
      </c>
      <c r="F17157" t="n">
        <v>1</v>
      </c>
      <c r="G17157" t="n">
        <v>11</v>
      </c>
      <c r="H17157" s="5">
        <f>HYPERLINK("https://api.qogita.com/variants/link/3605521951328/", "View Product")</f>
        <v/>
      </c>
    </row>
    <row r="17158">
      <c r="A17158" t="inlineStr">
        <is>
          <t>3605522041004</t>
        </is>
      </c>
      <c r="B17158" t="inlineStr">
        <is>
          <t>Armani Emporio You Eau de Parfum 50ml</t>
        </is>
      </c>
      <c r="C17158" t="inlineStr">
        <is>
          <t>Eau De Parfum</t>
        </is>
      </c>
      <c r="D17158" t="inlineStr">
        <is>
          <t>Armani Beauty</t>
        </is>
      </c>
      <c r="E17158" t="n">
        <v>70.95</v>
      </c>
      <c r="F17158" t="n">
        <v>1</v>
      </c>
      <c r="G17158" t="n">
        <v>67</v>
      </c>
      <c r="H17158" s="5">
        <f>HYPERLINK("https://api.qogita.com/variants/link/3605522041004/", "View Product")</f>
        <v/>
      </c>
    </row>
    <row r="17159">
      <c r="A17159" t="inlineStr">
        <is>
          <t>3605530741507</t>
        </is>
      </c>
      <c r="B17159" t="inlineStr">
        <is>
          <t>Lancme Cleansing Foam Gel Eclat 125 Ml</t>
        </is>
      </c>
      <c r="C17159" t="inlineStr">
        <is>
          <t>Cleansing Foam</t>
        </is>
      </c>
      <c r="D17159" t="inlineStr">
        <is>
          <t>Lancôme</t>
        </is>
      </c>
      <c r="E17159" t="n">
        <v>25.15</v>
      </c>
      <c r="F17159" t="n">
        <v>1</v>
      </c>
      <c r="G17159" t="n">
        <v>2</v>
      </c>
      <c r="H17159" s="5">
        <f>HYPERLINK("https://api.qogita.com/variants/link/3605530741507/", "View Product")</f>
        <v/>
      </c>
    </row>
    <row r="17160">
      <c r="A17160" t="inlineStr">
        <is>
          <t>3605530744560</t>
        </is>
      </c>
      <c r="B17160" t="inlineStr">
        <is>
          <t>Lancme Creamy Cleansing Foam 125ml For Women</t>
        </is>
      </c>
      <c r="C17160" t="inlineStr">
        <is>
          <t>Cleansing Foam</t>
        </is>
      </c>
      <c r="D17160" t="inlineStr">
        <is>
          <t>Lancôme</t>
        </is>
      </c>
      <c r="E17160" t="n">
        <v>17.52</v>
      </c>
      <c r="F17160" t="n">
        <v>1</v>
      </c>
      <c r="G17160" t="n">
        <v>24</v>
      </c>
      <c r="H17160" s="5">
        <f>HYPERLINK("https://api.qogita.com/variants/link/3605530744560/", "View Product")</f>
        <v/>
      </c>
    </row>
    <row r="17161">
      <c r="A17161" t="inlineStr">
        <is>
          <t>3605532024844</t>
        </is>
      </c>
      <c r="B17161" t="inlineStr">
        <is>
          <t>Lancme Gnifique Youth Activating Cream 50 Ml</t>
        </is>
      </c>
      <c r="C17161" t="inlineStr">
        <is>
          <t>Anti-Aging Facial Care</t>
        </is>
      </c>
      <c r="D17161" t="inlineStr">
        <is>
          <t>Lancôme</t>
        </is>
      </c>
      <c r="E17161" t="n">
        <v>56.7</v>
      </c>
      <c r="F17161" t="n">
        <v>1</v>
      </c>
      <c r="G17161" t="n">
        <v>7</v>
      </c>
      <c r="H17161" s="5">
        <f>HYPERLINK("https://api.qogita.com/variants/link/3605532024844/", "View Product")</f>
        <v/>
      </c>
    </row>
    <row r="17162">
      <c r="A17162" t="inlineStr">
        <is>
          <t>3605532423142</t>
        </is>
      </c>
      <c r="B17162" t="inlineStr">
        <is>
          <t>Lancme Trsor Midnight Rose Eau De Parfum 30ml For Women</t>
        </is>
      </c>
      <c r="C17162" t="inlineStr">
        <is>
          <t>Eau De Parfum</t>
        </is>
      </c>
      <c r="D17162" t="inlineStr">
        <is>
          <t>Lancôme</t>
        </is>
      </c>
      <c r="E17162" t="n">
        <v>34.11</v>
      </c>
      <c r="F17162" t="n">
        <v>1</v>
      </c>
      <c r="G17162" t="n">
        <v>9</v>
      </c>
      <c r="H17162" s="5">
        <f>HYPERLINK("https://api.qogita.com/variants/link/3605532423142/", "View Product")</f>
        <v/>
      </c>
    </row>
    <row r="17163">
      <c r="A17163" t="inlineStr">
        <is>
          <t>3605532423203</t>
        </is>
      </c>
      <c r="B17163" t="inlineStr">
        <is>
          <t>Lancme Trsor Midnight Rose Eau De Parfum 50ml</t>
        </is>
      </c>
      <c r="C17163" t="inlineStr">
        <is>
          <t>Eau De Parfum</t>
        </is>
      </c>
      <c r="D17163" t="inlineStr">
        <is>
          <t>Lancôme</t>
        </is>
      </c>
      <c r="E17163" t="n">
        <v>43.05</v>
      </c>
      <c r="F17163" t="n">
        <v>1</v>
      </c>
      <c r="G17163" t="n">
        <v>45</v>
      </c>
      <c r="H17163" s="5">
        <f>HYPERLINK("https://api.qogita.com/variants/link/3605532423203/", "View Product")</f>
        <v/>
      </c>
    </row>
    <row r="17164">
      <c r="A17164" t="inlineStr">
        <is>
          <t>3605533315163</t>
        </is>
      </c>
      <c r="B17164" t="inlineStr">
        <is>
          <t>Lancme La Nuit Trsor Eau De Parfum 30ml</t>
        </is>
      </c>
      <c r="C17164" t="inlineStr">
        <is>
          <t>Eau De Parfum</t>
        </is>
      </c>
      <c r="D17164" t="inlineStr">
        <is>
          <t>Lancôme</t>
        </is>
      </c>
      <c r="E17164" t="n">
        <v>52.03</v>
      </c>
      <c r="F17164" t="n">
        <v>1</v>
      </c>
      <c r="G17164" t="n">
        <v>8</v>
      </c>
      <c r="H17164" s="5">
        <f>HYPERLINK("https://api.qogita.com/variants/link/3605533315163/", "View Product")</f>
        <v/>
      </c>
    </row>
    <row r="17165">
      <c r="A17165" t="inlineStr">
        <is>
          <t>3605540518687</t>
        </is>
      </c>
      <c r="B17165" t="inlineStr">
        <is>
          <t>Biotherm Biomains Limited Edition 50ml</t>
        </is>
      </c>
      <c r="C17165" t="inlineStr">
        <is>
          <t>Hand Cream</t>
        </is>
      </c>
      <c r="D17165" t="inlineStr">
        <is>
          <t>Biotherm</t>
        </is>
      </c>
      <c r="E17165" t="n">
        <v>9.779999999999999</v>
      </c>
      <c r="F17165" t="n">
        <v>1</v>
      </c>
      <c r="G17165" t="n">
        <v>43</v>
      </c>
      <c r="H17165" s="5">
        <f>HYPERLINK("https://api.qogita.com/variants/link/3605540518687/", "View Product")</f>
        <v/>
      </c>
    </row>
    <row r="17166">
      <c r="A17166" t="inlineStr">
        <is>
          <t>3605540791776</t>
        </is>
      </c>
      <c r="B17166" t="inlineStr">
        <is>
          <t>Biotherm Homme Tpur Purifying Cleansing Gel 125ml</t>
        </is>
      </c>
      <c r="C17166" t="inlineStr">
        <is>
          <t>Cleansing Gel</t>
        </is>
      </c>
      <c r="D17166" t="inlineStr">
        <is>
          <t>Biotherm</t>
        </is>
      </c>
      <c r="E17166" t="n">
        <v>22.8</v>
      </c>
      <c r="F17166" t="n">
        <v>1</v>
      </c>
      <c r="G17166" t="n">
        <v>5</v>
      </c>
      <c r="H17166" s="5">
        <f>HYPERLINK("https://api.qogita.com/variants/link/3605540791776/", "View Product")</f>
        <v/>
      </c>
    </row>
    <row r="17167">
      <c r="A17167" t="inlineStr">
        <is>
          <t>3605970416089</t>
        </is>
      </c>
      <c r="B17167" t="inlineStr">
        <is>
          <t>Polo Red Eau De Toilette Spray 75ml By Polo</t>
        </is>
      </c>
      <c r="C17167" t="inlineStr">
        <is>
          <t>Eau De Toilette</t>
        </is>
      </c>
      <c r="D17167" t="inlineStr">
        <is>
          <t>Polo</t>
        </is>
      </c>
      <c r="E17167" t="n">
        <v>25.5</v>
      </c>
      <c r="F17167" t="n">
        <v>1</v>
      </c>
      <c r="G17167" t="n">
        <v>23</v>
      </c>
      <c r="H17167" s="5">
        <f>HYPERLINK("https://api.qogita.com/variants/link/3605970416089/", "View Product")</f>
        <v/>
      </c>
    </row>
    <row r="17168">
      <c r="A17168" t="inlineStr">
        <is>
          <t>3605971670978</t>
        </is>
      </c>
      <c r="B17168" t="inlineStr">
        <is>
          <t>Polo Red Rush Eau De Toilette Spray 75ml By Polo</t>
        </is>
      </c>
      <c r="C17168" t="inlineStr">
        <is>
          <t>Eau De Toilette</t>
        </is>
      </c>
      <c r="D17168" t="inlineStr">
        <is>
          <t>Polo Club</t>
        </is>
      </c>
      <c r="E17168" t="n">
        <v>29.97</v>
      </c>
      <c r="F17168" t="n">
        <v>1</v>
      </c>
      <c r="G17168" t="n">
        <v>11</v>
      </c>
      <c r="H17168" s="5">
        <f>HYPERLINK("https://api.qogita.com/variants/link/3605971670978/", "View Product")</f>
        <v/>
      </c>
    </row>
    <row r="17169">
      <c r="A17169" t="inlineStr">
        <is>
          <t>3605972259004</t>
        </is>
      </c>
      <c r="B17169" t="inlineStr">
        <is>
          <t>Urban Decay Stay Naked Hydromaniac Tinted Glow Foundation Buildable Medium Coverage Vegan Formula Shade 81 35ml</t>
        </is>
      </c>
      <c r="C17169" t="inlineStr">
        <is>
          <t>Foundation</t>
        </is>
      </c>
      <c r="D17169" t="inlineStr">
        <is>
          <t>Urban Decay</t>
        </is>
      </c>
      <c r="E17169" t="n">
        <v>7</v>
      </c>
      <c r="F17169" t="n">
        <v>1</v>
      </c>
      <c r="G17169" t="n">
        <v>11</v>
      </c>
      <c r="H17169" s="5">
        <f>HYPERLINK("https://api.qogita.com/variants/link/3605972259004/", "View Product")</f>
        <v/>
      </c>
    </row>
    <row r="17170">
      <c r="A17170" t="inlineStr">
        <is>
          <t>3605972259042</t>
        </is>
      </c>
      <c r="B17170" t="inlineStr">
        <is>
          <t>Urban Decay Stay Naked Hydromaniac Tinted Glow Foundation Buildable Medium Coverage Vegan Formula Shade 90 35ml</t>
        </is>
      </c>
      <c r="C17170" t="inlineStr">
        <is>
          <t>Foundation</t>
        </is>
      </c>
      <c r="D17170" t="inlineStr">
        <is>
          <t>Urban Decay</t>
        </is>
      </c>
      <c r="E17170" t="n">
        <v>9.609999999999999</v>
      </c>
      <c r="F17170" t="n">
        <v>1</v>
      </c>
      <c r="G17170" t="n">
        <v>7</v>
      </c>
      <c r="H17170" s="5">
        <f>HYPERLINK("https://api.qogita.com/variants/link/3605972259042/", "View Product")</f>
        <v/>
      </c>
    </row>
    <row r="17171">
      <c r="A17171" t="inlineStr">
        <is>
          <t>3605972321831</t>
        </is>
      </c>
      <c r="B17171" t="inlineStr">
        <is>
          <t>Ralph Lauren Polo Red Eau De Parfum 75ml</t>
        </is>
      </c>
      <c r="C17171" t="inlineStr">
        <is>
          <t>Eau De Parfum</t>
        </is>
      </c>
      <c r="D17171" t="inlineStr">
        <is>
          <t>Ralph Lauren</t>
        </is>
      </c>
      <c r="E17171" t="n">
        <v>37.01</v>
      </c>
      <c r="F17171" t="n">
        <v>1</v>
      </c>
      <c r="G17171" t="n">
        <v>6</v>
      </c>
      <c r="H17171" s="5">
        <f>HYPERLINK("https://api.qogita.com/variants/link/3605972321831/", "View Product")</f>
        <v/>
      </c>
    </row>
    <row r="17172">
      <c r="A17172" t="inlineStr">
        <is>
          <t>3605972321879</t>
        </is>
      </c>
      <c r="B17172" t="inlineStr">
        <is>
          <t>Ralph Lauren Polo Red Eau De Parfum Spray 40ml</t>
        </is>
      </c>
      <c r="C17172" t="inlineStr">
        <is>
          <t>Eau De Parfum</t>
        </is>
      </c>
      <c r="D17172" t="inlineStr">
        <is>
          <t>Ralph Lauren</t>
        </is>
      </c>
      <c r="E17172" t="n">
        <v>40.56</v>
      </c>
      <c r="F17172" t="n">
        <v>1</v>
      </c>
      <c r="G17172" t="n">
        <v>5</v>
      </c>
      <c r="H17172" s="5">
        <f>HYPERLINK("https://api.qogita.com/variants/link/3605972321879/", "View Product")</f>
        <v/>
      </c>
    </row>
    <row r="17173">
      <c r="A17173" t="inlineStr">
        <is>
          <t>3605972386021</t>
        </is>
      </c>
      <c r="B17173" t="inlineStr">
        <is>
          <t>Ralph Lauren Big Pony 2 Pink Woman EDT 100ml</t>
        </is>
      </c>
      <c r="C17173" t="inlineStr">
        <is>
          <t>Eau De Toilette</t>
        </is>
      </c>
      <c r="D17173" t="inlineStr">
        <is>
          <t>Ralph Lauren</t>
        </is>
      </c>
      <c r="E17173" t="n">
        <v>23.14</v>
      </c>
      <c r="F17173" t="n">
        <v>1</v>
      </c>
      <c r="G17173" t="n">
        <v>964</v>
      </c>
      <c r="H17173" s="5">
        <f>HYPERLINK("https://api.qogita.com/variants/link/3605972386021/", "View Product")</f>
        <v/>
      </c>
    </row>
    <row r="17174">
      <c r="A17174" t="inlineStr">
        <is>
          <t>3605972455338</t>
        </is>
      </c>
      <c r="B17174" t="inlineStr">
        <is>
          <t>Polo Ralph Lauren Polo Sport Fresh Eau De Toilette Spray 125ml</t>
        </is>
      </c>
      <c r="C17174" t="inlineStr">
        <is>
          <t>Eau De Toilette</t>
        </is>
      </c>
      <c r="D17174" t="inlineStr">
        <is>
          <t>Ralph Lauren</t>
        </is>
      </c>
      <c r="E17174" t="n">
        <v>18.53</v>
      </c>
      <c r="F17174" t="n">
        <v>1</v>
      </c>
      <c r="G17174" t="n">
        <v>10</v>
      </c>
      <c r="H17174" s="5">
        <f>HYPERLINK("https://api.qogita.com/variants/link/3605972455338/", "View Product")</f>
        <v/>
      </c>
    </row>
    <row r="17175">
      <c r="A17175" t="inlineStr">
        <is>
          <t>3605972610010</t>
        </is>
      </c>
      <c r="B17175" t="inlineStr">
        <is>
          <t>Kiehl's Retinol Microdose Serum 28ml</t>
        </is>
      </c>
      <c r="C17175" t="inlineStr">
        <is>
          <t>Anti-Aging Serum</t>
        </is>
      </c>
      <c r="D17175" t="inlineStr">
        <is>
          <t>Kiehl's</t>
        </is>
      </c>
      <c r="E17175" t="n">
        <v>49.34</v>
      </c>
      <c r="F17175" t="n">
        <v>1</v>
      </c>
      <c r="G17175" t="n">
        <v>2</v>
      </c>
      <c r="H17175" s="5">
        <f>HYPERLINK("https://api.qogita.com/variants/link/3605972610010/", "View Product")</f>
        <v/>
      </c>
    </row>
    <row r="17176">
      <c r="A17176" t="inlineStr">
        <is>
          <t>3605972670700</t>
        </is>
      </c>
      <c r="B17176" t="inlineStr">
        <is>
          <t>Urban Decay All Nighter Vitamin C Long Lasting Makeup Setting Spray 118 Ml</t>
        </is>
      </c>
      <c r="C17176" t="inlineStr">
        <is>
          <t>Setting Spray</t>
        </is>
      </c>
      <c r="D17176" t="inlineStr">
        <is>
          <t>Urban Decay</t>
        </is>
      </c>
      <c r="E17176" t="n">
        <v>34.7</v>
      </c>
      <c r="F17176" t="n">
        <v>1</v>
      </c>
      <c r="G17176" t="n">
        <v>7</v>
      </c>
      <c r="H17176" s="5">
        <f>HYPERLINK("https://api.qogita.com/variants/link/3605972670700/", "View Product")</f>
        <v/>
      </c>
    </row>
    <row r="17177">
      <c r="A17177" t="inlineStr">
        <is>
          <t>3605972858313</t>
        </is>
      </c>
      <c r="B17177" t="inlineStr">
        <is>
          <t>Kiehl's Calendula Soothing And Stabilizing Emulsion - 125 Ml</t>
        </is>
      </c>
      <c r="C17177" t="inlineStr">
        <is>
          <t>Face Cream</t>
        </is>
      </c>
      <c r="D17177" t="inlineStr">
        <is>
          <t>Kiehl's</t>
        </is>
      </c>
      <c r="E17177" t="n">
        <v>59.41</v>
      </c>
      <c r="F17177" t="n">
        <v>1</v>
      </c>
      <c r="G17177" t="n">
        <v>7</v>
      </c>
      <c r="H17177" s="5">
        <f>HYPERLINK("https://api.qogita.com/variants/link/3605972858313/", "View Product")</f>
        <v/>
      </c>
    </row>
    <row r="17178">
      <c r="A17178" t="inlineStr">
        <is>
          <t>3605972910288</t>
        </is>
      </c>
      <c r="B17178" t="inlineStr">
        <is>
          <t>Ralph Lauren Polo 67 Eau De Toilette 40 Ml</t>
        </is>
      </c>
      <c r="C17178" t="inlineStr">
        <is>
          <t>Eau De Toilette</t>
        </is>
      </c>
      <c r="D17178" t="inlineStr">
        <is>
          <t>Ralph Lauren</t>
        </is>
      </c>
      <c r="E17178" t="n">
        <v>26.18</v>
      </c>
      <c r="F17178" t="n">
        <v>1</v>
      </c>
      <c r="G17178" t="n">
        <v>10</v>
      </c>
      <c r="H17178" s="5">
        <f>HYPERLINK("https://api.qogita.com/variants/link/3605972910288/", "View Product")</f>
        <v/>
      </c>
    </row>
    <row r="17179">
      <c r="A17179" t="inlineStr">
        <is>
          <t>3605972921505</t>
        </is>
      </c>
      <c r="B17179" t="inlineStr">
        <is>
          <t>Kiehl's Expertly Clear Blemish-Treating Preventing Lotion - 60 Ml</t>
        </is>
      </c>
      <c r="C17179" t="inlineStr">
        <is>
          <t>Pimple &amp; Blackhead Treatments</t>
        </is>
      </c>
      <c r="D17179" t="inlineStr">
        <is>
          <t>Kiehl's</t>
        </is>
      </c>
      <c r="E17179" t="n">
        <v>31.28</v>
      </c>
      <c r="F17179" t="n">
        <v>1</v>
      </c>
      <c r="G17179" t="n">
        <v>3</v>
      </c>
      <c r="H17179" s="5">
        <f>HYPERLINK("https://api.qogita.com/variants/link/3605972921505/", "View Product")</f>
        <v/>
      </c>
    </row>
    <row r="17180">
      <c r="A17180" t="inlineStr">
        <is>
          <t>3605972980809</t>
        </is>
      </c>
      <c r="B17180" t="inlineStr">
        <is>
          <t>Kiehl's Ultra Facial - Essential Hydrating Set 75 Ml + 50 Ml + 14 Ml</t>
        </is>
      </c>
      <c r="C17180" t="inlineStr">
        <is>
          <t>Facial Care Sets</t>
        </is>
      </c>
      <c r="D17180" t="inlineStr">
        <is>
          <t>Kiehl's</t>
        </is>
      </c>
      <c r="E17180" t="n">
        <v>65.58</v>
      </c>
      <c r="F17180" t="n">
        <v>1</v>
      </c>
      <c r="G17180" t="n">
        <v>20</v>
      </c>
      <c r="H17180" s="5">
        <f>HYPERLINK("https://api.qogita.com/variants/link/3605972980809/", "View Product")</f>
        <v/>
      </c>
    </row>
    <row r="17181">
      <c r="A17181" t="inlineStr">
        <is>
          <t>3605973003842</t>
        </is>
      </c>
      <c r="B17181" t="inlineStr">
        <is>
          <t>Urban Decay 24/7 Waterproof Waterline Eyeliner Pencil Smudge-Resistant</t>
        </is>
      </c>
      <c r="C17181" t="inlineStr">
        <is>
          <t>Eyeliner</t>
        </is>
      </c>
      <c r="D17181" t="inlineStr">
        <is>
          <t>Urban Decay</t>
        </is>
      </c>
      <c r="E17181" t="n">
        <v>7.95</v>
      </c>
      <c r="F17181" t="n">
        <v>1</v>
      </c>
      <c r="G17181" t="n">
        <v>5</v>
      </c>
      <c r="H17181" s="5">
        <f>HYPERLINK("https://api.qogita.com/variants/link/3605973003842/", "View Product")</f>
        <v/>
      </c>
    </row>
    <row r="17182">
      <c r="A17182" t="inlineStr">
        <is>
          <t>3607340216008</t>
        </is>
      </c>
      <c r="B17182" t="inlineStr">
        <is>
          <t>Calvin Klein Beauty Eau De Parfum 50ml For Women</t>
        </is>
      </c>
      <c r="C17182" t="inlineStr">
        <is>
          <t>Eau De Parfum</t>
        </is>
      </c>
      <c r="D17182" t="inlineStr">
        <is>
          <t>Calvin Klein</t>
        </is>
      </c>
      <c r="E17182" t="n">
        <v>19.4</v>
      </c>
      <c r="F17182" t="n">
        <v>1</v>
      </c>
      <c r="G17182" t="n">
        <v>2</v>
      </c>
      <c r="H17182" s="5">
        <f>HYPERLINK("https://api.qogita.com/variants/link/3607340216008/", "View Product")</f>
        <v/>
      </c>
    </row>
    <row r="17183">
      <c r="A17183" t="inlineStr">
        <is>
          <t>3607341044624</t>
        </is>
      </c>
      <c r="B17183" t="inlineStr">
        <is>
          <t>Jovan Musk for Women Body Spray 150ml</t>
        </is>
      </c>
      <c r="C17183" t="inlineStr">
        <is>
          <t>Eau De Toilette</t>
        </is>
      </c>
      <c r="D17183" t="inlineStr">
        <is>
          <t>Jovan</t>
        </is>
      </c>
      <c r="E17183" t="n">
        <v>5.59</v>
      </c>
      <c r="F17183" t="n">
        <v>1</v>
      </c>
      <c r="G17183" t="n">
        <v>4</v>
      </c>
      <c r="H17183" s="5">
        <f>HYPERLINK("https://api.qogita.com/variants/link/3607341044624/", "View Product")</f>
        <v/>
      </c>
    </row>
    <row r="17184">
      <c r="A17184" t="inlineStr">
        <is>
          <t>3607342366503</t>
        </is>
      </c>
      <c r="B17184" t="inlineStr">
        <is>
          <t>Calvin Klein Eternity Men's Deodorant Spray with Notes of Mandarin and Sage</t>
        </is>
      </c>
      <c r="C17184" t="inlineStr">
        <is>
          <t>Deodorant &amp; Anti-Perspirant</t>
        </is>
      </c>
      <c r="D17184" t="inlineStr">
        <is>
          <t>Calvin Klein</t>
        </is>
      </c>
      <c r="E17184" t="n">
        <v>9.16</v>
      </c>
      <c r="F17184" t="n">
        <v>1</v>
      </c>
      <c r="G17184" t="n">
        <v>5</v>
      </c>
      <c r="H17184" s="5">
        <f>HYPERLINK("https://api.qogita.com/variants/link/3607342366503/", "View Product")</f>
        <v/>
      </c>
    </row>
    <row r="17185">
      <c r="A17185" t="inlineStr">
        <is>
          <t>3607342401860</t>
        </is>
      </c>
      <c r="B17185" t="inlineStr">
        <is>
          <t>Calvin Klein Ck One Shock For Her Eau De Toilette Spray 200ml</t>
        </is>
      </c>
      <c r="C17185" t="inlineStr">
        <is>
          <t>Eau De Toilette</t>
        </is>
      </c>
      <c r="D17185" t="inlineStr">
        <is>
          <t>Calvin Klein</t>
        </is>
      </c>
      <c r="E17185" t="n">
        <v>19.54</v>
      </c>
      <c r="F17185" t="n">
        <v>1</v>
      </c>
      <c r="G17185" t="n">
        <v>361</v>
      </c>
      <c r="H17185" s="5">
        <f>HYPERLINK("https://api.qogita.com/variants/link/3607342401860/", "View Product")</f>
        <v/>
      </c>
    </row>
    <row r="17186">
      <c r="A17186" t="inlineStr">
        <is>
          <t>3607342522619</t>
        </is>
      </c>
      <c r="B17186" t="inlineStr">
        <is>
          <t>Marc Jacobs Dot Eau De Parfum 50ml Women Spray</t>
        </is>
      </c>
      <c r="C17186" t="inlineStr">
        <is>
          <t>Eau De Parfum</t>
        </is>
      </c>
      <c r="D17186" t="inlineStr">
        <is>
          <t>Marc Jacobs</t>
        </is>
      </c>
      <c r="E17186" t="n">
        <v>27.21</v>
      </c>
      <c r="F17186" t="n">
        <v>1</v>
      </c>
      <c r="G17186" t="n">
        <v>9</v>
      </c>
      <c r="H17186" s="5">
        <f>HYPERLINK("https://api.qogita.com/variants/link/3607342522619/", "View Product")</f>
        <v/>
      </c>
    </row>
    <row r="17187">
      <c r="A17187" t="inlineStr">
        <is>
          <t>3607342635838</t>
        </is>
      </c>
      <c r="B17187" t="inlineStr">
        <is>
          <t>Chloe Love Story Eau De Parfum Spray for Women 50ml</t>
        </is>
      </c>
      <c r="C17187" t="inlineStr">
        <is>
          <t>Eau De Parfum</t>
        </is>
      </c>
      <c r="D17187" t="inlineStr">
        <is>
          <t>Chloé</t>
        </is>
      </c>
      <c r="E17187" t="n">
        <v>62.94</v>
      </c>
      <c r="F17187" t="n">
        <v>1</v>
      </c>
      <c r="G17187" t="n">
        <v>2</v>
      </c>
      <c r="H17187" s="5">
        <f>HYPERLINK("https://api.qogita.com/variants/link/3607342635838/", "View Product")</f>
        <v/>
      </c>
    </row>
    <row r="17188">
      <c r="A17188" t="inlineStr">
        <is>
          <t>3607342635876</t>
        </is>
      </c>
      <c r="B17188" t="inlineStr">
        <is>
          <t>Love Story By Chloe Eau De Parfum for Women 75ml</t>
        </is>
      </c>
      <c r="C17188" t="inlineStr">
        <is>
          <t>Eau De Parfum</t>
        </is>
      </c>
      <c r="D17188" t="inlineStr">
        <is>
          <t>Chloé</t>
        </is>
      </c>
      <c r="E17188" t="n">
        <v>48.44</v>
      </c>
      <c r="F17188" t="n">
        <v>1</v>
      </c>
      <c r="G17188" t="n">
        <v>88</v>
      </c>
      <c r="H17188" s="5">
        <f>HYPERLINK("https://api.qogita.com/variants/link/3607342635876/", "View Product")</f>
        <v/>
      </c>
    </row>
    <row r="17189">
      <c r="A17189" t="inlineStr">
        <is>
          <t>3607342686229</t>
        </is>
      </c>
      <c r="B17189" t="inlineStr">
        <is>
          <t>Calvin Klein Euphoria Eau De Parfum Spray 160ml</t>
        </is>
      </c>
      <c r="C17189" t="inlineStr">
        <is>
          <t>Eau De Parfum</t>
        </is>
      </c>
      <c r="D17189" t="inlineStr">
        <is>
          <t>Calvin Klein</t>
        </is>
      </c>
      <c r="E17189" t="n">
        <v>45.04</v>
      </c>
      <c r="F17189" t="n">
        <v>1</v>
      </c>
      <c r="G17189" t="n">
        <v>127</v>
      </c>
      <c r="H17189" s="5">
        <f>HYPERLINK("https://api.qogita.com/variants/link/3607342686229/", "View Product")</f>
        <v/>
      </c>
    </row>
    <row r="17190">
      <c r="A17190" t="inlineStr">
        <is>
          <t>3607342727120</t>
        </is>
      </c>
      <c r="B17190" t="inlineStr">
        <is>
          <t>Davidoff Cool Water Men Deodorant Stick 70g</t>
        </is>
      </c>
      <c r="C17190" t="inlineStr">
        <is>
          <t>Deodorant &amp; Anti-Perspirant</t>
        </is>
      </c>
      <c r="D17190" t="inlineStr">
        <is>
          <t>Davidoff</t>
        </is>
      </c>
      <c r="E17190" t="n">
        <v>7.79</v>
      </c>
      <c r="F17190" t="n">
        <v>1</v>
      </c>
      <c r="G17190" t="n">
        <v>217</v>
      </c>
      <c r="H17190" s="5">
        <f>HYPERLINK("https://api.qogita.com/variants/link/3607342727120/", "View Product")</f>
        <v/>
      </c>
    </row>
    <row r="17191">
      <c r="A17191" t="inlineStr">
        <is>
          <t>3607343191005</t>
        </is>
      </c>
      <c r="B17191" t="inlineStr">
        <is>
          <t>Katy Perry Meow Eau De Parfum Spray 100ml</t>
        </is>
      </c>
      <c r="C17191" t="inlineStr">
        <is>
          <t>Eau De Parfum</t>
        </is>
      </c>
      <c r="D17191" t="inlineStr">
        <is>
          <t>Katy Perry</t>
        </is>
      </c>
      <c r="E17191" t="n">
        <v>12.49</v>
      </c>
      <c r="F17191" t="n">
        <v>1</v>
      </c>
      <c r="G17191" t="n">
        <v>215</v>
      </c>
      <c r="H17191" s="5">
        <f>HYPERLINK("https://api.qogita.com/variants/link/3607343191005/", "View Product")</f>
        <v/>
      </c>
    </row>
    <row r="17192">
      <c r="A17192" t="inlineStr">
        <is>
          <t>3607344535037</t>
        </is>
      </c>
      <c r="B17192" t="inlineStr">
        <is>
          <t>Rimmel London Brow This Way Eyebrow Sculpting Kit 002 Medium Brown Perfect Eyebrows Set 2 Grams</t>
        </is>
      </c>
      <c r="C17192" t="inlineStr">
        <is>
          <t>Eyebrow Sets &amp; Pallets</t>
        </is>
      </c>
      <c r="D17192" t="inlineStr">
        <is>
          <t>Rimmel London</t>
        </is>
      </c>
      <c r="E17192" t="n">
        <v>4.71</v>
      </c>
      <c r="F17192" t="n">
        <v>1</v>
      </c>
      <c r="G17192" t="n">
        <v>2</v>
      </c>
      <c r="H17192" s="5">
        <f>HYPERLINK("https://api.qogita.com/variants/link/3607344535037/", "View Product")</f>
        <v/>
      </c>
    </row>
    <row r="17193">
      <c r="A17193" t="inlineStr">
        <is>
          <t>3607345064529</t>
        </is>
      </c>
      <c r="B17193" t="inlineStr">
        <is>
          <t>Rimmel Stay Matte Long Lasting Pressed Powder 003 Peach Glow 14g</t>
        </is>
      </c>
      <c r="C17193" t="inlineStr">
        <is>
          <t>Powder</t>
        </is>
      </c>
      <c r="D17193" t="inlineStr">
        <is>
          <t>Rimmel London</t>
        </is>
      </c>
      <c r="E17193" t="n">
        <v>2.87</v>
      </c>
      <c r="F17193" t="n">
        <v>1</v>
      </c>
      <c r="G17193" t="n">
        <v>3</v>
      </c>
      <c r="H17193" s="5">
        <f>HYPERLINK("https://api.qogita.com/variants/link/3607345064529/", "View Product")</f>
        <v/>
      </c>
    </row>
    <row r="17194">
      <c r="A17194" t="inlineStr">
        <is>
          <t>3607346571071</t>
        </is>
      </c>
      <c r="B17194" t="inlineStr">
        <is>
          <t>David Beckham Classic Eau De Toilette 90ml Men Spray</t>
        </is>
      </c>
      <c r="C17194" t="inlineStr">
        <is>
          <t>Eau De Toilette</t>
        </is>
      </c>
      <c r="D17194" t="inlineStr">
        <is>
          <t>David Beckham</t>
        </is>
      </c>
      <c r="E17194" t="n">
        <v>11.89</v>
      </c>
      <c r="F17194" t="n">
        <v>1</v>
      </c>
      <c r="G17194" t="n">
        <v>169</v>
      </c>
      <c r="H17194" s="5">
        <f>HYPERLINK("https://api.qogita.com/variants/link/3607346571071/", "View Product")</f>
        <v/>
      </c>
    </row>
    <row r="17195">
      <c r="A17195" t="inlineStr">
        <is>
          <t>3607347462620</t>
        </is>
      </c>
      <c r="B17195" t="inlineStr">
        <is>
          <t>Davidoff Cool Water Sea Rose Woman Eau De Toilette Spray 30ml</t>
        </is>
      </c>
      <c r="C17195" t="inlineStr">
        <is>
          <t>Eau De Toilette</t>
        </is>
      </c>
      <c r="D17195" t="inlineStr">
        <is>
          <t>Davidoff</t>
        </is>
      </c>
      <c r="E17195" t="n">
        <v>12.82</v>
      </c>
      <c r="F17195" t="n">
        <v>1</v>
      </c>
      <c r="G17195" t="n">
        <v>69</v>
      </c>
      <c r="H17195" s="5">
        <f>HYPERLINK("https://api.qogita.com/variants/link/3607347462620/", "View Product")</f>
        <v/>
      </c>
    </row>
    <row r="17196">
      <c r="A17196" t="inlineStr">
        <is>
          <t>3607347565321</t>
        </is>
      </c>
      <c r="B17196" t="inlineStr">
        <is>
          <t>Davidoff Cool Water Women Eau De Toilette Spray 200ml</t>
        </is>
      </c>
      <c r="C17196" t="inlineStr">
        <is>
          <t>Eau De Toilette</t>
        </is>
      </c>
      <c r="D17196" t="inlineStr">
        <is>
          <t>Davidoff</t>
        </is>
      </c>
      <c r="E17196" t="n">
        <v>27.77</v>
      </c>
      <c r="F17196" t="n">
        <v>1</v>
      </c>
      <c r="G17196" t="n">
        <v>373</v>
      </c>
      <c r="H17196" s="5">
        <f>HYPERLINK("https://api.qogita.com/variants/link/3607347565321/", "View Product")</f>
        <v/>
      </c>
    </row>
    <row r="17197">
      <c r="A17197" t="inlineStr">
        <is>
          <t>3607347717201</t>
        </is>
      </c>
      <c r="B17197" t="inlineStr">
        <is>
          <t>Jil Sander Eve Body Lotion Floral 150ml</t>
        </is>
      </c>
      <c r="C17197" t="inlineStr">
        <is>
          <t>Body Lotion</t>
        </is>
      </c>
      <c r="D17197" t="inlineStr">
        <is>
          <t>Jil Sander</t>
        </is>
      </c>
      <c r="E17197" t="n">
        <v>9.77</v>
      </c>
      <c r="F17197" t="n">
        <v>1</v>
      </c>
      <c r="G17197" t="n">
        <v>5</v>
      </c>
      <c r="H17197" s="5">
        <f>HYPERLINK("https://api.qogita.com/variants/link/3607347717201/", "View Product")</f>
        <v/>
      </c>
    </row>
    <row r="17198">
      <c r="A17198" t="inlineStr">
        <is>
          <t>3607348938230</t>
        </is>
      </c>
      <c r="B17198" t="inlineStr">
        <is>
          <t>Nautica Voyage N-83 Eau De Toilette Spray 100ml</t>
        </is>
      </c>
      <c r="C17198" t="inlineStr">
        <is>
          <t>Eau De Toilette</t>
        </is>
      </c>
      <c r="D17198" t="inlineStr">
        <is>
          <t>Nautica</t>
        </is>
      </c>
      <c r="E17198" t="n">
        <v>14.54</v>
      </c>
      <c r="F17198" t="n">
        <v>1</v>
      </c>
      <c r="G17198" t="n">
        <v>87</v>
      </c>
      <c r="H17198" s="5">
        <f>HYPERLINK("https://api.qogita.com/variants/link/3607348938230/", "View Product")</f>
        <v/>
      </c>
    </row>
    <row r="17199">
      <c r="A17199" t="inlineStr">
        <is>
          <t>3607349764326</t>
        </is>
      </c>
      <c r="B17199" t="inlineStr">
        <is>
          <t>Marc Jacobs Daisy Dream Eau De Toilette Spray 30ml</t>
        </is>
      </c>
      <c r="C17199" t="inlineStr">
        <is>
          <t>Eau De Toilette</t>
        </is>
      </c>
      <c r="D17199" t="inlineStr">
        <is>
          <t>Marc Jacobs</t>
        </is>
      </c>
      <c r="E17199" t="n">
        <v>36.89</v>
      </c>
      <c r="F17199" t="n">
        <v>1</v>
      </c>
      <c r="G17199" t="n">
        <v>2</v>
      </c>
      <c r="H17199" s="5">
        <f>HYPERLINK("https://api.qogita.com/variants/link/3607349764326/", "View Product")</f>
        <v/>
      </c>
    </row>
    <row r="17200">
      <c r="A17200" t="inlineStr">
        <is>
          <t>3610400000677</t>
        </is>
      </c>
      <c r="B17200" t="inlineStr">
        <is>
          <t>Lomani Ab Spirit Millionaire Men 3.40oz 100ml</t>
        </is>
      </c>
      <c r="C17200" t="inlineStr">
        <is>
          <t>Eau De Parfum</t>
        </is>
      </c>
      <c r="D17200" t="inlineStr">
        <is>
          <t>Lomani</t>
        </is>
      </c>
      <c r="E17200" t="n">
        <v>12.28</v>
      </c>
      <c r="F17200" t="n">
        <v>1</v>
      </c>
      <c r="G17200" t="n">
        <v>6</v>
      </c>
      <c r="H17200" s="5">
        <f>HYPERLINK("https://api.qogita.com/variants/link/3610400000677/", "View Product")</f>
        <v/>
      </c>
    </row>
    <row r="17201">
      <c r="A17201" t="inlineStr">
        <is>
          <t>3613042123346</t>
        </is>
      </c>
      <c r="B17201" t="inlineStr">
        <is>
          <t>Scentstory 24 Elixir Rise Of The Superb Eau de Parfum Spray 100ml</t>
        </is>
      </c>
      <c r="C17201" t="inlineStr">
        <is>
          <t>Eau De Parfum</t>
        </is>
      </c>
      <c r="D17201" t="inlineStr">
        <is>
          <t>Scentstory</t>
        </is>
      </c>
      <c r="E17201" t="n">
        <v>31.5</v>
      </c>
      <c r="F17201" t="n">
        <v>1</v>
      </c>
      <c r="G17201" t="n">
        <v>5</v>
      </c>
      <c r="H17201" s="5">
        <f>HYPERLINK("https://api.qogita.com/variants/link/3613042123346/", "View Product")</f>
        <v/>
      </c>
    </row>
    <row r="17202">
      <c r="A17202" t="inlineStr">
        <is>
          <t>3614222125167</t>
        </is>
      </c>
      <c r="B17202" t="inlineStr">
        <is>
          <t>Katy Perry Mad Love Eau De Parfum Spray 100ml</t>
        </is>
      </c>
      <c r="C17202" t="inlineStr">
        <is>
          <t>Eau De Parfum</t>
        </is>
      </c>
      <c r="D17202" t="inlineStr">
        <is>
          <t>Katy Perry</t>
        </is>
      </c>
      <c r="E17202" t="n">
        <v>11.23</v>
      </c>
      <c r="F17202" t="n">
        <v>1</v>
      </c>
      <c r="G17202" t="n">
        <v>15</v>
      </c>
      <c r="H17202" s="5">
        <f>HYPERLINK("https://api.qogita.com/variants/link/3614222125167/", "View Product")</f>
        <v/>
      </c>
    </row>
    <row r="17203">
      <c r="A17203" t="inlineStr">
        <is>
          <t>3614222333050</t>
        </is>
      </c>
      <c r="B17203" t="inlineStr">
        <is>
          <t>David Beckham Beyond Forever Eau De Toilette 90ml Men Spray</t>
        </is>
      </c>
      <c r="C17203" t="inlineStr">
        <is>
          <t>Eau De Toilette</t>
        </is>
      </c>
      <c r="D17203" t="inlineStr">
        <is>
          <t>David Beckham</t>
        </is>
      </c>
      <c r="E17203" t="n">
        <v>11.63</v>
      </c>
      <c r="F17203" t="n">
        <v>1</v>
      </c>
      <c r="G17203" t="n">
        <v>43</v>
      </c>
      <c r="H17203" s="5">
        <f>HYPERLINK("https://api.qogita.com/variants/link/3614222333050/", "View Product")</f>
        <v/>
      </c>
    </row>
    <row r="17204">
      <c r="A17204" t="inlineStr">
        <is>
          <t>3614222985624</t>
        </is>
      </c>
      <c r="B17204" t="inlineStr">
        <is>
          <t>Bourjois Healthy Mix Antifatigue Concealer 7 Ml Shade 53 Dark</t>
        </is>
      </c>
      <c r="C17204" t="inlineStr">
        <is>
          <t>Concealer</t>
        </is>
      </c>
      <c r="D17204" t="inlineStr">
        <is>
          <t>Bourjois</t>
        </is>
      </c>
      <c r="E17204" t="n">
        <v>4.05</v>
      </c>
      <c r="F17204" t="n">
        <v>1</v>
      </c>
      <c r="G17204" t="n">
        <v>12</v>
      </c>
      <c r="H17204" s="5">
        <f>HYPERLINK("https://api.qogita.com/variants/link/3614222985624/", "View Product")</f>
        <v/>
      </c>
    </row>
    <row r="17205">
      <c r="A17205" t="inlineStr">
        <is>
          <t>3614222986126</t>
        </is>
      </c>
      <c r="B17205" t="inlineStr">
        <is>
          <t>Bourjois Healthy Mix Antifatigue Foundation 30 Ml In 58 Caramel</t>
        </is>
      </c>
      <c r="C17205" t="inlineStr">
        <is>
          <t>Foundation</t>
        </is>
      </c>
      <c r="D17205" t="inlineStr">
        <is>
          <t>Bourjois</t>
        </is>
      </c>
      <c r="E17205" t="n">
        <v>4.4</v>
      </c>
      <c r="F17205" t="n">
        <v>1</v>
      </c>
      <c r="G17205" t="n">
        <v>8</v>
      </c>
      <c r="H17205" s="5">
        <f>HYPERLINK("https://api.qogita.com/variants/link/3614222986126/", "View Product")</f>
        <v/>
      </c>
    </row>
    <row r="17206">
      <c r="A17206" t="inlineStr">
        <is>
          <t>3614223162963</t>
        </is>
      </c>
      <c r="B17206" t="inlineStr">
        <is>
          <t>Calvin Klein Ck All Eau De Toilette Spray 100ml</t>
        </is>
      </c>
      <c r="C17206" t="inlineStr">
        <is>
          <t>Eau De Toilette</t>
        </is>
      </c>
      <c r="D17206" t="inlineStr">
        <is>
          <t>Calvin Klein</t>
        </is>
      </c>
      <c r="E17206" t="n">
        <v>20.98</v>
      </c>
      <c r="F17206" t="n">
        <v>1</v>
      </c>
      <c r="G17206" t="n">
        <v>8</v>
      </c>
      <c r="H17206" s="5">
        <f>HYPERLINK("https://api.qogita.com/variants/link/3614223162963/", "View Product")</f>
        <v/>
      </c>
    </row>
    <row r="17207">
      <c r="A17207" t="inlineStr">
        <is>
          <t>3614223930722</t>
        </is>
      </c>
      <c r="B17207" t="inlineStr">
        <is>
          <t>Blue Sail by Nautica for Men 3.4 oz EDT Spray</t>
        </is>
      </c>
      <c r="C17207" t="inlineStr">
        <is>
          <t>Eau De Toilette</t>
        </is>
      </c>
      <c r="D17207" t="inlineStr">
        <is>
          <t>Nautica</t>
        </is>
      </c>
      <c r="E17207" t="n">
        <v>14.54</v>
      </c>
      <c r="F17207" t="n">
        <v>1</v>
      </c>
      <c r="G17207" t="n">
        <v>6</v>
      </c>
      <c r="H17207" s="5">
        <f>HYPERLINK("https://api.qogita.com/variants/link/3614223930722/", "View Product")</f>
        <v/>
      </c>
    </row>
    <row r="17208">
      <c r="A17208" t="inlineStr">
        <is>
          <t>3614224102920</t>
        </is>
      </c>
      <c r="B17208" t="inlineStr">
        <is>
          <t>Bourjois Rouge Velvet Lipstick In 03 Hyppink Chic, 2.4g</t>
        </is>
      </c>
      <c r="C17208" t="inlineStr">
        <is>
          <t>Lipstick</t>
        </is>
      </c>
      <c r="D17208" t="inlineStr">
        <is>
          <t>Bourjois</t>
        </is>
      </c>
      <c r="E17208" t="n">
        <v>5.76</v>
      </c>
      <c r="F17208" t="n">
        <v>1</v>
      </c>
      <c r="G17208" t="n">
        <v>2</v>
      </c>
      <c r="H17208" s="5">
        <f>HYPERLINK("https://api.qogita.com/variants/link/3614224102920/", "View Product")</f>
        <v/>
      </c>
    </row>
    <row r="17209">
      <c r="A17209" t="inlineStr">
        <is>
          <t>3614224907297</t>
        </is>
      </c>
      <c r="B17209" t="inlineStr">
        <is>
          <t>Joop Homme Absolute Eau De Parfum 120ml</t>
        </is>
      </c>
      <c r="C17209" t="inlineStr">
        <is>
          <t>Eau De Parfum</t>
        </is>
      </c>
      <c r="D17209" t="inlineStr">
        <is>
          <t>Joop!</t>
        </is>
      </c>
      <c r="E17209" t="n">
        <v>28.82</v>
      </c>
      <c r="F17209" t="n">
        <v>1</v>
      </c>
      <c r="G17209" t="n">
        <v>10</v>
      </c>
      <c r="H17209" s="5">
        <f>HYPERLINK("https://api.qogita.com/variants/link/3614224907297/", "View Product")</f>
        <v/>
      </c>
    </row>
    <row r="17210">
      <c r="A17210" t="inlineStr">
        <is>
          <t>3614225257841</t>
        </is>
      </c>
      <c r="B17210" t="inlineStr">
        <is>
          <t>Max Factor False Lash Effect Black Volumizing Mascara 13.1 Ml</t>
        </is>
      </c>
      <c r="C17210" t="inlineStr">
        <is>
          <t>Mascara</t>
        </is>
      </c>
      <c r="D17210" t="inlineStr">
        <is>
          <t>Max Factor</t>
        </is>
      </c>
      <c r="E17210" t="n">
        <v>7.26</v>
      </c>
      <c r="F17210" t="n">
        <v>1</v>
      </c>
      <c r="G17210" t="n">
        <v>4</v>
      </c>
      <c r="H17210" s="5">
        <f>HYPERLINK("https://api.qogita.com/variants/link/3614225257841/", "View Product")</f>
        <v/>
      </c>
    </row>
    <row r="17211">
      <c r="A17211" t="inlineStr">
        <is>
          <t>3614225291487</t>
        </is>
      </c>
      <c r="B17211" t="inlineStr">
        <is>
          <t>Miu Miu Twist Eau De Parfum 100ml For Women</t>
        </is>
      </c>
      <c r="C17211" t="inlineStr">
        <is>
          <t>Eau De Parfum</t>
        </is>
      </c>
      <c r="D17211" t="inlineStr">
        <is>
          <t>Miu Miu</t>
        </is>
      </c>
      <c r="E17211" t="n">
        <v>48.15</v>
      </c>
      <c r="F17211" t="n">
        <v>1</v>
      </c>
      <c r="G17211" t="n">
        <v>101</v>
      </c>
      <c r="H17211" s="5">
        <f>HYPERLINK("https://api.qogita.com/variants/link/3614225291487/", "View Product")</f>
        <v/>
      </c>
    </row>
    <row r="17212">
      <c r="A17212" t="inlineStr">
        <is>
          <t>3614225296840</t>
        </is>
      </c>
      <c r="B17212" t="inlineStr">
        <is>
          <t>Miu Miu Silver Flower Eau De Parfum 50ml for Women</t>
        </is>
      </c>
      <c r="C17212" t="inlineStr">
        <is>
          <t>Eau De Parfum</t>
        </is>
      </c>
      <c r="D17212" t="inlineStr">
        <is>
          <t>Miu Miu</t>
        </is>
      </c>
      <c r="E17212" t="n">
        <v>34.06</v>
      </c>
      <c r="F17212" t="n">
        <v>1</v>
      </c>
      <c r="G17212" t="n">
        <v>6</v>
      </c>
      <c r="H17212" s="5">
        <f>HYPERLINK("https://api.qogita.com/variants/link/3614225296840/", "View Product")</f>
        <v/>
      </c>
    </row>
    <row r="17213">
      <c r="A17213" t="inlineStr">
        <is>
          <t>3614225344435</t>
        </is>
      </c>
      <c r="B17213" t="inlineStr">
        <is>
          <t>Chloe Atelier Des Fleurs Neroli Eau De Parfum Spray 150ml</t>
        </is>
      </c>
      <c r="C17213" t="inlineStr">
        <is>
          <t>Eau De Parfum</t>
        </is>
      </c>
      <c r="D17213" t="inlineStr">
        <is>
          <t>Chloé</t>
        </is>
      </c>
      <c r="E17213" t="n">
        <v>97.81999999999999</v>
      </c>
      <c r="F17213" t="n">
        <v>1</v>
      </c>
      <c r="G17213" t="n">
        <v>10</v>
      </c>
      <c r="H17213" s="5">
        <f>HYPERLINK("https://api.qogita.com/variants/link/3614225344435/", "View Product")</f>
        <v/>
      </c>
    </row>
    <row r="17214">
      <c r="A17214" t="inlineStr">
        <is>
          <t>3614225356933</t>
        </is>
      </c>
      <c r="B17214" t="inlineStr">
        <is>
          <t>Calvin Klein Woman Eau De Parfum Spray 50ml</t>
        </is>
      </c>
      <c r="C17214" t="inlineStr">
        <is>
          <t>Eau De Parfum</t>
        </is>
      </c>
      <c r="D17214" t="inlineStr">
        <is>
          <t>Calvin Klein</t>
        </is>
      </c>
      <c r="E17214" t="n">
        <v>24.01</v>
      </c>
      <c r="F17214" t="n">
        <v>1</v>
      </c>
      <c r="G17214" t="n">
        <v>37</v>
      </c>
      <c r="H17214" s="5">
        <f>HYPERLINK("https://api.qogita.com/variants/link/3614225356933/", "View Product")</f>
        <v/>
      </c>
    </row>
    <row r="17215">
      <c r="A17215" t="inlineStr">
        <is>
          <t>3614225358463</t>
        </is>
      </c>
      <c r="B17215" t="inlineStr">
        <is>
          <t>Calvin Klein Women Eau De Parfum 100ml Women's Fragrance</t>
        </is>
      </c>
      <c r="C17215" t="inlineStr">
        <is>
          <t>Eau De Parfum</t>
        </is>
      </c>
      <c r="D17215" t="inlineStr">
        <is>
          <t>Calvin Klein</t>
        </is>
      </c>
      <c r="E17215" t="n">
        <v>27.68</v>
      </c>
      <c r="F17215" t="n">
        <v>1</v>
      </c>
      <c r="G17215" t="n">
        <v>398</v>
      </c>
      <c r="H17215" s="5">
        <f>HYPERLINK("https://api.qogita.com/variants/link/3614225358463/", "View Product")</f>
        <v/>
      </c>
    </row>
    <row r="17216">
      <c r="A17216" t="inlineStr">
        <is>
          <t>3614225452079</t>
        </is>
      </c>
      <c r="B17216" t="inlineStr">
        <is>
          <t>Marc Jacobs Daisy Love Eau De Toilette Spray 50ml</t>
        </is>
      </c>
      <c r="C17216" t="inlineStr">
        <is>
          <t>Eau De Toilette</t>
        </is>
      </c>
      <c r="D17216" t="inlineStr">
        <is>
          <t>Marc Jacobs</t>
        </is>
      </c>
      <c r="E17216" t="n">
        <v>59.12</v>
      </c>
      <c r="F17216" t="n">
        <v>1</v>
      </c>
      <c r="G17216" t="n">
        <v>4</v>
      </c>
      <c r="H17216" s="5">
        <f>HYPERLINK("https://api.qogita.com/variants/link/3614225452079/", "View Product")</f>
        <v/>
      </c>
    </row>
    <row r="17217">
      <c r="A17217" t="inlineStr">
        <is>
          <t>3614225613319</t>
        </is>
      </c>
      <c r="B17217" t="inlineStr">
        <is>
          <t>Bourjois Little Round Pot Blush 15 Rose Eclat 25 G</t>
        </is>
      </c>
      <c r="C17217" t="inlineStr">
        <is>
          <t>Blush</t>
        </is>
      </c>
      <c r="D17217" t="inlineStr">
        <is>
          <t>Bourjois</t>
        </is>
      </c>
      <c r="E17217" t="n">
        <v>5.83</v>
      </c>
      <c r="F17217" t="n">
        <v>1</v>
      </c>
      <c r="G17217" t="n">
        <v>7</v>
      </c>
      <c r="H17217" s="5">
        <f>HYPERLINK("https://api.qogita.com/variants/link/3614225613319/", "View Product")</f>
        <v/>
      </c>
    </row>
    <row r="17218">
      <c r="A17218" t="inlineStr">
        <is>
          <t>3614225803024</t>
        </is>
      </c>
      <c r="B17218" t="inlineStr">
        <is>
          <t>Lac Skin Life Hydra Serum 30ml</t>
        </is>
      </c>
      <c r="C17218" t="inlineStr">
        <is>
          <t>Hydrating Serum</t>
        </is>
      </c>
      <c r="D17218" t="inlineStr">
        <is>
          <t>Lancaster</t>
        </is>
      </c>
      <c r="E17218" t="n">
        <v>17.29</v>
      </c>
      <c r="F17218" t="n">
        <v>1</v>
      </c>
      <c r="G17218" t="n">
        <v>14</v>
      </c>
      <c r="H17218" s="5">
        <f>HYPERLINK("https://api.qogita.com/variants/link/3614225803024/", "View Product")</f>
        <v/>
      </c>
    </row>
    <row r="17219">
      <c r="A17219" t="inlineStr">
        <is>
          <t>3614225851469</t>
        </is>
      </c>
      <c r="B17219" t="inlineStr">
        <is>
          <t>Max Factor 2000 Calorie Waterproof Volume Mascara - Black, 9ml</t>
        </is>
      </c>
      <c r="C17219" t="inlineStr">
        <is>
          <t>Mascara</t>
        </is>
      </c>
      <c r="D17219" t="inlineStr">
        <is>
          <t>Max Factor</t>
        </is>
      </c>
      <c r="E17219" t="n">
        <v>5.22</v>
      </c>
      <c r="F17219" t="n">
        <v>1</v>
      </c>
      <c r="G17219" t="n">
        <v>26</v>
      </c>
      <c r="H17219" s="5">
        <f>HYPERLINK("https://api.qogita.com/variants/link/3614225851469/", "View Product")</f>
        <v/>
      </c>
    </row>
    <row r="17220">
      <c r="A17220" t="inlineStr">
        <is>
          <t>3614225851476</t>
        </is>
      </c>
      <c r="B17220" t="inlineStr">
        <is>
          <t>Max Factor 2000 Calorie Waterproof Volume Mascara - Black, 9ml</t>
        </is>
      </c>
      <c r="C17220" t="inlineStr">
        <is>
          <t>Mascara</t>
        </is>
      </c>
      <c r="D17220" t="inlineStr">
        <is>
          <t>Max Factor</t>
        </is>
      </c>
      <c r="E17220" t="n">
        <v>5</v>
      </c>
      <c r="F17220" t="n">
        <v>1</v>
      </c>
      <c r="G17220" t="n">
        <v>27</v>
      </c>
      <c r="H17220" s="5">
        <f>HYPERLINK("https://api.qogita.com/variants/link/3614225851476/", "View Product")</f>
        <v/>
      </c>
    </row>
    <row r="17221">
      <c r="A17221" t="inlineStr">
        <is>
          <t>3614226759184</t>
        </is>
      </c>
      <c r="B17221" t="inlineStr">
        <is>
          <t>Max Factor Excess Intensity Eyeliner 7g 9 Excessive Cobalt Cobalt</t>
        </is>
      </c>
      <c r="C17221" t="inlineStr">
        <is>
          <t>Eyeliner</t>
        </is>
      </c>
      <c r="D17221" t="inlineStr">
        <is>
          <t>Max Factor</t>
        </is>
      </c>
      <c r="E17221" t="n">
        <v>4</v>
      </c>
      <c r="F17221" t="n">
        <v>1</v>
      </c>
      <c r="G17221" t="n">
        <v>3</v>
      </c>
      <c r="H17221" s="5">
        <f>HYPERLINK("https://api.qogita.com/variants/link/3614226759184/", "View Product")</f>
        <v/>
      </c>
    </row>
    <row r="17222">
      <c r="A17222" t="inlineStr">
        <is>
          <t>3614226759214</t>
        </is>
      </c>
      <c r="B17222" t="inlineStr">
        <is>
          <t>Max Factor Excess Intensity Longwear Eyeliner 04 Excessive Charcoal Intense Eyeliner 179 G</t>
        </is>
      </c>
      <c r="C17222" t="inlineStr">
        <is>
          <t>Eyeliner</t>
        </is>
      </c>
      <c r="D17222" t="inlineStr">
        <is>
          <t>Max Factor</t>
        </is>
      </c>
      <c r="E17222" t="n">
        <v>4.9</v>
      </c>
      <c r="F17222" t="n">
        <v>1</v>
      </c>
      <c r="G17222" t="n">
        <v>2</v>
      </c>
      <c r="H17222" s="5">
        <f>HYPERLINK("https://api.qogita.com/variants/link/3614226759214/", "View Product")</f>
        <v/>
      </c>
    </row>
    <row r="17223">
      <c r="A17223" t="inlineStr">
        <is>
          <t>3614226765420</t>
        </is>
      </c>
      <c r="B17223" t="inlineStr">
        <is>
          <t>Bruno Banani Made For Women Deodorant Natural Spray 75ml</t>
        </is>
      </c>
      <c r="C17223" t="inlineStr">
        <is>
          <t>Deodorant &amp; Anti-Perspirant</t>
        </is>
      </c>
      <c r="D17223" t="inlineStr">
        <is>
          <t>Bruno Banani</t>
        </is>
      </c>
      <c r="E17223" t="n">
        <v>4.17</v>
      </c>
      <c r="F17223" t="n">
        <v>1</v>
      </c>
      <c r="G17223" t="n">
        <v>29</v>
      </c>
      <c r="H17223" s="5">
        <f>HYPERLINK("https://api.qogita.com/variants/link/3614226765420/", "View Product")</f>
        <v/>
      </c>
    </row>
    <row r="17224">
      <c r="A17224" t="inlineStr">
        <is>
          <t>3614226778253</t>
        </is>
      </c>
      <c r="B17224" t="inlineStr">
        <is>
          <t>Sebastian Seb Man The Smoother Conditioner 50ml</t>
        </is>
      </c>
      <c r="C17224" t="inlineStr">
        <is>
          <t>Conditioner</t>
        </is>
      </c>
      <c r="D17224" t="inlineStr">
        <is>
          <t>Sebastian Professional</t>
        </is>
      </c>
      <c r="E17224" t="n">
        <v>4.13</v>
      </c>
      <c r="F17224" t="n">
        <v>1</v>
      </c>
      <c r="G17224" t="n">
        <v>3</v>
      </c>
      <c r="H17224" s="5">
        <f>HYPERLINK("https://api.qogita.com/variants/link/3614226778253/", "View Product")</f>
        <v/>
      </c>
    </row>
    <row r="17225">
      <c r="A17225" t="inlineStr">
        <is>
          <t>3614226904980</t>
        </is>
      </c>
      <c r="B17225" t="inlineStr">
        <is>
          <t>Burberry Brit For Her Eau De Toilette Spray 50ml</t>
        </is>
      </c>
      <c r="C17225" t="inlineStr">
        <is>
          <t>Eau De Toilette</t>
        </is>
      </c>
      <c r="D17225" t="inlineStr">
        <is>
          <t>Burberry</t>
        </is>
      </c>
      <c r="E17225" t="n">
        <v>24.68</v>
      </c>
      <c r="F17225" t="n">
        <v>1</v>
      </c>
      <c r="G17225" t="n">
        <v>2</v>
      </c>
      <c r="H17225" s="5">
        <f>HYPERLINK("https://api.qogita.com/variants/link/3614226904980/", "View Product")</f>
        <v/>
      </c>
    </row>
    <row r="17226">
      <c r="A17226" t="inlineStr">
        <is>
          <t>3614226904997</t>
        </is>
      </c>
      <c r="B17226" t="inlineStr">
        <is>
          <t>Burberry London For Men Eau De Toilette 50ml Spray</t>
        </is>
      </c>
      <c r="C17226" t="inlineStr">
        <is>
          <t>Eau De Toilette</t>
        </is>
      </c>
      <c r="D17226" t="inlineStr">
        <is>
          <t>Burberry</t>
        </is>
      </c>
      <c r="E17226" t="n">
        <v>21.71</v>
      </c>
      <c r="F17226" t="n">
        <v>1</v>
      </c>
      <c r="G17226" t="n">
        <v>5</v>
      </c>
      <c r="H17226" s="5">
        <f>HYPERLINK("https://api.qogita.com/variants/link/3614226904997/", "View Product")</f>
        <v/>
      </c>
    </row>
    <row r="17227">
      <c r="A17227" t="inlineStr">
        <is>
          <t>3614226905161</t>
        </is>
      </c>
      <c r="B17227" t="inlineStr">
        <is>
          <t>Burberry Brit Men Eau De Toilette Spray 50ml Burberry</t>
        </is>
      </c>
      <c r="C17227" t="inlineStr">
        <is>
          <t>Eau De Toilette</t>
        </is>
      </c>
      <c r="D17227" t="inlineStr">
        <is>
          <t>Burberry</t>
        </is>
      </c>
      <c r="E17227" t="n">
        <v>21.98</v>
      </c>
      <c r="F17227" t="n">
        <v>1</v>
      </c>
      <c r="G17227" t="n">
        <v>140</v>
      </c>
      <c r="H17227" s="5">
        <f>HYPERLINK("https://api.qogita.com/variants/link/3614226905161/", "View Product")</f>
        <v/>
      </c>
    </row>
    <row r="17228">
      <c r="A17228" t="inlineStr">
        <is>
          <t>3614226905192</t>
        </is>
      </c>
      <c r="B17228" t="inlineStr">
        <is>
          <t>Burberry London Eau De Parfum 50ml For Women</t>
        </is>
      </c>
      <c r="C17228" t="inlineStr">
        <is>
          <t>Eau De Parfum</t>
        </is>
      </c>
      <c r="D17228" t="inlineStr">
        <is>
          <t>Burberry</t>
        </is>
      </c>
      <c r="E17228" t="n">
        <v>23.28</v>
      </c>
      <c r="F17228" t="n">
        <v>1</v>
      </c>
      <c r="G17228" t="n">
        <v>19</v>
      </c>
      <c r="H17228" s="5">
        <f>HYPERLINK("https://api.qogita.com/variants/link/3614226905192/", "View Product")</f>
        <v/>
      </c>
    </row>
    <row r="17229">
      <c r="A17229" t="inlineStr">
        <is>
          <t>3614226905789</t>
        </is>
      </c>
      <c r="B17229" t="inlineStr">
        <is>
          <t>Burberry For Men Eau De Toilette 50ml Spray By Burberry</t>
        </is>
      </c>
      <c r="C17229" t="inlineStr">
        <is>
          <t>Eau De Toilette</t>
        </is>
      </c>
      <c r="D17229" t="inlineStr">
        <is>
          <t>Burberry</t>
        </is>
      </c>
      <c r="E17229" t="n">
        <v>18.42</v>
      </c>
      <c r="F17229" t="n">
        <v>1</v>
      </c>
      <c r="G17229" t="n">
        <v>22</v>
      </c>
      <c r="H17229" s="5">
        <f>HYPERLINK("https://api.qogita.com/variants/link/3614226905789/", "View Product")</f>
        <v/>
      </c>
    </row>
    <row r="17230">
      <c r="A17230" t="inlineStr">
        <is>
          <t>3614226969613</t>
        </is>
      </c>
      <c r="B17230" t="inlineStr">
        <is>
          <t>Tiffany &amp; Co Eau De Toilette 75ml</t>
        </is>
      </c>
      <c r="C17230" t="inlineStr">
        <is>
          <t>Eau De Toilette</t>
        </is>
      </c>
      <c r="D17230" t="inlineStr">
        <is>
          <t>Tiffany &amp; Co.</t>
        </is>
      </c>
      <c r="E17230" t="n">
        <v>58.06</v>
      </c>
      <c r="F17230" t="n">
        <v>1</v>
      </c>
      <c r="G17230" t="n">
        <v>48</v>
      </c>
      <c r="H17230" s="5">
        <f>HYPERLINK("https://api.qogita.com/variants/link/3614226969613/", "View Product")</f>
        <v/>
      </c>
    </row>
    <row r="17231">
      <c r="A17231" t="inlineStr">
        <is>
          <t>3614227182455</t>
        </is>
      </c>
      <c r="B17231" t="inlineStr">
        <is>
          <t>Bourjois Twist Up The Volume Mascara 23 Black 8ml</t>
        </is>
      </c>
      <c r="C17231" t="inlineStr">
        <is>
          <t>Mascara</t>
        </is>
      </c>
      <c r="D17231" t="inlineStr">
        <is>
          <t>Bourjois</t>
        </is>
      </c>
      <c r="E17231" t="n">
        <v>7.89</v>
      </c>
      <c r="F17231" t="n">
        <v>1</v>
      </c>
      <c r="G17231" t="n">
        <v>11</v>
      </c>
      <c r="H17231" s="5">
        <f>HYPERLINK("https://api.qogita.com/variants/link/3614227182455/", "View Product")</f>
        <v/>
      </c>
    </row>
    <row r="17232">
      <c r="A17232" t="inlineStr">
        <is>
          <t>3614227293953</t>
        </is>
      </c>
      <c r="B17232" t="inlineStr">
        <is>
          <t>Escada Escada Magnetism Eau De Perfume Spray 50ml</t>
        </is>
      </c>
      <c r="C17232" t="inlineStr">
        <is>
          <t>Eau De Parfum</t>
        </is>
      </c>
      <c r="D17232" t="inlineStr">
        <is>
          <t>Escada</t>
        </is>
      </c>
      <c r="E17232" t="n">
        <v>30.24</v>
      </c>
      <c r="F17232" t="n">
        <v>1</v>
      </c>
      <c r="G17232" t="n">
        <v>83</v>
      </c>
      <c r="H17232" s="5">
        <f>HYPERLINK("https://api.qogita.com/variants/link/3614227293953/", "View Product")</f>
        <v/>
      </c>
    </row>
    <row r="17233">
      <c r="A17233" t="inlineStr">
        <is>
          <t>3614227413399</t>
        </is>
      </c>
      <c r="B17233" t="inlineStr">
        <is>
          <t>Her Blossom By Burberry Eau De Toilette Spray 100ml</t>
        </is>
      </c>
      <c r="C17233" t="inlineStr">
        <is>
          <t>Eau De Toilette</t>
        </is>
      </c>
      <c r="D17233" t="inlineStr">
        <is>
          <t>Burberry</t>
        </is>
      </c>
      <c r="E17233" t="n">
        <v>66.05</v>
      </c>
      <c r="F17233" t="n">
        <v>1</v>
      </c>
      <c r="G17233" t="n">
        <v>11</v>
      </c>
      <c r="H17233" s="5">
        <f>HYPERLINK("https://api.qogita.com/variants/link/3614227413399/", "View Product")</f>
        <v/>
      </c>
    </row>
    <row r="17234">
      <c r="A17234" t="inlineStr">
        <is>
          <t>3614227413542</t>
        </is>
      </c>
      <c r="B17234" t="inlineStr">
        <is>
          <t>Burberry Her Blossom Eau De Toilette 30ml</t>
        </is>
      </c>
      <c r="C17234" t="inlineStr">
        <is>
          <t>Eau De Toilette</t>
        </is>
      </c>
      <c r="D17234" t="inlineStr">
        <is>
          <t>Burberry</t>
        </is>
      </c>
      <c r="E17234" t="n">
        <v>39.06</v>
      </c>
      <c r="F17234" t="n">
        <v>1</v>
      </c>
      <c r="G17234" t="n">
        <v>4</v>
      </c>
      <c r="H17234" s="5">
        <f>HYPERLINK("https://api.qogita.com/variants/link/3614227413542/", "View Product")</f>
        <v/>
      </c>
    </row>
    <row r="17235">
      <c r="A17235" t="inlineStr">
        <is>
          <t>3614227693920</t>
        </is>
      </c>
      <c r="B17235" t="inlineStr">
        <is>
          <t>Burberry Her Eau De Parfum Spray 50ml</t>
        </is>
      </c>
      <c r="C17235" t="inlineStr">
        <is>
          <t>Eau De Parfum</t>
        </is>
      </c>
      <c r="D17235" t="inlineStr">
        <is>
          <t>Burberry</t>
        </is>
      </c>
      <c r="E17235" t="n">
        <v>60.75</v>
      </c>
      <c r="F17235" t="n">
        <v>1</v>
      </c>
      <c r="G17235" t="n">
        <v>8</v>
      </c>
      <c r="H17235" s="5">
        <f>HYPERLINK("https://api.qogita.com/variants/link/3614227693920/", "View Product")</f>
        <v/>
      </c>
    </row>
    <row r="17236">
      <c r="A17236" t="inlineStr">
        <is>
          <t>3614227728622</t>
        </is>
      </c>
      <c r="B17236" t="inlineStr">
        <is>
          <t>Tiffany &amp; Co Love For Her Eau De Parfum 50ml</t>
        </is>
      </c>
      <c r="C17236" t="inlineStr">
        <is>
          <t>Eau De Parfum</t>
        </is>
      </c>
      <c r="D17236" t="inlineStr">
        <is>
          <t>Tiffany &amp; Co.</t>
        </is>
      </c>
      <c r="E17236" t="n">
        <v>49.56</v>
      </c>
      <c r="F17236" t="n">
        <v>1</v>
      </c>
      <c r="G17236" t="n">
        <v>25</v>
      </c>
      <c r="H17236" s="5">
        <f>HYPERLINK("https://api.qogita.com/variants/link/3614227728622/", "View Product")</f>
        <v/>
      </c>
    </row>
    <row r="17237">
      <c r="A17237" t="inlineStr">
        <is>
          <t>3614227914292</t>
        </is>
      </c>
      <c r="B17237" t="inlineStr">
        <is>
          <t>Lancaster Golden Tan Maximizer After Sun Lotion 250 Ml</t>
        </is>
      </c>
      <c r="C17237" t="inlineStr">
        <is>
          <t>Aftersun</t>
        </is>
      </c>
      <c r="D17237" t="inlineStr">
        <is>
          <t>Lancaster</t>
        </is>
      </c>
      <c r="E17237" t="n">
        <v>27.03</v>
      </c>
      <c r="F17237" t="n">
        <v>1</v>
      </c>
      <c r="G17237" t="n">
        <v>8</v>
      </c>
      <c r="H17237" s="5">
        <f>HYPERLINK("https://api.qogita.com/variants/link/3614227914292/", "View Product")</f>
        <v/>
      </c>
    </row>
    <row r="17238">
      <c r="A17238" t="inlineStr">
        <is>
          <t>3614227918146</t>
        </is>
      </c>
      <c r="B17238" t="inlineStr">
        <is>
          <t>Max Factor Lash Revival Strengthening Mascara With Bamboo Extract 115 Ml 002 Black Brown</t>
        </is>
      </c>
      <c r="C17238" t="inlineStr">
        <is>
          <t>Mascara</t>
        </is>
      </c>
      <c r="D17238" t="inlineStr">
        <is>
          <t>Max Factor</t>
        </is>
      </c>
      <c r="E17238" t="n">
        <v>7.62</v>
      </c>
      <c r="F17238" t="n">
        <v>1</v>
      </c>
      <c r="G17238" t="n">
        <v>5</v>
      </c>
      <c r="H17238" s="5">
        <f>HYPERLINK("https://api.qogita.com/variants/link/3614227918146/", "View Product")</f>
        <v/>
      </c>
    </row>
    <row r="17239">
      <c r="A17239" t="inlineStr">
        <is>
          <t>3614228220880</t>
        </is>
      </c>
      <c r="B17239" t="inlineStr">
        <is>
          <t>Hugo Boss Boss Bottled Infinite Eau De Parfum Spray 200ml</t>
        </is>
      </c>
      <c r="C17239" t="inlineStr">
        <is>
          <t>Eau De Parfum</t>
        </is>
      </c>
      <c r="D17239" t="inlineStr">
        <is>
          <t>Hugo Boss</t>
        </is>
      </c>
      <c r="E17239" t="n">
        <v>95.45999999999999</v>
      </c>
      <c r="F17239" t="n">
        <v>1</v>
      </c>
      <c r="G17239" t="n">
        <v>13</v>
      </c>
      <c r="H17239" s="5">
        <f>HYPERLINK("https://api.qogita.com/variants/link/3614228220880/", "View Product")</f>
        <v/>
      </c>
    </row>
    <row r="17240">
      <c r="A17240" t="inlineStr">
        <is>
          <t>3614228222204</t>
        </is>
      </c>
      <c r="B17240" t="inlineStr">
        <is>
          <t>Mexx Whenever Wherever For Him Deodorant Spray 75ml</t>
        </is>
      </c>
      <c r="C17240" t="inlineStr">
        <is>
          <t>Deodorant &amp; Anti-Perspirant</t>
        </is>
      </c>
      <c r="D17240" t="inlineStr">
        <is>
          <t>Mexx</t>
        </is>
      </c>
      <c r="E17240" t="n">
        <v>2.88</v>
      </c>
      <c r="F17240" t="n">
        <v>1</v>
      </c>
      <c r="G17240" t="n">
        <v>4</v>
      </c>
      <c r="H17240" s="5">
        <f>HYPERLINK("https://api.qogita.com/variants/link/3614228222204/", "View Product")</f>
        <v/>
      </c>
    </row>
    <row r="17241">
      <c r="A17241" t="inlineStr">
        <is>
          <t>3614228333405</t>
        </is>
      </c>
      <c r="B17241" t="inlineStr">
        <is>
          <t>Bourjois Oh Oui Brown Fiber Eyebrow Mascara 002 Chestnut 6.8ml</t>
        </is>
      </c>
      <c r="C17241" t="inlineStr">
        <is>
          <t>Other</t>
        </is>
      </c>
      <c r="D17241" t="inlineStr">
        <is>
          <t>Bourjois</t>
        </is>
      </c>
      <c r="E17241" t="n">
        <v>4.51</v>
      </c>
      <c r="F17241" t="n">
        <v>1</v>
      </c>
      <c r="G17241" t="n">
        <v>21</v>
      </c>
      <c r="H17241" s="5">
        <f>HYPERLINK("https://api.qogita.com/variants/link/3614228333405/", "View Product")</f>
        <v/>
      </c>
    </row>
    <row r="17242">
      <c r="A17242" t="inlineStr">
        <is>
          <t>3614228411820</t>
        </is>
      </c>
      <c r="B17242" t="inlineStr">
        <is>
          <t>Bourjois Little Round Pot Mono Eyeshadow 5 Choco Latte 12 G</t>
        </is>
      </c>
      <c r="C17242" t="inlineStr">
        <is>
          <t>Eyeshadow</t>
        </is>
      </c>
      <c r="D17242" t="inlineStr">
        <is>
          <t>Bourjois</t>
        </is>
      </c>
      <c r="E17242" t="n">
        <v>5.69</v>
      </c>
      <c r="F17242" t="n">
        <v>1</v>
      </c>
      <c r="G17242" t="n">
        <v>14</v>
      </c>
      <c r="H17242" s="5">
        <f>HYPERLINK("https://api.qogita.com/variants/link/3614228411820/", "View Product")</f>
        <v/>
      </c>
    </row>
    <row r="17243">
      <c r="A17243" t="inlineStr">
        <is>
          <t>3614228411837</t>
        </is>
      </c>
      <c r="B17243" t="inlineStr">
        <is>
          <t>Bourjois Pastel Fard Lumiere 15 G Eye Shadow 06 Aura De Nuit</t>
        </is>
      </c>
      <c r="C17243" t="inlineStr">
        <is>
          <t>Eyeshadow</t>
        </is>
      </c>
      <c r="D17243" t="inlineStr">
        <is>
          <t>Bourjois</t>
        </is>
      </c>
      <c r="E17243" t="n">
        <v>5.59</v>
      </c>
      <c r="F17243" t="n">
        <v>1</v>
      </c>
      <c r="G17243" t="n">
        <v>3</v>
      </c>
      <c r="H17243" s="5">
        <f>HYPERLINK("https://api.qogita.com/variants/link/3614228411837/", "View Product")</f>
        <v/>
      </c>
    </row>
    <row r="17244">
      <c r="A17244" t="inlineStr">
        <is>
          <t>3614228411844</t>
        </is>
      </c>
      <c r="B17244" t="inlineStr">
        <is>
          <t>Bourjois Little Round Pot Mono Eyeshadow 7 Purple Reine 12 G</t>
        </is>
      </c>
      <c r="C17244" t="inlineStr">
        <is>
          <t>Eyeshadow</t>
        </is>
      </c>
      <c r="D17244" t="inlineStr">
        <is>
          <t>Bourjois</t>
        </is>
      </c>
      <c r="E17244" t="n">
        <v>5.61</v>
      </c>
      <c r="F17244" t="n">
        <v>1</v>
      </c>
      <c r="G17244" t="n">
        <v>2</v>
      </c>
      <c r="H17244" s="5">
        <f>HYPERLINK("https://api.qogita.com/variants/link/3614228411844/", "View Product")</f>
        <v/>
      </c>
    </row>
    <row r="17245">
      <c r="A17245" t="inlineStr">
        <is>
          <t>3614228411936</t>
        </is>
      </c>
      <c r="B17245" t="inlineStr">
        <is>
          <t>Bourjois Ombre Paupires Eye Shadow 16 Mauve La La 12 G</t>
        </is>
      </c>
      <c r="C17245" t="inlineStr">
        <is>
          <t>Eyeshadow</t>
        </is>
      </c>
      <c r="D17245" t="inlineStr">
        <is>
          <t>Bourjois</t>
        </is>
      </c>
      <c r="E17245" t="n">
        <v>5.43</v>
      </c>
      <c r="F17245" t="n">
        <v>1</v>
      </c>
      <c r="G17245" t="n">
        <v>3</v>
      </c>
      <c r="H17245" s="5">
        <f>HYPERLINK("https://api.qogita.com/variants/link/3614228411936/", "View Product")</f>
        <v/>
      </c>
    </row>
    <row r="17246">
      <c r="A17246" t="inlineStr">
        <is>
          <t>3614228413404</t>
        </is>
      </c>
      <c r="B17246" t="inlineStr">
        <is>
          <t>Bourjois Always Fabulous Extreme Resist Spf20 Concealing Foundation 100 Rose Ivory 30ml</t>
        </is>
      </c>
      <c r="C17246" t="inlineStr">
        <is>
          <t>Foundation</t>
        </is>
      </c>
      <c r="D17246" t="inlineStr">
        <is>
          <t>Bourjois</t>
        </is>
      </c>
      <c r="E17246" t="n">
        <v>7.44</v>
      </c>
      <c r="F17246" t="n">
        <v>1</v>
      </c>
      <c r="G17246" t="n">
        <v>2</v>
      </c>
      <c r="H17246" s="5">
        <f>HYPERLINK("https://api.qogita.com/variants/link/3614228413404/", "View Product")</f>
        <v/>
      </c>
    </row>
    <row r="17247">
      <c r="A17247" t="inlineStr">
        <is>
          <t>3614228807463</t>
        </is>
      </c>
      <c r="B17247" t="inlineStr">
        <is>
          <t>Wella Professionals Illumina Color Permanent Hair Dye 8/93 Golden Ash Light Blonde 60ml</t>
        </is>
      </c>
      <c r="C17247" t="inlineStr">
        <is>
          <t>Hair Dye</t>
        </is>
      </c>
      <c r="D17247" t="inlineStr">
        <is>
          <t>Wella</t>
        </is>
      </c>
      <c r="E17247" t="n">
        <v>7.88</v>
      </c>
      <c r="F17247" t="n">
        <v>1</v>
      </c>
      <c r="G17247" t="n">
        <v>2</v>
      </c>
      <c r="H17247" s="5">
        <f>HYPERLINK("https://api.qogita.com/variants/link/3614228807463/", "View Product")</f>
        <v/>
      </c>
    </row>
    <row r="17248">
      <c r="A17248" t="inlineStr">
        <is>
          <t>3614228834032</t>
        </is>
      </c>
      <c r="B17248" t="inlineStr">
        <is>
          <t>Nautica Voyage Eau De Toilette Spray 200ml</t>
        </is>
      </c>
      <c r="C17248" t="inlineStr">
        <is>
          <t>Eau De Toilette</t>
        </is>
      </c>
      <c r="D17248" t="inlineStr">
        <is>
          <t>Nautica</t>
        </is>
      </c>
      <c r="E17248" t="n">
        <v>25.96</v>
      </c>
      <c r="F17248" t="n">
        <v>1</v>
      </c>
      <c r="G17248" t="n">
        <v>159</v>
      </c>
      <c r="H17248" s="5">
        <f>HYPERLINK("https://api.qogita.com/variants/link/3614228834032/", "View Product")</f>
        <v/>
      </c>
    </row>
    <row r="17249">
      <c r="A17249" t="inlineStr">
        <is>
          <t>3614228842785</t>
        </is>
      </c>
      <c r="B17249" t="inlineStr">
        <is>
          <t>Chloe Signature Natural Eau De Parfum 50ml Spray</t>
        </is>
      </c>
      <c r="C17249" t="inlineStr">
        <is>
          <t>Eau De Parfum</t>
        </is>
      </c>
      <c r="D17249" t="inlineStr">
        <is>
          <t>Chloé</t>
        </is>
      </c>
      <c r="E17249" t="n">
        <v>45.96</v>
      </c>
      <c r="F17249" t="n">
        <v>1</v>
      </c>
      <c r="G17249" t="n">
        <v>2</v>
      </c>
      <c r="H17249" s="5">
        <f>HYPERLINK("https://api.qogita.com/variants/link/3614228842785/", "View Product")</f>
        <v/>
      </c>
    </row>
    <row r="17250">
      <c r="A17250" t="inlineStr">
        <is>
          <t>3614228902113</t>
        </is>
      </c>
      <c r="B17250" t="inlineStr">
        <is>
          <t>Hugo Boss The Scent Pure Accord For Him Eau De Toilette 50ml</t>
        </is>
      </c>
      <c r="C17250" t="inlineStr">
        <is>
          <t>Eau De Toilette</t>
        </is>
      </c>
      <c r="D17250" t="inlineStr">
        <is>
          <t>Hugo Boss</t>
        </is>
      </c>
      <c r="E17250" t="n">
        <v>29.03</v>
      </c>
      <c r="F17250" t="n">
        <v>1</v>
      </c>
      <c r="G17250" t="n">
        <v>42</v>
      </c>
      <c r="H17250" s="5">
        <f>HYPERLINK("https://api.qogita.com/variants/link/3614228902113/", "View Product")</f>
        <v/>
      </c>
    </row>
    <row r="17251">
      <c r="A17251" t="inlineStr">
        <is>
          <t>3614229064681</t>
        </is>
      </c>
      <c r="B17251" t="inlineStr">
        <is>
          <t>Opi Gelcolor Gel Nail Polish 15 Ml</t>
        </is>
      </c>
      <c r="C17251" t="inlineStr">
        <is>
          <t>Nail Care Sets</t>
        </is>
      </c>
      <c r="D17251" t="inlineStr">
        <is>
          <t>OPI</t>
        </is>
      </c>
      <c r="E17251" t="n">
        <v>25.11</v>
      </c>
      <c r="F17251" t="n">
        <v>1</v>
      </c>
      <c r="G17251" t="n">
        <v>3</v>
      </c>
      <c r="H17251" s="5">
        <f>HYPERLINK("https://api.qogita.com/variants/link/3614229064681/", "View Product")</f>
        <v/>
      </c>
    </row>
    <row r="17252">
      <c r="A17252" t="inlineStr">
        <is>
          <t>3614229152548</t>
        </is>
      </c>
      <c r="B17252" t="inlineStr">
        <is>
          <t>Tiffany And Co Limited Edition Eau De Parfum</t>
        </is>
      </c>
      <c r="C17252" t="inlineStr">
        <is>
          <t>Eau De Parfum</t>
        </is>
      </c>
      <c r="D17252" t="inlineStr">
        <is>
          <t>Tiffany &amp; Co.</t>
        </is>
      </c>
      <c r="E17252" t="n">
        <v>53.27</v>
      </c>
      <c r="F17252" t="n">
        <v>1</v>
      </c>
      <c r="G17252" t="n">
        <v>5</v>
      </c>
      <c r="H17252" s="5">
        <f>HYPERLINK("https://api.qogita.com/variants/link/3614229152548/", "View Product")</f>
        <v/>
      </c>
    </row>
    <row r="17253">
      <c r="A17253" t="inlineStr">
        <is>
          <t>3614229310047</t>
        </is>
      </c>
      <c r="B17253" t="inlineStr">
        <is>
          <t>Max Factor Facefinity All Day Flawless Concealer 7 Ml</t>
        </is>
      </c>
      <c r="C17253" t="inlineStr">
        <is>
          <t>Concealer</t>
        </is>
      </c>
      <c r="D17253" t="inlineStr">
        <is>
          <t>Max Factor</t>
        </is>
      </c>
      <c r="E17253" t="n">
        <v>5.13</v>
      </c>
      <c r="F17253" t="n">
        <v>1</v>
      </c>
      <c r="G17253" t="n">
        <v>2</v>
      </c>
      <c r="H17253" s="5">
        <f>HYPERLINK("https://api.qogita.com/variants/link/3614229310047/", "View Product")</f>
        <v/>
      </c>
    </row>
    <row r="17254">
      <c r="A17254" t="inlineStr">
        <is>
          <t>3614229379488</t>
        </is>
      </c>
      <c r="B17254" t="inlineStr">
        <is>
          <t>Bottega Veneta Illusione Bois Nu For Him Eau De Toilette Spray 50ml</t>
        </is>
      </c>
      <c r="C17254" t="inlineStr">
        <is>
          <t>Eau De Toilette</t>
        </is>
      </c>
      <c r="D17254" t="inlineStr">
        <is>
          <t>Bottega Veneta</t>
        </is>
      </c>
      <c r="E17254" t="n">
        <v>34.47</v>
      </c>
      <c r="F17254" t="n">
        <v>1</v>
      </c>
      <c r="G17254" t="n">
        <v>12</v>
      </c>
      <c r="H17254" s="5">
        <f>HYPERLINK("https://api.qogita.com/variants/link/3614229379488/", "View Product")</f>
        <v/>
      </c>
    </row>
    <row r="17255">
      <c r="A17255" t="inlineStr">
        <is>
          <t>3614229382129</t>
        </is>
      </c>
      <c r="B17255" t="inlineStr">
        <is>
          <t>Gucci Guilty Pour Homme Eau De Parfum Spray 90ml For Men</t>
        </is>
      </c>
      <c r="C17255" t="inlineStr">
        <is>
          <t>Eau De Parfum</t>
        </is>
      </c>
      <c r="D17255" t="inlineStr">
        <is>
          <t>Gucci</t>
        </is>
      </c>
      <c r="E17255" t="n">
        <v>68.84999999999999</v>
      </c>
      <c r="F17255" t="n">
        <v>1</v>
      </c>
      <c r="G17255" t="n">
        <v>22</v>
      </c>
      <c r="H17255" s="5">
        <f>HYPERLINK("https://api.qogita.com/variants/link/3614229382129/", "View Product")</f>
        <v/>
      </c>
    </row>
    <row r="17256">
      <c r="A17256" t="inlineStr">
        <is>
          <t>3614229382167</t>
        </is>
      </c>
      <c r="B17256" t="inlineStr">
        <is>
          <t>Gucci Guilty Pour Homme Eau De Parfum</t>
        </is>
      </c>
      <c r="C17256" t="inlineStr">
        <is>
          <t>Eau De Parfum</t>
        </is>
      </c>
      <c r="D17256" t="inlineStr">
        <is>
          <t>Gucci</t>
        </is>
      </c>
      <c r="E17256" t="n">
        <v>103.46</v>
      </c>
      <c r="F17256" t="n">
        <v>1</v>
      </c>
      <c r="G17256" t="n">
        <v>24</v>
      </c>
      <c r="H17256" s="5">
        <f>HYPERLINK("https://api.qogita.com/variants/link/3614229382167/", "View Product")</f>
        <v/>
      </c>
    </row>
    <row r="17257">
      <c r="A17257" t="inlineStr">
        <is>
          <t>3614229656152</t>
        </is>
      </c>
      <c r="B17257" t="inlineStr">
        <is>
          <t>Calvin Klein Ck Everyone Eau De Toilette Spray 200ml</t>
        </is>
      </c>
      <c r="C17257" t="inlineStr">
        <is>
          <t>Eau De Toilette</t>
        </is>
      </c>
      <c r="D17257" t="inlineStr">
        <is>
          <t>Calvin Klein</t>
        </is>
      </c>
      <c r="E17257" t="n">
        <v>29.94</v>
      </c>
      <c r="F17257" t="n">
        <v>1</v>
      </c>
      <c r="G17257" t="n">
        <v>15</v>
      </c>
      <c r="H17257" s="5">
        <f>HYPERLINK("https://api.qogita.com/variants/link/3614229656152/", "View Product")</f>
        <v/>
      </c>
    </row>
    <row r="17258">
      <c r="A17258" t="inlineStr">
        <is>
          <t>3614229660388</t>
        </is>
      </c>
      <c r="B17258" t="inlineStr">
        <is>
          <t>HUGO BOSS ALIVE Perfumed Hand and Body Lotion 200ml</t>
        </is>
      </c>
      <c r="C17258" t="inlineStr">
        <is>
          <t>Body Lotion</t>
        </is>
      </c>
      <c r="D17258" t="inlineStr">
        <is>
          <t>Hugo Boss</t>
        </is>
      </c>
      <c r="E17258" t="n">
        <v>14.73</v>
      </c>
      <c r="F17258" t="n">
        <v>1</v>
      </c>
      <c r="G17258" t="n">
        <v>296</v>
      </c>
      <c r="H17258" s="5">
        <f>HYPERLINK("https://api.qogita.com/variants/link/3614229660388/", "View Product")</f>
        <v/>
      </c>
    </row>
    <row r="17259">
      <c r="A17259" t="inlineStr">
        <is>
          <t>3614229718836</t>
        </is>
      </c>
      <c r="B17259" t="inlineStr">
        <is>
          <t>Wella Color Fresh Mask Fun Pink 150ml Hair Color Treatment</t>
        </is>
      </c>
      <c r="C17259" t="inlineStr">
        <is>
          <t>Hair Dye</t>
        </is>
      </c>
      <c r="D17259" t="inlineStr">
        <is>
          <t>Wella</t>
        </is>
      </c>
      <c r="E17259" t="n">
        <v>7.69</v>
      </c>
      <c r="F17259" t="n">
        <v>1</v>
      </c>
      <c r="G17259" t="n">
        <v>3</v>
      </c>
      <c r="H17259" s="5">
        <f>HYPERLINK("https://api.qogita.com/variants/link/3614229718836/", "View Product")</f>
        <v/>
      </c>
    </row>
    <row r="17260">
      <c r="A17260" t="inlineStr">
        <is>
          <t>3614229718850</t>
        </is>
      </c>
      <c r="B17260" t="inlineStr">
        <is>
          <t>Wella Professionals Color Fresh Mask Mint 150ml Hair Mask</t>
        </is>
      </c>
      <c r="C17260" t="inlineStr">
        <is>
          <t>Hair Masks</t>
        </is>
      </c>
      <c r="D17260" t="inlineStr">
        <is>
          <t>Wella Professionals</t>
        </is>
      </c>
      <c r="E17260" t="n">
        <v>8.42</v>
      </c>
      <c r="F17260" t="n">
        <v>1</v>
      </c>
      <c r="G17260" t="n">
        <v>21</v>
      </c>
      <c r="H17260" s="5">
        <f>HYPERLINK("https://api.qogita.com/variants/link/3614229718850/", "View Product")</f>
        <v/>
      </c>
    </row>
    <row r="17261">
      <c r="A17261" t="inlineStr">
        <is>
          <t>3614229820799</t>
        </is>
      </c>
      <c r="B17261" t="inlineStr">
        <is>
          <t>Burberry Hero Eau De Toilette Spray 100ml</t>
        </is>
      </c>
      <c r="C17261" t="inlineStr">
        <is>
          <t>Eau De Toilette</t>
        </is>
      </c>
      <c r="D17261" t="inlineStr">
        <is>
          <t>Burberry</t>
        </is>
      </c>
      <c r="E17261" t="n">
        <v>62.95</v>
      </c>
      <c r="F17261" t="n">
        <v>1</v>
      </c>
      <c r="G17261" t="n">
        <v>10</v>
      </c>
      <c r="H17261" s="5">
        <f>HYPERLINK("https://api.qogita.com/variants/link/3614229820799/", "View Product")</f>
        <v/>
      </c>
    </row>
    <row r="17262">
      <c r="A17262" t="inlineStr">
        <is>
          <t>3614229820805</t>
        </is>
      </c>
      <c r="B17262" t="inlineStr">
        <is>
          <t>Burberry Hero Eau De Toilette Spray 150ml</t>
        </is>
      </c>
      <c r="C17262" t="inlineStr">
        <is>
          <t>Eau De Toilette</t>
        </is>
      </c>
      <c r="D17262" t="inlineStr">
        <is>
          <t>Burberry</t>
        </is>
      </c>
      <c r="E17262" t="n">
        <v>82.64</v>
      </c>
      <c r="F17262" t="n">
        <v>1</v>
      </c>
      <c r="G17262" t="n">
        <v>3</v>
      </c>
      <c r="H17262" s="5">
        <f>HYPERLINK("https://api.qogita.com/variants/link/3614229820805/", "View Product")</f>
        <v/>
      </c>
    </row>
    <row r="17263">
      <c r="A17263" t="inlineStr">
        <is>
          <t>3614229823806</t>
        </is>
      </c>
      <c r="B17263" t="inlineStr">
        <is>
          <t>Hugo Boss Hugo Man Eau De Toilette Spray 125ml</t>
        </is>
      </c>
      <c r="C17263" t="inlineStr">
        <is>
          <t>Eau De Toilette</t>
        </is>
      </c>
      <c r="D17263" t="inlineStr">
        <is>
          <t>Hugo Boss</t>
        </is>
      </c>
      <c r="E17263" t="n">
        <v>29.92</v>
      </c>
      <c r="F17263" t="n">
        <v>1</v>
      </c>
      <c r="G17263" t="n">
        <v>83</v>
      </c>
      <c r="H17263" s="5">
        <f>HYPERLINK("https://api.qogita.com/variants/link/3614229823806/", "View Product")</f>
        <v/>
      </c>
    </row>
    <row r="17264">
      <c r="A17264" t="inlineStr">
        <is>
          <t>3614229828559</t>
        </is>
      </c>
      <c r="B17264" t="inlineStr">
        <is>
          <t>Hugo Boss Boss Bottled Eau De Parfum Spray 50ml</t>
        </is>
      </c>
      <c r="C17264" t="inlineStr">
        <is>
          <t>Eau De Parfum</t>
        </is>
      </c>
      <c r="D17264" t="inlineStr">
        <is>
          <t>Hugo Boss</t>
        </is>
      </c>
      <c r="E17264" t="n">
        <v>40.02</v>
      </c>
      <c r="F17264" t="n">
        <v>1</v>
      </c>
      <c r="G17264" t="n">
        <v>2</v>
      </c>
      <c r="H17264" s="5">
        <f>HYPERLINK("https://api.qogita.com/variants/link/3614229828559/", "View Product")</f>
        <v/>
      </c>
    </row>
    <row r="17265">
      <c r="A17265" t="inlineStr">
        <is>
          <t>3614229829044</t>
        </is>
      </c>
      <c r="B17265" t="inlineStr">
        <is>
          <t>Burberry My Burberry Blush Eau De Parfum Spray 90ml</t>
        </is>
      </c>
      <c r="C17265" t="inlineStr">
        <is>
          <t>Eau De Parfum</t>
        </is>
      </c>
      <c r="D17265" t="inlineStr">
        <is>
          <t>Burberry</t>
        </is>
      </c>
      <c r="E17265" t="n">
        <v>53.91</v>
      </c>
      <c r="F17265" t="n">
        <v>1</v>
      </c>
      <c r="G17265" t="n">
        <v>209</v>
      </c>
      <c r="H17265" s="5">
        <f>HYPERLINK("https://api.qogita.com/variants/link/3614229829044/", "View Product")</f>
        <v/>
      </c>
    </row>
    <row r="17266">
      <c r="A17266" t="inlineStr">
        <is>
          <t>3614229840117</t>
        </is>
      </c>
      <c r="B17266" t="inlineStr">
        <is>
          <t>Burberry Mr. Burberry Eau De Toilette Spray 50ml</t>
        </is>
      </c>
      <c r="C17266" t="inlineStr">
        <is>
          <t>Eau De Toilette</t>
        </is>
      </c>
      <c r="D17266" t="inlineStr">
        <is>
          <t>Burberry</t>
        </is>
      </c>
      <c r="E17266" t="n">
        <v>31.19</v>
      </c>
      <c r="F17266" t="n">
        <v>1</v>
      </c>
      <c r="G17266" t="n">
        <v>5</v>
      </c>
      <c r="H17266" s="5">
        <f>HYPERLINK("https://api.qogita.com/variants/link/3614229840117/", "View Product")</f>
        <v/>
      </c>
    </row>
    <row r="17267">
      <c r="A17267" t="inlineStr">
        <is>
          <t>3614270264900</t>
        </is>
      </c>
      <c r="B17267" t="inlineStr">
        <is>
          <t>Lancme Rngie Multilift Redefining Lifting Cream Spf 15 50ml For All Skin Types</t>
        </is>
      </c>
      <c r="C17267" t="inlineStr">
        <is>
          <t>Day Cream</t>
        </is>
      </c>
      <c r="D17267" t="inlineStr">
        <is>
          <t>Lancôme</t>
        </is>
      </c>
      <c r="E17267" t="n">
        <v>67.20999999999999</v>
      </c>
      <c r="F17267" t="n">
        <v>1</v>
      </c>
      <c r="G17267" t="n">
        <v>3</v>
      </c>
      <c r="H17267" s="5">
        <f>HYPERLINK("https://api.qogita.com/variants/link/3614270264900/", "View Product")</f>
        <v/>
      </c>
    </row>
    <row r="17268">
      <c r="A17268" t="inlineStr">
        <is>
          <t>3614270659706</t>
        </is>
      </c>
      <c r="B17268" t="inlineStr">
        <is>
          <t>Viktor &amp; Rolf Spice Bomb Extreme Eau De Parfum 90ml For Men</t>
        </is>
      </c>
      <c r="C17268" t="inlineStr">
        <is>
          <t>Eau De Parfum</t>
        </is>
      </c>
      <c r="D17268" t="inlineStr">
        <is>
          <t>Viktor &amp; Rolf</t>
        </is>
      </c>
      <c r="E17268" t="n">
        <v>78.59</v>
      </c>
      <c r="F17268" t="n">
        <v>1</v>
      </c>
      <c r="G17268" t="n">
        <v>32</v>
      </c>
      <c r="H17268" s="5">
        <f>HYPERLINK("https://api.qogita.com/variants/link/3614270659706/", "View Product")</f>
        <v/>
      </c>
    </row>
    <row r="17269">
      <c r="A17269" t="inlineStr">
        <is>
          <t>3614271256119</t>
        </is>
      </c>
      <c r="B17269" t="inlineStr">
        <is>
          <t>Biotherm Biosource Cleansing Milk For Dry Skin 400ml</t>
        </is>
      </c>
      <c r="C17269" t="inlineStr">
        <is>
          <t>Cleansing Milk</t>
        </is>
      </c>
      <c r="D17269" t="inlineStr">
        <is>
          <t>Biotherm</t>
        </is>
      </c>
      <c r="E17269" t="n">
        <v>23.06</v>
      </c>
      <c r="F17269" t="n">
        <v>1</v>
      </c>
      <c r="G17269" t="n">
        <v>3</v>
      </c>
      <c r="H17269" s="5">
        <f>HYPERLINK("https://api.qogita.com/variants/link/3614271256119/", "View Product")</f>
        <v/>
      </c>
    </row>
    <row r="17270">
      <c r="A17270" t="inlineStr">
        <is>
          <t>3614271256201</t>
        </is>
      </c>
      <c r="B17270" t="inlineStr">
        <is>
          <t>Biotherm Biosource Micellar Water 200ml Universal Cleansing Water For Total &amp; Instant Makeup Removal</t>
        </is>
      </c>
      <c r="C17270" t="inlineStr">
        <is>
          <t>Micellar Water</t>
        </is>
      </c>
      <c r="D17270" t="inlineStr">
        <is>
          <t>Biotherm</t>
        </is>
      </c>
      <c r="E17270" t="n">
        <v>16.96</v>
      </c>
      <c r="F17270" t="n">
        <v>1</v>
      </c>
      <c r="G17270" t="n">
        <v>3</v>
      </c>
      <c r="H17270" s="5">
        <f>HYPERLINK("https://api.qogita.com/variants/link/3614271256201/", "View Product")</f>
        <v/>
      </c>
    </row>
    <row r="17271">
      <c r="A17271" t="inlineStr">
        <is>
          <t>3614271426024</t>
        </is>
      </c>
      <c r="B17271" t="inlineStr">
        <is>
          <t>Biotherm Caring Eye Gel Aquapower Eye Depuffer 15 Ml</t>
        </is>
      </c>
      <c r="C17271" t="inlineStr">
        <is>
          <t>Eye Gel</t>
        </is>
      </c>
      <c r="D17271" t="inlineStr">
        <is>
          <t>Biotherm</t>
        </is>
      </c>
      <c r="E17271" t="n">
        <v>20.78</v>
      </c>
      <c r="F17271" t="n">
        <v>1</v>
      </c>
      <c r="G17271" t="n">
        <v>5</v>
      </c>
      <c r="H17271" s="5">
        <f>HYPERLINK("https://api.qogita.com/variants/link/3614271426024/", "View Product")</f>
        <v/>
      </c>
    </row>
    <row r="17272">
      <c r="A17272" t="inlineStr">
        <is>
          <t>3614271437952</t>
        </is>
      </c>
      <c r="B17272" t="inlineStr">
        <is>
          <t>Lancme Teint Miracle Brightening Makeup Spf 15 01 Beige Albtre 30ml</t>
        </is>
      </c>
      <c r="C17272" t="inlineStr">
        <is>
          <t>Foundation</t>
        </is>
      </c>
      <c r="D17272" t="inlineStr">
        <is>
          <t>Lancôme</t>
        </is>
      </c>
      <c r="E17272" t="n">
        <v>39.59</v>
      </c>
      <c r="F17272" t="n">
        <v>1</v>
      </c>
      <c r="G17272" t="n">
        <v>22</v>
      </c>
      <c r="H17272" s="5">
        <f>HYPERLINK("https://api.qogita.com/variants/link/3614271437952/", "View Product")</f>
        <v/>
      </c>
    </row>
    <row r="17273">
      <c r="A17273" t="inlineStr">
        <is>
          <t>3614271438034</t>
        </is>
      </c>
      <c r="B17273" t="inlineStr">
        <is>
          <t>Lancme Teint Miracle Foundation Spf15 035 Golden Beige 30ml</t>
        </is>
      </c>
      <c r="C17273" t="inlineStr">
        <is>
          <t>Foundation</t>
        </is>
      </c>
      <c r="D17273" t="inlineStr">
        <is>
          <t>Lancôme</t>
        </is>
      </c>
      <c r="E17273" t="n">
        <v>39.57</v>
      </c>
      <c r="F17273" t="n">
        <v>1</v>
      </c>
      <c r="G17273" t="n">
        <v>3</v>
      </c>
      <c r="H17273" s="5">
        <f>HYPERLINK("https://api.qogita.com/variants/link/3614271438034/", "View Product")</f>
        <v/>
      </c>
    </row>
    <row r="17274">
      <c r="A17274" t="inlineStr">
        <is>
          <t>3614271717092</t>
        </is>
      </c>
      <c r="B17274" t="inlineStr">
        <is>
          <t>YSL New Y Men Deo Stick 75g</t>
        </is>
      </c>
      <c r="C17274" t="inlineStr">
        <is>
          <t>Deodorant &amp; Anti-Perspirant</t>
        </is>
      </c>
      <c r="D17274" t="inlineStr">
        <is>
          <t>Yves Saint Laurent</t>
        </is>
      </c>
      <c r="E17274" t="n">
        <v>17.92</v>
      </c>
      <c r="F17274" t="n">
        <v>1</v>
      </c>
      <c r="G17274" t="n">
        <v>194</v>
      </c>
      <c r="H17274" s="5">
        <f>HYPERLINK("https://api.qogita.com/variants/link/3614271717092/", "View Product")</f>
        <v/>
      </c>
    </row>
    <row r="17275">
      <c r="A17275" t="inlineStr">
        <is>
          <t>3614271777508</t>
        </is>
      </c>
      <c r="B17275" t="inlineStr">
        <is>
          <t>Biotherm Homme T-Pur Anti Oil &amp; Shine Lotion 6.76 Ounce</t>
        </is>
      </c>
      <c r="C17275" t="inlineStr">
        <is>
          <t>Face Cream</t>
        </is>
      </c>
      <c r="D17275" t="inlineStr">
        <is>
          <t>Biotherm</t>
        </is>
      </c>
      <c r="E17275" t="n">
        <v>29.34</v>
      </c>
      <c r="F17275" t="n">
        <v>1</v>
      </c>
      <c r="G17275" t="n">
        <v>5</v>
      </c>
      <c r="H17275" s="5">
        <f>HYPERLINK("https://api.qogita.com/variants/link/3614271777508/", "View Product")</f>
        <v/>
      </c>
    </row>
    <row r="17276">
      <c r="A17276" t="inlineStr">
        <is>
          <t>3614271955197</t>
        </is>
      </c>
      <c r="B17276" t="inlineStr">
        <is>
          <t>Helena Rubinstein Powercell Decontaminating Mask</t>
        </is>
      </c>
      <c r="C17276" t="inlineStr">
        <is>
          <t>Purifying Mask</t>
        </is>
      </c>
      <c r="D17276" t="inlineStr">
        <is>
          <t>Helena Rubinstein</t>
        </is>
      </c>
      <c r="E17276" t="n">
        <v>79.34999999999999</v>
      </c>
      <c r="F17276" t="n">
        <v>1</v>
      </c>
      <c r="G17276" t="n">
        <v>3</v>
      </c>
      <c r="H17276" s="5">
        <f>HYPERLINK("https://api.qogita.com/variants/link/3614271955197/", "View Product")</f>
        <v/>
      </c>
    </row>
    <row r="17277">
      <c r="A17277" t="inlineStr">
        <is>
          <t>3614271969477</t>
        </is>
      </c>
      <c r="B17277" t="inlineStr">
        <is>
          <t>Yves Saint Laurent Black Opium Eau De Parfum Spray 150ml</t>
        </is>
      </c>
      <c r="C17277" t="inlineStr">
        <is>
          <t>Eau De Parfum</t>
        </is>
      </c>
      <c r="D17277" t="inlineStr">
        <is>
          <t>Yves Saint Laurent</t>
        </is>
      </c>
      <c r="E17277" t="n">
        <v>122.95</v>
      </c>
      <c r="F17277" t="n">
        <v>1</v>
      </c>
      <c r="G17277" t="n">
        <v>5</v>
      </c>
      <c r="H17277" s="5">
        <f>HYPERLINK("https://api.qogita.com/variants/link/3614271969477/", "View Product")</f>
        <v/>
      </c>
    </row>
    <row r="17278">
      <c r="A17278" t="inlineStr">
        <is>
          <t>3614271990013</t>
        </is>
      </c>
      <c r="B17278" t="inlineStr">
        <is>
          <t>YSL Homme Cologne Bleue EDT 100ml</t>
        </is>
      </c>
      <c r="C17278" t="inlineStr">
        <is>
          <t>Eau De Toilette</t>
        </is>
      </c>
      <c r="D17278" t="inlineStr">
        <is>
          <t>Yves Saint Laurent</t>
        </is>
      </c>
      <c r="E17278" t="n">
        <v>66.06</v>
      </c>
      <c r="F17278" t="n">
        <v>1</v>
      </c>
      <c r="G17278" t="n">
        <v>12</v>
      </c>
      <c r="H17278" s="5">
        <f>HYPERLINK("https://api.qogita.com/variants/link/3614271990013/", "View Product")</f>
        <v/>
      </c>
    </row>
    <row r="17279">
      <c r="A17279" t="inlineStr">
        <is>
          <t>3614271992468</t>
        </is>
      </c>
      <c r="B17279" t="inlineStr">
        <is>
          <t>Yves Saint Laurent Mon Paris Couture Eau De Parfum 50ml Women Spray</t>
        </is>
      </c>
      <c r="C17279" t="inlineStr">
        <is>
          <t>Eau De Parfum</t>
        </is>
      </c>
      <c r="D17279" t="inlineStr">
        <is>
          <t>Yves Saint Laurent</t>
        </is>
      </c>
      <c r="E17279" t="n">
        <v>79.66</v>
      </c>
      <c r="F17279" t="n">
        <v>1</v>
      </c>
      <c r="G17279" t="n">
        <v>5</v>
      </c>
      <c r="H17279" s="5">
        <f>HYPERLINK("https://api.qogita.com/variants/link/3614271992468/", "View Product")</f>
        <v/>
      </c>
    </row>
    <row r="17280">
      <c r="A17280" t="inlineStr">
        <is>
          <t>3614271992727</t>
        </is>
      </c>
      <c r="B17280" t="inlineStr">
        <is>
          <t>Armani Emporio Armani Stronger With You Eau De Toilette 150ml</t>
        </is>
      </c>
      <c r="C17280" t="inlineStr">
        <is>
          <t>Eau De Toilette</t>
        </is>
      </c>
      <c r="D17280" t="inlineStr">
        <is>
          <t>Armani</t>
        </is>
      </c>
      <c r="E17280" t="n">
        <v>81.22</v>
      </c>
      <c r="F17280" t="n">
        <v>1</v>
      </c>
      <c r="G17280" t="n">
        <v>8</v>
      </c>
      <c r="H17280" s="5">
        <f>HYPERLINK("https://api.qogita.com/variants/link/3614271992727/", "View Product")</f>
        <v/>
      </c>
    </row>
    <row r="17281">
      <c r="A17281" t="inlineStr">
        <is>
          <t>3614271994721</t>
        </is>
      </c>
      <c r="B17281" t="inlineStr">
        <is>
          <t>Giorgio Armani Si Passione Eau De Parfum 30ml For Women</t>
        </is>
      </c>
      <c r="C17281" t="inlineStr">
        <is>
          <t>Eau De Parfum</t>
        </is>
      </c>
      <c r="D17281" t="inlineStr">
        <is>
          <t>Giorgio Armani</t>
        </is>
      </c>
      <c r="E17281" t="n">
        <v>48.5</v>
      </c>
      <c r="F17281" t="n">
        <v>1</v>
      </c>
      <c r="G17281" t="n">
        <v>4</v>
      </c>
      <c r="H17281" s="5">
        <f>HYPERLINK("https://api.qogita.com/variants/link/3614271994721/", "View Product")</f>
        <v/>
      </c>
    </row>
    <row r="17282">
      <c r="A17282" t="inlineStr">
        <is>
          <t>3614272050341</t>
        </is>
      </c>
      <c r="B17282" t="inlineStr">
        <is>
          <t>Yves Saint Laurent Y Pour Homme Eau De Parfum Spray 60ml</t>
        </is>
      </c>
      <c r="C17282" t="inlineStr">
        <is>
          <t>Eau De Parfum</t>
        </is>
      </c>
      <c r="D17282" t="inlineStr">
        <is>
          <t>Yves Saint Laurent</t>
        </is>
      </c>
      <c r="E17282" t="n">
        <v>60.54</v>
      </c>
      <c r="F17282" t="n">
        <v>1</v>
      </c>
      <c r="G17282" t="n">
        <v>27</v>
      </c>
      <c r="H17282" s="5">
        <f>HYPERLINK("https://api.qogita.com/variants/link/3614272050341/", "View Product")</f>
        <v/>
      </c>
    </row>
    <row r="17283">
      <c r="A17283" t="inlineStr">
        <is>
          <t>3614272050358</t>
        </is>
      </c>
      <c r="B17283" t="inlineStr">
        <is>
          <t>Yves Saint Laurent Y For Men Eau De Parfum 100ml</t>
        </is>
      </c>
      <c r="C17283" t="inlineStr">
        <is>
          <t>Eau De Parfum</t>
        </is>
      </c>
      <c r="D17283" t="inlineStr">
        <is>
          <t>Yves Saint Laurent</t>
        </is>
      </c>
      <c r="E17283" t="n">
        <v>85.76000000000001</v>
      </c>
      <c r="F17283" t="n">
        <v>1</v>
      </c>
      <c r="G17283" t="n">
        <v>29</v>
      </c>
      <c r="H17283" s="5">
        <f>HYPERLINK("https://api.qogita.com/variants/link/3614272050358/", "View Product")</f>
        <v/>
      </c>
    </row>
    <row r="17284">
      <c r="A17284" t="inlineStr">
        <is>
          <t>3614272128620</t>
        </is>
      </c>
      <c r="B17284" t="inlineStr">
        <is>
          <t>Lancme Brow Define Pencil 02 Blonde 9 G</t>
        </is>
      </c>
      <c r="C17284" t="inlineStr">
        <is>
          <t>Eyebrow Pencil</t>
        </is>
      </c>
      <c r="D17284" t="inlineStr">
        <is>
          <t>Lancôme</t>
        </is>
      </c>
      <c r="E17284" t="n">
        <v>22.29</v>
      </c>
      <c r="F17284" t="n">
        <v>1</v>
      </c>
      <c r="G17284" t="n">
        <v>3</v>
      </c>
      <c r="H17284" s="5">
        <f>HYPERLINK("https://api.qogita.com/variants/link/3614272128620/", "View Product")</f>
        <v/>
      </c>
    </row>
    <row r="17285">
      <c r="A17285" t="inlineStr">
        <is>
          <t>3614272140103</t>
        </is>
      </c>
      <c r="B17285" t="inlineStr">
        <is>
          <t>Yves Saint Laurent Thin Frosting Lipstick With Leather Effect Rouge Pur Couture The Slim 22g</t>
        </is>
      </c>
      <c r="C17285" t="inlineStr">
        <is>
          <t>Lipstick</t>
        </is>
      </c>
      <c r="D17285" t="inlineStr">
        <is>
          <t>Yves Saint Laurent</t>
        </is>
      </c>
      <c r="E17285" t="n">
        <v>34.53</v>
      </c>
      <c r="F17285" t="n">
        <v>1</v>
      </c>
      <c r="G17285" t="n">
        <v>3</v>
      </c>
      <c r="H17285" s="5">
        <f>HYPERLINK("https://api.qogita.com/variants/link/3614272140103/", "View Product")</f>
        <v/>
      </c>
    </row>
    <row r="17286">
      <c r="A17286" t="inlineStr">
        <is>
          <t>3614272161788</t>
        </is>
      </c>
      <c r="B17286" t="inlineStr">
        <is>
          <t>Lancme Hypnse Mascara 001 Noir 62ml</t>
        </is>
      </c>
      <c r="C17286" t="inlineStr">
        <is>
          <t>Mascara</t>
        </is>
      </c>
      <c r="D17286" t="inlineStr">
        <is>
          <t>Lancôme</t>
        </is>
      </c>
      <c r="E17286" t="n">
        <v>26.17</v>
      </c>
      <c r="F17286" t="n">
        <v>1</v>
      </c>
      <c r="G17286" t="n">
        <v>15</v>
      </c>
      <c r="H17286" s="5">
        <f>HYPERLINK("https://api.qogita.com/variants/link/3614272161788/", "View Product")</f>
        <v/>
      </c>
    </row>
    <row r="17287">
      <c r="A17287" t="inlineStr">
        <is>
          <t>3614272313545</t>
        </is>
      </c>
      <c r="B17287" t="inlineStr">
        <is>
          <t>Lancme Brow Shaping Powdery Pencil Eyebrow Pencil 02 Dark Blonde 119 G</t>
        </is>
      </c>
      <c r="C17287" t="inlineStr">
        <is>
          <t>Eyebrow Pencil</t>
        </is>
      </c>
      <c r="D17287" t="inlineStr">
        <is>
          <t>Lancôme</t>
        </is>
      </c>
      <c r="E17287" t="n">
        <v>19.74</v>
      </c>
      <c r="F17287" t="n">
        <v>1</v>
      </c>
      <c r="G17287" t="n">
        <v>3</v>
      </c>
      <c r="H17287" s="5">
        <f>HYPERLINK("https://api.qogita.com/variants/link/3614272313545/", "View Product")</f>
        <v/>
      </c>
    </row>
    <row r="17288">
      <c r="A17288" t="inlineStr">
        <is>
          <t>3614272436442</t>
        </is>
      </c>
      <c r="B17288" t="inlineStr">
        <is>
          <t>HR Prodigy Cellglow The Deep Renewing Concentrate</t>
        </is>
      </c>
      <c r="C17288" t="inlineStr">
        <is>
          <t>Glow Serum</t>
        </is>
      </c>
      <c r="D17288" t="inlineStr">
        <is>
          <t>Helena Rubinstein</t>
        </is>
      </c>
      <c r="E17288" t="n">
        <v>202.65</v>
      </c>
      <c r="F17288" t="n">
        <v>1</v>
      </c>
      <c r="G17288" t="n">
        <v>4</v>
      </c>
      <c r="H17288" s="5">
        <f>HYPERLINK("https://api.qogita.com/variants/link/3614272436442/", "View Product")</f>
        <v/>
      </c>
    </row>
    <row r="17289">
      <c r="A17289" t="inlineStr">
        <is>
          <t>3614272446922</t>
        </is>
      </c>
      <c r="B17289" t="inlineStr">
        <is>
          <t>Viktor&amp;Rolf Flowerbomb Midnight Eau De Parfum Spray 50ml</t>
        </is>
      </c>
      <c r="C17289" t="inlineStr">
        <is>
          <t>Eau De Parfum</t>
        </is>
      </c>
      <c r="D17289" t="inlineStr">
        <is>
          <t>Viktor &amp; Rolf</t>
        </is>
      </c>
      <c r="E17289" t="n">
        <v>51.14</v>
      </c>
      <c r="F17289" t="n">
        <v>1</v>
      </c>
      <c r="G17289" t="n">
        <v>12</v>
      </c>
      <c r="H17289" s="5">
        <f>HYPERLINK("https://api.qogita.com/variants/link/3614272446922/", "View Product")</f>
        <v/>
      </c>
    </row>
    <row r="17290">
      <c r="A17290" t="inlineStr">
        <is>
          <t>3614272518339</t>
        </is>
      </c>
      <c r="B17290" t="inlineStr">
        <is>
          <t>Giorgio Armani Eye Tint Chrome Liquid Metallic Color 44 Rose Gold for Women 0.13 oz Eye Shadow</t>
        </is>
      </c>
      <c r="C17290" t="inlineStr">
        <is>
          <t>Eyeshadow</t>
        </is>
      </c>
      <c r="D17290" t="inlineStr">
        <is>
          <t>Giorgio Armani</t>
        </is>
      </c>
      <c r="E17290" t="n">
        <v>27.76</v>
      </c>
      <c r="F17290" t="n">
        <v>1</v>
      </c>
      <c r="G17290" t="n">
        <v>5</v>
      </c>
      <c r="H17290" s="5">
        <f>HYPERLINK("https://api.qogita.com/variants/link/3614272518339/", "View Product")</f>
        <v/>
      </c>
    </row>
    <row r="17291">
      <c r="A17291" t="inlineStr">
        <is>
          <t>3614272520868</t>
        </is>
      </c>
      <c r="B17291" t="inlineStr">
        <is>
          <t>Lancome Mini Gift Set La Vie Est Belle Intensement Soleil Cristal 50ml EDP</t>
        </is>
      </c>
      <c r="C17291" t="inlineStr">
        <is>
          <t>Eau De Parfum</t>
        </is>
      </c>
      <c r="D17291" t="inlineStr">
        <is>
          <t>Lancôme</t>
        </is>
      </c>
      <c r="E17291" t="n">
        <v>50.95</v>
      </c>
      <c r="F17291" t="n">
        <v>1</v>
      </c>
      <c r="G17291" t="n">
        <v>6</v>
      </c>
      <c r="H17291" s="5">
        <f>HYPERLINK("https://api.qogita.com/variants/link/3614272520868/", "View Product")</f>
        <v/>
      </c>
    </row>
    <row r="17292">
      <c r="A17292" t="inlineStr">
        <is>
          <t>3614272540088</t>
        </is>
      </c>
      <c r="B17292" t="inlineStr">
        <is>
          <t>Pacific Lime Absolue Atelier Pure Perfume Spray 6.7 Oz 200ml Authentic France</t>
        </is>
      </c>
      <c r="C17292" t="inlineStr">
        <is>
          <t>Eau De Parfum</t>
        </is>
      </c>
      <c r="D17292" t="inlineStr">
        <is>
          <t>Atelier Cologne</t>
        </is>
      </c>
      <c r="E17292" t="n">
        <v>87.42</v>
      </c>
      <c r="F17292" t="n">
        <v>1</v>
      </c>
      <c r="G17292" t="n">
        <v>2</v>
      </c>
      <c r="H17292" s="5">
        <f>HYPERLINK("https://api.qogita.com/variants/link/3614272540088/", "View Product")</f>
        <v/>
      </c>
    </row>
    <row r="17293">
      <c r="A17293" t="inlineStr">
        <is>
          <t>3614272629370</t>
        </is>
      </c>
      <c r="B17293" t="inlineStr">
        <is>
          <t>Lancme Idole Le Parfum Eau De Parfum 50ml</t>
        </is>
      </c>
      <c r="C17293" t="inlineStr">
        <is>
          <t>Eau De Parfum</t>
        </is>
      </c>
      <c r="D17293" t="inlineStr">
        <is>
          <t>Lancôme</t>
        </is>
      </c>
      <c r="E17293" t="n">
        <v>59.96</v>
      </c>
      <c r="F17293" t="n">
        <v>1</v>
      </c>
      <c r="G17293" t="n">
        <v>45</v>
      </c>
      <c r="H17293" s="5">
        <f>HYPERLINK("https://api.qogita.com/variants/link/3614272629370/", "View Product")</f>
        <v/>
      </c>
    </row>
    <row r="17294">
      <c r="A17294" t="inlineStr">
        <is>
          <t>3614272631885</t>
        </is>
      </c>
      <c r="B17294" t="inlineStr">
        <is>
          <t>Diesel Spirit Of The Brave Eau De Toilette 75ml Men Spray</t>
        </is>
      </c>
      <c r="C17294" t="inlineStr">
        <is>
          <t>Eau De Toilette</t>
        </is>
      </c>
      <c r="D17294" t="inlineStr">
        <is>
          <t>Diesel</t>
        </is>
      </c>
      <c r="E17294" t="n">
        <v>30.48</v>
      </c>
      <c r="F17294" t="n">
        <v>1</v>
      </c>
      <c r="G17294" t="n">
        <v>27</v>
      </c>
      <c r="H17294" s="5">
        <f>HYPERLINK("https://api.qogita.com/variants/link/3614272631885/", "View Product")</f>
        <v/>
      </c>
    </row>
    <row r="17295">
      <c r="A17295" t="inlineStr">
        <is>
          <t>3614272631915</t>
        </is>
      </c>
      <c r="B17295" t="inlineStr">
        <is>
          <t>Diesel Spirit Of The Brave Eau De Toilette 50ml For Men</t>
        </is>
      </c>
      <c r="C17295" t="inlineStr">
        <is>
          <t>Eau De Toilette</t>
        </is>
      </c>
      <c r="D17295" t="inlineStr">
        <is>
          <t>Diesel</t>
        </is>
      </c>
      <c r="E17295" t="n">
        <v>17.84</v>
      </c>
      <c r="F17295" t="n">
        <v>1</v>
      </c>
      <c r="G17295" t="n">
        <v>19</v>
      </c>
      <c r="H17295" s="5">
        <f>HYPERLINK("https://api.qogita.com/variants/link/3614272631915/", "View Product")</f>
        <v/>
      </c>
    </row>
    <row r="17296">
      <c r="A17296" t="inlineStr">
        <is>
          <t>3614272639638</t>
        </is>
      </c>
      <c r="B17296" t="inlineStr">
        <is>
          <t>Lancme Idole Eau De Parfum 25ml</t>
        </is>
      </c>
      <c r="C17296" t="inlineStr">
        <is>
          <t>Eau De Parfum</t>
        </is>
      </c>
      <c r="D17296" t="inlineStr">
        <is>
          <t>Lancôme</t>
        </is>
      </c>
      <c r="E17296" t="n">
        <v>41.93</v>
      </c>
      <c r="F17296" t="n">
        <v>1</v>
      </c>
      <c r="G17296" t="n">
        <v>6</v>
      </c>
      <c r="H17296" s="5">
        <f>HYPERLINK("https://api.qogita.com/variants/link/3614272639638/", "View Product")</f>
        <v/>
      </c>
    </row>
    <row r="17297">
      <c r="A17297" t="inlineStr">
        <is>
          <t>3614272648333</t>
        </is>
      </c>
      <c r="B17297" t="inlineStr">
        <is>
          <t>Yves Saint Laurent La Nuit De L'Homme Eau De Parfum 100ml</t>
        </is>
      </c>
      <c r="C17297" t="inlineStr">
        <is>
          <t>Eau De Parfum</t>
        </is>
      </c>
      <c r="D17297" t="inlineStr">
        <is>
          <t>Yves Saint Laurent</t>
        </is>
      </c>
      <c r="E17297" t="n">
        <v>81.06999999999999</v>
      </c>
      <c r="F17297" t="n">
        <v>1</v>
      </c>
      <c r="G17297" t="n">
        <v>5</v>
      </c>
      <c r="H17297" s="5">
        <f>HYPERLINK("https://api.qogita.com/variants/link/3614272648333/", "View Product")</f>
        <v/>
      </c>
    </row>
    <row r="17298">
      <c r="A17298" t="inlineStr">
        <is>
          <t>3614272688346</t>
        </is>
      </c>
      <c r="B17298" t="inlineStr">
        <is>
          <t>Biotherm Blue Therapy Amber Algae Night Cream 50ml</t>
        </is>
      </c>
      <c r="C17298" t="inlineStr">
        <is>
          <t>Night Cream</t>
        </is>
      </c>
      <c r="D17298" t="inlineStr">
        <is>
          <t>Biotherm</t>
        </is>
      </c>
      <c r="E17298" t="n">
        <v>64.93000000000001</v>
      </c>
      <c r="F17298" t="n">
        <v>1</v>
      </c>
      <c r="G17298" t="n">
        <v>4</v>
      </c>
      <c r="H17298" s="5">
        <f>HYPERLINK("https://api.qogita.com/variants/link/3614272688346/", "View Product")</f>
        <v/>
      </c>
    </row>
    <row r="17299">
      <c r="A17299" t="inlineStr">
        <is>
          <t>3614272742536</t>
        </is>
      </c>
      <c r="B17299" t="inlineStr">
        <is>
          <t>Giorgio Armani Lip Maestro 102 Liquid Lipstick</t>
        </is>
      </c>
      <c r="C17299" t="inlineStr">
        <is>
          <t>Lipstick</t>
        </is>
      </c>
      <c r="D17299" t="inlineStr">
        <is>
          <t>Giorgio Armani</t>
        </is>
      </c>
      <c r="E17299" t="n">
        <v>31.96</v>
      </c>
      <c r="F17299" t="n">
        <v>1</v>
      </c>
      <c r="G17299" t="n">
        <v>3</v>
      </c>
      <c r="H17299" s="5">
        <f>HYPERLINK("https://api.qogita.com/variants/link/3614272742536/", "View Product")</f>
        <v/>
      </c>
    </row>
    <row r="17300">
      <c r="A17300" t="inlineStr">
        <is>
          <t>3614272761438</t>
        </is>
      </c>
      <c r="B17300" t="inlineStr">
        <is>
          <t>Valentino Donna Born In Roma Eau De Parfum Spray 50ml</t>
        </is>
      </c>
      <c r="C17300" t="inlineStr">
        <is>
          <t>Eau De Parfum</t>
        </is>
      </c>
      <c r="D17300" t="inlineStr">
        <is>
          <t>Valentino</t>
        </is>
      </c>
      <c r="E17300" t="n">
        <v>72.18000000000001</v>
      </c>
      <c r="F17300" t="n">
        <v>1</v>
      </c>
      <c r="G17300" t="n">
        <v>23</v>
      </c>
      <c r="H17300" s="5">
        <f>HYPERLINK("https://api.qogita.com/variants/link/3614272761438/", "View Product")</f>
        <v/>
      </c>
    </row>
    <row r="17301">
      <c r="A17301" t="inlineStr">
        <is>
          <t>3614272761452</t>
        </is>
      </c>
      <c r="B17301" t="inlineStr">
        <is>
          <t>Valentino Uomo Born In Roma Eau De Toilette 50ml</t>
        </is>
      </c>
      <c r="C17301" t="inlineStr">
        <is>
          <t>Eau De Toilette</t>
        </is>
      </c>
      <c r="D17301" t="inlineStr">
        <is>
          <t>Valentino</t>
        </is>
      </c>
      <c r="E17301" t="n">
        <v>55.37</v>
      </c>
      <c r="F17301" t="n">
        <v>1</v>
      </c>
      <c r="G17301" t="n">
        <v>15</v>
      </c>
      <c r="H17301" s="5">
        <f>HYPERLINK("https://api.qogita.com/variants/link/3614272761452/", "View Product")</f>
        <v/>
      </c>
    </row>
    <row r="17302">
      <c r="A17302" t="inlineStr">
        <is>
          <t>3614272828001</t>
        </is>
      </c>
      <c r="B17302" t="inlineStr">
        <is>
          <t>Lancme Teint Idole Ultra Wear Stick 035 Beige Dor Longlasting Makeup</t>
        </is>
      </c>
      <c r="C17302" t="inlineStr">
        <is>
          <t>Foundation</t>
        </is>
      </c>
      <c r="D17302" t="inlineStr">
        <is>
          <t>Lancôme</t>
        </is>
      </c>
      <c r="E17302" t="n">
        <v>34.84</v>
      </c>
      <c r="F17302" t="n">
        <v>1</v>
      </c>
      <c r="G17302" t="n">
        <v>2</v>
      </c>
      <c r="H17302" s="5">
        <f>HYPERLINK("https://api.qogita.com/variants/link/3614272828001/", "View Product")</f>
        <v/>
      </c>
    </row>
    <row r="17303">
      <c r="A17303" t="inlineStr">
        <is>
          <t>3614272872370</t>
        </is>
      </c>
      <c r="B17303" t="inlineStr">
        <is>
          <t>Viktor &amp; Rolf Flowerbomb Dew Eau De Parfum 50ml For Women</t>
        </is>
      </c>
      <c r="C17303" t="inlineStr">
        <is>
          <t>Eau De Parfum</t>
        </is>
      </c>
      <c r="D17303" t="inlineStr">
        <is>
          <t>Viktor &amp; Rolf</t>
        </is>
      </c>
      <c r="E17303" t="n">
        <v>38.59</v>
      </c>
      <c r="F17303" t="n">
        <v>1</v>
      </c>
      <c r="G17303" t="n">
        <v>6</v>
      </c>
      <c r="H17303" s="5">
        <f>HYPERLINK("https://api.qogita.com/variants/link/3614272872370/", "View Product")</f>
        <v/>
      </c>
    </row>
    <row r="17304">
      <c r="A17304" t="inlineStr">
        <is>
          <t>3614272872387</t>
        </is>
      </c>
      <c r="B17304" t="inlineStr">
        <is>
          <t>Viktor &amp; Rolf Flowerbomb Dew Eau De Parfum 100ml For Women</t>
        </is>
      </c>
      <c r="C17304" t="inlineStr">
        <is>
          <t>Eau De Parfum</t>
        </is>
      </c>
      <c r="D17304" t="inlineStr">
        <is>
          <t>Viktor &amp; Rolf</t>
        </is>
      </c>
      <c r="E17304" t="n">
        <v>62.49</v>
      </c>
      <c r="F17304" t="n">
        <v>1</v>
      </c>
      <c r="G17304" t="n">
        <v>8</v>
      </c>
      <c r="H17304" s="5">
        <f>HYPERLINK("https://api.qogita.com/variants/link/3614272872387/", "View Product")</f>
        <v/>
      </c>
    </row>
    <row r="17305">
      <c r="A17305" t="inlineStr">
        <is>
          <t>3614272899704</t>
        </is>
      </c>
      <c r="B17305" t="inlineStr">
        <is>
          <t>Yves Saint Laurent Mon Paris Intensement Eau De Parfum 50ml Women Spray</t>
        </is>
      </c>
      <c r="C17305" t="inlineStr">
        <is>
          <t>Eau De Parfum</t>
        </is>
      </c>
      <c r="D17305" t="inlineStr">
        <is>
          <t>Yves Saint Laurent</t>
        </is>
      </c>
      <c r="E17305" t="n">
        <v>82.78</v>
      </c>
      <c r="F17305" t="n">
        <v>1</v>
      </c>
      <c r="G17305" t="n">
        <v>2</v>
      </c>
      <c r="H17305" s="5">
        <f>HYPERLINK("https://api.qogita.com/variants/link/3614272899704/", "View Product")</f>
        <v/>
      </c>
    </row>
    <row r="17306">
      <c r="A17306" t="inlineStr">
        <is>
          <t>3614272907652</t>
        </is>
      </c>
      <c r="B17306" t="inlineStr">
        <is>
          <t>Giorgio Armani My Way Pour Femme Eau De Parfum Spray 30ml</t>
        </is>
      </c>
      <c r="C17306" t="inlineStr">
        <is>
          <t>Eau De Parfum</t>
        </is>
      </c>
      <c r="D17306" t="inlineStr">
        <is>
          <t>Giorgio Armani</t>
        </is>
      </c>
      <c r="E17306" t="n">
        <v>56.82</v>
      </c>
      <c r="F17306" t="n">
        <v>1</v>
      </c>
      <c r="G17306" t="n">
        <v>12</v>
      </c>
      <c r="H17306" s="5">
        <f>HYPERLINK("https://api.qogita.com/variants/link/3614272907652/", "View Product")</f>
        <v/>
      </c>
    </row>
    <row r="17307">
      <c r="A17307" t="inlineStr">
        <is>
          <t>3614272907690</t>
        </is>
      </c>
      <c r="B17307" t="inlineStr">
        <is>
          <t>Giorgio Armani My Way Eau De Parfum 90ml Spray</t>
        </is>
      </c>
      <c r="C17307" t="inlineStr">
        <is>
          <t>Eau De Parfum</t>
        </is>
      </c>
      <c r="D17307" t="inlineStr">
        <is>
          <t>Giorgio Armani</t>
        </is>
      </c>
      <c r="E17307" t="n">
        <v>85.65000000000001</v>
      </c>
      <c r="F17307" t="n">
        <v>1</v>
      </c>
      <c r="G17307" t="n">
        <v>11</v>
      </c>
      <c r="H17307" s="5">
        <f>HYPERLINK("https://api.qogita.com/variants/link/3614272907690/", "View Product")</f>
        <v/>
      </c>
    </row>
    <row r="17308">
      <c r="A17308" t="inlineStr">
        <is>
          <t>3614272941618</t>
        </is>
      </c>
      <c r="B17308" t="inlineStr">
        <is>
          <t>Giorgio Armani Luminous Silk Perfect Glow Flawless Foundation 30ml Shade 1.5</t>
        </is>
      </c>
      <c r="C17308" t="inlineStr">
        <is>
          <t>Foundation</t>
        </is>
      </c>
      <c r="D17308" t="inlineStr">
        <is>
          <t>Giorgio Armani</t>
        </is>
      </c>
      <c r="E17308" t="n">
        <v>44.58</v>
      </c>
      <c r="F17308" t="n">
        <v>1</v>
      </c>
      <c r="G17308" t="n">
        <v>19</v>
      </c>
      <c r="H17308" s="5">
        <f>HYPERLINK("https://api.qogita.com/variants/link/3614272941618/", "View Product")</f>
        <v/>
      </c>
    </row>
    <row r="17309">
      <c r="A17309" t="inlineStr">
        <is>
          <t>3614272951617</t>
        </is>
      </c>
      <c r="B17309" t="inlineStr">
        <is>
          <t>Giorgio Armani Luminous Silk Multi-Purpose Glow Concealer 5 12ml</t>
        </is>
      </c>
      <c r="C17309" t="inlineStr">
        <is>
          <t>Concealer</t>
        </is>
      </c>
      <c r="D17309" t="inlineStr">
        <is>
          <t>Giorgio Armani</t>
        </is>
      </c>
      <c r="E17309" t="n">
        <v>31.49</v>
      </c>
      <c r="F17309" t="n">
        <v>1</v>
      </c>
      <c r="G17309" t="n">
        <v>20</v>
      </c>
      <c r="H17309" s="5">
        <f>HYPERLINK("https://api.qogita.com/variants/link/3614272951617/", "View Product")</f>
        <v/>
      </c>
    </row>
    <row r="17310">
      <c r="A17310" t="inlineStr">
        <is>
          <t>3614272951655</t>
        </is>
      </c>
      <c r="B17310" t="inlineStr">
        <is>
          <t>Armani Luminous Silk Concealer 12 Ml</t>
        </is>
      </c>
      <c r="C17310" t="inlineStr">
        <is>
          <t>Concealer</t>
        </is>
      </c>
      <c r="D17310" t="inlineStr">
        <is>
          <t>Armani</t>
        </is>
      </c>
      <c r="E17310" t="n">
        <v>31.6</v>
      </c>
      <c r="F17310" t="n">
        <v>1</v>
      </c>
      <c r="G17310" t="n">
        <v>13</v>
      </c>
      <c r="H17310" s="5">
        <f>HYPERLINK("https://api.qogita.com/variants/link/3614272951655/", "View Product")</f>
        <v/>
      </c>
    </row>
    <row r="17311">
      <c r="A17311" t="inlineStr">
        <is>
          <t>3614272964679</t>
        </is>
      </c>
      <c r="B17311" t="inlineStr">
        <is>
          <t>Lancome La Vie Est Belle Intensement Eau De Parfum Spray 50ml</t>
        </is>
      </c>
      <c r="C17311" t="inlineStr">
        <is>
          <t>Eau De Parfum</t>
        </is>
      </c>
      <c r="D17311" t="inlineStr">
        <is>
          <t>Lancôme</t>
        </is>
      </c>
      <c r="E17311" t="n">
        <v>85.70999999999999</v>
      </c>
      <c r="F17311" t="n">
        <v>1</v>
      </c>
      <c r="G17311" t="n">
        <v>24</v>
      </c>
      <c r="H17311" s="5">
        <f>HYPERLINK("https://api.qogita.com/variants/link/3614272964679/", "View Product")</f>
        <v/>
      </c>
    </row>
    <row r="17312">
      <c r="A17312" t="inlineStr">
        <is>
          <t>3614272968165</t>
        </is>
      </c>
      <c r="B17312" t="inlineStr">
        <is>
          <t>Giorgio Armani Fluid Sheer Glow Enhancer 18 Ml</t>
        </is>
      </c>
      <c r="C17312" t="inlineStr">
        <is>
          <t>Highlighter</t>
        </is>
      </c>
      <c r="D17312" t="inlineStr">
        <is>
          <t>Giorgio Armani</t>
        </is>
      </c>
      <c r="E17312" t="n">
        <v>31.79</v>
      </c>
      <c r="F17312" t="n">
        <v>1</v>
      </c>
      <c r="G17312" t="n">
        <v>12</v>
      </c>
      <c r="H17312" s="5">
        <f>HYPERLINK("https://api.qogita.com/variants/link/3614272968165/", "View Product")</f>
        <v/>
      </c>
    </row>
    <row r="17313">
      <c r="A17313" t="inlineStr">
        <is>
          <t>3614272992054</t>
        </is>
      </c>
      <c r="B17313" t="inlineStr">
        <is>
          <t>Lancome La Vie Est Belle Intensement Eau De Parfum Spray 100ml</t>
        </is>
      </c>
      <c r="C17313" t="inlineStr">
        <is>
          <t>Eau De Parfum</t>
        </is>
      </c>
      <c r="D17313" t="inlineStr">
        <is>
          <t>Lancôme</t>
        </is>
      </c>
      <c r="E17313" t="n">
        <v>95.36</v>
      </c>
      <c r="F17313" t="n">
        <v>1</v>
      </c>
      <c r="G17313" t="n">
        <v>33</v>
      </c>
      <c r="H17313" s="5">
        <f>HYPERLINK("https://api.qogita.com/variants/link/3614272992054/", "View Product")</f>
        <v/>
      </c>
    </row>
    <row r="17314">
      <c r="A17314" t="inlineStr">
        <is>
          <t>3614273014830</t>
        </is>
      </c>
      <c r="B17314" t="inlineStr">
        <is>
          <t>Lancme Cils Booster Lash Revitalizing Serum 4ml</t>
        </is>
      </c>
      <c r="C17314" t="inlineStr">
        <is>
          <t>Eyelash Serum &amp; Eyebrow Serum</t>
        </is>
      </c>
      <c r="D17314" t="inlineStr">
        <is>
          <t>Lancôme</t>
        </is>
      </c>
      <c r="E17314" t="n">
        <v>38.19</v>
      </c>
      <c r="F17314" t="n">
        <v>1</v>
      </c>
      <c r="G17314" t="n">
        <v>2</v>
      </c>
      <c r="H17314" s="5">
        <f>HYPERLINK("https://api.qogita.com/variants/link/3614273014830/", "View Product")</f>
        <v/>
      </c>
    </row>
    <row r="17315">
      <c r="A17315" t="inlineStr">
        <is>
          <t>3614273042031</t>
        </is>
      </c>
      <c r="B17315" t="inlineStr">
        <is>
          <t>Yves Saint Laurent Y for Men Eau De Parfum Spray and Eau De Toilet Spray</t>
        </is>
      </c>
      <c r="C17315" t="inlineStr">
        <is>
          <t>Eau De Parfum</t>
        </is>
      </c>
      <c r="D17315" t="inlineStr">
        <is>
          <t>Yves Saint Laurent</t>
        </is>
      </c>
      <c r="E17315" t="n">
        <v>106.24</v>
      </c>
      <c r="F17315" t="n">
        <v>1</v>
      </c>
      <c r="G17315" t="n">
        <v>5</v>
      </c>
      <c r="H17315" s="5">
        <f>HYPERLINK("https://api.qogita.com/variants/link/3614273042031/", "View Product")</f>
        <v/>
      </c>
    </row>
    <row r="17316">
      <c r="A17316" t="inlineStr">
        <is>
          <t>3614273067881</t>
        </is>
      </c>
      <c r="B17316" t="inlineStr">
        <is>
          <t>Viktor&amp;Rolf Flowerbomb In The Sky Eau De Parfum Spray 50ml</t>
        </is>
      </c>
      <c r="C17316" t="inlineStr">
        <is>
          <t>Eau De Parfum</t>
        </is>
      </c>
      <c r="D17316" t="inlineStr">
        <is>
          <t>Viktor &amp; Rolf</t>
        </is>
      </c>
      <c r="E17316" t="n">
        <v>57.76</v>
      </c>
      <c r="F17316" t="n">
        <v>1</v>
      </c>
      <c r="G17316" t="n">
        <v>8</v>
      </c>
      <c r="H17316" s="5">
        <f>HYPERLINK("https://api.qogita.com/variants/link/3614273067881/", "View Product")</f>
        <v/>
      </c>
    </row>
    <row r="17317">
      <c r="A17317" t="inlineStr">
        <is>
          <t>3614273069533</t>
        </is>
      </c>
      <c r="B17317" t="inlineStr">
        <is>
          <t>Yves Saint Laurent Ysl Libre Eau De Parfum Intense 30ml</t>
        </is>
      </c>
      <c r="C17317" t="inlineStr">
        <is>
          <t>Eau De Parfum</t>
        </is>
      </c>
      <c r="D17317" t="inlineStr">
        <is>
          <t>Yves Saint Laurent</t>
        </is>
      </c>
      <c r="E17317" t="n">
        <v>63.21</v>
      </c>
      <c r="F17317" t="n">
        <v>1</v>
      </c>
      <c r="G17317" t="n">
        <v>33</v>
      </c>
      <c r="H17317" s="5">
        <f>HYPERLINK("https://api.qogita.com/variants/link/3614273069533/", "View Product")</f>
        <v/>
      </c>
    </row>
    <row r="17318">
      <c r="A17318" t="inlineStr">
        <is>
          <t>3614273070232</t>
        </is>
      </c>
      <c r="B17318" t="inlineStr">
        <is>
          <t>Armani Emporio Armani He Eau De Toilette Spray 50ml For Men</t>
        </is>
      </c>
      <c r="C17318" t="inlineStr">
        <is>
          <t>Eau De Toilette</t>
        </is>
      </c>
      <c r="D17318" t="inlineStr">
        <is>
          <t>Armani</t>
        </is>
      </c>
      <c r="E17318" t="n">
        <v>38.21</v>
      </c>
      <c r="F17318" t="n">
        <v>1</v>
      </c>
      <c r="G17318" t="n">
        <v>65</v>
      </c>
      <c r="H17318" s="5">
        <f>HYPERLINK("https://api.qogita.com/variants/link/3614273070232/", "View Product")</f>
        <v/>
      </c>
    </row>
    <row r="17319">
      <c r="A17319" t="inlineStr">
        <is>
          <t>3614273074575</t>
        </is>
      </c>
      <c r="B17319" t="inlineStr">
        <is>
          <t>Lancme Teint Idole Ultra Wear All Over Concealer 13 Ml 320 Bisque Warm</t>
        </is>
      </c>
      <c r="C17319" t="inlineStr">
        <is>
          <t>Concealer</t>
        </is>
      </c>
      <c r="D17319" t="inlineStr">
        <is>
          <t>Lancôme</t>
        </is>
      </c>
      <c r="E17319" t="n">
        <v>25.61</v>
      </c>
      <c r="F17319" t="n">
        <v>1</v>
      </c>
      <c r="G17319" t="n">
        <v>3</v>
      </c>
      <c r="H17319" s="5">
        <f>HYPERLINK("https://api.qogita.com/variants/link/3614273074575/", "View Product")</f>
        <v/>
      </c>
    </row>
    <row r="17320">
      <c r="A17320" t="inlineStr">
        <is>
          <t>3614273128971</t>
        </is>
      </c>
      <c r="B17320" t="inlineStr">
        <is>
          <t>Yves Saint Laurent Perfume Spray 200ml</t>
        </is>
      </c>
      <c r="C17320" t="inlineStr">
        <is>
          <t>Eau De Parfum</t>
        </is>
      </c>
      <c r="D17320" t="inlineStr">
        <is>
          <t>Yves Saint Laurent</t>
        </is>
      </c>
      <c r="E17320" t="n">
        <v>116.63</v>
      </c>
      <c r="F17320" t="n">
        <v>1</v>
      </c>
      <c r="G17320" t="n">
        <v>5</v>
      </c>
      <c r="H17320" s="5">
        <f>HYPERLINK("https://api.qogita.com/variants/link/3614273128971/", "View Product")</f>
        <v/>
      </c>
    </row>
    <row r="17321">
      <c r="A17321" t="inlineStr">
        <is>
          <t>3614273162937</t>
        </is>
      </c>
      <c r="B17321" t="inlineStr">
        <is>
          <t>Atelier Cologne Lemon Island Eau De Parfum 100ml Unisex Spray</t>
        </is>
      </c>
      <c r="C17321" t="inlineStr">
        <is>
          <t>Eau De Parfum</t>
        </is>
      </c>
      <c r="D17321" t="inlineStr">
        <is>
          <t>Atelier Cologne</t>
        </is>
      </c>
      <c r="E17321" t="n">
        <v>52.72</v>
      </c>
      <c r="F17321" t="n">
        <v>1</v>
      </c>
      <c r="G17321" t="n">
        <v>7</v>
      </c>
      <c r="H17321" s="5">
        <f>HYPERLINK("https://api.qogita.com/variants/link/3614273162937/", "View Product")</f>
        <v/>
      </c>
    </row>
    <row r="17322">
      <c r="A17322" t="inlineStr">
        <is>
          <t>3614273261333</t>
        </is>
      </c>
      <c r="B17322" t="inlineStr">
        <is>
          <t>Valentino Donna Born In Roma Yellow Dream Eau De Parfum Spray 30 Ml</t>
        </is>
      </c>
      <c r="C17322" t="inlineStr">
        <is>
          <t>Eau De Parfum</t>
        </is>
      </c>
      <c r="D17322" t="inlineStr">
        <is>
          <t>Valentino</t>
        </is>
      </c>
      <c r="E17322" t="n">
        <v>51.28</v>
      </c>
      <c r="F17322" t="n">
        <v>1</v>
      </c>
      <c r="G17322" t="n">
        <v>59</v>
      </c>
      <c r="H17322" s="5">
        <f>HYPERLINK("https://api.qogita.com/variants/link/3614273261333/", "View Product")</f>
        <v/>
      </c>
    </row>
    <row r="17323">
      <c r="A17323" t="inlineStr">
        <is>
          <t>3614273262484</t>
        </is>
      </c>
      <c r="B17323" t="inlineStr">
        <is>
          <t>Biotherm Blue Proretinol Multicorrect Cream 50ml</t>
        </is>
      </c>
      <c r="C17323" t="inlineStr">
        <is>
          <t>Anti-Aging Facial Care</t>
        </is>
      </c>
      <c r="D17323" t="inlineStr">
        <is>
          <t>Biotherm</t>
        </is>
      </c>
      <c r="E17323" t="n">
        <v>58.29</v>
      </c>
      <c r="F17323" t="n">
        <v>1</v>
      </c>
      <c r="G17323" t="n">
        <v>14</v>
      </c>
      <c r="H17323" s="5">
        <f>HYPERLINK("https://api.qogita.com/variants/link/3614273262484/", "View Product")</f>
        <v/>
      </c>
    </row>
    <row r="17324">
      <c r="A17324" t="inlineStr">
        <is>
          <t>3614273277693</t>
        </is>
      </c>
      <c r="B17324" t="inlineStr">
        <is>
          <t>Diesel Fuel For Life For Men Eau De Toilette Spray 125ml</t>
        </is>
      </c>
      <c r="C17324" t="inlineStr">
        <is>
          <t>Eau De Toilette</t>
        </is>
      </c>
      <c r="D17324" t="inlineStr">
        <is>
          <t>Diesel</t>
        </is>
      </c>
      <c r="E17324" t="n">
        <v>30.06</v>
      </c>
      <c r="F17324" t="n">
        <v>1</v>
      </c>
      <c r="G17324" t="n">
        <v>87</v>
      </c>
      <c r="H17324" s="5">
        <f>HYPERLINK("https://api.qogita.com/variants/link/3614273277693/", "View Product")</f>
        <v/>
      </c>
    </row>
    <row r="17325">
      <c r="A17325" t="inlineStr">
        <is>
          <t>3614273307277</t>
        </is>
      </c>
      <c r="B17325" t="inlineStr">
        <is>
          <t>Lancme L'Absolu Rouge Cream Lipstick 07 Bouquet Nocturne</t>
        </is>
      </c>
      <c r="C17325" t="inlineStr">
        <is>
          <t>Lipstick</t>
        </is>
      </c>
      <c r="D17325" t="inlineStr">
        <is>
          <t>Lancôme</t>
        </is>
      </c>
      <c r="E17325" t="n">
        <v>30.78</v>
      </c>
      <c r="F17325" t="n">
        <v>1</v>
      </c>
      <c r="G17325" t="n">
        <v>4</v>
      </c>
      <c r="H17325" s="5">
        <f>HYPERLINK("https://api.qogita.com/variants/link/3614273307277/", "View Product")</f>
        <v/>
      </c>
    </row>
    <row r="17326">
      <c r="A17326" t="inlineStr">
        <is>
          <t>3614273321792</t>
        </is>
      </c>
      <c r="B17326" t="inlineStr">
        <is>
          <t>Yves Saint Laurent Ysl Libre Eau De Toilette 50ml</t>
        </is>
      </c>
      <c r="C17326" t="inlineStr">
        <is>
          <t>Eau De Toilette</t>
        </is>
      </c>
      <c r="D17326" t="inlineStr">
        <is>
          <t>Yves Saint Laurent</t>
        </is>
      </c>
      <c r="E17326" t="n">
        <v>73.48</v>
      </c>
      <c r="F17326" t="n">
        <v>1</v>
      </c>
      <c r="G17326" t="n">
        <v>32</v>
      </c>
      <c r="H17326" s="5">
        <f>HYPERLINK("https://api.qogita.com/variants/link/3614273321792/", "View Product")</f>
        <v/>
      </c>
    </row>
    <row r="17327">
      <c r="A17327" t="inlineStr">
        <is>
          <t>3614273336383</t>
        </is>
      </c>
      <c r="B17327" t="inlineStr">
        <is>
          <t>Giorgio Armani Stronger With You Absolutely Eau De Parfum 100ml</t>
        </is>
      </c>
      <c r="C17327" t="inlineStr">
        <is>
          <t>Eau De Parfum</t>
        </is>
      </c>
      <c r="D17327" t="inlineStr">
        <is>
          <t>Giorgio Armani</t>
        </is>
      </c>
      <c r="E17327" t="n">
        <v>79.5</v>
      </c>
      <c r="F17327" t="n">
        <v>1</v>
      </c>
      <c r="G17327" t="n">
        <v>70</v>
      </c>
      <c r="H17327" s="5">
        <f>HYPERLINK("https://api.qogita.com/variants/link/3614273336383/", "View Product")</f>
        <v/>
      </c>
    </row>
    <row r="17328">
      <c r="A17328" t="inlineStr">
        <is>
          <t>3614273356190</t>
        </is>
      </c>
      <c r="B17328" t="inlineStr">
        <is>
          <t>Armani Power Fabric Concealer 6 Ml</t>
        </is>
      </c>
      <c r="C17328" t="inlineStr">
        <is>
          <t>Concealer</t>
        </is>
      </c>
      <c r="D17328" t="inlineStr">
        <is>
          <t>Armani</t>
        </is>
      </c>
      <c r="E17328" t="n">
        <v>31.96</v>
      </c>
      <c r="F17328" t="n">
        <v>1</v>
      </c>
      <c r="G17328" t="n">
        <v>8</v>
      </c>
      <c r="H17328" s="5">
        <f>HYPERLINK("https://api.qogita.com/variants/link/3614273356190/", "View Product")</f>
        <v/>
      </c>
    </row>
    <row r="17329">
      <c r="A17329" t="inlineStr">
        <is>
          <t>3614273361088</t>
        </is>
      </c>
      <c r="B17329" t="inlineStr">
        <is>
          <t>Yves Saint Laurent The Slim Velvet Radical Matte Lipstick 307 Fiery Spice 2 G</t>
        </is>
      </c>
      <c r="C17329" t="inlineStr">
        <is>
          <t>Lipstick</t>
        </is>
      </c>
      <c r="D17329" t="inlineStr">
        <is>
          <t>Yves Saint Laurent</t>
        </is>
      </c>
      <c r="E17329" t="n">
        <v>27.66</v>
      </c>
      <c r="F17329" t="n">
        <v>1</v>
      </c>
      <c r="G17329" t="n">
        <v>2</v>
      </c>
      <c r="H17329" s="5">
        <f>HYPERLINK("https://api.qogita.com/variants/link/3614273361088/", "View Product")</f>
        <v/>
      </c>
    </row>
    <row r="17330">
      <c r="A17330" t="inlineStr">
        <is>
          <t>3614273393393</t>
        </is>
      </c>
      <c r="B17330" t="inlineStr">
        <is>
          <t>Biotherm Aquasource Hyalu Plump Gel 50ml Hydrating Gel For Normal And Combination Skin</t>
        </is>
      </c>
      <c r="C17330" t="inlineStr">
        <is>
          <t>Face Cream</t>
        </is>
      </c>
      <c r="D17330" t="inlineStr">
        <is>
          <t>Biotherm</t>
        </is>
      </c>
      <c r="E17330" t="n">
        <v>24.81</v>
      </c>
      <c r="F17330" t="n">
        <v>1</v>
      </c>
      <c r="G17330" t="n">
        <v>3</v>
      </c>
      <c r="H17330" s="5">
        <f>HYPERLINK("https://api.qogita.com/variants/link/3614273393393/", "View Product")</f>
        <v/>
      </c>
    </row>
    <row r="17331">
      <c r="A17331" t="inlineStr">
        <is>
          <t>3614273427555</t>
        </is>
      </c>
      <c r="B17331" t="inlineStr">
        <is>
          <t>Giorgio Armani Luminous Silk Glow Fusion Powder 6.5 Medium Natural Concealer for Women 0.12 oz</t>
        </is>
      </c>
      <c r="C17331" t="inlineStr">
        <is>
          <t>Concealer</t>
        </is>
      </c>
      <c r="D17331" t="inlineStr">
        <is>
          <t>Giorgio Armani</t>
        </is>
      </c>
      <c r="E17331" t="n">
        <v>43.09</v>
      </c>
      <c r="F17331" t="n">
        <v>1</v>
      </c>
      <c r="G17331" t="n">
        <v>10</v>
      </c>
      <c r="H17331" s="5">
        <f>HYPERLINK("https://api.qogita.com/variants/link/3614273427555/", "View Product")</f>
        <v/>
      </c>
    </row>
    <row r="17332">
      <c r="A17332" t="inlineStr">
        <is>
          <t>3614273431200</t>
        </is>
      </c>
      <c r="B17332" t="inlineStr">
        <is>
          <t>Lancme Hypnse Palette 5 Couleurs Eye Shadow Palette 17 Bronze Absolu 4 G</t>
        </is>
      </c>
      <c r="C17332" t="inlineStr">
        <is>
          <t>Eyeshadow</t>
        </is>
      </c>
      <c r="D17332" t="inlineStr">
        <is>
          <t>Lancôme</t>
        </is>
      </c>
      <c r="E17332" t="n">
        <v>46.02</v>
      </c>
      <c r="F17332" t="n">
        <v>1</v>
      </c>
      <c r="G17332" t="n">
        <v>4</v>
      </c>
      <c r="H17332" s="5">
        <f>HYPERLINK("https://api.qogita.com/variants/link/3614273431200/", "View Product")</f>
        <v/>
      </c>
    </row>
    <row r="17333">
      <c r="A17333" t="inlineStr">
        <is>
          <t>3614273436373</t>
        </is>
      </c>
      <c r="B17333" t="inlineStr">
        <is>
          <t>Lancme Le Stylo Waterproof Eyeliner 03 Chocolat Waterproof Eyeliner</t>
        </is>
      </c>
      <c r="C17333" t="inlineStr">
        <is>
          <t>Eyeliner</t>
        </is>
      </c>
      <c r="D17333" t="inlineStr">
        <is>
          <t>Lancôme</t>
        </is>
      </c>
      <c r="E17333" t="n">
        <v>22.23</v>
      </c>
      <c r="F17333" t="n">
        <v>1</v>
      </c>
      <c r="G17333" t="n">
        <v>8</v>
      </c>
      <c r="H17333" s="5">
        <f>HYPERLINK("https://api.qogita.com/variants/link/3614273436373/", "View Product")</f>
        <v/>
      </c>
    </row>
    <row r="17334">
      <c r="A17334" t="inlineStr">
        <is>
          <t>3614273436656</t>
        </is>
      </c>
      <c r="B17334" t="inlineStr">
        <is>
          <t>Lancme Drama Liquid Pencil 24h 01 Caf Noir Gel Eye Pencil</t>
        </is>
      </c>
      <c r="C17334" t="inlineStr">
        <is>
          <t>Eye Pencil</t>
        </is>
      </c>
      <c r="D17334" t="inlineStr">
        <is>
          <t>Lancôme</t>
        </is>
      </c>
      <c r="E17334" t="n">
        <v>19.82</v>
      </c>
      <c r="F17334" t="n">
        <v>1</v>
      </c>
      <c r="G17334" t="n">
        <v>5</v>
      </c>
      <c r="H17334" s="5">
        <f>HYPERLINK("https://api.qogita.com/variants/link/3614273436656/", "View Product")</f>
        <v/>
      </c>
    </row>
    <row r="17335">
      <c r="A17335" t="inlineStr">
        <is>
          <t>3614273474641</t>
        </is>
      </c>
      <c r="B17335" t="inlineStr">
        <is>
          <t>Guy Laroche Drakkar Intense Eau De Parfum for Men 100ml</t>
        </is>
      </c>
      <c r="C17335" t="inlineStr">
        <is>
          <t>Eau De Parfum</t>
        </is>
      </c>
      <c r="D17335" t="inlineStr">
        <is>
          <t>Guy Laroche</t>
        </is>
      </c>
      <c r="E17335" t="n">
        <v>12.87</v>
      </c>
      <c r="F17335" t="n">
        <v>1</v>
      </c>
      <c r="G17335" t="n">
        <v>843</v>
      </c>
      <c r="H17335" s="5">
        <f>HYPERLINK("https://api.qogita.com/variants/link/3614273474641/", "View Product")</f>
        <v/>
      </c>
    </row>
    <row r="17336">
      <c r="A17336" t="inlineStr">
        <is>
          <t>3614273474658</t>
        </is>
      </c>
      <c r="B17336" t="inlineStr">
        <is>
          <t>Guy Laroche Drakkar Noir Intense Eau De Parfum Spray 50ml</t>
        </is>
      </c>
      <c r="C17336" t="inlineStr">
        <is>
          <t>Eau De Parfum</t>
        </is>
      </c>
      <c r="D17336" t="inlineStr">
        <is>
          <t>Guy Laroche</t>
        </is>
      </c>
      <c r="E17336" t="n">
        <v>11.26</v>
      </c>
      <c r="F17336" t="n">
        <v>1</v>
      </c>
      <c r="G17336" t="n">
        <v>43</v>
      </c>
      <c r="H17336" s="5">
        <f>HYPERLINK("https://api.qogita.com/variants/link/3614273474658/", "View Product")</f>
        <v/>
      </c>
    </row>
    <row r="17337">
      <c r="A17337" t="inlineStr">
        <is>
          <t>3614273476782</t>
        </is>
      </c>
      <c r="B17337" t="inlineStr">
        <is>
          <t>Lancome Idole Aura Eau De Parfum Spray Floral 25ml</t>
        </is>
      </c>
      <c r="C17337" t="inlineStr">
        <is>
          <t>Eau De Parfum</t>
        </is>
      </c>
      <c r="D17337" t="inlineStr">
        <is>
          <t>Lancôme</t>
        </is>
      </c>
      <c r="E17337" t="n">
        <v>37.84</v>
      </c>
      <c r="F17337" t="n">
        <v>1</v>
      </c>
      <c r="G17337" t="n">
        <v>7</v>
      </c>
      <c r="H17337" s="5">
        <f>HYPERLINK("https://api.qogita.com/variants/link/3614273476782/", "View Product")</f>
        <v/>
      </c>
    </row>
    <row r="17338">
      <c r="A17338" t="inlineStr">
        <is>
          <t>3614273490566</t>
        </is>
      </c>
      <c r="B17338" t="inlineStr">
        <is>
          <t>Biotherm Waterlover Hydrating Sun Milk Spf 50 200 Ml</t>
        </is>
      </c>
      <c r="C17338" t="inlineStr">
        <is>
          <t>Body Sun Protection</t>
        </is>
      </c>
      <c r="D17338" t="inlineStr">
        <is>
          <t>Biotherm</t>
        </is>
      </c>
      <c r="E17338" t="n">
        <v>26.3</v>
      </c>
      <c r="F17338" t="n">
        <v>1</v>
      </c>
      <c r="G17338" t="n">
        <v>4</v>
      </c>
      <c r="H17338" s="5">
        <f>HYPERLINK("https://api.qogita.com/variants/link/3614273490566/", "View Product")</f>
        <v/>
      </c>
    </row>
    <row r="17339">
      <c r="A17339" t="inlineStr">
        <is>
          <t>3614273527750</t>
        </is>
      </c>
      <c r="B17339" t="inlineStr">
        <is>
          <t>Mugler Angel Nova Eau De Toilette 50ml For Women</t>
        </is>
      </c>
      <c r="C17339" t="inlineStr">
        <is>
          <t>Eau De Toilette</t>
        </is>
      </c>
      <c r="D17339" t="inlineStr">
        <is>
          <t>Mugler</t>
        </is>
      </c>
      <c r="E17339" t="n">
        <v>56.12</v>
      </c>
      <c r="F17339" t="n">
        <v>1</v>
      </c>
      <c r="G17339" t="n">
        <v>35</v>
      </c>
      <c r="H17339" s="5">
        <f>HYPERLINK("https://api.qogita.com/variants/link/3614273527750/", "View Product")</f>
        <v/>
      </c>
    </row>
    <row r="17340">
      <c r="A17340" t="inlineStr">
        <is>
          <t>3614273532990</t>
        </is>
      </c>
      <c r="B17340" t="inlineStr">
        <is>
          <t>Paloma Picasso Eau De Toilette Spray 50ml By Paloma Picasso</t>
        </is>
      </c>
      <c r="C17340" t="inlineStr">
        <is>
          <t>Eau De Toilette</t>
        </is>
      </c>
      <c r="D17340" t="inlineStr">
        <is>
          <t>Paloma Picasso</t>
        </is>
      </c>
      <c r="E17340" t="n">
        <v>17.64</v>
      </c>
      <c r="F17340" t="n">
        <v>1</v>
      </c>
      <c r="G17340" t="n">
        <v>7</v>
      </c>
      <c r="H17340" s="5">
        <f>HYPERLINK("https://api.qogita.com/variants/link/3614273532990/", "View Product")</f>
        <v/>
      </c>
    </row>
    <row r="17341">
      <c r="A17341" t="inlineStr">
        <is>
          <t>3614273533003</t>
        </is>
      </c>
      <c r="B17341" t="inlineStr">
        <is>
          <t>Paloma Picasso Eau De Parfum Miniature 10ml By Paloma Picasso</t>
        </is>
      </c>
      <c r="C17341" t="inlineStr">
        <is>
          <t>Eau De Parfum</t>
        </is>
      </c>
      <c r="D17341" t="inlineStr">
        <is>
          <t>Paloma Picasso</t>
        </is>
      </c>
      <c r="E17341" t="n">
        <v>12.81</v>
      </c>
      <c r="F17341" t="n">
        <v>1</v>
      </c>
      <c r="G17341" t="n">
        <v>15</v>
      </c>
      <c r="H17341" s="5">
        <f>HYPERLINK("https://api.qogita.com/variants/link/3614273533003/", "View Product")</f>
        <v/>
      </c>
    </row>
    <row r="17342">
      <c r="A17342" t="inlineStr">
        <is>
          <t>3614273544955</t>
        </is>
      </c>
      <c r="B17342" t="inlineStr">
        <is>
          <t>Prada Luna Rossa Sport Eau De Toilette Spray 50ml</t>
        </is>
      </c>
      <c r="C17342" t="inlineStr">
        <is>
          <t>Eau De Toilette</t>
        </is>
      </c>
      <c r="D17342" t="inlineStr">
        <is>
          <t>Prada</t>
        </is>
      </c>
      <c r="E17342" t="n">
        <v>53.96</v>
      </c>
      <c r="F17342" t="n">
        <v>1</v>
      </c>
      <c r="G17342" t="n">
        <v>11</v>
      </c>
      <c r="H17342" s="5">
        <f>HYPERLINK("https://api.qogita.com/variants/link/3614273544955/", "View Product")</f>
        <v/>
      </c>
    </row>
    <row r="17343">
      <c r="A17343" t="inlineStr">
        <is>
          <t>3614273601092</t>
        </is>
      </c>
      <c r="B17343" t="inlineStr">
        <is>
          <t>Yves Saint Laurent Lash Clash Extreme Volume Mascara Black 8 Ml</t>
        </is>
      </c>
      <c r="C17343" t="inlineStr">
        <is>
          <t>Mascara</t>
        </is>
      </c>
      <c r="D17343" t="inlineStr">
        <is>
          <t>Yves Saint Laurent</t>
        </is>
      </c>
      <c r="E17343" t="n">
        <v>26.9</v>
      </c>
      <c r="F17343" t="n">
        <v>1</v>
      </c>
      <c r="G17343" t="n">
        <v>13</v>
      </c>
      <c r="H17343" s="5">
        <f>HYPERLINK("https://api.qogita.com/variants/link/3614273601092/", "View Product")</f>
        <v/>
      </c>
    </row>
    <row r="17344">
      <c r="A17344" t="inlineStr">
        <is>
          <t>3614273606448</t>
        </is>
      </c>
      <c r="B17344" t="inlineStr">
        <is>
          <t>Helena Rubinstein Re-Plasty Age Recovery Day Cream 50 ml</t>
        </is>
      </c>
      <c r="C17344" t="inlineStr">
        <is>
          <t>Day Cream</t>
        </is>
      </c>
      <c r="D17344" t="inlineStr">
        <is>
          <t>Helena Rubinstein</t>
        </is>
      </c>
      <c r="E17344" t="n">
        <v>266.36</v>
      </c>
      <c r="F17344" t="n">
        <v>1</v>
      </c>
      <c r="G17344" t="n">
        <v>10</v>
      </c>
      <c r="H17344" s="5">
        <f>HYPERLINK("https://api.qogita.com/variants/link/3614273606448/", "View Product")</f>
        <v/>
      </c>
    </row>
    <row r="17345">
      <c r="A17345" t="inlineStr">
        <is>
          <t>3614273607056</t>
        </is>
      </c>
      <c r="B17345" t="inlineStr">
        <is>
          <t>Giorgio Armani Si Passione Eclat EDP Spray 0.5oz 15ml</t>
        </is>
      </c>
      <c r="C17345" t="inlineStr">
        <is>
          <t>Eau De Parfum</t>
        </is>
      </c>
      <c r="D17345" t="inlineStr">
        <is>
          <t>Giorgio Armani</t>
        </is>
      </c>
      <c r="E17345" t="n">
        <v>22.11</v>
      </c>
      <c r="F17345" t="n">
        <v>1</v>
      </c>
      <c r="G17345" t="n">
        <v>9</v>
      </c>
      <c r="H17345" s="5">
        <f>HYPERLINK("https://api.qogita.com/variants/link/3614273607056/", "View Product")</f>
        <v/>
      </c>
    </row>
    <row r="17346">
      <c r="A17346" t="inlineStr">
        <is>
          <t>3614273629003</t>
        </is>
      </c>
      <c r="B17346" t="inlineStr">
        <is>
          <t>Giorgio Armani Stronger With You Only Eau De Toilette Spray 50ml</t>
        </is>
      </c>
      <c r="C17346" t="inlineStr">
        <is>
          <t>Eau De Toilette</t>
        </is>
      </c>
      <c r="D17346" t="inlineStr">
        <is>
          <t>Giorgio Armani</t>
        </is>
      </c>
      <c r="E17346" t="n">
        <v>48.39</v>
      </c>
      <c r="F17346" t="n">
        <v>1</v>
      </c>
      <c r="G17346" t="n">
        <v>18</v>
      </c>
      <c r="H17346" s="5">
        <f>HYPERLINK("https://api.qogita.com/variants/link/3614273629003/", "View Product")</f>
        <v/>
      </c>
    </row>
    <row r="17347">
      <c r="A17347" t="inlineStr">
        <is>
          <t>3614273636469</t>
        </is>
      </c>
      <c r="B17347" t="inlineStr">
        <is>
          <t>Armani Code Pour Homme Eau De Toilette Spray 15ml By Armani</t>
        </is>
      </c>
      <c r="C17347" t="inlineStr">
        <is>
          <t>Eau De Toilette</t>
        </is>
      </c>
      <c r="D17347" t="inlineStr">
        <is>
          <t>Armani</t>
        </is>
      </c>
      <c r="E17347" t="n">
        <v>20.48</v>
      </c>
      <c r="F17347" t="n">
        <v>1</v>
      </c>
      <c r="G17347" t="n">
        <v>18</v>
      </c>
      <c r="H17347" s="5">
        <f>HYPERLINK("https://api.qogita.com/variants/link/3614273636469/", "View Product")</f>
        <v/>
      </c>
    </row>
    <row r="17348">
      <c r="A17348" t="inlineStr">
        <is>
          <t>3614273636568</t>
        </is>
      </c>
      <c r="B17348" t="inlineStr">
        <is>
          <t>Giorgio Armani Code Pour Homme Eau De Toilette Spray 75ml</t>
        </is>
      </c>
      <c r="C17348" t="inlineStr">
        <is>
          <t>Eau De Toilette</t>
        </is>
      </c>
      <c r="D17348" t="inlineStr">
        <is>
          <t>Giorgio Armani</t>
        </is>
      </c>
      <c r="E17348" t="n">
        <v>56.72</v>
      </c>
      <c r="F17348" t="n">
        <v>1</v>
      </c>
      <c r="G17348" t="n">
        <v>29</v>
      </c>
      <c r="H17348" s="5">
        <f>HYPERLINK("https://api.qogita.com/variants/link/3614273636568/", "View Product")</f>
        <v/>
      </c>
    </row>
    <row r="17349">
      <c r="A17349" t="inlineStr">
        <is>
          <t>3614273642880</t>
        </is>
      </c>
      <c r="B17349" t="inlineStr">
        <is>
          <t>Yves Saint Laurent Black Opium Illicit Green Eau De Parfum Spray 75ml</t>
        </is>
      </c>
      <c r="C17349" t="inlineStr">
        <is>
          <t>Eau De Parfum</t>
        </is>
      </c>
      <c r="D17349" t="inlineStr">
        <is>
          <t>Yves Saint Laurent</t>
        </is>
      </c>
      <c r="E17349" t="n">
        <v>73.61</v>
      </c>
      <c r="F17349" t="n">
        <v>1</v>
      </c>
      <c r="G17349" t="n">
        <v>39</v>
      </c>
      <c r="H17349" s="5">
        <f>HYPERLINK("https://api.qogita.com/variants/link/3614273642880/", "View Product")</f>
        <v/>
      </c>
    </row>
    <row r="17350">
      <c r="A17350" t="inlineStr">
        <is>
          <t>3614273662543</t>
        </is>
      </c>
      <c r="B17350" t="inlineStr">
        <is>
          <t>Viktor&amp;Rolf Good Fortune Eau De Parfum Refillable Spray 50ml</t>
        </is>
      </c>
      <c r="C17350" t="inlineStr">
        <is>
          <t>Eau De Parfum</t>
        </is>
      </c>
      <c r="D17350" t="inlineStr">
        <is>
          <t>Viktor &amp; Rolf</t>
        </is>
      </c>
      <c r="E17350" t="n">
        <v>63.53</v>
      </c>
      <c r="F17350" t="n">
        <v>1</v>
      </c>
      <c r="G17350" t="n">
        <v>4</v>
      </c>
      <c r="H17350" s="5">
        <f>HYPERLINK("https://api.qogita.com/variants/link/3614273662543/", "View Product")</f>
        <v/>
      </c>
    </row>
    <row r="17351">
      <c r="A17351" t="inlineStr">
        <is>
          <t>3614273662581</t>
        </is>
      </c>
      <c r="B17351" t="inlineStr">
        <is>
          <t>Viktor &amp; Rolf Good Fortune Eau De Parfum 90ml For Women</t>
        </is>
      </c>
      <c r="C17351" t="inlineStr">
        <is>
          <t>Eau De Parfum</t>
        </is>
      </c>
      <c r="D17351" t="inlineStr">
        <is>
          <t>Viktor &amp; Rolf</t>
        </is>
      </c>
      <c r="E17351" t="n">
        <v>94.09</v>
      </c>
      <c r="F17351" t="n">
        <v>1</v>
      </c>
      <c r="G17351" t="n">
        <v>3</v>
      </c>
      <c r="H17351" s="5">
        <f>HYPERLINK("https://api.qogita.com/variants/link/3614273662581/", "View Product")</f>
        <v/>
      </c>
    </row>
    <row r="17352">
      <c r="A17352" t="inlineStr">
        <is>
          <t>3614273662598</t>
        </is>
      </c>
      <c r="B17352" t="inlineStr">
        <is>
          <t>Viktor&amp;Rolf Good Fortune Eau De Parfum Refillable Spray 30ml</t>
        </is>
      </c>
      <c r="C17352" t="inlineStr">
        <is>
          <t>Eau De Parfum</t>
        </is>
      </c>
      <c r="D17352" t="inlineStr">
        <is>
          <t>Viktor &amp; Rolf</t>
        </is>
      </c>
      <c r="E17352" t="n">
        <v>54.63</v>
      </c>
      <c r="F17352" t="n">
        <v>1</v>
      </c>
      <c r="G17352" t="n">
        <v>4</v>
      </c>
      <c r="H17352" s="5">
        <f>HYPERLINK("https://api.qogita.com/variants/link/3614273662598/", "View Product")</f>
        <v/>
      </c>
    </row>
    <row r="17353">
      <c r="A17353" t="inlineStr">
        <is>
          <t>3614273668743</t>
        </is>
      </c>
      <c r="B17353" t="inlineStr">
        <is>
          <t>Yves Saint Laurent L'Homme Intense Eau De Parfum 100 Ml For Men</t>
        </is>
      </c>
      <c r="C17353" t="inlineStr">
        <is>
          <t>Eau De Parfum</t>
        </is>
      </c>
      <c r="D17353" t="inlineStr">
        <is>
          <t>Yves Saint Laurent</t>
        </is>
      </c>
      <c r="E17353" t="n">
        <v>71.31</v>
      </c>
      <c r="F17353" t="n">
        <v>1</v>
      </c>
      <c r="G17353" t="n">
        <v>66</v>
      </c>
      <c r="H17353" s="5">
        <f>HYPERLINK("https://api.qogita.com/variants/link/3614273668743/", "View Product")</f>
        <v/>
      </c>
    </row>
    <row r="17354">
      <c r="A17354" t="inlineStr">
        <is>
          <t>3614273672474</t>
        </is>
      </c>
      <c r="B17354" t="inlineStr">
        <is>
          <t>Valentino Donna Born In Roma Coral Fantasy Eau De Parfum 50ml</t>
        </is>
      </c>
      <c r="C17354" t="inlineStr">
        <is>
          <t>Eau De Parfum</t>
        </is>
      </c>
      <c r="D17354" t="inlineStr">
        <is>
          <t>Valentino</t>
        </is>
      </c>
      <c r="E17354" t="n">
        <v>70.31</v>
      </c>
      <c r="F17354" t="n">
        <v>1</v>
      </c>
      <c r="G17354" t="n">
        <v>53</v>
      </c>
      <c r="H17354" s="5">
        <f>HYPERLINK("https://api.qogita.com/variants/link/3614273672474/", "View Product")</f>
        <v/>
      </c>
    </row>
    <row r="17355">
      <c r="A17355" t="inlineStr">
        <is>
          <t>3614273673846</t>
        </is>
      </c>
      <c r="B17355" t="inlineStr">
        <is>
          <t>Armani My Way Floral Eau De Parfum Spray 90ml</t>
        </is>
      </c>
      <c r="C17355" t="inlineStr">
        <is>
          <t>Eau De Parfum</t>
        </is>
      </c>
      <c r="D17355" t="inlineStr">
        <is>
          <t>Armani</t>
        </is>
      </c>
      <c r="E17355" t="n">
        <v>72.77</v>
      </c>
      <c r="F17355" t="n">
        <v>1</v>
      </c>
      <c r="G17355" t="n">
        <v>88</v>
      </c>
      <c r="H17355" s="5">
        <f>HYPERLINK("https://api.qogita.com/variants/link/3614273673846/", "View Product")</f>
        <v/>
      </c>
    </row>
    <row r="17356">
      <c r="A17356" t="inlineStr">
        <is>
          <t>3614273675925</t>
        </is>
      </c>
      <c r="B17356" t="inlineStr">
        <is>
          <t>Lancme Teint Idle Ultra Wear Care &amp; Glow Spf15 30ml 220c</t>
        </is>
      </c>
      <c r="C17356" t="inlineStr">
        <is>
          <t>Tinted Day Cream</t>
        </is>
      </c>
      <c r="D17356" t="inlineStr">
        <is>
          <t>Lancôme</t>
        </is>
      </c>
      <c r="E17356" t="n">
        <v>39.74</v>
      </c>
      <c r="F17356" t="n">
        <v>1</v>
      </c>
      <c r="G17356" t="n">
        <v>3</v>
      </c>
      <c r="H17356" s="5">
        <f>HYPERLINK("https://api.qogita.com/variants/link/3614273675925/", "View Product")</f>
        <v/>
      </c>
    </row>
    <row r="17357">
      <c r="A17357" t="inlineStr">
        <is>
          <t>3614273675963</t>
        </is>
      </c>
      <c r="B17357" t="inlineStr">
        <is>
          <t>Lancome Teint Idole Ultra Wear Care &amp; Glow Spf 15 310n 30ml</t>
        </is>
      </c>
      <c r="C17357" t="inlineStr">
        <is>
          <t>Tinted Day Cream</t>
        </is>
      </c>
      <c r="D17357" t="inlineStr">
        <is>
          <t>Lancôme</t>
        </is>
      </c>
      <c r="E17357" t="n">
        <v>38.64</v>
      </c>
      <c r="F17357" t="n">
        <v>1</v>
      </c>
      <c r="G17357" t="n">
        <v>14</v>
      </c>
      <c r="H17357" s="5">
        <f>HYPERLINK("https://api.qogita.com/variants/link/3614273675963/", "View Product")</f>
        <v/>
      </c>
    </row>
    <row r="17358">
      <c r="A17358" t="inlineStr">
        <is>
          <t>3614273676038</t>
        </is>
      </c>
      <c r="B17358" t="inlineStr">
        <is>
          <t>Lancme Teint Idole Ultra Wear Care &amp; Glow 30 Ml Spf 15 Shade 425c</t>
        </is>
      </c>
      <c r="C17358" t="inlineStr">
        <is>
          <t>Tinted Day Cream</t>
        </is>
      </c>
      <c r="D17358" t="inlineStr">
        <is>
          <t>Lancôme</t>
        </is>
      </c>
      <c r="E17358" t="n">
        <v>25.52</v>
      </c>
      <c r="F17358" t="n">
        <v>1</v>
      </c>
      <c r="G17358" t="n">
        <v>9</v>
      </c>
      <c r="H17358" s="5">
        <f>HYPERLINK("https://api.qogita.com/variants/link/3614273676038/", "View Product")</f>
        <v/>
      </c>
    </row>
    <row r="17359">
      <c r="A17359" t="inlineStr">
        <is>
          <t>3614273677141</t>
        </is>
      </c>
      <c r="B17359" t="inlineStr">
        <is>
          <t>Prada Infusion De Vanille Eau De Parfum 100ml</t>
        </is>
      </c>
      <c r="C17359" t="inlineStr">
        <is>
          <t>Eau De Parfum</t>
        </is>
      </c>
      <c r="D17359" t="inlineStr">
        <is>
          <t>Prada</t>
        </is>
      </c>
      <c r="E17359" t="n">
        <v>90.20999999999999</v>
      </c>
      <c r="F17359" t="n">
        <v>1</v>
      </c>
      <c r="G17359" t="n">
        <v>2</v>
      </c>
      <c r="H17359" s="5">
        <f>HYPERLINK("https://api.qogita.com/variants/link/3614273677141/", "View Product")</f>
        <v/>
      </c>
    </row>
    <row r="17360">
      <c r="A17360" t="inlineStr">
        <is>
          <t>3614273694766</t>
        </is>
      </c>
      <c r="B17360" t="inlineStr">
        <is>
          <t>Diesel D By Diesel Eau De Toilette Spray 50ml</t>
        </is>
      </c>
      <c r="C17360" t="inlineStr">
        <is>
          <t>Eau De Toilette</t>
        </is>
      </c>
      <c r="D17360" t="inlineStr">
        <is>
          <t>Diesel</t>
        </is>
      </c>
      <c r="E17360" t="n">
        <v>22.37</v>
      </c>
      <c r="F17360" t="n">
        <v>1</v>
      </c>
      <c r="G17360" t="n">
        <v>35</v>
      </c>
      <c r="H17360" s="5">
        <f>HYPERLINK("https://api.qogita.com/variants/link/3614273694766/", "View Product")</f>
        <v/>
      </c>
    </row>
    <row r="17361">
      <c r="A17361" t="inlineStr">
        <is>
          <t>3614273734875</t>
        </is>
      </c>
      <c r="B17361" t="inlineStr">
        <is>
          <t>Giorgio Armani Armani Si Intense Eau De Parfum Spray 100ml</t>
        </is>
      </c>
      <c r="C17361" t="inlineStr">
        <is>
          <t>Eau De Parfum</t>
        </is>
      </c>
      <c r="D17361" t="inlineStr">
        <is>
          <t>Giorgio Armani</t>
        </is>
      </c>
      <c r="E17361" t="n">
        <v>104.57</v>
      </c>
      <c r="F17361" t="n">
        <v>1</v>
      </c>
      <c r="G17361" t="n">
        <v>8</v>
      </c>
      <c r="H17361" s="5">
        <f>HYPERLINK("https://api.qogita.com/variants/link/3614273734875/", "View Product")</f>
        <v/>
      </c>
    </row>
    <row r="17362">
      <c r="A17362" t="inlineStr">
        <is>
          <t>3614273735612</t>
        </is>
      </c>
      <c r="B17362" t="inlineStr">
        <is>
          <t>Luminous Silk Glow Blush 4 grams Shade 10</t>
        </is>
      </c>
      <c r="C17362" t="inlineStr">
        <is>
          <t>Blush</t>
        </is>
      </c>
      <c r="D17362" t="inlineStr">
        <is>
          <t>Giorgio Armani</t>
        </is>
      </c>
      <c r="E17362" t="n">
        <v>39.01</v>
      </c>
      <c r="F17362" t="n">
        <v>1</v>
      </c>
      <c r="G17362" t="n">
        <v>7</v>
      </c>
      <c r="H17362" s="5">
        <f>HYPERLINK("https://api.qogita.com/variants/link/3614273735612/", "View Product")</f>
        <v/>
      </c>
    </row>
    <row r="17363">
      <c r="A17363" t="inlineStr">
        <is>
          <t>3614273744935</t>
        </is>
      </c>
      <c r="B17363" t="inlineStr">
        <is>
          <t>Giorgio Armani Eye Color Shimmer Longwear Liquid Eyeshadow - Petrol 50S</t>
        </is>
      </c>
      <c r="C17363" t="inlineStr">
        <is>
          <t>Eyeshadow</t>
        </is>
      </c>
      <c r="D17363" t="inlineStr">
        <is>
          <t>Giorgio Armani</t>
        </is>
      </c>
      <c r="E17363" t="n">
        <v>28.25</v>
      </c>
      <c r="F17363" t="n">
        <v>1</v>
      </c>
      <c r="G17363" t="n">
        <v>4</v>
      </c>
      <c r="H17363" s="5">
        <f>HYPERLINK("https://api.qogita.com/variants/link/3614273744935/", "View Product")</f>
        <v/>
      </c>
    </row>
    <row r="17364">
      <c r="A17364" t="inlineStr">
        <is>
          <t>3614273747455</t>
        </is>
      </c>
      <c r="B17364" t="inlineStr">
        <is>
          <t>Lancme L'Absolu Rouge Intimatte Lipstick 196 French Touch Creamy Matte Lipstick 34 G</t>
        </is>
      </c>
      <c r="C17364" t="inlineStr">
        <is>
          <t>Lipstick</t>
        </is>
      </c>
      <c r="D17364" t="inlineStr">
        <is>
          <t>Lancôme</t>
        </is>
      </c>
      <c r="E17364" t="n">
        <v>26.05</v>
      </c>
      <c r="F17364" t="n">
        <v>1</v>
      </c>
      <c r="G17364" t="n">
        <v>2</v>
      </c>
      <c r="H17364" s="5">
        <f>HYPERLINK("https://api.qogita.com/variants/link/3614273747455/", "View Product")</f>
        <v/>
      </c>
    </row>
    <row r="17365">
      <c r="A17365" t="inlineStr">
        <is>
          <t>3614273760430</t>
        </is>
      </c>
      <c r="B17365" t="inlineStr">
        <is>
          <t>Biotherm Waterlover Face Sunscreen Youth Protection Cream SPF 30 50ml</t>
        </is>
      </c>
      <c r="C17365" t="inlineStr">
        <is>
          <t>Face Sun Protection</t>
        </is>
      </c>
      <c r="D17365" t="inlineStr">
        <is>
          <t>Biotherm</t>
        </is>
      </c>
      <c r="E17365" t="n">
        <v>17.91</v>
      </c>
      <c r="F17365" t="n">
        <v>1</v>
      </c>
      <c r="G17365" t="n">
        <v>5</v>
      </c>
      <c r="H17365" s="5">
        <f>HYPERLINK("https://api.qogita.com/variants/link/3614273760430/", "View Product")</f>
        <v/>
      </c>
    </row>
    <row r="17366">
      <c r="A17366" t="inlineStr">
        <is>
          <t>3614273764209</t>
        </is>
      </c>
      <c r="B17366" t="inlineStr">
        <is>
          <t>Thierry Mugler Angel Refill Eau De Parfum Spray 100ml</t>
        </is>
      </c>
      <c r="C17366" t="inlineStr">
        <is>
          <t>Eau De Parfum</t>
        </is>
      </c>
      <c r="D17366" t="inlineStr">
        <is>
          <t>Thierry Mugler</t>
        </is>
      </c>
      <c r="E17366" t="n">
        <v>76.59999999999999</v>
      </c>
      <c r="F17366" t="n">
        <v>1</v>
      </c>
      <c r="G17366" t="n">
        <v>73</v>
      </c>
      <c r="H17366" s="5">
        <f>HYPERLINK("https://api.qogita.com/variants/link/3614273764209/", "View Product")</f>
        <v/>
      </c>
    </row>
    <row r="17367">
      <c r="A17367" t="inlineStr">
        <is>
          <t>3614273785297</t>
        </is>
      </c>
      <c r="B17367" t="inlineStr">
        <is>
          <t>Helena Rubinstein Powercell Skinmunity Youth Reinforcing Serum 1.01oz for Women</t>
        </is>
      </c>
      <c r="C17367" t="inlineStr">
        <is>
          <t>Anti-Aging Serum</t>
        </is>
      </c>
      <c r="D17367" t="inlineStr">
        <is>
          <t>Helena Rubinstein</t>
        </is>
      </c>
      <c r="E17367" t="n">
        <v>107.36</v>
      </c>
      <c r="F17367" t="n">
        <v>1</v>
      </c>
      <c r="G17367" t="n">
        <v>6</v>
      </c>
      <c r="H17367" s="5">
        <f>HYPERLINK("https://api.qogita.com/variants/link/3614273785297/", "View Product")</f>
        <v/>
      </c>
    </row>
    <row r="17368">
      <c r="A17368" t="inlineStr">
        <is>
          <t>3614273790833</t>
        </is>
      </c>
      <c r="B17368" t="inlineStr">
        <is>
          <t>Valentino Uomo Born In Roma Intense Eau De Parfum 50ml</t>
        </is>
      </c>
      <c r="C17368" t="inlineStr">
        <is>
          <t>Eau De Parfum</t>
        </is>
      </c>
      <c r="D17368" t="inlineStr">
        <is>
          <t>Valentino</t>
        </is>
      </c>
      <c r="E17368" t="n">
        <v>67.20999999999999</v>
      </c>
      <c r="F17368" t="n">
        <v>1</v>
      </c>
      <c r="G17368" t="n">
        <v>7</v>
      </c>
      <c r="H17368" s="5">
        <f>HYPERLINK("https://api.qogita.com/variants/link/3614273790833/", "View Product")</f>
        <v/>
      </c>
    </row>
    <row r="17369">
      <c r="A17369" t="inlineStr">
        <is>
          <t>3614273792448</t>
        </is>
      </c>
      <c r="B17369" t="inlineStr">
        <is>
          <t>Lancme Teint Idole Ultra Wear Foundation Spf 35 30 Ml</t>
        </is>
      </c>
      <c r="C17369" t="inlineStr">
        <is>
          <t>Foundation</t>
        </is>
      </c>
      <c r="D17369" t="inlineStr">
        <is>
          <t>Lancôme</t>
        </is>
      </c>
      <c r="E17369" t="n">
        <v>31.45</v>
      </c>
      <c r="F17369" t="n">
        <v>1</v>
      </c>
      <c r="G17369" t="n">
        <v>3</v>
      </c>
      <c r="H17369" s="5">
        <f>HYPERLINK("https://api.qogita.com/variants/link/3614273792448/", "View Product")</f>
        <v/>
      </c>
    </row>
    <row r="17370">
      <c r="A17370" t="inlineStr">
        <is>
          <t>3614273792554</t>
        </is>
      </c>
      <c r="B17370" t="inlineStr">
        <is>
          <t>Lancme Teint Idole Ultra Wear Foundation Spf35 250w 30ml</t>
        </is>
      </c>
      <c r="C17370" t="inlineStr">
        <is>
          <t>Foundation</t>
        </is>
      </c>
      <c r="D17370" t="inlineStr">
        <is>
          <t>Lancôme</t>
        </is>
      </c>
      <c r="E17370" t="n">
        <v>40.26</v>
      </c>
      <c r="F17370" t="n">
        <v>1</v>
      </c>
      <c r="G17370" t="n">
        <v>13</v>
      </c>
      <c r="H17370" s="5">
        <f>HYPERLINK("https://api.qogita.com/variants/link/3614273792554/", "View Product")</f>
        <v/>
      </c>
    </row>
    <row r="17371">
      <c r="A17371" t="inlineStr">
        <is>
          <t>3614273792615</t>
        </is>
      </c>
      <c r="B17371" t="inlineStr">
        <is>
          <t>Lancme Teint Idole Ultra Wear Foundation Spf 35 30ml Shade 330n</t>
        </is>
      </c>
      <c r="C17371" t="inlineStr">
        <is>
          <t>Foundation</t>
        </is>
      </c>
      <c r="D17371" t="inlineStr">
        <is>
          <t>Lancôme</t>
        </is>
      </c>
      <c r="E17371" t="n">
        <v>39.03</v>
      </c>
      <c r="F17371" t="n">
        <v>1</v>
      </c>
      <c r="G17371" t="n">
        <v>16</v>
      </c>
      <c r="H17371" s="5">
        <f>HYPERLINK("https://api.qogita.com/variants/link/3614273792615/", "View Product")</f>
        <v/>
      </c>
    </row>
    <row r="17372">
      <c r="A17372" t="inlineStr">
        <is>
          <t>3614273792639</t>
        </is>
      </c>
      <c r="B17372" t="inlineStr">
        <is>
          <t>Lancme Teint Idole Ultra Wear Foundation Spf 35 30ml 345n 045 Sable Beige</t>
        </is>
      </c>
      <c r="C17372" t="inlineStr">
        <is>
          <t>Foundation</t>
        </is>
      </c>
      <c r="D17372" t="inlineStr">
        <is>
          <t>Lancôme</t>
        </is>
      </c>
      <c r="E17372" t="n">
        <v>39.8</v>
      </c>
      <c r="F17372" t="n">
        <v>1</v>
      </c>
      <c r="G17372" t="n">
        <v>5</v>
      </c>
      <c r="H17372" s="5">
        <f>HYPERLINK("https://api.qogita.com/variants/link/3614273792639/", "View Product")</f>
        <v/>
      </c>
    </row>
    <row r="17373">
      <c r="A17373" t="inlineStr">
        <is>
          <t>3614273831178</t>
        </is>
      </c>
      <c r="B17373" t="inlineStr">
        <is>
          <t>Giorgio Armani Lip Power Matte Lipstick - 3 Grams</t>
        </is>
      </c>
      <c r="C17373" t="inlineStr">
        <is>
          <t>Lipstick</t>
        </is>
      </c>
      <c r="D17373" t="inlineStr">
        <is>
          <t>Giorgio Armani</t>
        </is>
      </c>
      <c r="E17373" t="n">
        <v>36.26</v>
      </c>
      <c r="F17373" t="n">
        <v>1</v>
      </c>
      <c r="G17373" t="n">
        <v>2</v>
      </c>
      <c r="H17373" s="5">
        <f>HYPERLINK("https://api.qogita.com/variants/link/3614273831178/", "View Product")</f>
        <v/>
      </c>
    </row>
    <row r="17374">
      <c r="A17374" t="inlineStr">
        <is>
          <t>3614273831222</t>
        </is>
      </c>
      <c r="B17374" t="inlineStr">
        <is>
          <t>Giorgio Armani Lip Power Matte Longlasting Matte Lipstick 31 G</t>
        </is>
      </c>
      <c r="C17374" t="inlineStr">
        <is>
          <t>Lipstick</t>
        </is>
      </c>
      <c r="D17374" t="inlineStr">
        <is>
          <t>Giorgio Armani</t>
        </is>
      </c>
      <c r="E17374" t="n">
        <v>35.06</v>
      </c>
      <c r="F17374" t="n">
        <v>1</v>
      </c>
      <c r="G17374" t="n">
        <v>5</v>
      </c>
      <c r="H17374" s="5">
        <f>HYPERLINK("https://api.qogita.com/variants/link/3614273831222/", "View Product")</f>
        <v/>
      </c>
    </row>
    <row r="17375">
      <c r="A17375" t="inlineStr">
        <is>
          <t>3614273831253</t>
        </is>
      </c>
      <c r="B17375" t="inlineStr">
        <is>
          <t>Giorgio Armani Lip Power Matte Longwear &amp; Caring Intense Matte Lipstick #6</t>
        </is>
      </c>
      <c r="C17375" t="inlineStr">
        <is>
          <t>Lipstick</t>
        </is>
      </c>
      <c r="D17375" t="inlineStr">
        <is>
          <t>Giorgio Armani</t>
        </is>
      </c>
      <c r="E17375" t="n">
        <v>36.26</v>
      </c>
      <c r="F17375" t="n">
        <v>1</v>
      </c>
      <c r="G17375" t="n">
        <v>3</v>
      </c>
      <c r="H17375" s="5">
        <f>HYPERLINK("https://api.qogita.com/variants/link/3614273831253/", "View Product")</f>
        <v/>
      </c>
    </row>
    <row r="17376">
      <c r="A17376" t="inlineStr">
        <is>
          <t>3614273844666</t>
        </is>
      </c>
      <c r="B17376" t="inlineStr">
        <is>
          <t>Giorgio Armani My Way Le Parfum Pour Femme Eau De Parfum Spray 50ml</t>
        </is>
      </c>
      <c r="C17376" t="inlineStr">
        <is>
          <t>Eau De Parfum</t>
        </is>
      </c>
      <c r="D17376" t="inlineStr">
        <is>
          <t>Giorgio Armani</t>
        </is>
      </c>
      <c r="E17376" t="n">
        <v>72.34</v>
      </c>
      <c r="F17376" t="n">
        <v>1</v>
      </c>
      <c r="G17376" t="n">
        <v>15</v>
      </c>
      <c r="H17376" s="5">
        <f>HYPERLINK("https://api.qogita.com/variants/link/3614273844666/", "View Product")</f>
        <v/>
      </c>
    </row>
    <row r="17377">
      <c r="A17377" t="inlineStr">
        <is>
          <t>3614273852821</t>
        </is>
      </c>
      <c r="B17377" t="inlineStr">
        <is>
          <t>Yves Saint Laurent Myslf Eau De Parfum Spray 60 Ml</t>
        </is>
      </c>
      <c r="C17377" t="inlineStr">
        <is>
          <t>Eau De Parfum</t>
        </is>
      </c>
      <c r="D17377" t="inlineStr">
        <is>
          <t>Yves Saint Laurent</t>
        </is>
      </c>
      <c r="E17377" t="n">
        <v>65.55</v>
      </c>
      <c r="F17377" t="n">
        <v>1</v>
      </c>
      <c r="G17377" t="n">
        <v>34</v>
      </c>
      <c r="H17377" s="5">
        <f>HYPERLINK("https://api.qogita.com/variants/link/3614273852821/", "View Product")</f>
        <v/>
      </c>
    </row>
    <row r="17378">
      <c r="A17378" t="inlineStr">
        <is>
          <t>3614273863377</t>
        </is>
      </c>
      <c r="B17378" t="inlineStr">
        <is>
          <t>Yves Saint Laurent Black Opium Le Parfum Spray 50ml</t>
        </is>
      </c>
      <c r="C17378" t="inlineStr">
        <is>
          <t>Eau De Parfum</t>
        </is>
      </c>
      <c r="D17378" t="inlineStr">
        <is>
          <t>Yves Saint Laurent</t>
        </is>
      </c>
      <c r="E17378" t="n">
        <v>72.09</v>
      </c>
      <c r="F17378" t="n">
        <v>1</v>
      </c>
      <c r="G17378" t="n">
        <v>38</v>
      </c>
      <c r="H17378" s="5">
        <f>HYPERLINK("https://api.qogita.com/variants/link/3614273863377/", "View Product")</f>
        <v/>
      </c>
    </row>
    <row r="17379">
      <c r="A17379" t="inlineStr">
        <is>
          <t>3614273872102</t>
        </is>
      </c>
      <c r="B17379" t="inlineStr">
        <is>
          <t>Giorgio Armani Si Passione Eau De Parfum 100 Ml</t>
        </is>
      </c>
      <c r="C17379" t="inlineStr">
        <is>
          <t>Eau De Parfum</t>
        </is>
      </c>
      <c r="D17379" t="inlineStr">
        <is>
          <t>Giorgio Armani</t>
        </is>
      </c>
      <c r="E17379" t="n">
        <v>73.39</v>
      </c>
      <c r="F17379" t="n">
        <v>1</v>
      </c>
      <c r="G17379" t="n">
        <v>3</v>
      </c>
      <c r="H17379" s="5">
        <f>HYPERLINK("https://api.qogita.com/variants/link/3614273872102/", "View Product")</f>
        <v/>
      </c>
    </row>
    <row r="17380">
      <c r="A17380" t="inlineStr">
        <is>
          <t>3614273890830</t>
        </is>
      </c>
      <c r="B17380" t="inlineStr">
        <is>
          <t>Helena Rubinstein Prodigy Cellglow Eye Cream 15ml</t>
        </is>
      </c>
      <c r="C17380" t="inlineStr">
        <is>
          <t>Eye Cream</t>
        </is>
      </c>
      <c r="D17380" t="inlineStr">
        <is>
          <t>Helena Rubinstein</t>
        </is>
      </c>
      <c r="E17380" t="n">
        <v>121.34</v>
      </c>
      <c r="F17380" t="n">
        <v>1</v>
      </c>
      <c r="G17380" t="n">
        <v>5</v>
      </c>
      <c r="H17380" s="5">
        <f>HYPERLINK("https://api.qogita.com/variants/link/3614273890830/", "View Product")</f>
        <v/>
      </c>
    </row>
    <row r="17381">
      <c r="A17381" t="inlineStr">
        <is>
          <t>3614273921688</t>
        </is>
      </c>
      <c r="B17381" t="inlineStr">
        <is>
          <t>YSL Couture Mini Clutch Eyeshadow Palette 100 Stora Dolls</t>
        </is>
      </c>
      <c r="C17381" t="inlineStr">
        <is>
          <t>Eye Sets &amp; Pallets</t>
        </is>
      </c>
      <c r="D17381" t="inlineStr">
        <is>
          <t>Revolution</t>
        </is>
      </c>
      <c r="E17381" t="n">
        <v>51.82</v>
      </c>
      <c r="F17381" t="n">
        <v>1</v>
      </c>
      <c r="G17381" t="n">
        <v>5</v>
      </c>
      <c r="H17381" s="5">
        <f>HYPERLINK("https://api.qogita.com/variants/link/3614273921688/", "View Product")</f>
        <v/>
      </c>
    </row>
    <row r="17382">
      <c r="A17382" t="inlineStr">
        <is>
          <t>3614273922951</t>
        </is>
      </c>
      <c r="B17382" t="inlineStr">
        <is>
          <t>Lancome La Vie Est Belle Iris Absolu Eau De Parfum Spray 30ml</t>
        </is>
      </c>
      <c r="C17382" t="inlineStr">
        <is>
          <t>Eau De Parfum</t>
        </is>
      </c>
      <c r="D17382" t="inlineStr">
        <is>
          <t>Lancôme</t>
        </is>
      </c>
      <c r="E17382" t="n">
        <v>46.15</v>
      </c>
      <c r="F17382" t="n">
        <v>1</v>
      </c>
      <c r="G17382" t="n">
        <v>7</v>
      </c>
      <c r="H17382" s="5">
        <f>HYPERLINK("https://api.qogita.com/variants/link/3614273922951/", "View Product")</f>
        <v/>
      </c>
    </row>
    <row r="17383">
      <c r="A17383" t="inlineStr">
        <is>
          <t>3614273922968</t>
        </is>
      </c>
      <c r="B17383" t="inlineStr">
        <is>
          <t>Lancome La Vie Est Belle Iris Absolu Eau De Parfum Spray 50ml</t>
        </is>
      </c>
      <c r="C17383" t="inlineStr">
        <is>
          <t>Eau De Parfum</t>
        </is>
      </c>
      <c r="D17383" t="inlineStr">
        <is>
          <t>Lancôme</t>
        </is>
      </c>
      <c r="E17383" t="n">
        <v>81.81</v>
      </c>
      <c r="F17383" t="n">
        <v>1</v>
      </c>
      <c r="G17383" t="n">
        <v>28</v>
      </c>
      <c r="H17383" s="5">
        <f>HYPERLINK("https://api.qogita.com/variants/link/3614273922968/", "View Product")</f>
        <v/>
      </c>
    </row>
    <row r="17384">
      <c r="A17384" t="inlineStr">
        <is>
          <t>3614273923859</t>
        </is>
      </c>
      <c r="B17384" t="inlineStr">
        <is>
          <t>Yves Saint Laurent Libre L'Absolu Platine Eau De Parfum 50ml</t>
        </is>
      </c>
      <c r="C17384" t="inlineStr">
        <is>
          <t>Eau De Parfum</t>
        </is>
      </c>
      <c r="D17384" t="inlineStr">
        <is>
          <t>Yves Saint Laurent</t>
        </is>
      </c>
      <c r="E17384" t="n">
        <v>85.54000000000001</v>
      </c>
      <c r="F17384" t="n">
        <v>1</v>
      </c>
      <c r="G17384" t="n">
        <v>3</v>
      </c>
      <c r="H17384" s="5">
        <f>HYPERLINK("https://api.qogita.com/variants/link/3614273923859/", "View Product")</f>
        <v/>
      </c>
    </row>
    <row r="17385">
      <c r="A17385" t="inlineStr">
        <is>
          <t>3614273927925</t>
        </is>
      </c>
      <c r="B17385" t="inlineStr">
        <is>
          <t>Thierry Mugler Alien Goddess Supra Florale Eau De Parfum Spray 60ml</t>
        </is>
      </c>
      <c r="C17385" t="inlineStr">
        <is>
          <t>Eau De Parfum</t>
        </is>
      </c>
      <c r="D17385" t="inlineStr">
        <is>
          <t>Thierry Mugler</t>
        </is>
      </c>
      <c r="E17385" t="n">
        <v>49.59</v>
      </c>
      <c r="F17385" t="n">
        <v>1</v>
      </c>
      <c r="G17385" t="n">
        <v>28</v>
      </c>
      <c r="H17385" s="5">
        <f>HYPERLINK("https://api.qogita.com/variants/link/3614273927925/", "View Product")</f>
        <v/>
      </c>
    </row>
    <row r="17386">
      <c r="A17386" t="inlineStr">
        <is>
          <t>3614273927932</t>
        </is>
      </c>
      <c r="B17386" t="inlineStr">
        <is>
          <t>Thierry Mugler Alien Goddess Supra Florale Eau De Parfum Spray 90ml</t>
        </is>
      </c>
      <c r="C17386" t="inlineStr">
        <is>
          <t>Eau De Parfum</t>
        </is>
      </c>
      <c r="D17386" t="inlineStr">
        <is>
          <t>Thierry Mugler</t>
        </is>
      </c>
      <c r="E17386" t="n">
        <v>62.37</v>
      </c>
      <c r="F17386" t="n">
        <v>1</v>
      </c>
      <c r="G17386" t="n">
        <v>15</v>
      </c>
      <c r="H17386" s="5">
        <f>HYPERLINK("https://api.qogita.com/variants/link/3614273927932/", "View Product")</f>
        <v/>
      </c>
    </row>
    <row r="17387">
      <c r="A17387" t="inlineStr">
        <is>
          <t>3614273927949</t>
        </is>
      </c>
      <c r="B17387" t="inlineStr">
        <is>
          <t>Thierry Mugler Alien Goddess Supra Florale Eau De Parfum Spray 30ml</t>
        </is>
      </c>
      <c r="C17387" t="inlineStr">
        <is>
          <t>Eau De Parfum</t>
        </is>
      </c>
      <c r="D17387" t="inlineStr">
        <is>
          <t>Thierry Mugler</t>
        </is>
      </c>
      <c r="E17387" t="n">
        <v>41.5</v>
      </c>
      <c r="F17387" t="n">
        <v>1</v>
      </c>
      <c r="G17387" t="n">
        <v>8</v>
      </c>
      <c r="H17387" s="5">
        <f>HYPERLINK("https://api.qogita.com/variants/link/3614273927949/", "View Product")</f>
        <v/>
      </c>
    </row>
    <row r="17388">
      <c r="A17388" t="inlineStr">
        <is>
          <t>3614273939973</t>
        </is>
      </c>
      <c r="B17388" t="inlineStr">
        <is>
          <t>Maison Margiela Replica From The Garden Eau De Toilette 100ml</t>
        </is>
      </c>
      <c r="C17388" t="inlineStr">
        <is>
          <t>Eau De Toilette</t>
        </is>
      </c>
      <c r="D17388" t="inlineStr">
        <is>
          <t>Maison Margiela</t>
        </is>
      </c>
      <c r="E17388" t="n">
        <v>107.09</v>
      </c>
      <c r="F17388" t="n">
        <v>1</v>
      </c>
      <c r="G17388" t="n">
        <v>3</v>
      </c>
      <c r="H17388" s="5">
        <f>HYPERLINK("https://api.qogita.com/variants/link/3614273939973/", "View Product")</f>
        <v/>
      </c>
    </row>
    <row r="17389">
      <c r="A17389" t="inlineStr">
        <is>
          <t>3614273941136</t>
        </is>
      </c>
      <c r="B17389" t="inlineStr">
        <is>
          <t>Yves Saint Laurent Libre Pour Femme Eau De Parfum Refill 100ml</t>
        </is>
      </c>
      <c r="C17389" t="inlineStr">
        <is>
          <t>Refillable Fragrances &amp; Refills</t>
        </is>
      </c>
      <c r="D17389" t="inlineStr">
        <is>
          <t>Yves Saint Laurent</t>
        </is>
      </c>
      <c r="E17389" t="n">
        <v>87.51000000000001</v>
      </c>
      <c r="F17389" t="n">
        <v>1</v>
      </c>
      <c r="G17389" t="n">
        <v>76</v>
      </c>
      <c r="H17389" s="5">
        <f>HYPERLINK("https://api.qogita.com/variants/link/3614273941136/", "View Product")</f>
        <v/>
      </c>
    </row>
    <row r="17390">
      <c r="A17390" t="inlineStr">
        <is>
          <t>3614273945219</t>
        </is>
      </c>
      <c r="B17390" t="inlineStr">
        <is>
          <t>Yves Saint Laurent Rouge Pur Couture Caring Satin Lipstick 38 G</t>
        </is>
      </c>
      <c r="C17390" t="inlineStr">
        <is>
          <t>Lipstick</t>
        </is>
      </c>
      <c r="D17390" t="inlineStr">
        <is>
          <t>Yves Saint Laurent</t>
        </is>
      </c>
      <c r="E17390" t="n">
        <v>33.74</v>
      </c>
      <c r="F17390" t="n">
        <v>1</v>
      </c>
      <c r="G17390" t="n">
        <v>3</v>
      </c>
      <c r="H17390" s="5">
        <f>HYPERLINK("https://api.qogita.com/variants/link/3614273945219/", "View Product")</f>
        <v/>
      </c>
    </row>
    <row r="17391">
      <c r="A17391" t="inlineStr">
        <is>
          <t>3614273945257</t>
        </is>
      </c>
      <c r="B17391" t="inlineStr">
        <is>
          <t>Yves Saint Laurent Rouge Pur Couture Caring Satin Lipstick 38 G</t>
        </is>
      </c>
      <c r="C17391" t="inlineStr">
        <is>
          <t>Lipstick</t>
        </is>
      </c>
      <c r="D17391" t="inlineStr">
        <is>
          <t>Yves Saint Laurent</t>
        </is>
      </c>
      <c r="E17391" t="n">
        <v>34.64</v>
      </c>
      <c r="F17391" t="n">
        <v>1</v>
      </c>
      <c r="G17391" t="n">
        <v>5</v>
      </c>
      <c r="H17391" s="5">
        <f>HYPERLINK("https://api.qogita.com/variants/link/3614273945257/", "View Product")</f>
        <v/>
      </c>
    </row>
    <row r="17392">
      <c r="A17392" t="inlineStr">
        <is>
          <t>3614273945431</t>
        </is>
      </c>
      <c r="B17392" t="inlineStr">
        <is>
          <t>Yves Saint Laurent Rouge Pur Couture Satin Lipstick O13 3.8g</t>
        </is>
      </c>
      <c r="C17392" t="inlineStr">
        <is>
          <t>Lipstick</t>
        </is>
      </c>
      <c r="D17392" t="inlineStr">
        <is>
          <t>Yves Saint Laurent</t>
        </is>
      </c>
      <c r="E17392" t="n">
        <v>34.62</v>
      </c>
      <c r="F17392" t="n">
        <v>1</v>
      </c>
      <c r="G17392" t="n">
        <v>4</v>
      </c>
      <c r="H17392" s="5">
        <f>HYPERLINK("https://api.qogita.com/variants/link/3614273945431/", "View Product")</f>
        <v/>
      </c>
    </row>
    <row r="17393">
      <c r="A17393" t="inlineStr">
        <is>
          <t>3614273947770</t>
        </is>
      </c>
      <c r="B17393" t="inlineStr">
        <is>
          <t>Giorgio Armani My Way Nectar Eau De Parfum Spray 50ml</t>
        </is>
      </c>
      <c r="C17393" t="inlineStr">
        <is>
          <t>Eau De Parfum</t>
        </is>
      </c>
      <c r="D17393" t="inlineStr">
        <is>
          <t>Giorgio Armani</t>
        </is>
      </c>
      <c r="E17393" t="n">
        <v>63.29</v>
      </c>
      <c r="F17393" t="n">
        <v>1</v>
      </c>
      <c r="G17393" t="n">
        <v>20</v>
      </c>
      <c r="H17393" s="5">
        <f>HYPERLINK("https://api.qogita.com/variants/link/3614273947770/", "View Product")</f>
        <v/>
      </c>
    </row>
    <row r="17394">
      <c r="A17394" t="inlineStr">
        <is>
          <t>3614273949996</t>
        </is>
      </c>
      <c r="B17394" t="inlineStr">
        <is>
          <t>Giorgio Armani Lip Power Matte Lipstick - 3 Grams</t>
        </is>
      </c>
      <c r="C17394" t="inlineStr">
        <is>
          <t>Lipstick</t>
        </is>
      </c>
      <c r="D17394" t="inlineStr">
        <is>
          <t>Giorgio Armani</t>
        </is>
      </c>
      <c r="E17394" t="n">
        <v>36.26</v>
      </c>
      <c r="F17394" t="n">
        <v>1</v>
      </c>
      <c r="G17394" t="n">
        <v>3</v>
      </c>
      <c r="H17394" s="5">
        <f>HYPERLINK("https://api.qogita.com/variants/link/3614273949996/", "View Product")</f>
        <v/>
      </c>
    </row>
    <row r="17395">
      <c r="A17395" t="inlineStr">
        <is>
          <t>3614273950770</t>
        </is>
      </c>
      <c r="B17395" t="inlineStr">
        <is>
          <t>Lancome Gift Box La Vie Est Belle EDP 50ml + Body Lotion 50ml + Mini Mascara</t>
        </is>
      </c>
      <c r="C17395" t="inlineStr">
        <is>
          <t>Fragrance Sets</t>
        </is>
      </c>
      <c r="D17395" t="inlineStr">
        <is>
          <t>Lancôme</t>
        </is>
      </c>
      <c r="E17395" t="n">
        <v>80.51000000000001</v>
      </c>
      <c r="F17395" t="n">
        <v>1</v>
      </c>
      <c r="G17395" t="n">
        <v>2</v>
      </c>
      <c r="H17395" s="5">
        <f>HYPERLINK("https://api.qogita.com/variants/link/3614273950770/", "View Product")</f>
        <v/>
      </c>
    </row>
    <row r="17396">
      <c r="A17396" t="inlineStr">
        <is>
          <t>3614273950787</t>
        </is>
      </c>
      <c r="B17396" t="inlineStr">
        <is>
          <t>Lancome La Vie Est Belle Eau de Parfum 30ml and Body Lotion 50ml Set for Women</t>
        </is>
      </c>
      <c r="C17396" t="inlineStr">
        <is>
          <t>Fragrance Sets</t>
        </is>
      </c>
      <c r="D17396" t="inlineStr">
        <is>
          <t>Lancôme</t>
        </is>
      </c>
      <c r="E17396" t="n">
        <v>58.18</v>
      </c>
      <c r="F17396" t="n">
        <v>1</v>
      </c>
      <c r="G17396" t="n">
        <v>36</v>
      </c>
      <c r="H17396" s="5">
        <f>HYPERLINK("https://api.qogita.com/variants/link/3614273950787/", "View Product")</f>
        <v/>
      </c>
    </row>
    <row r="17397">
      <c r="A17397" t="inlineStr">
        <is>
          <t>3614273950992</t>
        </is>
      </c>
      <c r="B17397" t="inlineStr">
        <is>
          <t>Thierry Mugler Alien Goddess Eau De Parfum 60 Ml</t>
        </is>
      </c>
      <c r="C17397" t="inlineStr">
        <is>
          <t>Eau De Parfum</t>
        </is>
      </c>
      <c r="D17397" t="inlineStr">
        <is>
          <t>Thierry Mugler</t>
        </is>
      </c>
      <c r="E17397" t="n">
        <v>57.65</v>
      </c>
      <c r="F17397" t="n">
        <v>1</v>
      </c>
      <c r="G17397" t="n">
        <v>37</v>
      </c>
      <c r="H17397" s="5">
        <f>HYPERLINK("https://api.qogita.com/variants/link/3614273950992/", "View Product")</f>
        <v/>
      </c>
    </row>
    <row r="17398">
      <c r="A17398" t="inlineStr">
        <is>
          <t>3614273953696</t>
        </is>
      </c>
      <c r="B17398" t="inlineStr">
        <is>
          <t>Giorgio Armani Acqua Di Gio Profondo Perfume Spray 100ml</t>
        </is>
      </c>
      <c r="C17398" t="inlineStr">
        <is>
          <t>Eau De Parfum</t>
        </is>
      </c>
      <c r="D17398" t="inlineStr">
        <is>
          <t>Giorgio Armani</t>
        </is>
      </c>
      <c r="E17398" t="n">
        <v>86.53</v>
      </c>
      <c r="F17398" t="n">
        <v>1</v>
      </c>
      <c r="G17398" t="n">
        <v>24</v>
      </c>
      <c r="H17398" s="5">
        <f>HYPERLINK("https://api.qogita.com/variants/link/3614273953696/", "View Product")</f>
        <v/>
      </c>
    </row>
    <row r="17399">
      <c r="A17399" t="inlineStr">
        <is>
          <t>3614273953849</t>
        </is>
      </c>
      <c r="B17399" t="inlineStr">
        <is>
          <t>Giorgio Armani Acqua Di Gio Profondo Eau De Parfum 100ml</t>
        </is>
      </c>
      <c r="C17399" t="inlineStr">
        <is>
          <t>Eau De Parfum</t>
        </is>
      </c>
      <c r="D17399" t="inlineStr">
        <is>
          <t>Giorgio Armani</t>
        </is>
      </c>
      <c r="E17399" t="n">
        <v>75.54000000000001</v>
      </c>
      <c r="F17399" t="n">
        <v>1</v>
      </c>
      <c r="G17399" t="n">
        <v>103</v>
      </c>
      <c r="H17399" s="5">
        <f>HYPERLINK("https://api.qogita.com/variants/link/3614273953849/", "View Product")</f>
        <v/>
      </c>
    </row>
    <row r="17400">
      <c r="A17400" t="inlineStr">
        <is>
          <t>3614273954280</t>
        </is>
      </c>
      <c r="B17400" t="inlineStr">
        <is>
          <t>GIORGIO ARMANI Luminous Silk Glow Blush No11 In Love 36g</t>
        </is>
      </c>
      <c r="C17400" t="inlineStr">
        <is>
          <t>Blush</t>
        </is>
      </c>
      <c r="D17400" t="inlineStr">
        <is>
          <t>Giorgio Armani</t>
        </is>
      </c>
      <c r="E17400" t="n">
        <v>39.64</v>
      </c>
      <c r="F17400" t="n">
        <v>1</v>
      </c>
      <c r="G17400" t="n">
        <v>5</v>
      </c>
      <c r="H17400" s="5">
        <f>HYPERLINK("https://api.qogita.com/variants/link/3614273954280/", "View Product")</f>
        <v/>
      </c>
    </row>
    <row r="17401">
      <c r="A17401" t="inlineStr">
        <is>
          <t>3614273954372</t>
        </is>
      </c>
      <c r="B17401" t="inlineStr">
        <is>
          <t>Yves Saint Laurent All Hours Precise Angles Concealer 15 Ml Lc5</t>
        </is>
      </c>
      <c r="C17401" t="inlineStr">
        <is>
          <t>Concealer</t>
        </is>
      </c>
      <c r="D17401" t="inlineStr">
        <is>
          <t>Yves Saint Laurent</t>
        </is>
      </c>
      <c r="E17401" t="n">
        <v>30.28</v>
      </c>
      <c r="F17401" t="n">
        <v>1</v>
      </c>
      <c r="G17401" t="n">
        <v>3</v>
      </c>
      <c r="H17401" s="5">
        <f>HYPERLINK("https://api.qogita.com/variants/link/3614273954372/", "View Product")</f>
        <v/>
      </c>
    </row>
    <row r="17402">
      <c r="A17402" t="inlineStr">
        <is>
          <t>3614273954471</t>
        </is>
      </c>
      <c r="B17402" t="inlineStr">
        <is>
          <t>Yves Saint Laurent All Hours Precise Angles Concealer N.DN1</t>
        </is>
      </c>
      <c r="C17402" t="inlineStr">
        <is>
          <t>Concealer</t>
        </is>
      </c>
      <c r="D17402" t="inlineStr">
        <is>
          <t>Yves Saint Laurent</t>
        </is>
      </c>
      <c r="E17402" t="n">
        <v>25.52</v>
      </c>
      <c r="F17402" t="n">
        <v>1</v>
      </c>
      <c r="G17402" t="n">
        <v>5</v>
      </c>
      <c r="H17402" s="5">
        <f>HYPERLINK("https://api.qogita.com/variants/link/3614273954471/", "View Product")</f>
        <v/>
      </c>
    </row>
    <row r="17403">
      <c r="A17403" t="inlineStr">
        <is>
          <t>3614273955416</t>
        </is>
      </c>
      <c r="B17403" t="inlineStr">
        <is>
          <t>Giorgio Armani Acqua Di Gi Pour Homme Eau De Parfum 50ml</t>
        </is>
      </c>
      <c r="C17403" t="inlineStr">
        <is>
          <t>Eau De Parfum</t>
        </is>
      </c>
      <c r="D17403" t="inlineStr">
        <is>
          <t>Giorgio Armani</t>
        </is>
      </c>
      <c r="E17403" t="n">
        <v>51.81</v>
      </c>
      <c r="F17403" t="n">
        <v>1</v>
      </c>
      <c r="G17403" t="n">
        <v>10</v>
      </c>
      <c r="H17403" s="5">
        <f>HYPERLINK("https://api.qogita.com/variants/link/3614273955416/", "View Product")</f>
        <v/>
      </c>
    </row>
    <row r="17404">
      <c r="A17404" t="inlineStr">
        <is>
          <t>3614273970365</t>
        </is>
      </c>
      <c r="B17404" t="inlineStr">
        <is>
          <t>Biotherm Force Supreme Blue Serum Lpxr 30ml Firming Skin Serum For Men</t>
        </is>
      </c>
      <c r="C17404" t="inlineStr">
        <is>
          <t>Anti-Aging Serum</t>
        </is>
      </c>
      <c r="D17404" t="inlineStr">
        <is>
          <t>Biotherm</t>
        </is>
      </c>
      <c r="E17404" t="n">
        <v>52.2</v>
      </c>
      <c r="F17404" t="n">
        <v>1</v>
      </c>
      <c r="G17404" t="n">
        <v>2</v>
      </c>
      <c r="H17404" s="5">
        <f>HYPERLINK("https://api.qogita.com/variants/link/3614273970365/", "View Product")</f>
        <v/>
      </c>
    </row>
    <row r="17405">
      <c r="A17405" t="inlineStr">
        <is>
          <t>3614273988612</t>
        </is>
      </c>
      <c r="B17405" t="inlineStr">
        <is>
          <t>Lancme Teint Idole Ultra Wear Care &amp; Glow Concealer 430c 13 Ml</t>
        </is>
      </c>
      <c r="C17405" t="inlineStr">
        <is>
          <t>Concealer</t>
        </is>
      </c>
      <c r="D17405" t="inlineStr">
        <is>
          <t>Lancôme</t>
        </is>
      </c>
      <c r="E17405" t="n">
        <v>25.52</v>
      </c>
      <c r="F17405" t="n">
        <v>1</v>
      </c>
      <c r="G17405" t="n">
        <v>2</v>
      </c>
      <c r="H17405" s="5">
        <f>HYPERLINK("https://api.qogita.com/variants/link/3614273988612/", "View Product")</f>
        <v/>
      </c>
    </row>
    <row r="17406">
      <c r="A17406" t="inlineStr">
        <is>
          <t>3614273991599</t>
        </is>
      </c>
      <c r="B17406" t="inlineStr">
        <is>
          <t>Lancome Two-Phase Skin Essence Clarifique Double Treatment Essence 250 Ml</t>
        </is>
      </c>
      <c r="C17406" t="inlineStr">
        <is>
          <t>Face Cream</t>
        </is>
      </c>
      <c r="D17406" t="inlineStr">
        <is>
          <t>Lancôme</t>
        </is>
      </c>
      <c r="E17406" t="n">
        <v>109.22</v>
      </c>
      <c r="F17406" t="n">
        <v>1</v>
      </c>
      <c r="G17406" t="n">
        <v>6</v>
      </c>
      <c r="H17406" s="5">
        <f>HYPERLINK("https://api.qogita.com/variants/link/3614273991599/", "View Product")</f>
        <v/>
      </c>
    </row>
    <row r="17407">
      <c r="A17407" t="inlineStr">
        <is>
          <t>3614273991865</t>
        </is>
      </c>
      <c r="B17407" t="inlineStr">
        <is>
          <t>Prada Luna Rossa Black Eau De Parfum Refill</t>
        </is>
      </c>
      <c r="C17407" t="inlineStr">
        <is>
          <t>Refillable Fragrances &amp; Refills</t>
        </is>
      </c>
      <c r="D17407" t="inlineStr">
        <is>
          <t>Prada</t>
        </is>
      </c>
      <c r="E17407" t="n">
        <v>117.83</v>
      </c>
      <c r="F17407" t="n">
        <v>1</v>
      </c>
      <c r="G17407" t="n">
        <v>14</v>
      </c>
      <c r="H17407" s="5">
        <f>HYPERLINK("https://api.qogita.com/variants/link/3614273991865/", "View Product")</f>
        <v/>
      </c>
    </row>
    <row r="17408">
      <c r="A17408" t="inlineStr">
        <is>
          <t>3614273995689</t>
        </is>
      </c>
      <c r="B17408" t="inlineStr">
        <is>
          <t>Giorgio Armani Armani Si Eau De Parfum Set 100ml Spray 50ml Shower Gel 50ml Body Lotion</t>
        </is>
      </c>
      <c r="C17408" t="inlineStr">
        <is>
          <t>Fragrance Sets</t>
        </is>
      </c>
      <c r="D17408" t="inlineStr">
        <is>
          <t>Giorgio Armani</t>
        </is>
      </c>
      <c r="E17408" t="n">
        <v>104.57</v>
      </c>
      <c r="F17408" t="n">
        <v>1</v>
      </c>
      <c r="G17408" t="n">
        <v>5</v>
      </c>
      <c r="H17408" s="5">
        <f>HYPERLINK("https://api.qogita.com/variants/link/3614273995689/", "View Product")</f>
        <v/>
      </c>
    </row>
    <row r="17409">
      <c r="A17409" t="inlineStr">
        <is>
          <t>3614274000597</t>
        </is>
      </c>
      <c r="B17409" t="inlineStr">
        <is>
          <t>Paradoxe Virtual Flower by Prada for Women - 3 Oz EDP Spray</t>
        </is>
      </c>
      <c r="C17409" t="inlineStr">
        <is>
          <t>Eau De Parfum</t>
        </is>
      </c>
      <c r="D17409" t="inlineStr">
        <is>
          <t>Prada</t>
        </is>
      </c>
      <c r="E17409" t="n">
        <v>90.3</v>
      </c>
      <c r="F17409" t="n">
        <v>1</v>
      </c>
      <c r="G17409" t="n">
        <v>14</v>
      </c>
      <c r="H17409" s="5">
        <f>HYPERLINK("https://api.qogita.com/variants/link/3614274000597/", "View Product")</f>
        <v/>
      </c>
    </row>
    <row r="17410">
      <c r="A17410" t="inlineStr">
        <is>
          <t>3614274024760</t>
        </is>
      </c>
      <c r="B17410" t="inlineStr">
        <is>
          <t>Valentino Donna Born In Roma Green Eau De Parfum Spray 100ml</t>
        </is>
      </c>
      <c r="C17410" t="inlineStr">
        <is>
          <t>Eau De Parfum</t>
        </is>
      </c>
      <c r="D17410" t="inlineStr">
        <is>
          <t>Valentino</t>
        </is>
      </c>
      <c r="E17410" t="n">
        <v>98.09999999999999</v>
      </c>
      <c r="F17410" t="n">
        <v>1</v>
      </c>
      <c r="G17410" t="n">
        <v>65</v>
      </c>
      <c r="H17410" s="5">
        <f>HYPERLINK("https://api.qogita.com/variants/link/3614274024760/", "View Product")</f>
        <v/>
      </c>
    </row>
    <row r="17411">
      <c r="A17411" t="inlineStr">
        <is>
          <t>3614274025637</t>
        </is>
      </c>
      <c r="B17411" t="inlineStr">
        <is>
          <t>Yves Saint Laurent Y Elixir Parfum Spray 60ml</t>
        </is>
      </c>
      <c r="C17411" t="inlineStr">
        <is>
          <t>Eau De Parfum</t>
        </is>
      </c>
      <c r="D17411" t="inlineStr">
        <is>
          <t>Yves Saint Laurent</t>
        </is>
      </c>
      <c r="E17411" t="n">
        <v>80.75</v>
      </c>
      <c r="F17411" t="n">
        <v>1</v>
      </c>
      <c r="G17411" t="n">
        <v>65</v>
      </c>
      <c r="H17411" s="5">
        <f>HYPERLINK("https://api.qogita.com/variants/link/3614274025637/", "View Product")</f>
        <v/>
      </c>
    </row>
    <row r="17412">
      <c r="A17412" t="inlineStr">
        <is>
          <t>3614274066999</t>
        </is>
      </c>
      <c r="B17412" t="inlineStr">
        <is>
          <t>Thierry Mugler Alien Hypersense Eau De Parfum Refillable Spray 90ml</t>
        </is>
      </c>
      <c r="C17412" t="inlineStr">
        <is>
          <t>Eau De Parfum</t>
        </is>
      </c>
      <c r="D17412" t="inlineStr">
        <is>
          <t>Thierry Mugler</t>
        </is>
      </c>
      <c r="E17412" t="n">
        <v>64.37</v>
      </c>
      <c r="F17412" t="n">
        <v>1</v>
      </c>
      <c r="G17412" t="n">
        <v>8</v>
      </c>
      <c r="H17412" s="5">
        <f>HYPERLINK("https://api.qogita.com/variants/link/3614274066999/", "View Product")</f>
        <v/>
      </c>
    </row>
    <row r="17413">
      <c r="A17413" t="inlineStr">
        <is>
          <t>3614274067002</t>
        </is>
      </c>
      <c r="B17413" t="inlineStr">
        <is>
          <t>Thierry Mugler Alien Hypersense Eau De Parfum Refillable Spray 30ml</t>
        </is>
      </c>
      <c r="C17413" t="inlineStr">
        <is>
          <t>Eau De Parfum</t>
        </is>
      </c>
      <c r="D17413" t="inlineStr">
        <is>
          <t>Thierry Mugler</t>
        </is>
      </c>
      <c r="E17413" t="n">
        <v>40.86</v>
      </c>
      <c r="F17413" t="n">
        <v>1</v>
      </c>
      <c r="G17413" t="n">
        <v>97</v>
      </c>
      <c r="H17413" s="5">
        <f>HYPERLINK("https://api.qogita.com/variants/link/3614274067002/", "View Product")</f>
        <v/>
      </c>
    </row>
    <row r="17414">
      <c r="A17414" t="inlineStr">
        <is>
          <t>3614274067071</t>
        </is>
      </c>
      <c r="B17414" t="inlineStr">
        <is>
          <t>Thierry Mugler Alien Hypersense Eau De Parfum Refill 100ml</t>
        </is>
      </c>
      <c r="C17414" t="inlineStr">
        <is>
          <t>Refillable Fragrances &amp; Refills</t>
        </is>
      </c>
      <c r="D17414" t="inlineStr">
        <is>
          <t>Thierry Mugler</t>
        </is>
      </c>
      <c r="E17414" t="n">
        <v>73.02</v>
      </c>
      <c r="F17414" t="n">
        <v>1</v>
      </c>
      <c r="G17414" t="n">
        <v>5</v>
      </c>
      <c r="H17414" s="5">
        <f>HYPERLINK("https://api.qogita.com/variants/link/3614274067071/", "View Product")</f>
        <v/>
      </c>
    </row>
    <row r="17415">
      <c r="A17415" t="inlineStr">
        <is>
          <t>3614274068818</t>
        </is>
      </c>
      <c r="B17415" t="inlineStr">
        <is>
          <t>Lancome La Nuit Tresor Le Parfum Eau De Parfum Spray 100ml</t>
        </is>
      </c>
      <c r="C17415" t="inlineStr">
        <is>
          <t>Eau De Parfum</t>
        </is>
      </c>
      <c r="D17415" t="inlineStr">
        <is>
          <t>Lancôme</t>
        </is>
      </c>
      <c r="E17415" t="n">
        <v>87.93000000000001</v>
      </c>
      <c r="F17415" t="n">
        <v>1</v>
      </c>
      <c r="G17415" t="n">
        <v>5</v>
      </c>
      <c r="H17415" s="5">
        <f>HYPERLINK("https://api.qogita.com/variants/link/3614274068818/", "View Product")</f>
        <v/>
      </c>
    </row>
    <row r="17416">
      <c r="A17416" t="inlineStr">
        <is>
          <t>3614274076745</t>
        </is>
      </c>
      <c r="B17416" t="inlineStr">
        <is>
          <t>Thierry Mugler Angel Fantasm Eau De Parfum 100ml</t>
        </is>
      </c>
      <c r="C17416" t="inlineStr">
        <is>
          <t>Eau De Parfum</t>
        </is>
      </c>
      <c r="D17416" t="inlineStr">
        <is>
          <t>Thierry Mugler</t>
        </is>
      </c>
      <c r="E17416" t="n">
        <v>68.5</v>
      </c>
      <c r="F17416" t="n">
        <v>1</v>
      </c>
      <c r="G17416" t="n">
        <v>194</v>
      </c>
      <c r="H17416" s="5">
        <f>HYPERLINK("https://api.qogita.com/variants/link/3614274076745/", "View Product")</f>
        <v/>
      </c>
    </row>
    <row r="17417">
      <c r="A17417" t="inlineStr">
        <is>
          <t>3614274076806</t>
        </is>
      </c>
      <c r="B17417" t="inlineStr">
        <is>
          <t>Mugler Angel Fantasm Eau De Parfum</t>
        </is>
      </c>
      <c r="C17417" t="inlineStr">
        <is>
          <t>Eau De Parfum</t>
        </is>
      </c>
      <c r="D17417" t="inlineStr">
        <is>
          <t>Mugler</t>
        </is>
      </c>
      <c r="E17417" t="n">
        <v>93.44</v>
      </c>
      <c r="F17417" t="n">
        <v>1</v>
      </c>
      <c r="G17417" t="n">
        <v>3</v>
      </c>
      <c r="H17417" s="5">
        <f>HYPERLINK("https://api.qogita.com/variants/link/3614274076806/", "View Product")</f>
        <v/>
      </c>
    </row>
    <row r="17418">
      <c r="A17418" t="inlineStr">
        <is>
          <t>3614274078107</t>
        </is>
      </c>
      <c r="B17418" t="inlineStr">
        <is>
          <t>Viktor &amp; Rolf Flowerbomb Gift Set, Eau de Parfum 100ml, Body Cream 200ml, Eau de Parfum Spray 10ml</t>
        </is>
      </c>
      <c r="C17418" t="inlineStr">
        <is>
          <t>Fragrance Sets</t>
        </is>
      </c>
      <c r="D17418" t="inlineStr">
        <is>
          <t>Viktor &amp; Rolf</t>
        </is>
      </c>
      <c r="E17418" t="n">
        <v>113.98</v>
      </c>
      <c r="F17418" t="n">
        <v>1</v>
      </c>
      <c r="G17418" t="n">
        <v>22</v>
      </c>
      <c r="H17418" s="5">
        <f>HYPERLINK("https://api.qogita.com/variants/link/3614274078107/", "View Product")</f>
        <v/>
      </c>
    </row>
    <row r="17419">
      <c r="A17419" t="inlineStr">
        <is>
          <t>3614274081176</t>
        </is>
      </c>
      <c r="B17419" t="inlineStr">
        <is>
          <t>Viktor Rolf Flowerbomb Tiger Lily Eau De Parfum 50ml</t>
        </is>
      </c>
      <c r="C17419" t="inlineStr">
        <is>
          <t>Eau De Parfum</t>
        </is>
      </c>
      <c r="D17419" t="inlineStr">
        <is>
          <t>Viktor &amp; Rolf</t>
        </is>
      </c>
      <c r="E17419" t="n">
        <v>50.25</v>
      </c>
      <c r="F17419" t="n">
        <v>1</v>
      </c>
      <c r="G17419" t="n">
        <v>6</v>
      </c>
      <c r="H17419" s="5">
        <f>HYPERLINK("https://api.qogita.com/variants/link/3614274081176/", "View Product")</f>
        <v/>
      </c>
    </row>
    <row r="17420">
      <c r="A17420" t="inlineStr">
        <is>
          <t>3614274085525</t>
        </is>
      </c>
      <c r="B17420" t="inlineStr">
        <is>
          <t>Thierry Mugler Angel Fantasm Eau De Parfum Refillable Spray 25ml</t>
        </is>
      </c>
      <c r="C17420" t="inlineStr">
        <is>
          <t>Eau De Parfum</t>
        </is>
      </c>
      <c r="D17420" t="inlineStr">
        <is>
          <t>Thierry Mugler</t>
        </is>
      </c>
      <c r="E17420" t="n">
        <v>60.57</v>
      </c>
      <c r="F17420" t="n">
        <v>1</v>
      </c>
      <c r="G17420" t="n">
        <v>5</v>
      </c>
      <c r="H17420" s="5">
        <f>HYPERLINK("https://api.qogita.com/variants/link/3614274085525/", "View Product")</f>
        <v/>
      </c>
    </row>
    <row r="17421">
      <c r="A17421" t="inlineStr">
        <is>
          <t>3614274091908</t>
        </is>
      </c>
      <c r="B17421" t="inlineStr">
        <is>
          <t>Giorgio Armani Acqua Di Gioia Eau De Parfum Intense 50ml</t>
        </is>
      </c>
      <c r="C17421" t="inlineStr">
        <is>
          <t>Eau De Parfum</t>
        </is>
      </c>
      <c r="D17421" t="inlineStr">
        <is>
          <t>Giorgio Armani</t>
        </is>
      </c>
      <c r="E17421" t="n">
        <v>80.43000000000001</v>
      </c>
      <c r="F17421" t="n">
        <v>1</v>
      </c>
      <c r="G17421" t="n">
        <v>16</v>
      </c>
      <c r="H17421" s="5">
        <f>HYPERLINK("https://api.qogita.com/variants/link/3614274091908/", "View Product")</f>
        <v/>
      </c>
    </row>
    <row r="17422">
      <c r="A17422" t="inlineStr">
        <is>
          <t>3614274093117</t>
        </is>
      </c>
      <c r="B17422" t="inlineStr">
        <is>
          <t>Yves Saint Laurent La Nuit De L'Homme Eau De Toilette Spray 100ml + Shower Gel 2x50ml</t>
        </is>
      </c>
      <c r="C17422" t="inlineStr">
        <is>
          <t>Fragrance Sets</t>
        </is>
      </c>
      <c r="D17422" t="inlineStr">
        <is>
          <t>Yves Saint Laurent</t>
        </is>
      </c>
      <c r="E17422" t="n">
        <v>83.95999999999999</v>
      </c>
      <c r="F17422" t="n">
        <v>1</v>
      </c>
      <c r="G17422" t="n">
        <v>9</v>
      </c>
      <c r="H17422" s="5">
        <f>HYPERLINK("https://api.qogita.com/variants/link/3614274093117/", "View Product")</f>
        <v/>
      </c>
    </row>
    <row r="17423">
      <c r="A17423" t="inlineStr">
        <is>
          <t>3614274096897</t>
        </is>
      </c>
      <c r="B17423" t="inlineStr">
        <is>
          <t>Biotherm Blue Peptides Uplift Cream Rich 50ml Daily Foaming Cream With Antiaging Effect</t>
        </is>
      </c>
      <c r="C17423" t="inlineStr">
        <is>
          <t>Day Cream</t>
        </is>
      </c>
      <c r="D17423" t="inlineStr">
        <is>
          <t>Biotherm</t>
        </is>
      </c>
      <c r="E17423" t="n">
        <v>58.73</v>
      </c>
      <c r="F17423" t="n">
        <v>1</v>
      </c>
      <c r="G17423" t="n">
        <v>3</v>
      </c>
      <c r="H17423" s="5">
        <f>HYPERLINK("https://api.qogita.com/variants/link/3614274096897/", "View Product")</f>
        <v/>
      </c>
    </row>
    <row r="17424">
      <c r="A17424" t="inlineStr">
        <is>
          <t>3614274097207</t>
        </is>
      </c>
      <c r="B17424" t="inlineStr">
        <is>
          <t>Lancme Hypnse Palette 5 Couleurs Eye Shadow Palette 19 Ardent Drama 4 G</t>
        </is>
      </c>
      <c r="C17424" t="inlineStr">
        <is>
          <t>Eye Sets &amp; Pallets</t>
        </is>
      </c>
      <c r="D17424" t="inlineStr">
        <is>
          <t>Lancôme</t>
        </is>
      </c>
      <c r="E17424" t="n">
        <v>42.38</v>
      </c>
      <c r="F17424" t="n">
        <v>1</v>
      </c>
      <c r="G17424" t="n">
        <v>30</v>
      </c>
      <c r="H17424" s="5">
        <f>HYPERLINK("https://api.qogita.com/variants/link/3614274097207/", "View Product")</f>
        <v/>
      </c>
    </row>
    <row r="17425">
      <c r="A17425" t="inlineStr">
        <is>
          <t>3614274109986</t>
        </is>
      </c>
      <c r="B17425" t="inlineStr">
        <is>
          <t>Armani Acqua Di Gio Eau De Parfum Gift Set 125 Ml And 15 Ml Miniature</t>
        </is>
      </c>
      <c r="C17425" t="inlineStr">
        <is>
          <t>Fragrance Sets</t>
        </is>
      </c>
      <c r="D17425" t="inlineStr">
        <is>
          <t>Armani</t>
        </is>
      </c>
      <c r="E17425" t="n">
        <v>99.34</v>
      </c>
      <c r="F17425" t="n">
        <v>1</v>
      </c>
      <c r="G17425" t="n">
        <v>26</v>
      </c>
      <c r="H17425" s="5">
        <f>HYPERLINK("https://api.qogita.com/variants/link/3614274109986/", "View Product")</f>
        <v/>
      </c>
    </row>
    <row r="17426">
      <c r="A17426" t="inlineStr">
        <is>
          <t>3614274110135</t>
        </is>
      </c>
      <c r="B17426" t="inlineStr">
        <is>
          <t>Lancme Teint Idole Ultra Wear Skin Transforming Bronzer 07 Deep 10 G</t>
        </is>
      </c>
      <c r="C17426" t="inlineStr">
        <is>
          <t>Bronzer</t>
        </is>
      </c>
      <c r="D17426" t="inlineStr">
        <is>
          <t>Lancôme</t>
        </is>
      </c>
      <c r="E17426" t="n">
        <v>35.85</v>
      </c>
      <c r="F17426" t="n">
        <v>1</v>
      </c>
      <c r="G17426" t="n">
        <v>2</v>
      </c>
      <c r="H17426" s="5">
        <f>HYPERLINK("https://api.qogita.com/variants/link/3614274110135/", "View Product")</f>
        <v/>
      </c>
    </row>
    <row r="17427">
      <c r="A17427" t="inlineStr">
        <is>
          <t>3614274114133</t>
        </is>
      </c>
      <c r="B17427" t="inlineStr">
        <is>
          <t>Replasty Eye Bandage</t>
        </is>
      </c>
      <c r="C17427" t="inlineStr">
        <is>
          <t>Eye Masks &amp; Eye Pads</t>
        </is>
      </c>
      <c r="D17427" t="inlineStr">
        <is>
          <t>Helena Rubinstein</t>
        </is>
      </c>
      <c r="E17427" t="n">
        <v>185.63</v>
      </c>
      <c r="F17427" t="n">
        <v>1</v>
      </c>
      <c r="G17427" t="n">
        <v>7</v>
      </c>
      <c r="H17427" s="5">
        <f>HYPERLINK("https://api.qogita.com/variants/link/3614274114133/", "View Product")</f>
        <v/>
      </c>
    </row>
    <row r="17428">
      <c r="A17428" t="inlineStr">
        <is>
          <t>3614274126891</t>
        </is>
      </c>
      <c r="B17428" t="inlineStr">
        <is>
          <t>Thierry Mugler Fantasm Eau De Parfum Sensuelle 50 Ml</t>
        </is>
      </c>
      <c r="C17428" t="inlineStr">
        <is>
          <t>Eau De Parfum</t>
        </is>
      </c>
      <c r="D17428" t="inlineStr">
        <is>
          <t>Thierry Mugler</t>
        </is>
      </c>
      <c r="E17428" t="n">
        <v>58.76</v>
      </c>
      <c r="F17428" t="n">
        <v>1</v>
      </c>
      <c r="G17428" t="n">
        <v>3</v>
      </c>
      <c r="H17428" s="5">
        <f>HYPERLINK("https://api.qogita.com/variants/link/3614274126891/", "View Product")</f>
        <v/>
      </c>
    </row>
    <row r="17429">
      <c r="A17429" t="inlineStr">
        <is>
          <t>3614274128260</t>
        </is>
      </c>
      <c r="B17429" t="inlineStr">
        <is>
          <t>Loveshine Candy Glow Lip Balm 1b Pink Sunrise by Yves Saint Laurent for Women</t>
        </is>
      </c>
      <c r="C17429" t="inlineStr">
        <is>
          <t>Lip Balm</t>
        </is>
      </c>
      <c r="D17429" t="inlineStr">
        <is>
          <t>Yves Saint Laurent</t>
        </is>
      </c>
      <c r="E17429" t="n">
        <v>39.2</v>
      </c>
      <c r="F17429" t="n">
        <v>1</v>
      </c>
      <c r="G17429" t="n">
        <v>8</v>
      </c>
      <c r="H17429" s="5">
        <f>HYPERLINK("https://api.qogita.com/variants/link/3614274128260/", "View Product")</f>
        <v/>
      </c>
    </row>
    <row r="17430">
      <c r="A17430" t="inlineStr">
        <is>
          <t>3614274129267</t>
        </is>
      </c>
      <c r="B17430" t="inlineStr">
        <is>
          <t>Azzaro The Most Wanted Intense Eau De Toilette 50ml</t>
        </is>
      </c>
      <c r="C17430" t="inlineStr">
        <is>
          <t>Eau De Toilette</t>
        </is>
      </c>
      <c r="D17430" t="inlineStr">
        <is>
          <t>Azzaro</t>
        </is>
      </c>
      <c r="E17430" t="n">
        <v>36.56</v>
      </c>
      <c r="F17430" t="n">
        <v>1</v>
      </c>
      <c r="G17430" t="n">
        <v>23</v>
      </c>
      <c r="H17430" s="5">
        <f>HYPERLINK("https://api.qogita.com/variants/link/3614274129267/", "View Product")</f>
        <v/>
      </c>
    </row>
    <row r="17431">
      <c r="A17431" t="inlineStr">
        <is>
          <t>3614274132618</t>
        </is>
      </c>
      <c r="B17431" t="inlineStr">
        <is>
          <t>Loveshine Lipstick Giving Lips A Wet Shine Effect 12 Electric Love 3.2g</t>
        </is>
      </c>
      <c r="C17431" t="inlineStr">
        <is>
          <t>Lipstick</t>
        </is>
      </c>
      <c r="D17431" t="inlineStr">
        <is>
          <t>L'Obizable</t>
        </is>
      </c>
      <c r="E17431" t="n">
        <v>34.53</v>
      </c>
      <c r="F17431" t="n">
        <v>1</v>
      </c>
      <c r="G17431" t="n">
        <v>3</v>
      </c>
      <c r="H17431" s="5">
        <f>HYPERLINK("https://api.qogita.com/variants/link/3614274132618/", "View Product")</f>
        <v/>
      </c>
    </row>
    <row r="17432">
      <c r="A17432" t="inlineStr">
        <is>
          <t>3614274132649</t>
        </is>
      </c>
      <c r="B17432" t="inlineStr">
        <is>
          <t>Yves Saint Laurent Loveshine Glossy Lipstick 32 G 80 Glowing Lava</t>
        </is>
      </c>
      <c r="C17432" t="inlineStr">
        <is>
          <t>Lipstick</t>
        </is>
      </c>
      <c r="D17432" t="inlineStr">
        <is>
          <t>Yves Saint Laurent</t>
        </is>
      </c>
      <c r="E17432" t="n">
        <v>33.51</v>
      </c>
      <c r="F17432" t="n">
        <v>1</v>
      </c>
      <c r="G17432" t="n">
        <v>3</v>
      </c>
      <c r="H17432" s="5">
        <f>HYPERLINK("https://api.qogita.com/variants/link/3614274132649/", "View Product")</f>
        <v/>
      </c>
    </row>
    <row r="17433">
      <c r="A17433" t="inlineStr">
        <is>
          <t>3614274132786</t>
        </is>
      </c>
      <c r="B17433" t="inlineStr">
        <is>
          <t>Yves Saint Laurent Loveshine Wet Shine Lipstick 210 Passion Red 32 G</t>
        </is>
      </c>
      <c r="C17433" t="inlineStr">
        <is>
          <t>Lipstick</t>
        </is>
      </c>
      <c r="D17433" t="inlineStr">
        <is>
          <t>Yves Saint Laurent</t>
        </is>
      </c>
      <c r="E17433" t="n">
        <v>34.33</v>
      </c>
      <c r="F17433" t="n">
        <v>1</v>
      </c>
      <c r="G17433" t="n">
        <v>2</v>
      </c>
      <c r="H17433" s="5">
        <f>HYPERLINK("https://api.qogita.com/variants/link/3614274132786/", "View Product")</f>
        <v/>
      </c>
    </row>
    <row r="17434">
      <c r="A17434" t="inlineStr">
        <is>
          <t>3614274139327</t>
        </is>
      </c>
      <c r="B17434" t="inlineStr">
        <is>
          <t>Diesel Only The Brave Men's Fragrance</t>
        </is>
      </c>
      <c r="C17434" t="inlineStr">
        <is>
          <t>Eau De Toilette</t>
        </is>
      </c>
      <c r="D17434" t="inlineStr">
        <is>
          <t>Diesel</t>
        </is>
      </c>
      <c r="E17434" t="n">
        <v>37.75</v>
      </c>
      <c r="F17434" t="n">
        <v>1</v>
      </c>
      <c r="G17434" t="n">
        <v>3</v>
      </c>
      <c r="H17434" s="5">
        <f>HYPERLINK("https://api.qogita.com/variants/link/3614274139327/", "View Product")</f>
        <v/>
      </c>
    </row>
    <row r="17435">
      <c r="A17435" t="inlineStr">
        <is>
          <t>3614274151145</t>
        </is>
      </c>
      <c r="B17435" t="inlineStr">
        <is>
          <t>Yves Saint Laurent Libre Flowers &amp; Flames Eau De Parfum 30ml</t>
        </is>
      </c>
      <c r="C17435" t="inlineStr">
        <is>
          <t>Eau De Parfum</t>
        </is>
      </c>
      <c r="D17435" t="inlineStr">
        <is>
          <t>Yves Saint Laurent</t>
        </is>
      </c>
      <c r="E17435" t="n">
        <v>59.1</v>
      </c>
      <c r="F17435" t="n">
        <v>1</v>
      </c>
      <c r="G17435" t="n">
        <v>17</v>
      </c>
      <c r="H17435" s="5">
        <f>HYPERLINK("https://api.qogita.com/variants/link/3614274151145/", "View Product")</f>
        <v/>
      </c>
    </row>
    <row r="17436">
      <c r="A17436" t="inlineStr">
        <is>
          <t>3614274154375</t>
        </is>
      </c>
      <c r="B17436" t="inlineStr">
        <is>
          <t>Armani Beauty Prisma Glass Hydrating Lip Gloss Candy Halo 02</t>
        </is>
      </c>
      <c r="C17436" t="inlineStr">
        <is>
          <t>Lip Gloss</t>
        </is>
      </c>
      <c r="D17436" t="inlineStr">
        <is>
          <t>Giorgio Armani</t>
        </is>
      </c>
      <c r="E17436" t="n">
        <v>38.67</v>
      </c>
      <c r="F17436" t="n">
        <v>1</v>
      </c>
      <c r="G17436" t="n">
        <v>8</v>
      </c>
      <c r="H17436" s="5">
        <f>HYPERLINK("https://api.qogita.com/variants/link/3614274154375/", "View Product")</f>
        <v/>
      </c>
    </row>
    <row r="17437">
      <c r="A17437" t="inlineStr">
        <is>
          <t>3614274156911</t>
        </is>
      </c>
      <c r="B17437" t="inlineStr">
        <is>
          <t>Biotherm Biocorps Body Serum 200ml Anti-Blemish</t>
        </is>
      </c>
      <c r="C17437" t="inlineStr">
        <is>
          <t>Body Lotion</t>
        </is>
      </c>
      <c r="D17437" t="inlineStr">
        <is>
          <t>Biotherm</t>
        </is>
      </c>
      <c r="E17437" t="n">
        <v>30.66</v>
      </c>
      <c r="F17437" t="n">
        <v>1</v>
      </c>
      <c r="G17437" t="n">
        <v>7</v>
      </c>
      <c r="H17437" s="5">
        <f>HYPERLINK("https://api.qogita.com/variants/link/3614274156911/", "View Product")</f>
        <v/>
      </c>
    </row>
    <row r="17438">
      <c r="A17438" t="inlineStr">
        <is>
          <t>3614274158113</t>
        </is>
      </c>
      <c r="B17438" t="inlineStr">
        <is>
          <t>Viktor &amp; Rolf Spicebomb Dark Leather 100ml Eau de Parfum Spray</t>
        </is>
      </c>
      <c r="C17438" t="inlineStr">
        <is>
          <t>Eau De Parfum</t>
        </is>
      </c>
      <c r="D17438" t="inlineStr">
        <is>
          <t>Viktor &amp; Rolf</t>
        </is>
      </c>
      <c r="E17438" t="n">
        <v>77.81</v>
      </c>
      <c r="F17438" t="n">
        <v>1</v>
      </c>
      <c r="G17438" t="n">
        <v>4</v>
      </c>
      <c r="H17438" s="5">
        <f>HYPERLINK("https://api.qogita.com/variants/link/3614274158113/", "View Product")</f>
        <v/>
      </c>
    </row>
    <row r="17439">
      <c r="A17439" t="inlineStr">
        <is>
          <t>3614274158120</t>
        </is>
      </c>
      <c r="B17439" t="inlineStr">
        <is>
          <t>Viktor &amp; Rolf Spicebomb Dark Leather 50ml Eau de Parfum Spray</t>
        </is>
      </c>
      <c r="C17439" t="inlineStr">
        <is>
          <t>Eau De Parfum</t>
        </is>
      </c>
      <c r="D17439" t="inlineStr">
        <is>
          <t>Viktor &amp; Rolf</t>
        </is>
      </c>
      <c r="E17439" t="n">
        <v>50.25</v>
      </c>
      <c r="F17439" t="n">
        <v>1</v>
      </c>
      <c r="G17439" t="n">
        <v>6</v>
      </c>
      <c r="H17439" s="5">
        <f>HYPERLINK("https://api.qogita.com/variants/link/3614274158120/", "View Product")</f>
        <v/>
      </c>
    </row>
    <row r="17440">
      <c r="A17440" t="inlineStr">
        <is>
          <t>3614274158540</t>
        </is>
      </c>
      <c r="B17440" t="inlineStr">
        <is>
          <t>Lancme Hydra Zen Cream Soothing Hydrating Skin Cream 50 Ml</t>
        </is>
      </c>
      <c r="C17440" t="inlineStr">
        <is>
          <t>Face Cream</t>
        </is>
      </c>
      <c r="D17440" t="inlineStr">
        <is>
          <t>Lancôme</t>
        </is>
      </c>
      <c r="E17440" t="n">
        <v>50.77</v>
      </c>
      <c r="F17440" t="n">
        <v>1</v>
      </c>
      <c r="G17440" t="n">
        <v>31</v>
      </c>
      <c r="H17440" s="5">
        <f>HYPERLINK("https://api.qogita.com/variants/link/3614274158540/", "View Product")</f>
        <v/>
      </c>
    </row>
    <row r="17441">
      <c r="A17441" t="inlineStr">
        <is>
          <t>3614274160697</t>
        </is>
      </c>
      <c r="B17441" t="inlineStr">
        <is>
          <t>Lancme Monsieur Big Mascara Set</t>
        </is>
      </c>
      <c r="C17441" t="inlineStr">
        <is>
          <t>Mascara</t>
        </is>
      </c>
      <c r="D17441" t="inlineStr">
        <is>
          <t>Lancôme</t>
        </is>
      </c>
      <c r="E17441" t="n">
        <v>32.32</v>
      </c>
      <c r="F17441" t="n">
        <v>1</v>
      </c>
      <c r="G17441" t="n">
        <v>11</v>
      </c>
      <c r="H17441" s="5">
        <f>HYPERLINK("https://api.qogita.com/variants/link/3614274160697/", "View Product")</f>
        <v/>
      </c>
    </row>
    <row r="17442">
      <c r="A17442" t="inlineStr">
        <is>
          <t>3614274160734</t>
        </is>
      </c>
      <c r="B17442" t="inlineStr">
        <is>
          <t>Lancme Hypnse Mascara Set</t>
        </is>
      </c>
      <c r="C17442" t="inlineStr">
        <is>
          <t>Mascara</t>
        </is>
      </c>
      <c r="D17442" t="inlineStr">
        <is>
          <t>Lancôme</t>
        </is>
      </c>
      <c r="E17442" t="n">
        <v>33.81</v>
      </c>
      <c r="F17442" t="n">
        <v>1</v>
      </c>
      <c r="G17442" t="n">
        <v>26</v>
      </c>
      <c r="H17442" s="5">
        <f>HYPERLINK("https://api.qogita.com/variants/link/3614274160734/", "View Product")</f>
        <v/>
      </c>
    </row>
    <row r="17443">
      <c r="A17443" t="inlineStr">
        <is>
          <t>3614274168983</t>
        </is>
      </c>
      <c r="B17443" t="inlineStr">
        <is>
          <t>Giorgio Armani Luminous Silk Acqua - 12 Ml</t>
        </is>
      </c>
      <c r="C17443" t="inlineStr">
        <is>
          <t>Foundation</t>
        </is>
      </c>
      <c r="D17443" t="inlineStr">
        <is>
          <t>Giorgio Armani</t>
        </is>
      </c>
      <c r="E17443" t="n">
        <v>31.26</v>
      </c>
      <c r="F17443" t="n">
        <v>1</v>
      </c>
      <c r="G17443" t="n">
        <v>6</v>
      </c>
      <c r="H17443" s="5">
        <f>HYPERLINK("https://api.qogita.com/variants/link/3614274168983/", "View Product")</f>
        <v/>
      </c>
    </row>
    <row r="17444">
      <c r="A17444" t="inlineStr">
        <is>
          <t>3614274168990</t>
        </is>
      </c>
      <c r="B17444" t="inlineStr">
        <is>
          <t>Giorgio Armani Luminous Silk Acqua - 12 Ml</t>
        </is>
      </c>
      <c r="C17444" t="inlineStr">
        <is>
          <t>Foundation</t>
        </is>
      </c>
      <c r="D17444" t="inlineStr">
        <is>
          <t>Giorgio Armani</t>
        </is>
      </c>
      <c r="E17444" t="n">
        <v>31.26</v>
      </c>
      <c r="F17444" t="n">
        <v>1</v>
      </c>
      <c r="G17444" t="n">
        <v>3</v>
      </c>
      <c r="H17444" s="5">
        <f>HYPERLINK("https://api.qogita.com/variants/link/3614274168990/", "View Product")</f>
        <v/>
      </c>
    </row>
    <row r="17445">
      <c r="A17445" t="inlineStr">
        <is>
          <t>3614274169775</t>
        </is>
      </c>
      <c r="B17445" t="inlineStr">
        <is>
          <t>Lancme Hydrating Lip Balm Lip Idle Butterglow 3 G Lisa's Coral Glow</t>
        </is>
      </c>
      <c r="C17445" t="inlineStr">
        <is>
          <t>Lip Balm</t>
        </is>
      </c>
      <c r="D17445" t="inlineStr">
        <is>
          <t>Lancôme</t>
        </is>
      </c>
      <c r="E17445" t="n">
        <v>28.47</v>
      </c>
      <c r="F17445" t="n">
        <v>1</v>
      </c>
      <c r="G17445" t="n">
        <v>3</v>
      </c>
      <c r="H17445" s="5">
        <f>HYPERLINK("https://api.qogita.com/variants/link/3614274169775/", "View Product")</f>
        <v/>
      </c>
    </row>
    <row r="17446">
      <c r="A17446" t="inlineStr">
        <is>
          <t>3614274169881</t>
        </is>
      </c>
      <c r="B17446" t="inlineStr">
        <is>
          <t>Lancme Lip Idle Squalane12 Butterglow 60 Million Dollar Berry Hydrating Lip Balm 3 G</t>
        </is>
      </c>
      <c r="C17446" t="inlineStr">
        <is>
          <t>Lip Balm</t>
        </is>
      </c>
      <c r="D17446" t="inlineStr">
        <is>
          <t>Lancôme</t>
        </is>
      </c>
      <c r="E17446" t="n">
        <v>28.44</v>
      </c>
      <c r="F17446" t="n">
        <v>1</v>
      </c>
      <c r="G17446" t="n">
        <v>2</v>
      </c>
      <c r="H17446" s="5">
        <f>HYPERLINK("https://api.qogita.com/variants/link/3614274169881/", "View Product")</f>
        <v/>
      </c>
    </row>
    <row r="17447">
      <c r="A17447" t="inlineStr">
        <is>
          <t>3614274170207</t>
        </is>
      </c>
      <c r="B17447" t="inlineStr">
        <is>
          <t>Lancme Rnrgie Hcf Triple Eye Serum 20ml</t>
        </is>
      </c>
      <c r="C17447" t="inlineStr">
        <is>
          <t>Eye Serum</t>
        </is>
      </c>
      <c r="D17447" t="inlineStr">
        <is>
          <t>Lancôme</t>
        </is>
      </c>
      <c r="E17447" t="n">
        <v>60.86</v>
      </c>
      <c r="F17447" t="n">
        <v>1</v>
      </c>
      <c r="G17447" t="n">
        <v>5</v>
      </c>
      <c r="H17447" s="5">
        <f>HYPERLINK("https://api.qogita.com/variants/link/3614274170207/", "View Product")</f>
        <v/>
      </c>
    </row>
    <row r="17448">
      <c r="A17448" t="inlineStr">
        <is>
          <t>3614274180152</t>
        </is>
      </c>
      <c r="B17448" t="inlineStr">
        <is>
          <t>Lancome La vie est Belle EdP Set</t>
        </is>
      </c>
      <c r="C17448" t="inlineStr">
        <is>
          <t>Fragrance Sets</t>
        </is>
      </c>
      <c r="D17448" t="inlineStr">
        <is>
          <t>Lancôme</t>
        </is>
      </c>
      <c r="E17448" t="n">
        <v>75.16</v>
      </c>
      <c r="F17448" t="n">
        <v>1</v>
      </c>
      <c r="G17448" t="n">
        <v>10</v>
      </c>
      <c r="H17448" s="5">
        <f>HYPERLINK("https://api.qogita.com/variants/link/3614274180152/", "View Product")</f>
        <v/>
      </c>
    </row>
    <row r="17449">
      <c r="A17449" t="inlineStr">
        <is>
          <t>3614274185140</t>
        </is>
      </c>
      <c r="B17449" t="inlineStr">
        <is>
          <t>Giorgio Armani Acqua Di Gio Pour Homme Parfum Gift Set 100 Ml 15 Ml</t>
        </is>
      </c>
      <c r="C17449" t="inlineStr">
        <is>
          <t>Fragrance Sets</t>
        </is>
      </c>
      <c r="D17449" t="inlineStr">
        <is>
          <t>Giorgio Armani</t>
        </is>
      </c>
      <c r="E17449" t="n">
        <v>112.52</v>
      </c>
      <c r="F17449" t="n">
        <v>1</v>
      </c>
      <c r="G17449" t="n">
        <v>4</v>
      </c>
      <c r="H17449" s="5">
        <f>HYPERLINK("https://api.qogita.com/variants/link/3614274185140/", "View Product")</f>
        <v/>
      </c>
    </row>
    <row r="17450">
      <c r="A17450" t="inlineStr">
        <is>
          <t>3614274185294</t>
        </is>
      </c>
      <c r="B17450" t="inlineStr">
        <is>
          <t>Yves Saint Laurent Black Opium Eau De Parfum Glitter - 90ml</t>
        </is>
      </c>
      <c r="C17450" t="inlineStr">
        <is>
          <t>Eau De Parfum</t>
        </is>
      </c>
      <c r="D17450" t="inlineStr">
        <is>
          <t>Yves Saint Laurent</t>
        </is>
      </c>
      <c r="E17450" t="n">
        <v>95.86</v>
      </c>
      <c r="F17450" t="n">
        <v>1</v>
      </c>
      <c r="G17450" t="n">
        <v>50</v>
      </c>
      <c r="H17450" s="5">
        <f>HYPERLINK("https://api.qogita.com/variants/link/3614274185294/", "View Product")</f>
        <v/>
      </c>
    </row>
    <row r="17451">
      <c r="A17451" t="inlineStr">
        <is>
          <t>3614274185317</t>
        </is>
      </c>
      <c r="B17451" t="inlineStr">
        <is>
          <t>Yves Saint Laurent Black Opium Eau De Parfum Glitter - 30ml</t>
        </is>
      </c>
      <c r="C17451" t="inlineStr">
        <is>
          <t>Eau De Parfum</t>
        </is>
      </c>
      <c r="D17451" t="inlineStr">
        <is>
          <t>Yves Saint Laurent</t>
        </is>
      </c>
      <c r="E17451" t="n">
        <v>57.36</v>
      </c>
      <c r="F17451" t="n">
        <v>1</v>
      </c>
      <c r="G17451" t="n">
        <v>10</v>
      </c>
      <c r="H17451" s="5">
        <f>HYPERLINK("https://api.qogita.com/variants/link/3614274185317/", "View Product")</f>
        <v/>
      </c>
    </row>
    <row r="17452">
      <c r="A17452" t="inlineStr">
        <is>
          <t>3614274192209</t>
        </is>
      </c>
      <c r="B17452" t="inlineStr">
        <is>
          <t>Giorgio Armani Prisma Glass Lipgloss - 4 Ml</t>
        </is>
      </c>
      <c r="C17452" t="inlineStr">
        <is>
          <t>Lip Gloss</t>
        </is>
      </c>
      <c r="D17452" t="inlineStr">
        <is>
          <t>Giorgio Armani</t>
        </is>
      </c>
      <c r="E17452" t="n">
        <v>38.67</v>
      </c>
      <c r="F17452" t="n">
        <v>1</v>
      </c>
      <c r="G17452" t="n">
        <v>2</v>
      </c>
      <c r="H17452" s="5">
        <f>HYPERLINK("https://api.qogita.com/variants/link/3614274192209/", "View Product")</f>
        <v/>
      </c>
    </row>
    <row r="17453">
      <c r="A17453" t="inlineStr">
        <is>
          <t>3614274195484</t>
        </is>
      </c>
      <c r="B17453" t="inlineStr">
        <is>
          <t>Lancme Lip Idle Lip Pencil 30 Lisa's Coral Glow Matte Lip Pencil 12 G</t>
        </is>
      </c>
      <c r="C17453" t="inlineStr">
        <is>
          <t>Lip Liner</t>
        </is>
      </c>
      <c r="D17453" t="inlineStr">
        <is>
          <t>Lancôme</t>
        </is>
      </c>
      <c r="E17453" t="n">
        <v>18.98</v>
      </c>
      <c r="F17453" t="n">
        <v>1</v>
      </c>
      <c r="G17453" t="n">
        <v>2</v>
      </c>
      <c r="H17453" s="5">
        <f>HYPERLINK("https://api.qogita.com/variants/link/3614274195484/", "View Product")</f>
        <v/>
      </c>
    </row>
    <row r="17454">
      <c r="A17454" t="inlineStr">
        <is>
          <t>3614274195507</t>
        </is>
      </c>
      <c r="B17454" t="inlineStr">
        <is>
          <t>Lancme Matte Lip Pencil Lip Idole Lip Shaper 12 G 36 Nude Now</t>
        </is>
      </c>
      <c r="C17454" t="inlineStr">
        <is>
          <t>Lip Liner</t>
        </is>
      </c>
      <c r="D17454" t="inlineStr">
        <is>
          <t>Lancôme</t>
        </is>
      </c>
      <c r="E17454" t="n">
        <v>20.71</v>
      </c>
      <c r="F17454" t="n">
        <v>1</v>
      </c>
      <c r="G17454" t="n">
        <v>5</v>
      </c>
      <c r="H17454" s="5">
        <f>HYPERLINK("https://api.qogita.com/variants/link/3614274195507/", "View Product")</f>
        <v/>
      </c>
    </row>
    <row r="17455">
      <c r="A17455" t="inlineStr">
        <is>
          <t>3614274197020</t>
        </is>
      </c>
      <c r="B17455" t="inlineStr">
        <is>
          <t>Yves Saint Laurent All Hours Hyper Luminize Highlighter 01 Libertine Light 85g</t>
        </is>
      </c>
      <c r="C17455" t="inlineStr">
        <is>
          <t>Highlighter</t>
        </is>
      </c>
      <c r="D17455" t="inlineStr">
        <is>
          <t>Yves Saint Laurent</t>
        </is>
      </c>
      <c r="E17455" t="n">
        <v>47.89</v>
      </c>
      <c r="F17455" t="n">
        <v>1</v>
      </c>
      <c r="G17455" t="n">
        <v>5</v>
      </c>
      <c r="H17455" s="5">
        <f>HYPERLINK("https://api.qogita.com/variants/link/3614274197020/", "View Product")</f>
        <v/>
      </c>
    </row>
    <row r="17456">
      <c r="A17456" t="inlineStr">
        <is>
          <t>3614274212075</t>
        </is>
      </c>
      <c r="B17456" t="inlineStr">
        <is>
          <t>Lancme Matte Lip Pencil Lip Idole Lip Shaper 12 G 101 Spicy Cherry</t>
        </is>
      </c>
      <c r="C17456" t="inlineStr">
        <is>
          <t>Lip Liner</t>
        </is>
      </c>
      <c r="D17456" t="inlineStr">
        <is>
          <t>Lancôme</t>
        </is>
      </c>
      <c r="E17456" t="n">
        <v>20</v>
      </c>
      <c r="F17456" t="n">
        <v>1</v>
      </c>
      <c r="G17456" t="n">
        <v>3</v>
      </c>
      <c r="H17456" s="5">
        <f>HYPERLINK("https://api.qogita.com/variants/link/3614274212075/", "View Product")</f>
        <v/>
      </c>
    </row>
    <row r="17457">
      <c r="A17457" t="inlineStr">
        <is>
          <t>3614274219548</t>
        </is>
      </c>
      <c r="B17457" t="inlineStr">
        <is>
          <t>Emporio Armani Stronger With You Parfum - 50ml</t>
        </is>
      </c>
      <c r="C17457" t="inlineStr">
        <is>
          <t>Eau De Parfum</t>
        </is>
      </c>
      <c r="D17457" t="inlineStr">
        <is>
          <t>Emporio Armani</t>
        </is>
      </c>
      <c r="E17457" t="n">
        <v>73.94</v>
      </c>
      <c r="F17457" t="n">
        <v>1</v>
      </c>
      <c r="G17457" t="n">
        <v>5</v>
      </c>
      <c r="H17457" s="5">
        <f>HYPERLINK("https://api.qogita.com/variants/link/3614274219548/", "View Product")</f>
        <v/>
      </c>
    </row>
    <row r="17458">
      <c r="A17458" t="inlineStr">
        <is>
          <t>3614274222999</t>
        </is>
      </c>
      <c r="B17458" t="inlineStr">
        <is>
          <t>Yves Saint Laurent Cinema Women's Fragrance</t>
        </is>
      </c>
      <c r="C17458" t="inlineStr">
        <is>
          <t>Eau De Parfum</t>
        </is>
      </c>
      <c r="D17458" t="inlineStr">
        <is>
          <t>Yves Saint Laurent</t>
        </is>
      </c>
      <c r="E17458" t="n">
        <v>69.47</v>
      </c>
      <c r="F17458" t="n">
        <v>1</v>
      </c>
      <c r="G17458" t="n">
        <v>46</v>
      </c>
      <c r="H17458" s="5">
        <f>HYPERLINK("https://api.qogita.com/variants/link/3614274222999/", "View Product")</f>
        <v/>
      </c>
    </row>
    <row r="17459">
      <c r="A17459" t="inlineStr">
        <is>
          <t>3614274289473</t>
        </is>
      </c>
      <c r="B17459" t="inlineStr">
        <is>
          <t>Mugler Alien Extraintense Eau De Parfum Intense - 90ml</t>
        </is>
      </c>
      <c r="C17459" t="inlineStr">
        <is>
          <t>Eau De Parfum</t>
        </is>
      </c>
      <c r="D17459" t="inlineStr">
        <is>
          <t>Mugler</t>
        </is>
      </c>
      <c r="E17459" t="n">
        <v>135.11</v>
      </c>
      <c r="F17459" t="n">
        <v>1</v>
      </c>
      <c r="G17459" t="n">
        <v>20</v>
      </c>
      <c r="H17459" s="5">
        <f>HYPERLINK("https://api.qogita.com/variants/link/3614274289473/", "View Product")</f>
        <v/>
      </c>
    </row>
    <row r="17460">
      <c r="A17460" t="inlineStr">
        <is>
          <t>3614274331127</t>
        </is>
      </c>
      <c r="B17460" t="inlineStr">
        <is>
          <t>Lancome Idole 50ml EDP and 10ml EDP with 50ml Body Cream</t>
        </is>
      </c>
      <c r="C17460" t="inlineStr">
        <is>
          <t>Fragrance Sets</t>
        </is>
      </c>
      <c r="D17460" t="inlineStr">
        <is>
          <t>Lancôme</t>
        </is>
      </c>
      <c r="E17460" t="n">
        <v>66.94</v>
      </c>
      <c r="F17460" t="n">
        <v>1</v>
      </c>
      <c r="G17460" t="n">
        <v>84</v>
      </c>
      <c r="H17460" s="5">
        <f>HYPERLINK("https://api.qogita.com/variants/link/3614274331127/", "View Product")</f>
        <v/>
      </c>
    </row>
    <row r="17461">
      <c r="A17461" t="inlineStr">
        <is>
          <t>3614274344684</t>
        </is>
      </c>
      <c r="B17461" t="inlineStr">
        <is>
          <t>Skin Idole 3 Serum Supertint Lightweight Foundation With Serum And Glow Effect 14n 30ml</t>
        </is>
      </c>
      <c r="C17461" t="inlineStr">
        <is>
          <t>Foundation</t>
        </is>
      </c>
      <c r="D17461" t="inlineStr">
        <is>
          <t>Skin Idol</t>
        </is>
      </c>
      <c r="E17461" t="n">
        <v>39.06</v>
      </c>
      <c r="F17461" t="n">
        <v>1</v>
      </c>
      <c r="G17461" t="n">
        <v>6</v>
      </c>
      <c r="H17461" s="5">
        <f>HYPERLINK("https://api.qogita.com/variants/link/3614274344684/", "View Product")</f>
        <v/>
      </c>
    </row>
    <row r="17462">
      <c r="A17462" t="inlineStr">
        <is>
          <t>3614274344738</t>
        </is>
      </c>
      <c r="B17462" t="inlineStr">
        <is>
          <t>Lancome Idole 3 Serum Supertint Skin Tint - Dewy Even Tone with Niacinamide</t>
        </is>
      </c>
      <c r="C17462" t="inlineStr">
        <is>
          <t>Glow Serum</t>
        </is>
      </c>
      <c r="D17462" t="inlineStr">
        <is>
          <t>Lancôme</t>
        </is>
      </c>
      <c r="E17462" t="n">
        <v>39.68</v>
      </c>
      <c r="F17462" t="n">
        <v>1</v>
      </c>
      <c r="G17462" t="n">
        <v>5</v>
      </c>
      <c r="H17462" s="5">
        <f>HYPERLINK("https://api.qogita.com/variants/link/3614274344738/", "View Product")</f>
        <v/>
      </c>
    </row>
    <row r="17463">
      <c r="A17463" t="inlineStr">
        <is>
          <t>3614274347968</t>
        </is>
      </c>
      <c r="B17463" t="inlineStr">
        <is>
          <t>Lancome Hypnose Drama Waterproof Mascara - Excessive Black</t>
        </is>
      </c>
      <c r="C17463" t="inlineStr">
        <is>
          <t>Mascara</t>
        </is>
      </c>
      <c r="D17463" t="inlineStr">
        <is>
          <t>Lancôme</t>
        </is>
      </c>
      <c r="E17463" t="n">
        <v>30.7</v>
      </c>
      <c r="F17463" t="n">
        <v>1</v>
      </c>
      <c r="G17463" t="n">
        <v>6</v>
      </c>
      <c r="H17463" s="5">
        <f>HYPERLINK("https://api.qogita.com/variants/link/3614274347968/", "View Product")</f>
        <v/>
      </c>
    </row>
    <row r="17464">
      <c r="A17464" t="inlineStr">
        <is>
          <t>3614274350722</t>
        </is>
      </c>
      <c r="B17464" t="inlineStr">
        <is>
          <t>Valentino Uomo Born In Roma Extradose - Eau De Parfum</t>
        </is>
      </c>
      <c r="C17464" t="inlineStr">
        <is>
          <t>Eau De Parfum</t>
        </is>
      </c>
      <c r="D17464" t="inlineStr">
        <is>
          <t>Valentino</t>
        </is>
      </c>
      <c r="E17464" t="n">
        <v>74.43000000000001</v>
      </c>
      <c r="F17464" t="n">
        <v>1</v>
      </c>
      <c r="G17464" t="n">
        <v>5</v>
      </c>
      <c r="H17464" s="5">
        <f>HYPERLINK("https://api.qogita.com/variants/link/3614274350722/", "View Product")</f>
        <v/>
      </c>
    </row>
    <row r="17465">
      <c r="A17465" t="inlineStr">
        <is>
          <t>3614274350739</t>
        </is>
      </c>
      <c r="B17465" t="inlineStr">
        <is>
          <t>Valentino Uomo Born In Roma Extradose Parfum - 100ml</t>
        </is>
      </c>
      <c r="C17465" t="inlineStr">
        <is>
          <t>Eau De Parfum</t>
        </is>
      </c>
      <c r="D17465" t="inlineStr">
        <is>
          <t>Valentino</t>
        </is>
      </c>
      <c r="E17465" t="n">
        <v>93.67</v>
      </c>
      <c r="F17465" t="n">
        <v>1</v>
      </c>
      <c r="G17465" t="n">
        <v>6</v>
      </c>
      <c r="H17465" s="5">
        <f>HYPERLINK("https://api.qogita.com/variants/link/3614274350739/", "View Product")</f>
        <v/>
      </c>
    </row>
    <row r="17466">
      <c r="A17466" t="inlineStr">
        <is>
          <t>3614274351019</t>
        </is>
      </c>
      <c r="B17466" t="inlineStr">
        <is>
          <t>Valentino Donna Born In Roma Extradose Parfum - 30ml</t>
        </is>
      </c>
      <c r="C17466" t="inlineStr">
        <is>
          <t>Eau De Parfum</t>
        </is>
      </c>
      <c r="D17466" t="inlineStr">
        <is>
          <t>Valentino</t>
        </is>
      </c>
      <c r="E17466" t="n">
        <v>68.73</v>
      </c>
      <c r="F17466" t="n">
        <v>1</v>
      </c>
      <c r="G17466" t="n">
        <v>39</v>
      </c>
      <c r="H17466" s="5">
        <f>HYPERLINK("https://api.qogita.com/variants/link/3614274351019/", "View Product")</f>
        <v/>
      </c>
    </row>
    <row r="17467">
      <c r="A17467" t="inlineStr">
        <is>
          <t>3614274351064</t>
        </is>
      </c>
      <c r="B17467" t="inlineStr">
        <is>
          <t>Valentino Donna Born In Roma Extradose Parfum - 50ml</t>
        </is>
      </c>
      <c r="C17467" t="inlineStr">
        <is>
          <t>Eau De Parfum</t>
        </is>
      </c>
      <c r="D17467" t="inlineStr">
        <is>
          <t>Valentino</t>
        </is>
      </c>
      <c r="E17467" t="n">
        <v>99.91</v>
      </c>
      <c r="F17467" t="n">
        <v>1</v>
      </c>
      <c r="G17467" t="n">
        <v>23</v>
      </c>
      <c r="H17467" s="5">
        <f>HYPERLINK("https://api.qogita.com/variants/link/3614274351064/", "View Product")</f>
        <v/>
      </c>
    </row>
    <row r="17468">
      <c r="A17468" t="inlineStr">
        <is>
          <t>3614274382655</t>
        </is>
      </c>
      <c r="B17468" t="inlineStr">
        <is>
          <t>Lancome Lip Idole Juicytreat - N 16</t>
        </is>
      </c>
      <c r="C17468" t="inlineStr">
        <is>
          <t>Lip Gloss</t>
        </is>
      </c>
      <c r="D17468" t="inlineStr">
        <is>
          <t>Lancôme</t>
        </is>
      </c>
      <c r="E17468" t="n">
        <v>29.18</v>
      </c>
      <c r="F17468" t="n">
        <v>1</v>
      </c>
      <c r="G17468" t="n">
        <v>2</v>
      </c>
      <c r="H17468" s="5">
        <f>HYPERLINK("https://api.qogita.com/variants/link/3614274382655/", "View Product")</f>
        <v/>
      </c>
    </row>
    <row r="17469">
      <c r="A17469" t="inlineStr">
        <is>
          <t>3614274382679</t>
        </is>
      </c>
      <c r="B17469" t="inlineStr">
        <is>
          <t>Lancome Lip Idole Juicytreat - N 25</t>
        </is>
      </c>
      <c r="C17469" t="inlineStr">
        <is>
          <t>Lip Gloss</t>
        </is>
      </c>
      <c r="D17469" t="inlineStr">
        <is>
          <t>Lancôme</t>
        </is>
      </c>
      <c r="E17469" t="n">
        <v>29.18</v>
      </c>
      <c r="F17469" t="n">
        <v>1</v>
      </c>
      <c r="G17469" t="n">
        <v>2</v>
      </c>
      <c r="H17469" s="5">
        <f>HYPERLINK("https://api.qogita.com/variants/link/3614274382679/", "View Product")</f>
        <v/>
      </c>
    </row>
    <row r="17470">
      <c r="A17470" t="inlineStr">
        <is>
          <t>3614274382723</t>
        </is>
      </c>
      <c r="B17470" t="inlineStr">
        <is>
          <t>Lancome Lip Idole Juicytreat - N 60</t>
        </is>
      </c>
      <c r="C17470" t="inlineStr">
        <is>
          <t>Lip Gloss</t>
        </is>
      </c>
      <c r="D17470" t="inlineStr">
        <is>
          <t>Lancôme</t>
        </is>
      </c>
      <c r="E17470" t="n">
        <v>29.18</v>
      </c>
      <c r="F17470" t="n">
        <v>1</v>
      </c>
      <c r="G17470" t="n">
        <v>3</v>
      </c>
      <c r="H17470" s="5">
        <f>HYPERLINK("https://api.qogita.com/variants/link/3614274382723/", "View Product")</f>
        <v/>
      </c>
    </row>
    <row r="17471">
      <c r="A17471" t="inlineStr">
        <is>
          <t>3614274473841</t>
        </is>
      </c>
      <c r="B17471" t="inlineStr">
        <is>
          <t>Mugler Angel Eau De Parfum 25ml + Bath + Milk</t>
        </is>
      </c>
      <c r="C17471" t="inlineStr">
        <is>
          <t>Eau De Parfum</t>
        </is>
      </c>
      <c r="D17471" t="inlineStr">
        <is>
          <t>Mugler</t>
        </is>
      </c>
      <c r="E17471" t="n">
        <v>47.2</v>
      </c>
      <c r="F17471" t="n">
        <v>1</v>
      </c>
      <c r="G17471" t="n">
        <v>4</v>
      </c>
      <c r="H17471" s="5">
        <f>HYPERLINK("https://api.qogita.com/variants/link/3614274473841/", "View Product")</f>
        <v/>
      </c>
    </row>
    <row r="17472">
      <c r="A17472" t="inlineStr">
        <is>
          <t>3616300891872</t>
        </is>
      </c>
      <c r="B17472" t="inlineStr">
        <is>
          <t>Mexx Fresh Splash Eau De Toilette for Women 50ml</t>
        </is>
      </c>
      <c r="C17472" t="inlineStr">
        <is>
          <t>Eau De Toilette</t>
        </is>
      </c>
      <c r="D17472" t="inlineStr">
        <is>
          <t>Mexx</t>
        </is>
      </c>
      <c r="E17472" t="n">
        <v>6.31</v>
      </c>
      <c r="F17472" t="n">
        <v>1</v>
      </c>
      <c r="G17472" t="n">
        <v>20</v>
      </c>
      <c r="H17472" s="5">
        <f>HYPERLINK("https://api.qogita.com/variants/link/3616300891872/", "View Product")</f>
        <v/>
      </c>
    </row>
    <row r="17473">
      <c r="A17473" t="inlineStr">
        <is>
          <t>3616301182443</t>
        </is>
      </c>
      <c r="B17473" t="inlineStr">
        <is>
          <t>Bourjois Gloss Fabuleux Lip Gloss 04 Popular Pink 3.5ml</t>
        </is>
      </c>
      <c r="C17473" t="inlineStr">
        <is>
          <t>Lip Gloss</t>
        </is>
      </c>
      <c r="D17473" t="inlineStr">
        <is>
          <t>Bourjois</t>
        </is>
      </c>
      <c r="E17473" t="n">
        <v>4.82</v>
      </c>
      <c r="F17473" t="n">
        <v>1</v>
      </c>
      <c r="G17473" t="n">
        <v>2</v>
      </c>
      <c r="H17473" s="5">
        <f>HYPERLINK("https://api.qogita.com/variants/link/3616301182443/", "View Product")</f>
        <v/>
      </c>
    </row>
    <row r="17474">
      <c r="A17474" t="inlineStr">
        <is>
          <t>3616301246404</t>
        </is>
      </c>
      <c r="B17474" t="inlineStr">
        <is>
          <t>Rimmel Scandal'eyes Eye Define Eye Pencil 004 Cobalt Blue 35g</t>
        </is>
      </c>
      <c r="C17474" t="inlineStr">
        <is>
          <t>Eye Pencil</t>
        </is>
      </c>
      <c r="D17474" t="inlineStr">
        <is>
          <t>Rimmel London</t>
        </is>
      </c>
      <c r="E17474" t="n">
        <v>3.78</v>
      </c>
      <c r="F17474" t="n">
        <v>1</v>
      </c>
      <c r="G17474" t="n">
        <v>2</v>
      </c>
      <c r="H17474" s="5">
        <f>HYPERLINK("https://api.qogita.com/variants/link/3616301246404/", "View Product")</f>
        <v/>
      </c>
    </row>
    <row r="17475">
      <c r="A17475" t="inlineStr">
        <is>
          <t>3616301623311</t>
        </is>
      </c>
      <c r="B17475" t="inlineStr">
        <is>
          <t>Hugo Boss Boss In Motion Eau De Toilette Spray 100ml</t>
        </is>
      </c>
      <c r="C17475" t="inlineStr">
        <is>
          <t>Eau De Toilette</t>
        </is>
      </c>
      <c r="D17475" t="inlineStr">
        <is>
          <t>Hugo Boss</t>
        </is>
      </c>
      <c r="E17475" t="n">
        <v>23.91</v>
      </c>
      <c r="F17475" t="n">
        <v>1</v>
      </c>
      <c r="G17475" t="n">
        <v>53</v>
      </c>
      <c r="H17475" s="5">
        <f>HYPERLINK("https://api.qogita.com/variants/link/3616301623311/", "View Product")</f>
        <v/>
      </c>
    </row>
    <row r="17476">
      <c r="A17476" t="inlineStr">
        <is>
          <t>3616301623359</t>
        </is>
      </c>
      <c r="B17476" t="inlineStr">
        <is>
          <t>Hugo Boss Boss Orange Man Eau De Toilette Spray 100ml</t>
        </is>
      </c>
      <c r="C17476" t="inlineStr">
        <is>
          <t>Eau De Toilette</t>
        </is>
      </c>
      <c r="D17476" t="inlineStr">
        <is>
          <t>Hugo Boss</t>
        </is>
      </c>
      <c r="E17476" t="n">
        <v>23.47</v>
      </c>
      <c r="F17476" t="n">
        <v>1</v>
      </c>
      <c r="G17476" t="n">
        <v>41</v>
      </c>
      <c r="H17476" s="5">
        <f>HYPERLINK("https://api.qogita.com/variants/link/3616301623359/", "View Product")</f>
        <v/>
      </c>
    </row>
    <row r="17477">
      <c r="A17477" t="inlineStr">
        <is>
          <t>3616301640790</t>
        </is>
      </c>
      <c r="B17477" t="inlineStr">
        <is>
          <t>Bruno Banani Man Eau De Toilette Spray 100ml</t>
        </is>
      </c>
      <c r="C17477" t="inlineStr">
        <is>
          <t>Eau De Toilette</t>
        </is>
      </c>
      <c r="D17477" t="inlineStr">
        <is>
          <t>Bruno Banani</t>
        </is>
      </c>
      <c r="E17477" t="n">
        <v>16.86</v>
      </c>
      <c r="F17477" t="n">
        <v>1</v>
      </c>
      <c r="G17477" t="n">
        <v>2</v>
      </c>
      <c r="H17477" s="5">
        <f>HYPERLINK("https://api.qogita.com/variants/link/3616301640790/", "View Product")</f>
        <v/>
      </c>
    </row>
    <row r="17478">
      <c r="A17478" t="inlineStr">
        <is>
          <t>3616301641117</t>
        </is>
      </c>
      <c r="B17478" t="inlineStr">
        <is>
          <t>Bruno Banani Absolute Woman Eau De Toilette Spray 50ml</t>
        </is>
      </c>
      <c r="C17478" t="inlineStr">
        <is>
          <t>Eau De Toilette</t>
        </is>
      </c>
      <c r="D17478" t="inlineStr">
        <is>
          <t>Bruno Banani</t>
        </is>
      </c>
      <c r="E17478" t="n">
        <v>7.04</v>
      </c>
      <c r="F17478" t="n">
        <v>1</v>
      </c>
      <c r="G17478" t="n">
        <v>17</v>
      </c>
      <c r="H17478" s="5">
        <f>HYPERLINK("https://api.qogita.com/variants/link/3616301641117/", "View Product")</f>
        <v/>
      </c>
    </row>
    <row r="17479">
      <c r="A17479" t="inlineStr">
        <is>
          <t>3616301642404</t>
        </is>
      </c>
      <c r="B17479" t="inlineStr">
        <is>
          <t>Hugo Boss Boss Bottled Tonic Shower Gel 200ml For Men</t>
        </is>
      </c>
      <c r="C17479" t="inlineStr">
        <is>
          <t>Shower Gel</t>
        </is>
      </c>
      <c r="D17479" t="inlineStr">
        <is>
          <t>Hugo Boss</t>
        </is>
      </c>
      <c r="E17479" t="n">
        <v>13.78</v>
      </c>
      <c r="F17479" t="n">
        <v>1</v>
      </c>
      <c r="G17479" t="n">
        <v>11</v>
      </c>
      <c r="H17479" s="5">
        <f>HYPERLINK("https://api.qogita.com/variants/link/3616301642404/", "View Product")</f>
        <v/>
      </c>
    </row>
    <row r="17480">
      <c r="A17480" t="inlineStr">
        <is>
          <t>3616301776185</t>
        </is>
      </c>
      <c r="B17480" t="inlineStr">
        <is>
          <t>Roberto Cavalli Gold Collection Velour Saffron U Parfum 100ml</t>
        </is>
      </c>
      <c r="C17480" t="inlineStr">
        <is>
          <t>Eau De Parfum</t>
        </is>
      </c>
      <c r="D17480" t="inlineStr">
        <is>
          <t>Roberto Cavalli</t>
        </is>
      </c>
      <c r="E17480" t="n">
        <v>72.04000000000001</v>
      </c>
      <c r="F17480" t="n">
        <v>1</v>
      </c>
      <c r="G17480" t="n">
        <v>7</v>
      </c>
      <c r="H17480" s="5">
        <f>HYPERLINK("https://api.qogita.com/variants/link/3616301776185/", "View Product")</f>
        <v/>
      </c>
    </row>
    <row r="17481">
      <c r="A17481" t="inlineStr">
        <is>
          <t>3616301794653</t>
        </is>
      </c>
      <c r="B17481" t="inlineStr">
        <is>
          <t>Gucci Guilty Pour Femme Intense Eau De Parfum 30ml Women Spray</t>
        </is>
      </c>
      <c r="C17481" t="inlineStr">
        <is>
          <t>Eau De Parfum</t>
        </is>
      </c>
      <c r="D17481" t="inlineStr">
        <is>
          <t>Gucci</t>
        </is>
      </c>
      <c r="E17481" t="n">
        <v>52.1</v>
      </c>
      <c r="F17481" t="n">
        <v>1</v>
      </c>
      <c r="G17481" t="n">
        <v>3</v>
      </c>
      <c r="H17481" s="5">
        <f>HYPERLINK("https://api.qogita.com/variants/link/3616301794653/", "View Product")</f>
        <v/>
      </c>
    </row>
    <row r="17482">
      <c r="A17482" t="inlineStr">
        <is>
          <t>3616301838227</t>
        </is>
      </c>
      <c r="B17482" t="inlineStr">
        <is>
          <t>Mr. Burberry Eau De Parfum Spray 50ml By Mr. Burberry</t>
        </is>
      </c>
      <c r="C17482" t="inlineStr">
        <is>
          <t>Eau De Parfum</t>
        </is>
      </c>
      <c r="D17482" t="inlineStr">
        <is>
          <t>Burberry</t>
        </is>
      </c>
      <c r="E17482" t="n">
        <v>30.82</v>
      </c>
      <c r="F17482" t="n">
        <v>1</v>
      </c>
      <c r="G17482" t="n">
        <v>20</v>
      </c>
      <c r="H17482" s="5">
        <f>HYPERLINK("https://api.qogita.com/variants/link/3616301838227/", "View Product")</f>
        <v/>
      </c>
    </row>
    <row r="17483">
      <c r="A17483" t="inlineStr">
        <is>
          <t>3616301893400</t>
        </is>
      </c>
      <c r="B17483" t="inlineStr">
        <is>
          <t>Max Factor Colour Elixir Lip Liner In 55 Red Poppy, 1.2g</t>
        </is>
      </c>
      <c r="C17483" t="inlineStr">
        <is>
          <t>Lip Liner</t>
        </is>
      </c>
      <c r="D17483" t="inlineStr">
        <is>
          <t>Max Factor</t>
        </is>
      </c>
      <c r="E17483" t="n">
        <v>4.06</v>
      </c>
      <c r="F17483" t="n">
        <v>1</v>
      </c>
      <c r="G17483" t="n">
        <v>3</v>
      </c>
      <c r="H17483" s="5">
        <f>HYPERLINK("https://api.qogita.com/variants/link/3616301893400/", "View Product")</f>
        <v/>
      </c>
    </row>
    <row r="17484">
      <c r="A17484" t="inlineStr">
        <is>
          <t>3616301893417</t>
        </is>
      </c>
      <c r="B17484" t="inlineStr">
        <is>
          <t>Max Factor Colour Elixir Lipliner 075rich Wine 10g</t>
        </is>
      </c>
      <c r="C17484" t="inlineStr">
        <is>
          <t>Lip Liner</t>
        </is>
      </c>
      <c r="D17484" t="inlineStr">
        <is>
          <t>Max Factor</t>
        </is>
      </c>
      <c r="E17484" t="n">
        <v>2.82</v>
      </c>
      <c r="F17484" t="n">
        <v>1</v>
      </c>
      <c r="G17484" t="n">
        <v>10</v>
      </c>
      <c r="H17484" s="5">
        <f>HYPERLINK("https://api.qogita.com/variants/link/3616301893417/", "View Product")</f>
        <v/>
      </c>
    </row>
    <row r="17485">
      <c r="A17485" t="inlineStr">
        <is>
          <t>3616301901846</t>
        </is>
      </c>
      <c r="B17485" t="inlineStr">
        <is>
          <t>Max Factor False Lash Effect Clump Defy Mascara 001 Black 13.1ml</t>
        </is>
      </c>
      <c r="C17485" t="inlineStr">
        <is>
          <t>Mascara</t>
        </is>
      </c>
      <c r="D17485" t="inlineStr">
        <is>
          <t>Max Factor</t>
        </is>
      </c>
      <c r="E17485" t="n">
        <v>6.05</v>
      </c>
      <c r="F17485" t="n">
        <v>1</v>
      </c>
      <c r="G17485" t="n">
        <v>19</v>
      </c>
      <c r="H17485" s="5">
        <f>HYPERLINK("https://api.qogita.com/variants/link/3616301901846/", "View Product")</f>
        <v/>
      </c>
    </row>
    <row r="17486">
      <c r="A17486" t="inlineStr">
        <is>
          <t>3616301975755</t>
        </is>
      </c>
      <c r="B17486" t="inlineStr">
        <is>
          <t>Burberry Her Eau De Toilette 100ml Spray By Burberry</t>
        </is>
      </c>
      <c r="C17486" t="inlineStr">
        <is>
          <t>Eau De Toilette</t>
        </is>
      </c>
      <c r="D17486" t="inlineStr">
        <is>
          <t>Burberry</t>
        </is>
      </c>
      <c r="E17486" t="n">
        <v>65.5</v>
      </c>
      <c r="F17486" t="n">
        <v>1</v>
      </c>
      <c r="G17486" t="n">
        <v>14</v>
      </c>
      <c r="H17486" s="5">
        <f>HYPERLINK("https://api.qogita.com/variants/link/3616301975755/", "View Product")</f>
        <v/>
      </c>
    </row>
    <row r="17487">
      <c r="A17487" t="inlineStr">
        <is>
          <t>3616301976110</t>
        </is>
      </c>
      <c r="B17487" t="inlineStr">
        <is>
          <t>Gucci Guilty Eau De Toilette Spray 50ml Women's Fragrance</t>
        </is>
      </c>
      <c r="C17487" t="inlineStr">
        <is>
          <t>Eau De Toilette</t>
        </is>
      </c>
      <c r="D17487" t="inlineStr">
        <is>
          <t>Gucci</t>
        </is>
      </c>
      <c r="E17487" t="n">
        <v>55.85</v>
      </c>
      <c r="F17487" t="n">
        <v>1</v>
      </c>
      <c r="G17487" t="n">
        <v>10</v>
      </c>
      <c r="H17487" s="5">
        <f>HYPERLINK("https://api.qogita.com/variants/link/3616301976110/", "View Product")</f>
        <v/>
      </c>
    </row>
    <row r="17488">
      <c r="A17488" t="inlineStr">
        <is>
          <t>3616302015580</t>
        </is>
      </c>
      <c r="B17488" t="inlineStr">
        <is>
          <t>Calvin Klein Ck Free For Men Eau De Toilette Spray 100ml</t>
        </is>
      </c>
      <c r="C17488" t="inlineStr">
        <is>
          <t>Eau De Toilette</t>
        </is>
      </c>
      <c r="D17488" t="inlineStr">
        <is>
          <t>Calvin Klein</t>
        </is>
      </c>
      <c r="E17488" t="n">
        <v>14.93</v>
      </c>
      <c r="F17488" t="n">
        <v>1</v>
      </c>
      <c r="G17488" t="n">
        <v>442</v>
      </c>
      <c r="H17488" s="5">
        <f>HYPERLINK("https://api.qogita.com/variants/link/3616302015580/", "View Product")</f>
        <v/>
      </c>
    </row>
    <row r="17489">
      <c r="A17489" t="inlineStr">
        <is>
          <t>3616302020652</t>
        </is>
      </c>
      <c r="B17489" t="inlineStr">
        <is>
          <t>Burberry Goddess Eau De Parfum 100 Ml</t>
        </is>
      </c>
      <c r="C17489" t="inlineStr">
        <is>
          <t>Eau De Parfum</t>
        </is>
      </c>
      <c r="D17489" t="inlineStr">
        <is>
          <t>Burberry</t>
        </is>
      </c>
      <c r="E17489" t="n">
        <v>80.78</v>
      </c>
      <c r="F17489" t="n">
        <v>1</v>
      </c>
      <c r="G17489" t="n">
        <v>502</v>
      </c>
      <c r="H17489" s="5">
        <f>HYPERLINK("https://api.qogita.com/variants/link/3616302020652/", "View Product")</f>
        <v/>
      </c>
    </row>
    <row r="17490">
      <c r="A17490" t="inlineStr">
        <is>
          <t>3616302022465</t>
        </is>
      </c>
      <c r="B17490" t="inlineStr">
        <is>
          <t>Gucci Flora Gorgeous Gardenia Eau De Parfum for Women 30ml</t>
        </is>
      </c>
      <c r="C17490" t="inlineStr">
        <is>
          <t>Eau De Parfum</t>
        </is>
      </c>
      <c r="D17490" t="inlineStr">
        <is>
          <t>Gucci</t>
        </is>
      </c>
      <c r="E17490" t="n">
        <v>45.79</v>
      </c>
      <c r="F17490" t="n">
        <v>1</v>
      </c>
      <c r="G17490" t="n">
        <v>14</v>
      </c>
      <c r="H17490" s="5">
        <f>HYPERLINK("https://api.qogita.com/variants/link/3616302022465/", "View Product")</f>
        <v/>
      </c>
    </row>
    <row r="17491">
      <c r="A17491" t="inlineStr">
        <is>
          <t>3616302022618</t>
        </is>
      </c>
      <c r="B17491" t="inlineStr">
        <is>
          <t>Lancaster Dry Oil For Tanning Spf 30 Sun Beauty Satin Dry Oil 150 Ml</t>
        </is>
      </c>
      <c r="C17491" t="inlineStr">
        <is>
          <t>Body Sun Protection</t>
        </is>
      </c>
      <c r="D17491" t="inlineStr">
        <is>
          <t>Lancaster</t>
        </is>
      </c>
      <c r="E17491" t="n">
        <v>22.74</v>
      </c>
      <c r="F17491" t="n">
        <v>1</v>
      </c>
      <c r="G17491" t="n">
        <v>8</v>
      </c>
      <c r="H17491" s="5">
        <f>HYPERLINK("https://api.qogita.com/variants/link/3616302022618/", "View Product")</f>
        <v/>
      </c>
    </row>
    <row r="17492">
      <c r="A17492" t="inlineStr">
        <is>
          <t>3616302038947</t>
        </is>
      </c>
      <c r="B17492" t="inlineStr">
        <is>
          <t>Roberto Cavalli Gold Collection Frantic Rose U EDP 100ml</t>
        </is>
      </c>
      <c r="C17492" t="inlineStr">
        <is>
          <t>Eau De Parfum</t>
        </is>
      </c>
      <c r="D17492" t="inlineStr">
        <is>
          <t>Roberto Cavalli</t>
        </is>
      </c>
      <c r="E17492" t="n">
        <v>79.12</v>
      </c>
      <c r="F17492" t="n">
        <v>1</v>
      </c>
      <c r="G17492" t="n">
        <v>3</v>
      </c>
      <c r="H17492" s="5">
        <f>HYPERLINK("https://api.qogita.com/variants/link/3616302038947/", "View Product")</f>
        <v/>
      </c>
    </row>
    <row r="17493">
      <c r="A17493" t="inlineStr">
        <is>
          <t>3616302501199</t>
        </is>
      </c>
      <c r="B17493" t="inlineStr">
        <is>
          <t>Tiffany &amp; Co. Tiffany Rose Gold Eau de Parfum 30ml for Women - NEW 2021</t>
        </is>
      </c>
      <c r="C17493" t="inlineStr">
        <is>
          <t>Eau De Parfum</t>
        </is>
      </c>
      <c r="D17493" t="inlineStr">
        <is>
          <t>Tiffany &amp; Co.</t>
        </is>
      </c>
      <c r="E17493" t="n">
        <v>43.34</v>
      </c>
      <c r="F17493" t="n">
        <v>1</v>
      </c>
      <c r="G17493" t="n">
        <v>2</v>
      </c>
      <c r="H17493" s="5">
        <f>HYPERLINK("https://api.qogita.com/variants/link/3616302501199/", "View Product")</f>
        <v/>
      </c>
    </row>
    <row r="17494">
      <c r="A17494" t="inlineStr">
        <is>
          <t>3616302748808</t>
        </is>
      </c>
      <c r="B17494" t="inlineStr">
        <is>
          <t>Max Factor Creme Puff Pressed Powder In Deep Beige, 14g</t>
        </is>
      </c>
      <c r="C17494" t="inlineStr">
        <is>
          <t>Powder</t>
        </is>
      </c>
      <c r="D17494" t="inlineStr">
        <is>
          <t>Max Factor</t>
        </is>
      </c>
      <c r="E17494" t="n">
        <v>4.36</v>
      </c>
      <c r="F17494" t="n">
        <v>1</v>
      </c>
      <c r="G17494" t="n">
        <v>25</v>
      </c>
      <c r="H17494" s="5">
        <f>HYPERLINK("https://api.qogita.com/variants/link/3616302748808/", "View Product")</f>
        <v/>
      </c>
    </row>
    <row r="17495">
      <c r="A17495" t="inlineStr">
        <is>
          <t>3616302923182</t>
        </is>
      </c>
      <c r="B17495" t="inlineStr">
        <is>
          <t>Hugo Boss Boss Bottled Eau de Toilette 100ml + 10ml Spray Gift Set for Men</t>
        </is>
      </c>
      <c r="C17495" t="inlineStr">
        <is>
          <t>Fragrance Sets</t>
        </is>
      </c>
      <c r="D17495" t="inlineStr">
        <is>
          <t>Hugo Boss</t>
        </is>
      </c>
      <c r="E17495" t="n">
        <v>55.27</v>
      </c>
      <c r="F17495" t="n">
        <v>1</v>
      </c>
      <c r="G17495" t="n">
        <v>4</v>
      </c>
      <c r="H17495" s="5">
        <f>HYPERLINK("https://api.qogita.com/variants/link/3616302923182/", "View Product")</f>
        <v/>
      </c>
    </row>
    <row r="17496">
      <c r="A17496" t="inlineStr">
        <is>
          <t>3616302931606</t>
        </is>
      </c>
      <c r="B17496" t="inlineStr">
        <is>
          <t>Chloe Eau De Parfum 2 Piece Gift Set 20ml Chloe Eau De Parfum &amp; 20ml Nomade Eau De Parfum For Women</t>
        </is>
      </c>
      <c r="C17496" t="inlineStr">
        <is>
          <t>Fragrance Sets</t>
        </is>
      </c>
      <c r="D17496" t="inlineStr">
        <is>
          <t>Chloé</t>
        </is>
      </c>
      <c r="E17496" t="n">
        <v>46.85</v>
      </c>
      <c r="F17496" t="n">
        <v>1</v>
      </c>
      <c r="G17496" t="n">
        <v>2</v>
      </c>
      <c r="H17496" s="5">
        <f>HYPERLINK("https://api.qogita.com/variants/link/3616302931606/", "View Product")</f>
        <v/>
      </c>
    </row>
    <row r="17497">
      <c r="A17497" t="inlineStr">
        <is>
          <t>3616302937202</t>
        </is>
      </c>
      <c r="B17497" t="inlineStr">
        <is>
          <t>Simply For Her Natural Spray Deodorant 75ml</t>
        </is>
      </c>
      <c r="C17497" t="inlineStr">
        <is>
          <t>Deodorant &amp; Anti-Perspirant</t>
        </is>
      </c>
      <c r="D17497" t="inlineStr">
        <is>
          <t>Simply For Her</t>
        </is>
      </c>
      <c r="E17497" t="n">
        <v>4.26</v>
      </c>
      <c r="F17497" t="n">
        <v>1</v>
      </c>
      <c r="G17497" t="n">
        <v>20</v>
      </c>
      <c r="H17497" s="5">
        <f>HYPERLINK("https://api.qogita.com/variants/link/3616302937202/", "View Product")</f>
        <v/>
      </c>
    </row>
    <row r="17498">
      <c r="A17498" t="inlineStr">
        <is>
          <t>3616302968244</t>
        </is>
      </c>
      <c r="B17498" t="inlineStr">
        <is>
          <t>Boss Alive Eau De Parfum Intense for Her Woody Fragrance</t>
        </is>
      </c>
      <c r="C17498" t="inlineStr">
        <is>
          <t>Eau De Parfum</t>
        </is>
      </c>
      <c r="D17498" t="inlineStr">
        <is>
          <t>Hugo Boss</t>
        </is>
      </c>
      <c r="E17498" t="n">
        <v>52.97</v>
      </c>
      <c r="F17498" t="n">
        <v>1</v>
      </c>
      <c r="G17498" t="n">
        <v>8</v>
      </c>
      <c r="H17498" s="5">
        <f>HYPERLINK("https://api.qogita.com/variants/link/3616302968244/", "View Product")</f>
        <v/>
      </c>
    </row>
    <row r="17499">
      <c r="A17499" t="inlineStr">
        <is>
          <t>3616302968589</t>
        </is>
      </c>
      <c r="B17499" t="inlineStr">
        <is>
          <t>Gucci Flora Gorgeous Jasmine Eau De Parfum Spray 30ml</t>
        </is>
      </c>
      <c r="C17499" t="inlineStr">
        <is>
          <t>Eau De Parfum</t>
        </is>
      </c>
      <c r="D17499" t="inlineStr">
        <is>
          <t>Gucci</t>
        </is>
      </c>
      <c r="E17499" t="n">
        <v>42.38</v>
      </c>
      <c r="F17499" t="n">
        <v>1</v>
      </c>
      <c r="G17499" t="n">
        <v>14</v>
      </c>
      <c r="H17499" s="5">
        <f>HYPERLINK("https://api.qogita.com/variants/link/3616302968589/", "View Product")</f>
        <v/>
      </c>
    </row>
    <row r="17500">
      <c r="A17500" t="inlineStr">
        <is>
          <t>3616302989201</t>
        </is>
      </c>
      <c r="B17500" t="inlineStr">
        <is>
          <t>Rimmel London Kind Free Tinted Lip Balm 002 Natural Apricot 4g</t>
        </is>
      </c>
      <c r="C17500" t="inlineStr">
        <is>
          <t>Lip Balm</t>
        </is>
      </c>
      <c r="D17500" t="inlineStr">
        <is>
          <t>Rimmel London</t>
        </is>
      </c>
      <c r="E17500" t="n">
        <v>5.16</v>
      </c>
      <c r="F17500" t="n">
        <v>1</v>
      </c>
      <c r="G17500" t="n">
        <v>9</v>
      </c>
      <c r="H17500" s="5">
        <f>HYPERLINK("https://api.qogita.com/variants/link/3616302989201/", "View Product")</f>
        <v/>
      </c>
    </row>
    <row r="17501">
      <c r="A17501" t="inlineStr">
        <is>
          <t>3616303011338</t>
        </is>
      </c>
      <c r="B17501" t="inlineStr">
        <is>
          <t>Bourjois Always Fabulous 24h Full Coverage Concealer For Under Eyes And Face Contouring 200 Vanilla 11ml</t>
        </is>
      </c>
      <c r="C17501" t="inlineStr">
        <is>
          <t>Concealer</t>
        </is>
      </c>
      <c r="D17501" t="inlineStr">
        <is>
          <t>Bourjois</t>
        </is>
      </c>
      <c r="E17501" t="n">
        <v>5.67</v>
      </c>
      <c r="F17501" t="n">
        <v>1</v>
      </c>
      <c r="G17501" t="n">
        <v>5</v>
      </c>
      <c r="H17501" s="5">
        <f>HYPERLINK("https://api.qogita.com/variants/link/3616303011338/", "View Product")</f>
        <v/>
      </c>
    </row>
    <row r="17502">
      <c r="A17502" t="inlineStr">
        <is>
          <t>3616303040505</t>
        </is>
      </c>
      <c r="B17502" t="inlineStr">
        <is>
          <t>JOOP! Homme Le Parfum 75ml</t>
        </is>
      </c>
      <c r="C17502" t="inlineStr">
        <is>
          <t>Eau De Parfum</t>
        </is>
      </c>
      <c r="D17502" t="inlineStr">
        <is>
          <t>Joop!</t>
        </is>
      </c>
      <c r="E17502" t="n">
        <v>19.29</v>
      </c>
      <c r="F17502" t="n">
        <v>1</v>
      </c>
      <c r="G17502" t="n">
        <v>86</v>
      </c>
      <c r="H17502" s="5">
        <f>HYPERLINK("https://api.qogita.com/variants/link/3616303040505/", "View Product")</f>
        <v/>
      </c>
    </row>
    <row r="17503">
      <c r="A17503" t="inlineStr">
        <is>
          <t>3616303040512</t>
        </is>
      </c>
      <c r="B17503" t="inlineStr">
        <is>
          <t>JOOP! Homme Le Parfum 4.2 fl. Oz</t>
        </is>
      </c>
      <c r="C17503" t="inlineStr">
        <is>
          <t>Eau De Parfum</t>
        </is>
      </c>
      <c r="D17503" t="inlineStr">
        <is>
          <t>Joop!</t>
        </is>
      </c>
      <c r="E17503" t="n">
        <v>26.95</v>
      </c>
      <c r="F17503" t="n">
        <v>1</v>
      </c>
      <c r="G17503" t="n">
        <v>111</v>
      </c>
      <c r="H17503" s="5">
        <f>HYPERLINK("https://api.qogita.com/variants/link/3616303040512/", "View Product")</f>
        <v/>
      </c>
    </row>
    <row r="17504">
      <c r="A17504" t="inlineStr">
        <is>
          <t>3616303322007</t>
        </is>
      </c>
      <c r="B17504" t="inlineStr">
        <is>
          <t>Adidas Dynamic Pulse Deodorant Spray 75ml</t>
        </is>
      </c>
      <c r="C17504" t="inlineStr">
        <is>
          <t>Deodorant &amp; Anti-Perspirant</t>
        </is>
      </c>
      <c r="D17504" t="inlineStr">
        <is>
          <t>adidas</t>
        </is>
      </c>
      <c r="E17504" t="n">
        <v>4.97</v>
      </c>
      <c r="F17504" t="n">
        <v>1</v>
      </c>
      <c r="G17504" t="n">
        <v>8</v>
      </c>
      <c r="H17504" s="5">
        <f>HYPERLINK("https://api.qogita.com/variants/link/3616303322007/", "View Product")</f>
        <v/>
      </c>
    </row>
    <row r="17505">
      <c r="A17505" t="inlineStr">
        <is>
          <t>3616303397241</t>
        </is>
      </c>
      <c r="B17505" t="inlineStr">
        <is>
          <t>Bourjois Healthy Mix Clean &amp; Vegan Foundation 51.5 Rose Vanilla 30ml</t>
        </is>
      </c>
      <c r="C17505" t="inlineStr">
        <is>
          <t>Foundation</t>
        </is>
      </c>
      <c r="D17505" t="inlineStr">
        <is>
          <t>Bourjois</t>
        </is>
      </c>
      <c r="E17505" t="n">
        <v>6.77</v>
      </c>
      <c r="F17505" t="n">
        <v>1</v>
      </c>
      <c r="G17505" t="n">
        <v>3</v>
      </c>
      <c r="H17505" s="5">
        <f>HYPERLINK("https://api.qogita.com/variants/link/3616303397241/", "View Product")</f>
        <v/>
      </c>
    </row>
    <row r="17506">
      <c r="A17506" t="inlineStr">
        <is>
          <t>3616303397326</t>
        </is>
      </c>
      <c r="B17506" t="inlineStr">
        <is>
          <t>Bourjois Healthy Mix Clean &amp; Vegan Foundation 55 Deep Beige 30ml</t>
        </is>
      </c>
      <c r="C17506" t="inlineStr">
        <is>
          <t>Foundation</t>
        </is>
      </c>
      <c r="D17506" t="inlineStr">
        <is>
          <t>Bourjois</t>
        </is>
      </c>
      <c r="E17506" t="n">
        <v>5.59</v>
      </c>
      <c r="F17506" t="n">
        <v>1</v>
      </c>
      <c r="G17506" t="n">
        <v>6</v>
      </c>
      <c r="H17506" s="5">
        <f>HYPERLINK("https://api.qogita.com/variants/link/3616303397326/", "View Product")</f>
        <v/>
      </c>
    </row>
    <row r="17507">
      <c r="A17507" t="inlineStr">
        <is>
          <t>3616303423841</t>
        </is>
      </c>
      <c r="B17507" t="inlineStr">
        <is>
          <t>Marc Jacobs Daisy Ever So Fresh Eau De Parfum Spray 75ml For Women</t>
        </is>
      </c>
      <c r="C17507" t="inlineStr">
        <is>
          <t>Eau De Parfum</t>
        </is>
      </c>
      <c r="D17507" t="inlineStr">
        <is>
          <t>Marc Jacobs</t>
        </is>
      </c>
      <c r="E17507" t="n">
        <v>48.57</v>
      </c>
      <c r="F17507" t="n">
        <v>1</v>
      </c>
      <c r="G17507" t="n">
        <v>6</v>
      </c>
      <c r="H17507" s="5">
        <f>HYPERLINK("https://api.qogita.com/variants/link/3616303423841/", "View Product")</f>
        <v/>
      </c>
    </row>
    <row r="17508">
      <c r="A17508" t="inlineStr">
        <is>
          <t>3616303429577</t>
        </is>
      </c>
      <c r="B17508" t="inlineStr">
        <is>
          <t>Lacoste Match Point Cologne Eau De Toilette Spray 100ml For Men</t>
        </is>
      </c>
      <c r="C17508" t="inlineStr">
        <is>
          <t>Eau De Toilette</t>
        </is>
      </c>
      <c r="D17508" t="inlineStr">
        <is>
          <t>Lacoste</t>
        </is>
      </c>
      <c r="E17508" t="n">
        <v>36.1</v>
      </c>
      <c r="F17508" t="n">
        <v>1</v>
      </c>
      <c r="G17508" t="n">
        <v>5</v>
      </c>
      <c r="H17508" s="5">
        <f>HYPERLINK("https://api.qogita.com/variants/link/3616303429577/", "View Product")</f>
        <v/>
      </c>
    </row>
    <row r="17509">
      <c r="A17509" t="inlineStr">
        <is>
          <t>3616303439965</t>
        </is>
      </c>
      <c r="B17509" t="inlineStr">
        <is>
          <t>Adidas Intensive Antiperspirant 72h Rollon 50ml Cool And Dry</t>
        </is>
      </c>
      <c r="C17509" t="inlineStr">
        <is>
          <t>Deodorant &amp; Anti-Perspirant</t>
        </is>
      </c>
      <c r="D17509" t="inlineStr">
        <is>
          <t>adidas</t>
        </is>
      </c>
      <c r="E17509" t="n">
        <v>3.8</v>
      </c>
      <c r="F17509" t="n">
        <v>1</v>
      </c>
      <c r="G17509" t="n">
        <v>10</v>
      </c>
      <c r="H17509" s="5">
        <f>HYPERLINK("https://api.qogita.com/variants/link/3616303439965/", "View Product")</f>
        <v/>
      </c>
    </row>
    <row r="17510">
      <c r="A17510" t="inlineStr">
        <is>
          <t>3616303440893</t>
        </is>
      </c>
      <c r="B17510" t="inlineStr">
        <is>
          <t>Adidas Ice Dive Deodorant Spray 250ml</t>
        </is>
      </c>
      <c r="C17510" t="inlineStr">
        <is>
          <t>Deodorant &amp; Anti-Perspirant</t>
        </is>
      </c>
      <c r="D17510" t="inlineStr">
        <is>
          <t>adidas</t>
        </is>
      </c>
      <c r="E17510" t="n">
        <v>4.15</v>
      </c>
      <c r="F17510" t="n">
        <v>1</v>
      </c>
      <c r="G17510" t="n">
        <v>5</v>
      </c>
      <c r="H17510" s="5">
        <f>HYPERLINK("https://api.qogita.com/variants/link/3616303440893/", "View Product")</f>
        <v/>
      </c>
    </row>
    <row r="17511">
      <c r="A17511" t="inlineStr">
        <is>
          <t>3616303442149</t>
        </is>
      </c>
      <c r="B17511" t="inlineStr">
        <is>
          <t>Calvin Klein Defy Eau De Parfum 200ml Spray</t>
        </is>
      </c>
      <c r="C17511" t="inlineStr">
        <is>
          <t>Eau De Parfum</t>
        </is>
      </c>
      <c r="D17511" t="inlineStr">
        <is>
          <t>Calvin Klein</t>
        </is>
      </c>
      <c r="E17511" t="n">
        <v>50.61</v>
      </c>
      <c r="F17511" t="n">
        <v>1</v>
      </c>
      <c r="G17511" t="n">
        <v>4</v>
      </c>
      <c r="H17511" s="5">
        <f>HYPERLINK("https://api.qogita.com/variants/link/3616303442149/", "View Product")</f>
        <v/>
      </c>
    </row>
    <row r="17512">
      <c r="A17512" t="inlineStr">
        <is>
          <t>3616303442880</t>
        </is>
      </c>
      <c r="B17512" t="inlineStr">
        <is>
          <t>Adidas Energy Kick Deodorant Roll-On 50ml</t>
        </is>
      </c>
      <c r="C17512" t="inlineStr">
        <is>
          <t>Deodorant &amp; Anti-Perspirant</t>
        </is>
      </c>
      <c r="D17512" t="inlineStr">
        <is>
          <t>adidas</t>
        </is>
      </c>
      <c r="E17512" t="n">
        <v>1.78</v>
      </c>
      <c r="F17512" t="n">
        <v>1</v>
      </c>
      <c r="G17512" t="n">
        <v>41</v>
      </c>
      <c r="H17512" s="5">
        <f>HYPERLINK("https://api.qogita.com/variants/link/3616303442880/", "View Product")</f>
        <v/>
      </c>
    </row>
    <row r="17513">
      <c r="A17513" t="inlineStr">
        <is>
          <t>3616303442897</t>
        </is>
      </c>
      <c r="B17513" t="inlineStr">
        <is>
          <t>Adidas Pure Fresh Deodorant Roll-On 50ml</t>
        </is>
      </c>
      <c r="C17513" t="inlineStr">
        <is>
          <t>Deodorant &amp; Anti-Perspirant</t>
        </is>
      </c>
      <c r="D17513" t="inlineStr">
        <is>
          <t>adidas</t>
        </is>
      </c>
      <c r="E17513" t="n">
        <v>2.51</v>
      </c>
      <c r="F17513" t="n">
        <v>1</v>
      </c>
      <c r="G17513" t="n">
        <v>2</v>
      </c>
      <c r="H17513" s="5">
        <f>HYPERLINK("https://api.qogita.com/variants/link/3616303442897/", "View Product")</f>
        <v/>
      </c>
    </row>
    <row r="17514">
      <c r="A17514" t="inlineStr">
        <is>
          <t>3616303445119</t>
        </is>
      </c>
      <c r="B17514" t="inlineStr">
        <is>
          <t>Roberto Cavalli Signature Eau De Parfum 100ml</t>
        </is>
      </c>
      <c r="C17514" t="inlineStr">
        <is>
          <t>Eau De Parfum</t>
        </is>
      </c>
      <c r="D17514" t="inlineStr">
        <is>
          <t>Roberto Cavalli</t>
        </is>
      </c>
      <c r="E17514" t="n">
        <v>23.45</v>
      </c>
      <c r="F17514" t="n">
        <v>1</v>
      </c>
      <c r="G17514" t="n">
        <v>144</v>
      </c>
      <c r="H17514" s="5">
        <f>HYPERLINK("https://api.qogita.com/variants/link/3616303445119/", "View Product")</f>
        <v/>
      </c>
    </row>
    <row r="17515">
      <c r="A17515" t="inlineStr">
        <is>
          <t>3616303445188</t>
        </is>
      </c>
      <c r="B17515" t="inlineStr">
        <is>
          <t>Roberto Cavalli Paradiso Eau de Parfum Spray 100ml</t>
        </is>
      </c>
      <c r="C17515" t="inlineStr">
        <is>
          <t>Eau De Parfum</t>
        </is>
      </c>
      <c r="D17515" t="inlineStr">
        <is>
          <t>Roberto Cavalli</t>
        </is>
      </c>
      <c r="E17515" t="n">
        <v>26.09</v>
      </c>
      <c r="F17515" t="n">
        <v>1</v>
      </c>
      <c r="G17515" t="n">
        <v>16</v>
      </c>
      <c r="H17515" s="5">
        <f>HYPERLINK("https://api.qogita.com/variants/link/3616303445188/", "View Product")</f>
        <v/>
      </c>
    </row>
    <row r="17516">
      <c r="A17516" t="inlineStr">
        <is>
          <t>3616303445218</t>
        </is>
      </c>
      <c r="B17516" t="inlineStr">
        <is>
          <t>Roberto Cavalli Paradiso Azzurro Eau De Parfum Spray 100ml</t>
        </is>
      </c>
      <c r="C17516" t="inlineStr">
        <is>
          <t>Eau De Parfum</t>
        </is>
      </c>
      <c r="D17516" t="inlineStr">
        <is>
          <t>Roberto Cavalli</t>
        </is>
      </c>
      <c r="E17516" t="n">
        <v>28.55</v>
      </c>
      <c r="F17516" t="n">
        <v>1</v>
      </c>
      <c r="G17516" t="n">
        <v>2</v>
      </c>
      <c r="H17516" s="5">
        <f>HYPERLINK("https://api.qogita.com/variants/link/3616303445218/", "View Product")</f>
        <v/>
      </c>
    </row>
    <row r="17517">
      <c r="A17517" t="inlineStr">
        <is>
          <t>3616303445553</t>
        </is>
      </c>
      <c r="B17517" t="inlineStr">
        <is>
          <t>Chloe L Eau Intense - 10 Ml Women's Perfume</t>
        </is>
      </c>
      <c r="C17517" t="inlineStr">
        <is>
          <t>Eau De Parfum</t>
        </is>
      </c>
      <c r="D17517" t="inlineStr">
        <is>
          <t>Chloé</t>
        </is>
      </c>
      <c r="E17517" t="n">
        <v>20.27</v>
      </c>
      <c r="F17517" t="n">
        <v>1</v>
      </c>
      <c r="G17517" t="n">
        <v>250</v>
      </c>
      <c r="H17517" s="5">
        <f>HYPERLINK("https://api.qogita.com/variants/link/3616303445553/", "View Product")</f>
        <v/>
      </c>
    </row>
    <row r="17518">
      <c r="A17518" t="inlineStr">
        <is>
          <t>3616303450144</t>
        </is>
      </c>
      <c r="B17518" t="inlineStr">
        <is>
          <t>Lancaster Sun Perfect Sun Perfecting Fluid Spf 50 30 Ml</t>
        </is>
      </c>
      <c r="C17518" t="inlineStr">
        <is>
          <t>Face Sun Protection</t>
        </is>
      </c>
      <c r="D17518" t="inlineStr">
        <is>
          <t>Lancaster</t>
        </is>
      </c>
      <c r="E17518" t="n">
        <v>23.66</v>
      </c>
      <c r="F17518" t="n">
        <v>1</v>
      </c>
      <c r="G17518" t="n">
        <v>2</v>
      </c>
      <c r="H17518" s="5">
        <f>HYPERLINK("https://api.qogita.com/variants/link/3616303450144/", "View Product")</f>
        <v/>
      </c>
    </row>
    <row r="17519">
      <c r="A17519" t="inlineStr">
        <is>
          <t>3616303450168</t>
        </is>
      </c>
      <c r="B17519" t="inlineStr">
        <is>
          <t>Lancaster Sun Perfect Infinite Glow Illuminating Cream Spf 50 50 Ml</t>
        </is>
      </c>
      <c r="C17519" t="inlineStr">
        <is>
          <t>Face Sun Protection</t>
        </is>
      </c>
      <c r="D17519" t="inlineStr">
        <is>
          <t>Lancaster</t>
        </is>
      </c>
      <c r="E17519" t="n">
        <v>23.2</v>
      </c>
      <c r="F17519" t="n">
        <v>1</v>
      </c>
      <c r="G17519" t="n">
        <v>5</v>
      </c>
      <c r="H17519" s="5">
        <f>HYPERLINK("https://api.qogita.com/variants/link/3616303450168/", "View Product")</f>
        <v/>
      </c>
    </row>
    <row r="17520">
      <c r="A17520" t="inlineStr">
        <is>
          <t>3616303452339</t>
        </is>
      </c>
      <c r="B17520" t="inlineStr">
        <is>
          <t>Lancaster Face Cleansing Set Express Cleanser &amp; Toner 400ml</t>
        </is>
      </c>
      <c r="C17520" t="inlineStr">
        <is>
          <t>Facial Cleansing Sets</t>
        </is>
      </c>
      <c r="D17520" t="inlineStr">
        <is>
          <t>Lancaster</t>
        </is>
      </c>
      <c r="E17520" t="n">
        <v>35.16</v>
      </c>
      <c r="F17520" t="n">
        <v>1</v>
      </c>
      <c r="G17520" t="n">
        <v>14</v>
      </c>
      <c r="H17520" s="5">
        <f>HYPERLINK("https://api.qogita.com/variants/link/3616303452339/", "View Product")</f>
        <v/>
      </c>
    </row>
    <row r="17521">
      <c r="A17521" t="inlineStr">
        <is>
          <t>3616303452346</t>
        </is>
      </c>
      <c r="B17521" t="inlineStr">
        <is>
          <t>Skin Essentials Set of 2</t>
        </is>
      </c>
      <c r="C17521" t="inlineStr">
        <is>
          <t>Face</t>
        </is>
      </c>
      <c r="D17521" t="inlineStr">
        <is>
          <t>Oregon</t>
        </is>
      </c>
      <c r="E17521" t="n">
        <v>35.16</v>
      </c>
      <c r="F17521" t="n">
        <v>1</v>
      </c>
      <c r="G17521" t="n">
        <v>11</v>
      </c>
      <c r="H17521" s="5">
        <f>HYPERLINK("https://api.qogita.com/variants/link/3616303452346/", "View Product")</f>
        <v/>
      </c>
    </row>
    <row r="17522">
      <c r="A17522" t="inlineStr">
        <is>
          <t>3616303456306</t>
        </is>
      </c>
      <c r="B17522" t="inlineStr">
        <is>
          <t>Escada Santorini Sunrise Eau De Toilette 50ml</t>
        </is>
      </c>
      <c r="C17522" t="inlineStr">
        <is>
          <t>Eau De Toilette</t>
        </is>
      </c>
      <c r="D17522" t="inlineStr">
        <is>
          <t>Escada</t>
        </is>
      </c>
      <c r="E17522" t="n">
        <v>14.45</v>
      </c>
      <c r="F17522" t="n">
        <v>1</v>
      </c>
      <c r="G17522" t="n">
        <v>337</v>
      </c>
      <c r="H17522" s="5">
        <f>HYPERLINK("https://api.qogita.com/variants/link/3616303456306/", "View Product")</f>
        <v/>
      </c>
    </row>
    <row r="17523">
      <c r="A17523" t="inlineStr">
        <is>
          <t>3616303456313</t>
        </is>
      </c>
      <c r="B17523" t="inlineStr">
        <is>
          <t>Escada Santorini Sunrise Eau De Toilette Spray 100ml Limited Edition</t>
        </is>
      </c>
      <c r="C17523" t="inlineStr">
        <is>
          <t>Eau De Toilette</t>
        </is>
      </c>
      <c r="D17523" t="inlineStr">
        <is>
          <t>Escada</t>
        </is>
      </c>
      <c r="E17523" t="n">
        <v>24.08</v>
      </c>
      <c r="F17523" t="n">
        <v>1</v>
      </c>
      <c r="G17523" t="n">
        <v>364</v>
      </c>
      <c r="H17523" s="5">
        <f>HYPERLINK("https://api.qogita.com/variants/link/3616303456313/", "View Product")</f>
        <v/>
      </c>
    </row>
    <row r="17524">
      <c r="A17524" t="inlineStr">
        <is>
          <t>3616303458973</t>
        </is>
      </c>
      <c r="B17524" t="inlineStr">
        <is>
          <t>Adidas Ice Dive Shower Gel 400ml</t>
        </is>
      </c>
      <c r="C17524" t="inlineStr">
        <is>
          <t>Shower Gel</t>
        </is>
      </c>
      <c r="D17524" t="inlineStr">
        <is>
          <t>adidas</t>
        </is>
      </c>
      <c r="E17524" t="n">
        <v>4.49</v>
      </c>
      <c r="F17524" t="n">
        <v>1</v>
      </c>
      <c r="G17524" t="n">
        <v>2</v>
      </c>
      <c r="H17524" s="5">
        <f>HYPERLINK("https://api.qogita.com/variants/link/3616303458973/", "View Product")</f>
        <v/>
      </c>
    </row>
    <row r="17525">
      <c r="A17525" t="inlineStr">
        <is>
          <t>3616303459321</t>
        </is>
      </c>
      <c r="B17525" t="inlineStr">
        <is>
          <t>Adidas Active Start Shower Gel 400ml</t>
        </is>
      </c>
      <c r="C17525" t="inlineStr">
        <is>
          <t>Shower Gel</t>
        </is>
      </c>
      <c r="D17525" t="inlineStr">
        <is>
          <t>adidas</t>
        </is>
      </c>
      <c r="E17525" t="n">
        <v>2.51</v>
      </c>
      <c r="F17525" t="n">
        <v>1</v>
      </c>
      <c r="G17525" t="n">
        <v>17</v>
      </c>
      <c r="H17525" s="5">
        <f>HYPERLINK("https://api.qogita.com/variants/link/3616303459321/", "View Product")</f>
        <v/>
      </c>
    </row>
    <row r="17526">
      <c r="A17526" t="inlineStr">
        <is>
          <t>3616303459673</t>
        </is>
      </c>
      <c r="B17526" t="inlineStr">
        <is>
          <t>Chlo Nomade Jasmine Naturel Intense Eau De Parfum 75ml</t>
        </is>
      </c>
      <c r="C17526" t="inlineStr">
        <is>
          <t>Eau De Parfum</t>
        </is>
      </c>
      <c r="D17526" t="inlineStr">
        <is>
          <t>Chloé</t>
        </is>
      </c>
      <c r="E17526" t="n">
        <v>57.58</v>
      </c>
      <c r="F17526" t="n">
        <v>1</v>
      </c>
      <c r="G17526" t="n">
        <v>48</v>
      </c>
      <c r="H17526" s="5">
        <f>HYPERLINK("https://api.qogita.com/variants/link/3616303459673/", "View Product")</f>
        <v/>
      </c>
    </row>
    <row r="17527">
      <c r="A17527" t="inlineStr">
        <is>
          <t>3616303459956</t>
        </is>
      </c>
      <c r="B17527" t="inlineStr">
        <is>
          <t>Lacoste L.12.12 Rose Eau Intense 50ml</t>
        </is>
      </c>
      <c r="C17527" t="inlineStr">
        <is>
          <t>Eau De Toilette</t>
        </is>
      </c>
      <c r="D17527" t="inlineStr">
        <is>
          <t>Lacoste</t>
        </is>
      </c>
      <c r="E17527" t="n">
        <v>17.83</v>
      </c>
      <c r="F17527" t="n">
        <v>1</v>
      </c>
      <c r="G17527" t="n">
        <v>5</v>
      </c>
      <c r="H17527" s="5">
        <f>HYPERLINK("https://api.qogita.com/variants/link/3616303459956/", "View Product")</f>
        <v/>
      </c>
    </row>
    <row r="17528">
      <c r="A17528" t="inlineStr">
        <is>
          <t>3616303459963</t>
        </is>
      </c>
      <c r="B17528" t="inlineStr">
        <is>
          <t>Lacoste Eau De Lacoste L1212 Rose Eau Intense Eau De Toilette 35ml For Women</t>
        </is>
      </c>
      <c r="C17528" t="inlineStr">
        <is>
          <t>Eau De Toilette</t>
        </is>
      </c>
      <c r="D17528" t="inlineStr">
        <is>
          <t>Lacoste</t>
        </is>
      </c>
      <c r="E17528" t="n">
        <v>23.01</v>
      </c>
      <c r="F17528" t="n">
        <v>1</v>
      </c>
      <c r="G17528" t="n">
        <v>23</v>
      </c>
      <c r="H17528" s="5">
        <f>HYPERLINK("https://api.qogita.com/variants/link/3616303459963/", "View Product")</f>
        <v/>
      </c>
    </row>
    <row r="17529">
      <c r="A17529" t="inlineStr">
        <is>
          <t>3616303462062</t>
        </is>
      </c>
      <c r="B17529" t="inlineStr">
        <is>
          <t>David Beckham Classic Homme Eau De Toilette Spray 100ml</t>
        </is>
      </c>
      <c r="C17529" t="inlineStr">
        <is>
          <t>Eau De Toilette</t>
        </is>
      </c>
      <c r="D17529" t="inlineStr">
        <is>
          <t>David Beckham</t>
        </is>
      </c>
      <c r="E17529" t="n">
        <v>10.56</v>
      </c>
      <c r="F17529" t="n">
        <v>1</v>
      </c>
      <c r="G17529" t="n">
        <v>6</v>
      </c>
      <c r="H17529" s="5">
        <f>HYPERLINK("https://api.qogita.com/variants/link/3616303462062/", "View Product")</f>
        <v/>
      </c>
    </row>
    <row r="17530">
      <c r="A17530" t="inlineStr">
        <is>
          <t>3616303463373</t>
        </is>
      </c>
      <c r="B17530" t="inlineStr">
        <is>
          <t>Calvin Klein Eternity For Men Reflection Eau De Toilette Spray 100ml</t>
        </is>
      </c>
      <c r="C17530" t="inlineStr">
        <is>
          <t>Eau De Toilette</t>
        </is>
      </c>
      <c r="D17530" t="inlineStr">
        <is>
          <t>Calvin Klein</t>
        </is>
      </c>
      <c r="E17530" t="n">
        <v>28.94</v>
      </c>
      <c r="F17530" t="n">
        <v>1</v>
      </c>
      <c r="G17530" t="n">
        <v>12</v>
      </c>
      <c r="H17530" s="5">
        <f>HYPERLINK("https://api.qogita.com/variants/link/3616303463373/", "View Product")</f>
        <v/>
      </c>
    </row>
    <row r="17531">
      <c r="A17531" t="inlineStr">
        <is>
          <t>3616303463397</t>
        </is>
      </c>
      <c r="B17531" t="inlineStr">
        <is>
          <t>Calvin Klein Eternity Reflections For Women Eau De Parfum 100ml</t>
        </is>
      </c>
      <c r="C17531" t="inlineStr">
        <is>
          <t>Eau De Parfum</t>
        </is>
      </c>
      <c r="D17531" t="inlineStr">
        <is>
          <t>Calvin Klein</t>
        </is>
      </c>
      <c r="E17531" t="n">
        <v>24.66</v>
      </c>
      <c r="F17531" t="n">
        <v>1</v>
      </c>
      <c r="G17531" t="n">
        <v>16</v>
      </c>
      <c r="H17531" s="5">
        <f>HYPERLINK("https://api.qogita.com/variants/link/3616303463397/", "View Product")</f>
        <v/>
      </c>
    </row>
    <row r="17532">
      <c r="A17532" t="inlineStr">
        <is>
          <t>3616303470791</t>
        </is>
      </c>
      <c r="B17532" t="inlineStr">
        <is>
          <t>Gucci Flora Gorgeous Magnolia Eau De Parfum Spray 100ml</t>
        </is>
      </c>
      <c r="C17532" t="inlineStr">
        <is>
          <t>Eau De Parfum</t>
        </is>
      </c>
      <c r="D17532" t="inlineStr">
        <is>
          <t>Gucci</t>
        </is>
      </c>
      <c r="E17532" t="n">
        <v>69.84999999999999</v>
      </c>
      <c r="F17532" t="n">
        <v>1</v>
      </c>
      <c r="G17532" t="n">
        <v>5</v>
      </c>
      <c r="H17532" s="5">
        <f>HYPERLINK("https://api.qogita.com/variants/link/3616303470791/", "View Product")</f>
        <v/>
      </c>
    </row>
    <row r="17533">
      <c r="A17533" t="inlineStr">
        <is>
          <t>3616303474041</t>
        </is>
      </c>
      <c r="B17533" t="inlineStr">
        <is>
          <t>Bruno Banani Man Eau De Toilette Spray 30ml + Shower Gel 50ml</t>
        </is>
      </c>
      <c r="C17533" t="inlineStr">
        <is>
          <t>Fragrance Sets</t>
        </is>
      </c>
      <c r="D17533" t="inlineStr">
        <is>
          <t>Bruno Banani</t>
        </is>
      </c>
      <c r="E17533" t="n">
        <v>7.8</v>
      </c>
      <c r="F17533" t="n">
        <v>1</v>
      </c>
      <c r="G17533" t="n">
        <v>9</v>
      </c>
      <c r="H17533" s="5">
        <f>HYPERLINK("https://api.qogita.com/variants/link/3616303474041/", "View Product")</f>
        <v/>
      </c>
    </row>
    <row r="17534">
      <c r="A17534" t="inlineStr">
        <is>
          <t>3616303477950</t>
        </is>
      </c>
      <c r="B17534" t="inlineStr">
        <is>
          <t>Chlo Nomade Nuit D'Gypte Eau De Parfum 75ml</t>
        </is>
      </c>
      <c r="C17534" t="inlineStr">
        <is>
          <t>Eau De Parfum</t>
        </is>
      </c>
      <c r="D17534" t="inlineStr">
        <is>
          <t>Chloé</t>
        </is>
      </c>
      <c r="E17534" t="n">
        <v>70.02</v>
      </c>
      <c r="F17534" t="n">
        <v>1</v>
      </c>
      <c r="G17534" t="n">
        <v>6</v>
      </c>
      <c r="H17534" s="5">
        <f>HYPERLINK("https://api.qogita.com/variants/link/3616303477950/", "View Product")</f>
        <v/>
      </c>
    </row>
    <row r="17535">
      <c r="A17535" t="inlineStr">
        <is>
          <t>3616303996048</t>
        </is>
      </c>
      <c r="B17535" t="inlineStr">
        <is>
          <t>Rimmel London Kind And Free Clean Eye Definer 002pecan 11g</t>
        </is>
      </c>
      <c r="C17535" t="inlineStr">
        <is>
          <t>Eyeliner</t>
        </is>
      </c>
      <c r="D17535" t="inlineStr">
        <is>
          <t>Rimmel London</t>
        </is>
      </c>
      <c r="E17535" t="n">
        <v>4.97</v>
      </c>
      <c r="F17535" t="n">
        <v>1</v>
      </c>
      <c r="G17535" t="n">
        <v>7</v>
      </c>
      <c r="H17535" s="5">
        <f>HYPERLINK("https://api.qogita.com/variants/link/3616303996048/", "View Product")</f>
        <v/>
      </c>
    </row>
    <row r="17536">
      <c r="A17536" t="inlineStr">
        <is>
          <t>3616303999469</t>
        </is>
      </c>
      <c r="B17536" t="inlineStr">
        <is>
          <t>Max Factor Facenity All Day Flawless 3 In 1 Foundation N55 30ml</t>
        </is>
      </c>
      <c r="C17536" t="inlineStr">
        <is>
          <t>Foundation</t>
        </is>
      </c>
      <c r="D17536" t="inlineStr">
        <is>
          <t>Max Factor</t>
        </is>
      </c>
      <c r="E17536" t="n">
        <v>7.07</v>
      </c>
      <c r="F17536" t="n">
        <v>1</v>
      </c>
      <c r="G17536" t="n">
        <v>14</v>
      </c>
      <c r="H17536" s="5">
        <f>HYPERLINK("https://api.qogita.com/variants/link/3616303999469/", "View Product")</f>
        <v/>
      </c>
    </row>
    <row r="17537">
      <c r="A17537" t="inlineStr">
        <is>
          <t>3616303999599</t>
        </is>
      </c>
      <c r="B17537" t="inlineStr">
        <is>
          <t>Max Factor All Day Flawless Facefinity 3 In 1 Long Lasting Makeup 30 Ml C90 Amber</t>
        </is>
      </c>
      <c r="C17537" t="inlineStr">
        <is>
          <t>Foundation</t>
        </is>
      </c>
      <c r="D17537" t="inlineStr">
        <is>
          <t>Max Factor</t>
        </is>
      </c>
      <c r="E17537" t="n">
        <v>12.6</v>
      </c>
      <c r="F17537" t="n">
        <v>1</v>
      </c>
      <c r="G17537" t="n">
        <v>2</v>
      </c>
      <c r="H17537" s="5">
        <f>HYPERLINK("https://api.qogita.com/variants/link/3616303999599/", "View Product")</f>
        <v/>
      </c>
    </row>
    <row r="17538">
      <c r="A17538" t="inlineStr">
        <is>
          <t>3616304062490</t>
        </is>
      </c>
      <c r="B17538" t="inlineStr">
        <is>
          <t>Hugo Boss Hugo Jeans Man Eau De Toilette Spray 125ml</t>
        </is>
      </c>
      <c r="C17538" t="inlineStr">
        <is>
          <t>Eau De Toilette</t>
        </is>
      </c>
      <c r="D17538" t="inlineStr">
        <is>
          <t>Hugo Boss</t>
        </is>
      </c>
      <c r="E17538" t="n">
        <v>44.08</v>
      </c>
      <c r="F17538" t="n">
        <v>1</v>
      </c>
      <c r="G17538" t="n">
        <v>32</v>
      </c>
      <c r="H17538" s="5">
        <f>HYPERLINK("https://api.qogita.com/variants/link/3616304062490/", "View Product")</f>
        <v/>
      </c>
    </row>
    <row r="17539">
      <c r="A17539" t="inlineStr">
        <is>
          <t>3616304076978</t>
        </is>
      </c>
      <c r="B17539" t="inlineStr">
        <is>
          <t>Hugo Boss Hugo Just Different Eau De Toilette Spray 75ml</t>
        </is>
      </c>
      <c r="C17539" t="inlineStr">
        <is>
          <t>Eau De Toilette</t>
        </is>
      </c>
      <c r="D17539" t="inlineStr">
        <is>
          <t>Hugo Boss</t>
        </is>
      </c>
      <c r="E17539" t="n">
        <v>23.66</v>
      </c>
      <c r="F17539" t="n">
        <v>1</v>
      </c>
      <c r="G17539" t="n">
        <v>53</v>
      </c>
      <c r="H17539" s="5">
        <f>HYPERLINK("https://api.qogita.com/variants/link/3616304076978/", "View Product")</f>
        <v/>
      </c>
    </row>
    <row r="17540">
      <c r="A17540" t="inlineStr">
        <is>
          <t>3616304197611</t>
        </is>
      </c>
      <c r="B17540" t="inlineStr">
        <is>
          <t>Lancaster Skin Essentials Skincare Set 2 Pieces</t>
        </is>
      </c>
      <c r="C17540" t="inlineStr">
        <is>
          <t>Facial Care Sets</t>
        </is>
      </c>
      <c r="D17540" t="inlineStr">
        <is>
          <t>Unknown</t>
        </is>
      </c>
      <c r="E17540" t="n">
        <v>15.53</v>
      </c>
      <c r="F17540" t="n">
        <v>1</v>
      </c>
      <c r="G17540" t="n">
        <v>22</v>
      </c>
      <c r="H17540" s="5">
        <f>HYPERLINK("https://api.qogita.com/variants/link/3616304197611/", "View Product")</f>
        <v/>
      </c>
    </row>
    <row r="17541">
      <c r="A17541" t="inlineStr">
        <is>
          <t>3616304203626</t>
        </is>
      </c>
      <c r="B17541" t="inlineStr">
        <is>
          <t>Escada Chiffon Sorbet Eau De Toilette 100 Ml</t>
        </is>
      </c>
      <c r="C17541" t="inlineStr">
        <is>
          <t>Eau De Toilette</t>
        </is>
      </c>
      <c r="D17541" t="inlineStr">
        <is>
          <t>Escada</t>
        </is>
      </c>
      <c r="E17541" t="n">
        <v>24.1</v>
      </c>
      <c r="F17541" t="n">
        <v>1</v>
      </c>
      <c r="G17541" t="n">
        <v>5</v>
      </c>
      <c r="H17541" s="5">
        <f>HYPERLINK("https://api.qogita.com/variants/link/3616304203626/", "View Product")</f>
        <v/>
      </c>
    </row>
    <row r="17542">
      <c r="A17542" t="inlineStr">
        <is>
          <t>3616304219054</t>
        </is>
      </c>
      <c r="B17542" t="inlineStr">
        <is>
          <t>Bruno Banani Magnetic Man Eau De Toilette Spray 30ml</t>
        </is>
      </c>
      <c r="C17542" t="inlineStr">
        <is>
          <t>Eau De Toilette</t>
        </is>
      </c>
      <c r="D17542" t="inlineStr">
        <is>
          <t>Bruno Banani</t>
        </is>
      </c>
      <c r="E17542" t="n">
        <v>5.61</v>
      </c>
      <c r="F17542" t="n">
        <v>1</v>
      </c>
      <c r="G17542" t="n">
        <v>11</v>
      </c>
      <c r="H17542" s="5">
        <f>HYPERLINK("https://api.qogita.com/variants/link/3616304219054/", "View Product")</f>
        <v/>
      </c>
    </row>
    <row r="17543">
      <c r="A17543" t="inlineStr">
        <is>
          <t>3616304247637</t>
        </is>
      </c>
      <c r="B17543" t="inlineStr">
        <is>
          <t>Adidas Pure Game Shower Gel 250ml</t>
        </is>
      </c>
      <c r="C17543" t="inlineStr">
        <is>
          <t>Shower Gel</t>
        </is>
      </c>
      <c r="D17543" t="inlineStr">
        <is>
          <t>adidas</t>
        </is>
      </c>
      <c r="E17543" t="n">
        <v>1.55</v>
      </c>
      <c r="F17543" t="n">
        <v>1</v>
      </c>
      <c r="G17543" t="n">
        <v>72</v>
      </c>
      <c r="H17543" s="5">
        <f>HYPERLINK("https://api.qogita.com/variants/link/3616304247637/", "View Product")</f>
        <v/>
      </c>
    </row>
    <row r="17544">
      <c r="A17544" t="inlineStr">
        <is>
          <t>3616304249716</t>
        </is>
      </c>
      <c r="B17544" t="inlineStr">
        <is>
          <t>Gucci Bloom Intense Eau de Parfum 100ml</t>
        </is>
      </c>
      <c r="C17544" t="inlineStr">
        <is>
          <t>Eau De Parfum</t>
        </is>
      </c>
      <c r="D17544" t="inlineStr">
        <is>
          <t>Gucci</t>
        </is>
      </c>
      <c r="E17544" t="n">
        <v>87.66</v>
      </c>
      <c r="F17544" t="n">
        <v>1</v>
      </c>
      <c r="G17544" t="n">
        <v>5</v>
      </c>
      <c r="H17544" s="5">
        <f>HYPERLINK("https://api.qogita.com/variants/link/3616304249716/", "View Product")</f>
        <v/>
      </c>
    </row>
    <row r="17545">
      <c r="A17545" t="inlineStr">
        <is>
          <t>3616304252921</t>
        </is>
      </c>
      <c r="B17545" t="inlineStr">
        <is>
          <t>Hugo Boss Ladies Alive Parfum Spray 2.7 Oz</t>
        </is>
      </c>
      <c r="C17545" t="inlineStr">
        <is>
          <t>Eau De Parfum</t>
        </is>
      </c>
      <c r="D17545" t="inlineStr">
        <is>
          <t>Hugo Boss</t>
        </is>
      </c>
      <c r="E17545" t="n">
        <v>75.95999999999999</v>
      </c>
      <c r="F17545" t="n">
        <v>1</v>
      </c>
      <c r="G17545" t="n">
        <v>8</v>
      </c>
      <c r="H17545" s="5">
        <f>HYPERLINK("https://api.qogita.com/variants/link/3616304252921/", "View Product")</f>
        <v/>
      </c>
    </row>
    <row r="17546">
      <c r="A17546" t="inlineStr">
        <is>
          <t>3616304254215</t>
        </is>
      </c>
      <c r="B17546" t="inlineStr">
        <is>
          <t>Marc Jacobs Perfect Eau De Parfum - 150 Ml</t>
        </is>
      </c>
      <c r="C17546" t="inlineStr">
        <is>
          <t>Eau De Parfum</t>
        </is>
      </c>
      <c r="D17546" t="inlineStr">
        <is>
          <t>Marc Jacobs</t>
        </is>
      </c>
      <c r="E17546" t="n">
        <v>82.01000000000001</v>
      </c>
      <c r="F17546" t="n">
        <v>1</v>
      </c>
      <c r="G17546" t="n">
        <v>2</v>
      </c>
      <c r="H17546" s="5">
        <f>HYPERLINK("https://api.qogita.com/variants/link/3616304254215/", "View Product")</f>
        <v/>
      </c>
    </row>
    <row r="17547">
      <c r="A17547" t="inlineStr">
        <is>
          <t>3616304478284</t>
        </is>
      </c>
      <c r="B17547" t="inlineStr">
        <is>
          <t>Calvin Klein My Euphoria Eau De Parfum Miniature</t>
        </is>
      </c>
      <c r="C17547" t="inlineStr">
        <is>
          <t>Eau De Parfum</t>
        </is>
      </c>
      <c r="D17547" t="inlineStr">
        <is>
          <t>Calvin Klein</t>
        </is>
      </c>
      <c r="E17547" t="n">
        <v>11.74</v>
      </c>
      <c r="F17547" t="n">
        <v>1</v>
      </c>
      <c r="G17547" t="n">
        <v>8</v>
      </c>
      <c r="H17547" s="5">
        <f>HYPERLINK("https://api.qogita.com/variants/link/3616304478284/", "View Product")</f>
        <v/>
      </c>
    </row>
    <row r="17548">
      <c r="A17548" t="inlineStr">
        <is>
          <t>3616304679445</t>
        </is>
      </c>
      <c r="B17548" t="inlineStr">
        <is>
          <t>Burberry Hero Parfum 100ml</t>
        </is>
      </c>
      <c r="C17548" t="inlineStr">
        <is>
          <t>Eau De Parfum</t>
        </is>
      </c>
      <c r="D17548" t="inlineStr">
        <is>
          <t>Burberry</t>
        </is>
      </c>
      <c r="E17548" t="n">
        <v>66.48</v>
      </c>
      <c r="F17548" t="n">
        <v>1</v>
      </c>
      <c r="G17548" t="n">
        <v>59</v>
      </c>
      <c r="H17548" s="5">
        <f>HYPERLINK("https://api.qogita.com/variants/link/3616304679445/", "View Product")</f>
        <v/>
      </c>
    </row>
    <row r="17549">
      <c r="A17549" t="inlineStr">
        <is>
          <t>3616304693809</t>
        </is>
      </c>
      <c r="B17549" t="inlineStr">
        <is>
          <t>Adidas Shower 3in1 Champions League 250ml</t>
        </is>
      </c>
      <c r="C17549" t="inlineStr">
        <is>
          <t>Shower Gel</t>
        </is>
      </c>
      <c r="D17549" t="inlineStr">
        <is>
          <t>adidas</t>
        </is>
      </c>
      <c r="E17549" t="n">
        <v>2.1</v>
      </c>
      <c r="F17549" t="n">
        <v>1</v>
      </c>
      <c r="G17549" t="n">
        <v>3</v>
      </c>
      <c r="H17549" s="5">
        <f>HYPERLINK("https://api.qogita.com/variants/link/3616304693809/", "View Product")</f>
        <v/>
      </c>
    </row>
    <row r="17550">
      <c r="A17550" t="inlineStr">
        <is>
          <t>3616304892783</t>
        </is>
      </c>
      <c r="B17550" t="inlineStr">
        <is>
          <t>David Beckham Instinct Eau De Parfum Spray 75ml</t>
        </is>
      </c>
      <c r="C17550" t="inlineStr">
        <is>
          <t>Eau De Parfum</t>
        </is>
      </c>
      <c r="D17550" t="inlineStr">
        <is>
          <t>David Beckham</t>
        </is>
      </c>
      <c r="E17550" t="n">
        <v>20.08</v>
      </c>
      <c r="F17550" t="n">
        <v>1</v>
      </c>
      <c r="G17550" t="n">
        <v>10</v>
      </c>
      <c r="H17550" s="5">
        <f>HYPERLINK("https://api.qogita.com/variants/link/3616304892783/", "View Product")</f>
        <v/>
      </c>
    </row>
    <row r="17551">
      <c r="A17551" t="inlineStr">
        <is>
          <t>3616304956928</t>
        </is>
      </c>
      <c r="B17551" t="inlineStr">
        <is>
          <t>Gucci Flora Gorgeous Gardenia Case 2 pcs</t>
        </is>
      </c>
      <c r="C17551" t="inlineStr">
        <is>
          <t>Fragrance Sets</t>
        </is>
      </c>
      <c r="D17551" t="inlineStr">
        <is>
          <t>Gucci</t>
        </is>
      </c>
      <c r="E17551" t="n">
        <v>57.04</v>
      </c>
      <c r="F17551" t="n">
        <v>1</v>
      </c>
      <c r="G17551" t="n">
        <v>7</v>
      </c>
      <c r="H17551" s="5">
        <f>HYPERLINK("https://api.qogita.com/variants/link/3616304956928/", "View Product")</f>
        <v/>
      </c>
    </row>
    <row r="17552">
      <c r="A17552" t="inlineStr">
        <is>
          <t>3616304967146</t>
        </is>
      </c>
      <c r="B17552" t="inlineStr">
        <is>
          <t>Burberry Goddess Intense Eau De Parfum Refill 150 Ml</t>
        </is>
      </c>
      <c r="C17552" t="inlineStr">
        <is>
          <t>Refillable Fragrances &amp; Refills</t>
        </is>
      </c>
      <c r="D17552" t="inlineStr">
        <is>
          <t>Burberry</t>
        </is>
      </c>
      <c r="E17552" t="n">
        <v>114.54</v>
      </c>
      <c r="F17552" t="n">
        <v>1</v>
      </c>
      <c r="G17552" t="n">
        <v>3</v>
      </c>
      <c r="H17552" s="5">
        <f>HYPERLINK("https://api.qogita.com/variants/link/3616304967146/", "View Product")</f>
        <v/>
      </c>
    </row>
    <row r="17553">
      <c r="A17553" t="inlineStr">
        <is>
          <t>3616304974496</t>
        </is>
      </c>
      <c r="B17553" t="inlineStr">
        <is>
          <t>Chloe Perfume Set With Spray 75ml, Body Lotion 100ml, And Spray Perfume 10ml</t>
        </is>
      </c>
      <c r="C17553" t="inlineStr">
        <is>
          <t>Fragrance Sets</t>
        </is>
      </c>
      <c r="D17553" t="inlineStr">
        <is>
          <t>Chloé</t>
        </is>
      </c>
      <c r="E17553" t="n">
        <v>61.28</v>
      </c>
      <c r="F17553" t="n">
        <v>1</v>
      </c>
      <c r="G17553" t="n">
        <v>7</v>
      </c>
      <c r="H17553" s="5">
        <f>HYPERLINK("https://api.qogita.com/variants/link/3616304974496/", "View Product")</f>
        <v/>
      </c>
    </row>
    <row r="17554">
      <c r="A17554" t="inlineStr">
        <is>
          <t>3616304990472</t>
        </is>
      </c>
      <c r="B17554" t="inlineStr">
        <is>
          <t>Davidoff Cool Water Eau De Toilette 40 Ml Gift Set</t>
        </is>
      </c>
      <c r="C17554" t="inlineStr">
        <is>
          <t>Fragrance Sets</t>
        </is>
      </c>
      <c r="D17554" t="inlineStr">
        <is>
          <t>Davidoff</t>
        </is>
      </c>
      <c r="E17554" t="n">
        <v>27.25</v>
      </c>
      <c r="F17554" t="n">
        <v>1</v>
      </c>
      <c r="G17554" t="n">
        <v>51</v>
      </c>
      <c r="H17554" s="5">
        <f>HYPERLINK("https://api.qogita.com/variants/link/3616304990472/", "View Product")</f>
        <v/>
      </c>
    </row>
    <row r="17555">
      <c r="A17555" t="inlineStr">
        <is>
          <t>3616304997730</t>
        </is>
      </c>
      <c r="B17555" t="inlineStr">
        <is>
          <t>Lancaster Sun Beauty Velvet Milk Body Sunscreen 200 ml for Women</t>
        </is>
      </c>
      <c r="C17555" t="inlineStr">
        <is>
          <t>Body Sun Protection</t>
        </is>
      </c>
      <c r="D17555" t="inlineStr">
        <is>
          <t>Lancaster</t>
        </is>
      </c>
      <c r="E17555" t="n">
        <v>31.15</v>
      </c>
      <c r="F17555" t="n">
        <v>1</v>
      </c>
      <c r="G17555" t="n">
        <v>9</v>
      </c>
      <c r="H17555" s="5">
        <f>HYPERLINK("https://api.qogita.com/variants/link/3616304997730/", "View Product")</f>
        <v/>
      </c>
    </row>
    <row r="17556">
      <c r="A17556" t="inlineStr">
        <is>
          <t>3616305026026</t>
        </is>
      </c>
      <c r="B17556" t="inlineStr">
        <is>
          <t>David Beckham Amber Breeze Eau De Parfum Spray 50ml</t>
        </is>
      </c>
      <c r="C17556" t="inlineStr">
        <is>
          <t>Eau De Parfum</t>
        </is>
      </c>
      <c r="D17556" t="inlineStr">
        <is>
          <t>David Beckham</t>
        </is>
      </c>
      <c r="E17556" t="n">
        <v>7.07</v>
      </c>
      <c r="F17556" t="n">
        <v>1</v>
      </c>
      <c r="G17556" t="n">
        <v>22</v>
      </c>
      <c r="H17556" s="5">
        <f>HYPERLINK("https://api.qogita.com/variants/link/3616305026026/", "View Product")</f>
        <v/>
      </c>
    </row>
    <row r="17557">
      <c r="A17557" t="inlineStr">
        <is>
          <t>3616305040565</t>
        </is>
      </c>
      <c r="B17557" t="inlineStr">
        <is>
          <t>Hugo Boss The Scent For Him Le Parfum Eau De Parfum Spray 50ml</t>
        </is>
      </c>
      <c r="C17557" t="inlineStr">
        <is>
          <t>Eau De Parfum</t>
        </is>
      </c>
      <c r="D17557" t="inlineStr">
        <is>
          <t>Hugo Boss</t>
        </is>
      </c>
      <c r="E17557" t="n">
        <v>48.24</v>
      </c>
      <c r="F17557" t="n">
        <v>1</v>
      </c>
      <c r="G17557" t="n">
        <v>9</v>
      </c>
      <c r="H17557" s="5">
        <f>HYPERLINK("https://api.qogita.com/variants/link/3616305040565/", "View Product")</f>
        <v/>
      </c>
    </row>
    <row r="17558">
      <c r="A17558" t="inlineStr">
        <is>
          <t>3616305169075</t>
        </is>
      </c>
      <c r="B17558" t="inlineStr">
        <is>
          <t>Mexx Black Woman Eau De Parfum Spray 30ml</t>
        </is>
      </c>
      <c r="C17558" t="inlineStr">
        <is>
          <t>Eau De Parfum</t>
        </is>
      </c>
      <c r="D17558" t="inlineStr">
        <is>
          <t>Mexx</t>
        </is>
      </c>
      <c r="E17558" t="n">
        <v>7.94</v>
      </c>
      <c r="F17558" t="n">
        <v>1</v>
      </c>
      <c r="G17558" t="n">
        <v>23</v>
      </c>
      <c r="H17558" s="5">
        <f>HYPERLINK("https://api.qogita.com/variants/link/3616305169075/", "View Product")</f>
        <v/>
      </c>
    </row>
    <row r="17559">
      <c r="A17559" t="inlineStr">
        <is>
          <t>3616305186102</t>
        </is>
      </c>
      <c r="B17559" t="inlineStr">
        <is>
          <t>Chloe Nomade Lumiere D'Egypte Eau De Parfum - 50ml</t>
        </is>
      </c>
      <c r="C17559" t="inlineStr">
        <is>
          <t>Eau De Parfum</t>
        </is>
      </c>
      <c r="D17559" t="inlineStr">
        <is>
          <t>Chloé</t>
        </is>
      </c>
      <c r="E17559" t="n">
        <v>74.56999999999999</v>
      </c>
      <c r="F17559" t="n">
        <v>1</v>
      </c>
      <c r="G17559" t="n">
        <v>7</v>
      </c>
      <c r="H17559" s="5">
        <f>HYPERLINK("https://api.qogita.com/variants/link/3616305186102/", "View Product")</f>
        <v/>
      </c>
    </row>
    <row r="17560">
      <c r="A17560" t="inlineStr">
        <is>
          <t>3616305187581</t>
        </is>
      </c>
      <c r="B17560" t="inlineStr">
        <is>
          <t>Davidoff Cool Water Reborn EDP Intense for Women 50ml</t>
        </is>
      </c>
      <c r="C17560" t="inlineStr">
        <is>
          <t>Eau De Parfum</t>
        </is>
      </c>
      <c r="D17560" t="inlineStr">
        <is>
          <t>Davidoff</t>
        </is>
      </c>
      <c r="E17560" t="n">
        <v>13.2</v>
      </c>
      <c r="F17560" t="n">
        <v>1</v>
      </c>
      <c r="G17560" t="n">
        <v>23</v>
      </c>
      <c r="H17560" s="5">
        <f>HYPERLINK("https://api.qogita.com/variants/link/3616305187581/", "View Product")</f>
        <v/>
      </c>
    </row>
    <row r="17561">
      <c r="A17561" t="inlineStr">
        <is>
          <t>3616305187598</t>
        </is>
      </c>
      <c r="B17561" t="inlineStr">
        <is>
          <t>Davidoff Davidoff Cool Water Reborn Intense Woman Eau De Parfum Spray 100ml</t>
        </is>
      </c>
      <c r="C17561" t="inlineStr">
        <is>
          <t>Eau De Parfum</t>
        </is>
      </c>
      <c r="D17561" t="inlineStr">
        <is>
          <t>Davidoff</t>
        </is>
      </c>
      <c r="E17561" t="n">
        <v>49.98</v>
      </c>
      <c r="F17561" t="n">
        <v>1</v>
      </c>
      <c r="G17561" t="n">
        <v>2</v>
      </c>
      <c r="H17561" s="5">
        <f>HYPERLINK("https://api.qogita.com/variants/link/3616305187598/", "View Product")</f>
        <v/>
      </c>
    </row>
    <row r="17562">
      <c r="A17562" t="inlineStr">
        <is>
          <t>3616305210067</t>
        </is>
      </c>
      <c r="B17562" t="inlineStr">
        <is>
          <t>Bourjois Healthy Mix With Vitamin Mix Serum Foundation Light Vanilla 30ml</t>
        </is>
      </c>
      <c r="C17562" t="inlineStr">
        <is>
          <t>Foundation</t>
        </is>
      </c>
      <c r="D17562" t="inlineStr">
        <is>
          <t>Bourjois</t>
        </is>
      </c>
      <c r="E17562" t="n">
        <v>8.31</v>
      </c>
      <c r="F17562" t="n">
        <v>1</v>
      </c>
      <c r="G17562" t="n">
        <v>2</v>
      </c>
      <c r="H17562" s="5">
        <f>HYPERLINK("https://api.qogita.com/variants/link/3616305210067/", "View Product")</f>
        <v/>
      </c>
    </row>
    <row r="17563">
      <c r="A17563" t="inlineStr">
        <is>
          <t>3616305210074</t>
        </is>
      </c>
      <c r="B17563" t="inlineStr">
        <is>
          <t>Bourjois Healthy Mix Serum Foundation 52w Vanilla 30ml Clean Vegan Formula</t>
        </is>
      </c>
      <c r="C17563" t="inlineStr">
        <is>
          <t>Foundation</t>
        </is>
      </c>
      <c r="D17563" t="inlineStr">
        <is>
          <t>Bourjois</t>
        </is>
      </c>
      <c r="E17563" t="n">
        <v>8.48</v>
      </c>
      <c r="F17563" t="n">
        <v>1</v>
      </c>
      <c r="G17563" t="n">
        <v>2</v>
      </c>
      <c r="H17563" s="5">
        <f>HYPERLINK("https://api.qogita.com/variants/link/3616305210074/", "View Product")</f>
        <v/>
      </c>
    </row>
    <row r="17564">
      <c r="A17564" t="inlineStr">
        <is>
          <t>3616305250322</t>
        </is>
      </c>
      <c r="B17564" t="inlineStr">
        <is>
          <t>Gucci Gucci Guilty Eau De Parfum Set 90ml And Mini 10ml</t>
        </is>
      </c>
      <c r="C17564" t="inlineStr">
        <is>
          <t>Fragrance Sets</t>
        </is>
      </c>
      <c r="D17564" t="inlineStr">
        <is>
          <t>Gucci</t>
        </is>
      </c>
      <c r="E17564" t="n">
        <v>69.69</v>
      </c>
      <c r="F17564" t="n">
        <v>1</v>
      </c>
      <c r="G17564" t="n">
        <v>105</v>
      </c>
      <c r="H17564" s="5">
        <f>HYPERLINK("https://api.qogita.com/variants/link/3616305250322/", "View Product")</f>
        <v/>
      </c>
    </row>
    <row r="17565">
      <c r="A17565" t="inlineStr">
        <is>
          <t>3616305251787</t>
        </is>
      </c>
      <c r="B17565" t="inlineStr">
        <is>
          <t>Chloe Woman Eau De Parfum Spray 75 Ml Eau De Parfum 20 Ml Sets By Chloe</t>
        </is>
      </c>
      <c r="C17565" t="inlineStr">
        <is>
          <t>Fragrance Sets</t>
        </is>
      </c>
      <c r="D17565" t="inlineStr">
        <is>
          <t>Chloé</t>
        </is>
      </c>
      <c r="E17565" t="n">
        <v>63.14</v>
      </c>
      <c r="F17565" t="n">
        <v>1</v>
      </c>
      <c r="G17565" t="n">
        <v>357</v>
      </c>
      <c r="H17565" s="5">
        <f>HYPERLINK("https://api.qogita.com/variants/link/3616305251787/", "View Product")</f>
        <v/>
      </c>
    </row>
    <row r="17566">
      <c r="A17566" t="inlineStr">
        <is>
          <t>3616305256591</t>
        </is>
      </c>
      <c r="B17566" t="inlineStr">
        <is>
          <t>Jovan Make Them Talk Eau De Parfum Vegan Formula Long-Lasting Musk Perfume</t>
        </is>
      </c>
      <c r="C17566" t="inlineStr">
        <is>
          <t>Eau De Parfum</t>
        </is>
      </c>
      <c r="D17566" t="inlineStr">
        <is>
          <t>Jovan</t>
        </is>
      </c>
      <c r="E17566" t="n">
        <v>7.61</v>
      </c>
      <c r="F17566" t="n">
        <v>1</v>
      </c>
      <c r="G17566" t="n">
        <v>41</v>
      </c>
      <c r="H17566" s="5">
        <f>HYPERLINK("https://api.qogita.com/variants/link/3616305256591/", "View Product")</f>
        <v/>
      </c>
    </row>
    <row r="17567">
      <c r="A17567" t="inlineStr">
        <is>
          <t>3616305258502</t>
        </is>
      </c>
      <c r="B17567" t="inlineStr">
        <is>
          <t>Chloe Eau De Parfum 50 Ml Gift Set</t>
        </is>
      </c>
      <c r="C17567" t="inlineStr">
        <is>
          <t>Fragrance Sets</t>
        </is>
      </c>
      <c r="D17567" t="inlineStr">
        <is>
          <t>Chloé</t>
        </is>
      </c>
      <c r="E17567" t="n">
        <v>57.09</v>
      </c>
      <c r="F17567" t="n">
        <v>1</v>
      </c>
      <c r="G17567" t="n">
        <v>71</v>
      </c>
      <c r="H17567" s="5">
        <f>HYPERLINK("https://api.qogita.com/variants/link/3616305258502/", "View Product")</f>
        <v/>
      </c>
    </row>
    <row r="17568">
      <c r="A17568" t="inlineStr">
        <is>
          <t>3616305258533</t>
        </is>
      </c>
      <c r="B17568" t="inlineStr">
        <is>
          <t>Chloe Woman Eau De Parfum Spray 100 Ml By Chloe - Perfect For Women</t>
        </is>
      </c>
      <c r="C17568" t="inlineStr">
        <is>
          <t>Eau De Parfum</t>
        </is>
      </c>
      <c r="D17568" t="inlineStr">
        <is>
          <t>Chloé</t>
        </is>
      </c>
      <c r="E17568" t="n">
        <v>79.98</v>
      </c>
      <c r="F17568" t="n">
        <v>1</v>
      </c>
      <c r="G17568" t="n">
        <v>32</v>
      </c>
      <c r="H17568" s="5">
        <f>HYPERLINK("https://api.qogita.com/variants/link/3616305258533/", "View Product")</f>
        <v/>
      </c>
    </row>
    <row r="17569">
      <c r="A17569" t="inlineStr">
        <is>
          <t>3616305259295</t>
        </is>
      </c>
      <c r="B17569" t="inlineStr">
        <is>
          <t>David Beckham Botanical Resin Eau De Parfum Spray 100ml</t>
        </is>
      </c>
      <c r="C17569" t="inlineStr">
        <is>
          <t>Eau De Parfum</t>
        </is>
      </c>
      <c r="D17569" t="inlineStr">
        <is>
          <t>David Beckham</t>
        </is>
      </c>
      <c r="E17569" t="n">
        <v>9.029999999999999</v>
      </c>
      <c r="F17569" t="n">
        <v>1</v>
      </c>
      <c r="G17569" t="n">
        <v>22</v>
      </c>
      <c r="H17569" s="5">
        <f>HYPERLINK("https://api.qogita.com/variants/link/3616305259295/", "View Product")</f>
        <v/>
      </c>
    </row>
    <row r="17570">
      <c r="A17570" t="inlineStr">
        <is>
          <t>3616305265234</t>
        </is>
      </c>
      <c r="B17570" t="inlineStr">
        <is>
          <t>Hugo Boss The Scent For Her Eau De Parfum Spray 50 Ml Set</t>
        </is>
      </c>
      <c r="C17570" t="inlineStr">
        <is>
          <t>Fragrance Sets</t>
        </is>
      </c>
      <c r="D17570" t="inlineStr">
        <is>
          <t>Hugo Boss</t>
        </is>
      </c>
      <c r="E17570" t="n">
        <v>38.77</v>
      </c>
      <c r="F17570" t="n">
        <v>1</v>
      </c>
      <c r="G17570" t="n">
        <v>176</v>
      </c>
      <c r="H17570" s="5">
        <f>HYPERLINK("https://api.qogita.com/variants/link/3616305265234/", "View Product")</f>
        <v/>
      </c>
    </row>
    <row r="17571">
      <c r="A17571" t="inlineStr">
        <is>
          <t>3616305265289</t>
        </is>
      </c>
      <c r="B17571" t="inlineStr">
        <is>
          <t>Hugo Boss Boss Man 125ml + Shower Gel 50ml + Deodorant 75ml Eau De Toilette Set</t>
        </is>
      </c>
      <c r="C17571" t="inlineStr">
        <is>
          <t>Fragrance Sets</t>
        </is>
      </c>
      <c r="D17571" t="inlineStr">
        <is>
          <t>Hugo Boss</t>
        </is>
      </c>
      <c r="E17571" t="n">
        <v>52.26</v>
      </c>
      <c r="F17571" t="n">
        <v>1</v>
      </c>
      <c r="G17571" t="n">
        <v>183</v>
      </c>
      <c r="H17571" s="5">
        <f>HYPERLINK("https://api.qogita.com/variants/link/3616305265289/", "View Product")</f>
        <v/>
      </c>
    </row>
    <row r="17572">
      <c r="A17572" t="inlineStr">
        <is>
          <t>3616305266309</t>
        </is>
      </c>
      <c r="B17572" t="inlineStr">
        <is>
          <t>Lancaster Sun Perfect Unifying Serum Spf50 - 30ml</t>
        </is>
      </c>
      <c r="C17572" t="inlineStr">
        <is>
          <t>Face Sun Protection</t>
        </is>
      </c>
      <c r="D17572" t="inlineStr">
        <is>
          <t>Lancaster</t>
        </is>
      </c>
      <c r="E17572" t="n">
        <v>35.76</v>
      </c>
      <c r="F17572" t="n">
        <v>1</v>
      </c>
      <c r="G17572" t="n">
        <v>11</v>
      </c>
      <c r="H17572" s="5">
        <f>HYPERLINK("https://api.qogita.com/variants/link/3616305266309/", "View Product")</f>
        <v/>
      </c>
    </row>
    <row r="17573">
      <c r="A17573" t="inlineStr">
        <is>
          <t>3616305267191</t>
        </is>
      </c>
      <c r="B17573" t="inlineStr">
        <is>
          <t>Gucci Bloom Eau De Parfum Spray 50ml + Body Lotion 50ml Set</t>
        </is>
      </c>
      <c r="C17573" t="inlineStr">
        <is>
          <t>Fragrance Sets</t>
        </is>
      </c>
      <c r="D17573" t="inlineStr">
        <is>
          <t>Gucci</t>
        </is>
      </c>
      <c r="E17573" t="n">
        <v>59.31</v>
      </c>
      <c r="F17573" t="n">
        <v>1</v>
      </c>
      <c r="G17573" t="n">
        <v>2</v>
      </c>
      <c r="H17573" s="5">
        <f>HYPERLINK("https://api.qogita.com/variants/link/3616305267191/", "View Product")</f>
        <v/>
      </c>
    </row>
    <row r="17574">
      <c r="A17574" t="inlineStr">
        <is>
          <t>3616305271341</t>
        </is>
      </c>
      <c r="B17574" t="inlineStr">
        <is>
          <t>Chloe Chloe Signature 50 Ml + 100 Ml Intense Eau De Parfum Set</t>
        </is>
      </c>
      <c r="C17574" t="inlineStr">
        <is>
          <t>Fragrance Sets</t>
        </is>
      </c>
      <c r="D17574" t="inlineStr">
        <is>
          <t>Chloé</t>
        </is>
      </c>
      <c r="E17574" t="n">
        <v>57.63</v>
      </c>
      <c r="F17574" t="n">
        <v>1</v>
      </c>
      <c r="G17574" t="n">
        <v>308</v>
      </c>
      <c r="H17574" s="5">
        <f>HYPERLINK("https://api.qogita.com/variants/link/3616305271341/", "View Product")</f>
        <v/>
      </c>
    </row>
    <row r="17575">
      <c r="A17575" t="inlineStr">
        <is>
          <t>3616305333636</t>
        </is>
      </c>
      <c r="B17575" t="inlineStr">
        <is>
          <t>Bourjois Healthy Mix Serum Corrector Liquid 54sun Bronze 11ml Vegan Rollon Concealer 13ml</t>
        </is>
      </c>
      <c r="C17575" t="inlineStr">
        <is>
          <t>Concealer</t>
        </is>
      </c>
      <c r="D17575" t="inlineStr">
        <is>
          <t>Bourjois</t>
        </is>
      </c>
      <c r="E17575" t="n">
        <v>5.25</v>
      </c>
      <c r="F17575" t="n">
        <v>1</v>
      </c>
      <c r="G17575" t="n">
        <v>14</v>
      </c>
      <c r="H17575" s="5">
        <f>HYPERLINK("https://api.qogita.com/variants/link/3616305333636/", "View Product")</f>
        <v/>
      </c>
    </row>
    <row r="17576">
      <c r="A17576" t="inlineStr">
        <is>
          <t>3616305433749</t>
        </is>
      </c>
      <c r="B17576" t="inlineStr">
        <is>
          <t>Calvin Klein Euphoria Woman Eau De Parfum Spray 100ml And Body Lotion 100ml Set</t>
        </is>
      </c>
      <c r="C17576" t="inlineStr">
        <is>
          <t>Fragrance Sets</t>
        </is>
      </c>
      <c r="D17576" t="inlineStr">
        <is>
          <t>Calvin Klein</t>
        </is>
      </c>
      <c r="E17576" t="n">
        <v>65.25</v>
      </c>
      <c r="F17576" t="n">
        <v>1</v>
      </c>
      <c r="G17576" t="n">
        <v>40</v>
      </c>
      <c r="H17576" s="5">
        <f>HYPERLINK("https://api.qogita.com/variants/link/3616305433749/", "View Product")</f>
        <v/>
      </c>
    </row>
    <row r="17577">
      <c r="A17577" t="inlineStr">
        <is>
          <t>3616305439444</t>
        </is>
      </c>
      <c r="B17577" t="inlineStr">
        <is>
          <t>Hugo Boss Bottled Eau De Toilette Spray 100 Ml</t>
        </is>
      </c>
      <c r="C17577" t="inlineStr">
        <is>
          <t>Eau De Toilette</t>
        </is>
      </c>
      <c r="D17577" t="inlineStr">
        <is>
          <t>Hugo Boss</t>
        </is>
      </c>
      <c r="E17577" t="n">
        <v>54.17</v>
      </c>
      <c r="F17577" t="n">
        <v>1</v>
      </c>
      <c r="G17577" t="n">
        <v>9</v>
      </c>
      <c r="H17577" s="5">
        <f>HYPERLINK("https://api.qogita.com/variants/link/3616305439444/", "View Product")</f>
        <v/>
      </c>
    </row>
    <row r="17578">
      <c r="A17578" t="inlineStr">
        <is>
          <t>3616305448521</t>
        </is>
      </c>
      <c r="B17578" t="inlineStr">
        <is>
          <t>Bruno Banani Man's Best Shower Gel 250ml</t>
        </is>
      </c>
      <c r="C17578" t="inlineStr">
        <is>
          <t>Shower Gel</t>
        </is>
      </c>
      <c r="D17578" t="inlineStr">
        <is>
          <t>Bruno Banani</t>
        </is>
      </c>
      <c r="E17578" t="n">
        <v>2.67</v>
      </c>
      <c r="F17578" t="n">
        <v>1</v>
      </c>
      <c r="G17578" t="n">
        <v>61</v>
      </c>
      <c r="H17578" s="5">
        <f>HYPERLINK("https://api.qogita.com/variants/link/3616305448521/", "View Product")</f>
        <v/>
      </c>
    </row>
    <row r="17579">
      <c r="A17579" t="inlineStr">
        <is>
          <t>3616305449627</t>
        </is>
      </c>
      <c r="B17579" t="inlineStr">
        <is>
          <t>Marc Jacobs Daisy Eau De Toilette Gift Set - 100ml</t>
        </is>
      </c>
      <c r="C17579" t="inlineStr">
        <is>
          <t>Fragrance Sets</t>
        </is>
      </c>
      <c r="D17579" t="inlineStr">
        <is>
          <t>Marc Jacobs</t>
        </is>
      </c>
      <c r="E17579" t="n">
        <v>78.13</v>
      </c>
      <c r="F17579" t="n">
        <v>1</v>
      </c>
      <c r="G17579" t="n">
        <v>4</v>
      </c>
      <c r="H17579" s="5">
        <f>HYPERLINK("https://api.qogita.com/variants/link/3616305449627/", "View Product")</f>
        <v/>
      </c>
    </row>
    <row r="17580">
      <c r="A17580" t="inlineStr">
        <is>
          <t>3616305449672</t>
        </is>
      </c>
      <c r="B17580" t="inlineStr">
        <is>
          <t>Marc Jacobs Daisy Eau So Fresh 75ml Christmas Gift Set</t>
        </is>
      </c>
      <c r="C17580" t="inlineStr">
        <is>
          <t>Fragrance Sets</t>
        </is>
      </c>
      <c r="D17580" t="inlineStr">
        <is>
          <t>Marc Jacobs</t>
        </is>
      </c>
      <c r="E17580" t="n">
        <v>58.64</v>
      </c>
      <c r="F17580" t="n">
        <v>1</v>
      </c>
      <c r="G17580" t="n">
        <v>17</v>
      </c>
      <c r="H17580" s="5">
        <f>HYPERLINK("https://api.qogita.com/variants/link/3616305449672/", "View Product")</f>
        <v/>
      </c>
    </row>
    <row r="17581">
      <c r="A17581" t="inlineStr">
        <is>
          <t>3616305480613</t>
        </is>
      </c>
      <c r="B17581" t="inlineStr">
        <is>
          <t>Hugo Boss Boss Bottled Absolu Eau De Parfum Vaporizer 50 Ml</t>
        </is>
      </c>
      <c r="C17581" t="inlineStr">
        <is>
          <t>Eau De Parfum</t>
        </is>
      </c>
      <c r="D17581" t="inlineStr">
        <is>
          <t>Hugo Boss</t>
        </is>
      </c>
      <c r="E17581" t="n">
        <v>65.83</v>
      </c>
      <c r="F17581" t="n">
        <v>1</v>
      </c>
      <c r="G17581" t="n">
        <v>25</v>
      </c>
      <c r="H17581" s="5">
        <f>HYPERLINK("https://api.qogita.com/variants/link/3616305480613/", "View Product")</f>
        <v/>
      </c>
    </row>
    <row r="17582">
      <c r="A17582" t="inlineStr">
        <is>
          <t>3616305493279</t>
        </is>
      </c>
      <c r="B17582" t="inlineStr">
        <is>
          <t>Bourjois Contour Clubbing Waterproof Eye Pencil 63 Sea Blue Soon 1.2g</t>
        </is>
      </c>
      <c r="C17582" t="inlineStr">
        <is>
          <t>Eye Pencil</t>
        </is>
      </c>
      <c r="D17582" t="inlineStr">
        <is>
          <t>Bourjois</t>
        </is>
      </c>
      <c r="E17582" t="n">
        <v>3.85</v>
      </c>
      <c r="F17582" t="n">
        <v>1</v>
      </c>
      <c r="G17582" t="n">
        <v>10</v>
      </c>
      <c r="H17582" s="5">
        <f>HYPERLINK("https://api.qogita.com/variants/link/3616305493279/", "View Product")</f>
        <v/>
      </c>
    </row>
    <row r="17583">
      <c r="A17583" t="inlineStr">
        <is>
          <t>3616305711700</t>
        </is>
      </c>
      <c r="B17583" t="inlineStr">
        <is>
          <t>Max Factor Miracle Pure Skin Reset Vegan Foundation With Serum For Face 40-60 Light 30ml</t>
        </is>
      </c>
      <c r="C17583" t="inlineStr">
        <is>
          <t>Foundation</t>
        </is>
      </c>
      <c r="D17583" t="inlineStr">
        <is>
          <t>Max Factor</t>
        </is>
      </c>
      <c r="E17583" t="n">
        <v>8.039999999999999</v>
      </c>
      <c r="F17583" t="n">
        <v>1</v>
      </c>
      <c r="G17583" t="n">
        <v>2</v>
      </c>
      <c r="H17583" s="5">
        <f>HYPERLINK("https://api.qogita.com/variants/link/3616305711700/", "View Product")</f>
        <v/>
      </c>
    </row>
    <row r="17584">
      <c r="A17584" t="inlineStr">
        <is>
          <t>3616305916143</t>
        </is>
      </c>
      <c r="B17584" t="inlineStr">
        <is>
          <t>Lancaster Sun Beauty Sunscreen Body Milk Spf 30 - 100 Ml</t>
        </is>
      </c>
      <c r="C17584" t="inlineStr">
        <is>
          <t>Body Sun Protection</t>
        </is>
      </c>
      <c r="D17584" t="inlineStr">
        <is>
          <t>Lancaster</t>
        </is>
      </c>
      <c r="E17584" t="n">
        <v>13.96</v>
      </c>
      <c r="F17584" t="n">
        <v>1</v>
      </c>
      <c r="G17584" t="n">
        <v>8</v>
      </c>
      <c r="H17584" s="5">
        <f>HYPERLINK("https://api.qogita.com/variants/link/3616305916143/", "View Product")</f>
        <v/>
      </c>
    </row>
    <row r="17585">
      <c r="A17585" t="inlineStr">
        <is>
          <t>3616305916167</t>
        </is>
      </c>
      <c r="B17585" t="inlineStr">
        <is>
          <t>Lancaster Sun Beauty Body Milk Spf 50 - 100ml</t>
        </is>
      </c>
      <c r="C17585" t="inlineStr">
        <is>
          <t>Body Sun Protection</t>
        </is>
      </c>
      <c r="D17585" t="inlineStr">
        <is>
          <t>Lancaster</t>
        </is>
      </c>
      <c r="E17585" t="n">
        <v>14.84</v>
      </c>
      <c r="F17585" t="n">
        <v>1</v>
      </c>
      <c r="G17585" t="n">
        <v>5</v>
      </c>
      <c r="H17585" s="5">
        <f>HYPERLINK("https://api.qogita.com/variants/link/3616305916167/", "View Product")</f>
        <v/>
      </c>
    </row>
    <row r="17586">
      <c r="A17586" t="inlineStr">
        <is>
          <t>3616305980915</t>
        </is>
      </c>
      <c r="B17586" t="inlineStr">
        <is>
          <t>Rimmel Wonder'last Eyeshadow Stick 005 Frosted Rose 1.64 Gr</t>
        </is>
      </c>
      <c r="C17586" t="inlineStr">
        <is>
          <t>Eyeshadow</t>
        </is>
      </c>
      <c r="D17586" t="inlineStr">
        <is>
          <t>Rimmel London</t>
        </is>
      </c>
      <c r="E17586" t="n">
        <v>5.25</v>
      </c>
      <c r="F17586" t="n">
        <v>1</v>
      </c>
      <c r="G17586" t="n">
        <v>8</v>
      </c>
      <c r="H17586" s="5">
        <f>HYPERLINK("https://api.qogita.com/variants/link/3616305980915/", "View Product")</f>
        <v/>
      </c>
    </row>
    <row r="17587">
      <c r="A17587" t="inlineStr">
        <is>
          <t>3616306127562</t>
        </is>
      </c>
      <c r="B17587" t="inlineStr">
        <is>
          <t>Lancaster Mineral Sunscreen Sun Beauty Sensitive Skin Spf 50 Mineral Face Cream 50 Ml</t>
        </is>
      </c>
      <c r="C17587" t="inlineStr">
        <is>
          <t>Face Sun Protection</t>
        </is>
      </c>
      <c r="D17587" t="inlineStr">
        <is>
          <t>Lancaster</t>
        </is>
      </c>
      <c r="E17587" t="n">
        <v>15.52</v>
      </c>
      <c r="F17587" t="n">
        <v>1</v>
      </c>
      <c r="G17587" t="n">
        <v>8</v>
      </c>
      <c r="H17587" s="5">
        <f>HYPERLINK("https://api.qogita.com/variants/link/3616306127562/", "View Product")</f>
        <v/>
      </c>
    </row>
    <row r="17588">
      <c r="A17588" t="inlineStr">
        <is>
          <t>3616306361409</t>
        </is>
      </c>
      <c r="B17588" t="inlineStr">
        <is>
          <t>Rimmel London Kind &amp; Free Glow It Up Moisturising Skin Tint In Cinnamon - Soothes And Calms Sensitive Skin</t>
        </is>
      </c>
      <c r="C17588" t="inlineStr">
        <is>
          <t>Tinted Day Cream</t>
        </is>
      </c>
      <c r="D17588" t="inlineStr">
        <is>
          <t>Rimmel London</t>
        </is>
      </c>
      <c r="E17588" t="n">
        <v>5.25</v>
      </c>
      <c r="F17588" t="n">
        <v>1</v>
      </c>
      <c r="G17588" t="n">
        <v>2</v>
      </c>
      <c r="H17588" s="5">
        <f>HYPERLINK("https://api.qogita.com/variants/link/3616306361409/", "View Product")</f>
        <v/>
      </c>
    </row>
    <row r="17589">
      <c r="A17589" t="inlineStr">
        <is>
          <t>3616306361539</t>
        </is>
      </c>
      <c r="B17589" t="inlineStr">
        <is>
          <t>Kind &amp; Free Glow It Up Liquid Foundation #210-Golden Beige - 30 Ml</t>
        </is>
      </c>
      <c r="C17589" t="inlineStr">
        <is>
          <t>Foundation</t>
        </is>
      </c>
      <c r="D17589" t="inlineStr">
        <is>
          <t>Kind &amp; Free</t>
        </is>
      </c>
      <c r="E17589" t="n">
        <v>5.25</v>
      </c>
      <c r="F17589" t="n">
        <v>1</v>
      </c>
      <c r="G17589" t="n">
        <v>5</v>
      </c>
      <c r="H17589" s="5">
        <f>HYPERLINK("https://api.qogita.com/variants/link/3616306361539/", "View Product")</f>
        <v/>
      </c>
    </row>
    <row r="17590">
      <c r="A17590" t="inlineStr">
        <is>
          <t>3616306379220</t>
        </is>
      </c>
      <c r="B17590" t="inlineStr">
        <is>
          <t>Max Factor Max Factorset Creme Puff Matte Face Powder, 2000 Calorie Mascara, Kohl Pencil Eye Pencil</t>
        </is>
      </c>
      <c r="C17590" t="inlineStr">
        <is>
          <t>Powder</t>
        </is>
      </c>
      <c r="D17590" t="inlineStr">
        <is>
          <t>Max Factor</t>
        </is>
      </c>
      <c r="E17590" t="n">
        <v>14.38</v>
      </c>
      <c r="F17590" t="n">
        <v>1</v>
      </c>
      <c r="G17590" t="n">
        <v>4</v>
      </c>
      <c r="H17590" s="5">
        <f>HYPERLINK("https://api.qogita.com/variants/link/3616306379220/", "View Product")</f>
        <v/>
      </c>
    </row>
    <row r="17591">
      <c r="A17591" t="inlineStr">
        <is>
          <t>3616306381094</t>
        </is>
      </c>
      <c r="B17591" t="inlineStr">
        <is>
          <t>Miracle Pure Highlighter #15-Rose Gold - 6 Grams</t>
        </is>
      </c>
      <c r="C17591" t="inlineStr">
        <is>
          <t>Highlighter</t>
        </is>
      </c>
      <c r="D17591" t="inlineStr">
        <is>
          <t>Miracle Pure</t>
        </is>
      </c>
      <c r="E17591" t="n">
        <v>6.92</v>
      </c>
      <c r="F17591" t="n">
        <v>1</v>
      </c>
      <c r="G17591" t="n">
        <v>5</v>
      </c>
      <c r="H17591" s="5">
        <f>HYPERLINK("https://api.qogita.com/variants/link/3616306381094/", "View Product")</f>
        <v/>
      </c>
    </row>
    <row r="17592">
      <c r="A17592" t="inlineStr">
        <is>
          <t>3616306894525</t>
        </is>
      </c>
      <c r="B17592" t="inlineStr">
        <is>
          <t>Rimmel London Super Gel Nail Polish 17jelly Fish 12ml</t>
        </is>
      </c>
      <c r="C17592" t="inlineStr">
        <is>
          <t>Nail Polish</t>
        </is>
      </c>
      <c r="D17592" t="inlineStr">
        <is>
          <t>Rimmel London</t>
        </is>
      </c>
      <c r="E17592" t="n">
        <v>0.68</v>
      </c>
      <c r="F17592" t="n">
        <v>1</v>
      </c>
      <c r="G17592" t="n">
        <v>5</v>
      </c>
      <c r="H17592" s="5">
        <f>HYPERLINK("https://api.qogita.com/variants/link/3616306894525/", "View Product")</f>
        <v/>
      </c>
    </row>
    <row r="17593">
      <c r="A17593" t="inlineStr">
        <is>
          <t>3616306894549</t>
        </is>
      </c>
      <c r="B17593" t="inlineStr">
        <is>
          <t>Rimmel London Super Gel Nail Polish 16cerise Pop 12ml</t>
        </is>
      </c>
      <c r="C17593" t="inlineStr">
        <is>
          <t>Nail Polish</t>
        </is>
      </c>
      <c r="D17593" t="inlineStr">
        <is>
          <t>Rimmel London</t>
        </is>
      </c>
      <c r="E17593" t="n">
        <v>1.88</v>
      </c>
      <c r="F17593" t="n">
        <v>1</v>
      </c>
      <c r="G17593" t="n">
        <v>44</v>
      </c>
      <c r="H17593" s="5">
        <f>HYPERLINK("https://api.qogita.com/variants/link/3616306894549/", "View Product")</f>
        <v/>
      </c>
    </row>
    <row r="17594">
      <c r="A17594" t="inlineStr">
        <is>
          <t>3660732559572</t>
        </is>
      </c>
      <c r="B17594" t="inlineStr">
        <is>
          <t>Lancome Best Of Fragrances Set - Tresor 7.5ml, Idole 5ml, La Vie Est Belle 4ml, Miracle 5ml</t>
        </is>
      </c>
      <c r="C17594" t="inlineStr">
        <is>
          <t>Fragrance Sets</t>
        </is>
      </c>
      <c r="D17594" t="inlineStr">
        <is>
          <t>Lancôme</t>
        </is>
      </c>
      <c r="E17594" t="n">
        <v>46.23</v>
      </c>
      <c r="F17594" t="n">
        <v>1</v>
      </c>
      <c r="G17594" t="n">
        <v>85</v>
      </c>
      <c r="H17594" s="5">
        <f>HYPERLINK("https://api.qogita.com/variants/link/3660732559572/", "View Product")</f>
        <v/>
      </c>
    </row>
    <row r="17595">
      <c r="A17595" t="inlineStr">
        <is>
          <t>3660732597802</t>
        </is>
      </c>
      <c r="B17595" t="inlineStr">
        <is>
          <t>Mugler Alien EDP Spray 90ml</t>
        </is>
      </c>
      <c r="C17595" t="inlineStr">
        <is>
          <t>Eau De Parfum</t>
        </is>
      </c>
      <c r="D17595" t="inlineStr">
        <is>
          <t>Thierry Mugler</t>
        </is>
      </c>
      <c r="E17595" t="n">
        <v>111.76</v>
      </c>
      <c r="F17595" t="n">
        <v>1</v>
      </c>
      <c r="G17595" t="n">
        <v>28</v>
      </c>
      <c r="H17595" s="5">
        <f>HYPERLINK("https://api.qogita.com/variants/link/3660732597802/", "View Product")</f>
        <v/>
      </c>
    </row>
    <row r="17596">
      <c r="A17596" t="inlineStr">
        <is>
          <t>3660732641727</t>
        </is>
      </c>
      <c r="B17596" t="inlineStr">
        <is>
          <t>Giorgio Armani Code Eau De Toilette Spray 125ml + Eau De Toilette Spray 15ml Set</t>
        </is>
      </c>
      <c r="C17596" t="inlineStr">
        <is>
          <t>Fragrance Sets</t>
        </is>
      </c>
      <c r="D17596" t="inlineStr">
        <is>
          <t>Giorgio Armani</t>
        </is>
      </c>
      <c r="E17596" t="n">
        <v>96.8</v>
      </c>
      <c r="F17596" t="n">
        <v>1</v>
      </c>
      <c r="G17596" t="n">
        <v>16</v>
      </c>
      <c r="H17596" s="5">
        <f>HYPERLINK("https://api.qogita.com/variants/link/3660732641727/", "View Product")</f>
        <v/>
      </c>
    </row>
    <row r="17597">
      <c r="A17597" t="inlineStr">
        <is>
          <t>3660732673032</t>
        </is>
      </c>
      <c r="B17597" t="inlineStr">
        <is>
          <t>Valentino Born In Roma Travel Set Eau De Toilette 100ml + 10ml</t>
        </is>
      </c>
      <c r="C17597" t="inlineStr">
        <is>
          <t>Fragrance Sets</t>
        </is>
      </c>
      <c r="D17597" t="inlineStr">
        <is>
          <t>Valentino</t>
        </is>
      </c>
      <c r="E17597" t="n">
        <v>84.75</v>
      </c>
      <c r="F17597" t="n">
        <v>1</v>
      </c>
      <c r="G17597" t="n">
        <v>18</v>
      </c>
      <c r="H17597" s="5">
        <f>HYPERLINK("https://api.qogita.com/variants/link/3660732673032/", "View Product")</f>
        <v/>
      </c>
    </row>
    <row r="17598">
      <c r="A17598" t="inlineStr">
        <is>
          <t>3661163904016</t>
        </is>
      </c>
      <c r="B17598" t="inlineStr">
        <is>
          <t>Nautica Classic Eau De Toilette Spray 100ml</t>
        </is>
      </c>
      <c r="C17598" t="inlineStr">
        <is>
          <t>Eau De Toilette</t>
        </is>
      </c>
      <c r="D17598" t="inlineStr">
        <is>
          <t>Nautica</t>
        </is>
      </c>
      <c r="E17598" t="n">
        <v>9.880000000000001</v>
      </c>
      <c r="F17598" t="n">
        <v>1</v>
      </c>
      <c r="G17598" t="n">
        <v>4</v>
      </c>
      <c r="H17598" s="5">
        <f>HYPERLINK("https://api.qogita.com/variants/link/3661163904016/", "View Product")</f>
        <v/>
      </c>
    </row>
    <row r="17599">
      <c r="A17599" t="inlineStr">
        <is>
          <t>3661434000508</t>
        </is>
      </c>
      <c r="B17599" t="inlineStr">
        <is>
          <t>Uriage Bariederm Insulating Repairing Cream Protective Cream For Face And Body 75ml</t>
        </is>
      </c>
      <c r="C17599" t="inlineStr">
        <is>
          <t>Face Cream</t>
        </is>
      </c>
      <c r="D17599" t="inlineStr">
        <is>
          <t>Uriage</t>
        </is>
      </c>
      <c r="E17599" t="n">
        <v>8.359999999999999</v>
      </c>
      <c r="F17599" t="n">
        <v>1</v>
      </c>
      <c r="G17599" t="n">
        <v>4</v>
      </c>
      <c r="H17599" s="5">
        <f>HYPERLINK("https://api.qogita.com/variants/link/3661434000508/", "View Product")</f>
        <v/>
      </c>
    </row>
    <row r="17600">
      <c r="A17600" t="inlineStr">
        <is>
          <t>3661434000836</t>
        </is>
      </c>
      <c r="B17600" t="inlineStr">
        <is>
          <t>Uriage Keratosane Gel-Cream Exfoliating-Soothing 75ml</t>
        </is>
      </c>
      <c r="C17600" t="inlineStr">
        <is>
          <t>Face Cream</t>
        </is>
      </c>
      <c r="D17600" t="inlineStr">
        <is>
          <t>Uriage</t>
        </is>
      </c>
      <c r="E17600" t="n">
        <v>7.71</v>
      </c>
      <c r="F17600" t="n">
        <v>1</v>
      </c>
      <c r="G17600" t="n">
        <v>3</v>
      </c>
      <c r="H17600" s="5">
        <f>HYPERLINK("https://api.qogita.com/variants/link/3661434000836/", "View Product")</f>
        <v/>
      </c>
    </row>
    <row r="17601">
      <c r="A17601" t="inlineStr">
        <is>
          <t>3661434001062</t>
        </is>
      </c>
      <c r="B17601" t="inlineStr">
        <is>
          <t>Uriage Gyn-8 Soothing Cleansing Gel Intimate Hygiene - 100ml</t>
        </is>
      </c>
      <c r="C17601" t="inlineStr">
        <is>
          <t>Intimate Hygiene</t>
        </is>
      </c>
      <c r="D17601" t="inlineStr">
        <is>
          <t>Uriage</t>
        </is>
      </c>
      <c r="E17601" t="n">
        <v>6.07</v>
      </c>
      <c r="F17601" t="n">
        <v>1</v>
      </c>
      <c r="G17601" t="n">
        <v>8</v>
      </c>
      <c r="H17601" s="5">
        <f>HYPERLINK("https://api.qogita.com/variants/link/3661434001062/", "View Product")</f>
        <v/>
      </c>
    </row>
    <row r="17602">
      <c r="A17602" t="inlineStr">
        <is>
          <t>3661434002502</t>
        </is>
      </c>
      <c r="B17602" t="inlineStr">
        <is>
          <t>Uriage Bb 1st Cradle Cap Care Cream 40ml</t>
        </is>
      </c>
      <c r="C17602" t="inlineStr">
        <is>
          <t>Baby Cream &amp; Oil</t>
        </is>
      </c>
      <c r="D17602" t="inlineStr">
        <is>
          <t>Uriage</t>
        </is>
      </c>
      <c r="E17602" t="n">
        <v>6.61</v>
      </c>
      <c r="F17602" t="n">
        <v>1</v>
      </c>
      <c r="G17602" t="n">
        <v>36</v>
      </c>
      <c r="H17602" s="5">
        <f>HYPERLINK("https://api.qogita.com/variants/link/3661434002502/", "View Product")</f>
        <v/>
      </c>
    </row>
    <row r="17603">
      <c r="A17603" t="inlineStr">
        <is>
          <t>3661434002663</t>
        </is>
      </c>
      <c r="B17603" t="inlineStr">
        <is>
          <t>Uriage Hyseac Gentle Cleansing Cream 150 Ml Suitable For Combination And Oily Skin</t>
        </is>
      </c>
      <c r="C17603" t="inlineStr">
        <is>
          <t>Cleansing Cream</t>
        </is>
      </c>
      <c r="D17603" t="inlineStr">
        <is>
          <t>Uriage</t>
        </is>
      </c>
      <c r="E17603" t="n">
        <v>7.42</v>
      </c>
      <c r="F17603" t="n">
        <v>1</v>
      </c>
      <c r="G17603" t="n">
        <v>8</v>
      </c>
      <c r="H17603" s="5">
        <f>HYPERLINK("https://api.qogita.com/variants/link/3661434002663/", "View Product")</f>
        <v/>
      </c>
    </row>
    <row r="17604">
      <c r="A17604" t="inlineStr">
        <is>
          <t>3661434003004</t>
        </is>
      </c>
      <c r="B17604" t="inlineStr">
        <is>
          <t>Uriage Xemose Cleansing Soothing Oil For Very Dry Skin - 200ml</t>
        </is>
      </c>
      <c r="C17604" t="inlineStr">
        <is>
          <t>Shower Oil</t>
        </is>
      </c>
      <c r="D17604" t="inlineStr">
        <is>
          <t>Uriage</t>
        </is>
      </c>
      <c r="E17604" t="n">
        <v>8.56</v>
      </c>
      <c r="F17604" t="n">
        <v>1</v>
      </c>
      <c r="G17604" t="n">
        <v>35</v>
      </c>
      <c r="H17604" s="5">
        <f>HYPERLINK("https://api.qogita.com/variants/link/3661434003004/", "View Product")</f>
        <v/>
      </c>
    </row>
    <row r="17605">
      <c r="A17605" t="inlineStr">
        <is>
          <t>3661434003110</t>
        </is>
      </c>
      <c r="B17605" t="inlineStr">
        <is>
          <t>Uriage Fresh Deodorant Spray For Women 125ml</t>
        </is>
      </c>
      <c r="C17605" t="inlineStr">
        <is>
          <t>Deodorant &amp; Anti-Perspirant</t>
        </is>
      </c>
      <c r="D17605" t="inlineStr">
        <is>
          <t>Uriage</t>
        </is>
      </c>
      <c r="E17605" t="n">
        <v>6.06</v>
      </c>
      <c r="F17605" t="n">
        <v>1</v>
      </c>
      <c r="G17605" t="n">
        <v>42</v>
      </c>
      <c r="H17605" s="5">
        <f>HYPERLINK("https://api.qogita.com/variants/link/3661434003110/", "View Product")</f>
        <v/>
      </c>
    </row>
    <row r="17606">
      <c r="A17606" t="inlineStr">
        <is>
          <t>3661434004452</t>
        </is>
      </c>
      <c r="B17606" t="inlineStr">
        <is>
          <t>Uriage Xemose Moisturising Lipstick 4g</t>
        </is>
      </c>
      <c r="C17606" t="inlineStr">
        <is>
          <t>Lipstick</t>
        </is>
      </c>
      <c r="D17606" t="inlineStr">
        <is>
          <t>Uriage</t>
        </is>
      </c>
      <c r="E17606" t="n">
        <v>5.12</v>
      </c>
      <c r="F17606" t="n">
        <v>1</v>
      </c>
      <c r="G17606" t="n">
        <v>17</v>
      </c>
      <c r="H17606" s="5">
        <f>HYPERLINK("https://api.qogita.com/variants/link/3661434004452/", "View Product")</f>
        <v/>
      </c>
    </row>
    <row r="17607">
      <c r="A17607" t="inlineStr">
        <is>
          <t>3661434004575</t>
        </is>
      </c>
      <c r="B17607" t="inlineStr">
        <is>
          <t>Uriage Eau Thermale Power Deodorant 24h Antiperspirant Roll-On 50ml</t>
        </is>
      </c>
      <c r="C17607" t="inlineStr">
        <is>
          <t>Deodorant &amp; Anti-Perspirant</t>
        </is>
      </c>
      <c r="D17607" t="inlineStr">
        <is>
          <t>Uriage</t>
        </is>
      </c>
      <c r="E17607" t="n">
        <v>6.88</v>
      </c>
      <c r="F17607" t="n">
        <v>1</v>
      </c>
      <c r="G17607" t="n">
        <v>23</v>
      </c>
      <c r="H17607" s="5">
        <f>HYPERLINK("https://api.qogita.com/variants/link/3661434004575/", "View Product")</f>
        <v/>
      </c>
    </row>
    <row r="17608">
      <c r="A17608" t="inlineStr">
        <is>
          <t>3661434004711</t>
        </is>
      </c>
      <c r="B17608" t="inlineStr">
        <is>
          <t>Uriage Eau Thermale Body Balm Firming And Nourishing Body Butter 200 Ml</t>
        </is>
      </c>
      <c r="C17608" t="inlineStr">
        <is>
          <t>Body Butter</t>
        </is>
      </c>
      <c r="D17608" t="inlineStr">
        <is>
          <t>Uriage</t>
        </is>
      </c>
      <c r="E17608" t="n">
        <v>12.6</v>
      </c>
      <c r="F17608" t="n">
        <v>1</v>
      </c>
      <c r="G17608" t="n">
        <v>5</v>
      </c>
      <c r="H17608" s="5">
        <f>HYPERLINK("https://api.qogita.com/variants/link/3661434004711/", "View Product")</f>
        <v/>
      </c>
    </row>
    <row r="17609">
      <c r="A17609" t="inlineStr">
        <is>
          <t>3661434004728</t>
        </is>
      </c>
      <c r="B17609" t="inlineStr">
        <is>
          <t>Uriage Bariederm Insulating Repairing Hand Cream - 50ml</t>
        </is>
      </c>
      <c r="C17609" t="inlineStr">
        <is>
          <t>Hand Cream</t>
        </is>
      </c>
      <c r="D17609" t="inlineStr">
        <is>
          <t>Uriage</t>
        </is>
      </c>
      <c r="E17609" t="n">
        <v>5</v>
      </c>
      <c r="F17609" t="n">
        <v>1</v>
      </c>
      <c r="G17609" t="n">
        <v>8</v>
      </c>
      <c r="H17609" s="5">
        <f>HYPERLINK("https://api.qogita.com/variants/link/3661434004728/", "View Product")</f>
        <v/>
      </c>
    </row>
    <row r="17610">
      <c r="A17610" t="inlineStr">
        <is>
          <t>3661434004995</t>
        </is>
      </c>
      <c r="B17610" t="inlineStr">
        <is>
          <t>Uriage Eau Thermale Rich Water Cream - 40ml Rich Cream For Dry And Very Dry Skin</t>
        </is>
      </c>
      <c r="C17610" t="inlineStr">
        <is>
          <t>Face Cream</t>
        </is>
      </c>
      <c r="D17610" t="inlineStr">
        <is>
          <t>Uriage</t>
        </is>
      </c>
      <c r="E17610" t="n">
        <v>10.16</v>
      </c>
      <c r="F17610" t="n">
        <v>1</v>
      </c>
      <c r="G17610" t="n">
        <v>20</v>
      </c>
      <c r="H17610" s="5">
        <f>HYPERLINK("https://api.qogita.com/variants/link/3661434004995/", "View Product")</f>
        <v/>
      </c>
    </row>
    <row r="17611">
      <c r="A17611" t="inlineStr">
        <is>
          <t>3661434005367</t>
        </is>
      </c>
      <c r="B17611" t="inlineStr">
        <is>
          <t>Uriage Bariederm Drying Repairing Cica-Spray 100ml</t>
        </is>
      </c>
      <c r="C17611" t="inlineStr">
        <is>
          <t>Body Care</t>
        </is>
      </c>
      <c r="D17611" t="inlineStr">
        <is>
          <t>Uriage</t>
        </is>
      </c>
      <c r="E17611" t="n">
        <v>6.58</v>
      </c>
      <c r="F17611" t="n">
        <v>1</v>
      </c>
      <c r="G17611" t="n">
        <v>19</v>
      </c>
      <c r="H17611" s="5">
        <f>HYPERLINK("https://api.qogita.com/variants/link/3661434005367/", "View Product")</f>
        <v/>
      </c>
    </row>
    <row r="17612">
      <c r="A17612" t="inlineStr">
        <is>
          <t>3661434005473</t>
        </is>
      </c>
      <c r="B17612" t="inlineStr">
        <is>
          <t>Uriage Barisun Dry Mist Spf 30 Very High Protection Sunscreen 200 Ml</t>
        </is>
      </c>
      <c r="C17612" t="inlineStr">
        <is>
          <t>Face Sun Protection</t>
        </is>
      </c>
      <c r="D17612" t="inlineStr">
        <is>
          <t>Uriage</t>
        </is>
      </c>
      <c r="E17612" t="n">
        <v>10.15</v>
      </c>
      <c r="F17612" t="n">
        <v>1</v>
      </c>
      <c r="G17612" t="n">
        <v>32</v>
      </c>
      <c r="H17612" s="5">
        <f>HYPERLINK("https://api.qogita.com/variants/link/3661434005473/", "View Product")</f>
        <v/>
      </c>
    </row>
    <row r="17613">
      <c r="A17613" t="inlineStr">
        <is>
          <t>3661434005886</t>
        </is>
      </c>
      <c r="B17613" t="inlineStr">
        <is>
          <t>Uriage Gyn Phy Refreshing Gel Intimate Hygiene 500ml Unisex Cleansing Gel For Intimate Hygiene</t>
        </is>
      </c>
      <c r="C17613" t="inlineStr">
        <is>
          <t>Intimate Hygiene</t>
        </is>
      </c>
      <c r="D17613" t="inlineStr">
        <is>
          <t>Uriage</t>
        </is>
      </c>
      <c r="E17613" t="n">
        <v>10.05</v>
      </c>
      <c r="F17613" t="n">
        <v>1</v>
      </c>
      <c r="G17613" t="n">
        <v>44</v>
      </c>
      <c r="H17613" s="5">
        <f>HYPERLINK("https://api.qogita.com/variants/link/3661434005886/", "View Product")</f>
        <v/>
      </c>
    </row>
    <row r="17614">
      <c r="A17614" t="inlineStr">
        <is>
          <t>3661434006500</t>
        </is>
      </c>
      <c r="B17614" t="inlineStr">
        <is>
          <t>Uriage Bariesun Dry Mist Very High Protection Sunscreen Spf50+ 200ml</t>
        </is>
      </c>
      <c r="C17614" t="inlineStr">
        <is>
          <t>Body Sun Protection</t>
        </is>
      </c>
      <c r="D17614" t="inlineStr">
        <is>
          <t>Uriage</t>
        </is>
      </c>
      <c r="E17614" t="n">
        <v>10.96</v>
      </c>
      <c r="F17614" t="n">
        <v>1</v>
      </c>
      <c r="G17614" t="n">
        <v>32</v>
      </c>
      <c r="H17614" s="5">
        <f>HYPERLINK("https://api.qogita.com/variants/link/3661434006500/", "View Product")</f>
        <v/>
      </c>
    </row>
    <row r="17615">
      <c r="A17615" t="inlineStr">
        <is>
          <t>3661434006548</t>
        </is>
      </c>
      <c r="B17615" t="inlineStr">
        <is>
          <t>Uriage Bariderm Cica Cream Spf50 40ml Unisex</t>
        </is>
      </c>
      <c r="C17615" t="inlineStr">
        <is>
          <t>Face Sun Protection</t>
        </is>
      </c>
      <c r="D17615" t="inlineStr">
        <is>
          <t>Uriage</t>
        </is>
      </c>
      <c r="E17615" t="n">
        <v>8.18</v>
      </c>
      <c r="F17615" t="n">
        <v>1</v>
      </c>
      <c r="G17615" t="n">
        <v>38</v>
      </c>
      <c r="H17615" s="5">
        <f>HYPERLINK("https://api.qogita.com/variants/link/3661434006548/", "View Product")</f>
        <v/>
      </c>
    </row>
    <row r="17616">
      <c r="A17616" t="inlineStr">
        <is>
          <t>3661434008139</t>
        </is>
      </c>
      <c r="B17616" t="inlineStr">
        <is>
          <t>Uriage Bebe 1st Anti-Itch Soothing Oil Balm - 200ml</t>
        </is>
      </c>
      <c r="C17616" t="inlineStr">
        <is>
          <t>Baby Cream &amp; Oil</t>
        </is>
      </c>
      <c r="D17616" t="inlineStr">
        <is>
          <t>Uriage</t>
        </is>
      </c>
      <c r="E17616" t="n">
        <v>8.52</v>
      </c>
      <c r="F17616" t="n">
        <v>1</v>
      </c>
      <c r="G17616" t="n">
        <v>5</v>
      </c>
      <c r="H17616" s="5">
        <f>HYPERLINK("https://api.qogita.com/variants/link/3661434008139/", "View Product")</f>
        <v/>
      </c>
    </row>
    <row r="17617">
      <c r="A17617" t="inlineStr">
        <is>
          <t>3661434008368</t>
        </is>
      </c>
      <c r="B17617" t="inlineStr">
        <is>
          <t>Uriage Barisun Spf50 Fragrancefree Cream 50ml Ideal For Sensitive Skin</t>
        </is>
      </c>
      <c r="C17617" t="inlineStr">
        <is>
          <t>Face Sun Protection</t>
        </is>
      </c>
      <c r="D17617" t="inlineStr">
        <is>
          <t>Uriage</t>
        </is>
      </c>
      <c r="E17617" t="n">
        <v>8.529999999999999</v>
      </c>
      <c r="F17617" t="n">
        <v>1</v>
      </c>
      <c r="G17617" t="n">
        <v>98</v>
      </c>
      <c r="H17617" s="5">
        <f>HYPERLINK("https://api.qogita.com/variants/link/3661434008368/", "View Product")</f>
        <v/>
      </c>
    </row>
    <row r="17618">
      <c r="A17618" t="inlineStr">
        <is>
          <t>3661434008764</t>
        </is>
      </c>
      <c r="B17618" t="inlineStr">
        <is>
          <t>Bebe 1st Scented Water For Children 50ml</t>
        </is>
      </c>
      <c r="C17618" t="inlineStr">
        <is>
          <t>Eau De Toilette</t>
        </is>
      </c>
      <c r="D17618" t="inlineStr">
        <is>
          <t>Bebe</t>
        </is>
      </c>
      <c r="E17618" t="n">
        <v>13.08</v>
      </c>
      <c r="F17618" t="n">
        <v>1</v>
      </c>
      <c r="G17618" t="n">
        <v>3</v>
      </c>
      <c r="H17618" s="5">
        <f>HYPERLINK("https://api.qogita.com/variants/link/3661434008764/", "View Product")</f>
        <v/>
      </c>
    </row>
    <row r="17619">
      <c r="A17619" t="inlineStr">
        <is>
          <t>3661434008771</t>
        </is>
      </c>
      <c r="B17619" t="inlineStr">
        <is>
          <t>Uriage Cleansing Cream 1000ml Gentle Face Cleanser</t>
        </is>
      </c>
      <c r="C17619" t="inlineStr">
        <is>
          <t>Cleansing Cream</t>
        </is>
      </c>
      <c r="D17619" t="inlineStr">
        <is>
          <t>Uriage</t>
        </is>
      </c>
      <c r="E17619" t="n">
        <v>12.42</v>
      </c>
      <c r="F17619" t="n">
        <v>1</v>
      </c>
      <c r="G17619" t="n">
        <v>9</v>
      </c>
      <c r="H17619" s="5">
        <f>HYPERLINK("https://api.qogita.com/variants/link/3661434008771/", "View Product")</f>
        <v/>
      </c>
    </row>
    <row r="17620">
      <c r="A17620" t="inlineStr">
        <is>
          <t>3661434008795</t>
        </is>
      </c>
      <c r="B17620" t="inlineStr">
        <is>
          <t>Uriage Eau Thermale Cleansing Cream Creamy Cleansing Gel 200ml</t>
        </is>
      </c>
      <c r="C17620" t="inlineStr">
        <is>
          <t>Cleansing Cream</t>
        </is>
      </c>
      <c r="D17620" t="inlineStr">
        <is>
          <t>Uriage</t>
        </is>
      </c>
      <c r="E17620" t="n">
        <v>6.34</v>
      </c>
      <c r="F17620" t="n">
        <v>1</v>
      </c>
      <c r="G17620" t="n">
        <v>6</v>
      </c>
      <c r="H17620" s="5">
        <f>HYPERLINK("https://api.qogita.com/variants/link/3661434008795/", "View Product")</f>
        <v/>
      </c>
    </row>
    <row r="17621">
      <c r="A17621" t="inlineStr">
        <is>
          <t>3661434008955</t>
        </is>
      </c>
      <c r="B17621" t="inlineStr">
        <is>
          <t>Uriage Xemose Pso Soothing Concentrate Body Cream 150ml</t>
        </is>
      </c>
      <c r="C17621" t="inlineStr">
        <is>
          <t>Body Lotion</t>
        </is>
      </c>
      <c r="D17621" t="inlineStr">
        <is>
          <t>Uriage</t>
        </is>
      </c>
      <c r="E17621" t="n">
        <v>12.31</v>
      </c>
      <c r="F17621" t="n">
        <v>1</v>
      </c>
      <c r="G17621" t="n">
        <v>11</v>
      </c>
      <c r="H17621" s="5">
        <f>HYPERLINK("https://api.qogita.com/variants/link/3661434008955/", "View Product")</f>
        <v/>
      </c>
    </row>
    <row r="17622">
      <c r="A17622" t="inlineStr">
        <is>
          <t>3661434008962</t>
        </is>
      </c>
      <c r="B17622" t="inlineStr">
        <is>
          <t>Uriage Baridermcica Cleansing Gel 200ml Gentle Cleansing Gel For Sensitive Skin</t>
        </is>
      </c>
      <c r="C17622" t="inlineStr">
        <is>
          <t>Cleansing Gel</t>
        </is>
      </c>
      <c r="D17622" t="inlineStr">
        <is>
          <t>Uriage</t>
        </is>
      </c>
      <c r="E17622" t="n">
        <v>7.09</v>
      </c>
      <c r="F17622" t="n">
        <v>1</v>
      </c>
      <c r="G17622" t="n">
        <v>22</v>
      </c>
      <c r="H17622" s="5">
        <f>HYPERLINK("https://api.qogita.com/variants/link/3661434008962/", "View Product")</f>
        <v/>
      </c>
    </row>
    <row r="17623">
      <c r="A17623" t="inlineStr">
        <is>
          <t>3661434009266</t>
        </is>
      </c>
      <c r="B17623" t="inlineStr">
        <is>
          <t>Uriage Age Lift Firming Smoothing Day Fluid 40ml</t>
        </is>
      </c>
      <c r="C17623" t="inlineStr">
        <is>
          <t>Day Cream</t>
        </is>
      </c>
      <c r="D17623" t="inlineStr">
        <is>
          <t>Uriage</t>
        </is>
      </c>
      <c r="E17623" t="n">
        <v>19.33</v>
      </c>
      <c r="F17623" t="n">
        <v>1</v>
      </c>
      <c r="G17623" t="n">
        <v>2</v>
      </c>
      <c r="H17623" s="5">
        <f>HYPERLINK("https://api.qogita.com/variants/link/3661434009266/", "View Product")</f>
        <v/>
      </c>
    </row>
    <row r="17624">
      <c r="A17624" t="inlineStr">
        <is>
          <t>3661434009280</t>
        </is>
      </c>
      <c r="B17624" t="inlineStr">
        <is>
          <t>Uriage Age Lift Filler Wrinkle Filler 30ml</t>
        </is>
      </c>
      <c r="C17624" t="inlineStr">
        <is>
          <t>Anti-Aging Serum</t>
        </is>
      </c>
      <c r="D17624" t="inlineStr">
        <is>
          <t>Uriage</t>
        </is>
      </c>
      <c r="E17624" t="n">
        <v>21.36</v>
      </c>
      <c r="F17624" t="n">
        <v>1</v>
      </c>
      <c r="G17624" t="n">
        <v>7</v>
      </c>
      <c r="H17624" s="5">
        <f>HYPERLINK("https://api.qogita.com/variants/link/3661434009280/", "View Product")</f>
        <v/>
      </c>
    </row>
    <row r="17625">
      <c r="A17625" t="inlineStr">
        <is>
          <t>3661434009358</t>
        </is>
      </c>
      <c r="B17625" t="inlineStr">
        <is>
          <t>Uriage Thermal Micellar Water For Mixed And Oily Skin 250ml</t>
        </is>
      </c>
      <c r="C17625" t="inlineStr">
        <is>
          <t>Micellar Water</t>
        </is>
      </c>
      <c r="D17625" t="inlineStr">
        <is>
          <t>Uriage</t>
        </is>
      </c>
      <c r="E17625" t="n">
        <v>9.35</v>
      </c>
      <c r="F17625" t="n">
        <v>1</v>
      </c>
      <c r="G17625" t="n">
        <v>3</v>
      </c>
      <c r="H17625" s="5">
        <f>HYPERLINK("https://api.qogita.com/variants/link/3661434009358/", "View Product")</f>
        <v/>
      </c>
    </row>
    <row r="17626">
      <c r="A17626" t="inlineStr">
        <is>
          <t>3661434009525</t>
        </is>
      </c>
      <c r="B17626" t="inlineStr">
        <is>
          <t>Uriage Eau Thermale H.A Booster Serum 30ml - Hydration &amp; Plumping - 86% Skin</t>
        </is>
      </c>
      <c r="C17626" t="inlineStr">
        <is>
          <t>Hyaluronic Acid Serum</t>
        </is>
      </c>
      <c r="D17626" t="inlineStr">
        <is>
          <t>Uriage</t>
        </is>
      </c>
      <c r="E17626" t="n">
        <v>15.4</v>
      </c>
      <c r="F17626" t="n">
        <v>1</v>
      </c>
      <c r="G17626" t="n">
        <v>18</v>
      </c>
      <c r="H17626" s="5">
        <f>HYPERLINK("https://api.qogita.com/variants/link/3661434009525/", "View Product")</f>
        <v/>
      </c>
    </row>
    <row r="17627">
      <c r="A17627" t="inlineStr">
        <is>
          <t>3661434009679</t>
        </is>
      </c>
      <c r="B17627" t="inlineStr">
        <is>
          <t>Uriage Pruriced Fresh Soothing Gel 100ml</t>
        </is>
      </c>
      <c r="C17627" t="inlineStr">
        <is>
          <t>Facial Spray</t>
        </is>
      </c>
      <c r="D17627" t="inlineStr">
        <is>
          <t>Uriage</t>
        </is>
      </c>
      <c r="E17627" t="n">
        <v>7.68</v>
      </c>
      <c r="F17627" t="n">
        <v>1</v>
      </c>
      <c r="G17627" t="n">
        <v>5</v>
      </c>
      <c r="H17627" s="5">
        <f>HYPERLINK("https://api.qogita.com/variants/link/3661434009679/", "View Product")</f>
        <v/>
      </c>
    </row>
    <row r="17628">
      <c r="A17628" t="inlineStr">
        <is>
          <t>3661434010033</t>
        </is>
      </c>
      <c r="B17628" t="inlineStr">
        <is>
          <t>Uriage Hyseac Mattifying Emulsion Mat' 40ml Mattifying Emulsion For Oily Skin</t>
        </is>
      </c>
      <c r="C17628" t="inlineStr">
        <is>
          <t>Oily Skin</t>
        </is>
      </c>
      <c r="D17628" t="inlineStr">
        <is>
          <t>Uriage</t>
        </is>
      </c>
      <c r="E17628" t="n">
        <v>9.24</v>
      </c>
      <c r="F17628" t="n">
        <v>1</v>
      </c>
      <c r="G17628" t="n">
        <v>12</v>
      </c>
      <c r="H17628" s="5">
        <f>HYPERLINK("https://api.qogita.com/variants/link/3661434010033/", "View Product")</f>
        <v/>
      </c>
    </row>
    <row r="17629">
      <c r="A17629" t="inlineStr">
        <is>
          <t>3661434010156</t>
        </is>
      </c>
      <c r="B17629" t="inlineStr">
        <is>
          <t>Uriage Light Water Cream 40 Ml With Free 100 Ml Thermal Micellar Water For Normal To Dry Skin</t>
        </is>
      </c>
      <c r="C17629" t="inlineStr">
        <is>
          <t>Face Cream</t>
        </is>
      </c>
      <c r="D17629" t="inlineStr">
        <is>
          <t>Uriage</t>
        </is>
      </c>
      <c r="E17629" t="n">
        <v>7.94</v>
      </c>
      <c r="F17629" t="n">
        <v>1</v>
      </c>
      <c r="G17629" t="n">
        <v>12</v>
      </c>
      <c r="H17629" s="5">
        <f>HYPERLINK("https://api.qogita.com/variants/link/3661434010156/", "View Product")</f>
        <v/>
      </c>
    </row>
    <row r="17630">
      <c r="A17630" t="inlineStr">
        <is>
          <t>3661434011931</t>
        </is>
      </c>
      <c r="B17630" t="inlineStr">
        <is>
          <t>Uriage Bariederm Cica Daily Serum - 30ml</t>
        </is>
      </c>
      <c r="C17630" t="inlineStr">
        <is>
          <t>Hydrating Serum</t>
        </is>
      </c>
      <c r="D17630" t="inlineStr">
        <is>
          <t>Uriage</t>
        </is>
      </c>
      <c r="E17630" t="n">
        <v>18.05</v>
      </c>
      <c r="F17630" t="n">
        <v>1</v>
      </c>
      <c r="G17630" t="n">
        <v>22</v>
      </c>
      <c r="H17630" s="5">
        <f>HYPERLINK("https://api.qogita.com/variants/link/3661434011931/", "View Product")</f>
        <v/>
      </c>
    </row>
    <row r="17631">
      <c r="A17631" t="inlineStr">
        <is>
          <t>3661434011962</t>
        </is>
      </c>
      <c r="B17631" t="inlineStr">
        <is>
          <t>Uriage Ds Hair Balancing Shampoo Anti-Dandruff 500ml</t>
        </is>
      </c>
      <c r="C17631" t="inlineStr">
        <is>
          <t>Shampoo</t>
        </is>
      </c>
      <c r="D17631" t="inlineStr">
        <is>
          <t>Uriage</t>
        </is>
      </c>
      <c r="E17631" t="n">
        <v>10.63</v>
      </c>
      <c r="F17631" t="n">
        <v>1</v>
      </c>
      <c r="G17631" t="n">
        <v>18</v>
      </c>
      <c r="H17631" s="5">
        <f>HYPERLINK("https://api.qogita.com/variants/link/3661434011962/", "View Product")</f>
        <v/>
      </c>
    </row>
    <row r="17632">
      <c r="A17632" t="inlineStr">
        <is>
          <t>3661434018947</t>
        </is>
      </c>
      <c r="B17632" t="inlineStr">
        <is>
          <t>Bariesun Dry Oil Beautifier Spf50+ - 200 Ml</t>
        </is>
      </c>
      <c r="C17632" t="inlineStr">
        <is>
          <t>Body Sun Protection</t>
        </is>
      </c>
      <c r="D17632" t="inlineStr">
        <is>
          <t>Bariésun</t>
        </is>
      </c>
      <c r="E17632" t="n">
        <v>15.7</v>
      </c>
      <c r="F17632" t="n">
        <v>1</v>
      </c>
      <c r="G17632" t="n">
        <v>2</v>
      </c>
      <c r="H17632" s="5">
        <f>HYPERLINK("https://api.qogita.com/variants/link/3661434018947/", "View Product")</f>
        <v/>
      </c>
    </row>
    <row r="17633">
      <c r="A17633" t="inlineStr">
        <is>
          <t>3662361003259</t>
        </is>
      </c>
      <c r="B17633" t="inlineStr">
        <is>
          <t>Svr Filler Biotic Lifting Cream For Eye And Lip Contour 15ml</t>
        </is>
      </c>
      <c r="C17633" t="inlineStr">
        <is>
          <t>Eye Cream</t>
        </is>
      </c>
      <c r="D17633" t="inlineStr">
        <is>
          <t>Svr</t>
        </is>
      </c>
      <c r="E17633" t="n">
        <v>18.31</v>
      </c>
      <c r="F17633" t="n">
        <v>1</v>
      </c>
      <c r="G17633" t="n">
        <v>3</v>
      </c>
      <c r="H17633" s="5">
        <f>HYPERLINK("https://api.qogita.com/variants/link/3662361003259/", "View Product")</f>
        <v/>
      </c>
    </row>
    <row r="17634">
      <c r="A17634" t="inlineStr">
        <is>
          <t>3666057014840</t>
        </is>
      </c>
      <c r="B17634" t="inlineStr">
        <is>
          <t>Clarins Gentle Eye Makeup Remover 125ml</t>
        </is>
      </c>
      <c r="C17634" t="inlineStr">
        <is>
          <t>Eye Makeup Remover</t>
        </is>
      </c>
      <c r="D17634" t="inlineStr">
        <is>
          <t>Clarins</t>
        </is>
      </c>
      <c r="E17634" t="n">
        <v>15.11</v>
      </c>
      <c r="F17634" t="n">
        <v>1</v>
      </c>
      <c r="G17634" t="n">
        <v>5</v>
      </c>
      <c r="H17634" s="5">
        <f>HYPERLINK("https://api.qogita.com/variants/link/3666057014840/", "View Product")</f>
        <v/>
      </c>
    </row>
    <row r="17635">
      <c r="A17635" t="inlineStr">
        <is>
          <t>3666057014871</t>
        </is>
      </c>
      <c r="B17635" t="inlineStr">
        <is>
          <t>Clarins Onestep Facial Cleanser 200ml</t>
        </is>
      </c>
      <c r="C17635" t="inlineStr">
        <is>
          <t>Cleansing Cream</t>
        </is>
      </c>
      <c r="D17635" t="inlineStr">
        <is>
          <t>Clarins</t>
        </is>
      </c>
      <c r="E17635" t="n">
        <v>17.12</v>
      </c>
      <c r="F17635" t="n">
        <v>1</v>
      </c>
      <c r="G17635" t="n">
        <v>5</v>
      </c>
      <c r="H17635" s="5">
        <f>HYPERLINK("https://api.qogita.com/variants/link/3666057014871/", "View Product")</f>
        <v/>
      </c>
    </row>
    <row r="17636">
      <c r="A17636" t="inlineStr">
        <is>
          <t>3666057023378</t>
        </is>
      </c>
      <c r="B17636" t="inlineStr">
        <is>
          <t>Clarins Bright Plus Moisturizing Emulsion 75ml</t>
        </is>
      </c>
      <c r="C17636" t="inlineStr">
        <is>
          <t>Day Cream</t>
        </is>
      </c>
      <c r="D17636" t="inlineStr">
        <is>
          <t>Clarins</t>
        </is>
      </c>
      <c r="E17636" t="n">
        <v>30.68</v>
      </c>
      <c r="F17636" t="n">
        <v>1</v>
      </c>
      <c r="G17636" t="n">
        <v>4</v>
      </c>
      <c r="H17636" s="5">
        <f>HYPERLINK("https://api.qogita.com/variants/link/3666057023378/", "View Product")</f>
        <v/>
      </c>
    </row>
    <row r="17637">
      <c r="A17637" t="inlineStr">
        <is>
          <t>3666057025747</t>
        </is>
      </c>
      <c r="B17637" t="inlineStr">
        <is>
          <t>Clarins Eau Dynamisante Body Lotion 200 Ml</t>
        </is>
      </c>
      <c r="C17637" t="inlineStr">
        <is>
          <t>Body Lotion</t>
        </is>
      </c>
      <c r="D17637" t="inlineStr">
        <is>
          <t>Clarins</t>
        </is>
      </c>
      <c r="E17637" t="n">
        <v>51.37</v>
      </c>
      <c r="F17637" t="n">
        <v>1</v>
      </c>
      <c r="G17637" t="n">
        <v>13</v>
      </c>
      <c r="H17637" s="5">
        <f>HYPERLINK("https://api.qogita.com/variants/link/3666057025747/", "View Product")</f>
        <v/>
      </c>
    </row>
    <row r="17638">
      <c r="A17638" t="inlineStr">
        <is>
          <t>3666057025907</t>
        </is>
      </c>
      <c r="B17638" t="inlineStr">
        <is>
          <t>Clarins Eau Ressourante Body Spray 100ml A Soothing And Refreshing Treatment Fragrance</t>
        </is>
      </c>
      <c r="C17638" t="inlineStr">
        <is>
          <t>Eau De Toilette</t>
        </is>
      </c>
      <c r="D17638" t="inlineStr">
        <is>
          <t>Clarins</t>
        </is>
      </c>
      <c r="E17638" t="n">
        <v>35.12</v>
      </c>
      <c r="F17638" t="n">
        <v>1</v>
      </c>
      <c r="G17638" t="n">
        <v>17</v>
      </c>
      <c r="H17638" s="5">
        <f>HYPERLINK("https://api.qogita.com/variants/link/3666057025907/", "View Product")</f>
        <v/>
      </c>
    </row>
    <row r="17639">
      <c r="A17639" t="inlineStr">
        <is>
          <t>3666057025990</t>
        </is>
      </c>
      <c r="B17639" t="inlineStr">
        <is>
          <t>Clarins Eau Ressourante Comforting Silky Body Cream 200 Ml</t>
        </is>
      </c>
      <c r="C17639" t="inlineStr">
        <is>
          <t>Body Lotion</t>
        </is>
      </c>
      <c r="D17639" t="inlineStr">
        <is>
          <t>Clarins</t>
        </is>
      </c>
      <c r="E17639" t="n">
        <v>25.11</v>
      </c>
      <c r="F17639" t="n">
        <v>1</v>
      </c>
      <c r="G17639" t="n">
        <v>18</v>
      </c>
      <c r="H17639" s="5">
        <f>HYPERLINK("https://api.qogita.com/variants/link/3666057025990/", "View Product")</f>
        <v/>
      </c>
    </row>
    <row r="17640">
      <c r="A17640" t="inlineStr">
        <is>
          <t>3666057026034</t>
        </is>
      </c>
      <c r="B17640" t="inlineStr">
        <is>
          <t>Clarins Eau Des Jardins Body Water 100ml</t>
        </is>
      </c>
      <c r="C17640" t="inlineStr">
        <is>
          <t>Body Mist</t>
        </is>
      </c>
      <c r="D17640" t="inlineStr">
        <is>
          <t>Clarins</t>
        </is>
      </c>
      <c r="E17640" t="n">
        <v>34.83</v>
      </c>
      <c r="F17640" t="n">
        <v>1</v>
      </c>
      <c r="G17640" t="n">
        <v>19</v>
      </c>
      <c r="H17640" s="5">
        <f>HYPERLINK("https://api.qogita.com/variants/link/3666057026034/", "View Product")</f>
        <v/>
      </c>
    </row>
    <row r="17641">
      <c r="A17641" t="inlineStr">
        <is>
          <t>3666057031137</t>
        </is>
      </c>
      <c r="B17641" t="inlineStr">
        <is>
          <t>Clarins Relax Treatment Oil 100ml</t>
        </is>
      </c>
      <c r="C17641" t="inlineStr">
        <is>
          <t>Body Oil</t>
        </is>
      </c>
      <c r="D17641" t="inlineStr">
        <is>
          <t>Clarins</t>
        </is>
      </c>
      <c r="E17641" t="n">
        <v>29.93</v>
      </c>
      <c r="F17641" t="n">
        <v>1</v>
      </c>
      <c r="G17641" t="n">
        <v>3</v>
      </c>
      <c r="H17641" s="5">
        <f>HYPERLINK("https://api.qogita.com/variants/link/3666057031137/", "View Product")</f>
        <v/>
      </c>
    </row>
    <row r="17642">
      <c r="A17642" t="inlineStr">
        <is>
          <t>3666057031281</t>
        </is>
      </c>
      <c r="B17642" t="inlineStr">
        <is>
          <t>Clarins Aroma Relaxing Bath And Shower Concentrate 200ml</t>
        </is>
      </c>
      <c r="C17642" t="inlineStr">
        <is>
          <t>Bath Oil &amp; Bath Milk</t>
        </is>
      </c>
      <c r="D17642" t="inlineStr">
        <is>
          <t>Clarins</t>
        </is>
      </c>
      <c r="E17642" t="n">
        <v>18.79</v>
      </c>
      <c r="F17642" t="n">
        <v>1</v>
      </c>
      <c r="G17642" t="n">
        <v>2</v>
      </c>
      <c r="H17642" s="5">
        <f>HYPERLINK("https://api.qogita.com/variants/link/3666057031281/", "View Product")</f>
        <v/>
      </c>
    </row>
    <row r="17643">
      <c r="A17643" t="inlineStr">
        <is>
          <t>3666057031656</t>
        </is>
      </c>
      <c r="B17643" t="inlineStr">
        <is>
          <t>Clarins Bb Skin Detox Fluid 00 Fair Spf25 45ml</t>
        </is>
      </c>
      <c r="C17643" t="inlineStr">
        <is>
          <t>Tinted Day Cream</t>
        </is>
      </c>
      <c r="D17643" t="inlineStr">
        <is>
          <t>Clarins</t>
        </is>
      </c>
      <c r="E17643" t="n">
        <v>22.28</v>
      </c>
      <c r="F17643" t="n">
        <v>1</v>
      </c>
      <c r="G17643" t="n">
        <v>2</v>
      </c>
      <c r="H17643" s="5">
        <f>HYPERLINK("https://api.qogita.com/variants/link/3666057031656/", "View Product")</f>
        <v/>
      </c>
    </row>
    <row r="17644">
      <c r="A17644" t="inlineStr">
        <is>
          <t>3666057037429</t>
        </is>
      </c>
      <c r="B17644" t="inlineStr">
        <is>
          <t>Clarins Lip Comfort Oil 01 Honey 7ml</t>
        </is>
      </c>
      <c r="C17644" t="inlineStr">
        <is>
          <t>Lip Gloss</t>
        </is>
      </c>
      <c r="D17644" t="inlineStr">
        <is>
          <t>Clarins</t>
        </is>
      </c>
      <c r="E17644" t="n">
        <v>18.81</v>
      </c>
      <c r="F17644" t="n">
        <v>1</v>
      </c>
      <c r="G17644" t="n">
        <v>15</v>
      </c>
      <c r="H17644" s="5">
        <f>HYPERLINK("https://api.qogita.com/variants/link/3666057037429/", "View Product")</f>
        <v/>
      </c>
    </row>
    <row r="17645">
      <c r="A17645" t="inlineStr">
        <is>
          <t>3666057037443</t>
        </is>
      </c>
      <c r="B17645" t="inlineStr">
        <is>
          <t>Clarins Lip Comfort Oil 03 Cherry 7ml</t>
        </is>
      </c>
      <c r="C17645" t="inlineStr">
        <is>
          <t>Lip Gloss</t>
        </is>
      </c>
      <c r="D17645" t="inlineStr">
        <is>
          <t>Clarins</t>
        </is>
      </c>
      <c r="E17645" t="n">
        <v>18.28</v>
      </c>
      <c r="F17645" t="n">
        <v>1</v>
      </c>
      <c r="G17645" t="n">
        <v>156</v>
      </c>
      <c r="H17645" s="5">
        <f>HYPERLINK("https://api.qogita.com/variants/link/3666057037443/", "View Product")</f>
        <v/>
      </c>
    </row>
    <row r="17646">
      <c r="A17646" t="inlineStr">
        <is>
          <t>3666057037450</t>
        </is>
      </c>
      <c r="B17646" t="inlineStr">
        <is>
          <t>Clarins Lip Comfort Oil 04 Pitaya 7ml</t>
        </is>
      </c>
      <c r="C17646" t="inlineStr">
        <is>
          <t>Lip Gloss</t>
        </is>
      </c>
      <c r="D17646" t="inlineStr">
        <is>
          <t>Clarins</t>
        </is>
      </c>
      <c r="E17646" t="n">
        <v>16.32</v>
      </c>
      <c r="F17646" t="n">
        <v>1</v>
      </c>
      <c r="G17646" t="n">
        <v>24</v>
      </c>
      <c r="H17646" s="5">
        <f>HYPERLINK("https://api.qogita.com/variants/link/3666057037450/", "View Product")</f>
        <v/>
      </c>
    </row>
    <row r="17647">
      <c r="A17647" t="inlineStr">
        <is>
          <t>3666057037498</t>
        </is>
      </c>
      <c r="B17647" t="inlineStr">
        <is>
          <t>Clarins Lip Comfort Oil 09 Chocolate 7ml</t>
        </is>
      </c>
      <c r="C17647" t="inlineStr">
        <is>
          <t>Lip Gloss</t>
        </is>
      </c>
      <c r="D17647" t="inlineStr">
        <is>
          <t>Clarins</t>
        </is>
      </c>
      <c r="E17647" t="n">
        <v>17.77</v>
      </c>
      <c r="F17647" t="n">
        <v>1</v>
      </c>
      <c r="G17647" t="n">
        <v>17</v>
      </c>
      <c r="H17647" s="5">
        <f>HYPERLINK("https://api.qogita.com/variants/link/3666057037498/", "View Product")</f>
        <v/>
      </c>
    </row>
    <row r="17648">
      <c r="A17648" t="inlineStr">
        <is>
          <t>3666057051722</t>
        </is>
      </c>
      <c r="B17648" t="inlineStr">
        <is>
          <t>Clarins Ever Bronze Compact Powder 01 Light 10 G</t>
        </is>
      </c>
      <c r="C17648" t="inlineStr">
        <is>
          <t>Powder</t>
        </is>
      </c>
      <c r="D17648" t="inlineStr">
        <is>
          <t>Clarins</t>
        </is>
      </c>
      <c r="E17648" t="n">
        <v>30.01</v>
      </c>
      <c r="F17648" t="n">
        <v>1</v>
      </c>
      <c r="G17648" t="n">
        <v>3</v>
      </c>
      <c r="H17648" s="5">
        <f>HYPERLINK("https://api.qogita.com/variants/link/3666057051722/", "View Product")</f>
        <v/>
      </c>
    </row>
    <row r="17649">
      <c r="A17649" t="inlineStr">
        <is>
          <t>3666057051739</t>
        </is>
      </c>
      <c r="B17649" t="inlineStr">
        <is>
          <t>Clarins Ever Bronze Compact Powder 02 Warm 10 G</t>
        </is>
      </c>
      <c r="C17649" t="inlineStr">
        <is>
          <t>Powder</t>
        </is>
      </c>
      <c r="D17649" t="inlineStr">
        <is>
          <t>Clarins</t>
        </is>
      </c>
      <c r="E17649" t="n">
        <v>25.67</v>
      </c>
      <c r="F17649" t="n">
        <v>1</v>
      </c>
      <c r="G17649" t="n">
        <v>4</v>
      </c>
      <c r="H17649" s="5">
        <f>HYPERLINK("https://api.qogita.com/variants/link/3666057051739/", "View Product")</f>
        <v/>
      </c>
    </row>
    <row r="17650">
      <c r="A17650" t="inlineStr">
        <is>
          <t>3666057064494</t>
        </is>
      </c>
      <c r="B17650" t="inlineStr">
        <is>
          <t>Clarins Super Restorative Day Cream 50ml For All Skin Types</t>
        </is>
      </c>
      <c r="C17650" t="inlineStr">
        <is>
          <t>Day Cream</t>
        </is>
      </c>
      <c r="D17650" t="inlineStr">
        <is>
          <t>Clarins</t>
        </is>
      </c>
      <c r="E17650" t="n">
        <v>56.61</v>
      </c>
      <c r="F17650" t="n">
        <v>1</v>
      </c>
      <c r="G17650" t="n">
        <v>4</v>
      </c>
      <c r="H17650" s="5">
        <f>HYPERLINK("https://api.qogita.com/variants/link/3666057064494/", "View Product")</f>
        <v/>
      </c>
    </row>
    <row r="17651">
      <c r="A17651" t="inlineStr">
        <is>
          <t>3666057064500</t>
        </is>
      </c>
      <c r="B17651" t="inlineStr">
        <is>
          <t>Clarins Super Restorative Day Cream Very Dry Skin 50ml</t>
        </is>
      </c>
      <c r="C17651" t="inlineStr">
        <is>
          <t>Day Cream</t>
        </is>
      </c>
      <c r="D17651" t="inlineStr">
        <is>
          <t>Clarins</t>
        </is>
      </c>
      <c r="E17651" t="n">
        <v>56.61</v>
      </c>
      <c r="F17651" t="n">
        <v>1</v>
      </c>
      <c r="G17651" t="n">
        <v>10</v>
      </c>
      <c r="H17651" s="5">
        <f>HYPERLINK("https://api.qogita.com/variants/link/3666057064500/", "View Product")</f>
        <v/>
      </c>
    </row>
    <row r="17652">
      <c r="A17652" t="inlineStr">
        <is>
          <t>3666057064548</t>
        </is>
      </c>
      <c r="B17652" t="inlineStr">
        <is>
          <t>Clarins Super Restorative Night Cream 50ml For Mature Skin</t>
        </is>
      </c>
      <c r="C17652" t="inlineStr">
        <is>
          <t>Night Cream</t>
        </is>
      </c>
      <c r="D17652" t="inlineStr">
        <is>
          <t>Clarins</t>
        </is>
      </c>
      <c r="E17652" t="n">
        <v>58.62</v>
      </c>
      <c r="F17652" t="n">
        <v>1</v>
      </c>
      <c r="G17652" t="n">
        <v>8</v>
      </c>
      <c r="H17652" s="5">
        <f>HYPERLINK("https://api.qogita.com/variants/link/3666057064548/", "View Product")</f>
        <v/>
      </c>
    </row>
    <row r="17653">
      <c r="A17653" t="inlineStr">
        <is>
          <t>3666057098055</t>
        </is>
      </c>
      <c r="B17653" t="inlineStr">
        <is>
          <t>Clarins Hydraessentiel Night Cream 50ml</t>
        </is>
      </c>
      <c r="C17653" t="inlineStr">
        <is>
          <t>Night Cream</t>
        </is>
      </c>
      <c r="D17653" t="inlineStr">
        <is>
          <t>Clarins</t>
        </is>
      </c>
      <c r="E17653" t="n">
        <v>28.4</v>
      </c>
      <c r="F17653" t="n">
        <v>1</v>
      </c>
      <c r="G17653" t="n">
        <v>2</v>
      </c>
      <c r="H17653" s="5">
        <f>HYPERLINK("https://api.qogita.com/variants/link/3666057098055/", "View Product")</f>
        <v/>
      </c>
    </row>
    <row r="17654">
      <c r="A17654" t="inlineStr">
        <is>
          <t>3666057117046</t>
        </is>
      </c>
      <c r="B17654" t="inlineStr">
        <is>
          <t>Clarins Joli Rouge Lipstick 771 Dahlia Red 35 G</t>
        </is>
      </c>
      <c r="C17654" t="inlineStr">
        <is>
          <t>Lipstick</t>
        </is>
      </c>
      <c r="D17654" t="inlineStr">
        <is>
          <t>Clarins</t>
        </is>
      </c>
      <c r="E17654" t="n">
        <v>17.99</v>
      </c>
      <c r="F17654" t="n">
        <v>1</v>
      </c>
      <c r="G17654" t="n">
        <v>8</v>
      </c>
      <c r="H17654" s="5">
        <f>HYPERLINK("https://api.qogita.com/variants/link/3666057117046/", "View Product")</f>
        <v/>
      </c>
    </row>
    <row r="17655">
      <c r="A17655" t="inlineStr">
        <is>
          <t>3666057117060</t>
        </is>
      </c>
      <c r="B17655" t="inlineStr">
        <is>
          <t>Clarins Joli Rouge Lipstick 743 Cherry Red 35 G</t>
        </is>
      </c>
      <c r="C17655" t="inlineStr">
        <is>
          <t>Lipstick</t>
        </is>
      </c>
      <c r="D17655" t="inlineStr">
        <is>
          <t>Clarins</t>
        </is>
      </c>
      <c r="E17655" t="n">
        <v>17.99</v>
      </c>
      <c r="F17655" t="n">
        <v>1</v>
      </c>
      <c r="G17655" t="n">
        <v>5</v>
      </c>
      <c r="H17655" s="5">
        <f>HYPERLINK("https://api.qogita.com/variants/link/3666057117060/", "View Product")</f>
        <v/>
      </c>
    </row>
    <row r="17656">
      <c r="A17656" t="inlineStr">
        <is>
          <t>3666057117077</t>
        </is>
      </c>
      <c r="B17656" t="inlineStr">
        <is>
          <t>Clarins Joli Rouge 711 Papaya Lipstick 35 G</t>
        </is>
      </c>
      <c r="C17656" t="inlineStr">
        <is>
          <t>Lipstick</t>
        </is>
      </c>
      <c r="D17656" t="inlineStr">
        <is>
          <t>Clarins</t>
        </is>
      </c>
      <c r="E17656" t="n">
        <v>18.23</v>
      </c>
      <c r="F17656" t="n">
        <v>1</v>
      </c>
      <c r="G17656" t="n">
        <v>4</v>
      </c>
      <c r="H17656" s="5">
        <f>HYPERLINK("https://api.qogita.com/variants/link/3666057117077/", "View Product")</f>
        <v/>
      </c>
    </row>
    <row r="17657">
      <c r="A17657" t="inlineStr">
        <is>
          <t>3666057117213</t>
        </is>
      </c>
      <c r="B17657" t="inlineStr">
        <is>
          <t>Clarins Joli Rouge 778 Pecan Nude Lipstick 35 G</t>
        </is>
      </c>
      <c r="C17657" t="inlineStr">
        <is>
          <t>Lipstick</t>
        </is>
      </c>
      <c r="D17657" t="inlineStr">
        <is>
          <t>Clarins</t>
        </is>
      </c>
      <c r="E17657" t="n">
        <v>18.07</v>
      </c>
      <c r="F17657" t="n">
        <v>1</v>
      </c>
      <c r="G17657" t="n">
        <v>10</v>
      </c>
      <c r="H17657" s="5">
        <f>HYPERLINK("https://api.qogita.com/variants/link/3666057117213/", "View Product")</f>
        <v/>
      </c>
    </row>
    <row r="17658">
      <c r="A17658" t="inlineStr">
        <is>
          <t>3666057117275</t>
        </is>
      </c>
      <c r="B17658" t="inlineStr">
        <is>
          <t>Clarins Joli Rouge Shine Lipstick 759s Woodberry 35 G Glossy Lipstick</t>
        </is>
      </c>
      <c r="C17658" t="inlineStr">
        <is>
          <t>Lipstick</t>
        </is>
      </c>
      <c r="D17658" t="inlineStr">
        <is>
          <t>Clarins</t>
        </is>
      </c>
      <c r="E17658" t="n">
        <v>17.79</v>
      </c>
      <c r="F17658" t="n">
        <v>1</v>
      </c>
      <c r="G17658" t="n">
        <v>27</v>
      </c>
      <c r="H17658" s="5">
        <f>HYPERLINK("https://api.qogita.com/variants/link/3666057117275/", "View Product")</f>
        <v/>
      </c>
    </row>
    <row r="17659">
      <c r="A17659" t="inlineStr">
        <is>
          <t>3666057128011</t>
        </is>
      </c>
      <c r="B17659" t="inlineStr">
        <is>
          <t>Clarins Precious Massage Tool</t>
        </is>
      </c>
      <c r="C17659" t="inlineStr">
        <is>
          <t>Facial Massage</t>
        </is>
      </c>
      <c r="D17659" t="inlineStr">
        <is>
          <t>Clarins</t>
        </is>
      </c>
      <c r="E17659" t="n">
        <v>32.27</v>
      </c>
      <c r="F17659" t="n">
        <v>1</v>
      </c>
      <c r="G17659" t="n">
        <v>13</v>
      </c>
      <c r="H17659" s="5">
        <f>HYPERLINK("https://api.qogita.com/variants/link/3666057128011/", "View Product")</f>
        <v/>
      </c>
    </row>
    <row r="17660">
      <c r="A17660" t="inlineStr">
        <is>
          <t>3666057133466</t>
        </is>
      </c>
      <c r="B17660" t="inlineStr">
        <is>
          <t>Clarins Sos Primer 02 Peach 30ml Foundation Base For Makeup</t>
        </is>
      </c>
      <c r="C17660" t="inlineStr">
        <is>
          <t>Primer</t>
        </is>
      </c>
      <c r="D17660" t="inlineStr">
        <is>
          <t>Clarins</t>
        </is>
      </c>
      <c r="E17660" t="n">
        <v>21.43</v>
      </c>
      <c r="F17660" t="n">
        <v>1</v>
      </c>
      <c r="G17660" t="n">
        <v>5</v>
      </c>
      <c r="H17660" s="5">
        <f>HYPERLINK("https://api.qogita.com/variants/link/3666057133466/", "View Product")</f>
        <v/>
      </c>
    </row>
    <row r="17661">
      <c r="A17661" t="inlineStr">
        <is>
          <t>3666057133480</t>
        </is>
      </c>
      <c r="B17661" t="inlineStr">
        <is>
          <t>Clarins Sos Primer Matifying 30ml Foundation Base For Makeup</t>
        </is>
      </c>
      <c r="C17661" t="inlineStr">
        <is>
          <t>Primer</t>
        </is>
      </c>
      <c r="D17661" t="inlineStr">
        <is>
          <t>Clarins</t>
        </is>
      </c>
      <c r="E17661" t="n">
        <v>21.8</v>
      </c>
      <c r="F17661" t="n">
        <v>1</v>
      </c>
      <c r="G17661" t="n">
        <v>4</v>
      </c>
      <c r="H17661" s="5">
        <f>HYPERLINK("https://api.qogita.com/variants/link/3666057133480/", "View Product")</f>
        <v/>
      </c>
    </row>
    <row r="17662">
      <c r="A17662" t="inlineStr">
        <is>
          <t>3666057136641</t>
        </is>
      </c>
      <c r="B17662" t="inlineStr">
        <is>
          <t>Clarins Exfoliating Body Scrub 200ml</t>
        </is>
      </c>
      <c r="C17662" t="inlineStr">
        <is>
          <t>Body Scrub &amp; Peeling</t>
        </is>
      </c>
      <c r="D17662" t="inlineStr">
        <is>
          <t>Clarins</t>
        </is>
      </c>
      <c r="E17662" t="n">
        <v>26.63</v>
      </c>
      <c r="F17662" t="n">
        <v>1</v>
      </c>
      <c r="G17662" t="n">
        <v>3</v>
      </c>
      <c r="H17662" s="5">
        <f>HYPERLINK("https://api.qogita.com/variants/link/3666057136641/", "View Product")</f>
        <v/>
      </c>
    </row>
    <row r="17663">
      <c r="A17663" t="inlineStr">
        <is>
          <t>3666057143465</t>
        </is>
      </c>
      <c r="B17663" t="inlineStr">
        <is>
          <t>Clarins Cleansing Essentials Gift Set - Velvet Cleansing Milk 200ml + Toning Lotion 200ml + Nourishing Oil Scrub 15ml + Cosmetic Bag.</t>
        </is>
      </c>
      <c r="C17663" t="inlineStr">
        <is>
          <t>Facial Cleansing Sets</t>
        </is>
      </c>
      <c r="D17663" t="inlineStr">
        <is>
          <t>Clarins</t>
        </is>
      </c>
      <c r="E17663" t="n">
        <v>32.55</v>
      </c>
      <c r="F17663" t="n">
        <v>1</v>
      </c>
      <c r="G17663" t="n">
        <v>48</v>
      </c>
      <c r="H17663" s="5">
        <f>HYPERLINK("https://api.qogita.com/variants/link/3666057143465/", "View Product")</f>
        <v/>
      </c>
    </row>
    <row r="17664">
      <c r="A17664" t="inlineStr">
        <is>
          <t>3666057157417</t>
        </is>
      </c>
      <c r="B17664" t="inlineStr">
        <is>
          <t>Clarins Wonder Perfect 4d Waterproof Mascara 01 Perfect Black 8ml</t>
        </is>
      </c>
      <c r="C17664" t="inlineStr">
        <is>
          <t>Mascara</t>
        </is>
      </c>
      <c r="D17664" t="inlineStr">
        <is>
          <t>Clarins</t>
        </is>
      </c>
      <c r="E17664" t="n">
        <v>18.64</v>
      </c>
      <c r="F17664" t="n">
        <v>1</v>
      </c>
      <c r="G17664" t="n">
        <v>3</v>
      </c>
      <c r="H17664" s="5">
        <f>HYPERLINK("https://api.qogita.com/variants/link/3666057157417/", "View Product")</f>
        <v/>
      </c>
    </row>
    <row r="17665">
      <c r="A17665" t="inlineStr">
        <is>
          <t>3666057159367</t>
        </is>
      </c>
      <c r="B17665" t="inlineStr">
        <is>
          <t>Clarins Glow Lip Perfector 12 Ml Shade 25 Mulberry Glow</t>
        </is>
      </c>
      <c r="C17665" t="inlineStr">
        <is>
          <t>Lip Gloss</t>
        </is>
      </c>
      <c r="D17665" t="inlineStr">
        <is>
          <t>Clarins</t>
        </is>
      </c>
      <c r="E17665" t="n">
        <v>14.89</v>
      </c>
      <c r="F17665" t="n">
        <v>1</v>
      </c>
      <c r="G17665" t="n">
        <v>116</v>
      </c>
      <c r="H17665" s="5">
        <f>HYPERLINK("https://api.qogita.com/variants/link/3666057159367/", "View Product")</f>
        <v/>
      </c>
    </row>
    <row r="17666">
      <c r="A17666" t="inlineStr">
        <is>
          <t>3666057161537</t>
        </is>
      </c>
      <c r="B17666" t="inlineStr">
        <is>
          <t>Clarins Tinted Oleoserum 025 30ml</t>
        </is>
      </c>
      <c r="C17666" t="inlineStr">
        <is>
          <t>Hydrating Serum</t>
        </is>
      </c>
      <c r="D17666" t="inlineStr">
        <is>
          <t>Clarins</t>
        </is>
      </c>
      <c r="E17666" t="n">
        <v>26.5</v>
      </c>
      <c r="F17666" t="n">
        <v>1</v>
      </c>
      <c r="G17666" t="n">
        <v>11</v>
      </c>
      <c r="H17666" s="5">
        <f>HYPERLINK("https://api.qogita.com/variants/link/3666057161537/", "View Product")</f>
        <v/>
      </c>
    </row>
    <row r="17667">
      <c r="A17667" t="inlineStr">
        <is>
          <t>3666057161544</t>
        </is>
      </c>
      <c r="B17667" t="inlineStr">
        <is>
          <t>Clarins Tinted Oleoserum 03 30 Ml</t>
        </is>
      </c>
      <c r="C17667" t="inlineStr">
        <is>
          <t>Hydrating Serum</t>
        </is>
      </c>
      <c r="D17667" t="inlineStr">
        <is>
          <t>Clarins</t>
        </is>
      </c>
      <c r="E17667" t="n">
        <v>27.96</v>
      </c>
      <c r="F17667" t="n">
        <v>1</v>
      </c>
      <c r="G17667" t="n">
        <v>22</v>
      </c>
      <c r="H17667" s="5">
        <f>HYPERLINK("https://api.qogita.com/variants/link/3666057161544/", "View Product")</f>
        <v/>
      </c>
    </row>
    <row r="17668">
      <c r="A17668" t="inlineStr">
        <is>
          <t>3666057162916</t>
        </is>
      </c>
      <c r="B17668" t="inlineStr">
        <is>
          <t>Clarins Joli Rouge Velvet Matte Lipstick 35 G</t>
        </is>
      </c>
      <c r="C17668" t="inlineStr">
        <is>
          <t>Lipstick</t>
        </is>
      </c>
      <c r="D17668" t="inlineStr">
        <is>
          <t>Clarins</t>
        </is>
      </c>
      <c r="E17668" t="n">
        <v>17.94</v>
      </c>
      <c r="F17668" t="n">
        <v>1</v>
      </c>
      <c r="G17668" t="n">
        <v>4</v>
      </c>
      <c r="H17668" s="5">
        <f>HYPERLINK("https://api.qogita.com/variants/link/3666057162916/", "View Product")</f>
        <v/>
      </c>
    </row>
    <row r="17669">
      <c r="A17669" t="inlineStr">
        <is>
          <t>3666057162954</t>
        </is>
      </c>
      <c r="B17669" t="inlineStr">
        <is>
          <t>Clarins Joli Rouge Velvet Matte Lipstick 35 G 754v Deep Red</t>
        </is>
      </c>
      <c r="C17669" t="inlineStr">
        <is>
          <t>Lipstick</t>
        </is>
      </c>
      <c r="D17669" t="inlineStr">
        <is>
          <t>Clarins</t>
        </is>
      </c>
      <c r="E17669" t="n">
        <v>16.29</v>
      </c>
      <c r="F17669" t="n">
        <v>1</v>
      </c>
      <c r="G17669" t="n">
        <v>6</v>
      </c>
      <c r="H17669" s="5">
        <f>HYPERLINK("https://api.qogita.com/variants/link/3666057162954/", "View Product")</f>
        <v/>
      </c>
    </row>
    <row r="17670">
      <c r="A17670" t="inlineStr">
        <is>
          <t>3666057163050</t>
        </is>
      </c>
      <c r="B17670" t="inlineStr">
        <is>
          <t>Clarins Joli Rouge Velvet Matte Lipstick 784v Praline Nude 35g</t>
        </is>
      </c>
      <c r="C17670" t="inlineStr">
        <is>
          <t>Lipstick</t>
        </is>
      </c>
      <c r="D17670" t="inlineStr">
        <is>
          <t>Clarins</t>
        </is>
      </c>
      <c r="E17670" t="n">
        <v>17.94</v>
      </c>
      <c r="F17670" t="n">
        <v>1</v>
      </c>
      <c r="G17670" t="n">
        <v>6</v>
      </c>
      <c r="H17670" s="5">
        <f>HYPERLINK("https://api.qogita.com/variants/link/3666057163050/", "View Product")</f>
        <v/>
      </c>
    </row>
    <row r="17671">
      <c r="A17671" t="inlineStr">
        <is>
          <t>3666057165580</t>
        </is>
      </c>
      <c r="B17671" t="inlineStr">
        <is>
          <t>Clarins Ombre Mono 04 Matte Rosewood Eyeshadow 15g</t>
        </is>
      </c>
      <c r="C17671" t="inlineStr">
        <is>
          <t>Eyeshadow</t>
        </is>
      </c>
      <c r="D17671" t="inlineStr">
        <is>
          <t>Clarins</t>
        </is>
      </c>
      <c r="E17671" t="n">
        <v>13.89</v>
      </c>
      <c r="F17671" t="n">
        <v>1</v>
      </c>
      <c r="G17671" t="n">
        <v>6</v>
      </c>
      <c r="H17671" s="5">
        <f>HYPERLINK("https://api.qogita.com/variants/link/3666057165580/", "View Product")</f>
        <v/>
      </c>
    </row>
    <row r="17672">
      <c r="A17672" t="inlineStr">
        <is>
          <t>3666057177613</t>
        </is>
      </c>
      <c r="B17672" t="inlineStr">
        <is>
          <t>Clarins Multiactive Day Cream For Dry Skin 50ml</t>
        </is>
      </c>
      <c r="C17672" t="inlineStr">
        <is>
          <t>Day Cream</t>
        </is>
      </c>
      <c r="D17672" t="inlineStr">
        <is>
          <t>Clarins</t>
        </is>
      </c>
      <c r="E17672" t="n">
        <v>34.71</v>
      </c>
      <c r="F17672" t="n">
        <v>1</v>
      </c>
      <c r="G17672" t="n">
        <v>4</v>
      </c>
      <c r="H17672" s="5">
        <f>HYPERLINK("https://api.qogita.com/variants/link/3666057177613/", "View Product")</f>
        <v/>
      </c>
    </row>
    <row r="17673">
      <c r="A17673" t="inlineStr">
        <is>
          <t>3666057194580</t>
        </is>
      </c>
      <c r="B17673" t="inlineStr">
        <is>
          <t>Clarins Super Restorative Antiwrinkle Skin Care Gift Set</t>
        </is>
      </c>
      <c r="C17673" t="inlineStr">
        <is>
          <t>Facial Care Sets</t>
        </is>
      </c>
      <c r="D17673" t="inlineStr">
        <is>
          <t>Clarins</t>
        </is>
      </c>
      <c r="E17673" t="n">
        <v>98.79000000000001</v>
      </c>
      <c r="F17673" t="n">
        <v>1</v>
      </c>
      <c r="G17673" t="n">
        <v>10</v>
      </c>
      <c r="H17673" s="5">
        <f>HYPERLINK("https://api.qogita.com/variants/link/3666057194580/", "View Product")</f>
        <v/>
      </c>
    </row>
    <row r="17674">
      <c r="A17674" t="inlineStr">
        <is>
          <t>3666057196386</t>
        </is>
      </c>
      <c r="B17674" t="inlineStr">
        <is>
          <t>Clarins Precious Foaming Cleanser 125 Ml</t>
        </is>
      </c>
      <c r="C17674" t="inlineStr">
        <is>
          <t>Cleansing Foam</t>
        </is>
      </c>
      <c r="D17674" t="inlineStr">
        <is>
          <t>Clarins</t>
        </is>
      </c>
      <c r="E17674" t="n">
        <v>55.74</v>
      </c>
      <c r="F17674" t="n">
        <v>1</v>
      </c>
      <c r="G17674" t="n">
        <v>39</v>
      </c>
      <c r="H17674" s="5">
        <f>HYPERLINK("https://api.qogita.com/variants/link/3666057196386/", "View Product")</f>
        <v/>
      </c>
    </row>
    <row r="17675">
      <c r="A17675" t="inlineStr">
        <is>
          <t>3666057210075</t>
        </is>
      </c>
      <c r="B17675" t="inlineStr">
        <is>
          <t>Clarins Iconic Double Serum</t>
        </is>
      </c>
      <c r="C17675" t="inlineStr">
        <is>
          <t>Anti-Aging Serum</t>
        </is>
      </c>
      <c r="D17675" t="inlineStr">
        <is>
          <t>Clarins</t>
        </is>
      </c>
      <c r="E17675" t="n">
        <v>84.28</v>
      </c>
      <c r="F17675" t="n">
        <v>1</v>
      </c>
      <c r="G17675" t="n">
        <v>4</v>
      </c>
      <c r="H17675" s="5">
        <f>HYPERLINK("https://api.qogita.com/variants/link/3666057210075/", "View Product")</f>
        <v/>
      </c>
    </row>
    <row r="17676">
      <c r="A17676" t="inlineStr">
        <is>
          <t>3666057216480</t>
        </is>
      </c>
      <c r="B17676" t="inlineStr">
        <is>
          <t>Clarins Gentle Foaming Cleanser Soothing 125ml</t>
        </is>
      </c>
      <c r="C17676" t="inlineStr">
        <is>
          <t>Cleansing Foam</t>
        </is>
      </c>
      <c r="D17676" t="inlineStr">
        <is>
          <t>Clarins</t>
        </is>
      </c>
      <c r="E17676" t="n">
        <v>15.57</v>
      </c>
      <c r="F17676" t="n">
        <v>1</v>
      </c>
      <c r="G17676" t="n">
        <v>3</v>
      </c>
      <c r="H17676" s="5">
        <f>HYPERLINK("https://api.qogita.com/variants/link/3666057216480/", "View Product")</f>
        <v/>
      </c>
    </row>
    <row r="17677">
      <c r="A17677" t="inlineStr">
        <is>
          <t>3666057216503</t>
        </is>
      </c>
      <c r="B17677" t="inlineStr">
        <is>
          <t>Clarins Hydrating Gentle Foaming Cleanser 125ml</t>
        </is>
      </c>
      <c r="C17677" t="inlineStr">
        <is>
          <t>Cleansing Foam</t>
        </is>
      </c>
      <c r="D17677" t="inlineStr">
        <is>
          <t>Clarins</t>
        </is>
      </c>
      <c r="E17677" t="n">
        <v>15.57</v>
      </c>
      <c r="F17677" t="n">
        <v>1</v>
      </c>
      <c r="G17677" t="n">
        <v>8</v>
      </c>
      <c r="H17677" s="5">
        <f>HYPERLINK("https://api.qogita.com/variants/link/3666057216503/", "View Product")</f>
        <v/>
      </c>
    </row>
    <row r="17678">
      <c r="A17678" t="inlineStr">
        <is>
          <t>3666057216855</t>
        </is>
      </c>
      <c r="B17678" t="inlineStr">
        <is>
          <t>Clarins Hydrating Toning Lotion 400ml</t>
        </is>
      </c>
      <c r="C17678" t="inlineStr">
        <is>
          <t>Facial Spray</t>
        </is>
      </c>
      <c r="D17678" t="inlineStr">
        <is>
          <t>Clarins</t>
        </is>
      </c>
      <c r="E17678" t="n">
        <v>21.63</v>
      </c>
      <c r="F17678" t="n">
        <v>1</v>
      </c>
      <c r="G17678" t="n">
        <v>5</v>
      </c>
      <c r="H17678" s="5">
        <f>HYPERLINK("https://api.qogita.com/variants/link/3666057216855/", "View Product")</f>
        <v/>
      </c>
    </row>
    <row r="17679">
      <c r="A17679" t="inlineStr">
        <is>
          <t>3666057216879</t>
        </is>
      </c>
      <c r="B17679" t="inlineStr">
        <is>
          <t>Clarins Soothing Toning Lotion 400ml For Sensitive And Very Dry Skin</t>
        </is>
      </c>
      <c r="C17679" t="inlineStr">
        <is>
          <t>Facial Spray</t>
        </is>
      </c>
      <c r="D17679" t="inlineStr">
        <is>
          <t>Clarins</t>
        </is>
      </c>
      <c r="E17679" t="n">
        <v>21.63</v>
      </c>
      <c r="F17679" t="n">
        <v>1</v>
      </c>
      <c r="G17679" t="n">
        <v>3</v>
      </c>
      <c r="H17679" s="5">
        <f>HYPERLINK("https://api.qogita.com/variants/link/3666057216879/", "View Product")</f>
        <v/>
      </c>
    </row>
    <row r="17680">
      <c r="A17680" t="inlineStr">
        <is>
          <t>3666057217296</t>
        </is>
      </c>
      <c r="B17680" t="inlineStr">
        <is>
          <t>Clarins Purifying Toning Lotion 400ml Refill For Mixed To Oily Skin</t>
        </is>
      </c>
      <c r="C17680" t="inlineStr">
        <is>
          <t>Face Cream</t>
        </is>
      </c>
      <c r="D17680" t="inlineStr">
        <is>
          <t>Clarins</t>
        </is>
      </c>
      <c r="E17680" t="n">
        <v>26.27</v>
      </c>
      <c r="F17680" t="n">
        <v>1</v>
      </c>
      <c r="G17680" t="n">
        <v>8</v>
      </c>
      <c r="H17680" s="5">
        <f>HYPERLINK("https://api.qogita.com/variants/link/3666057217296/", "View Product")</f>
        <v/>
      </c>
    </row>
    <row r="17681">
      <c r="A17681" t="inlineStr">
        <is>
          <t>3666057217333</t>
        </is>
      </c>
      <c r="B17681" t="inlineStr">
        <is>
          <t>Clarins Youth Protecting Sunscreen Spf 30 Protective Face Cream 50 Ml</t>
        </is>
      </c>
      <c r="C17681" t="inlineStr">
        <is>
          <t>Face Sun Protection</t>
        </is>
      </c>
      <c r="D17681" t="inlineStr">
        <is>
          <t>Clarins</t>
        </is>
      </c>
      <c r="E17681" t="n">
        <v>20.83</v>
      </c>
      <c r="F17681" t="n">
        <v>1</v>
      </c>
      <c r="G17681" t="n">
        <v>23</v>
      </c>
      <c r="H17681" s="5">
        <f>HYPERLINK("https://api.qogita.com/variants/link/3666057217333/", "View Product")</f>
        <v/>
      </c>
    </row>
    <row r="17682">
      <c r="A17682" t="inlineStr">
        <is>
          <t>3666057218392</t>
        </is>
      </c>
      <c r="B17682" t="inlineStr">
        <is>
          <t>Clarins Velvet Cleansing Milk 400ml</t>
        </is>
      </c>
      <c r="C17682" t="inlineStr">
        <is>
          <t>Cleansing Milk</t>
        </is>
      </c>
      <c r="D17682" t="inlineStr">
        <is>
          <t>Clarins</t>
        </is>
      </c>
      <c r="E17682" t="n">
        <v>21.32</v>
      </c>
      <c r="F17682" t="n">
        <v>1</v>
      </c>
      <c r="G17682" t="n">
        <v>9</v>
      </c>
      <c r="H17682" s="5">
        <f>HYPERLINK("https://api.qogita.com/variants/link/3666057218392/", "View Product")</f>
        <v/>
      </c>
    </row>
    <row r="17683">
      <c r="A17683" t="inlineStr">
        <is>
          <t>3666057229855</t>
        </is>
      </c>
      <c r="B17683" t="inlineStr">
        <is>
          <t>Clarins Brightening Dark Spot-Targeting Expert Serum 30 Ml</t>
        </is>
      </c>
      <c r="C17683" t="inlineStr">
        <is>
          <t>Glow Serum</t>
        </is>
      </c>
      <c r="D17683" t="inlineStr">
        <is>
          <t>Clarins</t>
        </is>
      </c>
      <c r="E17683" t="n">
        <v>63.46</v>
      </c>
      <c r="F17683" t="n">
        <v>1</v>
      </c>
      <c r="G17683" t="n">
        <v>5</v>
      </c>
      <c r="H17683" s="5">
        <f>HYPERLINK("https://api.qogita.com/variants/link/3666057229855/", "View Product")</f>
        <v/>
      </c>
    </row>
    <row r="17684">
      <c r="A17684" t="inlineStr">
        <is>
          <t>3666057246326</t>
        </is>
      </c>
      <c r="B17684" t="inlineStr">
        <is>
          <t>Clarins Eyebrow Pencil 03 Soft Blonde 11 G</t>
        </is>
      </c>
      <c r="C17684" t="inlineStr">
        <is>
          <t>Eyebrow Pencil</t>
        </is>
      </c>
      <c r="D17684" t="inlineStr">
        <is>
          <t>Clarins</t>
        </is>
      </c>
      <c r="E17684" t="n">
        <v>13.26</v>
      </c>
      <c r="F17684" t="n">
        <v>1</v>
      </c>
      <c r="G17684" t="n">
        <v>15</v>
      </c>
      <c r="H17684" s="5">
        <f>HYPERLINK("https://api.qogita.com/variants/link/3666057246326/", "View Product")</f>
        <v/>
      </c>
    </row>
    <row r="17685">
      <c r="A17685" t="inlineStr">
        <is>
          <t>3666057247422</t>
        </is>
      </c>
      <c r="B17685" t="inlineStr">
        <is>
          <t>Clarins Hydraessentiel Moisture Repairing Lip Balm 15 Ml</t>
        </is>
      </c>
      <c r="C17685" t="inlineStr">
        <is>
          <t>Medicated Treatments</t>
        </is>
      </c>
      <c r="D17685" t="inlineStr">
        <is>
          <t>Clarins</t>
        </is>
      </c>
      <c r="E17685" t="n">
        <v>14.3</v>
      </c>
      <c r="F17685" t="n">
        <v>1</v>
      </c>
      <c r="G17685" t="n">
        <v>32</v>
      </c>
      <c r="H17685" s="5">
        <f>HYPERLINK("https://api.qogita.com/variants/link/3666057247422/", "View Product")</f>
        <v/>
      </c>
    </row>
    <row r="17686">
      <c r="A17686" t="inlineStr">
        <is>
          <t>3666057272745</t>
        </is>
      </c>
      <c r="B17686" t="inlineStr">
        <is>
          <t>Clarins Extra-Firming Night Cream For Dry Skin - 50ml</t>
        </is>
      </c>
      <c r="C17686" t="inlineStr">
        <is>
          <t>Night Cream</t>
        </is>
      </c>
      <c r="D17686" t="inlineStr">
        <is>
          <t>Clarins</t>
        </is>
      </c>
      <c r="E17686" t="n">
        <v>65.31</v>
      </c>
      <c r="F17686" t="n">
        <v>1</v>
      </c>
      <c r="G17686" t="n">
        <v>13</v>
      </c>
      <c r="H17686" s="5">
        <f>HYPERLINK("https://api.qogita.com/variants/link/3666057272745/", "View Product")</f>
        <v/>
      </c>
    </row>
    <row r="17687">
      <c r="A17687" t="inlineStr">
        <is>
          <t>3666057275838</t>
        </is>
      </c>
      <c r="B17687" t="inlineStr">
        <is>
          <t>Essentials Delicate Cleansing Skin Care Gift Set</t>
        </is>
      </c>
      <c r="C17687" t="inlineStr">
        <is>
          <t>Facial Cleansing Sets</t>
        </is>
      </c>
      <c r="D17687" t="inlineStr">
        <is>
          <t>Clarins</t>
        </is>
      </c>
      <c r="E17687" t="n">
        <v>26.43</v>
      </c>
      <c r="F17687" t="n">
        <v>1</v>
      </c>
      <c r="G17687" t="n">
        <v>3</v>
      </c>
      <c r="H17687" s="5">
        <f>HYPERLINK("https://api.qogita.com/variants/link/3666057275838/", "View Product")</f>
        <v/>
      </c>
    </row>
    <row r="17688">
      <c r="A17688" t="inlineStr">
        <is>
          <t>3666057297359</t>
        </is>
      </c>
      <c r="B17688" t="inlineStr">
        <is>
          <t>Clarins Double Serum &amp; Multi-Active Set Gift Set</t>
        </is>
      </c>
      <c r="C17688" t="inlineStr">
        <is>
          <t>Facial Care Sets</t>
        </is>
      </c>
      <c r="D17688" t="inlineStr">
        <is>
          <t>Clarins</t>
        </is>
      </c>
      <c r="E17688" t="n">
        <v>106.46</v>
      </c>
      <c r="F17688" t="n">
        <v>1</v>
      </c>
      <c r="G17688" t="n">
        <v>32</v>
      </c>
      <c r="H17688" s="5">
        <f>HYPERLINK("https://api.qogita.com/variants/link/3666057297359/", "View Product")</f>
        <v/>
      </c>
    </row>
    <row r="17689">
      <c r="A17689" t="inlineStr">
        <is>
          <t>3666057297366</t>
        </is>
      </c>
      <c r="B17689" t="inlineStr">
        <is>
          <t>Clarins Extra-Firming Collection</t>
        </is>
      </c>
      <c r="C17689" t="inlineStr">
        <is>
          <t>Anti-Aging Facial Care</t>
        </is>
      </c>
      <c r="D17689" t="inlineStr">
        <is>
          <t>Clarins</t>
        </is>
      </c>
      <c r="E17689" t="n">
        <v>70.09999999999999</v>
      </c>
      <c r="F17689" t="n">
        <v>1</v>
      </c>
      <c r="G17689" t="n">
        <v>3</v>
      </c>
      <c r="H17689" s="5">
        <f>HYPERLINK("https://api.qogita.com/variants/link/3666057297366/", "View Product")</f>
        <v/>
      </c>
    </row>
    <row r="17690">
      <c r="A17690" t="inlineStr">
        <is>
          <t>3666057297465</t>
        </is>
      </c>
      <c r="B17690" t="inlineStr">
        <is>
          <t>Clarins Double Serum Iconic Collection Gift Set</t>
        </is>
      </c>
      <c r="C17690" t="inlineStr">
        <is>
          <t>Facial Care Sets</t>
        </is>
      </c>
      <c r="D17690" t="inlineStr">
        <is>
          <t>Clarins</t>
        </is>
      </c>
      <c r="E17690" t="n">
        <v>133.62</v>
      </c>
      <c r="F17690" t="n">
        <v>1</v>
      </c>
      <c r="G17690" t="n">
        <v>29</v>
      </c>
      <c r="H17690" s="5">
        <f>HYPERLINK("https://api.qogita.com/variants/link/3666057297465/", "View Product")</f>
        <v/>
      </c>
    </row>
    <row r="17691">
      <c r="A17691" t="inlineStr">
        <is>
          <t>3666057297472</t>
        </is>
      </c>
      <c r="B17691" t="inlineStr">
        <is>
          <t>Clarins Double Serum Eye Collection</t>
        </is>
      </c>
      <c r="C17691" t="inlineStr">
        <is>
          <t>Eye Cream</t>
        </is>
      </c>
      <c r="D17691" t="inlineStr">
        <is>
          <t>Clarins</t>
        </is>
      </c>
      <c r="E17691" t="n">
        <v>64.13</v>
      </c>
      <c r="F17691" t="n">
        <v>1</v>
      </c>
      <c r="G17691" t="n">
        <v>30</v>
      </c>
      <c r="H17691" s="5">
        <f>HYPERLINK("https://api.qogita.com/variants/link/3666057297472/", "View Product")</f>
        <v/>
      </c>
    </row>
    <row r="17692">
      <c r="A17692" t="inlineStr">
        <is>
          <t>3666057297540</t>
        </is>
      </c>
      <c r="B17692" t="inlineStr">
        <is>
          <t>Clarins Eau Dynamissante Spray 100ml With Bath Gel 30ml And Perfumed Body Lotion 10ml Miniature</t>
        </is>
      </c>
      <c r="C17692" t="inlineStr">
        <is>
          <t>Fragrance Sets</t>
        </is>
      </c>
      <c r="D17692" t="inlineStr">
        <is>
          <t>Clarins</t>
        </is>
      </c>
      <c r="E17692" t="n">
        <v>40.45</v>
      </c>
      <c r="F17692" t="n">
        <v>1</v>
      </c>
      <c r="G17692" t="n">
        <v>12</v>
      </c>
      <c r="H17692" s="5">
        <f>HYPERLINK("https://api.qogita.com/variants/link/3666057297540/", "View Product")</f>
        <v/>
      </c>
    </row>
    <row r="17693">
      <c r="A17693" t="inlineStr">
        <is>
          <t>3666057298059</t>
        </is>
      </c>
      <c r="B17693" t="inlineStr">
        <is>
          <t>Clarins Tinted Moisturizer - 40 Ml</t>
        </is>
      </c>
      <c r="C17693" t="inlineStr">
        <is>
          <t>Tinted Day Cream</t>
        </is>
      </c>
      <c r="D17693" t="inlineStr">
        <is>
          <t>Clarins</t>
        </is>
      </c>
      <c r="E17693" t="n">
        <v>30.64</v>
      </c>
      <c r="F17693" t="n">
        <v>1</v>
      </c>
      <c r="G17693" t="n">
        <v>7</v>
      </c>
      <c r="H17693" s="5">
        <f>HYPERLINK("https://api.qogita.com/variants/link/3666057298059/", "View Product")</f>
        <v/>
      </c>
    </row>
    <row r="17694">
      <c r="A17694" t="inlineStr">
        <is>
          <t>3666057319280</t>
        </is>
      </c>
      <c r="B17694" t="inlineStr">
        <is>
          <t>Clarins Lip Perfector Glow 20 Translucent Glow - 12ml</t>
        </is>
      </c>
      <c r="C17694" t="inlineStr">
        <is>
          <t>Lip Gloss</t>
        </is>
      </c>
      <c r="D17694" t="inlineStr">
        <is>
          <t>Clarins</t>
        </is>
      </c>
      <c r="E17694" t="n">
        <v>16.03</v>
      </c>
      <c r="F17694" t="n">
        <v>1</v>
      </c>
      <c r="G17694" t="n">
        <v>5</v>
      </c>
      <c r="H17694" s="5">
        <f>HYPERLINK("https://api.qogita.com/variants/link/3666057319280/", "View Product")</f>
        <v/>
      </c>
    </row>
    <row r="17695">
      <c r="A17695" t="inlineStr">
        <is>
          <t>3666057332814</t>
        </is>
      </c>
      <c r="B17695" t="inlineStr">
        <is>
          <t>Clarins Maternity Dare La Vita Gift Set</t>
        </is>
      </c>
      <c r="C17695" t="inlineStr">
        <is>
          <t>Pregnancy</t>
        </is>
      </c>
      <c r="D17695" t="inlineStr">
        <is>
          <t>Clarins</t>
        </is>
      </c>
      <c r="E17695" t="n">
        <v>72.56</v>
      </c>
      <c r="F17695" t="n">
        <v>1</v>
      </c>
      <c r="G17695" t="n">
        <v>4</v>
      </c>
      <c r="H17695" s="5">
        <f>HYPERLINK("https://api.qogita.com/variants/link/3666057332814/", "View Product")</f>
        <v/>
      </c>
    </row>
    <row r="17696">
      <c r="A17696" t="inlineStr">
        <is>
          <t>3666057361944</t>
        </is>
      </c>
      <c r="B17696" t="inlineStr">
        <is>
          <t>Clarins Total Eye Revive 15ml</t>
        </is>
      </c>
      <c r="C17696" t="inlineStr">
        <is>
          <t>Eye Cream</t>
        </is>
      </c>
      <c r="D17696" t="inlineStr">
        <is>
          <t>Clarins</t>
        </is>
      </c>
      <c r="E17696" t="n">
        <v>30.14</v>
      </c>
      <c r="F17696" t="n">
        <v>1</v>
      </c>
      <c r="G17696" t="n">
        <v>38</v>
      </c>
      <c r="H17696" s="5">
        <f>HYPERLINK("https://api.qogita.com/variants/link/3666057361944/", "View Product")</f>
        <v/>
      </c>
    </row>
    <row r="17697">
      <c r="A17697" t="inlineStr">
        <is>
          <t>3666057401886</t>
        </is>
      </c>
      <c r="B17697" t="inlineStr">
        <is>
          <t>Clarins The Essentials Regenerating Cleansing Set</t>
        </is>
      </c>
      <c r="C17697" t="inlineStr">
        <is>
          <t>Face</t>
        </is>
      </c>
      <c r="D17697" t="inlineStr">
        <is>
          <t>Clarins</t>
        </is>
      </c>
      <c r="E17697" t="n">
        <v>33.76</v>
      </c>
      <c r="F17697" t="n">
        <v>1</v>
      </c>
      <c r="G17697" t="n">
        <v>9</v>
      </c>
      <c r="H17697" s="5">
        <f>HYPERLINK("https://api.qogita.com/variants/link/3666057401886/", "View Product")</f>
        <v/>
      </c>
    </row>
    <row r="17698">
      <c r="A17698" t="inlineStr">
        <is>
          <t>3700076450439</t>
        </is>
      </c>
      <c r="B17698" t="inlineStr">
        <is>
          <t>By Terry Nude-Expert Duo Stick Golden Brown 8.5g</t>
        </is>
      </c>
      <c r="C17698" t="inlineStr">
        <is>
          <t>Bronzer</t>
        </is>
      </c>
      <c r="D17698" t="inlineStr">
        <is>
          <t>By Terry</t>
        </is>
      </c>
      <c r="E17698" t="n">
        <v>4.91</v>
      </c>
      <c r="F17698" t="n">
        <v>1</v>
      </c>
      <c r="G17698" t="n">
        <v>3</v>
      </c>
      <c r="H17698" s="5">
        <f>HYPERLINK("https://api.qogita.com/variants/link/3700076450439/", "View Product")</f>
        <v/>
      </c>
    </row>
    <row r="17699">
      <c r="A17699" t="inlineStr">
        <is>
          <t>3700076451016</t>
        </is>
      </c>
      <c r="B17699" t="inlineStr">
        <is>
          <t>By Terry Lip Expert Shine 8 Juicy Fig A Glossy Lip Product</t>
        </is>
      </c>
      <c r="C17699" t="inlineStr">
        <is>
          <t>Lip Gloss</t>
        </is>
      </c>
      <c r="D17699" t="inlineStr">
        <is>
          <t>By Terry</t>
        </is>
      </c>
      <c r="E17699" t="n">
        <v>3.9</v>
      </c>
      <c r="F17699" t="n">
        <v>1</v>
      </c>
      <c r="G17699" t="n">
        <v>3</v>
      </c>
      <c r="H17699" s="5">
        <f>HYPERLINK("https://api.qogita.com/variants/link/3700076451016/", "View Product")</f>
        <v/>
      </c>
    </row>
    <row r="17700">
      <c r="A17700" t="inlineStr">
        <is>
          <t>3700135001312</t>
        </is>
      </c>
      <c r="B17700" t="inlineStr">
        <is>
          <t>Frederic Malle Leau Dhiver Eau De Toilette 100ml Unisex Spray</t>
        </is>
      </c>
      <c r="C17700" t="inlineStr">
        <is>
          <t>Eau De Toilette</t>
        </is>
      </c>
      <c r="D17700" t="inlineStr">
        <is>
          <t>Frederic Malle</t>
        </is>
      </c>
      <c r="E17700" t="n">
        <v>212.26</v>
      </c>
      <c r="F17700" t="n">
        <v>1</v>
      </c>
      <c r="G17700" t="n">
        <v>3</v>
      </c>
      <c r="H17700" s="5">
        <f>HYPERLINK("https://api.qogita.com/variants/link/3700135001312/", "View Product")</f>
        <v/>
      </c>
    </row>
    <row r="17701">
      <c r="A17701" t="inlineStr">
        <is>
          <t>3700135002401</t>
        </is>
      </c>
      <c r="B17701" t="inlineStr">
        <is>
          <t>Frederic Malle Vetiver Extraordinaire Eau De Parfum 100ml For Men</t>
        </is>
      </c>
      <c r="C17701" t="inlineStr">
        <is>
          <t>Eau De Parfum</t>
        </is>
      </c>
      <c r="D17701" t="inlineStr">
        <is>
          <t>Frederic Malle</t>
        </is>
      </c>
      <c r="E17701" t="n">
        <v>190</v>
      </c>
      <c r="F17701" t="n">
        <v>1</v>
      </c>
      <c r="G17701" t="n">
        <v>3</v>
      </c>
      <c r="H17701" s="5">
        <f>HYPERLINK("https://api.qogita.com/variants/link/3700135002401/", "View Product")</f>
        <v/>
      </c>
    </row>
    <row r="17702">
      <c r="A17702" t="inlineStr">
        <is>
          <t>3700135003620</t>
        </is>
      </c>
      <c r="B17702" t="inlineStr">
        <is>
          <t>Frederic Malle Carnal Flower Unisex 1.7 Oz EDP Spray 50.28ml</t>
        </is>
      </c>
      <c r="C17702" t="inlineStr">
        <is>
          <t>Eau De Parfum</t>
        </is>
      </c>
      <c r="D17702" t="inlineStr">
        <is>
          <t>Frederic Malle</t>
        </is>
      </c>
      <c r="E17702" t="n">
        <v>141.25</v>
      </c>
      <c r="F17702" t="n">
        <v>1</v>
      </c>
      <c r="G17702" t="n">
        <v>4</v>
      </c>
      <c r="H17702" s="5">
        <f>HYPERLINK("https://api.qogita.com/variants/link/3700135003620/", "View Product")</f>
        <v/>
      </c>
    </row>
    <row r="17703">
      <c r="A17703" t="inlineStr">
        <is>
          <t>3700155368945</t>
        </is>
      </c>
      <c r="B17703" t="inlineStr">
        <is>
          <t>Parisax Gift Set Of Decorative Eye Cosmetics</t>
        </is>
      </c>
      <c r="C17703" t="inlineStr">
        <is>
          <t>Eye Sets &amp; Pallets</t>
        </is>
      </c>
      <c r="D17703" t="inlineStr">
        <is>
          <t>Parisax</t>
        </is>
      </c>
      <c r="E17703" t="n">
        <v>28.5</v>
      </c>
      <c r="F17703" t="n">
        <v>1</v>
      </c>
      <c r="G17703" t="n">
        <v>5</v>
      </c>
      <c r="H17703" s="5">
        <f>HYPERLINK("https://api.qogita.com/variants/link/3700155368945/", "View Product")</f>
        <v/>
      </c>
    </row>
    <row r="17704">
      <c r="A17704" t="inlineStr">
        <is>
          <t>3700194711702</t>
        </is>
      </c>
      <c r="B17704" t="inlineStr">
        <is>
          <t>Kiehl's Calendula Herbal Extract Toner Alcoholfree 250ml</t>
        </is>
      </c>
      <c r="C17704" t="inlineStr">
        <is>
          <t>Face Lotion</t>
        </is>
      </c>
      <c r="D17704" t="inlineStr">
        <is>
          <t>Kiehl's</t>
        </is>
      </c>
      <c r="E17704" t="n">
        <v>34.52</v>
      </c>
      <c r="F17704" t="n">
        <v>1</v>
      </c>
      <c r="G17704" t="n">
        <v>7</v>
      </c>
      <c r="H17704" s="5">
        <f>HYPERLINK("https://api.qogita.com/variants/link/3700194711702/", "View Product")</f>
        <v/>
      </c>
    </row>
    <row r="17705">
      <c r="A17705" t="inlineStr">
        <is>
          <t>3700227206281</t>
        </is>
      </c>
      <c r="B17705" t="inlineStr">
        <is>
          <t>Akro Smoke Eau de Parfum Spray 100ml</t>
        </is>
      </c>
      <c r="C17705" t="inlineStr">
        <is>
          <t>Eau De Parfum</t>
        </is>
      </c>
      <c r="D17705" t="inlineStr">
        <is>
          <t>Akro</t>
        </is>
      </c>
      <c r="E17705" t="n">
        <v>82.65000000000001</v>
      </c>
      <c r="F17705" t="n">
        <v>1</v>
      </c>
      <c r="G17705" t="n">
        <v>5</v>
      </c>
      <c r="H17705" s="5">
        <f>HYPERLINK("https://api.qogita.com/variants/link/3700227206281/", "View Product")</f>
        <v/>
      </c>
    </row>
    <row r="17706">
      <c r="A17706" t="inlineStr">
        <is>
          <t>3700281702361</t>
        </is>
      </c>
      <c r="B17706" t="inlineStr">
        <is>
          <t>Topicrem Ultra-Moisturizing Body Milk 200ml</t>
        </is>
      </c>
      <c r="C17706" t="inlineStr">
        <is>
          <t>Body Lotion</t>
        </is>
      </c>
      <c r="D17706" t="inlineStr">
        <is>
          <t>Topicrem</t>
        </is>
      </c>
      <c r="E17706" t="n">
        <v>8.84</v>
      </c>
      <c r="F17706" t="n">
        <v>1</v>
      </c>
      <c r="G17706" t="n">
        <v>57</v>
      </c>
      <c r="H17706" s="5">
        <f>HYPERLINK("https://api.qogita.com/variants/link/3700281702361/", "View Product")</f>
        <v/>
      </c>
    </row>
    <row r="17707">
      <c r="A17707" t="inlineStr">
        <is>
          <t>3700281702682</t>
        </is>
      </c>
      <c r="B17707" t="inlineStr">
        <is>
          <t>Topicrem CICA Repairing Cream</t>
        </is>
      </c>
      <c r="C17707" t="inlineStr">
        <is>
          <t>Face Cream</t>
        </is>
      </c>
      <c r="D17707" t="inlineStr">
        <is>
          <t>Topicrem</t>
        </is>
      </c>
      <c r="E17707" t="n">
        <v>7.57</v>
      </c>
      <c r="F17707" t="n">
        <v>1</v>
      </c>
      <c r="G17707" t="n">
        <v>88</v>
      </c>
      <c r="H17707" s="5">
        <f>HYPERLINK("https://api.qogita.com/variants/link/3700281702682/", "View Product")</f>
        <v/>
      </c>
    </row>
    <row r="17708">
      <c r="A17708" t="inlineStr">
        <is>
          <t>3700281702699</t>
        </is>
      </c>
      <c r="B17708" t="inlineStr">
        <is>
          <t>Topicrem Cleansing Gel For Body And Scalp Pvds 200 Ml</t>
        </is>
      </c>
      <c r="C17708" t="inlineStr">
        <is>
          <t>Shower Gel</t>
        </is>
      </c>
      <c r="D17708" t="inlineStr">
        <is>
          <t>Topicrem</t>
        </is>
      </c>
      <c r="E17708" t="n">
        <v>12.03</v>
      </c>
      <c r="F17708" t="n">
        <v>1</v>
      </c>
      <c r="G17708" t="n">
        <v>12</v>
      </c>
      <c r="H17708" s="5">
        <f>HYPERLINK("https://api.qogita.com/variants/link/3700281702699/", "View Product")</f>
        <v/>
      </c>
    </row>
    <row r="17709">
      <c r="A17709" t="inlineStr">
        <is>
          <t>3700281702781</t>
        </is>
      </c>
      <c r="B17709" t="inlineStr">
        <is>
          <t>Topicrem Ac Hydra Compensating Moisturizing Cream For Oily And Acneprone Skin 40 Ml</t>
        </is>
      </c>
      <c r="C17709" t="inlineStr">
        <is>
          <t>Face Cream</t>
        </is>
      </c>
      <c r="D17709" t="inlineStr">
        <is>
          <t>Topicrem</t>
        </is>
      </c>
      <c r="E17709" t="n">
        <v>8.93</v>
      </c>
      <c r="F17709" t="n">
        <v>1</v>
      </c>
      <c r="G17709" t="n">
        <v>5</v>
      </c>
      <c r="H17709" s="5">
        <f>HYPERLINK("https://api.qogita.com/variants/link/3700281702781/", "View Product")</f>
        <v/>
      </c>
    </row>
    <row r="17710">
      <c r="A17710" t="inlineStr">
        <is>
          <t>3700281702873</t>
        </is>
      </c>
      <c r="B17710" t="inlineStr">
        <is>
          <t>Topicrem Gentle Scrub For Sensitive Skin 200 Ml</t>
        </is>
      </c>
      <c r="C17710" t="inlineStr">
        <is>
          <t>Facial Scrub &amp; Peeling</t>
        </is>
      </c>
      <c r="D17710" t="inlineStr">
        <is>
          <t>Topicrem</t>
        </is>
      </c>
      <c r="E17710" t="n">
        <v>9.4</v>
      </c>
      <c r="F17710" t="n">
        <v>1</v>
      </c>
      <c r="G17710" t="n">
        <v>5</v>
      </c>
      <c r="H17710" s="5">
        <f>HYPERLINK("https://api.qogita.com/variants/link/3700281702873/", "View Product")</f>
        <v/>
      </c>
    </row>
    <row r="17711">
      <c r="A17711" t="inlineStr">
        <is>
          <t>3700281702880</t>
        </is>
      </c>
      <c r="B17711" t="inlineStr">
        <is>
          <t>Teodermsrl Body Cream 200ml</t>
        </is>
      </c>
      <c r="C17711" t="inlineStr">
        <is>
          <t>Body Lotion</t>
        </is>
      </c>
      <c r="D17711" t="inlineStr">
        <is>
          <t>Topicrem</t>
        </is>
      </c>
      <c r="E17711" t="n">
        <v>13.2</v>
      </c>
      <c r="F17711" t="n">
        <v>1</v>
      </c>
      <c r="G17711" t="n">
        <v>8</v>
      </c>
      <c r="H17711" s="5">
        <f>HYPERLINK("https://api.qogita.com/variants/link/3700281702880/", "View Product")</f>
        <v/>
      </c>
    </row>
    <row r="17712">
      <c r="A17712" t="inlineStr">
        <is>
          <t>3700281703269</t>
        </is>
      </c>
      <c r="B17712" t="inlineStr">
        <is>
          <t>Topicrem Ac Purifying Cleansing Gel For Oily And Sensitive Skin 400ml</t>
        </is>
      </c>
      <c r="C17712" t="inlineStr">
        <is>
          <t>Cleansing Gel</t>
        </is>
      </c>
      <c r="D17712" t="inlineStr">
        <is>
          <t>Topicrem</t>
        </is>
      </c>
      <c r="E17712" t="n">
        <v>11.55</v>
      </c>
      <c r="F17712" t="n">
        <v>1</v>
      </c>
      <c r="G17712" t="n">
        <v>3</v>
      </c>
      <c r="H17712" s="5">
        <f>HYPERLINK("https://api.qogita.com/variants/link/3700281703269/", "View Product")</f>
        <v/>
      </c>
    </row>
    <row r="17713">
      <c r="A17713" t="inlineStr">
        <is>
          <t>3700281703436</t>
        </is>
      </c>
      <c r="B17713" t="inlineStr">
        <is>
          <t>Topicrem My 1st Baby Moisturizing Body Lotion For Sensitive And Dry Skin</t>
        </is>
      </c>
      <c r="C17713" t="inlineStr">
        <is>
          <t>Baby Cream &amp; Oil</t>
        </is>
      </c>
      <c r="D17713" t="inlineStr">
        <is>
          <t>Topicrem</t>
        </is>
      </c>
      <c r="E17713" t="n">
        <v>7.15</v>
      </c>
      <c r="F17713" t="n">
        <v>1</v>
      </c>
      <c r="G17713" t="n">
        <v>2</v>
      </c>
      <c r="H17713" s="5">
        <f>HYPERLINK("https://api.qogita.com/variants/link/3700281703436/", "View Product")</f>
        <v/>
      </c>
    </row>
    <row r="17714">
      <c r="A17714" t="inlineStr">
        <is>
          <t>3700281703573</t>
        </is>
      </c>
      <c r="B17714" t="inlineStr">
        <is>
          <t>Topicrem Mattifying Care For Oily And Sensitive Skin 40 Ml</t>
        </is>
      </c>
      <c r="C17714" t="inlineStr">
        <is>
          <t>Face Cream</t>
        </is>
      </c>
      <c r="D17714" t="inlineStr">
        <is>
          <t>Topicrem</t>
        </is>
      </c>
      <c r="E17714" t="n">
        <v>8.789999999999999</v>
      </c>
      <c r="F17714" t="n">
        <v>1</v>
      </c>
      <c r="G17714" t="n">
        <v>5</v>
      </c>
      <c r="H17714" s="5">
        <f>HYPERLINK("https://api.qogita.com/variants/link/3700281703573/", "View Product")</f>
        <v/>
      </c>
    </row>
    <row r="17715">
      <c r="A17715" t="inlineStr">
        <is>
          <t>3700281704044</t>
        </is>
      </c>
      <c r="B17715" t="inlineStr">
        <is>
          <t>Topicrem HYDRA+ Moisturizing Radiance Mask 50ml</t>
        </is>
      </c>
      <c r="C17715" t="inlineStr">
        <is>
          <t>Hydrating Mask</t>
        </is>
      </c>
      <c r="D17715" t="inlineStr">
        <is>
          <t>Topicrem</t>
        </is>
      </c>
      <c r="E17715" t="n">
        <v>11.05</v>
      </c>
      <c r="F17715" t="n">
        <v>1</v>
      </c>
      <c r="G17715" t="n">
        <v>2</v>
      </c>
      <c r="H17715" s="5">
        <f>HYPERLINK("https://api.qogita.com/variants/link/3700281704044/", "View Product")</f>
        <v/>
      </c>
    </row>
    <row r="17716">
      <c r="A17716" t="inlineStr">
        <is>
          <t>3700281704327</t>
        </is>
      </c>
      <c r="B17716" t="inlineStr">
        <is>
          <t>Topicrem Hydra+ Rich Moisturizing Radiance Cream 40ml</t>
        </is>
      </c>
      <c r="C17716" t="inlineStr">
        <is>
          <t>Day Cream</t>
        </is>
      </c>
      <c r="D17716" t="inlineStr">
        <is>
          <t>Topicrem</t>
        </is>
      </c>
      <c r="E17716" t="n">
        <v>14.37</v>
      </c>
      <c r="F17716" t="n">
        <v>1</v>
      </c>
      <c r="G17716" t="n">
        <v>26</v>
      </c>
      <c r="H17716" s="5">
        <f>HYPERLINK("https://api.qogita.com/variants/link/3700281704327/", "View Product")</f>
        <v/>
      </c>
    </row>
    <row r="17717">
      <c r="A17717" t="inlineStr">
        <is>
          <t>3700281704341</t>
        </is>
      </c>
      <c r="B17717" t="inlineStr">
        <is>
          <t>Ah3 Global Anti-Aging Eye Contour - 15ml</t>
        </is>
      </c>
      <c r="C17717" t="inlineStr">
        <is>
          <t>Eye Cream</t>
        </is>
      </c>
      <c r="D17717" t="inlineStr">
        <is>
          <t>Ah3</t>
        </is>
      </c>
      <c r="E17717" t="n">
        <v>26.51</v>
      </c>
      <c r="F17717" t="n">
        <v>1</v>
      </c>
      <c r="G17717" t="n">
        <v>23</v>
      </c>
      <c r="H17717" s="5">
        <f>HYPERLINK("https://api.qogita.com/variants/link/3700281704341/", "View Product")</f>
        <v/>
      </c>
    </row>
    <row r="17718">
      <c r="A17718" t="inlineStr">
        <is>
          <t>3700281704389</t>
        </is>
      </c>
      <c r="B17718" t="inlineStr">
        <is>
          <t>Topicrem Ultramoisturizing Shower Gel For Sensitive And Dry Skin 1000ml</t>
        </is>
      </c>
      <c r="C17718" t="inlineStr">
        <is>
          <t>Shower Gel</t>
        </is>
      </c>
      <c r="D17718" t="inlineStr">
        <is>
          <t>Topicrem</t>
        </is>
      </c>
      <c r="E17718" t="n">
        <v>16.39</v>
      </c>
      <c r="F17718" t="n">
        <v>1</v>
      </c>
      <c r="G17718" t="n">
        <v>10</v>
      </c>
      <c r="H17718" s="5">
        <f>HYPERLINK("https://api.qogita.com/variants/link/3700281704389/", "View Product")</f>
        <v/>
      </c>
    </row>
    <row r="17719">
      <c r="A17719" t="inlineStr">
        <is>
          <t>3700281704495</t>
        </is>
      </c>
      <c r="B17719" t="inlineStr">
        <is>
          <t>Topicrem AC Purifying Micellar Water 400ml</t>
        </is>
      </c>
      <c r="C17719" t="inlineStr">
        <is>
          <t>Micellar Water</t>
        </is>
      </c>
      <c r="D17719" t="inlineStr">
        <is>
          <t>Topicrem</t>
        </is>
      </c>
      <c r="E17719" t="n">
        <v>9.99</v>
      </c>
      <c r="F17719" t="n">
        <v>1</v>
      </c>
      <c r="G17719" t="n">
        <v>24</v>
      </c>
      <c r="H17719" s="5">
        <f>HYPERLINK("https://api.qogita.com/variants/link/3700281704495/", "View Product")</f>
        <v/>
      </c>
    </row>
    <row r="17720">
      <c r="A17720" t="inlineStr">
        <is>
          <t>3700281705072</t>
        </is>
      </c>
      <c r="B17720" t="inlineStr">
        <is>
          <t>Topicrem Ac Control Balancing Antiblemish Care Day Cream For Combination To Oily Skin 40 Ml</t>
        </is>
      </c>
      <c r="C17720" t="inlineStr">
        <is>
          <t>Day Cream</t>
        </is>
      </c>
      <c r="D17720" t="inlineStr">
        <is>
          <t>Topicrem</t>
        </is>
      </c>
      <c r="E17720" t="n">
        <v>11.61</v>
      </c>
      <c r="F17720" t="n">
        <v>1</v>
      </c>
      <c r="G17720" t="n">
        <v>7</v>
      </c>
      <c r="H17720" s="5">
        <f>HYPERLINK("https://api.qogita.com/variants/link/3700281705072/", "View Product")</f>
        <v/>
      </c>
    </row>
    <row r="17721">
      <c r="A17721" t="inlineStr">
        <is>
          <t>3700281705096</t>
        </is>
      </c>
      <c r="B17721" t="inlineStr">
        <is>
          <t>Topicrem Ultra Hydrating Shower Oil 500ml</t>
        </is>
      </c>
      <c r="C17721" t="inlineStr">
        <is>
          <t>Shower Oil</t>
        </is>
      </c>
      <c r="D17721" t="inlineStr">
        <is>
          <t>Topicrem</t>
        </is>
      </c>
      <c r="E17721" t="n">
        <v>9.52</v>
      </c>
      <c r="F17721" t="n">
        <v>1</v>
      </c>
      <c r="G17721" t="n">
        <v>29</v>
      </c>
      <c r="H17721" s="5">
        <f>HYPERLINK("https://api.qogita.com/variants/link/3700281705096/", "View Product")</f>
        <v/>
      </c>
    </row>
    <row r="17722">
      <c r="A17722" t="inlineStr">
        <is>
          <t>3700431425737</t>
        </is>
      </c>
      <c r="B17722" t="inlineStr">
        <is>
          <t>Diptyque Lombre Dans L'Eau Eau De Parfum 75ml Unisex Spray</t>
        </is>
      </c>
      <c r="C17722" t="inlineStr">
        <is>
          <t>Eau De Parfum</t>
        </is>
      </c>
      <c r="D17722" t="inlineStr">
        <is>
          <t>Diptyque</t>
        </is>
      </c>
      <c r="E17722" t="n">
        <v>126.62</v>
      </c>
      <c r="F17722" t="n">
        <v>1</v>
      </c>
      <c r="G17722" t="n">
        <v>14</v>
      </c>
      <c r="H17722" s="5">
        <f>HYPERLINK("https://api.qogita.com/variants/link/3700431425737/", "View Product")</f>
        <v/>
      </c>
    </row>
    <row r="17723">
      <c r="A17723" t="inlineStr">
        <is>
          <t>3700431425751</t>
        </is>
      </c>
      <c r="B17723" t="inlineStr">
        <is>
          <t>Diptyque Eau De Minthe Eau De Parfum 75ml Unisex Spray</t>
        </is>
      </c>
      <c r="C17723" t="inlineStr">
        <is>
          <t>Eau De Parfum</t>
        </is>
      </c>
      <c r="D17723" t="inlineStr">
        <is>
          <t>Diptyque</t>
        </is>
      </c>
      <c r="E17723" t="n">
        <v>150.97</v>
      </c>
      <c r="F17723" t="n">
        <v>1</v>
      </c>
      <c r="G17723" t="n">
        <v>3</v>
      </c>
      <c r="H17723" s="5">
        <f>HYPERLINK("https://api.qogita.com/variants/link/3700431425751/", "View Product")</f>
        <v/>
      </c>
    </row>
    <row r="17724">
      <c r="A17724" t="inlineStr">
        <is>
          <t>3700431425881</t>
        </is>
      </c>
      <c r="B17724" t="inlineStr">
        <is>
          <t>Diptyque Eau Rose Eau De Toilette</t>
        </is>
      </c>
      <c r="C17724" t="inlineStr">
        <is>
          <t>Eau De Toilette</t>
        </is>
      </c>
      <c r="D17724" t="inlineStr">
        <is>
          <t>Diptyque</t>
        </is>
      </c>
      <c r="E17724" t="n">
        <v>122.01</v>
      </c>
      <c r="F17724" t="n">
        <v>1</v>
      </c>
      <c r="G17724" t="n">
        <v>6</v>
      </c>
      <c r="H17724" s="5">
        <f>HYPERLINK("https://api.qogita.com/variants/link/3700431425881/", "View Product")</f>
        <v/>
      </c>
    </row>
    <row r="17725">
      <c r="A17725" t="inlineStr">
        <is>
          <t>3700431425966</t>
        </is>
      </c>
      <c r="B17725" t="inlineStr">
        <is>
          <t>Diptyque Vetyverio Unisex Eau De Toilette Spray 100ml</t>
        </is>
      </c>
      <c r="C17725" t="inlineStr">
        <is>
          <t>Eau De Toilette</t>
        </is>
      </c>
      <c r="D17725" t="inlineStr">
        <is>
          <t>Diptyque</t>
        </is>
      </c>
      <c r="E17725" t="n">
        <v>111.06</v>
      </c>
      <c r="F17725" t="n">
        <v>1</v>
      </c>
      <c r="G17725" t="n">
        <v>7</v>
      </c>
      <c r="H17725" s="5">
        <f>HYPERLINK("https://api.qogita.com/variants/link/3700431425966/", "View Product")</f>
        <v/>
      </c>
    </row>
    <row r="17726">
      <c r="A17726" t="inlineStr">
        <is>
          <t>3700431428523</t>
        </is>
      </c>
      <c r="B17726" t="inlineStr">
        <is>
          <t>Diptyque 34 Boulevard Saint Germain Eau De Toilette 100ml Unisex Spray</t>
        </is>
      </c>
      <c r="C17726" t="inlineStr">
        <is>
          <t>Eau De Toilette</t>
        </is>
      </c>
      <c r="D17726" t="inlineStr">
        <is>
          <t>Diptyque</t>
        </is>
      </c>
      <c r="E17726" t="n">
        <v>142.78</v>
      </c>
      <c r="F17726" t="n">
        <v>1</v>
      </c>
      <c r="G17726" t="n">
        <v>5</v>
      </c>
      <c r="H17726" s="5">
        <f>HYPERLINK("https://api.qogita.com/variants/link/3700431428523/", "View Product")</f>
        <v/>
      </c>
    </row>
    <row r="17727">
      <c r="A17727" t="inlineStr">
        <is>
          <t>3700431449474</t>
        </is>
      </c>
      <c r="B17727" t="inlineStr">
        <is>
          <t>Diptyque Nabati Eau De Parfum Spray 75ml</t>
        </is>
      </c>
      <c r="C17727" t="inlineStr">
        <is>
          <t>Eau De Parfum</t>
        </is>
      </c>
      <c r="D17727" t="inlineStr">
        <is>
          <t>Diptyque</t>
        </is>
      </c>
      <c r="E17727" t="n">
        <v>187.88</v>
      </c>
      <c r="F17727" t="n">
        <v>1</v>
      </c>
      <c r="G17727" t="n">
        <v>2</v>
      </c>
      <c r="H17727" s="5">
        <f>HYPERLINK("https://api.qogita.com/variants/link/3700431449474/", "View Product")</f>
        <v/>
      </c>
    </row>
    <row r="17728">
      <c r="A17728" t="inlineStr">
        <is>
          <t>3700458602937</t>
        </is>
      </c>
      <c r="B17728" t="inlineStr">
        <is>
          <t>Memo Paris French Leather Eau De Parfum</t>
        </is>
      </c>
      <c r="C17728" t="inlineStr">
        <is>
          <t>Eau De Parfum</t>
        </is>
      </c>
      <c r="D17728" t="inlineStr">
        <is>
          <t>Memo Paris</t>
        </is>
      </c>
      <c r="E17728" t="n">
        <v>150.48</v>
      </c>
      <c r="F17728" t="n">
        <v>1</v>
      </c>
      <c r="G17728" t="n">
        <v>3</v>
      </c>
      <c r="H17728" s="5">
        <f>HYPERLINK("https://api.qogita.com/variants/link/3700458602937/", "View Product")</f>
        <v/>
      </c>
    </row>
    <row r="17729">
      <c r="A17729" t="inlineStr">
        <is>
          <t>3700458602975</t>
        </is>
      </c>
      <c r="B17729" t="inlineStr">
        <is>
          <t>Memo Vagabond Seeds Flam U Eau de Parfum</t>
        </is>
      </c>
      <c r="C17729" t="inlineStr">
        <is>
          <t>Eau De Parfum</t>
        </is>
      </c>
      <c r="D17729" t="inlineStr">
        <is>
          <t>Memo</t>
        </is>
      </c>
      <c r="E17729" t="n">
        <v>125.14</v>
      </c>
      <c r="F17729" t="n">
        <v>1</v>
      </c>
      <c r="G17729" t="n">
        <v>18</v>
      </c>
      <c r="H17729" s="5">
        <f>HYPERLINK("https://api.qogita.com/variants/link/3700458602975/", "View Product")</f>
        <v/>
      </c>
    </row>
    <row r="17730">
      <c r="A17730" t="inlineStr">
        <is>
          <t>3700458602999</t>
        </is>
      </c>
      <c r="B17730" t="inlineStr">
        <is>
          <t>Memo Paris African Leather Eau de Parfum 75ml</t>
        </is>
      </c>
      <c r="C17730" t="inlineStr">
        <is>
          <t>Eau De Parfum</t>
        </is>
      </c>
      <c r="D17730" t="inlineStr">
        <is>
          <t>Memo Paris</t>
        </is>
      </c>
      <c r="E17730" t="n">
        <v>130.87</v>
      </c>
      <c r="F17730" t="n">
        <v>1</v>
      </c>
      <c r="G17730" t="n">
        <v>30</v>
      </c>
      <c r="H17730" s="5">
        <f>HYPERLINK("https://api.qogita.com/variants/link/3700458602999/", "View Product")</f>
        <v/>
      </c>
    </row>
    <row r="17731">
      <c r="A17731" t="inlineStr">
        <is>
          <t>3700458603026</t>
        </is>
      </c>
      <c r="B17731" t="inlineStr">
        <is>
          <t>Memo Paris Siwa Eau De Parfum 75ml</t>
        </is>
      </c>
      <c r="C17731" t="inlineStr">
        <is>
          <t>Eau De Parfum</t>
        </is>
      </c>
      <c r="D17731" t="inlineStr">
        <is>
          <t>Memo Paris</t>
        </is>
      </c>
      <c r="E17731" t="n">
        <v>124.44</v>
      </c>
      <c r="F17731" t="n">
        <v>1</v>
      </c>
      <c r="G17731" t="n">
        <v>6</v>
      </c>
      <c r="H17731" s="5">
        <f>HYPERLINK("https://api.qogita.com/variants/link/3700458603026/", "View Product")</f>
        <v/>
      </c>
    </row>
    <row r="17732">
      <c r="A17732" t="inlineStr">
        <is>
          <t>3700458603330</t>
        </is>
      </c>
      <c r="B17732" t="inlineStr">
        <is>
          <t>Memo Paris Ilha Do Mel Eau De Parfum Spray 75ml</t>
        </is>
      </c>
      <c r="C17732" t="inlineStr">
        <is>
          <t>Eau De Parfum</t>
        </is>
      </c>
      <c r="D17732" t="inlineStr">
        <is>
          <t>Memo Paris</t>
        </is>
      </c>
      <c r="E17732" t="n">
        <v>126.41</v>
      </c>
      <c r="F17732" t="n">
        <v>1</v>
      </c>
      <c r="G17732" t="n">
        <v>3</v>
      </c>
      <c r="H17732" s="5">
        <f>HYPERLINK("https://api.qogita.com/variants/link/3700458603330/", "View Product")</f>
        <v/>
      </c>
    </row>
    <row r="17733">
      <c r="A17733" t="inlineStr">
        <is>
          <t>3700458603460</t>
        </is>
      </c>
      <c r="B17733" t="inlineStr">
        <is>
          <t>Memo Paris Moroccan Leather Eau De Parfum Spray 75 Milliliters</t>
        </is>
      </c>
      <c r="C17733" t="inlineStr">
        <is>
          <t>Eau De Parfum</t>
        </is>
      </c>
      <c r="D17733" t="inlineStr">
        <is>
          <t>Memo Paris</t>
        </is>
      </c>
      <c r="E17733" t="n">
        <v>122.18</v>
      </c>
      <c r="F17733" t="n">
        <v>1</v>
      </c>
      <c r="G17733" t="n">
        <v>3</v>
      </c>
      <c r="H17733" s="5">
        <f>HYPERLINK("https://api.qogita.com/variants/link/3700458603460/", "View Product")</f>
        <v/>
      </c>
    </row>
    <row r="17734">
      <c r="A17734" t="inlineStr">
        <is>
          <t>3700550216131</t>
        </is>
      </c>
      <c r="B17734" t="inlineStr">
        <is>
          <t>Kilian Roses On Ice Unisex 1.7 Oz EDP Spray</t>
        </is>
      </c>
      <c r="C17734" t="inlineStr">
        <is>
          <t>Eau De Parfum</t>
        </is>
      </c>
      <c r="D17734" t="inlineStr">
        <is>
          <t>Kilian</t>
        </is>
      </c>
      <c r="E17734" t="n">
        <v>140.17</v>
      </c>
      <c r="F17734" t="n">
        <v>1</v>
      </c>
      <c r="G17734" t="n">
        <v>2</v>
      </c>
      <c r="H17734" s="5">
        <f>HYPERLINK("https://api.qogita.com/variants/link/3700550216131/", "View Product")</f>
        <v/>
      </c>
    </row>
    <row r="17735">
      <c r="A17735" t="inlineStr">
        <is>
          <t>3700550218203</t>
        </is>
      </c>
      <c r="B17735" t="inlineStr">
        <is>
          <t>Kilian Good Girl Gone Bad Extreme Eau De Parfum 50ml For Women</t>
        </is>
      </c>
      <c r="C17735" t="inlineStr">
        <is>
          <t>Eau De Parfum</t>
        </is>
      </c>
      <c r="D17735" t="inlineStr">
        <is>
          <t>Kilian</t>
        </is>
      </c>
      <c r="E17735" t="n">
        <v>229.77</v>
      </c>
      <c r="F17735" t="n">
        <v>1</v>
      </c>
      <c r="G17735" t="n">
        <v>5</v>
      </c>
      <c r="H17735" s="5">
        <f>HYPERLINK("https://api.qogita.com/variants/link/3700550218203/", "View Product")</f>
        <v/>
      </c>
    </row>
    <row r="17736">
      <c r="A17736" t="inlineStr">
        <is>
          <t>3700550218302</t>
        </is>
      </c>
      <c r="B17736" t="inlineStr">
        <is>
          <t>Kilian By Kilian Straight To Heaven Eau De Parfum 50ml</t>
        </is>
      </c>
      <c r="C17736" t="inlineStr">
        <is>
          <t>Eau De Parfum</t>
        </is>
      </c>
      <c r="D17736" t="inlineStr">
        <is>
          <t>Kilian</t>
        </is>
      </c>
      <c r="E17736" t="n">
        <v>169.35</v>
      </c>
      <c r="F17736" t="n">
        <v>1</v>
      </c>
      <c r="G17736" t="n">
        <v>22</v>
      </c>
      <c r="H17736" s="5">
        <f>HYPERLINK("https://api.qogita.com/variants/link/3700550218302/", "View Product")</f>
        <v/>
      </c>
    </row>
    <row r="17737">
      <c r="A17737" t="inlineStr">
        <is>
          <t>3700550218746</t>
        </is>
      </c>
      <c r="B17737" t="inlineStr">
        <is>
          <t>Kilian Good Girl Gone Bad 50ml</t>
        </is>
      </c>
      <c r="C17737" t="inlineStr">
        <is>
          <t>Eau De Parfum</t>
        </is>
      </c>
      <c r="D17737" t="inlineStr">
        <is>
          <t>Kilian</t>
        </is>
      </c>
      <c r="E17737" t="n">
        <v>180.99</v>
      </c>
      <c r="F17737" t="n">
        <v>1</v>
      </c>
      <c r="G17737" t="n">
        <v>1</v>
      </c>
      <c r="H17737" s="5">
        <f>HYPERLINK("https://api.qogita.com/variants/link/3700550218746/", "View Product")</f>
        <v/>
      </c>
    </row>
    <row r="17738">
      <c r="A17738" t="inlineStr">
        <is>
          <t>3700550227434</t>
        </is>
      </c>
      <c r="B17738" t="inlineStr">
        <is>
          <t>Kilian Cologne Shield Of Protection Eau De Parfum Spray 50ml</t>
        </is>
      </c>
      <c r="C17738" t="inlineStr">
        <is>
          <t>Eau De Parfum</t>
        </is>
      </c>
      <c r="D17738" t="inlineStr">
        <is>
          <t>Kilian</t>
        </is>
      </c>
      <c r="E17738" t="n">
        <v>148.66</v>
      </c>
      <c r="F17738" t="n">
        <v>1</v>
      </c>
      <c r="G17738" t="n">
        <v>4</v>
      </c>
      <c r="H17738" s="5">
        <f>HYPERLINK("https://api.qogita.com/variants/link/3700550227434/", "View Product")</f>
        <v/>
      </c>
    </row>
    <row r="17739">
      <c r="A17739" t="inlineStr">
        <is>
          <t>3700550234142</t>
        </is>
      </c>
      <c r="B17739" t="inlineStr">
        <is>
          <t>Rose Oud Eau De Parfum 50ml</t>
        </is>
      </c>
      <c r="C17739" t="inlineStr">
        <is>
          <t>Eau De Parfum</t>
        </is>
      </c>
      <c r="D17739" t="inlineStr">
        <is>
          <t>Kilian</t>
        </is>
      </c>
      <c r="E17739" t="n">
        <v>197.12</v>
      </c>
      <c r="F17739" t="n">
        <v>1</v>
      </c>
      <c r="G17739" t="n">
        <v>3</v>
      </c>
      <c r="H17739" s="5">
        <f>HYPERLINK("https://api.qogita.com/variants/link/3700550234142/", "View Product")</f>
        <v/>
      </c>
    </row>
    <row r="17740">
      <c r="A17740" t="inlineStr">
        <is>
          <t>3700550237839</t>
        </is>
      </c>
      <c r="B17740" t="inlineStr">
        <is>
          <t>By Kilian Imperial Tea Eau De Parfum</t>
        </is>
      </c>
      <c r="C17740" t="inlineStr">
        <is>
          <t>Eau De Parfum</t>
        </is>
      </c>
      <c r="D17740" t="inlineStr">
        <is>
          <t>By Kilian</t>
        </is>
      </c>
      <c r="E17740" t="n">
        <v>189.17</v>
      </c>
      <c r="F17740" t="n">
        <v>1</v>
      </c>
      <c r="G17740" t="n">
        <v>5</v>
      </c>
      <c r="H17740" s="5">
        <f>HYPERLINK("https://api.qogita.com/variants/link/3700550237839/", "View Product")</f>
        <v/>
      </c>
    </row>
    <row r="17741">
      <c r="A17741" t="inlineStr">
        <is>
          <t>3700550240747</t>
        </is>
      </c>
      <c r="B17741" t="inlineStr">
        <is>
          <t>Kilian Old Fashioned 50 Ml - Kilian Fragrance</t>
        </is>
      </c>
      <c r="C17741" t="inlineStr">
        <is>
          <t>Eau De Parfum</t>
        </is>
      </c>
      <c r="D17741" t="inlineStr">
        <is>
          <t>Kilian</t>
        </is>
      </c>
      <c r="E17741" t="n">
        <v>159.92</v>
      </c>
      <c r="F17741" t="n">
        <v>1</v>
      </c>
      <c r="G17741" t="n">
        <v>5</v>
      </c>
      <c r="H17741" s="5">
        <f>HYPERLINK("https://api.qogita.com/variants/link/3700550240747/", "View Product")</f>
        <v/>
      </c>
    </row>
    <row r="17742">
      <c r="A17742" t="inlineStr">
        <is>
          <t>3700573800027</t>
        </is>
      </c>
      <c r="B17742" t="inlineStr">
        <is>
          <t>Montana Collection Edition 3 - Eau De Parfum 100 Ml - Unisex Fragrance</t>
        </is>
      </c>
      <c r="C17742" t="inlineStr">
        <is>
          <t>Eau De Parfum</t>
        </is>
      </c>
      <c r="D17742" t="inlineStr">
        <is>
          <t>Montana</t>
        </is>
      </c>
      <c r="E17742" t="n">
        <v>22.45</v>
      </c>
      <c r="F17742" t="n">
        <v>1</v>
      </c>
      <c r="G17742" t="n">
        <v>4</v>
      </c>
      <c r="H17742" s="5">
        <f>HYPERLINK("https://api.qogita.com/variants/link/3700573800027/", "View Product")</f>
        <v/>
      </c>
    </row>
    <row r="17743">
      <c r="A17743" t="inlineStr">
        <is>
          <t>3700573800034</t>
        </is>
      </c>
      <c r="B17743" t="inlineStr">
        <is>
          <t>Montana EDP Collection Edition 4 Women's Perfume 100ml</t>
        </is>
      </c>
      <c r="C17743" t="inlineStr">
        <is>
          <t>Eau De Parfum</t>
        </is>
      </c>
      <c r="D17743" t="inlineStr">
        <is>
          <t>Montana</t>
        </is>
      </c>
      <c r="E17743" t="n">
        <v>20.17</v>
      </c>
      <c r="F17743" t="n">
        <v>1</v>
      </c>
      <c r="G17743" t="n">
        <v>3</v>
      </c>
      <c r="H17743" s="5">
        <f>HYPERLINK("https://api.qogita.com/variants/link/3700573800034/", "View Product")</f>
        <v/>
      </c>
    </row>
    <row r="17744">
      <c r="A17744" t="inlineStr">
        <is>
          <t>3700578502025</t>
        </is>
      </c>
      <c r="B17744" t="inlineStr">
        <is>
          <t>Parfums D'Empire Athalia</t>
        </is>
      </c>
      <c r="C17744" t="inlineStr">
        <is>
          <t>Eau De Parfum</t>
        </is>
      </c>
      <c r="D17744" t="inlineStr">
        <is>
          <t>Parfums De Marly</t>
        </is>
      </c>
      <c r="E17744" t="n">
        <v>163.06</v>
      </c>
      <c r="F17744" t="n">
        <v>1</v>
      </c>
      <c r="G17744" t="n">
        <v>3</v>
      </c>
      <c r="H17744" s="5">
        <f>HYPERLINK("https://api.qogita.com/variants/link/3700578502025/", "View Product")</f>
        <v/>
      </c>
    </row>
    <row r="17745">
      <c r="A17745" t="inlineStr">
        <is>
          <t>3700578502155</t>
        </is>
      </c>
      <c r="B17745" t="inlineStr">
        <is>
          <t>PARFUMS DE MARLY Greenley Eau De Parfum for Men 2.5 Fl Oz 75ml</t>
        </is>
      </c>
      <c r="C17745" t="inlineStr">
        <is>
          <t>Eau De Parfum</t>
        </is>
      </c>
      <c r="D17745" t="inlineStr">
        <is>
          <t>Parfums De Marly</t>
        </is>
      </c>
      <c r="E17745" t="n">
        <v>136.57</v>
      </c>
      <c r="F17745" t="n">
        <v>1</v>
      </c>
      <c r="G17745" t="n">
        <v>74</v>
      </c>
      <c r="H17745" s="5">
        <f>HYPERLINK("https://api.qogita.com/variants/link/3700578502155/", "View Product")</f>
        <v/>
      </c>
    </row>
    <row r="17746">
      <c r="A17746" t="inlineStr">
        <is>
          <t>3700578502162</t>
        </is>
      </c>
      <c r="B17746" t="inlineStr">
        <is>
          <t>Parfums De Marly Greenley 4.2 Fl Oz</t>
        </is>
      </c>
      <c r="C17746" t="inlineStr">
        <is>
          <t>Eau De Parfum</t>
        </is>
      </c>
      <c r="D17746" t="inlineStr">
        <is>
          <t>Parfums De Marly</t>
        </is>
      </c>
      <c r="E17746" t="n">
        <v>211.52</v>
      </c>
      <c r="F17746" t="n">
        <v>1</v>
      </c>
      <c r="G17746" t="n">
        <v>3</v>
      </c>
      <c r="H17746" s="5">
        <f>HYPERLINK("https://api.qogita.com/variants/link/3700578502162/", "View Product")</f>
        <v/>
      </c>
    </row>
    <row r="17747">
      <c r="A17747" t="inlineStr">
        <is>
          <t>3700578502209</t>
        </is>
      </c>
      <c r="B17747" t="inlineStr">
        <is>
          <t>Parfums De Marly Pegasus Exclusive Eau De Parfum</t>
        </is>
      </c>
      <c r="C17747" t="inlineStr">
        <is>
          <t>Eau De Parfum</t>
        </is>
      </c>
      <c r="D17747" t="inlineStr">
        <is>
          <t>Parfums De Marly</t>
        </is>
      </c>
      <c r="E17747" t="n">
        <v>205.28</v>
      </c>
      <c r="F17747" t="n">
        <v>1</v>
      </c>
      <c r="G17747" t="n">
        <v>3</v>
      </c>
      <c r="H17747" s="5">
        <f>HYPERLINK("https://api.qogita.com/variants/link/3700578502209/", "View Product")</f>
        <v/>
      </c>
    </row>
    <row r="17748">
      <c r="A17748" t="inlineStr">
        <is>
          <t>3700578505002</t>
        </is>
      </c>
      <c r="B17748" t="inlineStr">
        <is>
          <t>Parfums De Marly Royal Essence Eau De Parfum 125ml For Men</t>
        </is>
      </c>
      <c r="C17748" t="inlineStr">
        <is>
          <t>Eau De Parfum</t>
        </is>
      </c>
      <c r="D17748" t="inlineStr">
        <is>
          <t>Parfums De Marly</t>
        </is>
      </c>
      <c r="E17748" t="n">
        <v>190.51</v>
      </c>
      <c r="F17748" t="n">
        <v>1</v>
      </c>
      <c r="G17748" t="n">
        <v>2</v>
      </c>
      <c r="H17748" s="5">
        <f>HYPERLINK("https://api.qogita.com/variants/link/3700578505002/", "View Product")</f>
        <v/>
      </c>
    </row>
    <row r="17749">
      <c r="A17749" t="inlineStr">
        <is>
          <t>3700578508126</t>
        </is>
      </c>
      <c r="B17749" t="inlineStr">
        <is>
          <t>Parfums De Marly Galloway Eau De Parfum</t>
        </is>
      </c>
      <c r="C17749" t="inlineStr">
        <is>
          <t>Eau De Parfum</t>
        </is>
      </c>
      <c r="D17749" t="inlineStr">
        <is>
          <t>Parfums De Marly</t>
        </is>
      </c>
      <c r="E17749" t="n">
        <v>111.54</v>
      </c>
      <c r="F17749" t="n">
        <v>1</v>
      </c>
      <c r="G17749" t="n">
        <v>4</v>
      </c>
      <c r="H17749" s="5">
        <f>HYPERLINK("https://api.qogita.com/variants/link/3700578508126/", "View Product")</f>
        <v/>
      </c>
    </row>
    <row r="17750">
      <c r="A17750" t="inlineStr">
        <is>
          <t>3700796900061</t>
        </is>
      </c>
      <c r="B17750" t="inlineStr">
        <is>
          <t>Nasamat Moroccan Leather Eau De Parfum</t>
        </is>
      </c>
      <c r="C17750" t="inlineStr">
        <is>
          <t>Eau De Parfum</t>
        </is>
      </c>
      <c r="D17750" t="inlineStr">
        <is>
          <t>Nasamat</t>
        </is>
      </c>
      <c r="E17750" t="n">
        <v>69.81</v>
      </c>
      <c r="F17750" t="n">
        <v>1</v>
      </c>
      <c r="G17750" t="n">
        <v>5</v>
      </c>
      <c r="H17750" s="5">
        <f>HYPERLINK("https://api.qogita.com/variants/link/3700796900061/", "View Product")</f>
        <v/>
      </c>
    </row>
    <row r="17751">
      <c r="A17751" t="inlineStr">
        <is>
          <t>3701129800072</t>
        </is>
      </c>
      <c r="B17751" t="inlineStr">
        <is>
          <t>Bioderma Pigmentbio Daily Care Spf 50 Brightening And Protective Day Cream 40 Ml</t>
        </is>
      </c>
      <c r="C17751" t="inlineStr">
        <is>
          <t>Day Cream</t>
        </is>
      </c>
      <c r="D17751" t="inlineStr">
        <is>
          <t>Bioderma</t>
        </is>
      </c>
      <c r="E17751" t="n">
        <v>19.61</v>
      </c>
      <c r="F17751" t="n">
        <v>1</v>
      </c>
      <c r="G17751" t="n">
        <v>3</v>
      </c>
      <c r="H17751" s="5">
        <f>HYPERLINK("https://api.qogita.com/variants/link/3701129800072/", "View Product")</f>
        <v/>
      </c>
    </row>
    <row r="17752">
      <c r="A17752" t="inlineStr">
        <is>
          <t>3701129800843</t>
        </is>
      </c>
      <c r="B17752" t="inlineStr">
        <is>
          <t>Bioderma Sensibio Cleansing Gel 500ml Gentle Cleansing For Sensitive Skin</t>
        </is>
      </c>
      <c r="C17752" t="inlineStr">
        <is>
          <t>Cleansing Gel</t>
        </is>
      </c>
      <c r="D17752" t="inlineStr">
        <is>
          <t>Bioderma</t>
        </is>
      </c>
      <c r="E17752" t="n">
        <v>14.01</v>
      </c>
      <c r="F17752" t="n">
        <v>1</v>
      </c>
      <c r="G17752" t="n">
        <v>4</v>
      </c>
      <c r="H17752" s="5">
        <f>HYPERLINK("https://api.qogita.com/variants/link/3701129800843/", "View Product")</f>
        <v/>
      </c>
    </row>
    <row r="17753">
      <c r="A17753" t="inlineStr">
        <is>
          <t>3701129802656</t>
        </is>
      </c>
      <c r="B17753" t="inlineStr">
        <is>
          <t>Bioderma Atoderm Intensive Gelcream 75ml Moisturizing Skin Care</t>
        </is>
      </c>
      <c r="C17753" t="inlineStr">
        <is>
          <t>Face Cream</t>
        </is>
      </c>
      <c r="D17753" t="inlineStr">
        <is>
          <t>Bioderma</t>
        </is>
      </c>
      <c r="E17753" t="n">
        <v>11.91</v>
      </c>
      <c r="F17753" t="n">
        <v>1</v>
      </c>
      <c r="G17753" t="n">
        <v>6</v>
      </c>
      <c r="H17753" s="5">
        <f>HYPERLINK("https://api.qogita.com/variants/link/3701129802656/", "View Product")</f>
        <v/>
      </c>
    </row>
    <row r="17754">
      <c r="A17754" t="inlineStr">
        <is>
          <t>3701129803523</t>
        </is>
      </c>
      <c r="B17754" t="inlineStr">
        <is>
          <t>Bioderma Photoderm Invisible Cream Spf 50 40ml</t>
        </is>
      </c>
      <c r="C17754" t="inlineStr">
        <is>
          <t>Face Sun Protection</t>
        </is>
      </c>
      <c r="D17754" t="inlineStr">
        <is>
          <t>Bioderma</t>
        </is>
      </c>
      <c r="E17754" t="n">
        <v>12.49</v>
      </c>
      <c r="F17754" t="n">
        <v>1</v>
      </c>
      <c r="G17754" t="n">
        <v>8</v>
      </c>
      <c r="H17754" s="5">
        <f>HYPERLINK("https://api.qogita.com/variants/link/3701129803523/", "View Product")</f>
        <v/>
      </c>
    </row>
    <row r="17755">
      <c r="A17755" t="inlineStr">
        <is>
          <t>3701129803639</t>
        </is>
      </c>
      <c r="B17755" t="inlineStr">
        <is>
          <t>Bioderma Photoderm Hydrating Lotion Spf 50 200 Ml</t>
        </is>
      </c>
      <c r="C17755" t="inlineStr">
        <is>
          <t>Face Sun Protection</t>
        </is>
      </c>
      <c r="D17755" t="inlineStr">
        <is>
          <t>Bioderma</t>
        </is>
      </c>
      <c r="E17755" t="n">
        <v>17.66</v>
      </c>
      <c r="F17755" t="n">
        <v>1</v>
      </c>
      <c r="G17755" t="n">
        <v>5</v>
      </c>
      <c r="H17755" s="5">
        <f>HYPERLINK("https://api.qogita.com/variants/link/3701129803639/", "View Product")</f>
        <v/>
      </c>
    </row>
    <row r="17756">
      <c r="A17756" t="inlineStr">
        <is>
          <t>3701129804452</t>
        </is>
      </c>
      <c r="B17756" t="inlineStr">
        <is>
          <t>Bioderma Sensibio Defensive Light Soothing Cream For Sensitive Skin 40 Ml</t>
        </is>
      </c>
      <c r="C17756" t="inlineStr">
        <is>
          <t>Face Cream</t>
        </is>
      </c>
      <c r="D17756" t="inlineStr">
        <is>
          <t>Bioderma</t>
        </is>
      </c>
      <c r="E17756" t="n">
        <v>11.01</v>
      </c>
      <c r="F17756" t="n">
        <v>1</v>
      </c>
      <c r="G17756" t="n">
        <v>23</v>
      </c>
      <c r="H17756" s="5">
        <f>HYPERLINK("https://api.qogita.com/variants/link/3701129804452/", "View Product")</f>
        <v/>
      </c>
    </row>
    <row r="17757">
      <c r="A17757" t="inlineStr">
        <is>
          <t>3701129804957</t>
        </is>
      </c>
      <c r="B17757" t="inlineStr">
        <is>
          <t>Bioderma Atoderm Lip Stick 4g Moisturizing Lip Care</t>
        </is>
      </c>
      <c r="C17757" t="inlineStr">
        <is>
          <t>Medicated Treatments</t>
        </is>
      </c>
      <c r="D17757" t="inlineStr">
        <is>
          <t>Bioderma</t>
        </is>
      </c>
      <c r="E17757" t="n">
        <v>5.66</v>
      </c>
      <c r="F17757" t="n">
        <v>1</v>
      </c>
      <c r="G17757" t="n">
        <v>9</v>
      </c>
      <c r="H17757" s="5">
        <f>HYPERLINK("https://api.qogita.com/variants/link/3701129804957/", "View Product")</f>
        <v/>
      </c>
    </row>
    <row r="17758">
      <c r="A17758" t="inlineStr">
        <is>
          <t>3701129805336</t>
        </is>
      </c>
      <c r="B17758" t="inlineStr">
        <is>
          <t>Bioderma Atoderm Cream Extreme Nourishing Cream for Sensitive Normal to Dry Skin 200ml</t>
        </is>
      </c>
      <c r="C17758" t="inlineStr">
        <is>
          <t>Neurodermatitis</t>
        </is>
      </c>
      <c r="D17758" t="inlineStr">
        <is>
          <t>Camomilla Italiana</t>
        </is>
      </c>
      <c r="E17758" t="n">
        <v>12.15</v>
      </c>
      <c r="F17758" t="n">
        <v>1</v>
      </c>
      <c r="G17758" t="n">
        <v>2</v>
      </c>
      <c r="H17758" s="5">
        <f>HYPERLINK("https://api.qogita.com/variants/link/3701129805336/", "View Product")</f>
        <v/>
      </c>
    </row>
    <row r="17759">
      <c r="A17759" t="inlineStr">
        <is>
          <t>3701129806609</t>
        </is>
      </c>
      <c r="B17759" t="inlineStr">
        <is>
          <t>Bioderma Photoderm Invisible Mist Spf30 150ml Hydrating And Refreshing Sunscreen Mist</t>
        </is>
      </c>
      <c r="C17759" t="inlineStr">
        <is>
          <t>Face Sun Protection</t>
        </is>
      </c>
      <c r="D17759" t="inlineStr">
        <is>
          <t>Bioderma</t>
        </is>
      </c>
      <c r="E17759" t="n">
        <v>13.99</v>
      </c>
      <c r="F17759" t="n">
        <v>1</v>
      </c>
      <c r="G17759" t="n">
        <v>5</v>
      </c>
      <c r="H17759" s="5">
        <f>HYPERLINK("https://api.qogita.com/variants/link/3701129806609/", "View Product")</f>
        <v/>
      </c>
    </row>
    <row r="17760">
      <c r="A17760" t="inlineStr">
        <is>
          <t>3701129807262</t>
        </is>
      </c>
      <c r="B17760" t="inlineStr">
        <is>
          <t>Bioderma Photoderm Spray Spf30 200ml Invisible Sunscreen</t>
        </is>
      </c>
      <c r="C17760" t="inlineStr">
        <is>
          <t>Body Sun Protection</t>
        </is>
      </c>
      <c r="D17760" t="inlineStr">
        <is>
          <t>Bioderma</t>
        </is>
      </c>
      <c r="E17760" t="n">
        <v>20.98</v>
      </c>
      <c r="F17760" t="n">
        <v>1</v>
      </c>
      <c r="G17760" t="n">
        <v>7</v>
      </c>
      <c r="H17760" s="5">
        <f>HYPERLINK("https://api.qogita.com/variants/link/3701129807262/", "View Product")</f>
        <v/>
      </c>
    </row>
    <row r="17761">
      <c r="A17761" t="inlineStr">
        <is>
          <t>3701129807835</t>
        </is>
      </c>
      <c r="B17761" t="inlineStr">
        <is>
          <t>Bioderma Sensibio Micellar Cleansing Oil 150ml Gentle Cleansing For Sensitive Skin</t>
        </is>
      </c>
      <c r="C17761" t="inlineStr">
        <is>
          <t>Cleansing Oil</t>
        </is>
      </c>
      <c r="D17761" t="inlineStr">
        <is>
          <t>Bioderma</t>
        </is>
      </c>
      <c r="E17761" t="n">
        <v>12.2</v>
      </c>
      <c r="F17761" t="n">
        <v>1</v>
      </c>
      <c r="G17761" t="n">
        <v>16</v>
      </c>
      <c r="H17761" s="5">
        <f>HYPERLINK("https://api.qogita.com/variants/link/3701129807835/", "View Product")</f>
        <v/>
      </c>
    </row>
    <row r="17762">
      <c r="A17762" t="inlineStr">
        <is>
          <t>3701129812099</t>
        </is>
      </c>
      <c r="B17762" t="inlineStr">
        <is>
          <t>Bioderma Sensibio Ar Anti-Redness Soothing Hydration Cream For Sensitive Skin - 40ml</t>
        </is>
      </c>
      <c r="C17762" t="inlineStr">
        <is>
          <t>Face Cream</t>
        </is>
      </c>
      <c r="D17762" t="inlineStr">
        <is>
          <t>Bioderma</t>
        </is>
      </c>
      <c r="E17762" t="n">
        <v>15.95</v>
      </c>
      <c r="F17762" t="n">
        <v>1</v>
      </c>
      <c r="G17762" t="n">
        <v>80</v>
      </c>
      <c r="H17762" s="5">
        <f>HYPERLINK("https://api.qogita.com/variants/link/3701129812099/", "View Product")</f>
        <v/>
      </c>
    </row>
    <row r="17763">
      <c r="A17763" t="inlineStr">
        <is>
          <t>3701129812488</t>
        </is>
      </c>
      <c r="B17763" t="inlineStr">
        <is>
          <t>Bioderma Sensibio Ar Soothing Micellar Gel For Sensitive Skin 250ml - Reduces Redness And Cleanses</t>
        </is>
      </c>
      <c r="C17763" t="inlineStr">
        <is>
          <t>Cleansing Gel</t>
        </is>
      </c>
      <c r="D17763" t="inlineStr">
        <is>
          <t>Bioderma</t>
        </is>
      </c>
      <c r="E17763" t="n">
        <v>12.22</v>
      </c>
      <c r="F17763" t="n">
        <v>1</v>
      </c>
      <c r="G17763" t="n">
        <v>3</v>
      </c>
      <c r="H17763" s="5">
        <f>HYPERLINK("https://api.qogita.com/variants/link/3701129812488/", "View Product")</f>
        <v/>
      </c>
    </row>
    <row r="17764">
      <c r="A17764" t="inlineStr">
        <is>
          <t>3701129813638</t>
        </is>
      </c>
      <c r="B17764" t="inlineStr">
        <is>
          <t>Bioderma Photoderm Xdefense Tone 02 Spf50 40ml High Protection Sunscreen</t>
        </is>
      </c>
      <c r="C17764" t="inlineStr">
        <is>
          <t>Face Sun Protection</t>
        </is>
      </c>
      <c r="D17764" t="inlineStr">
        <is>
          <t>Bioderma</t>
        </is>
      </c>
      <c r="E17764" t="n">
        <v>13.87</v>
      </c>
      <c r="F17764" t="n">
        <v>1</v>
      </c>
      <c r="G17764" t="n">
        <v>4</v>
      </c>
      <c r="H17764" s="5">
        <f>HYPERLINK("https://api.qogita.com/variants/link/3701129813638/", "View Product")</f>
        <v/>
      </c>
    </row>
    <row r="17765">
      <c r="A17765" t="inlineStr">
        <is>
          <t>3701129813645</t>
        </is>
      </c>
      <c r="B17765" t="inlineStr">
        <is>
          <t>Bioderma Photoderm Xdefense Ultrafluid Sunscreen Golden Spf50 40ml</t>
        </is>
      </c>
      <c r="C17765" t="inlineStr">
        <is>
          <t>Face Sun Protection</t>
        </is>
      </c>
      <c r="D17765" t="inlineStr">
        <is>
          <t>Bioderma</t>
        </is>
      </c>
      <c r="E17765" t="n">
        <v>17.35</v>
      </c>
      <c r="F17765" t="n">
        <v>1</v>
      </c>
      <c r="G17765" t="n">
        <v>11</v>
      </c>
      <c r="H17765" s="5">
        <f>HYPERLINK("https://api.qogita.com/variants/link/3701129813645/", "View Product")</f>
        <v/>
      </c>
    </row>
    <row r="17766">
      <c r="A17766" t="inlineStr">
        <is>
          <t>3701278600875</t>
        </is>
      </c>
      <c r="B17766" t="inlineStr">
        <is>
          <t>Alexandre J The Majestic Vetiver 100ml EDP 1920 Art Deco</t>
        </is>
      </c>
      <c r="C17766" t="inlineStr">
        <is>
          <t>Eau De Parfum</t>
        </is>
      </c>
      <c r="D17766" t="inlineStr">
        <is>
          <t>Alexandre J</t>
        </is>
      </c>
      <c r="E17766" t="n">
        <v>67.86</v>
      </c>
      <c r="F17766" t="n">
        <v>1</v>
      </c>
      <c r="G17766" t="n">
        <v>5</v>
      </c>
      <c r="H17766" s="5">
        <f>HYPERLINK("https://api.qogita.com/variants/link/3701278600875/", "View Product")</f>
        <v/>
      </c>
    </row>
    <row r="17767">
      <c r="A17767" t="inlineStr">
        <is>
          <t>3701278600899</t>
        </is>
      </c>
      <c r="B17767" t="inlineStr">
        <is>
          <t>Alexandre.J The Majestic Vanilla Eau De Parfum Spray 100ml</t>
        </is>
      </c>
      <c r="C17767" t="inlineStr">
        <is>
          <t>Eau De Parfum</t>
        </is>
      </c>
      <c r="D17767" t="inlineStr">
        <is>
          <t>Alexandre.J</t>
        </is>
      </c>
      <c r="E17767" t="n">
        <v>68.65000000000001</v>
      </c>
      <c r="F17767" t="n">
        <v>1</v>
      </c>
      <c r="G17767" t="n">
        <v>2</v>
      </c>
      <c r="H17767" s="5">
        <f>HYPERLINK("https://api.qogita.com/variants/link/3701278600899/", "View Product")</f>
        <v/>
      </c>
    </row>
    <row r="17768">
      <c r="A17768" t="inlineStr">
        <is>
          <t>3701415901377</t>
        </is>
      </c>
      <c r="B17768" t="inlineStr">
        <is>
          <t>Initio Oud For Greatness 3oz Unisex Eau de Parfum Tester</t>
        </is>
      </c>
      <c r="C17768" t="inlineStr">
        <is>
          <t>Eau De Parfum</t>
        </is>
      </c>
      <c r="D17768" t="inlineStr">
        <is>
          <t>Initio</t>
        </is>
      </c>
      <c r="E17768" t="n">
        <v>193.77</v>
      </c>
      <c r="F17768" t="n">
        <v>1</v>
      </c>
      <c r="G17768" t="n">
        <v>73</v>
      </c>
      <c r="H17768" s="5">
        <f>HYPERLINK("https://api.qogita.com/variants/link/3701415901377/", "View Product")</f>
        <v/>
      </c>
    </row>
    <row r="17769">
      <c r="A17769" t="inlineStr">
        <is>
          <t>3701415901438</t>
        </is>
      </c>
      <c r="B17769" t="inlineStr">
        <is>
          <t>Initio Parfums Prives Paragon Extrait De Parfum 90ml</t>
        </is>
      </c>
      <c r="C17769" t="inlineStr">
        <is>
          <t>Extrait De Parfum</t>
        </is>
      </c>
      <c r="D17769" t="inlineStr">
        <is>
          <t>Initio Parfums Prives</t>
        </is>
      </c>
      <c r="E17769" t="n">
        <v>164.98</v>
      </c>
      <c r="F17769" t="n">
        <v>1</v>
      </c>
      <c r="G17769" t="n">
        <v>32</v>
      </c>
      <c r="H17769" s="5">
        <f>HYPERLINK("https://api.qogita.com/variants/link/3701415901438/", "View Product")</f>
        <v/>
      </c>
    </row>
    <row r="17770">
      <c r="A17770" t="inlineStr">
        <is>
          <t>3701415902008</t>
        </is>
      </c>
      <c r="B17770" t="inlineStr">
        <is>
          <t>INITIO Parfums Prives Eau de Parfum 90ml</t>
        </is>
      </c>
      <c r="C17770" t="inlineStr">
        <is>
          <t>Eau De Parfum</t>
        </is>
      </c>
      <c r="D17770" t="inlineStr">
        <is>
          <t>Initio Parfums Prives</t>
        </is>
      </c>
      <c r="E17770" t="n">
        <v>167.55</v>
      </c>
      <c r="F17770" t="n">
        <v>1</v>
      </c>
      <c r="G17770" t="n">
        <v>24</v>
      </c>
      <c r="H17770" s="5">
        <f>HYPERLINK("https://api.qogita.com/variants/link/3701415902008/", "View Product")</f>
        <v/>
      </c>
    </row>
    <row r="17771">
      <c r="A17771" t="inlineStr">
        <is>
          <t>3701415902756</t>
        </is>
      </c>
      <c r="B17771" t="inlineStr">
        <is>
          <t>Initio Oud For Greatness Neo Eau De Cologne</t>
        </is>
      </c>
      <c r="C17771" t="inlineStr">
        <is>
          <t>Eau De Cologne</t>
        </is>
      </c>
      <c r="D17771" t="inlineStr">
        <is>
          <t>Initio</t>
        </is>
      </c>
      <c r="E17771" t="n">
        <v>246.63</v>
      </c>
      <c r="F17771" t="n">
        <v>1</v>
      </c>
      <c r="G17771" t="n">
        <v>4</v>
      </c>
      <c r="H17771" s="5">
        <f>HYPERLINK("https://api.qogita.com/variants/link/3701415902756/", "View Product")</f>
        <v/>
      </c>
    </row>
    <row r="17772">
      <c r="A17772" t="inlineStr">
        <is>
          <t>3701436907969</t>
        </is>
      </c>
      <c r="B17772" t="inlineStr">
        <is>
          <t>Roger &amp; Gallet Gingembre Rouge Fragrant Water 100ml For Unisex</t>
        </is>
      </c>
      <c r="C17772" t="inlineStr">
        <is>
          <t>Eau De Toilette</t>
        </is>
      </c>
      <c r="D17772" t="inlineStr">
        <is>
          <t>Roger &amp; Gallet</t>
        </is>
      </c>
      <c r="E17772" t="n">
        <v>22.52</v>
      </c>
      <c r="F17772" t="n">
        <v>1</v>
      </c>
      <c r="G17772" t="n">
        <v>4</v>
      </c>
      <c r="H17772" s="5">
        <f>HYPERLINK("https://api.qogita.com/variants/link/3701436907969/", "View Product")</f>
        <v/>
      </c>
    </row>
    <row r="17773">
      <c r="A17773" t="inlineStr">
        <is>
          <t>3701436908645</t>
        </is>
      </c>
      <c r="B17773" t="inlineStr">
        <is>
          <t>Lierac Cleanser The Micellar Water - 200ml</t>
        </is>
      </c>
      <c r="C17773" t="inlineStr">
        <is>
          <t>Micellar Water</t>
        </is>
      </c>
      <c r="D17773" t="inlineStr">
        <is>
          <t>Lierac</t>
        </is>
      </c>
      <c r="E17773" t="n">
        <v>8.529999999999999</v>
      </c>
      <c r="F17773" t="n">
        <v>1</v>
      </c>
      <c r="G17773" t="n">
        <v>5</v>
      </c>
      <c r="H17773" s="5">
        <f>HYPERLINK("https://api.qogita.com/variants/link/3701436908645/", "View Product")</f>
        <v/>
      </c>
    </row>
    <row r="17774">
      <c r="A17774" t="inlineStr">
        <is>
          <t>3701436912321</t>
        </is>
      </c>
      <c r="B17774" t="inlineStr">
        <is>
          <t>Roger &amp; Gallet Jean Marie Farina Shower Gel 200ml</t>
        </is>
      </c>
      <c r="C17774" t="inlineStr">
        <is>
          <t>Shower Gel</t>
        </is>
      </c>
      <c r="D17774" t="inlineStr">
        <is>
          <t>Roger &amp; Gallet</t>
        </is>
      </c>
      <c r="E17774" t="n">
        <v>5.78</v>
      </c>
      <c r="F17774" t="n">
        <v>1</v>
      </c>
      <c r="G17774" t="n">
        <v>2</v>
      </c>
      <c r="H17774" s="5">
        <f>HYPERLINK("https://api.qogita.com/variants/link/3701436912321/", "View Product")</f>
        <v/>
      </c>
    </row>
    <row r="17775">
      <c r="A17775" t="inlineStr">
        <is>
          <t>3701436913151</t>
        </is>
      </c>
      <c r="B17775" t="inlineStr">
        <is>
          <t>Phyto Softness Detangling Milk 150ml - Easy Detangling For Hair</t>
        </is>
      </c>
      <c r="C17775" t="inlineStr">
        <is>
          <t>Leave-In Conditioner</t>
        </is>
      </c>
      <c r="D17775" t="inlineStr">
        <is>
          <t>Phyto</t>
        </is>
      </c>
      <c r="E17775" t="n">
        <v>11.59</v>
      </c>
      <c r="F17775" t="n">
        <v>1</v>
      </c>
      <c r="G17775" t="n">
        <v>4</v>
      </c>
      <c r="H17775" s="5">
        <f>HYPERLINK("https://api.qogita.com/variants/link/3701436913151/", "View Product")</f>
        <v/>
      </c>
    </row>
    <row r="17776">
      <c r="A17776" t="inlineStr">
        <is>
          <t>3701436913502</t>
        </is>
      </c>
      <c r="B17776" t="inlineStr">
        <is>
          <t>Lierac Arkskin Night Cream For Menopause 50 Ml</t>
        </is>
      </c>
      <c r="C17776" t="inlineStr">
        <is>
          <t>Night Cream</t>
        </is>
      </c>
      <c r="D17776" t="inlineStr">
        <is>
          <t>Lierac</t>
        </is>
      </c>
      <c r="E17776" t="n">
        <v>26.21</v>
      </c>
      <c r="F17776" t="n">
        <v>1</v>
      </c>
      <c r="G17776" t="n">
        <v>20</v>
      </c>
      <c r="H17776" s="5">
        <f>HYPERLINK("https://api.qogita.com/variants/link/3701436913502/", "View Product")</f>
        <v/>
      </c>
    </row>
    <row r="17777">
      <c r="A17777" t="inlineStr">
        <is>
          <t>3701436913519</t>
        </is>
      </c>
      <c r="B17777" t="inlineStr">
        <is>
          <t>Arkeskin Body Milk For Menopause 400ml - Nourishing Body Milk For Menopausal Skin</t>
        </is>
      </c>
      <c r="C17777" t="inlineStr">
        <is>
          <t>Body Lotion</t>
        </is>
      </c>
      <c r="D17777" t="inlineStr">
        <is>
          <t>Arkeskin</t>
        </is>
      </c>
      <c r="E17777" t="n">
        <v>26.21</v>
      </c>
      <c r="F17777" t="n">
        <v>1</v>
      </c>
      <c r="G17777" t="n">
        <v>9</v>
      </c>
      <c r="H17777" s="5">
        <f>HYPERLINK("https://api.qogita.com/variants/link/3701436913519/", "View Product")</f>
        <v/>
      </c>
    </row>
    <row r="17778">
      <c r="A17778" t="inlineStr">
        <is>
          <t>3701436915506</t>
        </is>
      </c>
      <c r="B17778" t="inlineStr">
        <is>
          <t>Phyto Paris Phyto Phytocyanemen Revitalising Shampoo 250ml</t>
        </is>
      </c>
      <c r="C17778" t="inlineStr">
        <is>
          <t>Shampoo</t>
        </is>
      </c>
      <c r="D17778" t="inlineStr">
        <is>
          <t>Phyto</t>
        </is>
      </c>
      <c r="E17778" t="n">
        <v>7.52</v>
      </c>
      <c r="F17778" t="n">
        <v>1</v>
      </c>
      <c r="G17778" t="n">
        <v>3</v>
      </c>
      <c r="H17778" s="5">
        <f>HYPERLINK("https://api.qogita.com/variants/link/3701436915506/", "View Product")</f>
        <v/>
      </c>
    </row>
    <row r="17779">
      <c r="A17779" t="inlineStr">
        <is>
          <t>3701436917456</t>
        </is>
      </c>
      <c r="B17779" t="inlineStr">
        <is>
          <t>Lierac Body Sculpt Morpho-Reshaping Cream 200ml</t>
        </is>
      </c>
      <c r="C17779" t="inlineStr">
        <is>
          <t>Anti-Cellulite</t>
        </is>
      </c>
      <c r="D17779" t="inlineStr">
        <is>
          <t>Lierac</t>
        </is>
      </c>
      <c r="E17779" t="n">
        <v>21.32</v>
      </c>
      <c r="F17779" t="n">
        <v>1</v>
      </c>
      <c r="G17779" t="n">
        <v>25</v>
      </c>
      <c r="H17779" s="5">
        <f>HYPERLINK("https://api.qogita.com/variants/link/3701436917456/", "View Product")</f>
        <v/>
      </c>
    </row>
    <row r="17780">
      <c r="A17780" t="inlineStr">
        <is>
          <t>3701436917463</t>
        </is>
      </c>
      <c r="B17780" t="inlineStr">
        <is>
          <t>Lierac Body Sculpt Bust Firming Gel 75 Ml</t>
        </is>
      </c>
      <c r="C17780" t="inlineStr">
        <is>
          <t>Anti-Cellulite</t>
        </is>
      </c>
      <c r="D17780" t="inlineStr">
        <is>
          <t>Lierac</t>
        </is>
      </c>
      <c r="E17780" t="n">
        <v>19.04</v>
      </c>
      <c r="F17780" t="n">
        <v>1</v>
      </c>
      <c r="G17780" t="n">
        <v>3</v>
      </c>
      <c r="H17780" s="5">
        <f>HYPERLINK("https://api.qogita.com/variants/link/3701436917463/", "View Product")</f>
        <v/>
      </c>
    </row>
    <row r="17781">
      <c r="A17781" t="inlineStr">
        <is>
          <t>3701436917517</t>
        </is>
      </c>
      <c r="B17781" t="inlineStr">
        <is>
          <t>Lierac Sunissime Sunscreen Milk Spf30 150ml - Protect Your Skin With This Effective Sunscreen</t>
        </is>
      </c>
      <c r="C17781" t="inlineStr">
        <is>
          <t>Body Sun Protection</t>
        </is>
      </c>
      <c r="D17781" t="inlineStr">
        <is>
          <t>Lierac</t>
        </is>
      </c>
      <c r="E17781" t="n">
        <v>21.97</v>
      </c>
      <c r="F17781" t="n">
        <v>1</v>
      </c>
      <c r="G17781" t="n">
        <v>14</v>
      </c>
      <c r="H17781" s="5">
        <f>HYPERLINK("https://api.qogita.com/variants/link/3701436917517/", "View Product")</f>
        <v/>
      </c>
    </row>
    <row r="17782">
      <c r="A17782" t="inlineStr">
        <is>
          <t>3701436917623</t>
        </is>
      </c>
      <c r="B17782" t="inlineStr">
        <is>
          <t>Lierac Nourishing Body Massage Oil Phytolastil 100 Ml</t>
        </is>
      </c>
      <c r="C17782" t="inlineStr">
        <is>
          <t>Body Oil</t>
        </is>
      </c>
      <c r="D17782" t="inlineStr">
        <is>
          <t>Lierac</t>
        </is>
      </c>
      <c r="E17782" t="n">
        <v>15.03</v>
      </c>
      <c r="F17782" t="n">
        <v>1</v>
      </c>
      <c r="G17782" t="n">
        <v>2</v>
      </c>
      <c r="H17782" s="5">
        <f>HYPERLINK("https://api.qogita.com/variants/link/3701436917623/", "View Product")</f>
        <v/>
      </c>
    </row>
    <row r="17783">
      <c r="A17783" t="inlineStr">
        <is>
          <t>3701436917630</t>
        </is>
      </c>
      <c r="B17783" t="inlineStr">
        <is>
          <t>Lierac Phytolastil Solution 100ml Concentrated Care Against Stretch Marks</t>
        </is>
      </c>
      <c r="C17783" t="inlineStr">
        <is>
          <t>Anti-Stretch Mark Cream</t>
        </is>
      </c>
      <c r="D17783" t="inlineStr">
        <is>
          <t>Lierac</t>
        </is>
      </c>
      <c r="E17783" t="n">
        <v>21.94</v>
      </c>
      <c r="F17783" t="n">
        <v>1</v>
      </c>
      <c r="G17783" t="n">
        <v>20</v>
      </c>
      <c r="H17783" s="5">
        <f>HYPERLINK("https://api.qogita.com/variants/link/3701436917630/", "View Product")</f>
        <v/>
      </c>
    </row>
    <row r="17784">
      <c r="A17784" t="inlineStr">
        <is>
          <t>3701436917913</t>
        </is>
      </c>
      <c r="B17784" t="inlineStr">
        <is>
          <t>Lierac Premium The Eye Cream 20ml</t>
        </is>
      </c>
      <c r="C17784" t="inlineStr">
        <is>
          <t>Eye Cream</t>
        </is>
      </c>
      <c r="D17784" t="inlineStr">
        <is>
          <t>Lierac</t>
        </is>
      </c>
      <c r="E17784" t="n">
        <v>32.46</v>
      </c>
      <c r="F17784" t="n">
        <v>1</v>
      </c>
      <c r="G17784" t="n">
        <v>14</v>
      </c>
      <c r="H17784" s="5">
        <f>HYPERLINK("https://api.qogita.com/variants/link/3701436917913/", "View Product")</f>
        <v/>
      </c>
    </row>
    <row r="17785">
      <c r="A17785" t="inlineStr">
        <is>
          <t>3701436919900</t>
        </is>
      </c>
      <c r="B17785" t="inlineStr">
        <is>
          <t>Lierac Body-Nutri Repair Balm 30ml - Nourishing Body Balm</t>
        </is>
      </c>
      <c r="C17785" t="inlineStr">
        <is>
          <t>Body Butter</t>
        </is>
      </c>
      <c r="D17785" t="inlineStr">
        <is>
          <t>Lierac</t>
        </is>
      </c>
      <c r="E17785" t="n">
        <v>7.38</v>
      </c>
      <c r="F17785" t="n">
        <v>1</v>
      </c>
      <c r="G17785" t="n">
        <v>4</v>
      </c>
      <c r="H17785" s="5">
        <f>HYPERLINK("https://api.qogita.com/variants/link/3701436919900/", "View Product")</f>
        <v/>
      </c>
    </row>
    <row r="17786">
      <c r="A17786" t="inlineStr">
        <is>
          <t>3701436926281</t>
        </is>
      </c>
      <c r="B17786" t="inlineStr">
        <is>
          <t>Lierac Tinted Stick Against Pigment Spots Protocol Anti-Dark Spots Spf 50 - 2.7 G</t>
        </is>
      </c>
      <c r="C17786" t="inlineStr">
        <is>
          <t>Anti-Pigmentation Spot Cream</t>
        </is>
      </c>
      <c r="D17786" t="inlineStr">
        <is>
          <t>Lierac</t>
        </is>
      </c>
      <c r="E17786" t="n">
        <v>14.58</v>
      </c>
      <c r="F17786" t="n">
        <v>1</v>
      </c>
      <c r="G17786" t="n">
        <v>2</v>
      </c>
      <c r="H17786" s="5">
        <f>HYPERLINK("https://api.qogita.com/variants/link/3701436926281/", "View Product")</f>
        <v/>
      </c>
    </row>
    <row r="17787">
      <c r="A17787" t="inlineStr">
        <is>
          <t>3701436927516</t>
        </is>
      </c>
      <c r="B17787" t="inlineStr">
        <is>
          <t>Lierac Lift Integral Firming Day Cream 50ml + Eye Lift Patches</t>
        </is>
      </c>
      <c r="C17787" t="inlineStr">
        <is>
          <t>Facial Care Sets</t>
        </is>
      </c>
      <c r="D17787" t="inlineStr">
        <is>
          <t>Lierac</t>
        </is>
      </c>
      <c r="E17787" t="n">
        <v>35.04</v>
      </c>
      <c r="F17787" t="n">
        <v>1</v>
      </c>
      <c r="G17787" t="n">
        <v>7</v>
      </c>
      <c r="H17787" s="5">
        <f>HYPERLINK("https://api.qogita.com/variants/link/3701436927516/", "View Product")</f>
        <v/>
      </c>
    </row>
    <row r="17788">
      <c r="A17788" t="inlineStr">
        <is>
          <t>3701436927585</t>
        </is>
      </c>
      <c r="B17788" t="inlineStr">
        <is>
          <t>Lierac Hydragenist Moisturizing Radiance Cream Set 2 Pieces</t>
        </is>
      </c>
      <c r="C17788" t="inlineStr">
        <is>
          <t>Facial Care Sets</t>
        </is>
      </c>
      <c r="D17788" t="inlineStr">
        <is>
          <t>Lierac</t>
        </is>
      </c>
      <c r="E17788" t="n">
        <v>28.19</v>
      </c>
      <c r="F17788" t="n">
        <v>1</v>
      </c>
      <c r="G17788" t="n">
        <v>16</v>
      </c>
      <c r="H17788" s="5">
        <f>HYPERLINK("https://api.qogita.com/variants/link/3701436927585/", "View Product")</f>
        <v/>
      </c>
    </row>
    <row r="17789">
      <c r="A17789" t="inlineStr">
        <is>
          <t>3756241853628</t>
        </is>
      </c>
      <c r="B17789" t="inlineStr">
        <is>
          <t>Royal Collection Unstoppable Eau De Parfum</t>
        </is>
      </c>
      <c r="C17789" t="inlineStr">
        <is>
          <t>Eau De Parfum</t>
        </is>
      </c>
      <c r="D17789" t="inlineStr">
        <is>
          <t>Royal Collection</t>
        </is>
      </c>
      <c r="E17789" t="n">
        <v>12.57</v>
      </c>
      <c r="F17789" t="n">
        <v>1</v>
      </c>
      <c r="G17789" t="n">
        <v>6</v>
      </c>
      <c r="H17789" s="5">
        <f>HYPERLINK("https://api.qogita.com/variants/link/3756241853628/", "View Product")</f>
        <v/>
      </c>
    </row>
    <row r="17790">
      <c r="A17790" t="inlineStr">
        <is>
          <t>3760004321767</t>
        </is>
      </c>
      <c r="B17790" t="inlineStr">
        <is>
          <t>Pascal Morabito Aimer Eau de Parfum 100ml for Women</t>
        </is>
      </c>
      <c r="C17790" t="inlineStr">
        <is>
          <t>Eau De Parfum</t>
        </is>
      </c>
      <c r="D17790" t="inlineStr">
        <is>
          <t>Pascal Morabito</t>
        </is>
      </c>
      <c r="E17790" t="n">
        <v>16.33</v>
      </c>
      <c r="F17790" t="n">
        <v>1</v>
      </c>
      <c r="G17790" t="n">
        <v>4</v>
      </c>
      <c r="H17790" s="5">
        <f>HYPERLINK("https://api.qogita.com/variants/link/3760004321767/", "View Product")</f>
        <v/>
      </c>
    </row>
    <row r="17791">
      <c r="A17791" t="inlineStr">
        <is>
          <t>3760004322016</t>
        </is>
      </c>
      <c r="B17791" t="inlineStr">
        <is>
          <t>Pascal Morabito Perle Royale for Women Eau de Parfum Spray 100ml</t>
        </is>
      </c>
      <c r="C17791" t="inlineStr">
        <is>
          <t>Eau De Parfum</t>
        </is>
      </c>
      <c r="D17791" t="inlineStr">
        <is>
          <t>Pascal Morabito</t>
        </is>
      </c>
      <c r="E17791" t="n">
        <v>12.98</v>
      </c>
      <c r="F17791" t="n">
        <v>1</v>
      </c>
      <c r="G17791" t="n">
        <v>11</v>
      </c>
      <c r="H17791" s="5">
        <f>HYPERLINK("https://api.qogita.com/variants/link/3760004322016/", "View Product")</f>
        <v/>
      </c>
    </row>
    <row r="17792">
      <c r="A17792" t="inlineStr">
        <is>
          <t>3760004322276</t>
        </is>
      </c>
      <c r="B17792" t="inlineStr">
        <is>
          <t>Pascal Morabito Pure Essence for Men 3.3 Oz EDT Spray</t>
        </is>
      </c>
      <c r="C17792" t="inlineStr">
        <is>
          <t>Eau De Toilette</t>
        </is>
      </c>
      <c r="D17792" t="inlineStr">
        <is>
          <t>Pascal Morabito</t>
        </is>
      </c>
      <c r="E17792" t="n">
        <v>7.08</v>
      </c>
      <c r="F17792" t="n">
        <v>1</v>
      </c>
      <c r="G17792" t="n">
        <v>23</v>
      </c>
      <c r="H17792" s="5">
        <f>HYPERLINK("https://api.qogita.com/variants/link/3760004322276/", "View Product")</f>
        <v/>
      </c>
    </row>
    <row r="17793">
      <c r="A17793" t="inlineStr">
        <is>
          <t>3760019120515</t>
        </is>
      </c>
      <c r="B17793" t="inlineStr">
        <is>
          <t>Moisturizing Anti-Aging Cream 50 ml</t>
        </is>
      </c>
      <c r="C17793" t="inlineStr">
        <is>
          <t>Anti-Aging Facial Care</t>
        </is>
      </c>
      <c r="D17793" t="inlineStr">
        <is>
          <t>Soskin Paris</t>
        </is>
      </c>
      <c r="E17793" t="n">
        <v>26.72</v>
      </c>
      <c r="F17793" t="n">
        <v>1</v>
      </c>
      <c r="G17793" t="n">
        <v>2</v>
      </c>
      <c r="H17793" s="5">
        <f>HYPERLINK("https://api.qogita.com/variants/link/3760019120515/", "View Product")</f>
        <v/>
      </c>
    </row>
    <row r="17794">
      <c r="A17794" t="inlineStr">
        <is>
          <t>3760022730213</t>
        </is>
      </c>
      <c r="B17794" t="inlineStr">
        <is>
          <t>Juliette Has A Gun Into The Void Eau De Parfum Spray 75ml</t>
        </is>
      </c>
      <c r="C17794" t="inlineStr">
        <is>
          <t>Eau De Parfum</t>
        </is>
      </c>
      <c r="D17794" t="inlineStr">
        <is>
          <t>Juliette has a gun</t>
        </is>
      </c>
      <c r="E17794" t="n">
        <v>93.70999999999999</v>
      </c>
      <c r="F17794" t="n">
        <v>1</v>
      </c>
      <c r="G17794" t="n">
        <v>7</v>
      </c>
      <c r="H17794" s="5">
        <f>HYPERLINK("https://api.qogita.com/variants/link/3760022730213/", "View Product")</f>
        <v/>
      </c>
    </row>
    <row r="17795">
      <c r="A17795" t="inlineStr">
        <is>
          <t>3760022730664</t>
        </is>
      </c>
      <c r="B17795" t="inlineStr">
        <is>
          <t>Juliette Has A Gun Moscow Mule Eau De Parfum 100ml</t>
        </is>
      </c>
      <c r="C17795" t="inlineStr">
        <is>
          <t>Eau De Parfum</t>
        </is>
      </c>
      <c r="D17795" t="inlineStr">
        <is>
          <t>Juliette has a gun</t>
        </is>
      </c>
      <c r="E17795" t="n">
        <v>45.74</v>
      </c>
      <c r="F17795" t="n">
        <v>1</v>
      </c>
      <c r="G17795" t="n">
        <v>22</v>
      </c>
      <c r="H17795" s="5">
        <f>HYPERLINK("https://api.qogita.com/variants/link/3760022730664/", "View Product")</f>
        <v/>
      </c>
    </row>
    <row r="17796">
      <c r="A17796" t="inlineStr">
        <is>
          <t>3760022730671</t>
        </is>
      </c>
      <c r="B17796" t="inlineStr">
        <is>
          <t>Juliette Has A Gun Moscow Mule Eau De Parfum 51ml</t>
        </is>
      </c>
      <c r="C17796" t="inlineStr">
        <is>
          <t>Eau De Parfum</t>
        </is>
      </c>
      <c r="D17796" t="inlineStr">
        <is>
          <t>Juliette has a gun</t>
        </is>
      </c>
      <c r="E17796" t="n">
        <v>38</v>
      </c>
      <c r="F17796" t="n">
        <v>1</v>
      </c>
      <c r="G17796" t="n">
        <v>31</v>
      </c>
      <c r="H17796" s="5">
        <f>HYPERLINK("https://api.qogita.com/variants/link/3760022730671/", "View Product")</f>
        <v/>
      </c>
    </row>
    <row r="17797">
      <c r="A17797" t="inlineStr">
        <is>
          <t>3760022731753</t>
        </is>
      </c>
      <c r="B17797" t="inlineStr">
        <is>
          <t>Juliette Has A Gun Lipstick Fever Eau De Parfum Spray 100ml</t>
        </is>
      </c>
      <c r="C17797" t="inlineStr">
        <is>
          <t>Eau De Parfum</t>
        </is>
      </c>
      <c r="D17797" t="inlineStr">
        <is>
          <t>Juliette has a gun</t>
        </is>
      </c>
      <c r="E17797" t="n">
        <v>49.2</v>
      </c>
      <c r="F17797" t="n">
        <v>1</v>
      </c>
      <c r="G17797" t="n">
        <v>33</v>
      </c>
      <c r="H17797" s="5">
        <f>HYPERLINK("https://api.qogita.com/variants/link/3760022731753/", "View Product")</f>
        <v/>
      </c>
    </row>
    <row r="17798">
      <c r="A17798" t="inlineStr">
        <is>
          <t>3760027140031</t>
        </is>
      </c>
      <c r="B17798" t="inlineStr">
        <is>
          <t>Eau De Parfum Spray Unisex 3.3 Oz</t>
        </is>
      </c>
      <c r="C17798" t="inlineStr">
        <is>
          <t>Eau De Parfum</t>
        </is>
      </c>
      <c r="D17798" t="inlineStr">
        <is>
          <t>Atelier Cologne</t>
        </is>
      </c>
      <c r="E17798" t="n">
        <v>103.76</v>
      </c>
      <c r="F17798" t="n">
        <v>1</v>
      </c>
      <c r="G17798" t="n">
        <v>4</v>
      </c>
      <c r="H17798" s="5">
        <f>HYPERLINK("https://api.qogita.com/variants/link/3760027140031/", "View Product")</f>
        <v/>
      </c>
    </row>
    <row r="17799">
      <c r="A17799" t="inlineStr">
        <is>
          <t>3760027140598</t>
        </is>
      </c>
      <c r="B17799" t="inlineStr">
        <is>
          <t>Atelier Des Ors Rose Omeyyade Extrait - Unisex Fragrance</t>
        </is>
      </c>
      <c r="C17799" t="inlineStr">
        <is>
          <t>Extrait De Parfum</t>
        </is>
      </c>
      <c r="D17799" t="inlineStr">
        <is>
          <t>Atelier Des Ors</t>
        </is>
      </c>
      <c r="E17799" t="n">
        <v>176.04</v>
      </c>
      <c r="F17799" t="n">
        <v>1</v>
      </c>
      <c r="G17799" t="n">
        <v>4</v>
      </c>
      <c r="H17799" s="5">
        <f>HYPERLINK("https://api.qogita.com/variants/link/3760027140598/", "View Product")</f>
        <v/>
      </c>
    </row>
    <row r="17800">
      <c r="A17800" t="inlineStr">
        <is>
          <t>3760033635446</t>
        </is>
      </c>
      <c r="B17800" t="inlineStr">
        <is>
          <t>The Different Company Limon De Cordoza Eau De Toilette 100ml Unisex Spray</t>
        </is>
      </c>
      <c r="C17800" t="inlineStr">
        <is>
          <t>Eau De Toilette</t>
        </is>
      </c>
      <c r="D17800" t="inlineStr">
        <is>
          <t>The Different Company</t>
        </is>
      </c>
      <c r="E17800" t="n">
        <v>55.74</v>
      </c>
      <c r="F17800" t="n">
        <v>1</v>
      </c>
      <c r="G17800" t="n">
        <v>3</v>
      </c>
      <c r="H17800" s="5">
        <f>HYPERLINK("https://api.qogita.com/variants/link/3760033635446/", "View Product")</f>
        <v/>
      </c>
    </row>
    <row r="17801">
      <c r="A17801" t="inlineStr">
        <is>
          <t>3760033639239</t>
        </is>
      </c>
      <c r="B17801" t="inlineStr">
        <is>
          <t>The Different Company Al Sahra Eau De Parfum 100ml</t>
        </is>
      </c>
      <c r="C17801" t="inlineStr">
        <is>
          <t>Eau De Parfum</t>
        </is>
      </c>
      <c r="D17801" t="inlineStr">
        <is>
          <t>The Different Company</t>
        </is>
      </c>
      <c r="E17801" t="n">
        <v>90.95999999999999</v>
      </c>
      <c r="F17801" t="n">
        <v>1</v>
      </c>
      <c r="G17801" t="n">
        <v>3</v>
      </c>
      <c r="H17801" s="5">
        <f>HYPERLINK("https://api.qogita.com/variants/link/3760033639239/", "View Product")</f>
        <v/>
      </c>
    </row>
    <row r="17802">
      <c r="A17802" t="inlineStr">
        <is>
          <t>3760035450047</t>
        </is>
      </c>
      <c r="B17802" t="inlineStr">
        <is>
          <t>BDK Parfums Oud Abramad Eau De Parfum 100ml Unisex</t>
        </is>
      </c>
      <c r="C17802" t="inlineStr">
        <is>
          <t>Eau De Parfum</t>
        </is>
      </c>
      <c r="D17802" t="inlineStr">
        <is>
          <t>Bdk Parfums</t>
        </is>
      </c>
      <c r="E17802" t="n">
        <v>107.43</v>
      </c>
      <c r="F17802" t="n">
        <v>1</v>
      </c>
      <c r="G17802" t="n">
        <v>12</v>
      </c>
      <c r="H17802" s="5">
        <f>HYPERLINK("https://api.qogita.com/variants/link/3760035450047/", "View Product")</f>
        <v/>
      </c>
    </row>
    <row r="17803">
      <c r="A17803" t="inlineStr">
        <is>
          <t>3760035451280</t>
        </is>
      </c>
      <c r="B17803" t="inlineStr">
        <is>
          <t>Other Brands Bdk Parfums Rouge Smoking Extrait De Parfum - 100ml</t>
        </is>
      </c>
      <c r="C17803" t="inlineStr">
        <is>
          <t>Extrait De Parfum</t>
        </is>
      </c>
      <c r="D17803" t="inlineStr">
        <is>
          <t>Bdk Parfums</t>
        </is>
      </c>
      <c r="E17803" t="n">
        <v>177.04</v>
      </c>
      <c r="F17803" t="n">
        <v>1</v>
      </c>
      <c r="G17803" t="n">
        <v>130</v>
      </c>
      <c r="H17803" s="5">
        <f>HYPERLINK("https://api.qogita.com/variants/link/3760035451280/", "View Product")</f>
        <v/>
      </c>
    </row>
    <row r="17804">
      <c r="A17804" t="inlineStr">
        <is>
          <t>3760040113012</t>
        </is>
      </c>
      <c r="B17804" t="inlineStr">
        <is>
          <t>Chantal Thomass Pink for Women 3.3 Oz EDP Spray 97.59ml</t>
        </is>
      </c>
      <c r="C17804" t="inlineStr">
        <is>
          <t>Eau De Parfum</t>
        </is>
      </c>
      <c r="D17804" t="inlineStr">
        <is>
          <t>Chantal Thomass</t>
        </is>
      </c>
      <c r="E17804" t="n">
        <v>10.89</v>
      </c>
      <c r="F17804" t="n">
        <v>1</v>
      </c>
      <c r="G17804" t="n">
        <v>8</v>
      </c>
      <c r="H17804" s="5">
        <f>HYPERLINK("https://api.qogita.com/variants/link/3760040113012/", "View Product")</f>
        <v/>
      </c>
    </row>
    <row r="17805">
      <c r="A17805" t="inlineStr">
        <is>
          <t>3760048795661</t>
        </is>
      </c>
      <c r="B17805" t="inlineStr">
        <is>
          <t>Mauboussin Promise Me Eau de Parfum for Women Chypre &amp; Modern Scents 90ml</t>
        </is>
      </c>
      <c r="C17805" t="inlineStr">
        <is>
          <t>Eau De Parfum</t>
        </is>
      </c>
      <c r="D17805" t="inlineStr">
        <is>
          <t>Mauboussin</t>
        </is>
      </c>
      <c r="E17805" t="n">
        <v>26.85</v>
      </c>
      <c r="F17805" t="n">
        <v>1</v>
      </c>
      <c r="G17805" t="n">
        <v>3</v>
      </c>
      <c r="H17805" s="5">
        <f>HYPERLINK("https://api.qogita.com/variants/link/3760048795661/", "View Product")</f>
        <v/>
      </c>
    </row>
    <row r="17806">
      <c r="A17806" t="inlineStr">
        <is>
          <t>3760048796101</t>
        </is>
      </c>
      <c r="B17806" t="inlineStr">
        <is>
          <t>Mauboussin Eau De Parfum Spray 100ml By Mauboussin</t>
        </is>
      </c>
      <c r="C17806" t="inlineStr">
        <is>
          <t>Eau De Parfum</t>
        </is>
      </c>
      <c r="D17806" t="inlineStr">
        <is>
          <t>Mauboussin</t>
        </is>
      </c>
      <c r="E17806" t="n">
        <v>19.24</v>
      </c>
      <c r="F17806" t="n">
        <v>1</v>
      </c>
      <c r="G17806" t="n">
        <v>3</v>
      </c>
      <c r="H17806" s="5">
        <f>HYPERLINK("https://api.qogita.com/variants/link/3760048796101/", "View Product")</f>
        <v/>
      </c>
    </row>
    <row r="17807">
      <c r="A17807" t="inlineStr">
        <is>
          <t>3760048798259</t>
        </is>
      </c>
      <c r="B17807" t="inlineStr">
        <is>
          <t>Mauboussin Promise Me Body Mist Set: Promise Me Mist, Promise Me Flower Mist, Promise Me Intense Mist</t>
        </is>
      </c>
      <c r="C17807" t="inlineStr">
        <is>
          <t>Fragrance Sets</t>
        </is>
      </c>
      <c r="D17807" t="inlineStr">
        <is>
          <t>Mauboussin</t>
        </is>
      </c>
      <c r="E17807" t="n">
        <v>15.81</v>
      </c>
      <c r="F17807" t="n">
        <v>1</v>
      </c>
      <c r="G17807" t="n">
        <v>2</v>
      </c>
      <c r="H17807" s="5">
        <f>HYPERLINK("https://api.qogita.com/variants/link/3760048798259/", "View Product")</f>
        <v/>
      </c>
    </row>
    <row r="17808">
      <c r="A17808" t="inlineStr">
        <is>
          <t>3760060762160</t>
        </is>
      </c>
      <c r="B17808" t="inlineStr">
        <is>
          <t>Borouj Gravity Unisex Perfume 85ml - Agarwood and Vanilla</t>
        </is>
      </c>
      <c r="C17808" t="inlineStr">
        <is>
          <t>Eau De Parfum</t>
        </is>
      </c>
      <c r="D17808" t="inlineStr">
        <is>
          <t>Dumont</t>
        </is>
      </c>
      <c r="E17808" t="n">
        <v>37.79</v>
      </c>
      <c r="F17808" t="n">
        <v>1</v>
      </c>
      <c r="G17808" t="n">
        <v>3</v>
      </c>
      <c r="H17808" s="5">
        <f>HYPERLINK("https://api.qogita.com/variants/link/3760060762160/", "View Product")</f>
        <v/>
      </c>
    </row>
    <row r="17809">
      <c r="A17809" t="inlineStr">
        <is>
          <t>3760060778130</t>
        </is>
      </c>
      <c r="B17809" t="inlineStr">
        <is>
          <t>M Micallef Ylang In Gold Eau De Parfum 100ml For Women</t>
        </is>
      </c>
      <c r="C17809" t="inlineStr">
        <is>
          <t>Eau De Parfum</t>
        </is>
      </c>
      <c r="D17809" t="inlineStr">
        <is>
          <t>M. Micallef</t>
        </is>
      </c>
      <c r="E17809" t="n">
        <v>120.58</v>
      </c>
      <c r="F17809" t="n">
        <v>1</v>
      </c>
      <c r="G17809" t="n">
        <v>3</v>
      </c>
      <c r="H17809" s="5">
        <f>HYPERLINK("https://api.qogita.com/variants/link/3760060778130/", "View Product")</f>
        <v/>
      </c>
    </row>
    <row r="17810">
      <c r="A17810" t="inlineStr">
        <is>
          <t>3760060779083</t>
        </is>
      </c>
      <c r="B17810" t="inlineStr">
        <is>
          <t>M.Micallef Royal Vintage Men Eau De Parfum Spray 100ml</t>
        </is>
      </c>
      <c r="C17810" t="inlineStr">
        <is>
          <t>Eau De Parfum</t>
        </is>
      </c>
      <c r="D17810" t="inlineStr">
        <is>
          <t>M. Micallef</t>
        </is>
      </c>
      <c r="E17810" t="n">
        <v>111.86</v>
      </c>
      <c r="F17810" t="n">
        <v>1</v>
      </c>
      <c r="G17810" t="n">
        <v>3</v>
      </c>
      <c r="H17810" s="5">
        <f>HYPERLINK("https://api.qogita.com/variants/link/3760060779083/", "View Product")</f>
        <v/>
      </c>
    </row>
    <row r="17811">
      <c r="A17811" t="inlineStr">
        <is>
          <t>3760095250410</t>
        </is>
      </c>
      <c r="B17811" t="inlineStr">
        <is>
          <t>ACM Novophane Energizing Shampoo</t>
        </is>
      </c>
      <c r="C17811" t="inlineStr">
        <is>
          <t>Shampoo</t>
        </is>
      </c>
      <c r="D17811" t="inlineStr">
        <is>
          <t>Mac Tools</t>
        </is>
      </c>
      <c r="E17811" t="n">
        <v>9.24</v>
      </c>
      <c r="F17811" t="n">
        <v>1</v>
      </c>
      <c r="G17811" t="n">
        <v>7</v>
      </c>
      <c r="H17811" s="5">
        <f>HYPERLINK("https://api.qogita.com/variants/link/3760095250410/", "View Product")</f>
        <v/>
      </c>
    </row>
    <row r="17812">
      <c r="A17812" t="inlineStr">
        <is>
          <t>3760167021047</t>
        </is>
      </c>
      <c r="B17812" t="inlineStr">
        <is>
          <t>Kilian Straight to Heaven EDP Vapo 50ml</t>
        </is>
      </c>
      <c r="C17812" t="inlineStr">
        <is>
          <t>Eau De Parfum</t>
        </is>
      </c>
      <c r="D17812" t="inlineStr">
        <is>
          <t>Kilian</t>
        </is>
      </c>
      <c r="E17812" t="n">
        <v>215.76</v>
      </c>
      <c r="F17812" t="n">
        <v>1</v>
      </c>
      <c r="G17812" t="n">
        <v>2</v>
      </c>
      <c r="H17812" s="5">
        <f>HYPERLINK("https://api.qogita.com/variants/link/3760167021047/", "View Product")</f>
        <v/>
      </c>
    </row>
    <row r="17813">
      <c r="A17813" t="inlineStr">
        <is>
          <t>3760168590016</t>
        </is>
      </c>
      <c r="B17813" t="inlineStr">
        <is>
          <t>Etat Libre D'Oranger Divin' Enfant Eau De Parfum 50ml</t>
        </is>
      </c>
      <c r="C17813" t="inlineStr">
        <is>
          <t>Eau De Parfum</t>
        </is>
      </c>
      <c r="D17813" t="inlineStr">
        <is>
          <t>Etat Libre D'Orange</t>
        </is>
      </c>
      <c r="E17813" t="n">
        <v>49.01</v>
      </c>
      <c r="F17813" t="n">
        <v>1</v>
      </c>
      <c r="G17813" t="n">
        <v>5</v>
      </c>
      <c r="H17813" s="5">
        <f>HYPERLINK("https://api.qogita.com/variants/link/3760168590016/", "View Product")</f>
        <v/>
      </c>
    </row>
    <row r="17814">
      <c r="A17814" t="inlineStr">
        <is>
          <t>3760168590672</t>
        </is>
      </c>
      <c r="B17814" t="inlineStr">
        <is>
          <t>Etat Libre D'Orange Unisex Parfum Archives 69 1.7 Oz</t>
        </is>
      </c>
      <c r="C17814" t="inlineStr">
        <is>
          <t>Eau De Parfum</t>
        </is>
      </c>
      <c r="D17814" t="inlineStr">
        <is>
          <t>Etat Libre D'Orange</t>
        </is>
      </c>
      <c r="E17814" t="n">
        <v>47.21</v>
      </c>
      <c r="F17814" t="n">
        <v>1</v>
      </c>
      <c r="G17814" t="n">
        <v>10</v>
      </c>
      <c r="H17814" s="5">
        <f>HYPERLINK("https://api.qogita.com/variants/link/3760168590672/", "View Product")</f>
        <v/>
      </c>
    </row>
    <row r="17815">
      <c r="A17815" t="inlineStr">
        <is>
          <t>3760168591044</t>
        </is>
      </c>
      <c r="B17815" t="inlineStr">
        <is>
          <t>Etat Libre D'Orange Fils De Dieu Eau De Parfum 50ml Unisex Spray</t>
        </is>
      </c>
      <c r="C17815" t="inlineStr">
        <is>
          <t>Eau De Parfum</t>
        </is>
      </c>
      <c r="D17815" t="inlineStr">
        <is>
          <t>Etat Libre D'Orange</t>
        </is>
      </c>
      <c r="E17815" t="n">
        <v>55.58</v>
      </c>
      <c r="F17815" t="n">
        <v>1</v>
      </c>
      <c r="G17815" t="n">
        <v>2</v>
      </c>
      <c r="H17815" s="5">
        <f>HYPERLINK("https://api.qogita.com/variants/link/3760168591044/", "View Product")</f>
        <v/>
      </c>
    </row>
    <row r="17816">
      <c r="A17816" t="inlineStr">
        <is>
          <t>3760168591150</t>
        </is>
      </c>
      <c r="B17816" t="inlineStr">
        <is>
          <t>Etat Libre D'Orange La Fin De Monde Eau De Parfum 100ml Unisex Spray</t>
        </is>
      </c>
      <c r="C17816" t="inlineStr">
        <is>
          <t>Eau De Parfum</t>
        </is>
      </c>
      <c r="D17816" t="inlineStr">
        <is>
          <t>Etat Libre D'Orange</t>
        </is>
      </c>
      <c r="E17816" t="n">
        <v>64.11</v>
      </c>
      <c r="F17816" t="n">
        <v>1</v>
      </c>
      <c r="G17816" t="n">
        <v>10</v>
      </c>
      <c r="H17816" s="5">
        <f>HYPERLINK("https://api.qogita.com/variants/link/3760168591150/", "View Product")</f>
        <v/>
      </c>
    </row>
    <row r="17817">
      <c r="A17817" t="inlineStr">
        <is>
          <t>3760168591273</t>
        </is>
      </c>
      <c r="B17817" t="inlineStr">
        <is>
          <t>Etat Libre D'Orange Remarkable People Unisex Eau De Parfum Spray 50ml</t>
        </is>
      </c>
      <c r="C17817" t="inlineStr">
        <is>
          <t>Eau De Parfum</t>
        </is>
      </c>
      <c r="D17817" t="inlineStr">
        <is>
          <t>Etat Libre D'Orange</t>
        </is>
      </c>
      <c r="E17817" t="n">
        <v>46.36</v>
      </c>
      <c r="F17817" t="n">
        <v>1</v>
      </c>
      <c r="G17817" t="n">
        <v>5</v>
      </c>
      <c r="H17817" s="5">
        <f>HYPERLINK("https://api.qogita.com/variants/link/3760168591273/", "View Product")</f>
        <v/>
      </c>
    </row>
    <row r="17818">
      <c r="A17818" t="inlineStr">
        <is>
          <t>3760168591716</t>
        </is>
      </c>
      <c r="B17818" t="inlineStr">
        <is>
          <t>Etat Libre D'Orange Don't Get Me Wrong Baby Yes I Do Eau De Parfum Spray 100ml</t>
        </is>
      </c>
      <c r="C17818" t="inlineStr">
        <is>
          <t>Eau De Parfum</t>
        </is>
      </c>
      <c r="D17818" t="inlineStr">
        <is>
          <t>Etat Libre D'Orange</t>
        </is>
      </c>
      <c r="E17818" t="n">
        <v>63.67</v>
      </c>
      <c r="F17818" t="n">
        <v>1</v>
      </c>
      <c r="G17818" t="n">
        <v>3</v>
      </c>
      <c r="H17818" s="5">
        <f>HYPERLINK("https://api.qogita.com/variants/link/3760168591716/", "View Product")</f>
        <v/>
      </c>
    </row>
    <row r="17819">
      <c r="A17819" t="inlineStr">
        <is>
          <t>3760168591884</t>
        </is>
      </c>
      <c r="B17819" t="inlineStr">
        <is>
          <t>Roland Mouret Une Amourette Eau De Parfum Spray 50ml</t>
        </is>
      </c>
      <c r="C17819" t="inlineStr">
        <is>
          <t>Eau De Parfum</t>
        </is>
      </c>
      <c r="D17819" t="inlineStr">
        <is>
          <t>Roland Mouret</t>
        </is>
      </c>
      <c r="E17819" t="n">
        <v>48.93</v>
      </c>
      <c r="F17819" t="n">
        <v>1</v>
      </c>
      <c r="G17819" t="n">
        <v>4</v>
      </c>
      <c r="H17819" s="5">
        <f>HYPERLINK("https://api.qogita.com/variants/link/3760168591884/", "View Product")</f>
        <v/>
      </c>
    </row>
    <row r="17820">
      <c r="A17820" t="inlineStr">
        <is>
          <t>3760168591990</t>
        </is>
      </c>
      <c r="B17820" t="inlineStr">
        <is>
          <t>Etat Libre D'Orange Exit The King Eau De Toilette 100ml</t>
        </is>
      </c>
      <c r="C17820" t="inlineStr">
        <is>
          <t>Eau De Toilette</t>
        </is>
      </c>
      <c r="D17820" t="inlineStr">
        <is>
          <t>Etat Libre D'Orange</t>
        </is>
      </c>
      <c r="E17820" t="n">
        <v>69.68000000000001</v>
      </c>
      <c r="F17820" t="n">
        <v>1</v>
      </c>
      <c r="G17820" t="n">
        <v>3</v>
      </c>
      <c r="H17820" s="5">
        <f>HYPERLINK("https://api.qogita.com/variants/link/3760168591990/", "View Product")</f>
        <v/>
      </c>
    </row>
    <row r="17821">
      <c r="A17821" t="inlineStr">
        <is>
          <t>3760168592089</t>
        </is>
      </c>
      <c r="B17821" t="inlineStr">
        <is>
          <t>Etat Libre d'Orange I Am Trash Eau de Parfum 50ml Original</t>
        </is>
      </c>
      <c r="C17821" t="inlineStr">
        <is>
          <t>Eau De Parfum</t>
        </is>
      </c>
      <c r="D17821" t="inlineStr">
        <is>
          <t>Etat Libre D'Orange</t>
        </is>
      </c>
      <c r="E17821" t="n">
        <v>46.05</v>
      </c>
      <c r="F17821" t="n">
        <v>1</v>
      </c>
      <c r="G17821" t="n">
        <v>7</v>
      </c>
      <c r="H17821" s="5">
        <f>HYPERLINK("https://api.qogita.com/variants/link/3760168592089/", "View Product")</f>
        <v/>
      </c>
    </row>
    <row r="17822">
      <c r="A17822" t="inlineStr">
        <is>
          <t>3760168592539</t>
        </is>
      </c>
      <c r="B17822" t="inlineStr">
        <is>
          <t>Etat Libre D'Orange The Ghost In The Shell Eau De Parfum Unisex 100ml</t>
        </is>
      </c>
      <c r="C17822" t="inlineStr">
        <is>
          <t>Eau De Parfum</t>
        </is>
      </c>
      <c r="D17822" t="inlineStr">
        <is>
          <t>Etat Libre D'Orange</t>
        </is>
      </c>
      <c r="E17822" t="n">
        <v>69.81</v>
      </c>
      <c r="F17822" t="n">
        <v>1</v>
      </c>
      <c r="G17822" t="n">
        <v>7</v>
      </c>
      <c r="H17822" s="5">
        <f>HYPERLINK("https://api.qogita.com/variants/link/3760168592539/", "View Product")</f>
        <v/>
      </c>
    </row>
    <row r="17823">
      <c r="A17823" t="inlineStr">
        <is>
          <t>3760168592737</t>
        </is>
      </c>
      <c r="B17823" t="inlineStr">
        <is>
          <t>Etat Libre D'Orange Sous Le Pont Mirabeau Eau De Parfum Spray 50ml</t>
        </is>
      </c>
      <c r="C17823" t="inlineStr">
        <is>
          <t>Eau De Parfum</t>
        </is>
      </c>
      <c r="D17823" t="inlineStr">
        <is>
          <t>Etat Libre D'Orange</t>
        </is>
      </c>
      <c r="E17823" t="n">
        <v>53.37</v>
      </c>
      <c r="F17823" t="n">
        <v>1</v>
      </c>
      <c r="G17823" t="n">
        <v>2</v>
      </c>
      <c r="H17823" s="5">
        <f>HYPERLINK("https://api.qogita.com/variants/link/3760168592737/", "View Product")</f>
        <v/>
      </c>
    </row>
    <row r="17824">
      <c r="A17824" t="inlineStr">
        <is>
          <t>3760168593666</t>
        </is>
      </c>
      <c r="B17824" t="inlineStr">
        <is>
          <t>Etat Libre D'Orange Story Of Your Life Eau De Parfum 50ml</t>
        </is>
      </c>
      <c r="C17824" t="inlineStr">
        <is>
          <t>Eau De Parfum</t>
        </is>
      </c>
      <c r="D17824" t="inlineStr">
        <is>
          <t>Etat Libre D'Orange</t>
        </is>
      </c>
      <c r="E17824" t="n">
        <v>47.14</v>
      </c>
      <c r="F17824" t="n">
        <v>1</v>
      </c>
      <c r="G17824" t="n">
        <v>2</v>
      </c>
      <c r="H17824" s="5">
        <f>HYPERLINK("https://api.qogita.com/variants/link/3760168593666/", "View Product")</f>
        <v/>
      </c>
    </row>
    <row r="17825">
      <c r="A17825" t="inlineStr">
        <is>
          <t>3760213761354</t>
        </is>
      </c>
      <c r="B17825" t="inlineStr">
        <is>
          <t>Laurent Mazzone Radikal Jasmine Extrait De Parfum</t>
        </is>
      </c>
      <c r="C17825" t="inlineStr">
        <is>
          <t>Extrait De Parfum</t>
        </is>
      </c>
      <c r="D17825" t="inlineStr">
        <is>
          <t>Laurent Mazzone</t>
        </is>
      </c>
      <c r="E17825" t="n">
        <v>147.73</v>
      </c>
      <c r="F17825" t="n">
        <v>1</v>
      </c>
      <c r="G17825" t="n">
        <v>2</v>
      </c>
      <c r="H17825" s="5">
        <f>HYPERLINK("https://api.qogita.com/variants/link/3760213761354/", "View Product")</f>
        <v/>
      </c>
    </row>
    <row r="17826">
      <c r="A17826" t="inlineStr">
        <is>
          <t>3760231013282</t>
        </is>
      </c>
      <c r="B17826" t="inlineStr">
        <is>
          <t>M Micallef Red Colorado Eau De Parfum 100ml For Men</t>
        </is>
      </c>
      <c r="C17826" t="inlineStr">
        <is>
          <t>Eau De Parfum</t>
        </is>
      </c>
      <c r="D17826" t="inlineStr">
        <is>
          <t>M. Micallef</t>
        </is>
      </c>
      <c r="E17826" t="n">
        <v>93.34999999999999</v>
      </c>
      <c r="F17826" t="n">
        <v>1</v>
      </c>
      <c r="G17826" t="n">
        <v>4</v>
      </c>
      <c r="H17826" s="5">
        <f>HYPERLINK("https://api.qogita.com/variants/link/3760231013282/", "View Product")</f>
        <v/>
      </c>
    </row>
    <row r="17827">
      <c r="A17827" t="inlineStr">
        <is>
          <t>3760240890669</t>
        </is>
      </c>
      <c r="B17827" t="inlineStr">
        <is>
          <t>Eau De Parfum Spray 50ml</t>
        </is>
      </c>
      <c r="C17827" t="inlineStr">
        <is>
          <t>Eau De Parfum</t>
        </is>
      </c>
      <c r="D17827" t="inlineStr">
        <is>
          <t>Roos &amp; Roos</t>
        </is>
      </c>
      <c r="E17827" t="n">
        <v>36.3</v>
      </c>
      <c r="F17827" t="n">
        <v>1</v>
      </c>
      <c r="G17827" t="n">
        <v>3</v>
      </c>
      <c r="H17827" s="5">
        <f>HYPERLINK("https://api.qogita.com/variants/link/3760240890669/", "View Product")</f>
        <v/>
      </c>
    </row>
    <row r="17828">
      <c r="A17828" t="inlineStr">
        <is>
          <t>3760246988094</t>
        </is>
      </c>
      <c r="B17828" t="inlineStr">
        <is>
          <t>BON PARFUMEUR Les Classiques 701 Amber &amp; Wood Eau de Parfum 100ml</t>
        </is>
      </c>
      <c r="C17828" t="inlineStr">
        <is>
          <t>Eau De Parfum</t>
        </is>
      </c>
      <c r="D17828" t="inlineStr">
        <is>
          <t>Bon Parfumeur</t>
        </is>
      </c>
      <c r="E17828" t="n">
        <v>66.11</v>
      </c>
      <c r="F17828" t="n">
        <v>1</v>
      </c>
      <c r="G17828" t="n">
        <v>3</v>
      </c>
      <c r="H17828" s="5">
        <f>HYPERLINK("https://api.qogita.com/variants/link/3760246988094/", "View Product")</f>
        <v/>
      </c>
    </row>
    <row r="17829">
      <c r="A17829" t="inlineStr">
        <is>
          <t>3760251870353</t>
        </is>
      </c>
      <c r="B17829" t="inlineStr">
        <is>
          <t>Korloff Rose Oud Unisex Eau De Parfum Spray 100ml</t>
        </is>
      </c>
      <c r="C17829" t="inlineStr">
        <is>
          <t>Eau De Parfum</t>
        </is>
      </c>
      <c r="D17829" t="inlineStr">
        <is>
          <t>Korloff</t>
        </is>
      </c>
      <c r="E17829" t="n">
        <v>78.53</v>
      </c>
      <c r="F17829" t="n">
        <v>1</v>
      </c>
      <c r="G17829" t="n">
        <v>3</v>
      </c>
      <c r="H17829" s="5">
        <f>HYPERLINK("https://api.qogita.com/variants/link/3760251870353/", "View Product")</f>
        <v/>
      </c>
    </row>
    <row r="17830">
      <c r="A17830" t="inlineStr">
        <is>
          <t>3760269840348</t>
        </is>
      </c>
      <c r="B17830" t="inlineStr">
        <is>
          <t>Lolita Lempicka Le Parfum Eau De Parfum Spray 100 Ml</t>
        </is>
      </c>
      <c r="C17830" t="inlineStr">
        <is>
          <t>Eau De Parfum</t>
        </is>
      </c>
      <c r="D17830" t="inlineStr">
        <is>
          <t>Lolita Lempicka</t>
        </is>
      </c>
      <c r="E17830" t="n">
        <v>44.55</v>
      </c>
      <c r="F17830" t="n">
        <v>1</v>
      </c>
      <c r="G17830" t="n">
        <v>63</v>
      </c>
      <c r="H17830" s="5">
        <f>HYPERLINK("https://api.qogita.com/variants/link/3760269840348/", "View Product")</f>
        <v/>
      </c>
    </row>
    <row r="17831">
      <c r="A17831" t="inlineStr">
        <is>
          <t>3760269840362</t>
        </is>
      </c>
      <c r="B17831" t="inlineStr">
        <is>
          <t>Lolita Lempicka Le Parfum Eau De Parfum Spray 30 Milliliters</t>
        </is>
      </c>
      <c r="C17831" t="inlineStr">
        <is>
          <t>Eau De Parfum</t>
        </is>
      </c>
      <c r="D17831" t="inlineStr">
        <is>
          <t>Lolita Lempicka</t>
        </is>
      </c>
      <c r="E17831" t="n">
        <v>32.8</v>
      </c>
      <c r="F17831" t="n">
        <v>1</v>
      </c>
      <c r="G17831" t="n">
        <v>14</v>
      </c>
      <c r="H17831" s="5">
        <f>HYPERLINK("https://api.qogita.com/variants/link/3760269840362/", "View Product")</f>
        <v/>
      </c>
    </row>
    <row r="17832">
      <c r="A17832" t="inlineStr">
        <is>
          <t>3760269840539</t>
        </is>
      </c>
      <c r="B17832" t="inlineStr">
        <is>
          <t>Lolita Lempicka Homme Eau De Toilette Spray 100ml + After Shave Gel 75ml Set</t>
        </is>
      </c>
      <c r="C17832" t="inlineStr">
        <is>
          <t>Fragrance</t>
        </is>
      </c>
      <c r="D17832" t="inlineStr">
        <is>
          <t>Lolita Lempicka</t>
        </is>
      </c>
      <c r="E17832" t="n">
        <v>25.14</v>
      </c>
      <c r="F17832" t="n">
        <v>1</v>
      </c>
      <c r="G17832" t="n">
        <v>68</v>
      </c>
      <c r="H17832" s="5">
        <f>HYPERLINK("https://api.qogita.com/variants/link/3760269840539/", "View Product")</f>
        <v/>
      </c>
    </row>
    <row r="17833">
      <c r="A17833" t="inlineStr">
        <is>
          <t>3760269841864</t>
        </is>
      </c>
      <c r="B17833" t="inlineStr">
        <is>
          <t>Lolita Lempicka Mon Eau Eau De Parfum Spray 30ml</t>
        </is>
      </c>
      <c r="C17833" t="inlineStr">
        <is>
          <t>Eau De Parfum</t>
        </is>
      </c>
      <c r="D17833" t="inlineStr">
        <is>
          <t>Lolita Lempicka</t>
        </is>
      </c>
      <c r="E17833" t="n">
        <v>14.17</v>
      </c>
      <c r="F17833" t="n">
        <v>1</v>
      </c>
      <c r="G17833" t="n">
        <v>63</v>
      </c>
      <c r="H17833" s="5">
        <f>HYPERLINK("https://api.qogita.com/variants/link/3760269841864/", "View Product")</f>
        <v/>
      </c>
    </row>
    <row r="17834">
      <c r="A17834" t="inlineStr">
        <is>
          <t>3760269848405</t>
        </is>
      </c>
      <c r="B17834" t="inlineStr">
        <is>
          <t>Lolita Lempicka Green Lover Eau De Toilette Spray 100ml</t>
        </is>
      </c>
      <c r="C17834" t="inlineStr">
        <is>
          <t>Eau De Toilette</t>
        </is>
      </c>
      <c r="D17834" t="inlineStr">
        <is>
          <t>Lolita Lempicka</t>
        </is>
      </c>
      <c r="E17834" t="n">
        <v>31.04</v>
      </c>
      <c r="F17834" t="n">
        <v>1</v>
      </c>
      <c r="G17834" t="n">
        <v>5</v>
      </c>
      <c r="H17834" s="5">
        <f>HYPERLINK("https://api.qogita.com/variants/link/3760269848405/", "View Product")</f>
        <v/>
      </c>
    </row>
    <row r="17835">
      <c r="A17835" t="inlineStr">
        <is>
          <t>3760269849037</t>
        </is>
      </c>
      <c r="B17835" t="inlineStr">
        <is>
          <t>Lolita Lempicka Lolitaland Eau De Parfum Spray 80ml</t>
        </is>
      </c>
      <c r="C17835" t="inlineStr">
        <is>
          <t>Eau De Parfum</t>
        </is>
      </c>
      <c r="D17835" t="inlineStr">
        <is>
          <t>Lolita Lempicka</t>
        </is>
      </c>
      <c r="E17835" t="n">
        <v>35.67</v>
      </c>
      <c r="F17835" t="n">
        <v>1</v>
      </c>
      <c r="G17835" t="n">
        <v>22</v>
      </c>
      <c r="H17835" s="5">
        <f>HYPERLINK("https://api.qogita.com/variants/link/3760269849037/", "View Product")</f>
        <v/>
      </c>
    </row>
    <row r="17836">
      <c r="A17836" t="inlineStr">
        <is>
          <t>3760269849341</t>
        </is>
      </c>
      <c r="B17836" t="inlineStr">
        <is>
          <t>Lolita Lempicka Sweet Eau De Parfum Spray 100ml</t>
        </is>
      </c>
      <c r="C17836" t="inlineStr">
        <is>
          <t>Eau De Parfum</t>
        </is>
      </c>
      <c r="D17836" t="inlineStr">
        <is>
          <t>Lolita Lempicka</t>
        </is>
      </c>
      <c r="E17836" t="n">
        <v>40.16</v>
      </c>
      <c r="F17836" t="n">
        <v>1</v>
      </c>
      <c r="G17836" t="n">
        <v>5</v>
      </c>
      <c r="H17836" s="5">
        <f>HYPERLINK("https://api.qogita.com/variants/link/3760269849341/", "View Product")</f>
        <v/>
      </c>
    </row>
    <row r="17837">
      <c r="A17837" t="inlineStr">
        <is>
          <t>3760269849358</t>
        </is>
      </c>
      <c r="B17837" t="inlineStr">
        <is>
          <t>Lolita Lempicka Sweet Eau De Parfum Spray 50ml</t>
        </is>
      </c>
      <c r="C17837" t="inlineStr">
        <is>
          <t>Eau De Parfum</t>
        </is>
      </c>
      <c r="D17837" t="inlineStr">
        <is>
          <t>Lolita Lempicka</t>
        </is>
      </c>
      <c r="E17837" t="n">
        <v>20.96</v>
      </c>
      <c r="F17837" t="n">
        <v>1</v>
      </c>
      <c r="G17837" t="n">
        <v>2</v>
      </c>
      <c r="H17837" s="5">
        <f>HYPERLINK("https://api.qogita.com/variants/link/3760269849358/", "View Product")</f>
        <v/>
      </c>
    </row>
    <row r="17838">
      <c r="A17838" t="inlineStr">
        <is>
          <t>3760269849365</t>
        </is>
      </c>
      <c r="B17838" t="inlineStr">
        <is>
          <t>Lolita Lempicka Sweet Eau De Parfum Spray 30ml</t>
        </is>
      </c>
      <c r="C17838" t="inlineStr">
        <is>
          <t>Eau De Parfum</t>
        </is>
      </c>
      <c r="D17838" t="inlineStr">
        <is>
          <t>Lolita Lempicka</t>
        </is>
      </c>
      <c r="E17838" t="n">
        <v>18.79</v>
      </c>
      <c r="F17838" t="n">
        <v>1</v>
      </c>
      <c r="G17838" t="n">
        <v>2</v>
      </c>
      <c r="H17838" s="5">
        <f>HYPERLINK("https://api.qogita.com/variants/link/3760269849365/", "View Product")</f>
        <v/>
      </c>
    </row>
    <row r="17839">
      <c r="A17839" t="inlineStr">
        <is>
          <t>3760294350515</t>
        </is>
      </c>
      <c r="B17839" t="inlineStr">
        <is>
          <t>The Woods Collection Dark Forest Eau De Parfum 100ml Unisex</t>
        </is>
      </c>
      <c r="C17839" t="inlineStr">
        <is>
          <t>Eau De Parfum</t>
        </is>
      </c>
      <c r="D17839" t="inlineStr">
        <is>
          <t>The Woods Collection</t>
        </is>
      </c>
      <c r="E17839" t="n">
        <v>32.83</v>
      </c>
      <c r="F17839" t="n">
        <v>1</v>
      </c>
      <c r="G17839" t="n">
        <v>8</v>
      </c>
      <c r="H17839" s="5">
        <f>HYPERLINK("https://api.qogita.com/variants/link/3760294350515/", "View Product")</f>
        <v/>
      </c>
    </row>
    <row r="17840">
      <c r="A17840" t="inlineStr">
        <is>
          <t>3760294350553</t>
        </is>
      </c>
      <c r="B17840" t="inlineStr">
        <is>
          <t>The Woods Collection Moonlight Eau De Parfum 100ml</t>
        </is>
      </c>
      <c r="C17840" t="inlineStr">
        <is>
          <t>Eau De Parfum</t>
        </is>
      </c>
      <c r="D17840" t="inlineStr">
        <is>
          <t>The Woods Collection</t>
        </is>
      </c>
      <c r="E17840" t="n">
        <v>31.25</v>
      </c>
      <c r="F17840" t="n">
        <v>1</v>
      </c>
      <c r="G17840" t="n">
        <v>2</v>
      </c>
      <c r="H17840" s="5">
        <f>HYPERLINK("https://api.qogita.com/variants/link/3760294350553/", "View Product")</f>
        <v/>
      </c>
    </row>
    <row r="17841">
      <c r="A17841" t="inlineStr">
        <is>
          <t>3760294350560</t>
        </is>
      </c>
      <c r="B17841" t="inlineStr">
        <is>
          <t>Pure Shine By The Woods Collection Eau De Parfum Spray 3.4 Oz</t>
        </is>
      </c>
      <c r="C17841" t="inlineStr">
        <is>
          <t>Eau De Parfum</t>
        </is>
      </c>
      <c r="D17841" t="inlineStr">
        <is>
          <t>The Woods Collection</t>
        </is>
      </c>
      <c r="E17841" t="n">
        <v>27.8</v>
      </c>
      <c r="F17841" t="n">
        <v>1</v>
      </c>
      <c r="G17841" t="n">
        <v>4</v>
      </c>
      <c r="H17841" s="5">
        <f>HYPERLINK("https://api.qogita.com/variants/link/3760294350560/", "View Product")</f>
        <v/>
      </c>
    </row>
    <row r="17842">
      <c r="A17842" t="inlineStr">
        <is>
          <t>3760294350843</t>
        </is>
      </c>
      <c r="B17842" t="inlineStr">
        <is>
          <t>The Woods Collection Sunrise Eau De Parfum 100ml Unisex Spray</t>
        </is>
      </c>
      <c r="C17842" t="inlineStr">
        <is>
          <t>Eau De Parfum</t>
        </is>
      </c>
      <c r="D17842" t="inlineStr">
        <is>
          <t>The Woods Collection</t>
        </is>
      </c>
      <c r="E17842" t="n">
        <v>32.96</v>
      </c>
      <c r="F17842" t="n">
        <v>1</v>
      </c>
      <c r="G17842" t="n">
        <v>5</v>
      </c>
      <c r="H17842" s="5">
        <f>HYPERLINK("https://api.qogita.com/variants/link/3760294350843/", "View Product")</f>
        <v/>
      </c>
    </row>
    <row r="17843">
      <c r="A17843" t="inlineStr">
        <is>
          <t>3760294351772</t>
        </is>
      </c>
      <c r="B17843" t="inlineStr">
        <is>
          <t>The Woods Natural Sun Fragrance Set</t>
        </is>
      </c>
      <c r="C17843" t="inlineStr">
        <is>
          <t>Incense</t>
        </is>
      </c>
      <c r="D17843" t="inlineStr">
        <is>
          <t>Les Bois</t>
        </is>
      </c>
      <c r="E17843" t="n">
        <v>42.74</v>
      </c>
      <c r="F17843" t="n">
        <v>1</v>
      </c>
      <c r="G17843" t="n">
        <v>54</v>
      </c>
      <c r="H17843" s="5">
        <f>HYPERLINK("https://api.qogita.com/variants/link/3760294351772/", "View Product")</f>
        <v/>
      </c>
    </row>
    <row r="17844">
      <c r="A17844" t="inlineStr">
        <is>
          <t>3760303360023</t>
        </is>
      </c>
      <c r="B17844" t="inlineStr">
        <is>
          <t>Liquides Imaginaires Eau De Parfum Melancolia 100ml</t>
        </is>
      </c>
      <c r="C17844" t="inlineStr">
        <is>
          <t>Eau De Parfum</t>
        </is>
      </c>
      <c r="D17844" t="inlineStr">
        <is>
          <t>Liquides Imaginaires</t>
        </is>
      </c>
      <c r="E17844" t="n">
        <v>81.47</v>
      </c>
      <c r="F17844" t="n">
        <v>1</v>
      </c>
      <c r="G17844" t="n">
        <v>3</v>
      </c>
      <c r="H17844" s="5">
        <f>HYPERLINK("https://api.qogita.com/variants/link/3760303360023/", "View Product")</f>
        <v/>
      </c>
    </row>
    <row r="17845">
      <c r="A17845" t="inlineStr">
        <is>
          <t>3760303360092</t>
        </is>
      </c>
      <c r="B17845" t="inlineStr">
        <is>
          <t>LIQUIDES IMAGINAIRES FLEUVE TENDRE EAU DE PARFUM SPRAY 50ml 1.6 fl.oz.</t>
        </is>
      </c>
      <c r="C17845" t="inlineStr">
        <is>
          <t>Eau De Parfum</t>
        </is>
      </c>
      <c r="D17845" t="inlineStr">
        <is>
          <t>Liquides Imaginaires</t>
        </is>
      </c>
      <c r="E17845" t="n">
        <v>65.13</v>
      </c>
      <c r="F17845" t="n">
        <v>1</v>
      </c>
      <c r="G17845" t="n">
        <v>4</v>
      </c>
      <c r="H17845" s="5">
        <f>HYPERLINK("https://api.qogita.com/variants/link/3760303360092/", "View Product")</f>
        <v/>
      </c>
    </row>
    <row r="17846">
      <c r="A17846" t="inlineStr">
        <is>
          <t>3760303360115</t>
        </is>
      </c>
      <c r="B17846" t="inlineStr">
        <is>
          <t>Liquides Imaginaires Bete Humaine Eau De Parfum Spray 100ml</t>
        </is>
      </c>
      <c r="C17846" t="inlineStr">
        <is>
          <t>Eau De Parfum</t>
        </is>
      </c>
      <c r="D17846" t="inlineStr">
        <is>
          <t>Liquides Imaginaires</t>
        </is>
      </c>
      <c r="E17846" t="n">
        <v>92.66</v>
      </c>
      <c r="F17846" t="n">
        <v>1</v>
      </c>
      <c r="G17846" t="n">
        <v>3</v>
      </c>
      <c r="H17846" s="5">
        <f>HYPERLINK("https://api.qogita.com/variants/link/3760303360115/", "View Product")</f>
        <v/>
      </c>
    </row>
    <row r="17847">
      <c r="A17847" t="inlineStr">
        <is>
          <t>3760310290610</t>
        </is>
      </c>
      <c r="B17847" t="inlineStr">
        <is>
          <t>Kajal Unisex Jihan EDP Spray 3.4 oz Fragrances</t>
        </is>
      </c>
      <c r="C17847" t="inlineStr">
        <is>
          <t>Eau De Parfum</t>
        </is>
      </c>
      <c r="D17847" t="inlineStr">
        <is>
          <t>Kajal</t>
        </is>
      </c>
      <c r="E17847" t="n">
        <v>140.17</v>
      </c>
      <c r="F17847" t="n">
        <v>1</v>
      </c>
      <c r="G17847" t="n">
        <v>5</v>
      </c>
      <c r="H17847" s="5">
        <f>HYPERLINK("https://api.qogita.com/variants/link/3760310290610/", "View Product")</f>
        <v/>
      </c>
    </row>
    <row r="17848">
      <c r="A17848" t="inlineStr">
        <is>
          <t>3760310290733</t>
        </is>
      </c>
      <c r="B17848" t="inlineStr">
        <is>
          <t>Kajal Dahab by Kajal Eau de Parfum 100ml</t>
        </is>
      </c>
      <c r="C17848" t="inlineStr">
        <is>
          <t>Eau De Parfum</t>
        </is>
      </c>
      <c r="D17848" t="inlineStr">
        <is>
          <t>Kajal</t>
        </is>
      </c>
      <c r="E17848" t="n">
        <v>127.74</v>
      </c>
      <c r="F17848" t="n">
        <v>1</v>
      </c>
      <c r="G17848" t="n">
        <v>6</v>
      </c>
      <c r="H17848" s="5">
        <f>HYPERLINK("https://api.qogita.com/variants/link/3760310290733/", "View Product")</f>
        <v/>
      </c>
    </row>
    <row r="17849">
      <c r="A17849" t="inlineStr">
        <is>
          <t>3770000002287</t>
        </is>
      </c>
      <c r="B17849" t="inlineStr">
        <is>
          <t>Juliette Has A Gun Magnolia Bliss Eau De Parfum Spray 7.5ml</t>
        </is>
      </c>
      <c r="C17849" t="inlineStr">
        <is>
          <t>Eau De Parfum</t>
        </is>
      </c>
      <c r="D17849" t="inlineStr">
        <is>
          <t>Juliette has a gun</t>
        </is>
      </c>
      <c r="E17849" t="n">
        <v>11.07</v>
      </c>
      <c r="F17849" t="n">
        <v>1</v>
      </c>
      <c r="G17849" t="n">
        <v>2</v>
      </c>
      <c r="H17849" s="5">
        <f>HYPERLINK("https://api.qogita.com/variants/link/3770000002287/", "View Product")</f>
        <v/>
      </c>
    </row>
    <row r="17850">
      <c r="A17850" t="inlineStr">
        <is>
          <t>3770000002546</t>
        </is>
      </c>
      <c r="B17850" t="inlineStr">
        <is>
          <t>Juliette Has A Gun Gentlewoman Eau De Parfum Spray 100ml</t>
        </is>
      </c>
      <c r="C17850" t="inlineStr">
        <is>
          <t>Eau De Parfum</t>
        </is>
      </c>
      <c r="D17850" t="inlineStr">
        <is>
          <t>Juliette has a gun</t>
        </is>
      </c>
      <c r="E17850" t="n">
        <v>49</v>
      </c>
      <c r="F17850" t="n">
        <v>1</v>
      </c>
      <c r="G17850" t="n">
        <v>6</v>
      </c>
      <c r="H17850" s="5">
        <f>HYPERLINK("https://api.qogita.com/variants/link/3770000002546/", "View Product")</f>
        <v/>
      </c>
    </row>
    <row r="17851">
      <c r="A17851" t="inlineStr">
        <is>
          <t>3770000002720</t>
        </is>
      </c>
      <c r="B17851" t="inlineStr">
        <is>
          <t>Juliette Has A Gun Miss Charming Eau De Parfum 50ml</t>
        </is>
      </c>
      <c r="C17851" t="inlineStr">
        <is>
          <t>Eau De Parfum</t>
        </is>
      </c>
      <c r="D17851" t="inlineStr">
        <is>
          <t>Juliette has a gun</t>
        </is>
      </c>
      <c r="E17851" t="n">
        <v>38.97</v>
      </c>
      <c r="F17851" t="n">
        <v>1</v>
      </c>
      <c r="G17851" t="n">
        <v>11</v>
      </c>
      <c r="H17851" s="5">
        <f>HYPERLINK("https://api.qogita.com/variants/link/3770000002720/", "View Product")</f>
        <v/>
      </c>
    </row>
    <row r="17852">
      <c r="A17852" t="inlineStr">
        <is>
          <t>3770000002775</t>
        </is>
      </c>
      <c r="B17852" t="inlineStr">
        <is>
          <t>Juliette Has A Gun Not A Perfume Eau De Parfum 100ml</t>
        </is>
      </c>
      <c r="C17852" t="inlineStr">
        <is>
          <t>Eau De Parfum</t>
        </is>
      </c>
      <c r="D17852" t="inlineStr">
        <is>
          <t>Juliette has a gun</t>
        </is>
      </c>
      <c r="E17852" t="n">
        <v>48.49</v>
      </c>
      <c r="F17852" t="n">
        <v>1</v>
      </c>
      <c r="G17852" t="n">
        <v>1658</v>
      </c>
      <c r="H17852" s="5">
        <f>HYPERLINK("https://api.qogita.com/variants/link/3770000002775/", "View Product")</f>
        <v/>
      </c>
    </row>
    <row r="17853">
      <c r="A17853" t="inlineStr">
        <is>
          <t>3770000002782</t>
        </is>
      </c>
      <c r="B17853" t="inlineStr">
        <is>
          <t>Juliette Has A Gun Not A Perfume 50ml</t>
        </is>
      </c>
      <c r="C17853" t="inlineStr">
        <is>
          <t>Eau De Parfum</t>
        </is>
      </c>
      <c r="D17853" t="inlineStr">
        <is>
          <t>Juliette has a gun</t>
        </is>
      </c>
      <c r="E17853" t="n">
        <v>42.1</v>
      </c>
      <c r="F17853" t="n">
        <v>1</v>
      </c>
      <c r="G17853" t="n">
        <v>4</v>
      </c>
      <c r="H17853" s="5">
        <f>HYPERLINK("https://api.qogita.com/variants/link/3770000002782/", "View Product")</f>
        <v/>
      </c>
    </row>
    <row r="17854">
      <c r="A17854" t="inlineStr">
        <is>
          <t>3770000002904</t>
        </is>
      </c>
      <c r="B17854" t="inlineStr">
        <is>
          <t>Juliette Has A Gun Anyway Eau De Parfum 100ml</t>
        </is>
      </c>
      <c r="C17854" t="inlineStr">
        <is>
          <t>Eau De Parfum</t>
        </is>
      </c>
      <c r="D17854" t="inlineStr">
        <is>
          <t>Juliette has a gun</t>
        </is>
      </c>
      <c r="E17854" t="n">
        <v>48.95</v>
      </c>
      <c r="F17854" t="n">
        <v>1</v>
      </c>
      <c r="G17854" t="n">
        <v>4</v>
      </c>
      <c r="H17854" s="5">
        <f>HYPERLINK("https://api.qogita.com/variants/link/3770000002904/", "View Product")</f>
        <v/>
      </c>
    </row>
    <row r="17855">
      <c r="A17855" t="inlineStr">
        <is>
          <t>3770003318040</t>
        </is>
      </c>
      <c r="B17855" t="inlineStr">
        <is>
          <t>Chabaud Maison de Parfum Unisex Eau de Toilette Milk and Chocolate 3.4 oz</t>
        </is>
      </c>
      <c r="C17855" t="inlineStr">
        <is>
          <t>Eau De Toilette</t>
        </is>
      </c>
      <c r="D17855" t="inlineStr">
        <is>
          <t>Chabaud Maison De Parfum</t>
        </is>
      </c>
      <c r="E17855" t="n">
        <v>56.32</v>
      </c>
      <c r="F17855" t="n">
        <v>1</v>
      </c>
      <c r="G17855" t="n">
        <v>10</v>
      </c>
      <c r="H17855" s="5">
        <f>HYPERLINK("https://api.qogita.com/variants/link/3770003318040/", "View Product")</f>
        <v/>
      </c>
    </row>
    <row r="17856">
      <c r="A17856" t="inlineStr">
        <is>
          <t>3770003318729</t>
        </is>
      </c>
      <c r="B17856" t="inlineStr">
        <is>
          <t>CHABAUD Vert D Eau EDT Vapo 100ml</t>
        </is>
      </c>
      <c r="C17856" t="inlineStr">
        <is>
          <t>Eau De Toilette</t>
        </is>
      </c>
      <c r="D17856" t="inlineStr">
        <is>
          <t>Chabaud</t>
        </is>
      </c>
      <c r="E17856" t="n">
        <v>56.32</v>
      </c>
      <c r="F17856" t="n">
        <v>1</v>
      </c>
      <c r="G17856" t="n">
        <v>5</v>
      </c>
      <c r="H17856" s="5">
        <f>HYPERLINK("https://api.qogita.com/variants/link/3770003318729/", "View Product")</f>
        <v/>
      </c>
    </row>
    <row r="17857">
      <c r="A17857" t="inlineStr">
        <is>
          <t>3770003318736</t>
        </is>
      </c>
      <c r="B17857" t="inlineStr">
        <is>
          <t>CHABAUD Fleur de Fig EDP Vapo 100ml</t>
        </is>
      </c>
      <c r="C17857" t="inlineStr">
        <is>
          <t>Eau De Parfum</t>
        </is>
      </c>
      <c r="D17857" t="inlineStr">
        <is>
          <t>Chabaud</t>
        </is>
      </c>
      <c r="E17857" t="n">
        <v>68.31</v>
      </c>
      <c r="F17857" t="n">
        <v>1</v>
      </c>
      <c r="G17857" t="n">
        <v>5</v>
      </c>
      <c r="H17857" s="5">
        <f>HYPERLINK("https://api.qogita.com/variants/link/3770003318736/", "View Product")</f>
        <v/>
      </c>
    </row>
    <row r="17858">
      <c r="A17858" t="inlineStr">
        <is>
          <t>3770004394715</t>
        </is>
      </c>
      <c r="B17858" t="inlineStr">
        <is>
          <t>Imaginary Liquids Flying Carpet Eau de Parfum 100ml</t>
        </is>
      </c>
      <c r="C17858" t="inlineStr">
        <is>
          <t>Eau De Parfum</t>
        </is>
      </c>
      <c r="D17858" t="inlineStr">
        <is>
          <t>Liquides Imaginaires</t>
        </is>
      </c>
      <c r="E17858" t="n">
        <v>95.52</v>
      </c>
      <c r="F17858" t="n">
        <v>1</v>
      </c>
      <c r="G17858" t="n">
        <v>7</v>
      </c>
      <c r="H17858" s="5">
        <f>HYPERLINK("https://api.qogita.com/variants/link/3770004394715/", "View Product")</f>
        <v/>
      </c>
    </row>
    <row r="17859">
      <c r="A17859" t="inlineStr">
        <is>
          <t>3770006696633</t>
        </is>
      </c>
      <c r="B17859" t="inlineStr">
        <is>
          <t>Alex Simone Tellement Bleu Eau de Parfum Spray</t>
        </is>
      </c>
      <c r="C17859" t="inlineStr">
        <is>
          <t>Eau De Parfum</t>
        </is>
      </c>
      <c r="D17859" t="inlineStr">
        <is>
          <t>Alex Simone</t>
        </is>
      </c>
      <c r="E17859" t="n">
        <v>28.64</v>
      </c>
      <c r="F17859" t="n">
        <v>1</v>
      </c>
      <c r="G17859" t="n">
        <v>13</v>
      </c>
      <c r="H17859" s="5">
        <f>HYPERLINK("https://api.qogita.com/variants/link/3770006696633/", "View Product")</f>
        <v/>
      </c>
    </row>
    <row r="17860">
      <c r="A17860" t="inlineStr">
        <is>
          <t>3770006696695</t>
        </is>
      </c>
      <c r="B17860" t="inlineStr">
        <is>
          <t>Alex Simone Tellement Bleu Eau de Parfum 50ml</t>
        </is>
      </c>
      <c r="C17860" t="inlineStr">
        <is>
          <t>Eau De Parfum</t>
        </is>
      </c>
      <c r="D17860" t="inlineStr">
        <is>
          <t>Alex Simone</t>
        </is>
      </c>
      <c r="E17860" t="n">
        <v>42.83</v>
      </c>
      <c r="F17860" t="n">
        <v>1</v>
      </c>
      <c r="G17860" t="n">
        <v>9</v>
      </c>
      <c r="H17860" s="5">
        <f>HYPERLINK("https://api.qogita.com/variants/link/3770006696695/", "View Product")</f>
        <v/>
      </c>
    </row>
    <row r="17861">
      <c r="A17861" t="inlineStr">
        <is>
          <t>3770007317193</t>
        </is>
      </c>
      <c r="B17861" t="inlineStr">
        <is>
          <t>Parisian Musc by Matiere Premiere Unisex 3.4 Oz EDP Spray</t>
        </is>
      </c>
      <c r="C17861" t="inlineStr">
        <is>
          <t>Eau De Parfum</t>
        </is>
      </c>
      <c r="D17861" t="inlineStr">
        <is>
          <t>Matière Premiere</t>
        </is>
      </c>
      <c r="E17861" t="n">
        <v>158.54</v>
      </c>
      <c r="F17861" t="n">
        <v>1</v>
      </c>
      <c r="G17861" t="n">
        <v>3</v>
      </c>
      <c r="H17861" s="5">
        <f>HYPERLINK("https://api.qogita.com/variants/link/3770007317193/", "View Product")</f>
        <v/>
      </c>
    </row>
    <row r="17862">
      <c r="A17862" t="inlineStr">
        <is>
          <t>3770009763721</t>
        </is>
      </c>
      <c r="B17862" t="inlineStr">
        <is>
          <t>Sospiro Erba Oud Eau De Parfum 100 Ml Unisex</t>
        </is>
      </c>
      <c r="C17862" t="inlineStr">
        <is>
          <t>Eau De Parfum</t>
        </is>
      </c>
      <c r="D17862" t="inlineStr">
        <is>
          <t>Sospiro</t>
        </is>
      </c>
      <c r="E17862" t="n">
        <v>132.72</v>
      </c>
      <c r="F17862" t="n">
        <v>1</v>
      </c>
      <c r="G17862" t="n">
        <v>5</v>
      </c>
      <c r="H17862" s="5">
        <f>HYPERLINK("https://api.qogita.com/variants/link/3770009763721/", "View Product")</f>
        <v/>
      </c>
    </row>
    <row r="17863">
      <c r="A17863" t="inlineStr">
        <is>
          <t>3770009763745</t>
        </is>
      </c>
      <c r="B17863" t="inlineStr">
        <is>
          <t>Sospiro Prima Donna Eau De Parfum 100 Ml - Unisex</t>
        </is>
      </c>
      <c r="C17863" t="inlineStr">
        <is>
          <t>Eau De Parfum</t>
        </is>
      </c>
      <c r="D17863" t="inlineStr">
        <is>
          <t>Sospiro</t>
        </is>
      </c>
      <c r="E17863" t="n">
        <v>135.93</v>
      </c>
      <c r="F17863" t="n">
        <v>1</v>
      </c>
      <c r="G17863" t="n">
        <v>5</v>
      </c>
      <c r="H17863" s="5">
        <f>HYPERLINK("https://api.qogita.com/variants/link/3770009763745/", "View Product")</f>
        <v/>
      </c>
    </row>
    <row r="17864">
      <c r="A17864" t="inlineStr">
        <is>
          <t>3770009763783</t>
        </is>
      </c>
      <c r="B17864" t="inlineStr">
        <is>
          <t>Sospiro Perfumes Tenore Eau De Parfum Spray 100ml</t>
        </is>
      </c>
      <c r="C17864" t="inlineStr">
        <is>
          <t>Eau De Parfum</t>
        </is>
      </c>
      <c r="D17864" t="inlineStr">
        <is>
          <t>Sospiro</t>
        </is>
      </c>
      <c r="E17864" t="n">
        <v>167.38</v>
      </c>
      <c r="F17864" t="n">
        <v>1</v>
      </c>
      <c r="G17864" t="n">
        <v>3</v>
      </c>
      <c r="H17864" s="5">
        <f>HYPERLINK("https://api.qogita.com/variants/link/3770009763783/", "View Product")</f>
        <v/>
      </c>
    </row>
    <row r="17865">
      <c r="A17865" t="inlineStr">
        <is>
          <t>3770022101531</t>
        </is>
      </c>
      <c r="B17865" t="inlineStr">
        <is>
          <t>Brecourt Paris Agaressence Eau De Parfum 50ml</t>
        </is>
      </c>
      <c r="C17865" t="inlineStr">
        <is>
          <t>Eau De Parfum</t>
        </is>
      </c>
      <c r="D17865" t="inlineStr">
        <is>
          <t>Brecourt</t>
        </is>
      </c>
      <c r="E17865" t="n">
        <v>50.25</v>
      </c>
      <c r="F17865" t="n">
        <v>1</v>
      </c>
      <c r="G17865" t="n">
        <v>3</v>
      </c>
      <c r="H17865" s="5">
        <f>HYPERLINK("https://api.qogita.com/variants/link/3770022101531/", "View Product")</f>
        <v/>
      </c>
    </row>
    <row r="17866">
      <c r="A17866" t="inlineStr">
        <is>
          <t>3800221840891</t>
        </is>
      </c>
      <c r="B17866" t="inlineStr">
        <is>
          <t>Biotrade Odorex Deo Roll-On Antiperspirant - 40 Ml</t>
        </is>
      </c>
      <c r="C17866" t="inlineStr">
        <is>
          <t>Deodorant &amp; Anti-Perspirant</t>
        </is>
      </c>
      <c r="D17866" t="inlineStr">
        <is>
          <t>Biotrade</t>
        </is>
      </c>
      <c r="E17866" t="n">
        <v>16.28</v>
      </c>
      <c r="F17866" t="n">
        <v>1</v>
      </c>
      <c r="G17866" t="n">
        <v>23</v>
      </c>
      <c r="H17866" s="5">
        <f>HYPERLINK("https://api.qogita.com/variants/link/3800221840891/", "View Product")</f>
        <v/>
      </c>
    </row>
    <row r="17867">
      <c r="A17867" t="inlineStr">
        <is>
          <t>3800221841485</t>
        </is>
      </c>
      <c r="B17867" t="inlineStr">
        <is>
          <t>Biotrade Hydrating Face Cream For Problematic Skin Acnaut Hydro Active - 60 Ml</t>
        </is>
      </c>
      <c r="C17867" t="inlineStr">
        <is>
          <t>Face Cream</t>
        </is>
      </c>
      <c r="D17867" t="inlineStr">
        <is>
          <t>Biotrade</t>
        </is>
      </c>
      <c r="E17867" t="n">
        <v>19.19</v>
      </c>
      <c r="F17867" t="n">
        <v>1</v>
      </c>
      <c r="G17867" t="n">
        <v>5</v>
      </c>
      <c r="H17867" s="5">
        <f>HYPERLINK("https://api.qogita.com/variants/link/3800221841485/", "View Product")</f>
        <v/>
      </c>
    </row>
    <row r="17868">
      <c r="A17868" t="inlineStr">
        <is>
          <t>3800500519111</t>
        </is>
      </c>
      <c r="B17868" t="inlineStr">
        <is>
          <t>Cocosolis Glow Shimmer Oil 110ml</t>
        </is>
      </c>
      <c r="C17868" t="inlineStr">
        <is>
          <t>Body Oil</t>
        </is>
      </c>
      <c r="D17868" t="inlineStr">
        <is>
          <t>Cocosolis</t>
        </is>
      </c>
      <c r="E17868" t="n">
        <v>21.57</v>
      </c>
      <c r="F17868" t="n">
        <v>1</v>
      </c>
      <c r="G17868" t="n">
        <v>3</v>
      </c>
      <c r="H17868" s="5">
        <f>HYPERLINK("https://api.qogita.com/variants/link/3800500519111/", "View Product")</f>
        <v/>
      </c>
    </row>
    <row r="17869">
      <c r="A17869" t="inlineStr">
        <is>
          <t>3800501636091</t>
        </is>
      </c>
      <c r="B17869" t="inlineStr">
        <is>
          <t>Cocosolis Solis Dark Selftanning Foam 200ml</t>
        </is>
      </c>
      <c r="C17869" t="inlineStr">
        <is>
          <t>Body Self-Tanner</t>
        </is>
      </c>
      <c r="D17869" t="inlineStr">
        <is>
          <t>Cocosolis</t>
        </is>
      </c>
      <c r="E17869" t="n">
        <v>26.45</v>
      </c>
      <c r="F17869" t="n">
        <v>1</v>
      </c>
      <c r="G17869" t="n">
        <v>2</v>
      </c>
      <c r="H17869" s="5">
        <f>HYPERLINK("https://api.qogita.com/variants/link/3800501636091/", "View Product")</f>
        <v/>
      </c>
    </row>
    <row r="17870">
      <c r="A17870" t="inlineStr">
        <is>
          <t>3800501636275</t>
        </is>
      </c>
      <c r="B17870" t="inlineStr">
        <is>
          <t>COCOSOLIS BERRY Superberry Recharge Face Elixir with Organic Oils Vegan Nourishing Day Care with Vitamin E</t>
        </is>
      </c>
      <c r="C17870" t="inlineStr">
        <is>
          <t>Facial Oil</t>
        </is>
      </c>
      <c r="D17870" t="inlineStr">
        <is>
          <t>Cocosolis</t>
        </is>
      </c>
      <c r="E17870" t="n">
        <v>30.13</v>
      </c>
      <c r="F17870" t="n">
        <v>1</v>
      </c>
      <c r="G17870" t="n">
        <v>4</v>
      </c>
      <c r="H17870" s="5">
        <f>HYPERLINK("https://api.qogita.com/variants/link/3800501636275/", "View Product")</f>
        <v/>
      </c>
    </row>
    <row r="17871">
      <c r="A17871" t="inlineStr">
        <is>
          <t>3800502737025</t>
        </is>
      </c>
      <c r="B17871" t="inlineStr">
        <is>
          <t>Cocosolis Suntan &amp; Body Oil Peach 100ml - Nourishing Body Oil For Sun Tanning</t>
        </is>
      </c>
      <c r="C17871" t="inlineStr">
        <is>
          <t>Body Oil</t>
        </is>
      </c>
      <c r="D17871" t="inlineStr">
        <is>
          <t>Cocosolis</t>
        </is>
      </c>
      <c r="E17871" t="n">
        <v>19.46</v>
      </c>
      <c r="F17871" t="n">
        <v>1</v>
      </c>
      <c r="G17871" t="n">
        <v>5</v>
      </c>
      <c r="H17871" s="5">
        <f>HYPERLINK("https://api.qogita.com/variants/link/3800502737025/", "View Product")</f>
        <v/>
      </c>
    </row>
    <row r="17872">
      <c r="A17872" t="inlineStr">
        <is>
          <t>4001638075114</t>
        </is>
      </c>
      <c r="B17872" t="inlineStr">
        <is>
          <t>Weleda Kids 2 In 1 Shower Gelshampoo Happy Orange 150 Ml</t>
        </is>
      </c>
      <c r="C17872" t="inlineStr">
        <is>
          <t>Baby Shower Gel &amp; Soap</t>
        </is>
      </c>
      <c r="D17872" t="inlineStr">
        <is>
          <t>Weleda</t>
        </is>
      </c>
      <c r="E17872" t="n">
        <v>7.79</v>
      </c>
      <c r="F17872" t="n">
        <v>1</v>
      </c>
      <c r="G17872" t="n">
        <v>3</v>
      </c>
      <c r="H17872" s="5">
        <f>HYPERLINK("https://api.qogita.com/variants/link/4001638075114/", "View Product")</f>
        <v/>
      </c>
    </row>
    <row r="17873">
      <c r="A17873" t="inlineStr">
        <is>
          <t>4001638088060</t>
        </is>
      </c>
      <c r="B17873" t="inlineStr">
        <is>
          <t>Weleda Sage Balm For Gums 30 Ml</t>
        </is>
      </c>
      <c r="C17873" t="inlineStr">
        <is>
          <t>Mouth &amp; Gum Care</t>
        </is>
      </c>
      <c r="D17873" t="inlineStr">
        <is>
          <t>Weleda</t>
        </is>
      </c>
      <c r="E17873" t="n">
        <v>8.1</v>
      </c>
      <c r="F17873" t="n">
        <v>1</v>
      </c>
      <c r="G17873" t="n">
        <v>5</v>
      </c>
      <c r="H17873" s="5">
        <f>HYPERLINK("https://api.qogita.com/variants/link/4001638088060/", "View Product")</f>
        <v/>
      </c>
    </row>
    <row r="17874">
      <c r="A17874" t="inlineStr">
        <is>
          <t>4001638088459</t>
        </is>
      </c>
      <c r="B17874" t="inlineStr">
        <is>
          <t>Weleda Pomegranate Regenerating Hand Cream 50ml</t>
        </is>
      </c>
      <c r="C17874" t="inlineStr">
        <is>
          <t>Hand Cream</t>
        </is>
      </c>
      <c r="D17874" t="inlineStr">
        <is>
          <t>Weleda</t>
        </is>
      </c>
      <c r="E17874" t="n">
        <v>9.710000000000001</v>
      </c>
      <c r="F17874" t="n">
        <v>1</v>
      </c>
      <c r="G17874" t="n">
        <v>3</v>
      </c>
      <c r="H17874" s="5">
        <f>HYPERLINK("https://api.qogita.com/variants/link/4001638088459/", "View Product")</f>
        <v/>
      </c>
    </row>
    <row r="17875">
      <c r="A17875" t="inlineStr">
        <is>
          <t>4001638095082</t>
        </is>
      </c>
      <c r="B17875" t="inlineStr">
        <is>
          <t>Weleda Baby Tummy Oil 50ml</t>
        </is>
      </c>
      <c r="C17875" t="inlineStr">
        <is>
          <t>Baby &amp; Child</t>
        </is>
      </c>
      <c r="D17875" t="inlineStr">
        <is>
          <t>Weleda</t>
        </is>
      </c>
      <c r="E17875" t="n">
        <v>12.5</v>
      </c>
      <c r="F17875" t="n">
        <v>1</v>
      </c>
      <c r="G17875" t="n">
        <v>2</v>
      </c>
      <c r="H17875" s="5">
        <f>HYPERLINK("https://api.qogita.com/variants/link/4001638095082/", "View Product")</f>
        <v/>
      </c>
    </row>
    <row r="17876">
      <c r="A17876" t="inlineStr">
        <is>
          <t>4001638095228</t>
        </is>
      </c>
      <c r="B17876" t="inlineStr">
        <is>
          <t>Weleda Bio Men Roll-on Natural Deodorant with a Fresh Herb Scent 50ml</t>
        </is>
      </c>
      <c r="C17876" t="inlineStr">
        <is>
          <t>Deodorant &amp; Anti-Perspirant</t>
        </is>
      </c>
      <c r="D17876" t="inlineStr">
        <is>
          <t>Weleda</t>
        </is>
      </c>
      <c r="E17876" t="n">
        <v>8.1</v>
      </c>
      <c r="F17876" t="n">
        <v>1</v>
      </c>
      <c r="G17876" t="n">
        <v>7</v>
      </c>
      <c r="H17876" s="5">
        <f>HYPERLINK("https://api.qogita.com/variants/link/4001638095228/", "View Product")</f>
        <v/>
      </c>
    </row>
    <row r="17877">
      <c r="A17877" t="inlineStr">
        <is>
          <t>4001638095235</t>
        </is>
      </c>
      <c r="B17877" t="inlineStr">
        <is>
          <t>Weleda Citrus Rollon Deodorant 50 Ml</t>
        </is>
      </c>
      <c r="C17877" t="inlineStr">
        <is>
          <t>Deodorant &amp; Anti-Perspirant</t>
        </is>
      </c>
      <c r="D17877" t="inlineStr">
        <is>
          <t>Weleda</t>
        </is>
      </c>
      <c r="E17877" t="n">
        <v>8.1</v>
      </c>
      <c r="F17877" t="n">
        <v>1</v>
      </c>
      <c r="G17877" t="n">
        <v>11</v>
      </c>
      <c r="H17877" s="5">
        <f>HYPERLINK("https://api.qogita.com/variants/link/4001638095235/", "View Product")</f>
        <v/>
      </c>
    </row>
    <row r="17878">
      <c r="A17878" t="inlineStr">
        <is>
          <t>4001638095556</t>
        </is>
      </c>
      <c r="B17878" t="inlineStr">
        <is>
          <t>Pluimgierst Nourishing Shampoo</t>
        </is>
      </c>
      <c r="C17878" t="inlineStr">
        <is>
          <t>Shampoo</t>
        </is>
      </c>
      <c r="D17878" t="inlineStr">
        <is>
          <t>Weleda</t>
        </is>
      </c>
      <c r="E17878" t="n">
        <v>10.04</v>
      </c>
      <c r="F17878" t="n">
        <v>1</v>
      </c>
      <c r="G17878" t="n">
        <v>9</v>
      </c>
      <c r="H17878" s="5">
        <f>HYPERLINK("https://api.qogita.com/variants/link/4001638095556/", "View Product")</f>
        <v/>
      </c>
    </row>
    <row r="17879">
      <c r="A17879" t="inlineStr">
        <is>
          <t>4001638095624</t>
        </is>
      </c>
      <c r="B17879" t="inlineStr">
        <is>
          <t>Weleda Oat Replenishing Shampoo 190 Ml For Dry And Damaged Hair</t>
        </is>
      </c>
      <c r="C17879" t="inlineStr">
        <is>
          <t>Shampoo</t>
        </is>
      </c>
      <c r="D17879" t="inlineStr">
        <is>
          <t>Weleda</t>
        </is>
      </c>
      <c r="E17879" t="n">
        <v>10.04</v>
      </c>
      <c r="F17879" t="n">
        <v>1</v>
      </c>
      <c r="G17879" t="n">
        <v>9</v>
      </c>
      <c r="H17879" s="5">
        <f>HYPERLINK("https://api.qogita.com/variants/link/4001638095624/", "View Product")</f>
        <v/>
      </c>
    </row>
    <row r="17880">
      <c r="A17880" t="inlineStr">
        <is>
          <t>4001638095716</t>
        </is>
      </c>
      <c r="B17880" t="inlineStr">
        <is>
          <t>Weleda Revitalising Hair Tonic 100ml Hair Care</t>
        </is>
      </c>
      <c r="C17880" t="inlineStr">
        <is>
          <t>Hair Tonic</t>
        </is>
      </c>
      <c r="D17880" t="inlineStr">
        <is>
          <t>Weleda</t>
        </is>
      </c>
      <c r="E17880" t="n">
        <v>12.48</v>
      </c>
      <c r="F17880" t="n">
        <v>1</v>
      </c>
      <c r="G17880" t="n">
        <v>27</v>
      </c>
      <c r="H17880" s="5">
        <f>HYPERLINK("https://api.qogita.com/variants/link/4001638095716/", "View Product")</f>
        <v/>
      </c>
    </row>
    <row r="17881">
      <c r="A17881" t="inlineStr">
        <is>
          <t>4001638096584</t>
        </is>
      </c>
      <c r="B17881" t="inlineStr">
        <is>
          <t>Weleda Calendula Baby Calming Bath 200 Ml</t>
        </is>
      </c>
      <c r="C17881" t="inlineStr">
        <is>
          <t>Baby Bath</t>
        </is>
      </c>
      <c r="D17881" t="inlineStr">
        <is>
          <t>Weleda</t>
        </is>
      </c>
      <c r="E17881" t="n">
        <v>11.67</v>
      </c>
      <c r="F17881" t="n">
        <v>1</v>
      </c>
      <c r="G17881" t="n">
        <v>67</v>
      </c>
      <c r="H17881" s="5">
        <f>HYPERLINK("https://api.qogita.com/variants/link/4001638096584/", "View Product")</f>
        <v/>
      </c>
    </row>
    <row r="17882">
      <c r="A17882" t="inlineStr">
        <is>
          <t>4001638096652</t>
        </is>
      </c>
      <c r="B17882" t="inlineStr">
        <is>
          <t>Weleda Baby White Mallow Diaper Care Cream 50ml</t>
        </is>
      </c>
      <c r="C17882" t="inlineStr">
        <is>
          <t>Baby Cream &amp; Oil</t>
        </is>
      </c>
      <c r="D17882" t="inlineStr">
        <is>
          <t>Weleda</t>
        </is>
      </c>
      <c r="E17882" t="n">
        <v>8.52</v>
      </c>
      <c r="F17882" t="n">
        <v>1</v>
      </c>
      <c r="G17882" t="n">
        <v>3</v>
      </c>
      <c r="H17882" s="5">
        <f>HYPERLINK("https://api.qogita.com/variants/link/4001638096652/", "View Product")</f>
        <v/>
      </c>
    </row>
    <row r="17883">
      <c r="A17883" t="inlineStr">
        <is>
          <t>4001638098014</t>
        </is>
      </c>
      <c r="B17883" t="inlineStr">
        <is>
          <t>Weleda Calendula Toothpaste 75ml</t>
        </is>
      </c>
      <c r="C17883" t="inlineStr">
        <is>
          <t>Toothpaste</t>
        </is>
      </c>
      <c r="D17883" t="inlineStr">
        <is>
          <t>Weleda</t>
        </is>
      </c>
      <c r="E17883" t="n">
        <v>4.31</v>
      </c>
      <c r="F17883" t="n">
        <v>1</v>
      </c>
      <c r="G17883" t="n">
        <v>4</v>
      </c>
      <c r="H17883" s="5">
        <f>HYPERLINK("https://api.qogita.com/variants/link/4001638098014/", "View Product")</f>
        <v/>
      </c>
    </row>
    <row r="17884">
      <c r="A17884" t="inlineStr">
        <is>
          <t>4001638098236</t>
        </is>
      </c>
      <c r="B17884" t="inlineStr">
        <is>
          <t>Rosemary Activation Bath</t>
        </is>
      </c>
      <c r="C17884" t="inlineStr">
        <is>
          <t>Bath Oil &amp; Bath Milk</t>
        </is>
      </c>
      <c r="D17884" t="inlineStr">
        <is>
          <t>Weleda</t>
        </is>
      </c>
      <c r="E17884" t="n">
        <v>13.63</v>
      </c>
      <c r="F17884" t="n">
        <v>1</v>
      </c>
      <c r="G17884" t="n">
        <v>20</v>
      </c>
      <c r="H17884" s="5">
        <f>HYPERLINK("https://api.qogita.com/variants/link/4001638098236/", "View Product")</f>
        <v/>
      </c>
    </row>
    <row r="17885">
      <c r="A17885" t="inlineStr">
        <is>
          <t>4001638098243</t>
        </is>
      </c>
      <c r="B17885" t="inlineStr">
        <is>
          <t>Weleda Bio Citrus Refreshing Bath with Essential Citrus Oils 200ml</t>
        </is>
      </c>
      <c r="C17885" t="inlineStr">
        <is>
          <t>Bath Oil &amp; Bath Milk</t>
        </is>
      </c>
      <c r="D17885" t="inlineStr">
        <is>
          <t>Weleda</t>
        </is>
      </c>
      <c r="E17885" t="n">
        <v>13.63</v>
      </c>
      <c r="F17885" t="n">
        <v>1</v>
      </c>
      <c r="G17885" t="n">
        <v>2</v>
      </c>
      <c r="H17885" s="5">
        <f>HYPERLINK("https://api.qogita.com/variants/link/4001638098243/", "View Product")</f>
        <v/>
      </c>
    </row>
    <row r="17886">
      <c r="A17886" t="inlineStr">
        <is>
          <t>4001638500821</t>
        </is>
      </c>
      <c r="B17886" t="inlineStr">
        <is>
          <t>Weleda Bio Birch Cellulite Oil for Firming and Smoothing Skin 100ml</t>
        </is>
      </c>
      <c r="C17886" t="inlineStr">
        <is>
          <t>Body Oil</t>
        </is>
      </c>
      <c r="D17886" t="inlineStr">
        <is>
          <t>Weleda</t>
        </is>
      </c>
      <c r="E17886" t="n">
        <v>18.96</v>
      </c>
      <c r="F17886" t="n">
        <v>1</v>
      </c>
      <c r="G17886" t="n">
        <v>9</v>
      </c>
      <c r="H17886" s="5">
        <f>HYPERLINK("https://api.qogita.com/variants/link/4001638500821/", "View Product")</f>
        <v/>
      </c>
    </row>
    <row r="17887">
      <c r="A17887" t="inlineStr">
        <is>
          <t>4001638500845</t>
        </is>
      </c>
      <c r="B17887" t="inlineStr">
        <is>
          <t>Weleda Bio Citrus Refreshing Body Oil 100ml</t>
        </is>
      </c>
      <c r="C17887" t="inlineStr">
        <is>
          <t>Body Oil</t>
        </is>
      </c>
      <c r="D17887" t="inlineStr">
        <is>
          <t>Weleda</t>
        </is>
      </c>
      <c r="E17887" t="n">
        <v>15.17</v>
      </c>
      <c r="F17887" t="n">
        <v>1</v>
      </c>
      <c r="G17887" t="n">
        <v>6</v>
      </c>
      <c r="H17887" s="5">
        <f>HYPERLINK("https://api.qogita.com/variants/link/4001638500845/", "View Product")</f>
        <v/>
      </c>
    </row>
    <row r="17888">
      <c r="A17888" t="inlineStr">
        <is>
          <t>4001638500852</t>
        </is>
      </c>
      <c r="B17888" t="inlineStr">
        <is>
          <t>Weleda Bio Pomegranate Regenerating Body Oil 100ml</t>
        </is>
      </c>
      <c r="C17888" t="inlineStr">
        <is>
          <t>Body Oil</t>
        </is>
      </c>
      <c r="D17888" t="inlineStr">
        <is>
          <t>Weleda</t>
        </is>
      </c>
      <c r="E17888" t="n">
        <v>18.96</v>
      </c>
      <c r="F17888" t="n">
        <v>1</v>
      </c>
      <c r="G17888" t="n">
        <v>2</v>
      </c>
      <c r="H17888" s="5">
        <f>HYPERLINK("https://api.qogita.com/variants/link/4001638500852/", "View Product")</f>
        <v/>
      </c>
    </row>
    <row r="17889">
      <c r="A17889" t="inlineStr">
        <is>
          <t>4001638523141</t>
        </is>
      </c>
      <c r="B17889" t="inlineStr">
        <is>
          <t>WELEDA Calendula Cream Bath</t>
        </is>
      </c>
      <c r="C17889" t="inlineStr">
        <is>
          <t>Bath Oil &amp; Bath Milk</t>
        </is>
      </c>
      <c r="D17889" t="inlineStr">
        <is>
          <t>Weleda</t>
        </is>
      </c>
      <c r="E17889" t="n">
        <v>11.46</v>
      </c>
      <c r="F17889" t="n">
        <v>1</v>
      </c>
      <c r="G17889" t="n">
        <v>3</v>
      </c>
      <c r="H17889" s="5">
        <f>HYPERLINK("https://api.qogita.com/variants/link/4001638523141/", "View Product")</f>
        <v/>
      </c>
    </row>
    <row r="17890">
      <c r="A17890" t="inlineStr">
        <is>
          <t>4001638526708</t>
        </is>
      </c>
      <c r="B17890" t="inlineStr">
        <is>
          <t>Weleda Skin Food Body Butter Extra Nutrient 150 Ml Ideal For Dry Skin</t>
        </is>
      </c>
      <c r="C17890" t="inlineStr">
        <is>
          <t>Body Butter</t>
        </is>
      </c>
      <c r="D17890" t="inlineStr">
        <is>
          <t>Weleda</t>
        </is>
      </c>
      <c r="E17890" t="n">
        <v>15.17</v>
      </c>
      <c r="F17890" t="n">
        <v>1</v>
      </c>
      <c r="G17890" t="n">
        <v>8</v>
      </c>
      <c r="H17890" s="5">
        <f>HYPERLINK("https://api.qogita.com/variants/link/4001638526708/", "View Product")</f>
        <v/>
      </c>
    </row>
    <row r="17891">
      <c r="A17891" t="inlineStr">
        <is>
          <t>4001638529969</t>
        </is>
      </c>
      <c r="B17891" t="inlineStr">
        <is>
          <t>Lavender Vetiver Solid Body Wash Shower Bar 75g</t>
        </is>
      </c>
      <c r="C17891" t="inlineStr">
        <is>
          <t>Soap</t>
        </is>
      </c>
      <c r="D17891" t="inlineStr">
        <is>
          <t>Weleda</t>
        </is>
      </c>
      <c r="E17891" t="n">
        <v>6.24</v>
      </c>
      <c r="F17891" t="n">
        <v>1</v>
      </c>
      <c r="G17891" t="n">
        <v>5</v>
      </c>
      <c r="H17891" s="5">
        <f>HYPERLINK("https://api.qogita.com/variants/link/4001638529969/", "View Product")</f>
        <v/>
      </c>
    </row>
    <row r="17892">
      <c r="A17892" t="inlineStr">
        <is>
          <t>4001638530088</t>
        </is>
      </c>
      <c r="B17892" t="inlineStr">
        <is>
          <t>WELEDA Bio Mama Pregnancy Body Butter 150ml - Rich Natural Massage Cream to Prevent Stretch Marks on Belly, Thighs, and Chest</t>
        </is>
      </c>
      <c r="C17892" t="inlineStr">
        <is>
          <t>Pregnancy</t>
        </is>
      </c>
      <c r="D17892" t="inlineStr">
        <is>
          <t>Weleda</t>
        </is>
      </c>
      <c r="E17892" t="n">
        <v>18.2</v>
      </c>
      <c r="F17892" t="n">
        <v>1</v>
      </c>
      <c r="G17892" t="n">
        <v>8</v>
      </c>
      <c r="H17892" s="5">
        <f>HYPERLINK("https://api.qogita.com/variants/link/4001638530088/", "View Product")</f>
        <v/>
      </c>
    </row>
    <row r="17893">
      <c r="A17893" t="inlineStr">
        <is>
          <t>4001638530248</t>
        </is>
      </c>
      <c r="B17893" t="inlineStr">
        <is>
          <t>Calendula All-In-One Balm</t>
        </is>
      </c>
      <c r="C17893" t="inlineStr">
        <is>
          <t>Baby Cream &amp; Oil</t>
        </is>
      </c>
      <c r="D17893" t="inlineStr">
        <is>
          <t>Weleda</t>
        </is>
      </c>
      <c r="E17893" t="n">
        <v>8.94</v>
      </c>
      <c r="F17893" t="n">
        <v>1</v>
      </c>
      <c r="G17893" t="n">
        <v>2</v>
      </c>
      <c r="H17893" s="5">
        <f>HYPERLINK("https://api.qogita.com/variants/link/4001638530248/", "View Product")</f>
        <v/>
      </c>
    </row>
    <row r="17894">
      <c r="A17894" t="inlineStr">
        <is>
          <t>4001638580090</t>
        </is>
      </c>
      <c r="B17894" t="inlineStr">
        <is>
          <t>Bio Firming Night Care with Pomegranate &amp; Maca Peptides Natural Cosmetics Skin Cream 40ml</t>
        </is>
      </c>
      <c r="C17894" t="inlineStr">
        <is>
          <t>Night Cream</t>
        </is>
      </c>
      <c r="D17894" t="inlineStr">
        <is>
          <t>Weleda</t>
        </is>
      </c>
      <c r="E17894" t="n">
        <v>22.75</v>
      </c>
      <c r="F17894" t="n">
        <v>1</v>
      </c>
      <c r="G17894" t="n">
        <v>5</v>
      </c>
      <c r="H17894" s="5">
        <f>HYPERLINK("https://api.qogita.com/variants/link/4001638580090/", "View Product")</f>
        <v/>
      </c>
    </row>
    <row r="17895">
      <c r="A17895" t="inlineStr">
        <is>
          <t>4001638580205</t>
        </is>
      </c>
      <c r="B17895" t="inlineStr">
        <is>
          <t>Weleda Skin Food Nourishing Night Cream</t>
        </is>
      </c>
      <c r="C17895" t="inlineStr">
        <is>
          <t>Night Cream</t>
        </is>
      </c>
      <c r="D17895" t="inlineStr">
        <is>
          <t>Weleda</t>
        </is>
      </c>
      <c r="E17895" t="n">
        <v>17.82</v>
      </c>
      <c r="F17895" t="n">
        <v>1</v>
      </c>
      <c r="G17895" t="n">
        <v>5</v>
      </c>
      <c r="H17895" s="5">
        <f>HYPERLINK("https://api.qogita.com/variants/link/4001638580205/", "View Product")</f>
        <v/>
      </c>
    </row>
    <row r="17896">
      <c r="A17896" t="inlineStr">
        <is>
          <t>4001638580755</t>
        </is>
      </c>
      <c r="B17896" t="inlineStr">
        <is>
          <t>Weleda Hand Cream Mandarino Di Capri - 50 Ml</t>
        </is>
      </c>
      <c r="C17896" t="inlineStr">
        <is>
          <t>Hand Cream</t>
        </is>
      </c>
      <c r="D17896" t="inlineStr">
        <is>
          <t>Weleda</t>
        </is>
      </c>
      <c r="E17896" t="n">
        <v>8.1</v>
      </c>
      <c r="F17896" t="n">
        <v>1</v>
      </c>
      <c r="G17896" t="n">
        <v>8</v>
      </c>
      <c r="H17896" s="5">
        <f>HYPERLINK("https://api.qogita.com/variants/link/4001638580755/", "View Product")</f>
        <v/>
      </c>
    </row>
    <row r="17897">
      <c r="A17897" t="inlineStr">
        <is>
          <t>4001638580779</t>
        </is>
      </c>
      <c r="B17897" t="inlineStr">
        <is>
          <t>Weleda Rosemary Oil Revitalizing Conditioner with Hydrolyzed Proteins and Arginine</t>
        </is>
      </c>
      <c r="C17897" t="inlineStr">
        <is>
          <t>Conditioner</t>
        </is>
      </c>
      <c r="D17897" t="inlineStr">
        <is>
          <t>Weleda</t>
        </is>
      </c>
      <c r="E17897" t="n">
        <v>10.04</v>
      </c>
      <c r="F17897" t="n">
        <v>1</v>
      </c>
      <c r="G17897" t="n">
        <v>8</v>
      </c>
      <c r="H17897" s="5">
        <f>HYPERLINK("https://api.qogita.com/variants/link/4001638580779/", "View Product")</f>
        <v/>
      </c>
    </row>
    <row r="17898">
      <c r="A17898" t="inlineStr">
        <is>
          <t>4001638589567</t>
        </is>
      </c>
      <c r="B17898" t="inlineStr">
        <is>
          <t>Weleda Men 2in1 Cleansing Gel For Face And Beard 100 Ml</t>
        </is>
      </c>
      <c r="C17898" t="inlineStr">
        <is>
          <t>Cleansing Gel</t>
        </is>
      </c>
      <c r="D17898" t="inlineStr">
        <is>
          <t>Weleda</t>
        </is>
      </c>
      <c r="E17898" t="n">
        <v>7.83</v>
      </c>
      <c r="F17898" t="n">
        <v>1</v>
      </c>
      <c r="G17898" t="n">
        <v>2</v>
      </c>
      <c r="H17898" s="5">
        <f>HYPERLINK("https://api.qogita.com/variants/link/4001638589567/", "View Product")</f>
        <v/>
      </c>
    </row>
    <row r="17899">
      <c r="A17899" t="inlineStr">
        <is>
          <t>4001638589611</t>
        </is>
      </c>
      <c r="B17899" t="inlineStr">
        <is>
          <t>Weleda Deep Cleansing Gel Refreshing Cleansing Gel For Normal To Combination Skin</t>
        </is>
      </c>
      <c r="C17899" t="inlineStr">
        <is>
          <t>Cleansing Gel</t>
        </is>
      </c>
      <c r="D17899" t="inlineStr">
        <is>
          <t>Weleda</t>
        </is>
      </c>
      <c r="E17899" t="n">
        <v>11.35</v>
      </c>
      <c r="F17899" t="n">
        <v>1</v>
      </c>
      <c r="G17899" t="n">
        <v>2</v>
      </c>
      <c r="H17899" s="5">
        <f>HYPERLINK("https://api.qogita.com/variants/link/4001638589611/", "View Product")</f>
        <v/>
      </c>
    </row>
    <row r="17900">
      <c r="A17900" t="inlineStr">
        <is>
          <t>4001638589871</t>
        </is>
      </c>
      <c r="B17900" t="inlineStr">
        <is>
          <t>Weleda Bio Skin Repair Intensive Treatment Wild Rose - Natural Cosmetics for Aging</t>
        </is>
      </c>
      <c r="C17900" t="inlineStr">
        <is>
          <t>Anti-Aging Facial Care</t>
        </is>
      </c>
      <c r="D17900" t="inlineStr">
        <is>
          <t>Weleda</t>
        </is>
      </c>
      <c r="E17900" t="n">
        <v>14.13</v>
      </c>
      <c r="F17900" t="n">
        <v>1</v>
      </c>
      <c r="G17900" t="n">
        <v>8</v>
      </c>
      <c r="H17900" s="5">
        <f>HYPERLINK("https://api.qogita.com/variants/link/4001638589871/", "View Product")</f>
        <v/>
      </c>
    </row>
    <row r="17901">
      <c r="A17901" t="inlineStr">
        <is>
          <t>4001638590235</t>
        </is>
      </c>
      <c r="B17901" t="inlineStr">
        <is>
          <t>Weleda Calendula Soothing Baby Cream 75 Ml</t>
        </is>
      </c>
      <c r="C17901" t="inlineStr">
        <is>
          <t>Baby Cream &amp; Oil</t>
        </is>
      </c>
      <c r="D17901" t="inlineStr">
        <is>
          <t>Weleda</t>
        </is>
      </c>
      <c r="E17901" t="n">
        <v>8.710000000000001</v>
      </c>
      <c r="F17901" t="n">
        <v>1</v>
      </c>
      <c r="G17901" t="n">
        <v>6</v>
      </c>
      <c r="H17901" s="5">
        <f>HYPERLINK("https://api.qogita.com/variants/link/4001638590235/", "View Product")</f>
        <v/>
      </c>
    </row>
    <row r="17902">
      <c r="A17902" t="inlineStr">
        <is>
          <t>4001638590266</t>
        </is>
      </c>
      <c r="B17902" t="inlineStr">
        <is>
          <t>Weleda Calendula Body Wash &amp; Shampoo 400 Ml</t>
        </is>
      </c>
      <c r="C17902" t="inlineStr">
        <is>
          <t>Shower Gel</t>
        </is>
      </c>
      <c r="D17902" t="inlineStr">
        <is>
          <t>Weleda</t>
        </is>
      </c>
      <c r="E17902" t="n">
        <v>18.96</v>
      </c>
      <c r="F17902" t="n">
        <v>1</v>
      </c>
      <c r="G17902" t="n">
        <v>2</v>
      </c>
      <c r="H17902" s="5">
        <f>HYPERLINK("https://api.qogita.com/variants/link/4001638590266/", "View Product")</f>
        <v/>
      </c>
    </row>
    <row r="17903">
      <c r="A17903" t="inlineStr">
        <is>
          <t>4001638590570</t>
        </is>
      </c>
      <c r="B17903" t="inlineStr">
        <is>
          <t>Weleda Organic Very Cherry Hand Cream Limited Edition Natural Cosmetics Hand Care</t>
        </is>
      </c>
      <c r="C17903" t="inlineStr">
        <is>
          <t>Hand Cream</t>
        </is>
      </c>
      <c r="D17903" t="inlineStr">
        <is>
          <t>Weleda</t>
        </is>
      </c>
      <c r="E17903" t="n">
        <v>8.1</v>
      </c>
      <c r="F17903" t="n">
        <v>1</v>
      </c>
      <c r="G17903" t="n">
        <v>2</v>
      </c>
      <c r="H17903" s="5">
        <f>HYPERLINK("https://api.qogita.com/variants/link/4001638590570/", "View Product")</f>
        <v/>
      </c>
    </row>
    <row r="17904">
      <c r="A17904" t="inlineStr">
        <is>
          <t>4002448116585</t>
        </is>
      </c>
      <c r="B17904" t="inlineStr">
        <is>
          <t>Scholl Velvet Smooth Electric File And Extra Rough Head</t>
        </is>
      </c>
      <c r="C17904" t="inlineStr">
        <is>
          <t>Callus Remover</t>
        </is>
      </c>
      <c r="D17904" t="inlineStr">
        <is>
          <t>Scholl</t>
        </is>
      </c>
      <c r="E17904" t="n">
        <v>22.5</v>
      </c>
      <c r="F17904" t="n">
        <v>1</v>
      </c>
      <c r="G17904" t="n">
        <v>16</v>
      </c>
      <c r="H17904" s="5">
        <f>HYPERLINK("https://api.qogita.com/variants/link/4002448116585/", "View Product")</f>
        <v/>
      </c>
    </row>
    <row r="17905">
      <c r="A17905" t="inlineStr">
        <is>
          <t>4003349004896</t>
        </is>
      </c>
      <c r="B17905" t="inlineStr">
        <is>
          <t>Pfeilring Solingen Black Manicure Set Made Of Genuine Leather Solingen 9350 5 Pieces</t>
        </is>
      </c>
      <c r="C17905" t="inlineStr">
        <is>
          <t>Manicure Sets</t>
        </is>
      </c>
      <c r="D17905" t="inlineStr">
        <is>
          <t>Pfeilring</t>
        </is>
      </c>
      <c r="E17905" t="n">
        <v>69.38</v>
      </c>
      <c r="F17905" t="n">
        <v>1</v>
      </c>
      <c r="G17905" t="n">
        <v>3</v>
      </c>
      <c r="H17905" s="5">
        <f>HYPERLINK("https://api.qogita.com/variants/link/4003349004896/", "View Product")</f>
        <v/>
      </c>
    </row>
    <row r="17906">
      <c r="A17906" t="inlineStr">
        <is>
          <t>4003349007408</t>
        </is>
      </c>
      <c r="B17906" t="inlineStr">
        <is>
          <t>Pfeilring Solingen Manicure Set - 5 Pieces, Genuine Leather, Black</t>
        </is>
      </c>
      <c r="C17906" t="inlineStr">
        <is>
          <t>Manicure Sets</t>
        </is>
      </c>
      <c r="D17906" t="inlineStr">
        <is>
          <t>Pfeilring</t>
        </is>
      </c>
      <c r="E17906" t="n">
        <v>72.56999999999999</v>
      </c>
      <c r="F17906" t="n">
        <v>1</v>
      </c>
      <c r="G17906" t="n">
        <v>3</v>
      </c>
      <c r="H17906" s="5">
        <f>HYPERLINK("https://api.qogita.com/variants/link/4003349007408/", "View Product")</f>
        <v/>
      </c>
    </row>
    <row r="17907">
      <c r="A17907" t="inlineStr">
        <is>
          <t>4005800034329</t>
        </is>
      </c>
      <c r="B17907" t="inlineStr">
        <is>
          <t>Eucerin Repairing Hand Cream 5% Urea 75ml</t>
        </is>
      </c>
      <c r="C17907" t="inlineStr">
        <is>
          <t>Hand Cream</t>
        </is>
      </c>
      <c r="D17907" t="inlineStr">
        <is>
          <t>Eucerin</t>
        </is>
      </c>
      <c r="E17907" t="n">
        <v>7.97</v>
      </c>
      <c r="F17907" t="n">
        <v>1</v>
      </c>
      <c r="G17907" t="n">
        <v>3</v>
      </c>
      <c r="H17907" s="5">
        <f>HYPERLINK("https://api.qogita.com/variants/link/4005800034329/", "View Product")</f>
        <v/>
      </c>
    </row>
    <row r="17908">
      <c r="A17908" t="inlineStr">
        <is>
          <t>4005800037184</t>
        </is>
      </c>
      <c r="B17908" t="inlineStr">
        <is>
          <t>Eucerin Dermocapillaire Hypertolerant Shampoo 250 Ml For Irritated And Allergic Skin</t>
        </is>
      </c>
      <c r="C17908" t="inlineStr">
        <is>
          <t>Shampoo</t>
        </is>
      </c>
      <c r="D17908" t="inlineStr">
        <is>
          <t>Eucerin</t>
        </is>
      </c>
      <c r="E17908" t="n">
        <v>15.3</v>
      </c>
      <c r="F17908" t="n">
        <v>1</v>
      </c>
      <c r="G17908" t="n">
        <v>7</v>
      </c>
      <c r="H17908" s="5">
        <f>HYPERLINK("https://api.qogita.com/variants/link/4005800037184/", "View Product")</f>
        <v/>
      </c>
    </row>
    <row r="17909">
      <c r="A17909" t="inlineStr">
        <is>
          <t>4005800050039</t>
        </is>
      </c>
      <c r="B17909" t="inlineStr">
        <is>
          <t>Eucerin Volumefiller Spf 15 Remodeling Day Cream For Normal To Combination Skin 50 Ml</t>
        </is>
      </c>
      <c r="C17909" t="inlineStr">
        <is>
          <t>Day Cream</t>
        </is>
      </c>
      <c r="D17909" t="inlineStr">
        <is>
          <t>Eucerin</t>
        </is>
      </c>
      <c r="E17909" t="n">
        <v>30.99</v>
      </c>
      <c r="F17909" t="n">
        <v>1</v>
      </c>
      <c r="G17909" t="n">
        <v>3</v>
      </c>
      <c r="H17909" s="5">
        <f>HYPERLINK("https://api.qogita.com/variants/link/4005800050039/", "View Product")</f>
        <v/>
      </c>
    </row>
    <row r="17910">
      <c r="A17910" t="inlineStr">
        <is>
          <t>4005800119538</t>
        </is>
      </c>
      <c r="B17910" t="inlineStr">
        <is>
          <t>Eucerin Oil Control Face Sun Gel-Cream SPF 30 50ml</t>
        </is>
      </c>
      <c r="C17910" t="inlineStr">
        <is>
          <t>Face Sun Protection</t>
        </is>
      </c>
      <c r="D17910" t="inlineStr">
        <is>
          <t>Eucerin</t>
        </is>
      </c>
      <c r="E17910" t="n">
        <v>21.61</v>
      </c>
      <c r="F17910" t="n">
        <v>1</v>
      </c>
      <c r="G17910" t="n">
        <v>13</v>
      </c>
      <c r="H17910" s="5">
        <f>HYPERLINK("https://api.qogita.com/variants/link/4005800119538/", "View Product")</f>
        <v/>
      </c>
    </row>
    <row r="17911">
      <c r="A17911" t="inlineStr">
        <is>
          <t>4005800181009</t>
        </is>
      </c>
      <c r="B17911" t="inlineStr">
        <is>
          <t>Eucerin DermoPure Skin Renewing Serum 40ml</t>
        </is>
      </c>
      <c r="C17911" t="inlineStr">
        <is>
          <t>Hydrating Serum</t>
        </is>
      </c>
      <c r="D17911" t="inlineStr">
        <is>
          <t>Eucerin</t>
        </is>
      </c>
      <c r="E17911" t="n">
        <v>21.14</v>
      </c>
      <c r="F17911" t="n">
        <v>1</v>
      </c>
      <c r="G17911" t="n">
        <v>4</v>
      </c>
      <c r="H17911" s="5">
        <f>HYPERLINK("https://api.qogita.com/variants/link/4005800181009/", "View Product")</f>
        <v/>
      </c>
    </row>
    <row r="17912">
      <c r="A17912" t="inlineStr">
        <is>
          <t>4005800217913</t>
        </is>
      </c>
      <c r="B17912" t="inlineStr">
        <is>
          <t>Eucerin Urea Plus 30% Urea Cream 75ml</t>
        </is>
      </c>
      <c r="C17912" t="inlineStr">
        <is>
          <t>Neurodermatitis</t>
        </is>
      </c>
      <c r="D17912" t="inlineStr">
        <is>
          <t>Eucerin</t>
        </is>
      </c>
      <c r="E17912" t="n">
        <v>19.49</v>
      </c>
      <c r="F17912" t="n">
        <v>1</v>
      </c>
      <c r="G17912" t="n">
        <v>9</v>
      </c>
      <c r="H17912" s="5">
        <f>HYPERLINK("https://api.qogita.com/variants/link/4005800217913/", "View Product")</f>
        <v/>
      </c>
    </row>
    <row r="17913">
      <c r="A17913" t="inlineStr">
        <is>
          <t>4005800248597</t>
        </is>
      </c>
      <c r="B17913" t="inlineStr">
        <is>
          <t>Ph5 Hand Cream for Sensitive Skin 75ml</t>
        </is>
      </c>
      <c r="C17913" t="inlineStr">
        <is>
          <t>Hand Cream</t>
        </is>
      </c>
      <c r="D17913" t="inlineStr">
        <is>
          <t>Eucerin</t>
        </is>
      </c>
      <c r="E17913" t="n">
        <v>7.4</v>
      </c>
      <c r="F17913" t="n">
        <v>1</v>
      </c>
      <c r="G17913" t="n">
        <v>7</v>
      </c>
      <c r="H17913" s="5">
        <f>HYPERLINK("https://api.qogita.com/variants/link/4005800248597/", "View Product")</f>
        <v/>
      </c>
    </row>
    <row r="17914">
      <c r="A17914" t="inlineStr">
        <is>
          <t>4005800257032</t>
        </is>
      </c>
      <c r="B17914" t="inlineStr">
        <is>
          <t>Eucerin Urea Repair 5% Night Face Cream 50ml</t>
        </is>
      </c>
      <c r="C17914" t="inlineStr">
        <is>
          <t>Night Cream</t>
        </is>
      </c>
      <c r="D17914" t="inlineStr">
        <is>
          <t>Eucerin</t>
        </is>
      </c>
      <c r="E17914" t="n">
        <v>29.83</v>
      </c>
      <c r="F17914" t="n">
        <v>1</v>
      </c>
      <c r="G17914" t="n">
        <v>5</v>
      </c>
      <c r="H17914" s="5">
        <f>HYPERLINK("https://api.qogita.com/variants/link/4005800257032/", "View Product")</f>
        <v/>
      </c>
    </row>
    <row r="17915">
      <c r="A17915" t="inlineStr">
        <is>
          <t>4005800264481</t>
        </is>
      </c>
      <c r="B17915" t="inlineStr">
        <is>
          <t>Eucerin Atopicontrol Acute Care Cream For Dry And Atopic Skin 100ml</t>
        </is>
      </c>
      <c r="C17915" t="inlineStr">
        <is>
          <t>Neurodermatitis</t>
        </is>
      </c>
      <c r="D17915" t="inlineStr">
        <is>
          <t>Eucerin</t>
        </is>
      </c>
      <c r="E17915" t="n">
        <v>20.95</v>
      </c>
      <c r="F17915" t="n">
        <v>1</v>
      </c>
      <c r="G17915" t="n">
        <v>3</v>
      </c>
      <c r="H17915" s="5">
        <f>HYPERLINK("https://api.qogita.com/variants/link/4005800264481/", "View Product")</f>
        <v/>
      </c>
    </row>
    <row r="17916">
      <c r="A17916" t="inlineStr">
        <is>
          <t>4005800270130</t>
        </is>
      </c>
      <c r="B17916" t="inlineStr">
        <is>
          <t>Eucerin Eye Make Up Remover 125ml</t>
        </is>
      </c>
      <c r="C17916" t="inlineStr">
        <is>
          <t>Makeup Remover</t>
        </is>
      </c>
      <c r="D17916" t="inlineStr">
        <is>
          <t>Eucerin</t>
        </is>
      </c>
      <c r="E17916" t="n">
        <v>14.69</v>
      </c>
      <c r="F17916" t="n">
        <v>1</v>
      </c>
      <c r="G17916" t="n">
        <v>9</v>
      </c>
      <c r="H17916" s="5">
        <f>HYPERLINK("https://api.qogita.com/variants/link/4005800270130/", "View Product")</f>
        <v/>
      </c>
    </row>
    <row r="17917">
      <c r="A17917" t="inlineStr">
        <is>
          <t>4005800287718</t>
        </is>
      </c>
      <c r="B17917" t="inlineStr">
        <is>
          <t>Eucerin Sun Oil Control Tinted Face Gel-Cream SPF50+ Medium</t>
        </is>
      </c>
      <c r="C17917" t="inlineStr">
        <is>
          <t>Face Sun Protection</t>
        </is>
      </c>
      <c r="D17917" t="inlineStr">
        <is>
          <t>Eucerin</t>
        </is>
      </c>
      <c r="E17917" t="n">
        <v>24.87</v>
      </c>
      <c r="F17917" t="n">
        <v>1</v>
      </c>
      <c r="G17917" t="n">
        <v>3</v>
      </c>
      <c r="H17917" s="5">
        <f>HYPERLINK("https://api.qogita.com/variants/link/4005800287718/", "View Product")</f>
        <v/>
      </c>
    </row>
    <row r="17918">
      <c r="A17918" t="inlineStr">
        <is>
          <t>4005800309984</t>
        </is>
      </c>
      <c r="B17918" t="inlineStr">
        <is>
          <t>Eucerin Anti-Age Hyaluron-Filler Moisture Booster Night</t>
        </is>
      </c>
      <c r="C17918" t="inlineStr">
        <is>
          <t>Night Cream</t>
        </is>
      </c>
      <c r="D17918" t="inlineStr">
        <is>
          <t>Eucerin</t>
        </is>
      </c>
      <c r="E17918" t="n">
        <v>31.27</v>
      </c>
      <c r="F17918" t="n">
        <v>1</v>
      </c>
      <c r="G17918" t="n">
        <v>2</v>
      </c>
      <c r="H17918" s="5">
        <f>HYPERLINK("https://api.qogita.com/variants/link/4005800309984/", "View Product")</f>
        <v/>
      </c>
    </row>
    <row r="17919">
      <c r="A17919" t="inlineStr">
        <is>
          <t>4005800332456</t>
        </is>
      </c>
      <c r="B17919" t="inlineStr">
        <is>
          <t>Eucerin DermoPure Triple Effect Cleansing Gel 150ml</t>
        </is>
      </c>
      <c r="C17919" t="inlineStr">
        <is>
          <t>Cleansing Gel</t>
        </is>
      </c>
      <c r="D17919" t="inlineStr">
        <is>
          <t>Eucerin</t>
        </is>
      </c>
      <c r="E17919" t="n">
        <v>14.69</v>
      </c>
      <c r="F17919" t="n">
        <v>1</v>
      </c>
      <c r="G17919" t="n">
        <v>11</v>
      </c>
      <c r="H17919" s="5">
        <f>HYPERLINK("https://api.qogita.com/variants/link/4005800332456/", "View Product")</f>
        <v/>
      </c>
    </row>
    <row r="17920">
      <c r="A17920" t="inlineStr">
        <is>
          <t>4005800342578</t>
        </is>
      </c>
      <c r="B17920" t="inlineStr">
        <is>
          <t>Eucerin Rejuvenating Skin Serum Hyaluron-Filler Epigenetic Serum 30 Ml</t>
        </is>
      </c>
      <c r="C17920" t="inlineStr">
        <is>
          <t>Hyaluronic Acid Serum</t>
        </is>
      </c>
      <c r="D17920" t="inlineStr">
        <is>
          <t>Eucerin</t>
        </is>
      </c>
      <c r="E17920" t="n">
        <v>57.68</v>
      </c>
      <c r="F17920" t="n">
        <v>1</v>
      </c>
      <c r="G17920" t="n">
        <v>14</v>
      </c>
      <c r="H17920" s="5">
        <f>HYPERLINK("https://api.qogita.com/variants/link/4005800342578/", "View Product")</f>
        <v/>
      </c>
    </row>
    <row r="17921">
      <c r="A17921" t="inlineStr">
        <is>
          <t>4005800346026</t>
        </is>
      </c>
      <c r="B17921" t="inlineStr">
        <is>
          <t>Eucerin Urearepair Shower Gel</t>
        </is>
      </c>
      <c r="C17921" t="inlineStr">
        <is>
          <t>Shower Gel</t>
        </is>
      </c>
      <c r="D17921" t="inlineStr">
        <is>
          <t>Eucerin</t>
        </is>
      </c>
      <c r="E17921" t="n">
        <v>21.69</v>
      </c>
      <c r="F17921" t="n">
        <v>1</v>
      </c>
      <c r="G17921" t="n">
        <v>8</v>
      </c>
      <c r="H17921" s="5">
        <f>HYPERLINK("https://api.qogita.com/variants/link/4005800346026/", "View Product")</f>
        <v/>
      </c>
    </row>
    <row r="17922">
      <c r="A17922" t="inlineStr">
        <is>
          <t>4005800346927</t>
        </is>
      </c>
      <c r="B17922" t="inlineStr">
        <is>
          <t>Eucerin Anti-Pigment Cleansing Gel 200ml</t>
        </is>
      </c>
      <c r="C17922" t="inlineStr">
        <is>
          <t>Cleansing Gel</t>
        </is>
      </c>
      <c r="D17922" t="inlineStr">
        <is>
          <t>Eucerin</t>
        </is>
      </c>
      <c r="E17922" t="n">
        <v>16.89</v>
      </c>
      <c r="F17922" t="n">
        <v>1</v>
      </c>
      <c r="G17922" t="n">
        <v>10</v>
      </c>
      <c r="H17922" s="5">
        <f>HYPERLINK("https://api.qogita.com/variants/link/4005800346927/", "View Product")</f>
        <v/>
      </c>
    </row>
    <row r="17923">
      <c r="A17923" t="inlineStr">
        <is>
          <t>4005800348747</t>
        </is>
      </c>
      <c r="B17923" t="inlineStr">
        <is>
          <t>Eucerin Atopicontrol Soothing Ultralight Hydro Lotion 400ml</t>
        </is>
      </c>
      <c r="C17923" t="inlineStr">
        <is>
          <t>Neurodermatitis</t>
        </is>
      </c>
      <c r="D17923" t="inlineStr">
        <is>
          <t>Eucerin</t>
        </is>
      </c>
      <c r="E17923" t="n">
        <v>32.37</v>
      </c>
      <c r="F17923" t="n">
        <v>1</v>
      </c>
      <c r="G17923" t="n">
        <v>5</v>
      </c>
      <c r="H17923" s="5">
        <f>HYPERLINK("https://api.qogita.com/variants/link/4005800348747/", "View Product")</f>
        <v/>
      </c>
    </row>
    <row r="17924">
      <c r="A17924" t="inlineStr">
        <is>
          <t>4005800630736</t>
        </is>
      </c>
      <c r="B17924" t="inlineStr">
        <is>
          <t>Eucerin Ph5 Wash Lotion Pump Gentle Body Wash For Sensitive Skin</t>
        </is>
      </c>
      <c r="C17924" t="inlineStr">
        <is>
          <t>Shower Gel</t>
        </is>
      </c>
      <c r="D17924" t="inlineStr">
        <is>
          <t>Eucerin</t>
        </is>
      </c>
      <c r="E17924" t="n">
        <v>12.34</v>
      </c>
      <c r="F17924" t="n">
        <v>1</v>
      </c>
      <c r="G17924" t="n">
        <v>11</v>
      </c>
      <c r="H17924" s="5">
        <f>HYPERLINK("https://api.qogita.com/variants/link/4005800630736/", "View Product")</f>
        <v/>
      </c>
    </row>
    <row r="17925">
      <c r="A17925" t="inlineStr">
        <is>
          <t>4005808228706</t>
        </is>
      </c>
      <c r="B17925" t="inlineStr">
        <is>
          <t>Nivea Men Sensitive Soothing After Shave Balm 100ml</t>
        </is>
      </c>
      <c r="C17925" t="inlineStr">
        <is>
          <t>Aftershave</t>
        </is>
      </c>
      <c r="D17925" t="inlineStr">
        <is>
          <t>Nivea</t>
        </is>
      </c>
      <c r="E17925" t="n">
        <v>9.52</v>
      </c>
      <c r="F17925" t="n">
        <v>1</v>
      </c>
      <c r="G17925" t="n">
        <v>8</v>
      </c>
      <c r="H17925" s="5">
        <f>HYPERLINK("https://api.qogita.com/variants/link/4005808228706/", "View Product")</f>
        <v/>
      </c>
    </row>
    <row r="17926">
      <c r="A17926" t="inlineStr">
        <is>
          <t>4005808260317</t>
        </is>
      </c>
      <c r="B17926" t="inlineStr">
        <is>
          <t>Nivea Color Care &amp; Protect Styling Spray 4 Extra Strong Hair Lacquer 250ml</t>
        </is>
      </c>
      <c r="C17926" t="inlineStr">
        <is>
          <t>Hairspray</t>
        </is>
      </c>
      <c r="D17926" t="inlineStr">
        <is>
          <t>Nivea</t>
        </is>
      </c>
      <c r="E17926" t="n">
        <v>5.9</v>
      </c>
      <c r="F17926" t="n">
        <v>1</v>
      </c>
      <c r="G17926" t="n">
        <v>2</v>
      </c>
      <c r="H17926" s="5">
        <f>HYPERLINK("https://api.qogita.com/variants/link/4005808260317/", "View Product")</f>
        <v/>
      </c>
    </row>
    <row r="17927">
      <c r="A17927" t="inlineStr">
        <is>
          <t>4005808265312</t>
        </is>
      </c>
      <c r="B17927" t="inlineStr">
        <is>
          <t>Nivea Men Sensitive Shaving Gel 200ml</t>
        </is>
      </c>
      <c r="C17927" t="inlineStr">
        <is>
          <t>Shaving</t>
        </is>
      </c>
      <c r="D17927" t="inlineStr">
        <is>
          <t>Nivea</t>
        </is>
      </c>
      <c r="E17927" t="n">
        <v>6.71</v>
      </c>
      <c r="F17927" t="n">
        <v>1</v>
      </c>
      <c r="G17927" t="n">
        <v>5</v>
      </c>
      <c r="H17927" s="5">
        <f>HYPERLINK("https://api.qogita.com/variants/link/4005808265312/", "View Product")</f>
        <v/>
      </c>
    </row>
    <row r="17928">
      <c r="A17928" t="inlineStr">
        <is>
          <t>4005808310715</t>
        </is>
      </c>
      <c r="B17928" t="inlineStr">
        <is>
          <t>Nivea Sensitive Shaving Foam 200 Ml</t>
        </is>
      </c>
      <c r="C17928" t="inlineStr">
        <is>
          <t>Shaving</t>
        </is>
      </c>
      <c r="D17928" t="inlineStr">
        <is>
          <t>Nivea</t>
        </is>
      </c>
      <c r="E17928" t="n">
        <v>2.7</v>
      </c>
      <c r="F17928" t="n">
        <v>1</v>
      </c>
      <c r="G17928" t="n">
        <v>4</v>
      </c>
      <c r="H17928" s="5">
        <f>HYPERLINK("https://api.qogita.com/variants/link/4005808310715/", "View Product")</f>
        <v/>
      </c>
    </row>
    <row r="17929">
      <c r="A17929" t="inlineStr">
        <is>
          <t>4005808710447</t>
        </is>
      </c>
      <c r="B17929" t="inlineStr">
        <is>
          <t>Nivea Smooth Sensation Creamy Body Lotion For Dry Skin 400 Ml</t>
        </is>
      </c>
      <c r="C17929" t="inlineStr">
        <is>
          <t>Body Lotion</t>
        </is>
      </c>
      <c r="D17929" t="inlineStr">
        <is>
          <t>Nivea</t>
        </is>
      </c>
      <c r="E17929" t="n">
        <v>6.11</v>
      </c>
      <c r="F17929" t="n">
        <v>1</v>
      </c>
      <c r="G17929" t="n">
        <v>5</v>
      </c>
      <c r="H17929" s="5">
        <f>HYPERLINK("https://api.qogita.com/variants/link/4005808710447/", "View Product")</f>
        <v/>
      </c>
    </row>
    <row r="17930">
      <c r="A17930" t="inlineStr">
        <is>
          <t>4005808729951</t>
        </is>
      </c>
      <c r="B17930" t="inlineStr">
        <is>
          <t>Nivea Invisible For Black &amp; White Power Antiperspirant Spray For Men 150 Ml</t>
        </is>
      </c>
      <c r="C17930" t="inlineStr">
        <is>
          <t>Deodorant &amp; Anti-Perspirant</t>
        </is>
      </c>
      <c r="D17930" t="inlineStr">
        <is>
          <t>Nivea</t>
        </is>
      </c>
      <c r="E17930" t="n">
        <v>5.23</v>
      </c>
      <c r="F17930" t="n">
        <v>1</v>
      </c>
      <c r="G17930" t="n">
        <v>18</v>
      </c>
      <c r="H17930" s="5">
        <f>HYPERLINK("https://api.qogita.com/variants/link/4005808729951/", "View Product")</f>
        <v/>
      </c>
    </row>
    <row r="17931">
      <c r="A17931" t="inlineStr">
        <is>
          <t>4005808735495</t>
        </is>
      </c>
      <c r="B17931" t="inlineStr">
        <is>
          <t>Nivea Double Effect Antiperspirant Spray For Women 150 Ml</t>
        </is>
      </c>
      <c r="C17931" t="inlineStr">
        <is>
          <t>Deodorant &amp; Anti-Perspirant</t>
        </is>
      </c>
      <c r="D17931" t="inlineStr">
        <is>
          <t>Nivea</t>
        </is>
      </c>
      <c r="E17931" t="n">
        <v>4.04</v>
      </c>
      <c r="F17931" t="n">
        <v>1</v>
      </c>
      <c r="G17931" t="n">
        <v>7</v>
      </c>
      <c r="H17931" s="5">
        <f>HYPERLINK("https://api.qogita.com/variants/link/4005808735495/", "View Product")</f>
        <v/>
      </c>
    </row>
    <row r="17932">
      <c r="A17932" t="inlineStr">
        <is>
          <t>4005808745425</t>
        </is>
      </c>
      <c r="B17932" t="inlineStr">
        <is>
          <t>Nivea Daily Essentials BB Cream 5 in 1 Beautifying</t>
        </is>
      </c>
      <c r="C17932" t="inlineStr">
        <is>
          <t>Tinted Day Cream</t>
        </is>
      </c>
      <c r="D17932" t="inlineStr">
        <is>
          <t>Nivea</t>
        </is>
      </c>
      <c r="E17932" t="n">
        <v>8.359999999999999</v>
      </c>
      <c r="F17932" t="n">
        <v>1</v>
      </c>
      <c r="G17932" t="n">
        <v>7</v>
      </c>
      <c r="H17932" s="5">
        <f>HYPERLINK("https://api.qogita.com/variants/link/4005808745425/", "View Product")</f>
        <v/>
      </c>
    </row>
    <row r="17933">
      <c r="A17933" t="inlineStr">
        <is>
          <t>4005808751426</t>
        </is>
      </c>
      <c r="B17933" t="inlineStr">
        <is>
          <t>Nivea Soft Day Cream for Women Dehydrated 300ml</t>
        </is>
      </c>
      <c r="C17933" t="inlineStr">
        <is>
          <t>Day Cream</t>
        </is>
      </c>
      <c r="D17933" t="inlineStr">
        <is>
          <t>Nivea</t>
        </is>
      </c>
      <c r="E17933" t="n">
        <v>4.58</v>
      </c>
      <c r="F17933" t="n">
        <v>1</v>
      </c>
      <c r="G17933" t="n">
        <v>23</v>
      </c>
      <c r="H17933" s="5">
        <f>HYPERLINK("https://api.qogita.com/variants/link/4005808751426/", "View Product")</f>
        <v/>
      </c>
    </row>
    <row r="17934">
      <c r="A17934" t="inlineStr">
        <is>
          <t>4005808782581</t>
        </is>
      </c>
      <c r="B17934" t="inlineStr">
        <is>
          <t>Nivea Shower Gel For Men Sensitive</t>
        </is>
      </c>
      <c r="C17934" t="inlineStr">
        <is>
          <t>Shower Gel</t>
        </is>
      </c>
      <c r="D17934" t="inlineStr">
        <is>
          <t>Nivea</t>
        </is>
      </c>
      <c r="E17934" t="n">
        <v>3.5</v>
      </c>
      <c r="F17934" t="n">
        <v>1</v>
      </c>
      <c r="G17934" t="n">
        <v>4</v>
      </c>
      <c r="H17934" s="5">
        <f>HYPERLINK("https://api.qogita.com/variants/link/4005808782581/", "View Product")</f>
        <v/>
      </c>
    </row>
    <row r="17935">
      <c r="A17935" t="inlineStr">
        <is>
          <t>4005808802623</t>
        </is>
      </c>
      <c r="B17935" t="inlineStr">
        <is>
          <t>Nivea Shower Body Milk 400ml</t>
        </is>
      </c>
      <c r="C17935" t="inlineStr">
        <is>
          <t>Body Lotion</t>
        </is>
      </c>
      <c r="D17935" t="inlineStr">
        <is>
          <t>Nivea</t>
        </is>
      </c>
      <c r="E17935" t="n">
        <v>8.34</v>
      </c>
      <c r="F17935" t="n">
        <v>1</v>
      </c>
      <c r="G17935" t="n">
        <v>14</v>
      </c>
      <c r="H17935" s="5">
        <f>HYPERLINK("https://api.qogita.com/variants/link/4005808802623/", "View Product")</f>
        <v/>
      </c>
    </row>
    <row r="17936">
      <c r="A17936" t="inlineStr">
        <is>
          <t>4005900581501</t>
        </is>
      </c>
      <c r="B17936" t="inlineStr">
        <is>
          <t>Aloe Moisturizing Body Lotion 500ml</t>
        </is>
      </c>
      <c r="C17936" t="inlineStr">
        <is>
          <t>Body Lotion</t>
        </is>
      </c>
      <c r="D17936" t="inlineStr">
        <is>
          <t>Nivea</t>
        </is>
      </c>
      <c r="E17936" t="n">
        <v>5.5</v>
      </c>
      <c r="F17936" t="n">
        <v>1</v>
      </c>
      <c r="G17936" t="n">
        <v>5</v>
      </c>
      <c r="H17936" s="5">
        <f>HYPERLINK("https://api.qogita.com/variants/link/4005900581501/", "View Product")</f>
        <v/>
      </c>
    </row>
    <row r="17937">
      <c r="A17937" t="inlineStr">
        <is>
          <t>4005900599100</t>
        </is>
      </c>
      <c r="B17937" t="inlineStr">
        <is>
          <t>Nivea Sensitive Sun Cream Spf 50 For Sensitive Skin 50 Ml</t>
        </is>
      </c>
      <c r="C17937" t="inlineStr">
        <is>
          <t>Face Sun Protection</t>
        </is>
      </c>
      <c r="D17937" t="inlineStr">
        <is>
          <t>Nivea</t>
        </is>
      </c>
      <c r="E17937" t="n">
        <v>11.31</v>
      </c>
      <c r="F17937" t="n">
        <v>1</v>
      </c>
      <c r="G17937" t="n">
        <v>5</v>
      </c>
      <c r="H17937" s="5">
        <f>HYPERLINK("https://api.qogita.com/variants/link/4005900599100/", "View Product")</f>
        <v/>
      </c>
    </row>
    <row r="17938">
      <c r="A17938" t="inlineStr">
        <is>
          <t>4005900600172</t>
        </is>
      </c>
      <c r="B17938" t="inlineStr">
        <is>
          <t>Nivea Children's Sun Lotion Spf 50 200 Ml</t>
        </is>
      </c>
      <c r="C17938" t="inlineStr">
        <is>
          <t>Sun Protection For Children</t>
        </is>
      </c>
      <c r="D17938" t="inlineStr">
        <is>
          <t>Nivea</t>
        </is>
      </c>
      <c r="E17938" t="n">
        <v>14.8</v>
      </c>
      <c r="F17938" t="n">
        <v>1</v>
      </c>
      <c r="G17938" t="n">
        <v>14</v>
      </c>
      <c r="H17938" s="5">
        <f>HYPERLINK("https://api.qogita.com/variants/link/4005900600172/", "View Product")</f>
        <v/>
      </c>
    </row>
    <row r="17939">
      <c r="A17939" t="inlineStr">
        <is>
          <t>4005900613264</t>
        </is>
      </c>
      <c r="B17939" t="inlineStr">
        <is>
          <t>Nivea Sun Sensitive Spf50+ Milk 200ml</t>
        </is>
      </c>
      <c r="C17939" t="inlineStr">
        <is>
          <t>Body Sun Protection</t>
        </is>
      </c>
      <c r="D17939" t="inlineStr">
        <is>
          <t>Nivea</t>
        </is>
      </c>
      <c r="E17939" t="n">
        <v>8.68</v>
      </c>
      <c r="F17939" t="n">
        <v>1</v>
      </c>
      <c r="G17939" t="n">
        <v>5</v>
      </c>
      <c r="H17939" s="5">
        <f>HYPERLINK("https://api.qogita.com/variants/link/4005900613264/", "View Product")</f>
        <v/>
      </c>
    </row>
    <row r="17940">
      <c r="A17940" t="inlineStr">
        <is>
          <t>4005900619280</t>
        </is>
      </c>
      <c r="B17940" t="inlineStr">
        <is>
          <t>Nivea After Shave Cooling Sensitive 100 Ml</t>
        </is>
      </c>
      <c r="C17940" t="inlineStr">
        <is>
          <t>Aftershave</t>
        </is>
      </c>
      <c r="D17940" t="inlineStr">
        <is>
          <t>Nivea</t>
        </is>
      </c>
      <c r="E17940" t="n">
        <v>6.47</v>
      </c>
      <c r="F17940" t="n">
        <v>1</v>
      </c>
      <c r="G17940" t="n">
        <v>6</v>
      </c>
      <c r="H17940" s="5">
        <f>HYPERLINK("https://api.qogita.com/variants/link/4005900619280/", "View Product")</f>
        <v/>
      </c>
    </row>
    <row r="17941">
      <c r="A17941" t="inlineStr">
        <is>
          <t>4005900897336</t>
        </is>
      </c>
      <c r="B17941" t="inlineStr">
        <is>
          <t>Nivea Hyaluron Cellular Filler 3in1 Care Cushion Foundation Spf15 02 Medium 15g</t>
        </is>
      </c>
      <c r="C17941" t="inlineStr">
        <is>
          <t>Foundation</t>
        </is>
      </c>
      <c r="D17941" t="inlineStr">
        <is>
          <t>Nivea</t>
        </is>
      </c>
      <c r="E17941" t="n">
        <v>27.94</v>
      </c>
      <c r="F17941" t="n">
        <v>1</v>
      </c>
      <c r="G17941" t="n">
        <v>6</v>
      </c>
      <c r="H17941" s="5">
        <f>HYPERLINK("https://api.qogita.com/variants/link/4005900897336/", "View Product")</f>
        <v/>
      </c>
    </row>
    <row r="17942">
      <c r="A17942" t="inlineStr">
        <is>
          <t>4005900908889</t>
        </is>
      </c>
      <c r="B17942" t="inlineStr">
        <is>
          <t>Nivea Sun Babies &amp; Kids Sensitive Spf50 270 Ml</t>
        </is>
      </c>
      <c r="C17942" t="inlineStr">
        <is>
          <t>Baby &amp; Child Accessories</t>
        </is>
      </c>
      <c r="D17942" t="inlineStr">
        <is>
          <t>Nivea</t>
        </is>
      </c>
      <c r="E17942" t="n">
        <v>11.26</v>
      </c>
      <c r="F17942" t="n">
        <v>1</v>
      </c>
      <c r="G17942" t="n">
        <v>9</v>
      </c>
      <c r="H17942" s="5">
        <f>HYPERLINK("https://api.qogita.com/variants/link/4005900908889/", "View Product")</f>
        <v/>
      </c>
    </row>
    <row r="17943">
      <c r="A17943" t="inlineStr">
        <is>
          <t>4005900984456</t>
        </is>
      </c>
      <c r="B17943" t="inlineStr">
        <is>
          <t>Nivea Ultra Strong Styling Mousse - Penove Tuzidlo</t>
        </is>
      </c>
      <c r="C17943" t="inlineStr">
        <is>
          <t>Mousse</t>
        </is>
      </c>
      <c r="D17943" t="inlineStr">
        <is>
          <t>Nivea</t>
        </is>
      </c>
      <c r="E17943" t="n">
        <v>4.26</v>
      </c>
      <c r="F17943" t="n">
        <v>1</v>
      </c>
      <c r="G17943" t="n">
        <v>5</v>
      </c>
      <c r="H17943" s="5">
        <f>HYPERLINK("https://api.qogita.com/variants/link/4005900984456/", "View Product")</f>
        <v/>
      </c>
    </row>
    <row r="17944">
      <c r="A17944" t="inlineStr">
        <is>
          <t>4006000002255</t>
        </is>
      </c>
      <c r="B17944" t="inlineStr">
        <is>
          <t>Nivea Men Hyaluron Anti-Wrinkle Face Gel 50ml</t>
        </is>
      </c>
      <c r="C17944" t="inlineStr">
        <is>
          <t>Anti-Aging Facial Care</t>
        </is>
      </c>
      <c r="D17944" t="inlineStr">
        <is>
          <t>Nivea</t>
        </is>
      </c>
      <c r="E17944" t="n">
        <v>12.05</v>
      </c>
      <c r="F17944" t="n">
        <v>1</v>
      </c>
      <c r="G17944" t="n">
        <v>9</v>
      </c>
      <c r="H17944" s="5">
        <f>HYPERLINK("https://api.qogita.com/variants/link/4006000002255/", "View Product")</f>
        <v/>
      </c>
    </row>
    <row r="17945">
      <c r="A17945" t="inlineStr">
        <is>
          <t>4006000103488</t>
        </is>
      </c>
      <c r="B17945" t="inlineStr">
        <is>
          <t>Nivea Sun Uv Face Specialist Daily Sunscreen Cream For Face Spf 50+ 40ml</t>
        </is>
      </c>
      <c r="C17945" t="inlineStr">
        <is>
          <t>Face Sun Protection</t>
        </is>
      </c>
      <c r="D17945" t="inlineStr">
        <is>
          <t>Nivea</t>
        </is>
      </c>
      <c r="E17945" t="n">
        <v>12.41</v>
      </c>
      <c r="F17945" t="n">
        <v>1</v>
      </c>
      <c r="G17945" t="n">
        <v>10</v>
      </c>
      <c r="H17945" s="5">
        <f>HYPERLINK("https://api.qogita.com/variants/link/4006000103488/", "View Product")</f>
        <v/>
      </c>
    </row>
    <row r="17946">
      <c r="A17946" t="inlineStr">
        <is>
          <t>4006000112695</t>
        </is>
      </c>
      <c r="B17946" t="inlineStr">
        <is>
          <t>Nivea Cellular Expert Filler Eye And Lip Contour Care 1000 Ml</t>
        </is>
      </c>
      <c r="C17946" t="inlineStr">
        <is>
          <t>Eye Cream</t>
        </is>
      </c>
      <c r="D17946" t="inlineStr">
        <is>
          <t>Nivea</t>
        </is>
      </c>
      <c r="E17946" t="n">
        <v>12.4</v>
      </c>
      <c r="F17946" t="n">
        <v>1</v>
      </c>
      <c r="G17946" t="n">
        <v>22</v>
      </c>
      <c r="H17946" s="5">
        <f>HYPERLINK("https://api.qogita.com/variants/link/4006000112695/", "View Product")</f>
        <v/>
      </c>
    </row>
    <row r="17947">
      <c r="A17947" t="inlineStr">
        <is>
          <t>4006094032848</t>
        </is>
      </c>
      <c r="B17947" t="inlineStr">
        <is>
          <t>Peter Bausch 0328/4 Manicure Pedicure Set</t>
        </is>
      </c>
      <c r="C17947" t="inlineStr">
        <is>
          <t>Manicure Sets</t>
        </is>
      </c>
      <c r="D17947" t="inlineStr">
        <is>
          <t>Peter Bausch</t>
        </is>
      </c>
      <c r="E17947" t="n">
        <v>6.99</v>
      </c>
      <c r="F17947" t="n">
        <v>1</v>
      </c>
      <c r="G17947" t="n">
        <v>9</v>
      </c>
      <c r="H17947" s="5">
        <f>HYPERLINK("https://api.qogita.com/variants/link/4006094032848/", "View Product")</f>
        <v/>
      </c>
    </row>
    <row r="17948">
      <c r="A17948" t="inlineStr">
        <is>
          <t>4006160301601</t>
        </is>
      </c>
      <c r="B17948" t="inlineStr">
        <is>
          <t>Proficare Manicure And Pedicure Set Mps 3016</t>
        </is>
      </c>
      <c r="C17948" t="inlineStr">
        <is>
          <t>Manicure Sets</t>
        </is>
      </c>
      <c r="D17948" t="inlineStr">
        <is>
          <t>Proficare</t>
        </is>
      </c>
      <c r="E17948" t="n">
        <v>11.67</v>
      </c>
      <c r="F17948" t="n">
        <v>1</v>
      </c>
      <c r="G17948" t="n">
        <v>4</v>
      </c>
      <c r="H17948" s="5">
        <f>HYPERLINK("https://api.qogita.com/variants/link/4006160301601/", "View Product")</f>
        <v/>
      </c>
    </row>
    <row r="17949">
      <c r="A17949" t="inlineStr">
        <is>
          <t>4006160305005</t>
        </is>
      </c>
      <c r="B17949" t="inlineStr">
        <is>
          <t>Proficare Nose And Ear Trimmer 3050 Personal Grooming Tool</t>
        </is>
      </c>
      <c r="C17949" t="inlineStr">
        <is>
          <t>Ear Care</t>
        </is>
      </c>
      <c r="D17949" t="inlineStr">
        <is>
          <t>Proficare</t>
        </is>
      </c>
      <c r="E17949" t="n">
        <v>9.970000000000001</v>
      </c>
      <c r="F17949" t="n">
        <v>1</v>
      </c>
      <c r="G17949" t="n">
        <v>8</v>
      </c>
      <c r="H17949" s="5">
        <f>HYPERLINK("https://api.qogita.com/variants/link/4006160305005/", "View Product")</f>
        <v/>
      </c>
    </row>
    <row r="17950">
      <c r="A17950" t="inlineStr">
        <is>
          <t>4007965454004</t>
        </is>
      </c>
      <c r="B17950" t="inlineStr">
        <is>
          <t>Elmex Caries Protection Toothpaste 75 Ml</t>
        </is>
      </c>
      <c r="C17950" t="inlineStr">
        <is>
          <t>Toothpaste</t>
        </is>
      </c>
      <c r="D17950" t="inlineStr">
        <is>
          <t>Elmex</t>
        </is>
      </c>
      <c r="E17950" t="n">
        <v>5.42</v>
      </c>
      <c r="F17950" t="n">
        <v>1</v>
      </c>
      <c r="G17950" t="n">
        <v>4</v>
      </c>
      <c r="H17950" s="5">
        <f>HYPERLINK("https://api.qogita.com/variants/link/4007965454004/", "View Product")</f>
        <v/>
      </c>
    </row>
    <row r="17951">
      <c r="A17951" t="inlineStr">
        <is>
          <t>4007965505904</t>
        </is>
      </c>
      <c r="B17951" t="inlineStr">
        <is>
          <t>Junior Toothpaste</t>
        </is>
      </c>
      <c r="C17951" t="inlineStr">
        <is>
          <t>Dental Care For Children</t>
        </is>
      </c>
      <c r="D17951" t="inlineStr">
        <is>
          <t>Elmex</t>
        </is>
      </c>
      <c r="E17951" t="n">
        <v>4.66</v>
      </c>
      <c r="F17951" t="n">
        <v>1</v>
      </c>
      <c r="G17951" t="n">
        <v>9</v>
      </c>
      <c r="H17951" s="5">
        <f>HYPERLINK("https://api.qogita.com/variants/link/4007965505904/", "View Product")</f>
        <v/>
      </c>
    </row>
    <row r="17952">
      <c r="A17952" t="inlineStr">
        <is>
          <t>4008233043241</t>
        </is>
      </c>
      <c r="B17952" t="inlineStr">
        <is>
          <t>Kneipp Sensitive Derm Primeval Sea Bath Salt Pure 500 G</t>
        </is>
      </c>
      <c r="C17952" t="inlineStr">
        <is>
          <t>Bath Salts &amp; Bath Bombs</t>
        </is>
      </c>
      <c r="D17952" t="inlineStr">
        <is>
          <t>Kneipp</t>
        </is>
      </c>
      <c r="E17952" t="n">
        <v>4.41</v>
      </c>
      <c r="F17952" t="n">
        <v>1</v>
      </c>
      <c r="G17952" t="n">
        <v>8</v>
      </c>
      <c r="H17952" s="5">
        <f>HYPERLINK("https://api.qogita.com/variants/link/4008233043241/", "View Product")</f>
        <v/>
      </c>
    </row>
    <row r="17953">
      <c r="A17953" t="inlineStr">
        <is>
          <t>4008233119922</t>
        </is>
      </c>
      <c r="B17953" t="inlineStr">
        <is>
          <t>Kneipp Dreaming Time Bath Foam 400 Ml Lavender Scent</t>
        </is>
      </c>
      <c r="C17953" t="inlineStr">
        <is>
          <t>Bath Foam</t>
        </is>
      </c>
      <c r="D17953" t="inlineStr">
        <is>
          <t>Kneipp</t>
        </is>
      </c>
      <c r="E17953" t="n">
        <v>6.78</v>
      </c>
      <c r="F17953" t="n">
        <v>1</v>
      </c>
      <c r="G17953" t="n">
        <v>5</v>
      </c>
      <c r="H17953" s="5">
        <f>HYPERLINK("https://api.qogita.com/variants/link/4008233119922/", "View Product")</f>
        <v/>
      </c>
    </row>
    <row r="17954">
      <c r="A17954" t="inlineStr">
        <is>
          <t>4008233129518</t>
        </is>
      </c>
      <c r="B17954" t="inlineStr">
        <is>
          <t>Kneipp Men Shower Gel 2 In 1 Power Of Power 200 Ml</t>
        </is>
      </c>
      <c r="C17954" t="inlineStr">
        <is>
          <t>Shower Gel</t>
        </is>
      </c>
      <c r="D17954" t="inlineStr">
        <is>
          <t>Kneipp</t>
        </is>
      </c>
      <c r="E17954" t="n">
        <v>4.99</v>
      </c>
      <c r="F17954" t="n">
        <v>1</v>
      </c>
      <c r="G17954" t="n">
        <v>13</v>
      </c>
      <c r="H17954" s="5">
        <f>HYPERLINK("https://api.qogita.com/variants/link/4008233129518/", "View Product")</f>
        <v/>
      </c>
    </row>
    <row r="17955">
      <c r="A17955" t="inlineStr">
        <is>
          <t>4008233153049</t>
        </is>
      </c>
      <c r="B17955" t="inlineStr">
        <is>
          <t>Kneipp Happy Bath Time Gift Pack</t>
        </is>
      </c>
      <c r="C17955" t="inlineStr">
        <is>
          <t>Bath Foam</t>
        </is>
      </c>
      <c r="D17955" t="inlineStr">
        <is>
          <t>Kneipp</t>
        </is>
      </c>
      <c r="E17955" t="n">
        <v>10.8</v>
      </c>
      <c r="F17955" t="n">
        <v>1</v>
      </c>
      <c r="G17955" t="n">
        <v>65</v>
      </c>
      <c r="H17955" s="5">
        <f>HYPERLINK("https://api.qogita.com/variants/link/4008233153049/", "View Product")</f>
        <v/>
      </c>
    </row>
    <row r="17956">
      <c r="A17956" t="inlineStr">
        <is>
          <t>4008233154312</t>
        </is>
      </c>
      <c r="B17956" t="inlineStr">
        <is>
          <t>Kneipp Bath Salt Arnica 60 G For Muscles And Joints</t>
        </is>
      </c>
      <c r="C17956" t="inlineStr">
        <is>
          <t>Sporting Tension</t>
        </is>
      </c>
      <c r="D17956" t="inlineStr">
        <is>
          <t>Kneipp</t>
        </is>
      </c>
      <c r="E17956" t="n">
        <v>7.34</v>
      </c>
      <c r="F17956" t="n">
        <v>1</v>
      </c>
      <c r="G17956" t="n">
        <v>7</v>
      </c>
      <c r="H17956" s="5">
        <f>HYPERLINK("https://api.qogita.com/variants/link/4008233154312/", "View Product")</f>
        <v/>
      </c>
    </row>
    <row r="17957">
      <c r="A17957" t="inlineStr">
        <is>
          <t>4008233156378</t>
        </is>
      </c>
      <c r="B17957" t="inlineStr">
        <is>
          <t>Kneipp Bath Salt For Feet With Calendula And Rosemary 500 G</t>
        </is>
      </c>
      <c r="C17957" t="inlineStr">
        <is>
          <t>Bath Salts &amp; Bath Bombs</t>
        </is>
      </c>
      <c r="D17957" t="inlineStr">
        <is>
          <t>Kneipp</t>
        </is>
      </c>
      <c r="E17957" t="n">
        <v>7.34</v>
      </c>
      <c r="F17957" t="n">
        <v>1</v>
      </c>
      <c r="G17957" t="n">
        <v>8</v>
      </c>
      <c r="H17957" s="5">
        <f>HYPERLINK("https://api.qogita.com/variants/link/4008233156378/", "View Product")</f>
        <v/>
      </c>
    </row>
    <row r="17958">
      <c r="A17958" t="inlineStr">
        <is>
          <t>4008233165103</t>
        </is>
      </c>
      <c r="B17958" t="inlineStr">
        <is>
          <t>Kneipp Me-Time - Shower Foam</t>
        </is>
      </c>
      <c r="C17958" t="inlineStr">
        <is>
          <t>Shower Foam</t>
        </is>
      </c>
      <c r="D17958" t="inlineStr">
        <is>
          <t>Kneipp</t>
        </is>
      </c>
      <c r="E17958" t="n">
        <v>7.34</v>
      </c>
      <c r="F17958" t="n">
        <v>1</v>
      </c>
      <c r="G17958" t="n">
        <v>8</v>
      </c>
      <c r="H17958" s="5">
        <f>HYPERLINK("https://api.qogita.com/variants/link/4008233165103/", "View Product")</f>
        <v/>
      </c>
    </row>
    <row r="17959">
      <c r="A17959" t="inlineStr">
        <is>
          <t>4008233165851</t>
        </is>
      </c>
      <c r="B17959" t="inlineStr">
        <is>
          <t>Kneipp Shower Gel For Men For Body And Hair Sport 200 Ml</t>
        </is>
      </c>
      <c r="C17959" t="inlineStr">
        <is>
          <t>Shower Gel</t>
        </is>
      </c>
      <c r="D17959" t="inlineStr">
        <is>
          <t>Kneipp</t>
        </is>
      </c>
      <c r="E17959" t="n">
        <v>4.99</v>
      </c>
      <c r="F17959" t="n">
        <v>1</v>
      </c>
      <c r="G17959" t="n">
        <v>5</v>
      </c>
      <c r="H17959" s="5">
        <f>HYPERLINK("https://api.qogita.com/variants/link/4008233165851/", "View Product")</f>
        <v/>
      </c>
    </row>
    <row r="17960">
      <c r="A17960" t="inlineStr">
        <is>
          <t>4008233169491</t>
        </is>
      </c>
      <c r="B17960" t="inlineStr">
        <is>
          <t>Astronaut Bath Bomb (Fizzy Bath) 95g</t>
        </is>
      </c>
      <c r="C17960" t="inlineStr">
        <is>
          <t>Toiletries Bags</t>
        </is>
      </c>
      <c r="D17960" t="inlineStr">
        <is>
          <t>Kneipp</t>
        </is>
      </c>
      <c r="E17960" t="n">
        <v>2.87</v>
      </c>
      <c r="F17960" t="n">
        <v>1</v>
      </c>
      <c r="G17960" t="n">
        <v>5</v>
      </c>
      <c r="H17960" s="5">
        <f>HYPERLINK("https://api.qogita.com/variants/link/4008233169491/", "View Product")</f>
        <v/>
      </c>
    </row>
    <row r="17961">
      <c r="A17961" t="inlineStr">
        <is>
          <t>4008233170381</t>
        </is>
      </c>
      <c r="B17961" t="inlineStr">
        <is>
          <t>Kneipp Joy Of Life Shower Gel Aroma Shower Gel 240 Ml</t>
        </is>
      </c>
      <c r="C17961" t="inlineStr">
        <is>
          <t>Shower Gel</t>
        </is>
      </c>
      <c r="D17961" t="inlineStr">
        <is>
          <t>Kneipp</t>
        </is>
      </c>
      <c r="E17961" t="n">
        <v>4.99</v>
      </c>
      <c r="F17961" t="n">
        <v>1</v>
      </c>
      <c r="G17961" t="n">
        <v>5</v>
      </c>
      <c r="H17961" s="5">
        <f>HYPERLINK("https://api.qogita.com/variants/link/4008233170381/", "View Product")</f>
        <v/>
      </c>
    </row>
    <row r="17962">
      <c r="A17962" t="inlineStr">
        <is>
          <t>4008233172651</t>
        </is>
      </c>
      <c r="B17962" t="inlineStr">
        <is>
          <t>Kneipp Twophase Bath Oil With Shea Butter And Rice Milk 250 Ml</t>
        </is>
      </c>
      <c r="C17962" t="inlineStr">
        <is>
          <t>Body Oil</t>
        </is>
      </c>
      <c r="D17962" t="inlineStr">
        <is>
          <t>Kneipp</t>
        </is>
      </c>
      <c r="E17962" t="n">
        <v>7.02</v>
      </c>
      <c r="F17962" t="n">
        <v>1</v>
      </c>
      <c r="G17962" t="n">
        <v>13</v>
      </c>
      <c r="H17962" s="5">
        <f>HYPERLINK("https://api.qogita.com/variants/link/4008233172651/", "View Product")</f>
        <v/>
      </c>
    </row>
    <row r="17963">
      <c r="A17963" t="inlineStr">
        <is>
          <t>4008233174402</t>
        </is>
      </c>
      <c r="B17963" t="inlineStr">
        <is>
          <t>Kneipp Foot Care Repairing Cream For Cracked Heels 50 Ml</t>
        </is>
      </c>
      <c r="C17963" t="inlineStr">
        <is>
          <t>Foot Cream</t>
        </is>
      </c>
      <c r="D17963" t="inlineStr">
        <is>
          <t>Kneipp</t>
        </is>
      </c>
      <c r="E17963" t="n">
        <v>6.78</v>
      </c>
      <c r="F17963" t="n">
        <v>1</v>
      </c>
      <c r="G17963" t="n">
        <v>2</v>
      </c>
      <c r="H17963" s="5">
        <f>HYPERLINK("https://api.qogita.com/variants/link/4008233174402/", "View Product")</f>
        <v/>
      </c>
    </row>
    <row r="17964">
      <c r="A17964" t="inlineStr">
        <is>
          <t>4008233174495</t>
        </is>
      </c>
      <c r="B17964" t="inlineStr">
        <is>
          <t>Kneipp Gift Set Of Bath Oils - 5 X 20 Ml</t>
        </is>
      </c>
      <c r="C17964" t="inlineStr">
        <is>
          <t>Bath Oil &amp; Bath Milk</t>
        </is>
      </c>
      <c r="D17964" t="inlineStr">
        <is>
          <t>Kneipp</t>
        </is>
      </c>
      <c r="E17964" t="n">
        <v>8.210000000000001</v>
      </c>
      <c r="F17964" t="n">
        <v>1</v>
      </c>
      <c r="G17964" t="n">
        <v>127</v>
      </c>
      <c r="H17964" s="5">
        <f>HYPERLINK("https://api.qogita.com/variants/link/4008233174495/", "View Product")</f>
        <v/>
      </c>
    </row>
    <row r="17965">
      <c r="A17965" t="inlineStr">
        <is>
          <t>4008233174501</t>
        </is>
      </c>
      <c r="B17965" t="inlineStr">
        <is>
          <t>Kneipp Bath Oil Wellness Set Gift Set Of Bath Oils 3 X 20 Ml</t>
        </is>
      </c>
      <c r="C17965" t="inlineStr">
        <is>
          <t>Bath Oil &amp; Bath Milk</t>
        </is>
      </c>
      <c r="D17965" t="inlineStr">
        <is>
          <t>Kneipp</t>
        </is>
      </c>
      <c r="E17965" t="n">
        <v>4.76</v>
      </c>
      <c r="F17965" t="n">
        <v>1</v>
      </c>
      <c r="G17965" t="n">
        <v>132</v>
      </c>
      <c r="H17965" s="5">
        <f>HYPERLINK("https://api.qogita.com/variants/link/4008233174501/", "View Product")</f>
        <v/>
      </c>
    </row>
    <row r="17966">
      <c r="A17966" t="inlineStr">
        <is>
          <t>4008233175706</t>
        </is>
      </c>
      <c r="B17966" t="inlineStr">
        <is>
          <t>Kneipp Advent Calendar 2024 - High-Quality Calendar with 24 Beauty Surprises</t>
        </is>
      </c>
      <c r="C17966" t="inlineStr">
        <is>
          <t>Body Care Sets</t>
        </is>
      </c>
      <c r="D17966" t="inlineStr">
        <is>
          <t>Kneipp</t>
        </is>
      </c>
      <c r="E17966" t="n">
        <v>62.29</v>
      </c>
      <c r="F17966" t="n">
        <v>1</v>
      </c>
      <c r="G17966" t="n">
        <v>8</v>
      </c>
      <c r="H17966" s="5">
        <f>HYPERLINK("https://api.qogita.com/variants/link/4008233175706/", "View Product")</f>
        <v/>
      </c>
    </row>
    <row r="17967">
      <c r="A17967" t="inlineStr">
        <is>
          <t>4008233175898</t>
        </is>
      </c>
      <c r="B17967" t="inlineStr">
        <is>
          <t>Kneipp Gift Set Of Massage Oils - 3 X 20 Ml</t>
        </is>
      </c>
      <c r="C17967" t="inlineStr">
        <is>
          <t>Body Care Sets</t>
        </is>
      </c>
      <c r="D17967" t="inlineStr">
        <is>
          <t>Kneipp</t>
        </is>
      </c>
      <c r="E17967" t="n">
        <v>6.23</v>
      </c>
      <c r="F17967" t="n">
        <v>1</v>
      </c>
      <c r="G17967" t="n">
        <v>51</v>
      </c>
      <c r="H17967" s="5">
        <f>HYPERLINK("https://api.qogita.com/variants/link/4008233175898/", "View Product")</f>
        <v/>
      </c>
    </row>
    <row r="17968">
      <c r="A17968" t="inlineStr">
        <is>
          <t>4008233178783</t>
        </is>
      </c>
      <c r="B17968" t="inlineStr">
        <is>
          <t>Kneipp Rosewood Colored Lip Care - 4.7 G</t>
        </is>
      </c>
      <c r="C17968" t="inlineStr">
        <is>
          <t>Lip Oil</t>
        </is>
      </c>
      <c r="D17968" t="inlineStr">
        <is>
          <t>Kneipp</t>
        </is>
      </c>
      <c r="E17968" t="n">
        <v>8.69</v>
      </c>
      <c r="F17968" t="n">
        <v>1</v>
      </c>
      <c r="G17968" t="n">
        <v>8</v>
      </c>
      <c r="H17968" s="5">
        <f>HYPERLINK("https://api.qogita.com/variants/link/4008233178783/", "View Product")</f>
        <v/>
      </c>
    </row>
    <row r="17969">
      <c r="A17969" t="inlineStr">
        <is>
          <t>4008233179490</t>
        </is>
      </c>
      <c r="B17969" t="inlineStr">
        <is>
          <t>Kneipp Turbo Truck Bath Bomb</t>
        </is>
      </c>
      <c r="C17969" t="inlineStr">
        <is>
          <t>Bath Salts &amp; Bath Bombs</t>
        </is>
      </c>
      <c r="D17969" t="inlineStr">
        <is>
          <t>Kneipp</t>
        </is>
      </c>
      <c r="E17969" t="n">
        <v>5.59</v>
      </c>
      <c r="F17969" t="n">
        <v>1</v>
      </c>
      <c r="G17969" t="n">
        <v>4</v>
      </c>
      <c r="H17969" s="5">
        <f>HYPERLINK("https://api.qogita.com/variants/link/4008233179490/", "View Product")</f>
        <v/>
      </c>
    </row>
    <row r="17970">
      <c r="A17970" t="inlineStr">
        <is>
          <t>4008666650313</t>
        </is>
      </c>
      <c r="B17970" t="inlineStr">
        <is>
          <t>Alcina Silky Matt Light Make-up 30ml</t>
        </is>
      </c>
      <c r="C17970" t="inlineStr">
        <is>
          <t>Foundation</t>
        </is>
      </c>
      <c r="D17970" t="inlineStr">
        <is>
          <t>Alcina</t>
        </is>
      </c>
      <c r="E17970" t="n">
        <v>19.77</v>
      </c>
      <c r="F17970" t="n">
        <v>1</v>
      </c>
      <c r="G17970" t="n">
        <v>5</v>
      </c>
      <c r="H17970" s="5">
        <f>HYPERLINK("https://api.qogita.com/variants/link/4008666650313/", "View Product")</f>
        <v/>
      </c>
    </row>
    <row r="17971">
      <c r="A17971" t="inlineStr">
        <is>
          <t>4008666654519</t>
        </is>
      </c>
      <c r="B17971" t="inlineStr">
        <is>
          <t>Alcina Amazing Lash Mascara Black 010</t>
        </is>
      </c>
      <c r="C17971" t="inlineStr">
        <is>
          <t>Mascara</t>
        </is>
      </c>
      <c r="D17971" t="inlineStr">
        <is>
          <t>Alcina</t>
        </is>
      </c>
      <c r="E17971" t="n">
        <v>11.63</v>
      </c>
      <c r="F17971" t="n">
        <v>1</v>
      </c>
      <c r="G17971" t="n">
        <v>5</v>
      </c>
      <c r="H17971" s="5">
        <f>HYPERLINK("https://api.qogita.com/variants/link/4008666654519/", "View Product")</f>
        <v/>
      </c>
    </row>
    <row r="17972">
      <c r="A17972" t="inlineStr">
        <is>
          <t>4008666654588</t>
        </is>
      </c>
      <c r="B17972" t="inlineStr">
        <is>
          <t>ALCINA Wimpernlänge² Mascara with Intelligent and Super Soft Brush Form for Fascinating Density, Outstanding Length and Great Curl</t>
        </is>
      </c>
      <c r="C17972" t="inlineStr">
        <is>
          <t>Mascara</t>
        </is>
      </c>
      <c r="D17972" t="inlineStr">
        <is>
          <t>Alcina</t>
        </is>
      </c>
      <c r="E17972" t="n">
        <v>10.63</v>
      </c>
      <c r="F17972" t="n">
        <v>1</v>
      </c>
      <c r="G17972" t="n">
        <v>5</v>
      </c>
      <c r="H17972" s="5">
        <f>HYPERLINK("https://api.qogita.com/variants/link/4008666654588/", "View Product")</f>
        <v/>
      </c>
    </row>
    <row r="17973">
      <c r="A17973" t="inlineStr">
        <is>
          <t>4008666709615</t>
        </is>
      </c>
      <c r="B17973" t="inlineStr">
        <is>
          <t>Plantur 39 Anti-Grey Effect Shampoo - 200 Ml For Brown To Dark Hair</t>
        </is>
      </c>
      <c r="C17973" t="inlineStr">
        <is>
          <t>Shampoo</t>
        </is>
      </c>
      <c r="D17973" t="inlineStr">
        <is>
          <t>Plantur</t>
        </is>
      </c>
      <c r="E17973" t="n">
        <v>17.84</v>
      </c>
      <c r="F17973" t="n">
        <v>1</v>
      </c>
      <c r="G17973" t="n">
        <v>46</v>
      </c>
      <c r="H17973" s="5">
        <f>HYPERLINK("https://api.qogita.com/variants/link/4008666709615/", "View Product")</f>
        <v/>
      </c>
    </row>
    <row r="17974">
      <c r="A17974" t="inlineStr">
        <is>
          <t>4011700411115</t>
        </is>
      </c>
      <c r="B17974" t="inlineStr">
        <is>
          <t>Tabac Original Anti Perspirant Deodorant Spray 200ml Tabac Original</t>
        </is>
      </c>
      <c r="C17974" t="inlineStr">
        <is>
          <t>Deodorant &amp; Anti-Perspirant</t>
        </is>
      </c>
      <c r="D17974" t="inlineStr">
        <is>
          <t>Tabac Original</t>
        </is>
      </c>
      <c r="E17974" t="n">
        <v>4.55</v>
      </c>
      <c r="F17974" t="n">
        <v>1</v>
      </c>
      <c r="G17974" t="n">
        <v>12</v>
      </c>
      <c r="H17974" s="5">
        <f>HYPERLINK("https://api.qogita.com/variants/link/4011700411115/", "View Product")</f>
        <v/>
      </c>
    </row>
    <row r="17975">
      <c r="A17975" t="inlineStr">
        <is>
          <t>4011700425006</t>
        </is>
      </c>
      <c r="B17975" t="inlineStr">
        <is>
          <t>Tabac Original Eau De Cologne 50ml - A Classic Fragrance For Men</t>
        </is>
      </c>
      <c r="C17975" t="inlineStr">
        <is>
          <t>Eau De Cologne</t>
        </is>
      </c>
      <c r="D17975" t="inlineStr">
        <is>
          <t>Tabac</t>
        </is>
      </c>
      <c r="E17975" t="n">
        <v>6.88</v>
      </c>
      <c r="F17975" t="n">
        <v>1</v>
      </c>
      <c r="G17975" t="n">
        <v>2</v>
      </c>
      <c r="H17975" s="5">
        <f>HYPERLINK("https://api.qogita.com/variants/link/4011700425006/", "View Product")</f>
        <v/>
      </c>
    </row>
    <row r="17976">
      <c r="A17976" t="inlineStr">
        <is>
          <t>4011700431144</t>
        </is>
      </c>
      <c r="B17976" t="inlineStr">
        <is>
          <t>Tabac Original Men's Aftershave Lotion 150ml - Classic Scented Post-Shave Care</t>
        </is>
      </c>
      <c r="C17976" t="inlineStr">
        <is>
          <t>Aftershave</t>
        </is>
      </c>
      <c r="D17976" t="inlineStr">
        <is>
          <t>Tabac Original</t>
        </is>
      </c>
      <c r="E17976" t="n">
        <v>9.119999999999999</v>
      </c>
      <c r="F17976" t="n">
        <v>1</v>
      </c>
      <c r="G17976" t="n">
        <v>51</v>
      </c>
      <c r="H17976" s="5">
        <f>HYPERLINK("https://api.qogita.com/variants/link/4011700431144/", "View Product")</f>
        <v/>
      </c>
    </row>
    <row r="17977">
      <c r="A17977" t="inlineStr">
        <is>
          <t>4011700432509</t>
        </is>
      </c>
      <c r="B17977" t="inlineStr">
        <is>
          <t>Tabac Original Aftershave for Men 200ml</t>
        </is>
      </c>
      <c r="C17977" t="inlineStr">
        <is>
          <t>Aftershave</t>
        </is>
      </c>
      <c r="D17977" t="inlineStr">
        <is>
          <t>Maurer &amp; Wirtz</t>
        </is>
      </c>
      <c r="E17977" t="n">
        <v>14.77</v>
      </c>
      <c r="F17977" t="n">
        <v>1</v>
      </c>
      <c r="G17977" t="n">
        <v>3</v>
      </c>
      <c r="H17977" s="5">
        <f>HYPERLINK("https://api.qogita.com/variants/link/4011700432509/", "View Product")</f>
        <v/>
      </c>
    </row>
    <row r="17978">
      <c r="A17978" t="inlineStr">
        <is>
          <t>4011700740086</t>
        </is>
      </c>
      <c r="B17978" t="inlineStr">
        <is>
          <t>4711 Original Eau De Cologne Bottle 100ml</t>
        </is>
      </c>
      <c r="C17978" t="inlineStr">
        <is>
          <t>Eau De Cologne</t>
        </is>
      </c>
      <c r="D17978" t="inlineStr">
        <is>
          <t>4711</t>
        </is>
      </c>
      <c r="E17978" t="n">
        <v>10.92</v>
      </c>
      <c r="F17978" t="n">
        <v>1</v>
      </c>
      <c r="G17978" t="n">
        <v>32</v>
      </c>
      <c r="H17978" s="5">
        <f>HYPERLINK("https://api.qogita.com/variants/link/4011700740086/", "View Product")</f>
        <v/>
      </c>
    </row>
    <row r="17979">
      <c r="A17979" t="inlineStr">
        <is>
          <t>4011700740123</t>
        </is>
      </c>
      <c r="B17979" t="inlineStr">
        <is>
          <t>4711 Original Eau De Cologne Bottle 25ml</t>
        </is>
      </c>
      <c r="C17979" t="inlineStr">
        <is>
          <t>Eau De Cologne</t>
        </is>
      </c>
      <c r="D17979" t="inlineStr">
        <is>
          <t>4711</t>
        </is>
      </c>
      <c r="E17979" t="n">
        <v>4.61</v>
      </c>
      <c r="F17979" t="n">
        <v>1</v>
      </c>
      <c r="G17979" t="n">
        <v>2</v>
      </c>
      <c r="H17979" s="5">
        <f>HYPERLINK("https://api.qogita.com/variants/link/4011700740123/", "View Product")</f>
        <v/>
      </c>
    </row>
    <row r="17980">
      <c r="A17980" t="inlineStr">
        <is>
          <t>4011700744404</t>
        </is>
      </c>
      <c r="B17980" t="inlineStr">
        <is>
          <t>4711 Acqua Colonia Blood Orange &amp; Basil Shower Gel 200ml</t>
        </is>
      </c>
      <c r="C17980" t="inlineStr">
        <is>
          <t>Shower Gel</t>
        </is>
      </c>
      <c r="D17980" t="inlineStr">
        <is>
          <t>4711</t>
        </is>
      </c>
      <c r="E17980" t="n">
        <v>8.25</v>
      </c>
      <c r="F17980" t="n">
        <v>1</v>
      </c>
      <c r="G17980" t="n">
        <v>3</v>
      </c>
      <c r="H17980" s="5">
        <f>HYPERLINK("https://api.qogita.com/variants/link/4011700744404/", "View Product")</f>
        <v/>
      </c>
    </row>
    <row r="17981">
      <c r="A17981" t="inlineStr">
        <is>
          <t>4011700747733</t>
        </is>
      </c>
      <c r="B17981" t="inlineStr">
        <is>
          <t>4711 Acqua Colonia Lychee White Mint Eau De Cologne 50ml Unisex Spray</t>
        </is>
      </c>
      <c r="C17981" t="inlineStr">
        <is>
          <t>Eau De Cologne</t>
        </is>
      </c>
      <c r="D17981" t="inlineStr">
        <is>
          <t>4711</t>
        </is>
      </c>
      <c r="E17981" t="n">
        <v>12.08</v>
      </c>
      <c r="F17981" t="n">
        <v>1</v>
      </c>
      <c r="G17981" t="n">
        <v>2</v>
      </c>
      <c r="H17981" s="5">
        <f>HYPERLINK("https://api.qogita.com/variants/link/4011700747733/", "View Product")</f>
        <v/>
      </c>
    </row>
    <row r="17982">
      <c r="A17982" t="inlineStr">
        <is>
          <t>4011700747801</t>
        </is>
      </c>
      <c r="B17982" t="inlineStr">
        <is>
          <t>4711 Remix Urban Summer Eau De Cologne Spray 100ml</t>
        </is>
      </c>
      <c r="C17982" t="inlineStr">
        <is>
          <t>Eau De Cologne</t>
        </is>
      </c>
      <c r="D17982" t="inlineStr">
        <is>
          <t>4711</t>
        </is>
      </c>
      <c r="E17982" t="n">
        <v>13.93</v>
      </c>
      <c r="F17982" t="n">
        <v>1</v>
      </c>
      <c r="G17982" t="n">
        <v>4</v>
      </c>
      <c r="H17982" s="5">
        <f>HYPERLINK("https://api.qogita.com/variants/link/4011700747801/", "View Product")</f>
        <v/>
      </c>
    </row>
    <row r="17983">
      <c r="A17983" t="inlineStr">
        <is>
          <t>4011700748693</t>
        </is>
      </c>
      <c r="B17983" t="inlineStr">
        <is>
          <t>4711 Acqua Colonia Lychee &amp; White Mint Eau De Cologne - Activating</t>
        </is>
      </c>
      <c r="C17983" t="inlineStr">
        <is>
          <t>Eau De Cologne</t>
        </is>
      </c>
      <c r="D17983" t="inlineStr">
        <is>
          <t>Acqua Colonia</t>
        </is>
      </c>
      <c r="E17983" t="n">
        <v>14.77</v>
      </c>
      <c r="F17983" t="n">
        <v>1</v>
      </c>
      <c r="G17983" t="n">
        <v>5</v>
      </c>
      <c r="H17983" s="5">
        <f>HYPERLINK("https://api.qogita.com/variants/link/4011700748693/", "View Product")</f>
        <v/>
      </c>
    </row>
    <row r="17984">
      <c r="A17984" t="inlineStr">
        <is>
          <t>4011700749317</t>
        </is>
      </c>
      <c r="B17984" t="inlineStr">
        <is>
          <t>4711 After Shave - 3.4 Oz</t>
        </is>
      </c>
      <c r="C17984" t="inlineStr">
        <is>
          <t>Aftershave</t>
        </is>
      </c>
      <c r="D17984" t="inlineStr">
        <is>
          <t>4711</t>
        </is>
      </c>
      <c r="E17984" t="n">
        <v>6.47</v>
      </c>
      <c r="F17984" t="n">
        <v>1</v>
      </c>
      <c r="G17984" t="n">
        <v>51</v>
      </c>
      <c r="H17984" s="5">
        <f>HYPERLINK("https://api.qogita.com/variants/link/4011700749317/", "View Product")</f>
        <v/>
      </c>
    </row>
    <row r="17985">
      <c r="A17985" t="inlineStr">
        <is>
          <t>4011700902323</t>
        </is>
      </c>
      <c r="B17985" t="inlineStr">
        <is>
          <t>Baldessarini Deodorant Stick 75ml</t>
        </is>
      </c>
      <c r="C17985" t="inlineStr">
        <is>
          <t>Deodorant &amp; Anti-Perspirant</t>
        </is>
      </c>
      <c r="D17985" t="inlineStr">
        <is>
          <t>Baldessarini</t>
        </is>
      </c>
      <c r="E17985" t="n">
        <v>11.65</v>
      </c>
      <c r="F17985" t="n">
        <v>1</v>
      </c>
      <c r="G17985" t="n">
        <v>128</v>
      </c>
      <c r="H17985" s="5">
        <f>HYPERLINK("https://api.qogita.com/variants/link/4011700902323/", "View Product")</f>
        <v/>
      </c>
    </row>
    <row r="17986">
      <c r="A17986" t="inlineStr">
        <is>
          <t>4011700902699</t>
        </is>
      </c>
      <c r="B17986" t="inlineStr">
        <is>
          <t>Baldessarini Black Eau De Toilette 75ml</t>
        </is>
      </c>
      <c r="C17986" t="inlineStr">
        <is>
          <t>Eau De Toilette</t>
        </is>
      </c>
      <c r="D17986" t="inlineStr">
        <is>
          <t>Baldessarini</t>
        </is>
      </c>
      <c r="E17986" t="n">
        <v>16.8</v>
      </c>
      <c r="F17986" t="n">
        <v>1</v>
      </c>
      <c r="G17986" t="n">
        <v>16</v>
      </c>
      <c r="H17986" s="5">
        <f>HYPERLINK("https://api.qogita.com/variants/link/4011700902699/", "View Product")</f>
        <v/>
      </c>
    </row>
    <row r="17987">
      <c r="A17987" t="inlineStr">
        <is>
          <t>4011700906000</t>
        </is>
      </c>
      <c r="B17987" t="inlineStr">
        <is>
          <t>Baldessarini Ambre Eau De Toilette Spray 50ml</t>
        </is>
      </c>
      <c r="C17987" t="inlineStr">
        <is>
          <t>Eau De Toilette</t>
        </is>
      </c>
      <c r="D17987" t="inlineStr">
        <is>
          <t>Baldessarini</t>
        </is>
      </c>
      <c r="E17987" t="n">
        <v>22.71</v>
      </c>
      <c r="F17987" t="n">
        <v>1</v>
      </c>
      <c r="G17987" t="n">
        <v>1</v>
      </c>
      <c r="H17987" s="5">
        <f>HYPERLINK("https://api.qogita.com/variants/link/4011700906000/", "View Product")</f>
        <v/>
      </c>
    </row>
    <row r="17988">
      <c r="A17988" t="inlineStr">
        <is>
          <t>4011700906017</t>
        </is>
      </c>
      <c r="B17988" t="inlineStr">
        <is>
          <t>Baldessarini Ambre Eau De Toilette Spray 90ml</t>
        </is>
      </c>
      <c r="C17988" t="inlineStr">
        <is>
          <t>Eau De Toilette</t>
        </is>
      </c>
      <c r="D17988" t="inlineStr">
        <is>
          <t>Baldessarini</t>
        </is>
      </c>
      <c r="E17988" t="n">
        <v>28.12</v>
      </c>
      <c r="F17988" t="n">
        <v>1</v>
      </c>
      <c r="G17988" t="n">
        <v>17</v>
      </c>
      <c r="H17988" s="5">
        <f>HYPERLINK("https://api.qogita.com/variants/link/4011700906017/", "View Product")</f>
        <v/>
      </c>
    </row>
    <row r="17989">
      <c r="A17989" t="inlineStr">
        <is>
          <t>4011700907007</t>
        </is>
      </c>
      <c r="B17989" t="inlineStr">
        <is>
          <t>Baldessarini Ambre Eau Fraiche Eau De Toilette Spray 50ml</t>
        </is>
      </c>
      <c r="C17989" t="inlineStr">
        <is>
          <t>Eau De Toilette</t>
        </is>
      </c>
      <c r="D17989" t="inlineStr">
        <is>
          <t>Baldessarini</t>
        </is>
      </c>
      <c r="E17989" t="n">
        <v>28.39</v>
      </c>
      <c r="F17989" t="n">
        <v>1</v>
      </c>
      <c r="G17989" t="n">
        <v>2</v>
      </c>
      <c r="H17989" s="5">
        <f>HYPERLINK("https://api.qogita.com/variants/link/4011700907007/", "View Product")</f>
        <v/>
      </c>
    </row>
    <row r="17990">
      <c r="A17990" t="inlineStr">
        <is>
          <t>4012800167612</t>
        </is>
      </c>
      <c r="B17990" t="inlineStr">
        <is>
          <t>Schauma 7 Herbs Shampoo Herbal Shampoo For Hair 250ml</t>
        </is>
      </c>
      <c r="C17990" t="inlineStr">
        <is>
          <t>Shampoo</t>
        </is>
      </c>
      <c r="D17990" t="inlineStr">
        <is>
          <t>Schauma</t>
        </is>
      </c>
      <c r="E17990" t="n">
        <v>2.93</v>
      </c>
      <c r="F17990" t="n">
        <v>1</v>
      </c>
      <c r="G17990" t="n">
        <v>10</v>
      </c>
      <c r="H17990" s="5">
        <f>HYPERLINK("https://api.qogita.com/variants/link/4012800167612/", "View Product")</f>
        <v/>
      </c>
    </row>
    <row r="17991">
      <c r="A17991" t="inlineStr">
        <is>
          <t>4013670502930</t>
        </is>
      </c>
      <c r="B17991" t="inlineStr">
        <is>
          <t>Aigner Too Feminine Eau De Parfum Spray 100ml</t>
        </is>
      </c>
      <c r="C17991" t="inlineStr">
        <is>
          <t>Eau De Parfum</t>
        </is>
      </c>
      <c r="D17991" t="inlineStr">
        <is>
          <t>Etienne Aigner</t>
        </is>
      </c>
      <c r="E17991" t="n">
        <v>21.93</v>
      </c>
      <c r="F17991" t="n">
        <v>1</v>
      </c>
      <c r="G17991" t="n">
        <v>9</v>
      </c>
      <c r="H17991" s="5">
        <f>HYPERLINK("https://api.qogita.com/variants/link/4013670502930/", "View Product")</f>
        <v/>
      </c>
    </row>
    <row r="17992">
      <c r="A17992" t="inlineStr">
        <is>
          <t>4013670508314</t>
        </is>
      </c>
      <c r="B17992" t="inlineStr">
        <is>
          <t>Etienne Aigner N 1 Eau De Toilette 100ml For Men</t>
        </is>
      </c>
      <c r="C17992" t="inlineStr">
        <is>
          <t>Eau De Toilette</t>
        </is>
      </c>
      <c r="D17992" t="inlineStr">
        <is>
          <t>Etienne Aigner</t>
        </is>
      </c>
      <c r="E17992" t="n">
        <v>25.24</v>
      </c>
      <c r="F17992" t="n">
        <v>1</v>
      </c>
      <c r="G17992" t="n">
        <v>4</v>
      </c>
      <c r="H17992" s="5">
        <f>HYPERLINK("https://api.qogita.com/variants/link/4013670508314/", "View Product")</f>
        <v/>
      </c>
    </row>
    <row r="17993">
      <c r="A17993" t="inlineStr">
        <is>
          <t>4013671001012</t>
        </is>
      </c>
      <c r="B17993" t="inlineStr">
        <is>
          <t>Etienne Aigner Debut by Night Eau de Parfum Spray 30ml</t>
        </is>
      </c>
      <c r="C17993" t="inlineStr">
        <is>
          <t>Eau De Parfum</t>
        </is>
      </c>
      <c r="D17993" t="inlineStr">
        <is>
          <t>Etienne Aigner</t>
        </is>
      </c>
      <c r="E17993" t="n">
        <v>14.38</v>
      </c>
      <c r="F17993" t="n">
        <v>1</v>
      </c>
      <c r="G17993" t="n">
        <v>2</v>
      </c>
      <c r="H17993" s="5">
        <f>HYPERLINK("https://api.qogita.com/variants/link/4013671001012/", "View Product")</f>
        <v/>
      </c>
    </row>
    <row r="17994">
      <c r="A17994" t="inlineStr">
        <is>
          <t>4015001014426</t>
        </is>
      </c>
      <c r="B17994" t="inlineStr">
        <is>
          <t>Diadermine Age Supreme Wrinkle Expert 3D Night Care 50ml</t>
        </is>
      </c>
      <c r="C17994" t="inlineStr">
        <is>
          <t>Night Cream</t>
        </is>
      </c>
      <c r="D17994" t="inlineStr">
        <is>
          <t>Henkel</t>
        </is>
      </c>
      <c r="E17994" t="n">
        <v>8.82</v>
      </c>
      <c r="F17994" t="n">
        <v>1</v>
      </c>
      <c r="G17994" t="n">
        <v>58</v>
      </c>
      <c r="H17994" s="5">
        <f>HYPERLINK("https://api.qogita.com/variants/link/4015001014426/", "View Product")</f>
        <v/>
      </c>
    </row>
    <row r="17995">
      <c r="A17995" t="inlineStr">
        <is>
          <t>4015100192032</t>
        </is>
      </c>
      <c r="B17995" t="inlineStr">
        <is>
          <t>DIADERMINE Age Supreme Regeneration Night Cream Deep Effective Night Cream 50ml</t>
        </is>
      </c>
      <c r="C17995" t="inlineStr">
        <is>
          <t>Night Cream</t>
        </is>
      </c>
      <c r="D17995" t="inlineStr">
        <is>
          <t>Diadermine</t>
        </is>
      </c>
      <c r="E17995" t="n">
        <v>9.699999999999999</v>
      </c>
      <c r="F17995" t="n">
        <v>1</v>
      </c>
      <c r="G17995" t="n">
        <v>81</v>
      </c>
      <c r="H17995" s="5">
        <f>HYPERLINK("https://api.qogita.com/variants/link/4015100192032/", "View Product")</f>
        <v/>
      </c>
    </row>
    <row r="17996">
      <c r="A17996" t="inlineStr">
        <is>
          <t>4015100202168</t>
        </is>
      </c>
      <c r="B17996" t="inlineStr">
        <is>
          <t>Diadermine Lift+ Day Care Hydra-Lifting Day Cream SPF 30 50ml</t>
        </is>
      </c>
      <c r="C17996" t="inlineStr">
        <is>
          <t>Day Cream</t>
        </is>
      </c>
      <c r="D17996" t="inlineStr">
        <is>
          <t>Diadermine</t>
        </is>
      </c>
      <c r="E17996" t="n">
        <v>7.97</v>
      </c>
      <c r="F17996" t="n">
        <v>1</v>
      </c>
      <c r="G17996" t="n">
        <v>53</v>
      </c>
      <c r="H17996" s="5">
        <f>HYPERLINK("https://api.qogita.com/variants/link/4015100202168/", "View Product")</f>
        <v/>
      </c>
    </row>
    <row r="17997">
      <c r="A17997" t="inlineStr">
        <is>
          <t>4015100435405</t>
        </is>
      </c>
      <c r="B17997" t="inlineStr">
        <is>
          <t>Diadermine Age Supreme Regeneration Deep Effective Day Cream SPF 30 50ml</t>
        </is>
      </c>
      <c r="C17997" t="inlineStr">
        <is>
          <t>Day Cream</t>
        </is>
      </c>
      <c r="D17997" t="inlineStr">
        <is>
          <t>Diadermine</t>
        </is>
      </c>
      <c r="E17997" t="n">
        <v>9.699999999999999</v>
      </c>
      <c r="F17997" t="n">
        <v>1</v>
      </c>
      <c r="G17997" t="n">
        <v>142</v>
      </c>
      <c r="H17997" s="5">
        <f>HYPERLINK("https://api.qogita.com/variants/link/4015100435405/", "View Product")</f>
        <v/>
      </c>
    </row>
    <row r="17998">
      <c r="A17998" t="inlineStr">
        <is>
          <t>4015100738285</t>
        </is>
      </c>
      <c r="B17998" t="inlineStr">
        <is>
          <t>DIADERMINE Age Supreme Extra Rich Revitalizing Night Cream 50ml</t>
        </is>
      </c>
      <c r="C17998" t="inlineStr">
        <is>
          <t>Night Cream</t>
        </is>
      </c>
      <c r="D17998" t="inlineStr">
        <is>
          <t>Diadermine</t>
        </is>
      </c>
      <c r="E17998" t="n">
        <v>8.82</v>
      </c>
      <c r="F17998" t="n">
        <v>1</v>
      </c>
      <c r="G17998" t="n">
        <v>99</v>
      </c>
      <c r="H17998" s="5">
        <f>HYPERLINK("https://api.qogita.com/variants/link/4015100738285/", "View Product")</f>
        <v/>
      </c>
    </row>
    <row r="17999">
      <c r="A17999" t="inlineStr">
        <is>
          <t>4015100800708</t>
        </is>
      </c>
      <c r="B17999" t="inlineStr">
        <is>
          <t>Diadermine Anti-Age Lift+ Glow Serum 30ml</t>
        </is>
      </c>
      <c r="C17999" t="inlineStr">
        <is>
          <t>Glow Serum</t>
        </is>
      </c>
      <c r="D17999" t="inlineStr">
        <is>
          <t>Diadermine</t>
        </is>
      </c>
      <c r="E17999" t="n">
        <v>8.82</v>
      </c>
      <c r="F17999" t="n">
        <v>1</v>
      </c>
      <c r="G17999" t="n">
        <v>94</v>
      </c>
      <c r="H17999" s="5">
        <f>HYPERLINK("https://api.qogita.com/variants/link/4015100800708/", "View Product")</f>
        <v/>
      </c>
    </row>
    <row r="18000">
      <c r="A18000" t="inlineStr">
        <is>
          <t>4015100801194</t>
        </is>
      </c>
      <c r="B18000" t="inlineStr">
        <is>
          <t>Diadermine Anti-Age Lift + Glow Day Cream 50ml</t>
        </is>
      </c>
      <c r="C18000" t="inlineStr">
        <is>
          <t>Day Cream</t>
        </is>
      </c>
      <c r="D18000" t="inlineStr">
        <is>
          <t>Diadermine</t>
        </is>
      </c>
      <c r="E18000" t="n">
        <v>8.82</v>
      </c>
      <c r="F18000" t="n">
        <v>1</v>
      </c>
      <c r="G18000" t="n">
        <v>65</v>
      </c>
      <c r="H18000" s="5">
        <f>HYPERLINK("https://api.qogita.com/variants/link/4015100801194/", "View Product")</f>
        <v/>
      </c>
    </row>
    <row r="18001">
      <c r="A18001" t="inlineStr">
        <is>
          <t>4015165351252</t>
        </is>
      </c>
      <c r="B18001" t="inlineStr">
        <is>
          <t>BABOR MAKE UP Lip Colour Creamy Lipstick with Care Long-Lasting Moisturizing Slightly Glossy 4g - 10 Super Red Matte</t>
        </is>
      </c>
      <c r="C18001" t="inlineStr">
        <is>
          <t>Lipstick</t>
        </is>
      </c>
      <c r="D18001" t="inlineStr">
        <is>
          <t>Babor</t>
        </is>
      </c>
      <c r="E18001" t="n">
        <v>17.01</v>
      </c>
      <c r="F18001" t="n">
        <v>1</v>
      </c>
      <c r="G18001" t="n">
        <v>2</v>
      </c>
      <c r="H18001" s="5">
        <f>HYPERLINK("https://api.qogita.com/variants/link/4015165351252/", "View Product")</f>
        <v/>
      </c>
    </row>
    <row r="18002">
      <c r="A18002" t="inlineStr">
        <is>
          <t>4015165358725</t>
        </is>
      </c>
      <c r="B18002" t="inlineStr">
        <is>
          <t>Babor Multi Vitamin Serum Ampoules for the Face with Vitamin E</t>
        </is>
      </c>
      <c r="C18002" t="inlineStr">
        <is>
          <t>Vitamin Serum</t>
        </is>
      </c>
      <c r="D18002" t="inlineStr">
        <is>
          <t>Babor</t>
        </is>
      </c>
      <c r="E18002" t="n">
        <v>24.24</v>
      </c>
      <c r="F18002" t="n">
        <v>1</v>
      </c>
      <c r="G18002" t="n">
        <v>5</v>
      </c>
      <c r="H18002" s="5">
        <f>HYPERLINK("https://api.qogita.com/variants/link/4015165358725/", "View Product")</f>
        <v/>
      </c>
    </row>
    <row r="18003">
      <c r="A18003" t="inlineStr">
        <is>
          <t>4015165359081</t>
        </is>
      </c>
      <c r="B18003" t="inlineStr">
        <is>
          <t>Babor Sos Calming Ampoule Concentrates 24 X 2 Ml For Sensitive Skin</t>
        </is>
      </c>
      <c r="C18003" t="inlineStr">
        <is>
          <t>Ampoules</t>
        </is>
      </c>
      <c r="D18003" t="inlineStr">
        <is>
          <t>Babor</t>
        </is>
      </c>
      <c r="E18003" t="n">
        <v>83.01000000000001</v>
      </c>
      <c r="F18003" t="n">
        <v>1</v>
      </c>
      <c r="G18003" t="n">
        <v>11</v>
      </c>
      <c r="H18003" s="5">
        <f>HYPERLINK("https://api.qogita.com/variants/link/4015165359081/", "View Product")</f>
        <v/>
      </c>
    </row>
    <row r="18004">
      <c r="A18004" t="inlineStr">
        <is>
          <t>4015165368625</t>
        </is>
      </c>
      <c r="B18004" t="inlineStr">
        <is>
          <t>Babor Doctor Babor Regenerating Body Cream 200 Ml</t>
        </is>
      </c>
      <c r="C18004" t="inlineStr">
        <is>
          <t>Body Lotion</t>
        </is>
      </c>
      <c r="D18004" t="inlineStr">
        <is>
          <t>Babor</t>
        </is>
      </c>
      <c r="E18004" t="n">
        <v>78.37</v>
      </c>
      <c r="F18004" t="n">
        <v>1</v>
      </c>
      <c r="G18004" t="n">
        <v>6</v>
      </c>
      <c r="H18004" s="5">
        <f>HYPERLINK("https://api.qogita.com/variants/link/4015165368625/", "View Product")</f>
        <v/>
      </c>
    </row>
    <row r="18005">
      <c r="A18005" t="inlineStr">
        <is>
          <t>4015165368984</t>
        </is>
      </c>
      <c r="B18005" t="inlineStr">
        <is>
          <t>Babor Doctor Babor Glow Biphase Ampoule Serum Concentrate 7 X 2 Ml For Dull And Tired Skin</t>
        </is>
      </c>
      <c r="C18005" t="inlineStr">
        <is>
          <t>Glow Serum</t>
        </is>
      </c>
      <c r="D18005" t="inlineStr">
        <is>
          <t>Babor</t>
        </is>
      </c>
      <c r="E18005" t="n">
        <v>32.21</v>
      </c>
      <c r="F18005" t="n">
        <v>1</v>
      </c>
      <c r="G18005" t="n">
        <v>6</v>
      </c>
      <c r="H18005" s="5">
        <f>HYPERLINK("https://api.qogita.com/variants/link/4015165368984/", "View Product")</f>
        <v/>
      </c>
    </row>
    <row r="18006">
      <c r="A18006" t="inlineStr">
        <is>
          <t>4015165369035</t>
        </is>
      </c>
      <c r="B18006" t="inlineStr">
        <is>
          <t>Doctor Babor Barrier Protect Ampoule Serum for Strengthened Skin Barrier</t>
        </is>
      </c>
      <c r="C18006" t="inlineStr">
        <is>
          <t>Ampoules</t>
        </is>
      </c>
      <c r="D18006" t="inlineStr">
        <is>
          <t>Babor</t>
        </is>
      </c>
      <c r="E18006" t="n">
        <v>32.21</v>
      </c>
      <c r="F18006" t="n">
        <v>1</v>
      </c>
      <c r="G18006" t="n">
        <v>5</v>
      </c>
      <c r="H18006" s="5">
        <f>HYPERLINK("https://api.qogita.com/variants/link/4015165369035/", "View Product")</f>
        <v/>
      </c>
    </row>
    <row r="18007">
      <c r="A18007" t="inlineStr">
        <is>
          <t>4015165369080</t>
        </is>
      </c>
      <c r="B18007" t="inlineStr">
        <is>
          <t>Doctor Babor Soothing Cream Intensive Rich Care for Sensitive Skin</t>
        </is>
      </c>
      <c r="C18007" t="inlineStr">
        <is>
          <t>Face Cream</t>
        </is>
      </c>
      <c r="D18007" t="inlineStr">
        <is>
          <t>Babor</t>
        </is>
      </c>
      <c r="E18007" t="n">
        <v>62.29</v>
      </c>
      <c r="F18007" t="n">
        <v>1</v>
      </c>
      <c r="G18007" t="n">
        <v>4</v>
      </c>
      <c r="H18007" s="5">
        <f>HYPERLINK("https://api.qogita.com/variants/link/4015165369080/", "View Product")</f>
        <v/>
      </c>
    </row>
    <row r="18008">
      <c r="A18008" t="inlineStr">
        <is>
          <t>4015600044107</t>
        </is>
      </c>
      <c r="B18008" t="inlineStr">
        <is>
          <t>Wella Permanent Hair Colour Color Touch 6/0 60ml Dark Blonde</t>
        </is>
      </c>
      <c r="C18008" t="inlineStr">
        <is>
          <t>Hair Dye</t>
        </is>
      </c>
      <c r="D18008" t="inlineStr">
        <is>
          <t>Wella</t>
        </is>
      </c>
      <c r="E18008" t="n">
        <v>7.27</v>
      </c>
      <c r="F18008" t="n">
        <v>1</v>
      </c>
      <c r="G18008" t="n">
        <v>3</v>
      </c>
      <c r="H18008" s="5">
        <f>HYPERLINK("https://api.qogita.com/variants/link/4015600044107/", "View Product")</f>
        <v/>
      </c>
    </row>
    <row r="18009">
      <c r="A18009" t="inlineStr">
        <is>
          <t>4015600235895</t>
        </is>
      </c>
      <c r="B18009" t="inlineStr">
        <is>
          <t>Wella Illumina Hair Colour 5/35 Light Gold Mahogany Brown 60ml</t>
        </is>
      </c>
      <c r="C18009" t="inlineStr">
        <is>
          <t>Hair Dye</t>
        </is>
      </c>
      <c r="D18009" t="inlineStr">
        <is>
          <t>Wella</t>
        </is>
      </c>
      <c r="E18009" t="n">
        <v>7.37</v>
      </c>
      <c r="F18009" t="n">
        <v>1</v>
      </c>
      <c r="G18009" t="n">
        <v>3</v>
      </c>
      <c r="H18009" s="5">
        <f>HYPERLINK("https://api.qogita.com/variants/link/4015600235895/", "View Product")</f>
        <v/>
      </c>
    </row>
    <row r="18010">
      <c r="A18010" t="inlineStr">
        <is>
          <t>4015600530471</t>
        </is>
      </c>
      <c r="B18010" t="inlineStr">
        <is>
          <t>Wella Illumina Coloring No 5/81 60ml</t>
        </is>
      </c>
      <c r="C18010" t="inlineStr">
        <is>
          <t>Hair Dye</t>
        </is>
      </c>
      <c r="D18010" t="inlineStr">
        <is>
          <t>Wella</t>
        </is>
      </c>
      <c r="E18010" t="n">
        <v>7.28</v>
      </c>
      <c r="F18010" t="n">
        <v>1</v>
      </c>
      <c r="G18010" t="n">
        <v>12</v>
      </c>
      <c r="H18010" s="5">
        <f>HYPERLINK("https://api.qogita.com/variants/link/4015600530471/", "View Product")</f>
        <v/>
      </c>
    </row>
    <row r="18011">
      <c r="A18011" t="inlineStr">
        <is>
          <t>4015600810849</t>
        </is>
      </c>
      <c r="B18011" t="inlineStr">
        <is>
          <t>Gillette Sport Power Rush Antiperspirant Gel 70ml</t>
        </is>
      </c>
      <c r="C18011" t="inlineStr">
        <is>
          <t>Deodorant &amp; Anti-Perspirant</t>
        </is>
      </c>
      <c r="D18011" t="inlineStr">
        <is>
          <t>Gillette</t>
        </is>
      </c>
      <c r="E18011" t="n">
        <v>7.16</v>
      </c>
      <c r="F18011" t="n">
        <v>1</v>
      </c>
      <c r="G18011" t="n">
        <v>5</v>
      </c>
      <c r="H18011" s="5">
        <f>HYPERLINK("https://api.qogita.com/variants/link/4015600810849/", "View Product")</f>
        <v/>
      </c>
    </row>
    <row r="18012">
      <c r="A18012" t="inlineStr">
        <is>
          <t>4015600987862</t>
        </is>
      </c>
      <c r="B18012" t="inlineStr">
        <is>
          <t>Londa Londacolor Creme Hair Color 7/3 Medium Blonde-Gold</t>
        </is>
      </c>
      <c r="C18012" t="inlineStr">
        <is>
          <t>Hair Dye</t>
        </is>
      </c>
      <c r="D18012" t="inlineStr">
        <is>
          <t>Londa</t>
        </is>
      </c>
      <c r="E18012" t="n">
        <v>4.07</v>
      </c>
      <c r="F18012" t="n">
        <v>1</v>
      </c>
      <c r="G18012" t="n">
        <v>2</v>
      </c>
      <c r="H18012" s="5">
        <f>HYPERLINK("https://api.qogita.com/variants/link/4015600987862/", "View Product")</f>
        <v/>
      </c>
    </row>
    <row r="18013">
      <c r="A18013" t="inlineStr">
        <is>
          <t>4015600988913</t>
        </is>
      </c>
      <c r="B18013" t="inlineStr">
        <is>
          <t>Londa Londacolor Hair Color Cream 9/7 Light Blond-Brown</t>
        </is>
      </c>
      <c r="C18013" t="inlineStr">
        <is>
          <t>Hair Dye</t>
        </is>
      </c>
      <c r="D18013" t="inlineStr">
        <is>
          <t>Londa</t>
        </is>
      </c>
      <c r="E18013" t="n">
        <v>2.97</v>
      </c>
      <c r="F18013" t="n">
        <v>1</v>
      </c>
      <c r="G18013" t="n">
        <v>5</v>
      </c>
      <c r="H18013" s="5">
        <f>HYPERLINK("https://api.qogita.com/variants/link/4015600988913/", "View Product")</f>
        <v/>
      </c>
    </row>
    <row r="18014">
      <c r="A18014" t="inlineStr">
        <is>
          <t>4015953719301</t>
        </is>
      </c>
      <c r="B18014" t="inlineStr">
        <is>
          <t>Accentra Vanilla Chill Or Glow Winter Mood Bomb</t>
        </is>
      </c>
      <c r="C18014" t="inlineStr">
        <is>
          <t>Incense</t>
        </is>
      </c>
      <c r="D18014" t="inlineStr">
        <is>
          <t>Accentra</t>
        </is>
      </c>
      <c r="E18014" t="n">
        <v>6.49</v>
      </c>
      <c r="F18014" t="n">
        <v>1</v>
      </c>
      <c r="G18014" t="n">
        <v>9</v>
      </c>
      <c r="H18014" s="5">
        <f>HYPERLINK("https://api.qogita.com/variants/link/4015953719301/", "View Product")</f>
        <v/>
      </c>
    </row>
    <row r="18015">
      <c r="A18015" t="inlineStr">
        <is>
          <t>4019674028018</t>
        </is>
      </c>
      <c r="B18015" t="inlineStr">
        <is>
          <t>Artdeco Eyebrow Pencil 11 G Color Black</t>
        </is>
      </c>
      <c r="C18015" t="inlineStr">
        <is>
          <t>Eyebrow Pencil</t>
        </is>
      </c>
      <c r="D18015" t="inlineStr">
        <is>
          <t>Artdeco</t>
        </is>
      </c>
      <c r="E18015" t="n">
        <v>2.69</v>
      </c>
      <c r="F18015" t="n">
        <v>1</v>
      </c>
      <c r="G18015" t="n">
        <v>27</v>
      </c>
      <c r="H18015" s="5">
        <f>HYPERLINK("https://api.qogita.com/variants/link/4019674028018/", "View Product")</f>
        <v/>
      </c>
    </row>
    <row r="18016">
      <c r="A18016" t="inlineStr">
        <is>
          <t>4019674028124</t>
        </is>
      </c>
      <c r="B18016" t="inlineStr">
        <is>
          <t>Artdeco Eye Brow Designer 02 Dark Eyebrow Pencil With Brush 1 G</t>
        </is>
      </c>
      <c r="C18016" t="inlineStr">
        <is>
          <t>Eyebrow Pencil</t>
        </is>
      </c>
      <c r="D18016" t="inlineStr">
        <is>
          <t>Artdeco</t>
        </is>
      </c>
      <c r="E18016" t="n">
        <v>5.99</v>
      </c>
      <c r="F18016" t="n">
        <v>1</v>
      </c>
      <c r="G18016" t="n">
        <v>2</v>
      </c>
      <c r="H18016" s="5">
        <f>HYPERLINK("https://api.qogita.com/variants/link/4019674028124/", "View Product")</f>
        <v/>
      </c>
    </row>
    <row r="18017">
      <c r="A18017" t="inlineStr">
        <is>
          <t>4019674030042</t>
        </is>
      </c>
      <c r="B18017" t="inlineStr">
        <is>
          <t>Artdeco Eyeshadow Pearl Magnetic Eyeshadow Shade No. 04 0.8g</t>
        </is>
      </c>
      <c r="C18017" t="inlineStr">
        <is>
          <t>Eyeshadow</t>
        </is>
      </c>
      <c r="D18017" t="inlineStr">
        <is>
          <t>Artdeco</t>
        </is>
      </c>
      <c r="E18017" t="n">
        <v>4.43</v>
      </c>
      <c r="F18017" t="n">
        <v>1</v>
      </c>
      <c r="G18017" t="n">
        <v>17</v>
      </c>
      <c r="H18017" s="5">
        <f>HYPERLINK("https://api.qogita.com/variants/link/4019674030042/", "View Product")</f>
        <v/>
      </c>
    </row>
    <row r="18018">
      <c r="A18018" t="inlineStr">
        <is>
          <t>4019674030103</t>
        </is>
      </c>
      <c r="B18018" t="inlineStr">
        <is>
          <t>Artdeco Eyeshadow Pearl Magnetic Eyeshadow Shade No. 10 - 0.8g</t>
        </is>
      </c>
      <c r="C18018" t="inlineStr">
        <is>
          <t>Eyeshadow</t>
        </is>
      </c>
      <c r="D18018" t="inlineStr">
        <is>
          <t>Artdeco</t>
        </is>
      </c>
      <c r="E18018" t="n">
        <v>4.46</v>
      </c>
      <c r="F18018" t="n">
        <v>1</v>
      </c>
      <c r="G18018" t="n">
        <v>7</v>
      </c>
      <c r="H18018" s="5">
        <f>HYPERLINK("https://api.qogita.com/variants/link/4019674030103/", "View Product")</f>
        <v/>
      </c>
    </row>
    <row r="18019">
      <c r="A18019" t="inlineStr">
        <is>
          <t>4019674030110</t>
        </is>
      </c>
      <c r="B18019" t="inlineStr">
        <is>
          <t>Artdeco Eyeshadow Pearl Magnetic Eyeshadow Shade No. 11 0.8g</t>
        </is>
      </c>
      <c r="C18019" t="inlineStr">
        <is>
          <t>Eyeshadow</t>
        </is>
      </c>
      <c r="D18019" t="inlineStr">
        <is>
          <t>Artdeco</t>
        </is>
      </c>
      <c r="E18019" t="n">
        <v>4.43</v>
      </c>
      <c r="F18019" t="n">
        <v>1</v>
      </c>
      <c r="G18019" t="n">
        <v>15</v>
      </c>
      <c r="H18019" s="5">
        <f>HYPERLINK("https://api.qogita.com/variants/link/4019674030110/", "View Product")</f>
        <v/>
      </c>
    </row>
    <row r="18020">
      <c r="A18020" t="inlineStr">
        <is>
          <t>4019674030172</t>
        </is>
      </c>
      <c r="B18020" t="inlineStr">
        <is>
          <t>Artdeco Eyeshadow Pearl 17 Pearly Misty Wood 8 Grams</t>
        </is>
      </c>
      <c r="C18020" t="inlineStr">
        <is>
          <t>Eyeshadow</t>
        </is>
      </c>
      <c r="D18020" t="inlineStr">
        <is>
          <t>Artdeco</t>
        </is>
      </c>
      <c r="E18020" t="n">
        <v>4.43</v>
      </c>
      <c r="F18020" t="n">
        <v>1</v>
      </c>
      <c r="G18020" t="n">
        <v>10</v>
      </c>
      <c r="H18020" s="5">
        <f>HYPERLINK("https://api.qogita.com/variants/link/4019674030172/", "View Product")</f>
        <v/>
      </c>
    </row>
    <row r="18021">
      <c r="A18021" t="inlineStr">
        <is>
          <t>4019674030721</t>
        </is>
      </c>
      <c r="B18021" t="inlineStr">
        <is>
          <t>Artdeco Eyeshadow Pearl Magnetic Shade No. 72 - 0.8g</t>
        </is>
      </c>
      <c r="C18021" t="inlineStr">
        <is>
          <t>Eyeshadow</t>
        </is>
      </c>
      <c r="D18021" t="inlineStr">
        <is>
          <t>Artdeco</t>
        </is>
      </c>
      <c r="E18021" t="n">
        <v>4.46</v>
      </c>
      <c r="F18021" t="n">
        <v>1</v>
      </c>
      <c r="G18021" t="n">
        <v>5</v>
      </c>
      <c r="H18021" s="5">
        <f>HYPERLINK("https://api.qogita.com/variants/link/4019674030721/", "View Product")</f>
        <v/>
      </c>
    </row>
    <row r="18022">
      <c r="A18022" t="inlineStr">
        <is>
          <t>4019674030943</t>
        </is>
      </c>
      <c r="B18022" t="inlineStr">
        <is>
          <t>ARTDECO Eyeshadow Intense and Long-Lasting Eye Shadow in Pink, Purple, and Pearl 1g - Shade 94 Pearly Very Light Rose</t>
        </is>
      </c>
      <c r="C18022" t="inlineStr">
        <is>
          <t>Eyeshadow</t>
        </is>
      </c>
      <c r="D18022" t="inlineStr">
        <is>
          <t>Artdeco</t>
        </is>
      </c>
      <c r="E18022" t="n">
        <v>4.43</v>
      </c>
      <c r="F18022" t="n">
        <v>1</v>
      </c>
      <c r="G18022" t="n">
        <v>24</v>
      </c>
      <c r="H18022" s="5">
        <f>HYPERLINK("https://api.qogita.com/variants/link/4019674030943/", "View Product")</f>
        <v/>
      </c>
    </row>
    <row r="18023">
      <c r="A18023" t="inlineStr">
        <is>
          <t>4019674034064</t>
        </is>
      </c>
      <c r="B18023" t="inlineStr">
        <is>
          <t>ARTDECO Mineral Powder Foundation Honey 0.53 Oz</t>
        </is>
      </c>
      <c r="C18023" t="inlineStr">
        <is>
          <t>Foundation</t>
        </is>
      </c>
      <c r="D18023" t="inlineStr">
        <is>
          <t>Artdeco</t>
        </is>
      </c>
      <c r="E18023" t="n">
        <v>10.39</v>
      </c>
      <c r="F18023" t="n">
        <v>1</v>
      </c>
      <c r="G18023" t="n">
        <v>12</v>
      </c>
      <c r="H18023" s="5">
        <f>HYPERLINK("https://api.qogita.com/variants/link/4019674034064/", "View Product")</f>
        <v/>
      </c>
    </row>
    <row r="18024">
      <c r="A18024" t="inlineStr">
        <is>
          <t>4019674041062</t>
        </is>
      </c>
      <c r="B18024" t="inlineStr">
        <is>
          <t>ARTDECO High Definition Compact Powder 10g 6 Soft Fawn</t>
        </is>
      </c>
      <c r="C18024" t="inlineStr">
        <is>
          <t>Powder</t>
        </is>
      </c>
      <c r="D18024" t="inlineStr">
        <is>
          <t>Artdeco</t>
        </is>
      </c>
      <c r="E18024" t="n">
        <v>18.13</v>
      </c>
      <c r="F18024" t="n">
        <v>1</v>
      </c>
      <c r="G18024" t="n">
        <v>4</v>
      </c>
      <c r="H18024" s="5">
        <f>HYPERLINK("https://api.qogita.com/variants/link/4019674041062/", "View Product")</f>
        <v/>
      </c>
    </row>
    <row r="18025">
      <c r="A18025" t="inlineStr">
        <is>
          <t>4019674049228</t>
        </is>
      </c>
      <c r="B18025" t="inlineStr">
        <is>
          <t>Artdeco Camouflage Cream Concealer Cream 02 4.5g</t>
        </is>
      </c>
      <c r="C18025" t="inlineStr">
        <is>
          <t>Camouflage Makeup</t>
        </is>
      </c>
      <c r="D18025" t="inlineStr">
        <is>
          <t>Artdeco</t>
        </is>
      </c>
      <c r="E18025" t="n">
        <v>3.5</v>
      </c>
      <c r="F18025" t="n">
        <v>1</v>
      </c>
      <c r="G18025" t="n">
        <v>5</v>
      </c>
      <c r="H18025" s="5">
        <f>HYPERLINK("https://api.qogita.com/variants/link/4019674049228/", "View Product")</f>
        <v/>
      </c>
    </row>
    <row r="18026">
      <c r="A18026" t="inlineStr">
        <is>
          <t>4019674049259</t>
        </is>
      </c>
      <c r="B18026" t="inlineStr">
        <is>
          <t>ARTDECO Camouflage Cream Highly Covering Make-Up Concealer 4.5g - Shade 5 Light Whiskey</t>
        </is>
      </c>
      <c r="C18026" t="inlineStr">
        <is>
          <t>Concealer</t>
        </is>
      </c>
      <c r="D18026" t="inlineStr">
        <is>
          <t>Artdeco</t>
        </is>
      </c>
      <c r="E18026" t="n">
        <v>3.5</v>
      </c>
      <c r="F18026" t="n">
        <v>1</v>
      </c>
      <c r="G18026" t="n">
        <v>5</v>
      </c>
      <c r="H18026" s="5">
        <f>HYPERLINK("https://api.qogita.com/variants/link/4019674049259/", "View Product")</f>
        <v/>
      </c>
    </row>
    <row r="18027">
      <c r="A18027" t="inlineStr">
        <is>
          <t>4019674049518</t>
        </is>
      </c>
      <c r="B18027" t="inlineStr">
        <is>
          <t>Artdeco Perfect Stick Concealer In Stick 01 4g</t>
        </is>
      </c>
      <c r="C18027" t="inlineStr">
        <is>
          <t>Concealer</t>
        </is>
      </c>
      <c r="D18027" t="inlineStr">
        <is>
          <t>Artdeco</t>
        </is>
      </c>
      <c r="E18027" t="n">
        <v>10.53</v>
      </c>
      <c r="F18027" t="n">
        <v>1</v>
      </c>
      <c r="G18027" t="n">
        <v>2</v>
      </c>
      <c r="H18027" s="5">
        <f>HYPERLINK("https://api.qogita.com/variants/link/4019674049518/", "View Product")</f>
        <v/>
      </c>
    </row>
    <row r="18028">
      <c r="A18028" t="inlineStr">
        <is>
          <t>4019674060827</t>
        </is>
      </c>
      <c r="B18028" t="inlineStr">
        <is>
          <t>Artdeco Powder Puff For Loose Powder</t>
        </is>
      </c>
      <c r="C18028" t="inlineStr">
        <is>
          <t>Powderpuffs</t>
        </is>
      </c>
      <c r="D18028" t="inlineStr">
        <is>
          <t>Artdeco</t>
        </is>
      </c>
      <c r="E18028" t="n">
        <v>3.55</v>
      </c>
      <c r="F18028" t="n">
        <v>1</v>
      </c>
      <c r="G18028" t="n">
        <v>6</v>
      </c>
      <c r="H18028" s="5">
        <f>HYPERLINK("https://api.qogita.com/variants/link/4019674060827/", "View Product")</f>
        <v/>
      </c>
    </row>
    <row r="18029">
      <c r="A18029" t="inlineStr">
        <is>
          <t>4019674061794</t>
        </is>
      </c>
      <c r="B18029" t="inlineStr">
        <is>
          <t>ARTDECO Nail Polish Corrector Stick 4.5ml</t>
        </is>
      </c>
      <c r="C18029" t="inlineStr">
        <is>
          <t>Nail Polish</t>
        </is>
      </c>
      <c r="D18029" t="inlineStr">
        <is>
          <t>Artdeco</t>
        </is>
      </c>
      <c r="E18029" t="n">
        <v>7.3</v>
      </c>
      <c r="F18029" t="n">
        <v>1</v>
      </c>
      <c r="G18029" t="n">
        <v>4</v>
      </c>
      <c r="H18029" s="5">
        <f>HYPERLINK("https://api.qogita.com/variants/link/4019674061794/", "View Product")</f>
        <v/>
      </c>
    </row>
    <row r="18030">
      <c r="A18030" t="inlineStr">
        <is>
          <t>4019674195147</t>
        </is>
      </c>
      <c r="B18030" t="inlineStr">
        <is>
          <t>Artdeco Longlasting Lip Gloss Lip Brilliance 5 Ml Brilliant Frozen Rose</t>
        </is>
      </c>
      <c r="C18030" t="inlineStr">
        <is>
          <t>Lip Gloss</t>
        </is>
      </c>
      <c r="D18030" t="inlineStr">
        <is>
          <t>Artdeco</t>
        </is>
      </c>
      <c r="E18030" t="n">
        <v>7.85</v>
      </c>
      <c r="F18030" t="n">
        <v>1</v>
      </c>
      <c r="G18030" t="n">
        <v>5</v>
      </c>
      <c r="H18030" s="5">
        <f>HYPERLINK("https://api.qogita.com/variants/link/4019674195147/", "View Product")</f>
        <v/>
      </c>
    </row>
    <row r="18031">
      <c r="A18031" t="inlineStr">
        <is>
          <t>4019674195451</t>
        </is>
      </c>
      <c r="B18031" t="inlineStr">
        <is>
          <t>Artdeco Lip Brilliance Lip Gloss No. 45 Brilliant Ruby Red</t>
        </is>
      </c>
      <c r="C18031" t="inlineStr">
        <is>
          <t>Lip Gloss</t>
        </is>
      </c>
      <c r="D18031" t="inlineStr">
        <is>
          <t>Artdeco</t>
        </is>
      </c>
      <c r="E18031" t="n">
        <v>7.85</v>
      </c>
      <c r="F18031" t="n">
        <v>1</v>
      </c>
      <c r="G18031" t="n">
        <v>4</v>
      </c>
      <c r="H18031" s="5">
        <f>HYPERLINK("https://api.qogita.com/variants/link/4019674195451/", "View Product")</f>
        <v/>
      </c>
    </row>
    <row r="18032">
      <c r="A18032" t="inlineStr">
        <is>
          <t>4019674197363</t>
        </is>
      </c>
      <c r="B18032" t="inlineStr">
        <is>
          <t>Artdeco Hydra Lip Booster 36 Translucent Rosewood 6ml</t>
        </is>
      </c>
      <c r="C18032" t="inlineStr">
        <is>
          <t>Lip Gloss</t>
        </is>
      </c>
      <c r="D18032" t="inlineStr">
        <is>
          <t>Artdeco</t>
        </is>
      </c>
      <c r="E18032" t="n">
        <v>6.9</v>
      </c>
      <c r="F18032" t="n">
        <v>1</v>
      </c>
      <c r="G18032" t="n">
        <v>17</v>
      </c>
      <c r="H18032" s="5">
        <f>HYPERLINK("https://api.qogita.com/variants/link/4019674197363/", "View Product")</f>
        <v/>
      </c>
    </row>
    <row r="18033">
      <c r="A18033" t="inlineStr">
        <is>
          <t>4019674197554</t>
        </is>
      </c>
      <c r="B18033" t="inlineStr">
        <is>
          <t>Artdeco Moisturizing Lip Gloss Hydra Lip Booster 6 Ml Translucent Hot Pink</t>
        </is>
      </c>
      <c r="C18033" t="inlineStr">
        <is>
          <t>Lip Gloss</t>
        </is>
      </c>
      <c r="D18033" t="inlineStr">
        <is>
          <t>Artdeco</t>
        </is>
      </c>
      <c r="E18033" t="n">
        <v>6.88</v>
      </c>
      <c r="F18033" t="n">
        <v>1</v>
      </c>
      <c r="G18033" t="n">
        <v>7</v>
      </c>
      <c r="H18033" s="5">
        <f>HYPERLINK("https://api.qogita.com/variants/link/4019674197554/", "View Product")</f>
        <v/>
      </c>
    </row>
    <row r="18034">
      <c r="A18034" t="inlineStr">
        <is>
          <t>4019674221129</t>
        </is>
      </c>
      <c r="B18034" t="inlineStr">
        <is>
          <t>Artdeco Soft Waterproof Eyeliner 12 - 0.03kg</t>
        </is>
      </c>
      <c r="C18034" t="inlineStr">
        <is>
          <t>Eyeliner</t>
        </is>
      </c>
      <c r="D18034" t="inlineStr">
        <is>
          <t>Artdeco</t>
        </is>
      </c>
      <c r="E18034" t="n">
        <v>3.72</v>
      </c>
      <c r="F18034" t="n">
        <v>1</v>
      </c>
      <c r="G18034" t="n">
        <v>15</v>
      </c>
      <c r="H18034" s="5">
        <f>HYPERLINK("https://api.qogita.com/variants/link/4019674221129/", "View Product")</f>
        <v/>
      </c>
    </row>
    <row r="18035">
      <c r="A18035" t="inlineStr">
        <is>
          <t>4019674221983</t>
        </is>
      </c>
      <c r="B18035" t="inlineStr">
        <is>
          <t>Artdeco Soft Eye Liner Waterproof 98 Vanilla White</t>
        </is>
      </c>
      <c r="C18035" t="inlineStr">
        <is>
          <t>Eyeliner</t>
        </is>
      </c>
      <c r="D18035" t="inlineStr">
        <is>
          <t>Artdeco</t>
        </is>
      </c>
      <c r="E18035" t="n">
        <v>4.72</v>
      </c>
      <c r="F18035" t="n">
        <v>1</v>
      </c>
      <c r="G18035" t="n">
        <v>5</v>
      </c>
      <c r="H18035" s="5">
        <f>HYPERLINK("https://api.qogita.com/variants/link/4019674221983/", "View Product")</f>
        <v/>
      </c>
    </row>
    <row r="18036">
      <c r="A18036" t="inlineStr">
        <is>
          <t>4019674303726</t>
        </is>
      </c>
      <c r="B18036" t="inlineStr">
        <is>
          <t>Artdeco Eyeshadow Glamour Magnetic Eyeshadow Shade No. 372 0.8g</t>
        </is>
      </c>
      <c r="C18036" t="inlineStr">
        <is>
          <t>Eyeshadow</t>
        </is>
      </c>
      <c r="D18036" t="inlineStr">
        <is>
          <t>Artdeco</t>
        </is>
      </c>
      <c r="E18036" t="n">
        <v>4.66</v>
      </c>
      <c r="F18036" t="n">
        <v>1</v>
      </c>
      <c r="G18036" t="n">
        <v>28</v>
      </c>
      <c r="H18036" s="5">
        <f>HYPERLINK("https://api.qogita.com/variants/link/4019674303726/", "View Product")</f>
        <v/>
      </c>
    </row>
    <row r="18037">
      <c r="A18037" t="inlineStr">
        <is>
          <t>4019674330074</t>
        </is>
      </c>
      <c r="B18037" t="inlineStr">
        <is>
          <t>Artdeco Powder Blush 07 Salmon Blush 5 G</t>
        </is>
      </c>
      <c r="C18037" t="inlineStr">
        <is>
          <t>Blush</t>
        </is>
      </c>
      <c r="D18037" t="inlineStr">
        <is>
          <t>Artdeco</t>
        </is>
      </c>
      <c r="E18037" t="n">
        <v>5.64</v>
      </c>
      <c r="F18037" t="n">
        <v>1</v>
      </c>
      <c r="G18037" t="n">
        <v>6</v>
      </c>
      <c r="H18037" s="5">
        <f>HYPERLINK("https://api.qogita.com/variants/link/4019674330074/", "View Product")</f>
        <v/>
      </c>
    </row>
    <row r="18038">
      <c r="A18038" t="inlineStr">
        <is>
          <t>4019674485125</t>
        </is>
      </c>
      <c r="B18038" t="inlineStr">
        <is>
          <t>Artdeco Rich Treatment Foundation Illuminating 12 20ml</t>
        </is>
      </c>
      <c r="C18038" t="inlineStr">
        <is>
          <t>Foundation</t>
        </is>
      </c>
      <c r="D18038" t="inlineStr">
        <is>
          <t>Artdeco</t>
        </is>
      </c>
      <c r="E18038" t="n">
        <v>8.779999999999999</v>
      </c>
      <c r="F18038" t="n">
        <v>1</v>
      </c>
      <c r="G18038" t="n">
        <v>5</v>
      </c>
      <c r="H18038" s="5">
        <f>HYPERLINK("https://api.qogita.com/variants/link/4019674485125/", "View Product")</f>
        <v/>
      </c>
    </row>
    <row r="18039">
      <c r="A18039" t="inlineStr">
        <is>
          <t>4019674485217</t>
        </is>
      </c>
      <c r="B18039" t="inlineStr">
        <is>
          <t>Artdeco Rich Treatment Foundation Makeup 21 Delicious Cinnamon 20 Ml</t>
        </is>
      </c>
      <c r="C18039" t="inlineStr">
        <is>
          <t>Foundation</t>
        </is>
      </c>
      <c r="D18039" t="inlineStr">
        <is>
          <t>Artdeco</t>
        </is>
      </c>
      <c r="E18039" t="n">
        <v>8.640000000000001</v>
      </c>
      <c r="F18039" t="n">
        <v>1</v>
      </c>
      <c r="G18039" t="n">
        <v>5</v>
      </c>
      <c r="H18039" s="5">
        <f>HYPERLINK("https://api.qogita.com/variants/link/4019674485217/", "View Product")</f>
        <v/>
      </c>
    </row>
    <row r="18040">
      <c r="A18040" t="inlineStr">
        <is>
          <t>4019674492185</t>
        </is>
      </c>
      <c r="B18040" t="inlineStr">
        <is>
          <t>Artdeco Camouflage Cream High Opaque Concealer</t>
        </is>
      </c>
      <c r="C18040" t="inlineStr">
        <is>
          <t>Camouflage Makeup</t>
        </is>
      </c>
      <c r="D18040" t="inlineStr">
        <is>
          <t>Artdeco</t>
        </is>
      </c>
      <c r="E18040" t="n">
        <v>5.23</v>
      </c>
      <c r="F18040" t="n">
        <v>1</v>
      </c>
      <c r="G18040" t="n">
        <v>5</v>
      </c>
      <c r="H18040" s="5">
        <f>HYPERLINK("https://api.qogita.com/variants/link/4019674492185/", "View Product")</f>
        <v/>
      </c>
    </row>
    <row r="18041">
      <c r="A18041" t="inlineStr">
        <is>
          <t>4019674617526</t>
        </is>
      </c>
      <c r="B18041" t="inlineStr">
        <is>
          <t>Artdeco Nail Polish Thinner 20ml</t>
        </is>
      </c>
      <c r="C18041" t="inlineStr">
        <is>
          <t>Nail Polish</t>
        </is>
      </c>
      <c r="D18041" t="inlineStr">
        <is>
          <t>Artdeco</t>
        </is>
      </c>
      <c r="E18041" t="n">
        <v>6.65</v>
      </c>
      <c r="F18041" t="n">
        <v>1</v>
      </c>
      <c r="G18041" t="n">
        <v>8</v>
      </c>
      <c r="H18041" s="5">
        <f>HYPERLINK("https://api.qogita.com/variants/link/4019674617526/", "View Product")</f>
        <v/>
      </c>
    </row>
    <row r="18042">
      <c r="A18042" t="inlineStr">
        <is>
          <t>4020829005198</t>
        </is>
      </c>
      <c r="B18042" t="inlineStr">
        <is>
          <t>Dr. Hauschka Facial Toner Refreshing Toner 100ml</t>
        </is>
      </c>
      <c r="C18042" t="inlineStr">
        <is>
          <t>Facial Spray</t>
        </is>
      </c>
      <c r="D18042" t="inlineStr">
        <is>
          <t>Dr. Hauschka</t>
        </is>
      </c>
      <c r="E18042" t="n">
        <v>18.48</v>
      </c>
      <c r="F18042" t="n">
        <v>1</v>
      </c>
      <c r="G18042" t="n">
        <v>5</v>
      </c>
      <c r="H18042" s="5">
        <f>HYPERLINK("https://api.qogita.com/variants/link/4020829005198/", "View Product")</f>
        <v/>
      </c>
    </row>
    <row r="18043">
      <c r="A18043" t="inlineStr">
        <is>
          <t>4020829005600</t>
        </is>
      </c>
      <c r="B18043" t="inlineStr">
        <is>
          <t>Dr. Hauschka Body Powder 77g - Natural Smoothening for Normal Skin Alcohol-Free</t>
        </is>
      </c>
      <c r="C18043" t="inlineStr">
        <is>
          <t>Body Powder</t>
        </is>
      </c>
      <c r="D18043" t="inlineStr">
        <is>
          <t>Dr. Hauschka</t>
        </is>
      </c>
      <c r="E18043" t="n">
        <v>19.86</v>
      </c>
      <c r="F18043" t="n">
        <v>1</v>
      </c>
      <c r="G18043" t="n">
        <v>7</v>
      </c>
      <c r="H18043" s="5">
        <f>HYPERLINK("https://api.qogita.com/variants/link/4020829005600/", "View Product")</f>
        <v/>
      </c>
    </row>
    <row r="18044">
      <c r="A18044" t="inlineStr">
        <is>
          <t>4020829005662</t>
        </is>
      </c>
      <c r="B18044" t="inlineStr">
        <is>
          <t>Dr. Hauschka Hand Cream 50ml</t>
        </is>
      </c>
      <c r="C18044" t="inlineStr">
        <is>
          <t>Hand Cream</t>
        </is>
      </c>
      <c r="D18044" t="inlineStr">
        <is>
          <t>Dr. Hauschka</t>
        </is>
      </c>
      <c r="E18044" t="n">
        <v>11.32</v>
      </c>
      <c r="F18044" t="n">
        <v>1</v>
      </c>
      <c r="G18044" t="n">
        <v>2</v>
      </c>
      <c r="H18044" s="5">
        <f>HYPERLINK("https://api.qogita.com/variants/link/4020829005662/", "View Product")</f>
        <v/>
      </c>
    </row>
    <row r="18045">
      <c r="A18045" t="inlineStr">
        <is>
          <t>4020829006683</t>
        </is>
      </c>
      <c r="B18045" t="inlineStr">
        <is>
          <t>Dr. Hauschka Rose Day Cream Light 30ml</t>
        </is>
      </c>
      <c r="C18045" t="inlineStr">
        <is>
          <t>Day Cream</t>
        </is>
      </c>
      <c r="D18045" t="inlineStr">
        <is>
          <t>Dr. Hauschka</t>
        </is>
      </c>
      <c r="E18045" t="n">
        <v>18.24</v>
      </c>
      <c r="F18045" t="n">
        <v>1</v>
      </c>
      <c r="G18045" t="n">
        <v>14</v>
      </c>
      <c r="H18045" s="5">
        <f>HYPERLINK("https://api.qogita.com/variants/link/4020829006683/", "View Product")</f>
        <v/>
      </c>
    </row>
    <row r="18046">
      <c r="A18046" t="inlineStr">
        <is>
          <t>4020829006720</t>
        </is>
      </c>
      <c r="B18046" t="inlineStr">
        <is>
          <t>Dr. Hauschka Nurturing Body Cream Rose 145ml</t>
        </is>
      </c>
      <c r="C18046" t="inlineStr">
        <is>
          <t>Body Lotion</t>
        </is>
      </c>
      <c r="D18046" t="inlineStr">
        <is>
          <t>Dr. Hauschka</t>
        </is>
      </c>
      <c r="E18046" t="n">
        <v>17.63</v>
      </c>
      <c r="F18046" t="n">
        <v>1</v>
      </c>
      <c r="G18046" t="n">
        <v>13</v>
      </c>
      <c r="H18046" s="5">
        <f>HYPERLINK("https://api.qogita.com/variants/link/4020829006720/", "View Product")</f>
        <v/>
      </c>
    </row>
    <row r="18047">
      <c r="A18047" t="inlineStr">
        <is>
          <t>4020829007840</t>
        </is>
      </c>
      <c r="B18047" t="inlineStr">
        <is>
          <t>Dr. Hauschka Rose Nurturing Body Oil 75ml</t>
        </is>
      </c>
      <c r="C18047" t="inlineStr">
        <is>
          <t>Body Oil</t>
        </is>
      </c>
      <c r="D18047" t="inlineStr">
        <is>
          <t>Dr Hauschka</t>
        </is>
      </c>
      <c r="E18047" t="n">
        <v>15.51</v>
      </c>
      <c r="F18047" t="n">
        <v>1</v>
      </c>
      <c r="G18047" t="n">
        <v>5</v>
      </c>
      <c r="H18047" s="5">
        <f>HYPERLINK("https://api.qogita.com/variants/link/4020829007840/", "View Product")</f>
        <v/>
      </c>
    </row>
    <row r="18048">
      <c r="A18048" t="inlineStr">
        <is>
          <t>4020829007888</t>
        </is>
      </c>
      <c r="B18048" t="inlineStr">
        <is>
          <t>Dr. Hauschka Toning Body Oil Blackthorn 75ml</t>
        </is>
      </c>
      <c r="C18048" t="inlineStr">
        <is>
          <t>Body Oil</t>
        </is>
      </c>
      <c r="D18048" t="inlineStr">
        <is>
          <t>Dr. Hauschka</t>
        </is>
      </c>
      <c r="E18048" t="n">
        <v>13.06</v>
      </c>
      <c r="F18048" t="n">
        <v>1</v>
      </c>
      <c r="G18048" t="n">
        <v>4</v>
      </c>
      <c r="H18048" s="5">
        <f>HYPERLINK("https://api.qogita.com/variants/link/4020829007888/", "View Product")</f>
        <v/>
      </c>
    </row>
    <row r="18049">
      <c r="A18049" t="inlineStr">
        <is>
          <t>4020829008762</t>
        </is>
      </c>
      <c r="B18049" t="inlineStr">
        <is>
          <t>Dr. Hauschka Melissa Day Cream 30ml</t>
        </is>
      </c>
      <c r="C18049" t="inlineStr">
        <is>
          <t>Day Cream</t>
        </is>
      </c>
      <c r="D18049" t="inlineStr">
        <is>
          <t>Dr Hauschka</t>
        </is>
      </c>
      <c r="E18049" t="n">
        <v>18.17</v>
      </c>
      <c r="F18049" t="n">
        <v>1</v>
      </c>
      <c r="G18049" t="n">
        <v>10</v>
      </c>
      <c r="H18049" s="5">
        <f>HYPERLINK("https://api.qogita.com/variants/link/4020829008762/", "View Product")</f>
        <v/>
      </c>
    </row>
    <row r="18050">
      <c r="A18050" t="inlineStr">
        <is>
          <t>4020829009097</t>
        </is>
      </c>
      <c r="B18050" t="inlineStr">
        <is>
          <t>Dr. Hauschka Soothing Body Cream Almond 145ml</t>
        </is>
      </c>
      <c r="C18050" t="inlineStr">
        <is>
          <t>Body Lotion</t>
        </is>
      </c>
      <c r="D18050" t="inlineStr">
        <is>
          <t>Dr. Hauschka</t>
        </is>
      </c>
      <c r="E18050" t="n">
        <v>14.46</v>
      </c>
      <c r="F18050" t="n">
        <v>1</v>
      </c>
      <c r="G18050" t="n">
        <v>6</v>
      </c>
      <c r="H18050" s="5">
        <f>HYPERLINK("https://api.qogita.com/variants/link/4020829009097/", "View Product")</f>
        <v/>
      </c>
    </row>
    <row r="18051">
      <c r="A18051" t="inlineStr">
        <is>
          <t>4020829013902</t>
        </is>
      </c>
      <c r="B18051" t="inlineStr">
        <is>
          <t>Dr. Hauschka Regeneration Eye Cream Refining Care 15ml</t>
        </is>
      </c>
      <c r="C18051" t="inlineStr">
        <is>
          <t>Eye Cream</t>
        </is>
      </c>
      <c r="D18051" t="inlineStr">
        <is>
          <t>Dr Hauschka</t>
        </is>
      </c>
      <c r="E18051" t="n">
        <v>46.82</v>
      </c>
      <c r="F18051" t="n">
        <v>1</v>
      </c>
      <c r="G18051" t="n">
        <v>25</v>
      </c>
      <c r="H18051" s="5">
        <f>HYPERLINK("https://api.qogita.com/variants/link/4020829013902/", "View Product")</f>
        <v/>
      </c>
    </row>
    <row r="18052">
      <c r="A18052" t="inlineStr">
        <is>
          <t>4020829062627</t>
        </is>
      </c>
      <c r="B18052" t="inlineStr">
        <is>
          <t>Dr. Hauschka Night Serum 20ml</t>
        </is>
      </c>
      <c r="C18052" t="inlineStr">
        <is>
          <t>Hydrating Serum</t>
        </is>
      </c>
      <c r="D18052" t="inlineStr">
        <is>
          <t>Dr. Hauschka</t>
        </is>
      </c>
      <c r="E18052" t="n">
        <v>24.4</v>
      </c>
      <c r="F18052" t="n">
        <v>1</v>
      </c>
      <c r="G18052" t="n">
        <v>34</v>
      </c>
      <c r="H18052" s="5">
        <f>HYPERLINK("https://api.qogita.com/variants/link/4020829062627/", "View Product")</f>
        <v/>
      </c>
    </row>
    <row r="18053">
      <c r="A18053" t="inlineStr">
        <is>
          <t>4020829069282</t>
        </is>
      </c>
      <c r="B18053" t="inlineStr">
        <is>
          <t>Dr. Hauschka Med Potentilla Soothing Cream - 20ml</t>
        </is>
      </c>
      <c r="C18053" t="inlineStr">
        <is>
          <t>Face Cream</t>
        </is>
      </c>
      <c r="D18053" t="inlineStr">
        <is>
          <t>Dr. Hauschka</t>
        </is>
      </c>
      <c r="E18053" t="n">
        <v>15.24</v>
      </c>
      <c r="F18053" t="n">
        <v>1</v>
      </c>
      <c r="G18053" t="n">
        <v>2</v>
      </c>
      <c r="H18053" s="5">
        <f>HYPERLINK("https://api.qogita.com/variants/link/4020829069282/", "View Product")</f>
        <v/>
      </c>
    </row>
    <row r="18054">
      <c r="A18054" t="inlineStr">
        <is>
          <t>4020829069350</t>
        </is>
      </c>
      <c r="B18054" t="inlineStr">
        <is>
          <t>Dr. Hauschka Med Sage Mouthwash 300ml - Black</t>
        </is>
      </c>
      <c r="C18054" t="inlineStr">
        <is>
          <t>Mouthwash</t>
        </is>
      </c>
      <c r="D18054" t="inlineStr">
        <is>
          <t>Dr. Hauschka</t>
        </is>
      </c>
      <c r="E18054" t="n">
        <v>9.16</v>
      </c>
      <c r="F18054" t="n">
        <v>1</v>
      </c>
      <c r="G18054" t="n">
        <v>12</v>
      </c>
      <c r="H18054" s="5">
        <f>HYPERLINK("https://api.qogita.com/variants/link/4020829069350/", "View Product")</f>
        <v/>
      </c>
    </row>
    <row r="18055">
      <c r="A18055" t="inlineStr">
        <is>
          <t>4020829069794</t>
        </is>
      </c>
      <c r="B18055" t="inlineStr">
        <is>
          <t>Dr. Hauschka Ice Plant Hand Cream - 50ml</t>
        </is>
      </c>
      <c r="C18055" t="inlineStr">
        <is>
          <t>Hand Cream</t>
        </is>
      </c>
      <c r="D18055" t="inlineStr">
        <is>
          <t>Dr. Hauschka</t>
        </is>
      </c>
      <c r="E18055" t="n">
        <v>13</v>
      </c>
      <c r="F18055" t="n">
        <v>1</v>
      </c>
      <c r="G18055" t="n">
        <v>3</v>
      </c>
      <c r="H18055" s="5">
        <f>HYPERLINK("https://api.qogita.com/variants/link/4020829069794/", "View Product")</f>
        <v/>
      </c>
    </row>
    <row r="18056">
      <c r="A18056" t="inlineStr">
        <is>
          <t>4020829072459</t>
        </is>
      </c>
      <c r="B18056" t="inlineStr">
        <is>
          <t>Dr Hauschka Stone Pine Sea Salt Cleansing Gel 200 Ml</t>
        </is>
      </c>
      <c r="C18056" t="inlineStr">
        <is>
          <t>Cleansing Gel</t>
        </is>
      </c>
      <c r="D18056" t="inlineStr">
        <is>
          <t>Dr Hauschka</t>
        </is>
      </c>
      <c r="E18056" t="n">
        <v>23.33</v>
      </c>
      <c r="F18056" t="n">
        <v>1</v>
      </c>
      <c r="G18056" t="n">
        <v>2</v>
      </c>
      <c r="H18056" s="5">
        <f>HYPERLINK("https://api.qogita.com/variants/link/4020829072459/", "View Product")</f>
        <v/>
      </c>
    </row>
    <row r="18057">
      <c r="A18057" t="inlineStr">
        <is>
          <t>4020829072794</t>
        </is>
      </c>
      <c r="B18057" t="inlineStr">
        <is>
          <t>Dr. Hauschka Translucent Bronzing Tint - 18ml</t>
        </is>
      </c>
      <c r="C18057" t="inlineStr">
        <is>
          <t>Bronzer</t>
        </is>
      </c>
      <c r="D18057" t="inlineStr">
        <is>
          <t>Dr. Hauschka</t>
        </is>
      </c>
      <c r="E18057" t="n">
        <v>14.98</v>
      </c>
      <c r="F18057" t="n">
        <v>1</v>
      </c>
      <c r="G18057" t="n">
        <v>6</v>
      </c>
      <c r="H18057" s="5">
        <f>HYPERLINK("https://api.qogita.com/variants/link/4020829072794/", "View Product")</f>
        <v/>
      </c>
    </row>
    <row r="18058">
      <c r="A18058" t="inlineStr">
        <is>
          <t>4020829077508</t>
        </is>
      </c>
      <c r="B18058" t="inlineStr">
        <is>
          <t>Dr Hauschka Nimb Hair Revitalising Hair &amp; Scalp Tonic 100 Ml</t>
        </is>
      </c>
      <c r="C18058" t="inlineStr">
        <is>
          <t>Hair Tonic</t>
        </is>
      </c>
      <c r="D18058" t="inlineStr">
        <is>
          <t>Dr Hauschka</t>
        </is>
      </c>
      <c r="E18058" t="n">
        <v>14.17</v>
      </c>
      <c r="F18058" t="n">
        <v>1</v>
      </c>
      <c r="G18058" t="n">
        <v>11</v>
      </c>
      <c r="H18058" s="5">
        <f>HYPERLINK("https://api.qogita.com/variants/link/4020829077508/", "View Product")</f>
        <v/>
      </c>
    </row>
    <row r="18059">
      <c r="A18059" t="inlineStr">
        <is>
          <t>4020829080492</t>
        </is>
      </c>
      <c r="B18059" t="inlineStr">
        <is>
          <t>Dr. Hauschka Revitalising Day Lotion 50ml</t>
        </is>
      </c>
      <c r="C18059" t="inlineStr">
        <is>
          <t>Day Cream</t>
        </is>
      </c>
      <c r="D18059" t="inlineStr">
        <is>
          <t>Dr. Hauschka</t>
        </is>
      </c>
      <c r="E18059" t="n">
        <v>20.24</v>
      </c>
      <c r="F18059" t="n">
        <v>1</v>
      </c>
      <c r="G18059" t="n">
        <v>50</v>
      </c>
      <c r="H18059" s="5">
        <f>HYPERLINK("https://api.qogita.com/variants/link/4020829080492/", "View Product")</f>
        <v/>
      </c>
    </row>
    <row r="18060">
      <c r="A18060" t="inlineStr">
        <is>
          <t>4020829085756</t>
        </is>
      </c>
      <c r="B18060" t="inlineStr">
        <is>
          <t>Dr. Hauschka Med Ice Plant Shampoo 150ml</t>
        </is>
      </c>
      <c r="C18060" t="inlineStr">
        <is>
          <t>Shampoo</t>
        </is>
      </c>
      <c r="D18060" t="inlineStr">
        <is>
          <t>Dr. Hauschka</t>
        </is>
      </c>
      <c r="E18060" t="n">
        <v>17.07</v>
      </c>
      <c r="F18060" t="n">
        <v>1</v>
      </c>
      <c r="G18060" t="n">
        <v>5</v>
      </c>
      <c r="H18060" s="5">
        <f>HYPERLINK("https://api.qogita.com/variants/link/4020829085756/", "View Product")</f>
        <v/>
      </c>
    </row>
    <row r="18061">
      <c r="A18061" t="inlineStr">
        <is>
          <t>4020829087392</t>
        </is>
      </c>
      <c r="B18061" t="inlineStr">
        <is>
          <t>Dr Hauschka Genuine Organic Natural After Sun 150ml Nourishing &amp; Cooling</t>
        </is>
      </c>
      <c r="C18061" t="inlineStr">
        <is>
          <t>Aftersun</t>
        </is>
      </c>
      <c r="D18061" t="inlineStr">
        <is>
          <t>Dr. Hauschka</t>
        </is>
      </c>
      <c r="E18061" t="n">
        <v>20.3</v>
      </c>
      <c r="F18061" t="n">
        <v>1</v>
      </c>
      <c r="G18061" t="n">
        <v>14</v>
      </c>
      <c r="H18061" s="5">
        <f>HYPERLINK("https://api.qogita.com/variants/link/4020829087392/", "View Product")</f>
        <v/>
      </c>
    </row>
    <row r="18062">
      <c r="A18062" t="inlineStr">
        <is>
          <t>4020829088955</t>
        </is>
      </c>
      <c r="B18062" t="inlineStr">
        <is>
          <t>Dr. Hauschka Tinted Sun Cream for Face SPF 30 40ml</t>
        </is>
      </c>
      <c r="C18062" t="inlineStr">
        <is>
          <t>Face Sun Protection</t>
        </is>
      </c>
      <c r="D18062" t="inlineStr">
        <is>
          <t>Dr. Hauschka</t>
        </is>
      </c>
      <c r="E18062" t="n">
        <v>20.31</v>
      </c>
      <c r="F18062" t="n">
        <v>1</v>
      </c>
      <c r="G18062" t="n">
        <v>6</v>
      </c>
      <c r="H18062" s="5">
        <f>HYPERLINK("https://api.qogita.com/variants/link/4020829088955/", "View Product")</f>
        <v/>
      </c>
    </row>
    <row r="18063">
      <c r="A18063" t="inlineStr">
        <is>
          <t>4020829097018</t>
        </is>
      </c>
      <c r="B18063" t="inlineStr">
        <is>
          <t>Dr. Hauschka Eyebrow Definer 01 Light Brown 1.05g</t>
        </is>
      </c>
      <c r="C18063" t="inlineStr">
        <is>
          <t>Eyebrow Pencil</t>
        </is>
      </c>
      <c r="D18063" t="inlineStr">
        <is>
          <t>Dr. Hauschka</t>
        </is>
      </c>
      <c r="E18063" t="n">
        <v>11.68</v>
      </c>
      <c r="F18063" t="n">
        <v>1</v>
      </c>
      <c r="G18063" t="n">
        <v>4</v>
      </c>
      <c r="H18063" s="5">
        <f>HYPERLINK("https://api.qogita.com/variants/link/4020829097018/", "View Product")</f>
        <v/>
      </c>
    </row>
    <row r="18064">
      <c r="A18064" t="inlineStr">
        <is>
          <t>4020829097643</t>
        </is>
      </c>
      <c r="B18064" t="inlineStr">
        <is>
          <t>Dr Hauschka Intensive Treatment For Menopausal Skin 05 Intensive Skin Treatment For Mature Skin</t>
        </is>
      </c>
      <c r="C18064" t="inlineStr">
        <is>
          <t>Anti-Aging Facial Care</t>
        </is>
      </c>
      <c r="D18064" t="inlineStr">
        <is>
          <t>Dr Hauschka</t>
        </is>
      </c>
      <c r="E18064" t="n">
        <v>48.16</v>
      </c>
      <c r="F18064" t="n">
        <v>1</v>
      </c>
      <c r="G18064" t="n">
        <v>5</v>
      </c>
      <c r="H18064" s="5">
        <f>HYPERLINK("https://api.qogita.com/variants/link/4020829097643/", "View Product")</f>
        <v/>
      </c>
    </row>
    <row r="18065">
      <c r="A18065" t="inlineStr">
        <is>
          <t>4020829098589</t>
        </is>
      </c>
      <c r="B18065" t="inlineStr">
        <is>
          <t>Dr Hauschka Apricot 02 Blush 5g</t>
        </is>
      </c>
      <c r="C18065" t="inlineStr">
        <is>
          <t>Blush</t>
        </is>
      </c>
      <c r="D18065" t="inlineStr">
        <is>
          <t>Dr Hauschka</t>
        </is>
      </c>
      <c r="E18065" t="n">
        <v>16.79</v>
      </c>
      <c r="F18065" t="n">
        <v>1</v>
      </c>
      <c r="G18065" t="n">
        <v>8</v>
      </c>
      <c r="H18065" s="5">
        <f>HYPERLINK("https://api.qogita.com/variants/link/4020829098589/", "View Product")</f>
        <v/>
      </c>
    </row>
    <row r="18066">
      <c r="A18066" t="inlineStr">
        <is>
          <t>4020829098657</t>
        </is>
      </c>
      <c r="B18066" t="inlineStr">
        <is>
          <t>Dr. Hauschka Colour Correcting Powder 01 Activating 8g</t>
        </is>
      </c>
      <c r="C18066" t="inlineStr">
        <is>
          <t>Color Corrector</t>
        </is>
      </c>
      <c r="D18066" t="inlineStr">
        <is>
          <t>Dr. Hauschka</t>
        </is>
      </c>
      <c r="E18066" t="n">
        <v>27.25</v>
      </c>
      <c r="F18066" t="n">
        <v>1</v>
      </c>
      <c r="G18066" t="n">
        <v>3</v>
      </c>
      <c r="H18066" s="5">
        <f>HYPERLINK("https://api.qogita.com/variants/link/4020829098657/", "View Product")</f>
        <v/>
      </c>
    </row>
    <row r="18067">
      <c r="A18067" t="inlineStr">
        <is>
          <t>4020829098770</t>
        </is>
      </c>
      <c r="B18067" t="inlineStr">
        <is>
          <t>Dr. Hauschka Eye Definer 05 Taupe 1.05g</t>
        </is>
      </c>
      <c r="C18067" t="inlineStr">
        <is>
          <t>Eye Pencil</t>
        </is>
      </c>
      <c r="D18067" t="inlineStr">
        <is>
          <t>Dr Hauschka</t>
        </is>
      </c>
      <c r="E18067" t="n">
        <v>12.39</v>
      </c>
      <c r="F18067" t="n">
        <v>1</v>
      </c>
      <c r="G18067" t="n">
        <v>2</v>
      </c>
      <c r="H18067" s="5">
        <f>HYPERLINK("https://api.qogita.com/variants/link/4020829098770/", "View Product")</f>
        <v/>
      </c>
    </row>
    <row r="18068">
      <c r="A18068" t="inlineStr">
        <is>
          <t>4020829098886</t>
        </is>
      </c>
      <c r="B18068" t="inlineStr">
        <is>
          <t>Dr. Hauschka Lip Liner 01 Tulipwood - 1.05g</t>
        </is>
      </c>
      <c r="C18068" t="inlineStr">
        <is>
          <t>Lip Liner</t>
        </is>
      </c>
      <c r="D18068" t="inlineStr">
        <is>
          <t>Dr. Hauschka</t>
        </is>
      </c>
      <c r="E18068" t="n">
        <v>11.82</v>
      </c>
      <c r="F18068" t="n">
        <v>1</v>
      </c>
      <c r="G18068" t="n">
        <v>5</v>
      </c>
      <c r="H18068" s="5">
        <f>HYPERLINK("https://api.qogita.com/variants/link/4020829098886/", "View Product")</f>
        <v/>
      </c>
    </row>
    <row r="18069">
      <c r="A18069" t="inlineStr">
        <is>
          <t>4020829098909</t>
        </is>
      </c>
      <c r="B18069" t="inlineStr">
        <is>
          <t>Dr Hauschka Lipstick 02 Mandevilla 41 G</t>
        </is>
      </c>
      <c r="C18069" t="inlineStr">
        <is>
          <t>Lipstick</t>
        </is>
      </c>
      <c r="D18069" t="inlineStr">
        <is>
          <t>Dr Hauschka</t>
        </is>
      </c>
      <c r="E18069" t="n">
        <v>17.48</v>
      </c>
      <c r="F18069" t="n">
        <v>1</v>
      </c>
      <c r="G18069" t="n">
        <v>4</v>
      </c>
      <c r="H18069" s="5">
        <f>HYPERLINK("https://api.qogita.com/variants/link/4020829098909/", "View Product")</f>
        <v/>
      </c>
    </row>
    <row r="18070">
      <c r="A18070" t="inlineStr">
        <is>
          <t>4020829098923</t>
        </is>
      </c>
      <c r="B18070" t="inlineStr">
        <is>
          <t>Dr Hauschka Caring Lipstick 03 Camellia 41 G</t>
        </is>
      </c>
      <c r="C18070" t="inlineStr">
        <is>
          <t>Lipstick</t>
        </is>
      </c>
      <c r="D18070" t="inlineStr">
        <is>
          <t>Dr Hauschka</t>
        </is>
      </c>
      <c r="E18070" t="n">
        <v>17.52</v>
      </c>
      <c r="F18070" t="n">
        <v>1</v>
      </c>
      <c r="G18070" t="n">
        <v>2</v>
      </c>
      <c r="H18070" s="5">
        <f>HYPERLINK("https://api.qogita.com/variants/link/4020829098923/", "View Product")</f>
        <v/>
      </c>
    </row>
    <row r="18071">
      <c r="A18071" t="inlineStr">
        <is>
          <t>4020829099067</t>
        </is>
      </c>
      <c r="B18071" t="inlineStr">
        <is>
          <t>Dr Hauschka Lipstick 22 Millionbells 41 G</t>
        </is>
      </c>
      <c r="C18071" t="inlineStr">
        <is>
          <t>Lipstick</t>
        </is>
      </c>
      <c r="D18071" t="inlineStr">
        <is>
          <t>Dr Hauschka</t>
        </is>
      </c>
      <c r="E18071" t="n">
        <v>17.32</v>
      </c>
      <c r="F18071" t="n">
        <v>1</v>
      </c>
      <c r="G18071" t="n">
        <v>4</v>
      </c>
      <c r="H18071" s="5">
        <f>HYPERLINK("https://api.qogita.com/variants/link/4020829099067/", "View Product")</f>
        <v/>
      </c>
    </row>
    <row r="18072">
      <c r="A18072" t="inlineStr">
        <is>
          <t>4020829099128</t>
        </is>
      </c>
      <c r="B18072" t="inlineStr">
        <is>
          <t>Dr. Hauschka Volume Mascara 01 Black 8ml</t>
        </is>
      </c>
      <c r="C18072" t="inlineStr">
        <is>
          <t>Mascara</t>
        </is>
      </c>
      <c r="D18072" t="inlineStr">
        <is>
          <t>Dr. Hauschka</t>
        </is>
      </c>
      <c r="E18072" t="n">
        <v>17.73</v>
      </c>
      <c r="F18072" t="n">
        <v>1</v>
      </c>
      <c r="G18072" t="n">
        <v>25</v>
      </c>
      <c r="H18072" s="5">
        <f>HYPERLINK("https://api.qogita.com/variants/link/4020829099128/", "View Product")</f>
        <v/>
      </c>
    </row>
    <row r="18073">
      <c r="A18073" t="inlineStr">
        <is>
          <t>4020829106031</t>
        </is>
      </c>
      <c r="B18073" t="inlineStr">
        <is>
          <t>Dr. Hauschka Lavender Harmony Gift Set Christmas Body Care Set</t>
        </is>
      </c>
      <c r="C18073" t="inlineStr">
        <is>
          <t>Body Care Sets</t>
        </is>
      </c>
      <c r="D18073" t="inlineStr">
        <is>
          <t>Dr Hauschka</t>
        </is>
      </c>
      <c r="E18073" t="n">
        <v>27.96</v>
      </c>
      <c r="F18073" t="n">
        <v>1</v>
      </c>
      <c r="G18073" t="n">
        <v>2</v>
      </c>
      <c r="H18073" s="5">
        <f>HYPERLINK("https://api.qogita.com/variants/link/4020829106031/", "View Product")</f>
        <v/>
      </c>
    </row>
    <row r="18074">
      <c r="A18074" t="inlineStr">
        <is>
          <t>4021457638871</t>
        </is>
      </c>
      <c r="B18074" t="inlineStr">
        <is>
          <t>Lavera Basis Sensitiv Deodorant Rollon 50 Ml 48h Natural Protection</t>
        </is>
      </c>
      <c r="C18074" t="inlineStr">
        <is>
          <t>Deodorant &amp; Anti-Perspirant</t>
        </is>
      </c>
      <c r="D18074" t="inlineStr">
        <is>
          <t>Lavera</t>
        </is>
      </c>
      <c r="E18074" t="n">
        <v>8.619999999999999</v>
      </c>
      <c r="F18074" t="n">
        <v>1</v>
      </c>
      <c r="G18074" t="n">
        <v>2</v>
      </c>
      <c r="H18074" s="5">
        <f>HYPERLINK("https://api.qogita.com/variants/link/4021457638871/", "View Product")</f>
        <v/>
      </c>
    </row>
    <row r="18075">
      <c r="A18075" t="inlineStr">
        <is>
          <t>4021457638888</t>
        </is>
      </c>
      <c r="B18075" t="inlineStr">
        <is>
          <t>Lavera Refreshing Ball Deodorant With The Scent Of Lime 50 Ml</t>
        </is>
      </c>
      <c r="C18075" t="inlineStr">
        <is>
          <t>Deodorant &amp; Anti-Perspirant</t>
        </is>
      </c>
      <c r="D18075" t="inlineStr">
        <is>
          <t>Lavera</t>
        </is>
      </c>
      <c r="E18075" t="n">
        <v>8.619999999999999</v>
      </c>
      <c r="F18075" t="n">
        <v>1</v>
      </c>
      <c r="G18075" t="n">
        <v>2</v>
      </c>
      <c r="H18075" s="5">
        <f>HYPERLINK("https://api.qogita.com/variants/link/4021457638888/", "View Product")</f>
        <v/>
      </c>
    </row>
    <row r="18076">
      <c r="A18076" t="inlineStr">
        <is>
          <t>4021457638895</t>
        </is>
      </c>
      <c r="B18076" t="inlineStr">
        <is>
          <t>Lavera Mild Deodorant Rollon With Oat Extracts 50 Ml</t>
        </is>
      </c>
      <c r="C18076" t="inlineStr">
        <is>
          <t>Deodorant &amp; Anti-Perspirant</t>
        </is>
      </c>
      <c r="D18076" t="inlineStr">
        <is>
          <t>Lavera</t>
        </is>
      </c>
      <c r="E18076" t="n">
        <v>8.470000000000001</v>
      </c>
      <c r="F18076" t="n">
        <v>1</v>
      </c>
      <c r="G18076" t="n">
        <v>8</v>
      </c>
      <c r="H18076" s="5">
        <f>HYPERLINK("https://api.qogita.com/variants/link/4021457638895/", "View Product")</f>
        <v/>
      </c>
    </row>
    <row r="18077">
      <c r="A18077" t="inlineStr">
        <is>
          <t>4021457638901</t>
        </is>
      </c>
      <c r="B18077" t="inlineStr">
        <is>
          <t>Lavera Natural &amp; Invisible Deodorant Roll-On 48h 75ml</t>
        </is>
      </c>
      <c r="C18077" t="inlineStr">
        <is>
          <t>Deodorant &amp; Anti-Perspirant</t>
        </is>
      </c>
      <c r="D18077" t="inlineStr">
        <is>
          <t>Lavera</t>
        </is>
      </c>
      <c r="E18077" t="n">
        <v>8.619999999999999</v>
      </c>
      <c r="F18077" t="n">
        <v>1</v>
      </c>
      <c r="G18077" t="n">
        <v>10</v>
      </c>
      <c r="H18077" s="5">
        <f>HYPERLINK("https://api.qogita.com/variants/link/4021457638901/", "View Product")</f>
        <v/>
      </c>
    </row>
    <row r="18078">
      <c r="A18078" t="inlineStr">
        <is>
          <t>4021457639571</t>
        </is>
      </c>
      <c r="B18078" t="inlineStr">
        <is>
          <t>Lavera Pure Beauty Pore Refining Moisturizing Fluid 50ml</t>
        </is>
      </c>
      <c r="C18078" t="inlineStr">
        <is>
          <t>Face Cream</t>
        </is>
      </c>
      <c r="D18078" t="inlineStr">
        <is>
          <t>Lavera</t>
        </is>
      </c>
      <c r="E18078" t="n">
        <v>12.74</v>
      </c>
      <c r="F18078" t="n">
        <v>1</v>
      </c>
      <c r="G18078" t="n">
        <v>11</v>
      </c>
      <c r="H18078" s="5">
        <f>HYPERLINK("https://api.qogita.com/variants/link/4021457639571/", "View Product")</f>
        <v/>
      </c>
    </row>
    <row r="18079">
      <c r="A18079" t="inlineStr">
        <is>
          <t>4021457646852</t>
        </is>
      </c>
      <c r="B18079" t="inlineStr">
        <is>
          <t>Lavera Intensive Volumizing Mascara 13 Ml Black</t>
        </is>
      </c>
      <c r="C18079" t="inlineStr">
        <is>
          <t>Mascara</t>
        </is>
      </c>
      <c r="D18079" t="inlineStr">
        <is>
          <t>Lavera</t>
        </is>
      </c>
      <c r="E18079" t="n">
        <v>12.3</v>
      </c>
      <c r="F18079" t="n">
        <v>1</v>
      </c>
      <c r="G18079" t="n">
        <v>13</v>
      </c>
      <c r="H18079" s="5">
        <f>HYPERLINK("https://api.qogita.com/variants/link/4021457646852/", "View Product")</f>
        <v/>
      </c>
    </row>
    <row r="18080">
      <c r="A18080" t="inlineStr">
        <is>
          <t>4021457648467</t>
        </is>
      </c>
      <c r="B18080" t="inlineStr">
        <is>
          <t>lavera Body Scrub with Organic Rosemary and Green Coffee 200ml</t>
        </is>
      </c>
      <c r="C18080" t="inlineStr">
        <is>
          <t>Body Scrub &amp; Peeling</t>
        </is>
      </c>
      <c r="D18080" t="inlineStr">
        <is>
          <t>Lavera</t>
        </is>
      </c>
      <c r="E18080" t="n">
        <v>7.36</v>
      </c>
      <c r="F18080" t="n">
        <v>1</v>
      </c>
      <c r="G18080" t="n">
        <v>4</v>
      </c>
      <c r="H18080" s="5">
        <f>HYPERLINK("https://api.qogita.com/variants/link/4021457648467/", "View Product")</f>
        <v/>
      </c>
    </row>
    <row r="18081">
      <c r="A18081" t="inlineStr">
        <is>
          <t>4021457648528</t>
        </is>
      </c>
      <c r="B18081" t="inlineStr">
        <is>
          <t>Lavera Revita Licking Shower Gel With Orangemint Scent 250 Ml</t>
        </is>
      </c>
      <c r="C18081" t="inlineStr">
        <is>
          <t>Shower Gel</t>
        </is>
      </c>
      <c r="D18081" t="inlineStr">
        <is>
          <t>Lavera</t>
        </is>
      </c>
      <c r="E18081" t="n">
        <v>6.64</v>
      </c>
      <c r="F18081" t="n">
        <v>1</v>
      </c>
      <c r="G18081" t="n">
        <v>9</v>
      </c>
      <c r="H18081" s="5">
        <f>HYPERLINK("https://api.qogita.com/variants/link/4021457648528/", "View Product")</f>
        <v/>
      </c>
    </row>
    <row r="18082">
      <c r="A18082" t="inlineStr">
        <is>
          <t>4021457651733</t>
        </is>
      </c>
      <c r="B18082" t="inlineStr">
        <is>
          <t>Lavera Signature Colour Eyeshadow 01 Dusty Rose 2 Grams</t>
        </is>
      </c>
      <c r="C18082" t="inlineStr">
        <is>
          <t>Eyeshadow</t>
        </is>
      </c>
      <c r="D18082" t="inlineStr">
        <is>
          <t>Lavera</t>
        </is>
      </c>
      <c r="E18082" t="n">
        <v>7.1</v>
      </c>
      <c r="F18082" t="n">
        <v>1</v>
      </c>
      <c r="G18082" t="n">
        <v>2</v>
      </c>
      <c r="H18082" s="5">
        <f>HYPERLINK("https://api.qogita.com/variants/link/4021457651733/", "View Product")</f>
        <v/>
      </c>
    </row>
    <row r="18083">
      <c r="A18083" t="inlineStr">
        <is>
          <t>4021609000198</t>
        </is>
      </c>
      <c r="B18083" t="inlineStr">
        <is>
          <t>Goldwell Topchic 7NN Extra Medium Blonde 60ml</t>
        </is>
      </c>
      <c r="C18083" t="inlineStr">
        <is>
          <t>Hair Dye</t>
        </is>
      </c>
      <c r="D18083" t="inlineStr">
        <is>
          <t>Goldwell</t>
        </is>
      </c>
      <c r="E18083" t="n">
        <v>6.7</v>
      </c>
      <c r="F18083" t="n">
        <v>1</v>
      </c>
      <c r="G18083" t="n">
        <v>2</v>
      </c>
      <c r="H18083" s="5">
        <f>HYPERLINK("https://api.qogita.com/variants/link/4021609000198/", "View Product")</f>
        <v/>
      </c>
    </row>
    <row r="18084">
      <c r="A18084" t="inlineStr">
        <is>
          <t>4021609000211</t>
        </is>
      </c>
      <c r="B18084" t="inlineStr">
        <is>
          <t>Goldwell Topchic Hair Color Extra Light Ash Blonde 9nn 60ml</t>
        </is>
      </c>
      <c r="C18084" t="inlineStr">
        <is>
          <t>Hair Dye</t>
        </is>
      </c>
      <c r="D18084" t="inlineStr">
        <is>
          <t>Goldwell</t>
        </is>
      </c>
      <c r="E18084" t="n">
        <v>7.11</v>
      </c>
      <c r="F18084" t="n">
        <v>1</v>
      </c>
      <c r="G18084" t="n">
        <v>3</v>
      </c>
      <c r="H18084" s="5">
        <f>HYPERLINK("https://api.qogita.com/variants/link/4021609000211/", "View Product")</f>
        <v/>
      </c>
    </row>
    <row r="18085">
      <c r="A18085" t="inlineStr">
        <is>
          <t>4021609000228</t>
        </is>
      </c>
      <c r="B18085" t="inlineStr">
        <is>
          <t>Goldwell Topchic 3NA Hair Colour 3N Dark Brown</t>
        </is>
      </c>
      <c r="C18085" t="inlineStr">
        <is>
          <t>Hair Dye</t>
        </is>
      </c>
      <c r="D18085" t="inlineStr">
        <is>
          <t>Goldwell</t>
        </is>
      </c>
      <c r="E18085" t="n">
        <v>6.77</v>
      </c>
      <c r="F18085" t="n">
        <v>1</v>
      </c>
      <c r="G18085" t="n">
        <v>3</v>
      </c>
      <c r="H18085" s="5">
        <f>HYPERLINK("https://api.qogita.com/variants/link/4021609000228/", "View Product")</f>
        <v/>
      </c>
    </row>
    <row r="18086">
      <c r="A18086" t="inlineStr">
        <is>
          <t>4021609000570</t>
        </is>
      </c>
      <c r="B18086" t="inlineStr">
        <is>
          <t>5GB TC TB 60ML 5Gb Light Brown-Gold Brown 60ml</t>
        </is>
      </c>
      <c r="C18086" t="inlineStr">
        <is>
          <t>Hair Dye</t>
        </is>
      </c>
      <c r="D18086" t="inlineStr">
        <is>
          <t>Goldwell</t>
        </is>
      </c>
      <c r="E18086" t="n">
        <v>6.86</v>
      </c>
      <c r="F18086" t="n">
        <v>1</v>
      </c>
      <c r="G18086" t="n">
        <v>3</v>
      </c>
      <c r="H18086" s="5">
        <f>HYPERLINK("https://api.qogita.com/variants/link/4021609000570/", "View Product")</f>
        <v/>
      </c>
    </row>
    <row r="18087">
      <c r="A18087" t="inlineStr">
        <is>
          <t>4021609000686</t>
        </is>
      </c>
      <c r="B18087" t="inlineStr">
        <is>
          <t>Goldwell Topchic TB Permanent Hair Colour 7Gb Sahara Beige Blonde 60ml</t>
        </is>
      </c>
      <c r="C18087" t="inlineStr">
        <is>
          <t>Hair Dye</t>
        </is>
      </c>
      <c r="D18087" t="inlineStr">
        <is>
          <t>Goldwell</t>
        </is>
      </c>
      <c r="E18087" t="n">
        <v>7.95</v>
      </c>
      <c r="F18087" t="n">
        <v>1</v>
      </c>
      <c r="G18087" t="n">
        <v>2</v>
      </c>
      <c r="H18087" s="5">
        <f>HYPERLINK("https://api.qogita.com/variants/link/4021609000686/", "View Product")</f>
        <v/>
      </c>
    </row>
    <row r="18088">
      <c r="A18088" t="inlineStr">
        <is>
          <t>4021609000709</t>
        </is>
      </c>
      <c r="B18088" t="inlineStr">
        <is>
          <t>Goldwell Topchic Hair Color Blue Black 2A 60ml</t>
        </is>
      </c>
      <c r="C18088" t="inlineStr">
        <is>
          <t>Hair Dye</t>
        </is>
      </c>
      <c r="D18088" t="inlineStr">
        <is>
          <t>Goldwell</t>
        </is>
      </c>
      <c r="E18088" t="n">
        <v>6.7</v>
      </c>
      <c r="F18088" t="n">
        <v>1</v>
      </c>
      <c r="G18088" t="n">
        <v>5</v>
      </c>
      <c r="H18088" s="5">
        <f>HYPERLINK("https://api.qogita.com/variants/link/4021609000709/", "View Product")</f>
        <v/>
      </c>
    </row>
    <row r="18089">
      <c r="A18089" t="inlineStr">
        <is>
          <t>4021609000754</t>
        </is>
      </c>
      <c r="B18089" t="inlineStr">
        <is>
          <t>Goldwell Topchic Hair Colour 5BP 60ml</t>
        </is>
      </c>
      <c r="C18089" t="inlineStr">
        <is>
          <t>Hair Dye</t>
        </is>
      </c>
      <c r="D18089" t="inlineStr">
        <is>
          <t>Goldwell</t>
        </is>
      </c>
      <c r="E18089" t="n">
        <v>7.58</v>
      </c>
      <c r="F18089" t="n">
        <v>1</v>
      </c>
      <c r="G18089" t="n">
        <v>2</v>
      </c>
      <c r="H18089" s="5">
        <f>HYPERLINK("https://api.qogita.com/variants/link/4021609000754/", "View Product")</f>
        <v/>
      </c>
    </row>
    <row r="18090">
      <c r="A18090" t="inlineStr">
        <is>
          <t>4021609000815</t>
        </is>
      </c>
      <c r="B18090" t="inlineStr">
        <is>
          <t>Goldwell Topchic Hair Dye Pearly Brown 60ml</t>
        </is>
      </c>
      <c r="C18090" t="inlineStr">
        <is>
          <t>Hair Dye</t>
        </is>
      </c>
      <c r="D18090" t="inlineStr">
        <is>
          <t>Goldwell</t>
        </is>
      </c>
      <c r="E18090" t="n">
        <v>6.7</v>
      </c>
      <c r="F18090" t="n">
        <v>1</v>
      </c>
      <c r="G18090" t="n">
        <v>3</v>
      </c>
      <c r="H18090" s="5">
        <f>HYPERLINK("https://api.qogita.com/variants/link/4021609000815/", "View Product")</f>
        <v/>
      </c>
    </row>
    <row r="18091">
      <c r="A18091" t="inlineStr">
        <is>
          <t>4021609000853</t>
        </is>
      </c>
      <c r="B18091" t="inlineStr">
        <is>
          <t>Goldwell Topchic 7A Medium Ash Blonde Permanent Hair Color 60ml</t>
        </is>
      </c>
      <c r="C18091" t="inlineStr">
        <is>
          <t>Hair Dye</t>
        </is>
      </c>
      <c r="D18091" t="inlineStr">
        <is>
          <t>Goldwell</t>
        </is>
      </c>
      <c r="E18091" t="n">
        <v>7.13</v>
      </c>
      <c r="F18091" t="n">
        <v>1</v>
      </c>
      <c r="G18091" t="n">
        <v>3</v>
      </c>
      <c r="H18091" s="5">
        <f>HYPERLINK("https://api.qogita.com/variants/link/4021609000853/", "View Product")</f>
        <v/>
      </c>
    </row>
    <row r="18092">
      <c r="A18092" t="inlineStr">
        <is>
          <t>4021609000860</t>
        </is>
      </c>
      <c r="B18092" t="inlineStr">
        <is>
          <t>Goldwell Topchic TB Permanent Hair Colour 5K Mahogany Copper 60ml</t>
        </is>
      </c>
      <c r="C18092" t="inlineStr">
        <is>
          <t>Hair Dye</t>
        </is>
      </c>
      <c r="D18092" t="inlineStr">
        <is>
          <t>Goldwell</t>
        </is>
      </c>
      <c r="E18092" t="n">
        <v>7.58</v>
      </c>
      <c r="F18092" t="n">
        <v>1</v>
      </c>
      <c r="G18092" t="n">
        <v>3</v>
      </c>
      <c r="H18092" s="5">
        <f>HYPERLINK("https://api.qogita.com/variants/link/4021609000860/", "View Product")</f>
        <v/>
      </c>
    </row>
    <row r="18093">
      <c r="A18093" t="inlineStr">
        <is>
          <t>4021609000990</t>
        </is>
      </c>
      <c r="B18093" t="inlineStr">
        <is>
          <t>Goldwell Topchic 4R Dark Mahogany Brilliant 60ml</t>
        </is>
      </c>
      <c r="C18093" t="inlineStr">
        <is>
          <t>Hair Dye</t>
        </is>
      </c>
      <c r="D18093" t="inlineStr">
        <is>
          <t>Goldwell</t>
        </is>
      </c>
      <c r="E18093" t="n">
        <v>6.58</v>
      </c>
      <c r="F18093" t="n">
        <v>1</v>
      </c>
      <c r="G18093" t="n">
        <v>2</v>
      </c>
      <c r="H18093" s="5">
        <f>HYPERLINK("https://api.qogita.com/variants/link/4021609000990/", "View Product")</f>
        <v/>
      </c>
    </row>
    <row r="18094">
      <c r="A18094" t="inlineStr">
        <is>
          <t>4021609001034</t>
        </is>
      </c>
      <c r="B18094" t="inlineStr">
        <is>
          <t>Goldwell Topchic TB Permanent Hair Colour 5R Teak 60ml</t>
        </is>
      </c>
      <c r="C18094" t="inlineStr">
        <is>
          <t>Hair Dye</t>
        </is>
      </c>
      <c r="D18094" t="inlineStr">
        <is>
          <t>Goldwell</t>
        </is>
      </c>
      <c r="E18094" t="n">
        <v>7.7</v>
      </c>
      <c r="F18094" t="n">
        <v>1</v>
      </c>
      <c r="G18094" t="n">
        <v>5</v>
      </c>
      <c r="H18094" s="5">
        <f>HYPERLINK("https://api.qogita.com/variants/link/4021609001034/", "View Product")</f>
        <v/>
      </c>
    </row>
    <row r="18095">
      <c r="A18095" t="inlineStr">
        <is>
          <t>4021609002925</t>
        </is>
      </c>
      <c r="B18095" t="inlineStr">
        <is>
          <t>Goldwell Topchic Hair Colour 250ml - All Shades</t>
        </is>
      </c>
      <c r="C18095" t="inlineStr">
        <is>
          <t>Hair Dye</t>
        </is>
      </c>
      <c r="D18095" t="inlineStr">
        <is>
          <t>Goldwell</t>
        </is>
      </c>
      <c r="E18095" t="n">
        <v>20.63</v>
      </c>
      <c r="F18095" t="n">
        <v>1</v>
      </c>
      <c r="G18095" t="n">
        <v>14</v>
      </c>
      <c r="H18095" s="5">
        <f>HYPERLINK("https://api.qogita.com/variants/link/4021609002925/", "View Product")</f>
        <v/>
      </c>
    </row>
    <row r="18096">
      <c r="A18096" t="inlineStr">
        <is>
          <t>4021609004240</t>
        </is>
      </c>
      <c r="B18096" t="inlineStr">
        <is>
          <t>Goldwell Topchic Hair Color Coloration (Can) 250ml</t>
        </is>
      </c>
      <c r="C18096" t="inlineStr">
        <is>
          <t>Hair Dye</t>
        </is>
      </c>
      <c r="D18096" t="inlineStr">
        <is>
          <t>Goldwell</t>
        </is>
      </c>
      <c r="E18096" t="n">
        <v>19.97</v>
      </c>
      <c r="F18096" t="n">
        <v>1</v>
      </c>
      <c r="G18096" t="n">
        <v>3</v>
      </c>
      <c r="H18096" s="5">
        <f>HYPERLINK("https://api.qogita.com/variants/link/4021609004240/", "View Product")</f>
        <v/>
      </c>
    </row>
    <row r="18097">
      <c r="A18097" t="inlineStr">
        <is>
          <t>4021609004509</t>
        </is>
      </c>
      <c r="B18097" t="inlineStr">
        <is>
          <t>Goldwell Topchic Permanent Hair Color 4nn 250 Ml</t>
        </is>
      </c>
      <c r="C18097" t="inlineStr">
        <is>
          <t>Hair Dye</t>
        </is>
      </c>
      <c r="D18097" t="inlineStr">
        <is>
          <t>Goldwell</t>
        </is>
      </c>
      <c r="E18097" t="n">
        <v>20.63</v>
      </c>
      <c r="F18097" t="n">
        <v>1</v>
      </c>
      <c r="G18097" t="n">
        <v>8</v>
      </c>
      <c r="H18097" s="5">
        <f>HYPERLINK("https://api.qogita.com/variants/link/4021609004509/", "View Product")</f>
        <v/>
      </c>
    </row>
    <row r="18098">
      <c r="A18098" t="inlineStr">
        <is>
          <t>4021609012566</t>
        </is>
      </c>
      <c r="B18098" t="inlineStr">
        <is>
          <t>Goldwell Men Reshade Developer Concentrate 250ml</t>
        </is>
      </c>
      <c r="C18098" t="inlineStr">
        <is>
          <t>Hair Dye</t>
        </is>
      </c>
      <c r="D18098" t="inlineStr">
        <is>
          <t>Goldwell</t>
        </is>
      </c>
      <c r="E18098" t="n">
        <v>12.08</v>
      </c>
      <c r="F18098" t="n">
        <v>1</v>
      </c>
      <c r="G18098" t="n">
        <v>18</v>
      </c>
      <c r="H18098" s="5">
        <f>HYPERLINK("https://api.qogita.com/variants/link/4021609012566/", "View Product")</f>
        <v/>
      </c>
    </row>
    <row r="18099">
      <c r="A18099" t="inlineStr">
        <is>
          <t>4021609028390</t>
        </is>
      </c>
      <c r="B18099" t="inlineStr">
        <is>
          <t>Goldwell Dualsenses For Men Thickening Shampoo For Men Volume Increase 300ml</t>
        </is>
      </c>
      <c r="C18099" t="inlineStr">
        <is>
          <t>Shampoo</t>
        </is>
      </c>
      <c r="D18099" t="inlineStr">
        <is>
          <t>Goldwell</t>
        </is>
      </c>
      <c r="E18099" t="n">
        <v>7.33</v>
      </c>
      <c r="F18099" t="n">
        <v>1</v>
      </c>
      <c r="G18099" t="n">
        <v>11</v>
      </c>
      <c r="H18099" s="5">
        <f>HYPERLINK("https://api.qogita.com/variants/link/4021609028390/", "View Product")</f>
        <v/>
      </c>
    </row>
    <row r="18100">
      <c r="A18100" t="inlineStr">
        <is>
          <t>4021609028567</t>
        </is>
      </c>
      <c r="B18100" t="inlineStr">
        <is>
          <t>Goldwell Dualsenses Blondes &amp; Highlights Shampoo 250ml Antibrassiness Shampoo</t>
        </is>
      </c>
      <c r="C18100" t="inlineStr">
        <is>
          <t>Shampoo</t>
        </is>
      </c>
      <c r="D18100" t="inlineStr">
        <is>
          <t>Goldwell</t>
        </is>
      </c>
      <c r="E18100" t="n">
        <v>6.86</v>
      </c>
      <c r="F18100" t="n">
        <v>1</v>
      </c>
      <c r="G18100" t="n">
        <v>19</v>
      </c>
      <c r="H18100" s="5">
        <f>HYPERLINK("https://api.qogita.com/variants/link/4021609028567/", "View Product")</f>
        <v/>
      </c>
    </row>
    <row r="18101">
      <c r="A18101" t="inlineStr">
        <is>
          <t>4021609054993</t>
        </is>
      </c>
      <c r="B18101" t="inlineStr">
        <is>
          <t>Goldwell Dualsenses Men Activating Scalp Tonic 150ml Hair Tonic For Men Against Hair Loss</t>
        </is>
      </c>
      <c r="C18101" t="inlineStr">
        <is>
          <t>Hair Tonic</t>
        </is>
      </c>
      <c r="D18101" t="inlineStr">
        <is>
          <t>Goldwell</t>
        </is>
      </c>
      <c r="E18101" t="n">
        <v>11.17</v>
      </c>
      <c r="F18101" t="n">
        <v>1</v>
      </c>
      <c r="G18101" t="n">
        <v>11</v>
      </c>
      <c r="H18101" s="5">
        <f>HYPERLINK("https://api.qogita.com/variants/link/4021609054993/", "View Product")</f>
        <v/>
      </c>
    </row>
    <row r="18102">
      <c r="A18102" t="inlineStr">
        <is>
          <t>4021609056300</t>
        </is>
      </c>
      <c r="B18102" t="inlineStr">
        <is>
          <t>Goldwell Cool Red Dualsenses Color Revive Tinting Conditioner 200ml</t>
        </is>
      </c>
      <c r="C18102" t="inlineStr">
        <is>
          <t>Conditioner</t>
        </is>
      </c>
      <c r="D18102" t="inlineStr">
        <is>
          <t>Goldwell</t>
        </is>
      </c>
      <c r="E18102" t="n">
        <v>10.8</v>
      </c>
      <c r="F18102" t="n">
        <v>1</v>
      </c>
      <c r="G18102" t="n">
        <v>40</v>
      </c>
      <c r="H18102" s="5">
        <f>HYPERLINK("https://api.qogita.com/variants/link/4021609056300/", "View Product")</f>
        <v/>
      </c>
    </row>
    <row r="18103">
      <c r="A18103" t="inlineStr">
        <is>
          <t>4021609061021</t>
        </is>
      </c>
      <c r="B18103" t="inlineStr">
        <is>
          <t>Goldwell Dualsenses Color 60 Sec Treatment 200 Ml Regenerating Mask For Normal To Fine Color</t>
        </is>
      </c>
      <c r="C18103" t="inlineStr">
        <is>
          <t>Hair Masks</t>
        </is>
      </c>
      <c r="D18103" t="inlineStr">
        <is>
          <t>Goldwell</t>
        </is>
      </c>
      <c r="E18103" t="n">
        <v>8.52</v>
      </c>
      <c r="F18103" t="n">
        <v>1</v>
      </c>
      <c r="G18103" t="n">
        <v>7</v>
      </c>
      <c r="H18103" s="5">
        <f>HYPERLINK("https://api.qogita.com/variants/link/4021609061021/", "View Product")</f>
        <v/>
      </c>
    </row>
    <row r="18104">
      <c r="A18104" t="inlineStr">
        <is>
          <t>4021609061045</t>
        </is>
      </c>
      <c r="B18104" t="inlineStr">
        <is>
          <t>Goldwell Dualsenses Color Brilliance Conditioner - 1000ml</t>
        </is>
      </c>
      <c r="C18104" t="inlineStr">
        <is>
          <t>Conditioner</t>
        </is>
      </c>
      <c r="D18104" t="inlineStr">
        <is>
          <t>Goldwell</t>
        </is>
      </c>
      <c r="E18104" t="n">
        <v>17.54</v>
      </c>
      <c r="F18104" t="n">
        <v>1</v>
      </c>
      <c r="G18104" t="n">
        <v>64</v>
      </c>
      <c r="H18104" s="5">
        <f>HYPERLINK("https://api.qogita.com/variants/link/4021609061045/", "View Product")</f>
        <v/>
      </c>
    </row>
    <row r="18105">
      <c r="A18105" t="inlineStr">
        <is>
          <t>4021609061199</t>
        </is>
      </c>
      <c r="B18105" t="inlineStr">
        <is>
          <t>Goldwell Dualsenses Blondes &amp; Highlights Anti-Yellow Conditioner - 200ml</t>
        </is>
      </c>
      <c r="C18105" t="inlineStr">
        <is>
          <t>Conditioner</t>
        </is>
      </c>
      <c r="D18105" t="inlineStr">
        <is>
          <t>Goldwell</t>
        </is>
      </c>
      <c r="E18105" t="n">
        <v>8.449999999999999</v>
      </c>
      <c r="F18105" t="n">
        <v>1</v>
      </c>
      <c r="G18105" t="n">
        <v>3</v>
      </c>
      <c r="H18105" s="5">
        <f>HYPERLINK("https://api.qogita.com/variants/link/4021609061199/", "View Product")</f>
        <v/>
      </c>
    </row>
    <row r="18106">
      <c r="A18106" t="inlineStr">
        <is>
          <t>4021609061243</t>
        </is>
      </c>
      <c r="B18106" t="inlineStr">
        <is>
          <t>Goldwell Dualsenses Blondes &amp; Highlights Color Lock Colour-Sealing Serum 18ml</t>
        </is>
      </c>
      <c r="C18106" t="inlineStr">
        <is>
          <t>Hair Oil &amp; Hair Serum</t>
        </is>
      </c>
      <c r="D18106" t="inlineStr">
        <is>
          <t>Goldwell</t>
        </is>
      </c>
      <c r="E18106" t="n">
        <v>28.15</v>
      </c>
      <c r="F18106" t="n">
        <v>1</v>
      </c>
      <c r="G18106" t="n">
        <v>2</v>
      </c>
      <c r="H18106" s="5">
        <f>HYPERLINK("https://api.qogita.com/variants/link/4021609061243/", "View Product")</f>
        <v/>
      </c>
    </row>
    <row r="18107">
      <c r="A18107" t="inlineStr">
        <is>
          <t>4021609061335</t>
        </is>
      </c>
      <c r="B18107" t="inlineStr">
        <is>
          <t>Goldwell Dualsenses Just Smooth 60s Treatment Smoothing Hair Mask 500ml</t>
        </is>
      </c>
      <c r="C18107" t="inlineStr">
        <is>
          <t>Hair Masks</t>
        </is>
      </c>
      <c r="D18107" t="inlineStr">
        <is>
          <t>Goldwell</t>
        </is>
      </c>
      <c r="E18107" t="n">
        <v>17.24</v>
      </c>
      <c r="F18107" t="n">
        <v>1</v>
      </c>
      <c r="G18107" t="n">
        <v>8</v>
      </c>
      <c r="H18107" s="5">
        <f>HYPERLINK("https://api.qogita.com/variants/link/4021609061335/", "View Product")</f>
        <v/>
      </c>
    </row>
    <row r="18108">
      <c r="A18108" t="inlineStr">
        <is>
          <t>4021609061953</t>
        </is>
      </c>
      <c r="B18108" t="inlineStr">
        <is>
          <t>Goldwell Dualsenses Color Extra Rich Intensive Conditioning Serum 12 X 18 Ml</t>
        </is>
      </c>
      <c r="C18108" t="inlineStr">
        <is>
          <t>Hair Oil &amp; Hair Serum</t>
        </is>
      </c>
      <c r="D18108" t="inlineStr">
        <is>
          <t>Goldwell</t>
        </is>
      </c>
      <c r="E18108" t="n">
        <v>33.96</v>
      </c>
      <c r="F18108" t="n">
        <v>1</v>
      </c>
      <c r="G18108" t="n">
        <v>14</v>
      </c>
      <c r="H18108" s="5">
        <f>HYPERLINK("https://api.qogita.com/variants/link/4021609061953/", "View Product")</f>
        <v/>
      </c>
    </row>
    <row r="18109">
      <c r="A18109" t="inlineStr">
        <is>
          <t>4021609062226</t>
        </is>
      </c>
      <c r="B18109" t="inlineStr">
        <is>
          <t>Goldwell Dualsenses Curls &amp; Waves Hydrating Conditioner - 1000ml</t>
        </is>
      </c>
      <c r="C18109" t="inlineStr">
        <is>
          <t>Conditioner</t>
        </is>
      </c>
      <c r="D18109" t="inlineStr">
        <is>
          <t>Goldwell</t>
        </is>
      </c>
      <c r="E18109" t="n">
        <v>17.47</v>
      </c>
      <c r="F18109" t="n">
        <v>1</v>
      </c>
      <c r="G18109" t="n">
        <v>43</v>
      </c>
      <c r="H18109" s="5">
        <f>HYPERLINK("https://api.qogita.com/variants/link/4021609062226/", "View Product")</f>
        <v/>
      </c>
    </row>
    <row r="18110">
      <c r="A18110" t="inlineStr">
        <is>
          <t>4021609062233</t>
        </is>
      </c>
      <c r="B18110" t="inlineStr">
        <is>
          <t>Goldwell Dualsenses Curly Twist Intensive Conditioning Serum 12 X 18 Ml For Curly And Wavy Hair</t>
        </is>
      </c>
      <c r="C18110" t="inlineStr">
        <is>
          <t>Hair Oil &amp; Hair Serum</t>
        </is>
      </c>
      <c r="D18110" t="inlineStr">
        <is>
          <t>Goldwell</t>
        </is>
      </c>
      <c r="E18110" t="n">
        <v>33.08</v>
      </c>
      <c r="F18110" t="n">
        <v>1</v>
      </c>
      <c r="G18110" t="n">
        <v>10</v>
      </c>
      <c r="H18110" s="5">
        <f>HYPERLINK("https://api.qogita.com/variants/link/4021609062233/", "View Product")</f>
        <v/>
      </c>
    </row>
    <row r="18111">
      <c r="A18111" t="inlineStr">
        <is>
          <t>4021609062264</t>
        </is>
      </c>
      <c r="B18111" t="inlineStr">
        <is>
          <t>Goldwell Dualsenses Bond Pro Fortifying Conditioner For Weakened Hair, 200ml</t>
        </is>
      </c>
      <c r="C18111" t="inlineStr">
        <is>
          <t>Conditioner</t>
        </is>
      </c>
      <c r="D18111" t="inlineStr">
        <is>
          <t>Goldwell</t>
        </is>
      </c>
      <c r="E18111" t="n">
        <v>8.73</v>
      </c>
      <c r="F18111" t="n">
        <v>1</v>
      </c>
      <c r="G18111" t="n">
        <v>11</v>
      </c>
      <c r="H18111" s="5">
        <f>HYPERLINK("https://api.qogita.com/variants/link/4021609062264/", "View Product")</f>
        <v/>
      </c>
    </row>
    <row r="18112">
      <c r="A18112" t="inlineStr">
        <is>
          <t>4021609062325</t>
        </is>
      </c>
      <c r="B18112" t="inlineStr">
        <is>
          <t>Goldwell Dualsenses Bond Pro Strengthening Spray For Hair 150ml</t>
        </is>
      </c>
      <c r="C18112" t="inlineStr">
        <is>
          <t>Leave-In Conditioner</t>
        </is>
      </c>
      <c r="D18112" t="inlineStr">
        <is>
          <t>Goldwell</t>
        </is>
      </c>
      <c r="E18112" t="n">
        <v>9.130000000000001</v>
      </c>
      <c r="F18112" t="n">
        <v>1</v>
      </c>
      <c r="G18112" t="n">
        <v>21</v>
      </c>
      <c r="H18112" s="5">
        <f>HYPERLINK("https://api.qogita.com/variants/link/4021609062325/", "View Product")</f>
        <v/>
      </c>
    </row>
    <row r="18113">
      <c r="A18113" t="inlineStr">
        <is>
          <t>4021609062356</t>
        </is>
      </c>
      <c r="B18113" t="inlineStr">
        <is>
          <t>Goldwell Dualsenses Bond Pro 60 Second Treatment - 200ml</t>
        </is>
      </c>
      <c r="C18113" t="inlineStr">
        <is>
          <t>Hair Masks</t>
        </is>
      </c>
      <c r="D18113" t="inlineStr">
        <is>
          <t>Goldwell</t>
        </is>
      </c>
      <c r="E18113" t="n">
        <v>9.460000000000001</v>
      </c>
      <c r="F18113" t="n">
        <v>1</v>
      </c>
      <c r="G18113" t="n">
        <v>3</v>
      </c>
      <c r="H18113" s="5">
        <f>HYPERLINK("https://api.qogita.com/variants/link/4021609062356/", "View Product")</f>
        <v/>
      </c>
    </row>
    <row r="18114">
      <c r="A18114" t="inlineStr">
        <is>
          <t>4021609108054</t>
        </is>
      </c>
      <c r="B18114" t="inlineStr">
        <is>
          <t>Goldwell Elumen Color Pure Green GN@all 200ml</t>
        </is>
      </c>
      <c r="C18114" t="inlineStr">
        <is>
          <t>Hair Dye</t>
        </is>
      </c>
      <c r="D18114" t="inlineStr">
        <is>
          <t>Goldwell</t>
        </is>
      </c>
      <c r="E18114" t="n">
        <v>15.57</v>
      </c>
      <c r="F18114" t="n">
        <v>1</v>
      </c>
      <c r="G18114" t="n">
        <v>3</v>
      </c>
      <c r="H18114" s="5">
        <f>HYPERLINK("https://api.qogita.com/variants/link/4021609108054/", "View Product")</f>
        <v/>
      </c>
    </row>
    <row r="18115">
      <c r="A18115" t="inlineStr">
        <is>
          <t>4021609109488</t>
        </is>
      </c>
      <c r="B18115" t="inlineStr">
        <is>
          <t>Goldwell Elumen Clean Color Remover 250ml</t>
        </is>
      </c>
      <c r="C18115" t="inlineStr">
        <is>
          <t>Hair Dye</t>
        </is>
      </c>
      <c r="D18115" t="inlineStr">
        <is>
          <t>Goldwell</t>
        </is>
      </c>
      <c r="E18115" t="n">
        <v>12.08</v>
      </c>
      <c r="F18115" t="n">
        <v>1</v>
      </c>
      <c r="G18115" t="n">
        <v>3</v>
      </c>
      <c r="H18115" s="5">
        <f>HYPERLINK("https://api.qogita.com/variants/link/4021609109488/", "View Product")</f>
        <v/>
      </c>
    </row>
    <row r="18116">
      <c r="A18116" t="inlineStr">
        <is>
          <t>4021609269632</t>
        </is>
      </c>
      <c r="B18116" t="inlineStr">
        <is>
          <t>Goldwell Dualsenses For Men Styling Power Gel Strong Hair Styling Gel For Men 150ml</t>
        </is>
      </c>
      <c r="C18116" t="inlineStr">
        <is>
          <t>Gel</t>
        </is>
      </c>
      <c r="D18116" t="inlineStr">
        <is>
          <t>Goldwell</t>
        </is>
      </c>
      <c r="E18116" t="n">
        <v>9.07</v>
      </c>
      <c r="F18116" t="n">
        <v>1</v>
      </c>
      <c r="G18116" t="n">
        <v>7</v>
      </c>
      <c r="H18116" s="5">
        <f>HYPERLINK("https://api.qogita.com/variants/link/4021609269632/", "View Product")</f>
        <v/>
      </c>
    </row>
    <row r="18117">
      <c r="A18117" t="inlineStr">
        <is>
          <t>4021609269649</t>
        </is>
      </c>
      <c r="B18117" t="inlineStr">
        <is>
          <t>Goldwell Men Cream Paste Dualsenses 100ml</t>
        </is>
      </c>
      <c r="C18117" t="inlineStr">
        <is>
          <t>Styling Creams</t>
        </is>
      </c>
      <c r="D18117" t="inlineStr">
        <is>
          <t>Goldwell</t>
        </is>
      </c>
      <c r="E18117" t="n">
        <v>9.35</v>
      </c>
      <c r="F18117" t="n">
        <v>1</v>
      </c>
      <c r="G18117" t="n">
        <v>7</v>
      </c>
      <c r="H18117" s="5">
        <f>HYPERLINK("https://api.qogita.com/variants/link/4021609269649/", "View Product")</f>
        <v/>
      </c>
    </row>
    <row r="18118">
      <c r="A18118" t="inlineStr">
        <is>
          <t>4021609520009</t>
        </is>
      </c>
      <c r="B18118" t="inlineStr">
        <is>
          <t>Stylesign Volume Foam For Volume And Control 300ml</t>
        </is>
      </c>
      <c r="C18118" t="inlineStr">
        <is>
          <t>Mousse</t>
        </is>
      </c>
      <c r="D18118" t="inlineStr">
        <is>
          <t>Stylesign</t>
        </is>
      </c>
      <c r="E18118" t="n">
        <v>10.09</v>
      </c>
      <c r="F18118" t="n">
        <v>1</v>
      </c>
      <c r="G18118" t="n">
        <v>29</v>
      </c>
      <c r="H18118" s="5">
        <f>HYPERLINK("https://api.qogita.com/variants/link/4021609520009/", "View Product")</f>
        <v/>
      </c>
    </row>
    <row r="18119">
      <c r="A18119" t="inlineStr">
        <is>
          <t>4021609520153</t>
        </is>
      </c>
      <c r="B18119" t="inlineStr">
        <is>
          <t>Goldwell StyleSign Strong Hairspray 300ml</t>
        </is>
      </c>
      <c r="C18119" t="inlineStr">
        <is>
          <t>Hairspray</t>
        </is>
      </c>
      <c r="D18119" t="inlineStr">
        <is>
          <t>Goldwell</t>
        </is>
      </c>
      <c r="E18119" t="n">
        <v>10.03</v>
      </c>
      <c r="F18119" t="n">
        <v>1</v>
      </c>
      <c r="G18119" t="n">
        <v>66</v>
      </c>
      <c r="H18119" s="5">
        <f>HYPERLINK("https://api.qogita.com/variants/link/4021609520153/", "View Product")</f>
        <v/>
      </c>
    </row>
    <row r="18120">
      <c r="A18120" t="inlineStr">
        <is>
          <t>4021609520184</t>
        </is>
      </c>
      <c r="B18120" t="inlineStr">
        <is>
          <t>Goldwell St Shaping &amp; Finishing Spray 200ml Heat Styling Spray For Hair</t>
        </is>
      </c>
      <c r="C18120" t="inlineStr">
        <is>
          <t>Hairspray</t>
        </is>
      </c>
      <c r="D18120" t="inlineStr">
        <is>
          <t>Goldwell</t>
        </is>
      </c>
      <c r="E18120" t="n">
        <v>10.78</v>
      </c>
      <c r="F18120" t="n">
        <v>1</v>
      </c>
      <c r="G18120" t="n">
        <v>13</v>
      </c>
      <c r="H18120" s="5">
        <f>HYPERLINK("https://api.qogita.com/variants/link/4021609520184/", "View Product")</f>
        <v/>
      </c>
    </row>
    <row r="18121">
      <c r="A18121" t="inlineStr">
        <is>
          <t>4021609520290</t>
        </is>
      </c>
      <c r="B18121" t="inlineStr">
        <is>
          <t>Goldwell Stylesign Roughman Texturizing Paste 100ml</t>
        </is>
      </c>
      <c r="C18121" t="inlineStr">
        <is>
          <t>Wax</t>
        </is>
      </c>
      <c r="D18121" t="inlineStr">
        <is>
          <t>Goldwell</t>
        </is>
      </c>
      <c r="E18121" t="n">
        <v>9.529999999999999</v>
      </c>
      <c r="F18121" t="n">
        <v>1</v>
      </c>
      <c r="G18121" t="n">
        <v>73</v>
      </c>
      <c r="H18121" s="5">
        <f>HYPERLINK("https://api.qogita.com/variants/link/4021609520290/", "View Product")</f>
        <v/>
      </c>
    </row>
    <row r="18122">
      <c r="A18122" t="inlineStr">
        <is>
          <t>4021609520337</t>
        </is>
      </c>
      <c r="B18122" t="inlineStr">
        <is>
          <t>Goldwell Stylesign Texture Lagoom Jam Hair Styling Gel 150ml</t>
        </is>
      </c>
      <c r="C18122" t="inlineStr">
        <is>
          <t>Gel</t>
        </is>
      </c>
      <c r="D18122" t="inlineStr">
        <is>
          <t>Goldwell</t>
        </is>
      </c>
      <c r="E18122" t="n">
        <v>8.25</v>
      </c>
      <c r="F18122" t="n">
        <v>1</v>
      </c>
      <c r="G18122" t="n">
        <v>23</v>
      </c>
      <c r="H18122" s="5">
        <f>HYPERLINK("https://api.qogita.com/variants/link/4021609520337/", "View Product")</f>
        <v/>
      </c>
    </row>
    <row r="18123">
      <c r="A18123" t="inlineStr">
        <is>
          <t>4021609520474</t>
        </is>
      </c>
      <c r="B18123" t="inlineStr">
        <is>
          <t>Goldwell Stylesign Volume Root Boost Spray 75ml</t>
        </is>
      </c>
      <c r="C18123" t="inlineStr">
        <is>
          <t>Styling Sprays</t>
        </is>
      </c>
      <c r="D18123" t="inlineStr">
        <is>
          <t>Goldwell</t>
        </is>
      </c>
      <c r="E18123" t="n">
        <v>5</v>
      </c>
      <c r="F18123" t="n">
        <v>1</v>
      </c>
      <c r="G18123" t="n">
        <v>9</v>
      </c>
      <c r="H18123" s="5">
        <f>HYPERLINK("https://api.qogita.com/variants/link/4021609520474/", "View Product")</f>
        <v/>
      </c>
    </row>
    <row r="18124">
      <c r="A18124" t="inlineStr">
        <is>
          <t>4021609661559</t>
        </is>
      </c>
      <c r="B18124" t="inlineStr">
        <is>
          <t>Goldwell Dual Senses Color Structure Equalizer 150ml</t>
        </is>
      </c>
      <c r="C18124" t="inlineStr">
        <is>
          <t>Conditioner</t>
        </is>
      </c>
      <c r="D18124" t="inlineStr">
        <is>
          <t>Goldwell</t>
        </is>
      </c>
      <c r="E18124" t="n">
        <v>9.57</v>
      </c>
      <c r="F18124" t="n">
        <v>1</v>
      </c>
      <c r="G18124" t="n">
        <v>1</v>
      </c>
      <c r="H18124" s="5">
        <f>HYPERLINK("https://api.qogita.com/variants/link/4021609661559/", "View Product")</f>
        <v/>
      </c>
    </row>
    <row r="18125">
      <c r="A18125" t="inlineStr">
        <is>
          <t>4021609661641</t>
        </is>
      </c>
      <c r="B18125" t="inlineStr">
        <is>
          <t>Goldwell Liquid Developer Lotion 12% 1000ml</t>
        </is>
      </c>
      <c r="C18125" t="inlineStr">
        <is>
          <t>Hair Dye</t>
        </is>
      </c>
      <c r="D18125" t="inlineStr">
        <is>
          <t>Goldwell</t>
        </is>
      </c>
      <c r="E18125" t="n">
        <v>8.550000000000001</v>
      </c>
      <c r="F18125" t="n">
        <v>1</v>
      </c>
      <c r="G18125" t="n">
        <v>5</v>
      </c>
      <c r="H18125" s="5">
        <f>HYPERLINK("https://api.qogita.com/variants/link/4021609661641/", "View Product")</f>
        <v/>
      </c>
    </row>
    <row r="18126">
      <c r="A18126" t="inlineStr">
        <is>
          <t>4021609850083</t>
        </is>
      </c>
      <c r="B18126" t="inlineStr">
        <is>
          <t>Kerasilk Essential Colour Protection Shampoo for Coloured Hair 250ml</t>
        </is>
      </c>
      <c r="C18126" t="inlineStr">
        <is>
          <t>Shampoo</t>
        </is>
      </c>
      <c r="D18126" t="inlineStr">
        <is>
          <t>Kerasilk</t>
        </is>
      </c>
      <c r="E18126" t="n">
        <v>17.35</v>
      </c>
      <c r="F18126" t="n">
        <v>1</v>
      </c>
      <c r="G18126" t="n">
        <v>11</v>
      </c>
      <c r="H18126" s="5">
        <f>HYPERLINK("https://api.qogita.com/variants/link/4021609850083/", "View Product")</f>
        <v/>
      </c>
    </row>
    <row r="18127">
      <c r="A18127" t="inlineStr">
        <is>
          <t>4021609850366</t>
        </is>
      </c>
      <c r="B18127" t="inlineStr">
        <is>
          <t>Goldwell Kerasilk Anti Dandruff Shampoo 250 Ml For Oily Hair</t>
        </is>
      </c>
      <c r="C18127" t="inlineStr">
        <is>
          <t>Shampoo</t>
        </is>
      </c>
      <c r="D18127" t="inlineStr">
        <is>
          <t>Goldwell</t>
        </is>
      </c>
      <c r="E18127" t="n">
        <v>17.75</v>
      </c>
      <c r="F18127" t="n">
        <v>1</v>
      </c>
      <c r="G18127" t="n">
        <v>14</v>
      </c>
      <c r="H18127" s="5">
        <f>HYPERLINK("https://api.qogita.com/variants/link/4021609850366/", "View Product")</f>
        <v/>
      </c>
    </row>
    <row r="18128">
      <c r="A18128" t="inlineStr">
        <is>
          <t>4021609850632</t>
        </is>
      </c>
      <c r="B18128" t="inlineStr">
        <is>
          <t>Goldwell Kerasilk Smoothing Conditioner For Unruly And Frizzy Hair 200ml</t>
        </is>
      </c>
      <c r="C18128" t="inlineStr">
        <is>
          <t>Conditioner</t>
        </is>
      </c>
      <c r="D18128" t="inlineStr">
        <is>
          <t>Goldwell</t>
        </is>
      </c>
      <c r="E18128" t="n">
        <v>19.63</v>
      </c>
      <c r="F18128" t="n">
        <v>1</v>
      </c>
      <c r="G18128" t="n">
        <v>5</v>
      </c>
      <c r="H18128" s="5">
        <f>HYPERLINK("https://api.qogita.com/variants/link/4021609850632/", "View Product")</f>
        <v/>
      </c>
    </row>
    <row r="18129">
      <c r="A18129" t="inlineStr">
        <is>
          <t>4021609851059</t>
        </is>
      </c>
      <c r="B18129" t="inlineStr">
        <is>
          <t>Kerasilk Specialists Cuticle Liquid Filler 125ml</t>
        </is>
      </c>
      <c r="C18129" t="inlineStr">
        <is>
          <t>Hair Oil &amp; Hair Serum</t>
        </is>
      </c>
      <c r="D18129" t="inlineStr">
        <is>
          <t>Kerasilk</t>
        </is>
      </c>
      <c r="E18129" t="n">
        <v>16.57</v>
      </c>
      <c r="F18129" t="n">
        <v>1</v>
      </c>
      <c r="G18129" t="n">
        <v>16</v>
      </c>
      <c r="H18129" s="5">
        <f>HYPERLINK("https://api.qogita.com/variants/link/4021609851059/", "View Product")</f>
        <v/>
      </c>
    </row>
    <row r="18130">
      <c r="A18130" t="inlineStr">
        <is>
          <t>4021609851271</t>
        </is>
      </c>
      <c r="B18130" t="inlineStr">
        <is>
          <t>Goldwell Kerasilk Protective Balm For Colored Hair Color Sealer 75 Ml</t>
        </is>
      </c>
      <c r="C18130" t="inlineStr">
        <is>
          <t>Uv Protection</t>
        </is>
      </c>
      <c r="D18130" t="inlineStr">
        <is>
          <t>Goldwell</t>
        </is>
      </c>
      <c r="E18130" t="n">
        <v>16.82</v>
      </c>
      <c r="F18130" t="n">
        <v>1</v>
      </c>
      <c r="G18130" t="n">
        <v>21</v>
      </c>
      <c r="H18130" s="5">
        <f>HYPERLINK("https://api.qogita.com/variants/link/4021609851271/", "View Product")</f>
        <v/>
      </c>
    </row>
    <row r="18131">
      <c r="A18131" t="inlineStr">
        <is>
          <t>4027800006007</t>
        </is>
      </c>
      <c r="B18131" t="inlineStr">
        <is>
          <t>Wilkinson Sword Hydro Silk Replacement Blades For Razor - 3 Pieces</t>
        </is>
      </c>
      <c r="C18131" t="inlineStr">
        <is>
          <t>Razors &amp; Hair Removal Tools</t>
        </is>
      </c>
      <c r="D18131" t="inlineStr">
        <is>
          <t>Wilkinson Sword</t>
        </is>
      </c>
      <c r="E18131" t="n">
        <v>6.07</v>
      </c>
      <c r="F18131" t="n">
        <v>1</v>
      </c>
      <c r="G18131" t="n">
        <v>29</v>
      </c>
      <c r="H18131" s="5">
        <f>HYPERLINK("https://api.qogita.com/variants/link/4027800006007/", "View Product")</f>
        <v/>
      </c>
    </row>
    <row r="18132">
      <c r="A18132" t="inlineStr">
        <is>
          <t>4027800009008</t>
        </is>
      </c>
      <c r="B18132" t="inlineStr">
        <is>
          <t>Wilkinson Sword Quattro Titanium Precision Razor Blades</t>
        </is>
      </c>
      <c r="C18132" t="inlineStr">
        <is>
          <t>Razors &amp; Hair Removal Tools</t>
        </is>
      </c>
      <c r="D18132" t="inlineStr">
        <is>
          <t>Wilkinson Sword</t>
        </is>
      </c>
      <c r="E18132" t="n">
        <v>4.88</v>
      </c>
      <c r="F18132" t="n">
        <v>1</v>
      </c>
      <c r="G18132" t="n">
        <v>9</v>
      </c>
      <c r="H18132" s="5">
        <f>HYPERLINK("https://api.qogita.com/variants/link/4027800009008/", "View Product")</f>
        <v/>
      </c>
    </row>
    <row r="18133">
      <c r="A18133" t="inlineStr">
        <is>
          <t>4027800043002</t>
        </is>
      </c>
      <c r="B18133" t="inlineStr">
        <is>
          <t>Wilkinson Sword Manicure Sapphire Nail File Chromeplated Stainless Steel</t>
        </is>
      </c>
      <c r="C18133" t="inlineStr">
        <is>
          <t>Nail Clippers &amp; Tools</t>
        </is>
      </c>
      <c r="D18133" t="inlineStr">
        <is>
          <t>Wilkinson Sword</t>
        </is>
      </c>
      <c r="E18133" t="n">
        <v>5.75</v>
      </c>
      <c r="F18133" t="n">
        <v>1</v>
      </c>
      <c r="G18133" t="n">
        <v>13</v>
      </c>
      <c r="H18133" s="5">
        <f>HYPERLINK("https://api.qogita.com/variants/link/4027800043002/", "View Product")</f>
        <v/>
      </c>
    </row>
    <row r="18134">
      <c r="A18134" t="inlineStr">
        <is>
          <t>4027800102334</t>
        </is>
      </c>
      <c r="B18134" t="inlineStr">
        <is>
          <t>Wilkinson Sword Men Hydro5 Skin Protection Regular Replacement Blades For Razor - 12 Pieces</t>
        </is>
      </c>
      <c r="C18134" t="inlineStr">
        <is>
          <t>Razors &amp; Hair Removal Tools</t>
        </is>
      </c>
      <c r="D18134" t="inlineStr">
        <is>
          <t>Wilkinson Sword</t>
        </is>
      </c>
      <c r="E18134" t="n">
        <v>17.31</v>
      </c>
      <c r="F18134" t="n">
        <v>1</v>
      </c>
      <c r="G18134" t="n">
        <v>20</v>
      </c>
      <c r="H18134" s="5">
        <f>HYPERLINK("https://api.qogita.com/variants/link/4027800102334/", "View Product")</f>
        <v/>
      </c>
    </row>
    <row r="18135">
      <c r="A18135" t="inlineStr">
        <is>
          <t>4027800113903</t>
        </is>
      </c>
      <c r="B18135" t="inlineStr">
        <is>
          <t>Wilkinson Sword Lady Protector Razor Blades for Women's Razor 10 Count</t>
        </is>
      </c>
      <c r="C18135" t="inlineStr">
        <is>
          <t>Razors &amp; Hair Removal Tools</t>
        </is>
      </c>
      <c r="D18135" t="inlineStr">
        <is>
          <t>Wilkinson Sword</t>
        </is>
      </c>
      <c r="E18135" t="n">
        <v>6.3</v>
      </c>
      <c r="F18135" t="n">
        <v>1</v>
      </c>
      <c r="G18135" t="n">
        <v>59</v>
      </c>
      <c r="H18135" s="5">
        <f>HYPERLINK("https://api.qogita.com/variants/link/4027800113903/", "View Product")</f>
        <v/>
      </c>
    </row>
    <row r="18136">
      <c r="A18136" t="inlineStr">
        <is>
          <t>4027800230907</t>
        </is>
      </c>
      <c r="B18136" t="inlineStr">
        <is>
          <t>Wilkinson Sword Shaver For Men With 1 Spare Head Xtreme3 System</t>
        </is>
      </c>
      <c r="C18136" t="inlineStr">
        <is>
          <t>Razors &amp; Hair Removal Tools</t>
        </is>
      </c>
      <c r="D18136" t="inlineStr">
        <is>
          <t>Wilkinson Sword</t>
        </is>
      </c>
      <c r="E18136" t="n">
        <v>6.37</v>
      </c>
      <c r="F18136" t="n">
        <v>1</v>
      </c>
      <c r="G18136" t="n">
        <v>3</v>
      </c>
      <c r="H18136" s="5">
        <f>HYPERLINK("https://api.qogita.com/variants/link/4027800230907/", "View Product")</f>
        <v/>
      </c>
    </row>
    <row r="18137">
      <c r="A18137" t="inlineStr">
        <is>
          <t>4027800237203</t>
        </is>
      </c>
      <c r="B18137" t="inlineStr">
        <is>
          <t>Wilkinson Xtreme3 Sensitive Comfort Disposable Razor 12 pieces</t>
        </is>
      </c>
      <c r="C18137" t="inlineStr">
        <is>
          <t>Razors &amp; Hair Removal Tools</t>
        </is>
      </c>
      <c r="D18137" t="inlineStr">
        <is>
          <t>Wilkinson Sword</t>
        </is>
      </c>
      <c r="E18137" t="n">
        <v>10.79</v>
      </c>
      <c r="F18137" t="n">
        <v>1</v>
      </c>
      <c r="G18137" t="n">
        <v>15</v>
      </c>
      <c r="H18137" s="5">
        <f>HYPERLINK("https://api.qogita.com/variants/link/4027800237203/", "View Product")</f>
        <v/>
      </c>
    </row>
    <row r="18138">
      <c r="A18138" t="inlineStr">
        <is>
          <t>4027800239702</t>
        </is>
      </c>
      <c r="B18138" t="inlineStr">
        <is>
          <t>Wilkinson Sword Intuition Complete Bikini Shaver 1 Head</t>
        </is>
      </c>
      <c r="C18138" t="inlineStr">
        <is>
          <t>Razors &amp; Hair Removal Tools</t>
        </is>
      </c>
      <c r="D18138" t="inlineStr">
        <is>
          <t>Wilkinson Sword</t>
        </is>
      </c>
      <c r="E18138" t="n">
        <v>11.92</v>
      </c>
      <c r="F18138" t="n">
        <v>1</v>
      </c>
      <c r="G18138" t="n">
        <v>52</v>
      </c>
      <c r="H18138" s="5">
        <f>HYPERLINK("https://api.qogita.com/variants/link/4027800239702/", "View Product")</f>
        <v/>
      </c>
    </row>
    <row r="18139">
      <c r="A18139" t="inlineStr">
        <is>
          <t>4027800255702</t>
        </is>
      </c>
      <c r="B18139" t="inlineStr">
        <is>
          <t>Wilkinson Intuition Rose Gold Face Razor + 10 Blades</t>
        </is>
      </c>
      <c r="C18139" t="inlineStr">
        <is>
          <t>Facial Cleansing Tools</t>
        </is>
      </c>
      <c r="D18139" t="inlineStr">
        <is>
          <t>Wilkinson</t>
        </is>
      </c>
      <c r="E18139" t="n">
        <v>26.52</v>
      </c>
      <c r="F18139" t="n">
        <v>1</v>
      </c>
      <c r="G18139" t="n">
        <v>5</v>
      </c>
      <c r="H18139" s="5">
        <f>HYPERLINK("https://api.qogita.com/variants/link/4027800255702/", "View Product")</f>
        <v/>
      </c>
    </row>
    <row r="18140">
      <c r="A18140" t="inlineStr">
        <is>
          <t>4027800325405</t>
        </is>
      </c>
      <c r="B18140" t="inlineStr">
        <is>
          <t>Wilkinson Sword After Shave Lotion Sensitive - 100 Ml</t>
        </is>
      </c>
      <c r="C18140" t="inlineStr">
        <is>
          <t>Aftershave</t>
        </is>
      </c>
      <c r="D18140" t="inlineStr">
        <is>
          <t>Wilkinson Sword</t>
        </is>
      </c>
      <c r="E18140" t="n">
        <v>6.58</v>
      </c>
      <c r="F18140" t="n">
        <v>1</v>
      </c>
      <c r="G18140" t="n">
        <v>3</v>
      </c>
      <c r="H18140" s="5">
        <f>HYPERLINK("https://api.qogita.com/variants/link/4027800325405/", "View Product")</f>
        <v/>
      </c>
    </row>
    <row r="18141">
      <c r="A18141" t="inlineStr">
        <is>
          <t>4027800373307</t>
        </is>
      </c>
      <c r="B18141" t="inlineStr">
        <is>
          <t>Wilkinson Sword Hydro3 Skin Protection Black Edition Razor</t>
        </is>
      </c>
      <c r="C18141" t="inlineStr">
        <is>
          <t>Razors &amp; Hair Removal Tools</t>
        </is>
      </c>
      <c r="D18141" t="inlineStr">
        <is>
          <t>Wilkinson Sword</t>
        </is>
      </c>
      <c r="E18141" t="n">
        <v>7.45</v>
      </c>
      <c r="F18141" t="n">
        <v>1</v>
      </c>
      <c r="G18141" t="n">
        <v>2</v>
      </c>
      <c r="H18141" s="5">
        <f>HYPERLINK("https://api.qogita.com/variants/link/4027800373307/", "View Product")</f>
        <v/>
      </c>
    </row>
    <row r="18142">
      <c r="A18142" t="inlineStr">
        <is>
          <t>4027800402236</t>
        </is>
      </c>
      <c r="B18142" t="inlineStr">
        <is>
          <t>WILKINSON SWORD Hydro 5 Skin Protection For Men Razor Handle + 13 Blade Refills</t>
        </is>
      </c>
      <c r="C18142" t="inlineStr">
        <is>
          <t>Razors &amp; Hair Removal Tools</t>
        </is>
      </c>
      <c r="D18142" t="inlineStr">
        <is>
          <t>Wilkinson Sword</t>
        </is>
      </c>
      <c r="E18142" t="n">
        <v>31.85</v>
      </c>
      <c r="F18142" t="n">
        <v>1</v>
      </c>
      <c r="G18142" t="n">
        <v>4</v>
      </c>
      <c r="H18142" s="5">
        <f>HYPERLINK("https://api.qogita.com/variants/link/4027800402236/", "View Product")</f>
        <v/>
      </c>
    </row>
    <row r="18143">
      <c r="A18143" t="inlineStr">
        <is>
          <t>4027800407132</t>
        </is>
      </c>
      <c r="B18143" t="inlineStr">
        <is>
          <t>WK Intuition Pack Sensitive Edition</t>
        </is>
      </c>
      <c r="C18143" t="inlineStr">
        <is>
          <t>Mouth &amp; Gum Care</t>
        </is>
      </c>
      <c r="D18143" t="inlineStr">
        <is>
          <t>Wilkinson Sword</t>
        </is>
      </c>
      <c r="E18143" t="n">
        <v>10.53</v>
      </c>
      <c r="F18143" t="n">
        <v>1</v>
      </c>
      <c r="G18143" t="n">
        <v>6</v>
      </c>
      <c r="H18143" s="5">
        <f>HYPERLINK("https://api.qogita.com/variants/link/4027800407132/", "View Product")</f>
        <v/>
      </c>
    </row>
    <row r="18144">
      <c r="A18144" t="inlineStr">
        <is>
          <t>4027800516162</t>
        </is>
      </c>
      <c r="B18144" t="inlineStr">
        <is>
          <t>Wilkinson Sword Intuition Dry Skin Shaver for Women</t>
        </is>
      </c>
      <c r="C18144" t="inlineStr">
        <is>
          <t>Razors &amp; Hair Removal Tools</t>
        </is>
      </c>
      <c r="D18144" t="inlineStr">
        <is>
          <t>Wilkinson Sword</t>
        </is>
      </c>
      <c r="E18144" t="n">
        <v>6.78</v>
      </c>
      <c r="F18144" t="n">
        <v>1</v>
      </c>
      <c r="G18144" t="n">
        <v>24</v>
      </c>
      <c r="H18144" s="5">
        <f>HYPERLINK("https://api.qogita.com/variants/link/4027800516162/", "View Product")</f>
        <v/>
      </c>
    </row>
    <row r="18145">
      <c r="A18145" t="inlineStr">
        <is>
          <t>4027800551101</t>
        </is>
      </c>
      <c r="B18145" t="inlineStr">
        <is>
          <t>Wilkinson Sword Precision Styler</t>
        </is>
      </c>
      <c r="C18145" t="inlineStr">
        <is>
          <t>Razors &amp; Hair Removal Tools</t>
        </is>
      </c>
      <c r="D18145" t="inlineStr">
        <is>
          <t>Wilkinson Sword</t>
        </is>
      </c>
      <c r="E18145" t="n">
        <v>5.59</v>
      </c>
      <c r="F18145" t="n">
        <v>1</v>
      </c>
      <c r="G18145" t="n">
        <v>2</v>
      </c>
      <c r="H18145" s="5">
        <f>HYPERLINK("https://api.qogita.com/variants/link/4027800551101/", "View Product")</f>
        <v/>
      </c>
    </row>
    <row r="18146">
      <c r="A18146" t="inlineStr">
        <is>
          <t>4027800599806</t>
        </is>
      </c>
      <c r="B18146" t="inlineStr">
        <is>
          <t>Wilkinson Quattro Wood Vintage Blades</t>
        </is>
      </c>
      <c r="C18146" t="inlineStr">
        <is>
          <t>Razors &amp; Hair Removal Tools</t>
        </is>
      </c>
      <c r="D18146" t="inlineStr">
        <is>
          <t>Wilkinson Sword</t>
        </is>
      </c>
      <c r="E18146" t="n">
        <v>6.56</v>
      </c>
      <c r="F18146" t="n">
        <v>1</v>
      </c>
      <c r="G18146" t="n">
        <v>15</v>
      </c>
      <c r="H18146" s="5">
        <f>HYPERLINK("https://api.qogita.com/variants/link/4027800599806/", "View Product")</f>
        <v/>
      </c>
    </row>
    <row r="18147">
      <c r="A18147" t="inlineStr">
        <is>
          <t>4027800656103</t>
        </is>
      </c>
      <c r="B18147" t="inlineStr">
        <is>
          <t>Wilkinson Sword Intuition Complete Women's Razor With 5 Blades</t>
        </is>
      </c>
      <c r="C18147" t="inlineStr">
        <is>
          <t>Razors &amp; Hair Removal Tools</t>
        </is>
      </c>
      <c r="D18147" t="inlineStr">
        <is>
          <t>Wilkinson Sword</t>
        </is>
      </c>
      <c r="E18147" t="n">
        <v>10.63</v>
      </c>
      <c r="F18147" t="n">
        <v>1</v>
      </c>
      <c r="G18147" t="n">
        <v>2</v>
      </c>
      <c r="H18147" s="5">
        <f>HYPERLINK("https://api.qogita.com/variants/link/4027800656103/", "View Product")</f>
        <v/>
      </c>
    </row>
    <row r="18148">
      <c r="A18148" t="inlineStr">
        <is>
          <t>4027800802166</t>
        </is>
      </c>
      <c r="B18148" t="inlineStr">
        <is>
          <t>Wilkinson Sword Hydro 3 Set Shaver With One Head 8 Spare Heads And Hydro 3 Skin Protection Razor With 9 Heads</t>
        </is>
      </c>
      <c r="C18148" t="inlineStr">
        <is>
          <t>Shaving Kits</t>
        </is>
      </c>
      <c r="D18148" t="inlineStr">
        <is>
          <t>Wilkinson Sword</t>
        </is>
      </c>
      <c r="E18148" t="n">
        <v>12.03</v>
      </c>
      <c r="F18148" t="n">
        <v>1</v>
      </c>
      <c r="G18148" t="n">
        <v>17</v>
      </c>
      <c r="H18148" s="5">
        <f>HYPERLINK("https://api.qogita.com/variants/link/4027800802166/", "View Product")</f>
        <v/>
      </c>
    </row>
    <row r="18149">
      <c r="A18149" t="inlineStr">
        <is>
          <t>4027800809981</t>
        </is>
      </c>
      <c r="B18149" t="inlineStr">
        <is>
          <t>Wilkinson Sword Quattro Titanium Sensitive Razor Set with 9 Razor Blades</t>
        </is>
      </c>
      <c r="C18149" t="inlineStr">
        <is>
          <t>Shaving Kits</t>
        </is>
      </c>
      <c r="D18149" t="inlineStr">
        <is>
          <t>Wilkinson</t>
        </is>
      </c>
      <c r="E18149" t="n">
        <v>10.2</v>
      </c>
      <c r="F18149" t="n">
        <v>1</v>
      </c>
      <c r="G18149" t="n">
        <v>35</v>
      </c>
      <c r="H18149" s="5">
        <f>HYPERLINK("https://api.qogita.com/variants/link/4027800809981/", "View Product")</f>
        <v/>
      </c>
    </row>
    <row r="18150">
      <c r="A18150" t="inlineStr">
        <is>
          <t>4027800846009</t>
        </is>
      </c>
      <c r="B18150" t="inlineStr">
        <is>
          <t>Wilkinson Sword Barber's Style The Stylist</t>
        </is>
      </c>
      <c r="C18150" t="inlineStr">
        <is>
          <t>Beard Care Accessories</t>
        </is>
      </c>
      <c r="D18150" t="inlineStr">
        <is>
          <t>Wilkinson Sword</t>
        </is>
      </c>
      <c r="E18150" t="n">
        <v>20.41</v>
      </c>
      <c r="F18150" t="n">
        <v>1</v>
      </c>
      <c r="G18150" t="n">
        <v>2</v>
      </c>
      <c r="H18150" s="5">
        <f>HYPERLINK("https://api.qogita.com/variants/link/4027800846009/", "View Product")</f>
        <v/>
      </c>
    </row>
    <row r="18151">
      <c r="A18151" t="inlineStr">
        <is>
          <t>4027800892266</t>
        </is>
      </c>
      <c r="B18151" t="inlineStr">
        <is>
          <t>Wilkinson Sword Hydro 5 Replacement Blades For Razor - 5 Pieces</t>
        </is>
      </c>
      <c r="C18151" t="inlineStr">
        <is>
          <t>Razors &amp; Hair Removal Tools</t>
        </is>
      </c>
      <c r="D18151" t="inlineStr">
        <is>
          <t>Wilkinson Sword</t>
        </is>
      </c>
      <c r="E18151" t="n">
        <v>8.94</v>
      </c>
      <c r="F18151" t="n">
        <v>1</v>
      </c>
      <c r="G18151" t="n">
        <v>17</v>
      </c>
      <c r="H18151" s="5">
        <f>HYPERLINK("https://api.qogita.com/variants/link/4027800892266/", "View Product")</f>
        <v/>
      </c>
    </row>
    <row r="18152">
      <c r="A18152" t="inlineStr">
        <is>
          <t>4038432014407</t>
        </is>
      </c>
      <c r="B18152" t="inlineStr">
        <is>
          <t>ZMILE Cosmetics Diamonds Vegan Makeup Set - Multicolored</t>
        </is>
      </c>
      <c r="C18152" t="inlineStr">
        <is>
          <t>Complexion Sets &amp; Pallets</t>
        </is>
      </c>
      <c r="D18152" t="inlineStr">
        <is>
          <t>Smile Cosmetics</t>
        </is>
      </c>
      <c r="E18152" t="n">
        <v>5.29</v>
      </c>
      <c r="F18152" t="n">
        <v>1</v>
      </c>
      <c r="G18152" t="n">
        <v>165</v>
      </c>
      <c r="H18152" s="5">
        <f>HYPERLINK("https://api.qogita.com/variants/link/4038432014407/", "View Product")</f>
        <v/>
      </c>
    </row>
    <row r="18153">
      <c r="A18153" t="inlineStr">
        <is>
          <t>4038432014445</t>
        </is>
      </c>
      <c r="B18153" t="inlineStr">
        <is>
          <t>ZMILE COSMETICS Classic Beauty Box Vegan Cosmetics with Mirror Small Make-Up Set for On the Go Traveling and as a Gift</t>
        </is>
      </c>
      <c r="C18153" t="inlineStr">
        <is>
          <t>Makeup Bags</t>
        </is>
      </c>
      <c r="D18153" t="inlineStr">
        <is>
          <t>Smile Cosmetics</t>
        </is>
      </c>
      <c r="E18153" t="n">
        <v>10.95</v>
      </c>
      <c r="F18153" t="n">
        <v>1</v>
      </c>
      <c r="G18153" t="n">
        <v>16</v>
      </c>
      <c r="H18153" s="5">
        <f>HYPERLINK("https://api.qogita.com/variants/link/4038432014445/", "View Product")</f>
        <v/>
      </c>
    </row>
    <row r="18154">
      <c r="A18154" t="inlineStr">
        <is>
          <t>4038432014452</t>
        </is>
      </c>
      <c r="B18154" t="inlineStr">
        <is>
          <t>ZMILE Cosmetics Beauty Case Black Vegan Cosmetic Case</t>
        </is>
      </c>
      <c r="C18154" t="inlineStr">
        <is>
          <t>Makeup Bags</t>
        </is>
      </c>
      <c r="D18154" t="inlineStr">
        <is>
          <t>Smile Cosmetics</t>
        </is>
      </c>
      <c r="E18154" t="n">
        <v>16.91</v>
      </c>
      <c r="F18154" t="n">
        <v>1</v>
      </c>
      <c r="G18154" t="n">
        <v>69</v>
      </c>
      <c r="H18154" s="5">
        <f>HYPERLINK("https://api.qogita.com/variants/link/4038432014452/", "View Product")</f>
        <v/>
      </c>
    </row>
    <row r="18155">
      <c r="A18155" t="inlineStr">
        <is>
          <t>4038432014674</t>
        </is>
      </c>
      <c r="B18155" t="inlineStr">
        <is>
          <t>ZMILE COSMETICS Glam To Go Beauty Box Vegan Cosmetics with Mirror Small Make-Up Set for On the Go Traveling and as a Gift</t>
        </is>
      </c>
      <c r="C18155" t="inlineStr">
        <is>
          <t>Makeup Bags</t>
        </is>
      </c>
      <c r="D18155" t="inlineStr">
        <is>
          <t>Smile Cosmetics</t>
        </is>
      </c>
      <c r="E18155" t="n">
        <v>8.43</v>
      </c>
      <c r="F18155" t="n">
        <v>1</v>
      </c>
      <c r="G18155" t="n">
        <v>17</v>
      </c>
      <c r="H18155" s="5">
        <f>HYPERLINK("https://api.qogita.com/variants/link/4038432014674/", "View Product")</f>
        <v/>
      </c>
    </row>
    <row r="18156">
      <c r="A18156" t="inlineStr">
        <is>
          <t>4038432014698</t>
        </is>
      </c>
      <c r="B18156" t="inlineStr">
        <is>
          <t>Zmile Cosmetics Glam Palette 64 Grams</t>
        </is>
      </c>
      <c r="C18156" t="inlineStr">
        <is>
          <t>Eye Sets &amp; Pallets</t>
        </is>
      </c>
      <c r="D18156" t="inlineStr">
        <is>
          <t>Smile Cosmetics</t>
        </is>
      </c>
      <c r="E18156" t="n">
        <v>15.05</v>
      </c>
      <c r="F18156" t="n">
        <v>1</v>
      </c>
      <c r="G18156" t="n">
        <v>8</v>
      </c>
      <c r="H18156" s="5">
        <f>HYPERLINK("https://api.qogita.com/variants/link/4038432014698/", "View Product")</f>
        <v/>
      </c>
    </row>
    <row r="18157">
      <c r="A18157" t="inlineStr">
        <is>
          <t>4038432060008</t>
        </is>
      </c>
      <c r="B18157" t="inlineStr">
        <is>
          <t>Zmile Cosmetics Highlighter Stick - 78 Grams</t>
        </is>
      </c>
      <c r="C18157" t="inlineStr">
        <is>
          <t>Highlighter</t>
        </is>
      </c>
      <c r="D18157" t="inlineStr">
        <is>
          <t>Smile Cosmetics</t>
        </is>
      </c>
      <c r="E18157" t="n">
        <v>5.72</v>
      </c>
      <c r="F18157" t="n">
        <v>1</v>
      </c>
      <c r="G18157" t="n">
        <v>3</v>
      </c>
      <c r="H18157" s="5">
        <f>HYPERLINK("https://api.qogita.com/variants/link/4038432060008/", "View Product")</f>
        <v/>
      </c>
    </row>
    <row r="18158">
      <c r="A18158" t="inlineStr">
        <is>
          <t>4044897029900</t>
        </is>
      </c>
      <c r="B18158" t="inlineStr">
        <is>
          <t>Goldwell Copper Dualsenses Color Revive Color Giving Shampoo</t>
        </is>
      </c>
      <c r="C18158" t="inlineStr">
        <is>
          <t>Shampoo</t>
        </is>
      </c>
      <c r="D18158" t="inlineStr">
        <is>
          <t>Goldwell</t>
        </is>
      </c>
      <c r="E18158" t="n">
        <v>8.470000000000001</v>
      </c>
      <c r="F18158" t="n">
        <v>1</v>
      </c>
      <c r="G18158" t="n">
        <v>3</v>
      </c>
      <c r="H18158" s="5">
        <f>HYPERLINK("https://api.qogita.com/variants/link/4044897029900/", "View Product")</f>
        <v/>
      </c>
    </row>
    <row r="18159">
      <c r="A18159" t="inlineStr">
        <is>
          <t>4044897062426</t>
        </is>
      </c>
      <c r="B18159" t="inlineStr">
        <is>
          <t>Goldwell Dualsenses Silver Conditioner For Blonde And Gray Hair 200ml</t>
        </is>
      </c>
      <c r="C18159" t="inlineStr">
        <is>
          <t>Conditioner</t>
        </is>
      </c>
      <c r="D18159" t="inlineStr">
        <is>
          <t>Goldwell</t>
        </is>
      </c>
      <c r="E18159" t="n">
        <v>8.710000000000001</v>
      </c>
      <c r="F18159" t="n">
        <v>1</v>
      </c>
      <c r="G18159" t="n">
        <v>57</v>
      </c>
      <c r="H18159" s="5">
        <f>HYPERLINK("https://api.qogita.com/variants/link/4044897062426/", "View Product")</f>
        <v/>
      </c>
    </row>
    <row r="18160">
      <c r="A18160" t="inlineStr">
        <is>
          <t>4045787132434</t>
        </is>
      </c>
      <c r="B18160" t="inlineStr">
        <is>
          <t>Schwarzkopf Natural Styling Hydrowave Classic Lotion 1000ml</t>
        </is>
      </c>
      <c r="C18160" t="inlineStr">
        <is>
          <t>Hair Care Sets</t>
        </is>
      </c>
      <c r="D18160" t="inlineStr">
        <is>
          <t>Schwarzkopf</t>
        </is>
      </c>
      <c r="E18160" t="n">
        <v>20.19</v>
      </c>
      <c r="F18160" t="n">
        <v>1</v>
      </c>
      <c r="G18160" t="n">
        <v>4</v>
      </c>
      <c r="H18160" s="5">
        <f>HYPERLINK("https://api.qogita.com/variants/link/4045787132434/", "View Product")</f>
        <v/>
      </c>
    </row>
    <row r="18161">
      <c r="A18161" t="inlineStr">
        <is>
          <t>4045787237979</t>
        </is>
      </c>
      <c r="B18161" t="inlineStr">
        <is>
          <t>Schwarzkopf Professional Igora Color 10 Permanent 10 Minute Color Cream 712 60 Ml</t>
        </is>
      </c>
      <c r="C18161" t="inlineStr">
        <is>
          <t>Hair Dye</t>
        </is>
      </c>
      <c r="D18161" t="inlineStr">
        <is>
          <t>Schwarzkopf</t>
        </is>
      </c>
      <c r="E18161" t="n">
        <v>6.47</v>
      </c>
      <c r="F18161" t="n">
        <v>1</v>
      </c>
      <c r="G18161" t="n">
        <v>2</v>
      </c>
      <c r="H18161" s="5">
        <f>HYPERLINK("https://api.qogita.com/variants/link/4045787237979/", "View Product")</f>
        <v/>
      </c>
    </row>
    <row r="18162">
      <c r="A18162" t="inlineStr">
        <is>
          <t>4045787292497</t>
        </is>
      </c>
      <c r="B18162" t="inlineStr">
        <is>
          <t>Schwarzkopf Professional Silhouette Mousse Flexible Hair Foam 500ml</t>
        </is>
      </c>
      <c r="C18162" t="inlineStr">
        <is>
          <t>Mousse</t>
        </is>
      </c>
      <c r="D18162" t="inlineStr">
        <is>
          <t>Schwarzkopf</t>
        </is>
      </c>
      <c r="E18162" t="n">
        <v>8.970000000000001</v>
      </c>
      <c r="F18162" t="n">
        <v>1</v>
      </c>
      <c r="G18162" t="n">
        <v>7</v>
      </c>
      <c r="H18162" s="5">
        <f>HYPERLINK("https://api.qogita.com/variants/link/4045787292497/", "View Product")</f>
        <v/>
      </c>
    </row>
    <row r="18163">
      <c r="A18163" t="inlineStr">
        <is>
          <t>4045787300574</t>
        </is>
      </c>
      <c r="B18163" t="inlineStr">
        <is>
          <t>Schwarzkopf Professional Silhouette Hairspray Very Strong Hair Spray Black 300ml</t>
        </is>
      </c>
      <c r="C18163" t="inlineStr">
        <is>
          <t>Hairspray</t>
        </is>
      </c>
      <c r="D18163" t="inlineStr">
        <is>
          <t>Schwarzkopf</t>
        </is>
      </c>
      <c r="E18163" t="n">
        <v>6.71</v>
      </c>
      <c r="F18163" t="n">
        <v>1</v>
      </c>
      <c r="G18163" t="n">
        <v>16</v>
      </c>
      <c r="H18163" s="5">
        <f>HYPERLINK("https://api.qogita.com/variants/link/4045787300574/", "View Product")</f>
        <v/>
      </c>
    </row>
    <row r="18164">
      <c r="A18164" t="inlineStr">
        <is>
          <t>4045787675283</t>
        </is>
      </c>
      <c r="B18164" t="inlineStr">
        <is>
          <t>Schwarzkopf Professional Silhouette Super Hold Gel Very Strong Hair Gel 250ml</t>
        </is>
      </c>
      <c r="C18164" t="inlineStr">
        <is>
          <t>Gel</t>
        </is>
      </c>
      <c r="D18164" t="inlineStr">
        <is>
          <t>Schwarzkopf</t>
        </is>
      </c>
      <c r="E18164" t="n">
        <v>6.95</v>
      </c>
      <c r="F18164" t="n">
        <v>1</v>
      </c>
      <c r="G18164" t="n">
        <v>5</v>
      </c>
      <c r="H18164" s="5">
        <f>HYPERLINK("https://api.qogita.com/variants/link/4045787675283/", "View Product")</f>
        <v/>
      </c>
    </row>
    <row r="18165">
      <c r="A18165" t="inlineStr">
        <is>
          <t>4045787675368</t>
        </is>
      </c>
      <c r="B18165" t="inlineStr">
        <is>
          <t>Silhouette Super Hold Pump Spray Very Strong Hair Spray 200ml</t>
        </is>
      </c>
      <c r="C18165" t="inlineStr">
        <is>
          <t>Hairspray</t>
        </is>
      </c>
      <c r="D18165" t="inlineStr">
        <is>
          <t>Silhouette</t>
        </is>
      </c>
      <c r="E18165" t="n">
        <v>5.86</v>
      </c>
      <c r="F18165" t="n">
        <v>1</v>
      </c>
      <c r="G18165" t="n">
        <v>13</v>
      </c>
      <c r="H18165" s="5">
        <f>HYPERLINK("https://api.qogita.com/variants/link/4045787675368/", "View Product")</f>
        <v/>
      </c>
    </row>
    <row r="18166">
      <c r="A18166" t="inlineStr">
        <is>
          <t>4045787689501</t>
        </is>
      </c>
      <c r="B18166" t="inlineStr">
        <is>
          <t>Schwarzkopf Fibreplex Scalp Protect 150ml - Scalp Protector Serum</t>
        </is>
      </c>
      <c r="C18166" t="inlineStr">
        <is>
          <t>Scalp Care</t>
        </is>
      </c>
      <c r="D18166" t="inlineStr">
        <is>
          <t>Schwarzkopf</t>
        </is>
      </c>
      <c r="E18166" t="n">
        <v>8.42</v>
      </c>
      <c r="F18166" t="n">
        <v>1</v>
      </c>
      <c r="G18166" t="n">
        <v>8</v>
      </c>
      <c r="H18166" s="5">
        <f>HYPERLINK("https://api.qogita.com/variants/link/4045787689501/", "View Product")</f>
        <v/>
      </c>
    </row>
    <row r="18167">
      <c r="A18167" t="inlineStr">
        <is>
          <t>4045787723090</t>
        </is>
      </c>
      <c r="B18167" t="inlineStr">
        <is>
          <t>Schwarzkopf Professional Bc Moisture Kick Hydrating Shampoo For Normal And Dry, Brittle Or Curly Hair 250ml</t>
        </is>
      </c>
      <c r="C18167" t="inlineStr">
        <is>
          <t>Shampoo</t>
        </is>
      </c>
      <c r="D18167" t="inlineStr">
        <is>
          <t>Schwarzkopf</t>
        </is>
      </c>
      <c r="E18167" t="n">
        <v>6.65</v>
      </c>
      <c r="F18167" t="n">
        <v>1</v>
      </c>
      <c r="G18167" t="n">
        <v>5</v>
      </c>
      <c r="H18167" s="5">
        <f>HYPERLINK("https://api.qogita.com/variants/link/4045787723090/", "View Product")</f>
        <v/>
      </c>
    </row>
    <row r="18168">
      <c r="A18168" t="inlineStr">
        <is>
          <t>4045787723212</t>
        </is>
      </c>
      <c r="B18168" t="inlineStr">
        <is>
          <t>Schwarzkopf Professional Bc Repair Rescue Sealed Ends+ Intensive Cream-Serum For Hair Ends 100ml</t>
        </is>
      </c>
      <c r="C18168" t="inlineStr">
        <is>
          <t>Hair Oil &amp; Hair Serum</t>
        </is>
      </c>
      <c r="D18168" t="inlineStr">
        <is>
          <t>Schwarzkopf</t>
        </is>
      </c>
      <c r="E18168" t="n">
        <v>12.49</v>
      </c>
      <c r="F18168" t="n">
        <v>1</v>
      </c>
      <c r="G18168" t="n">
        <v>37</v>
      </c>
      <c r="H18168" s="5">
        <f>HYPERLINK("https://api.qogita.com/variants/link/4045787723212/", "View Product")</f>
        <v/>
      </c>
    </row>
    <row r="18169">
      <c r="A18169" t="inlineStr">
        <is>
          <t>4045787723250</t>
        </is>
      </c>
      <c r="B18169" t="inlineStr">
        <is>
          <t>Schwarzkopf Professional Bc Color Freeze Delicate Shampoo For Colored Hair 250ml</t>
        </is>
      </c>
      <c r="C18169" t="inlineStr">
        <is>
          <t>Shampoo</t>
        </is>
      </c>
      <c r="D18169" t="inlineStr">
        <is>
          <t>Schwarzkopf</t>
        </is>
      </c>
      <c r="E18169" t="n">
        <v>7.13</v>
      </c>
      <c r="F18169" t="n">
        <v>1</v>
      </c>
      <c r="G18169" t="n">
        <v>4</v>
      </c>
      <c r="H18169" s="5">
        <f>HYPERLINK("https://api.qogita.com/variants/link/4045787723250/", "View Product")</f>
        <v/>
      </c>
    </row>
    <row r="18170">
      <c r="A18170" t="inlineStr">
        <is>
          <t>4045787723717</t>
        </is>
      </c>
      <c r="B18170" t="inlineStr">
        <is>
          <t>Schwarzkopf Professional Bc Bonacure Moisture Kick Glycerol Conditioner For Normal To Dry Hair</t>
        </is>
      </c>
      <c r="C18170" t="inlineStr">
        <is>
          <t>Conditioner</t>
        </is>
      </c>
      <c r="D18170" t="inlineStr">
        <is>
          <t>Schwarzkopf</t>
        </is>
      </c>
      <c r="E18170" t="n">
        <v>8.25</v>
      </c>
      <c r="F18170" t="n">
        <v>1</v>
      </c>
      <c r="G18170" t="n">
        <v>5</v>
      </c>
      <c r="H18170" s="5">
        <f>HYPERLINK("https://api.qogita.com/variants/link/4045787723717/", "View Product")</f>
        <v/>
      </c>
    </row>
    <row r="18171">
      <c r="A18171" t="inlineStr">
        <is>
          <t>4045787724653</t>
        </is>
      </c>
      <c r="B18171" t="inlineStr">
        <is>
          <t>Schwarzkopf Professional Bc Repair Rescue Shampoo For Damaged Hair 250ml</t>
        </is>
      </c>
      <c r="C18171" t="inlineStr">
        <is>
          <t>Shampoo</t>
        </is>
      </c>
      <c r="D18171" t="inlineStr">
        <is>
          <t>Schwarzkopf</t>
        </is>
      </c>
      <c r="E18171" t="n">
        <v>6.86</v>
      </c>
      <c r="F18171" t="n">
        <v>1</v>
      </c>
      <c r="G18171" t="n">
        <v>7</v>
      </c>
      <c r="H18171" s="5">
        <f>HYPERLINK("https://api.qogita.com/variants/link/4045787724653/", "View Product")</f>
        <v/>
      </c>
    </row>
    <row r="18172">
      <c r="A18172" t="inlineStr">
        <is>
          <t>4045787724912</t>
        </is>
      </c>
      <c r="B18172" t="inlineStr">
        <is>
          <t>Bc Bonacure Volume Boost Jelly Conditioner Lightweight Jelly Conditioner For Fine And Weak Hair 200ml</t>
        </is>
      </c>
      <c r="C18172" t="inlineStr">
        <is>
          <t>Conditioner</t>
        </is>
      </c>
      <c r="D18172" t="inlineStr">
        <is>
          <t>Bc Bonacure</t>
        </is>
      </c>
      <c r="E18172" t="n">
        <v>8.25</v>
      </c>
      <c r="F18172" t="n">
        <v>1</v>
      </c>
      <c r="G18172" t="n">
        <v>13</v>
      </c>
      <c r="H18172" s="5">
        <f>HYPERLINK("https://api.qogita.com/variants/link/4045787724912/", "View Product")</f>
        <v/>
      </c>
    </row>
    <row r="18173">
      <c r="A18173" t="inlineStr">
        <is>
          <t>4045787725636</t>
        </is>
      </c>
      <c r="B18173" t="inlineStr">
        <is>
          <t>Schwarzkopf Professional Bc Color Freeze Silver Intensive Rebuilding Cream Mask For Colored Hair 200ml</t>
        </is>
      </c>
      <c r="C18173" t="inlineStr">
        <is>
          <t>Hair Masks</t>
        </is>
      </c>
      <c r="D18173" t="inlineStr">
        <is>
          <t>Schwarzkopf</t>
        </is>
      </c>
      <c r="E18173" t="n">
        <v>10.44</v>
      </c>
      <c r="F18173" t="n">
        <v>1</v>
      </c>
      <c r="G18173" t="n">
        <v>8</v>
      </c>
      <c r="H18173" s="5">
        <f>HYPERLINK("https://api.qogita.com/variants/link/4045787725636/", "View Product")</f>
        <v/>
      </c>
    </row>
    <row r="18174">
      <c r="A18174" t="inlineStr">
        <is>
          <t>4045787725759</t>
        </is>
      </c>
      <c r="B18174" t="inlineStr">
        <is>
          <t>Schwarzkopf Professional Bc Moisture Kick Conditioner 1000ml</t>
        </is>
      </c>
      <c r="C18174" t="inlineStr">
        <is>
          <t>Conditioner</t>
        </is>
      </c>
      <c r="D18174" t="inlineStr">
        <is>
          <t>Schwarzkopf</t>
        </is>
      </c>
      <c r="E18174" t="n">
        <v>20.71</v>
      </c>
      <c r="F18174" t="n">
        <v>1</v>
      </c>
      <c r="G18174" t="n">
        <v>5</v>
      </c>
      <c r="H18174" s="5">
        <f>HYPERLINK("https://api.qogita.com/variants/link/4045787725759/", "View Product")</f>
        <v/>
      </c>
    </row>
    <row r="18175">
      <c r="A18175" t="inlineStr">
        <is>
          <t>4045787726077</t>
        </is>
      </c>
      <c r="B18175" t="inlineStr">
        <is>
          <t>Schwarzkopf Professional Bc Color Freeze Conditioner For Gentle Nourishment Of Slightly Porous And Colored Hair 200ml</t>
        </is>
      </c>
      <c r="C18175" t="inlineStr">
        <is>
          <t>Conditioner</t>
        </is>
      </c>
      <c r="D18175" t="inlineStr">
        <is>
          <t>Schwarzkopf</t>
        </is>
      </c>
      <c r="E18175" t="n">
        <v>6.71</v>
      </c>
      <c r="F18175" t="n">
        <v>1</v>
      </c>
      <c r="G18175" t="n">
        <v>4</v>
      </c>
      <c r="H18175" s="5">
        <f>HYPERLINK("https://api.qogita.com/variants/link/4045787726077/", "View Product")</f>
        <v/>
      </c>
    </row>
    <row r="18176">
      <c r="A18176" t="inlineStr">
        <is>
          <t>4045787726275</t>
        </is>
      </c>
      <c r="B18176" t="inlineStr">
        <is>
          <t>Schwarzkopf Professional Bc Bonacure Q10 Time Restore Clay Treatment Mask 500ml</t>
        </is>
      </c>
      <c r="C18176" t="inlineStr">
        <is>
          <t>Hair Masks</t>
        </is>
      </c>
      <c r="D18176" t="inlineStr">
        <is>
          <t>Schwarzkopf</t>
        </is>
      </c>
      <c r="E18176" t="n">
        <v>15.86</v>
      </c>
      <c r="F18176" t="n">
        <v>1</v>
      </c>
      <c r="G18176" t="n">
        <v>8</v>
      </c>
      <c r="H18176" s="5">
        <f>HYPERLINK("https://api.qogita.com/variants/link/4045787726275/", "View Product")</f>
        <v/>
      </c>
    </row>
    <row r="18177">
      <c r="A18177" t="inlineStr">
        <is>
          <t>4045787726596</t>
        </is>
      </c>
      <c r="B18177" t="inlineStr">
        <is>
          <t>Bc Bonacure Time Restore Shampoo Gentle Cleansing Shampoo For Mature Hair 1000ml</t>
        </is>
      </c>
      <c r="C18177" t="inlineStr">
        <is>
          <t>Shampoo</t>
        </is>
      </c>
      <c r="D18177" t="inlineStr">
        <is>
          <t>Bc Bonacure</t>
        </is>
      </c>
      <c r="E18177" t="n">
        <v>14.54</v>
      </c>
      <c r="F18177" t="n">
        <v>1</v>
      </c>
      <c r="G18177" t="n">
        <v>3</v>
      </c>
      <c r="H18177" s="5">
        <f>HYPERLINK("https://api.qogita.com/variants/link/4045787726596/", "View Product")</f>
        <v/>
      </c>
    </row>
    <row r="18178">
      <c r="A18178" t="inlineStr">
        <is>
          <t>4045787728859</t>
        </is>
      </c>
      <c r="B18178" t="inlineStr">
        <is>
          <t>Bc Bonacure Volume Boost Perfect Foam Anti-Static Foam Increasing Hair Volume 150ml</t>
        </is>
      </c>
      <c r="C18178" t="inlineStr">
        <is>
          <t>Mousse</t>
        </is>
      </c>
      <c r="D18178" t="inlineStr">
        <is>
          <t>Bc Bonacure</t>
        </is>
      </c>
      <c r="E18178" t="n">
        <v>8.130000000000001</v>
      </c>
      <c r="F18178" t="n">
        <v>1</v>
      </c>
      <c r="G18178" t="n">
        <v>16</v>
      </c>
      <c r="H18178" s="5">
        <f>HYPERLINK("https://api.qogita.com/variants/link/4045787728859/", "View Product")</f>
        <v/>
      </c>
    </row>
    <row r="18179">
      <c r="A18179" t="inlineStr">
        <is>
          <t>4045787762303</t>
        </is>
      </c>
      <c r="B18179" t="inlineStr">
        <is>
          <t>Schwarzkopf Professional Blondme Lift &amp; Blend illuminating cream for blonde hair shade Biscuit 60ml</t>
        </is>
      </c>
      <c r="C18179" t="inlineStr">
        <is>
          <t>Bleaching</t>
        </is>
      </c>
      <c r="D18179" t="inlineStr">
        <is>
          <t>Schwarzkopf</t>
        </is>
      </c>
      <c r="E18179" t="n">
        <v>7.5</v>
      </c>
      <c r="F18179" t="n">
        <v>1</v>
      </c>
      <c r="G18179" t="n">
        <v>3</v>
      </c>
      <c r="H18179" s="5">
        <f>HYPERLINK("https://api.qogita.com/variants/link/4045787762303/", "View Product")</f>
        <v/>
      </c>
    </row>
    <row r="18180">
      <c r="A18180" t="inlineStr">
        <is>
          <t>4045787802849</t>
        </is>
      </c>
      <c r="B18180" t="inlineStr">
        <is>
          <t>Schwarzkopf Professional Bonacure Sun Protect 3in1 Shampoo For Hair, Body, And Scalp - 200ml</t>
        </is>
      </c>
      <c r="C18180" t="inlineStr">
        <is>
          <t>Shampoo</t>
        </is>
      </c>
      <c r="D18180" t="inlineStr">
        <is>
          <t>Schwarzkopf</t>
        </is>
      </c>
      <c r="E18180" t="n">
        <v>6.96</v>
      </c>
      <c r="F18180" t="n">
        <v>1</v>
      </c>
      <c r="G18180" t="n">
        <v>8</v>
      </c>
      <c r="H18180" s="5">
        <f>HYPERLINK("https://api.qogita.com/variants/link/4045787802849/", "View Product")</f>
        <v/>
      </c>
    </row>
    <row r="18181">
      <c r="A18181" t="inlineStr">
        <is>
          <t>4045787802962</t>
        </is>
      </c>
      <c r="B18181" t="inlineStr">
        <is>
          <t>Bc Bonacure Sun Protect Beach Wave Spray - 150ml</t>
        </is>
      </c>
      <c r="C18181" t="inlineStr">
        <is>
          <t>Body Sun Protection</t>
        </is>
      </c>
      <c r="D18181" t="inlineStr">
        <is>
          <t>Bc Bonacure</t>
        </is>
      </c>
      <c r="E18181" t="n">
        <v>8.34</v>
      </c>
      <c r="F18181" t="n">
        <v>1</v>
      </c>
      <c r="G18181" t="n">
        <v>3</v>
      </c>
      <c r="H18181" s="5">
        <f>HYPERLINK("https://api.qogita.com/variants/link/4045787802962/", "View Product")</f>
        <v/>
      </c>
    </row>
    <row r="18182">
      <c r="A18182" t="inlineStr">
        <is>
          <t>4045787922400</t>
        </is>
      </c>
      <c r="B18182" t="inlineStr">
        <is>
          <t>Schwarzkopf Blondme Premium Developer 6% 1000ml</t>
        </is>
      </c>
      <c r="C18182" t="inlineStr">
        <is>
          <t>Hair Dye</t>
        </is>
      </c>
      <c r="D18182" t="inlineStr">
        <is>
          <t>Schwarzkopf</t>
        </is>
      </c>
      <c r="E18182" t="n">
        <v>7.82</v>
      </c>
      <c r="F18182" t="n">
        <v>1</v>
      </c>
      <c r="G18182" t="n">
        <v>63</v>
      </c>
      <c r="H18182" s="5">
        <f>HYPERLINK("https://api.qogita.com/variants/link/4045787922400/", "View Product")</f>
        <v/>
      </c>
    </row>
    <row r="18183">
      <c r="A18183" t="inlineStr">
        <is>
          <t>4045787922721</t>
        </is>
      </c>
      <c r="B18183" t="inlineStr">
        <is>
          <t>Schwarzkopf Blondme Premium Developer 12% 1000ml</t>
        </is>
      </c>
      <c r="C18183" t="inlineStr">
        <is>
          <t>Bleaching</t>
        </is>
      </c>
      <c r="D18183" t="inlineStr">
        <is>
          <t>Schwarzkopf</t>
        </is>
      </c>
      <c r="E18183" t="n">
        <v>7.69</v>
      </c>
      <c r="F18183" t="n">
        <v>1</v>
      </c>
      <c r="G18183" t="n">
        <v>8</v>
      </c>
      <c r="H18183" s="5">
        <f>HYPERLINK("https://api.qogita.com/variants/link/4045787922721/", "View Product")</f>
        <v/>
      </c>
    </row>
    <row r="18184">
      <c r="A18184" t="inlineStr">
        <is>
          <t>4045787936414</t>
        </is>
      </c>
      <c r="B18184" t="inlineStr">
        <is>
          <t>Schwarzkopf Professional Osis+ Air Whip Flexible Styling Foam 200ml</t>
        </is>
      </c>
      <c r="C18184" t="inlineStr">
        <is>
          <t>Mousse</t>
        </is>
      </c>
      <c r="D18184" t="inlineStr">
        <is>
          <t>Schwarzkopf</t>
        </is>
      </c>
      <c r="E18184" t="n">
        <v>6.07</v>
      </c>
      <c r="F18184" t="n">
        <v>1</v>
      </c>
      <c r="G18184" t="n">
        <v>25</v>
      </c>
      <c r="H18184" s="5">
        <f>HYPERLINK("https://api.qogita.com/variants/link/4045787936414/", "View Product")</f>
        <v/>
      </c>
    </row>
    <row r="18185">
      <c r="A18185" t="inlineStr">
        <is>
          <t>4045787936537</t>
        </is>
      </c>
      <c r="B18185" t="inlineStr">
        <is>
          <t>Schwarzkopf Professional Osis+ Curl Jam Curl Defining Gel 300ml</t>
        </is>
      </c>
      <c r="C18185" t="inlineStr">
        <is>
          <t>Gel</t>
        </is>
      </c>
      <c r="D18185" t="inlineStr">
        <is>
          <t>Schwarzkopf</t>
        </is>
      </c>
      <c r="E18185" t="n">
        <v>7.7</v>
      </c>
      <c r="F18185" t="n">
        <v>1</v>
      </c>
      <c r="G18185" t="n">
        <v>12</v>
      </c>
      <c r="H18185" s="5">
        <f>HYPERLINK("https://api.qogita.com/variants/link/4045787936537/", "View Product")</f>
        <v/>
      </c>
    </row>
    <row r="18186">
      <c r="A18186" t="inlineStr">
        <is>
          <t>4045787936612</t>
        </is>
      </c>
      <c r="B18186" t="inlineStr">
        <is>
          <t>Schwarzkopf Professional Osis+ Super Shield Hair Protection Spray 300ml</t>
        </is>
      </c>
      <c r="C18186" t="inlineStr">
        <is>
          <t>Uv Protection</t>
        </is>
      </c>
      <c r="D18186" t="inlineStr">
        <is>
          <t>Schwarzkopf</t>
        </is>
      </c>
      <c r="E18186" t="n">
        <v>8.529999999999999</v>
      </c>
      <c r="F18186" t="n">
        <v>1</v>
      </c>
      <c r="G18186" t="n">
        <v>57</v>
      </c>
      <c r="H18186" s="5">
        <f>HYPERLINK("https://api.qogita.com/variants/link/4045787936612/", "View Product")</f>
        <v/>
      </c>
    </row>
    <row r="18187">
      <c r="A18187" t="inlineStr">
        <is>
          <t>4045787949476</t>
        </is>
      </c>
      <c r="B18187" t="inlineStr">
        <is>
          <t>Schwarzkopf Professional Bonacure R-Two Rescuing Treatment Intensive Hair Bonding Mask 200ml</t>
        </is>
      </c>
      <c r="C18187" t="inlineStr">
        <is>
          <t>Hair Masks</t>
        </is>
      </c>
      <c r="D18187" t="inlineStr">
        <is>
          <t>Schwarzkopf</t>
        </is>
      </c>
      <c r="E18187" t="n">
        <v>12.39</v>
      </c>
      <c r="F18187" t="n">
        <v>1</v>
      </c>
      <c r="G18187" t="n">
        <v>11</v>
      </c>
      <c r="H18187" s="5">
        <f>HYPERLINK("https://api.qogita.com/variants/link/4045787949476/", "View Product")</f>
        <v/>
      </c>
    </row>
    <row r="18188">
      <c r="A18188" t="inlineStr">
        <is>
          <t>4045787949551</t>
        </is>
      </c>
      <c r="B18188" t="inlineStr">
        <is>
          <t>Schwarzkopf Professional Bonacure R-Two Resetting Shampoo 1000ml</t>
        </is>
      </c>
      <c r="C18188" t="inlineStr">
        <is>
          <t>Shampoo</t>
        </is>
      </c>
      <c r="D18188" t="inlineStr">
        <is>
          <t>Schwarzkopf</t>
        </is>
      </c>
      <c r="E18188" t="n">
        <v>17.73</v>
      </c>
      <c r="F18188" t="n">
        <v>1</v>
      </c>
      <c r="G18188" t="n">
        <v>3</v>
      </c>
      <c r="H18188" s="5">
        <f>HYPERLINK("https://api.qogita.com/variants/link/4045787949551/", "View Product")</f>
        <v/>
      </c>
    </row>
    <row r="18189">
      <c r="A18189" t="inlineStr">
        <is>
          <t>4045787949636</t>
        </is>
      </c>
      <c r="B18189" t="inlineStr">
        <is>
          <t>Schwarzkopf Professional Bonacure R-Two Resetting Shampoo 250ml</t>
        </is>
      </c>
      <c r="C18189" t="inlineStr">
        <is>
          <t>Shampoo</t>
        </is>
      </c>
      <c r="D18189" t="inlineStr">
        <is>
          <t>Schwarzkopf</t>
        </is>
      </c>
      <c r="E18189" t="n">
        <v>7.69</v>
      </c>
      <c r="F18189" t="n">
        <v>1</v>
      </c>
      <c r="G18189" t="n">
        <v>5</v>
      </c>
      <c r="H18189" s="5">
        <f>HYPERLINK("https://api.qogita.com/variants/link/4045787949636/", "View Product")</f>
        <v/>
      </c>
    </row>
    <row r="18190">
      <c r="A18190" t="inlineStr">
        <is>
          <t>4045787998177</t>
        </is>
      </c>
      <c r="B18190" t="inlineStr">
        <is>
          <t>Schwarzkopf Professional Bc Bonacure Antidandruff Serum 100 Ml</t>
        </is>
      </c>
      <c r="C18190" t="inlineStr">
        <is>
          <t>Scalp Care</t>
        </is>
      </c>
      <c r="D18190" t="inlineStr">
        <is>
          <t>Schwarzkopf</t>
        </is>
      </c>
      <c r="E18190" t="n">
        <v>13.18</v>
      </c>
      <c r="F18190" t="n">
        <v>1</v>
      </c>
      <c r="G18190" t="n">
        <v>14</v>
      </c>
      <c r="H18190" s="5">
        <f>HYPERLINK("https://api.qogita.com/variants/link/4045787998177/", "View Product")</f>
        <v/>
      </c>
    </row>
    <row r="18191">
      <c r="A18191" t="inlineStr">
        <is>
          <t>4045787998290</t>
        </is>
      </c>
      <c r="B18191" t="inlineStr">
        <is>
          <t>Schwarzkopf Professional Bc Bonacure Scalp Root Activation And Hair Growth Serum 8 X 7 Ml</t>
        </is>
      </c>
      <c r="C18191" t="inlineStr">
        <is>
          <t>Hair Oil &amp; Hair Serum</t>
        </is>
      </c>
      <c r="D18191" t="inlineStr">
        <is>
          <t>Schwarzkopf</t>
        </is>
      </c>
      <c r="E18191" t="n">
        <v>12.07</v>
      </c>
      <c r="F18191" t="n">
        <v>1</v>
      </c>
      <c r="G18191" t="n">
        <v>11</v>
      </c>
      <c r="H18191" s="5">
        <f>HYPERLINK("https://api.qogita.com/variants/link/4045787998290/", "View Product")</f>
        <v/>
      </c>
    </row>
    <row r="18192">
      <c r="A18192" t="inlineStr">
        <is>
          <t>4045787998375</t>
        </is>
      </c>
      <c r="B18192" t="inlineStr">
        <is>
          <t>Schwarzkopf Professional Bc Bonacure Scalp Soothing Serum 100ml For Dry And Sensitive Scalp</t>
        </is>
      </c>
      <c r="C18192" t="inlineStr">
        <is>
          <t>Scalp Care</t>
        </is>
      </c>
      <c r="D18192" t="inlineStr">
        <is>
          <t>Schwarzkopf</t>
        </is>
      </c>
      <c r="E18192" t="n">
        <v>17.22</v>
      </c>
      <c r="F18192" t="n">
        <v>1</v>
      </c>
      <c r="G18192" t="n">
        <v>22</v>
      </c>
      <c r="H18192" s="5">
        <f>HYPERLINK("https://api.qogita.com/variants/link/4045787998375/", "View Product")</f>
        <v/>
      </c>
    </row>
    <row r="18193">
      <c r="A18193" t="inlineStr">
        <is>
          <t>4045787999525</t>
        </is>
      </c>
      <c r="B18193" t="inlineStr">
        <is>
          <t>Schwarzkopf Professional Osis+ Dust It Mattifying Volume Powder - 10g</t>
        </is>
      </c>
      <c r="C18193" t="inlineStr">
        <is>
          <t>Volume Powder</t>
        </is>
      </c>
      <c r="D18193" t="inlineStr">
        <is>
          <t>Schwarzkopf</t>
        </is>
      </c>
      <c r="E18193" t="n">
        <v>8.01</v>
      </c>
      <c r="F18193" t="n">
        <v>1</v>
      </c>
      <c r="G18193" t="n">
        <v>27</v>
      </c>
      <c r="H18193" s="5">
        <f>HYPERLINK("https://api.qogita.com/variants/link/4045787999525/", "View Product")</f>
        <v/>
      </c>
    </row>
    <row r="18194">
      <c r="A18194" t="inlineStr">
        <is>
          <t>7350016331760</t>
        </is>
      </c>
      <c r="B18194" t="inlineStr">
        <is>
          <t>Sachajuan Ocean Mist Volume Conditioner For Fine Hair</t>
        </is>
      </c>
      <c r="C18194" t="inlineStr">
        <is>
          <t>Conditioner</t>
        </is>
      </c>
      <c r="D18194" t="inlineStr">
        <is>
          <t>Sachajuan</t>
        </is>
      </c>
      <c r="E18194" t="n">
        <v>18.91</v>
      </c>
      <c r="F18194" t="n">
        <v>1</v>
      </c>
      <c r="G18194" t="n">
        <v>7</v>
      </c>
      <c r="H18194" s="5">
        <f>HYPERLINK("https://api.qogita.com/variants/link/7350016331760/", "View Product")</f>
        <v/>
      </c>
    </row>
    <row r="18195">
      <c r="A18195" t="inlineStr">
        <is>
          <t>7350016332378</t>
        </is>
      </c>
      <c r="B18195" t="inlineStr">
        <is>
          <t>Sachajuan Cleanse Care Moisturizing Shampoo For Dry Hair</t>
        </is>
      </c>
      <c r="C18195" t="inlineStr">
        <is>
          <t>Shampoo</t>
        </is>
      </c>
      <c r="D18195" t="inlineStr">
        <is>
          <t>Sachajuan</t>
        </is>
      </c>
      <c r="E18195" t="n">
        <v>10.19</v>
      </c>
      <c r="F18195" t="n">
        <v>1</v>
      </c>
      <c r="G18195" t="n">
        <v>4</v>
      </c>
      <c r="H18195" s="5">
        <f>HYPERLINK("https://api.qogita.com/variants/link/7350016332378/", "View Product")</f>
        <v/>
      </c>
    </row>
    <row r="18196">
      <c r="A18196" t="inlineStr">
        <is>
          <t>7350016332422</t>
        </is>
      </c>
      <c r="B18196" t="inlineStr">
        <is>
          <t>Sachajuan Moisturizing Conditioner 33.8 Ounces</t>
        </is>
      </c>
      <c r="C18196" t="inlineStr">
        <is>
          <t>Conditioner</t>
        </is>
      </c>
      <c r="D18196" t="inlineStr">
        <is>
          <t>Sachajuan</t>
        </is>
      </c>
      <c r="E18196" t="n">
        <v>54.22</v>
      </c>
      <c r="F18196" t="n">
        <v>1</v>
      </c>
      <c r="G18196" t="n">
        <v>11</v>
      </c>
      <c r="H18196" s="5">
        <f>HYPERLINK("https://api.qogita.com/variants/link/7350016332422/", "View Product")</f>
        <v/>
      </c>
    </row>
    <row r="18197">
      <c r="A18197" t="inlineStr">
        <is>
          <t>7350016332668</t>
        </is>
      </c>
      <c r="B18197" t="inlineStr">
        <is>
          <t>Sachajuan Anti-Pollution Conditioner 250ml</t>
        </is>
      </c>
      <c r="C18197" t="inlineStr">
        <is>
          <t>Conditioner</t>
        </is>
      </c>
      <c r="D18197" t="inlineStr">
        <is>
          <t>Sachajuan</t>
        </is>
      </c>
      <c r="E18197" t="n">
        <v>20.41</v>
      </c>
      <c r="F18197" t="n">
        <v>1</v>
      </c>
      <c r="G18197" t="n">
        <v>11</v>
      </c>
      <c r="H18197" s="5">
        <f>HYPERLINK("https://api.qogita.com/variants/link/7350016332668/", "View Product")</f>
        <v/>
      </c>
    </row>
    <row r="18198">
      <c r="A18198" t="inlineStr">
        <is>
          <t>7350016332781</t>
        </is>
      </c>
      <c r="B18198" t="inlineStr">
        <is>
          <t>Sachajuan Intensive Repair Leave In Conditioner 150ml</t>
        </is>
      </c>
      <c r="C18198" t="inlineStr">
        <is>
          <t>Leave-In Conditioner</t>
        </is>
      </c>
      <c r="D18198" t="inlineStr">
        <is>
          <t>Sachajuan</t>
        </is>
      </c>
      <c r="E18198" t="n">
        <v>21.29</v>
      </c>
      <c r="F18198" t="n">
        <v>1</v>
      </c>
      <c r="G18198" t="n">
        <v>8</v>
      </c>
      <c r="H18198" s="5">
        <f>HYPERLINK("https://api.qogita.com/variants/link/7350016332781/", "View Product")</f>
        <v/>
      </c>
    </row>
    <row r="18199">
      <c r="A18199" t="inlineStr">
        <is>
          <t>7350016332798</t>
        </is>
      </c>
      <c r="B18199" t="inlineStr">
        <is>
          <t>SACHAJUAN Hand Lotion Fresh Lavender 300ml</t>
        </is>
      </c>
      <c r="C18199" t="inlineStr">
        <is>
          <t>Hand Cream</t>
        </is>
      </c>
      <c r="D18199" t="inlineStr">
        <is>
          <t>Sachajuan</t>
        </is>
      </c>
      <c r="E18199" t="n">
        <v>23.41</v>
      </c>
      <c r="F18199" t="n">
        <v>1</v>
      </c>
      <c r="G18199" t="n">
        <v>2</v>
      </c>
      <c r="H18199" s="5">
        <f>HYPERLINK("https://api.qogita.com/variants/link/7350016332798/", "View Product")</f>
        <v/>
      </c>
    </row>
    <row r="18200">
      <c r="A18200" t="inlineStr">
        <is>
          <t>7350016332903</t>
        </is>
      </c>
      <c r="B18200" t="inlineStr">
        <is>
          <t>Sachajuan Normal Hair Conditioner</t>
        </is>
      </c>
      <c r="C18200" t="inlineStr">
        <is>
          <t>Conditioner</t>
        </is>
      </c>
      <c r="D18200" t="inlineStr">
        <is>
          <t>Sachajuan</t>
        </is>
      </c>
      <c r="E18200" t="n">
        <v>53.13</v>
      </c>
      <c r="F18200" t="n">
        <v>1</v>
      </c>
      <c r="G18200" t="n">
        <v>10</v>
      </c>
      <c r="H18200" s="5">
        <f>HYPERLINK("https://api.qogita.com/variants/link/7350016332903/", "View Product")</f>
        <v/>
      </c>
    </row>
    <row r="18201">
      <c r="A18201" t="inlineStr">
        <is>
          <t>7350016332910</t>
        </is>
      </c>
      <c r="B18201" t="inlineStr">
        <is>
          <t>SACHAJUAN Thickening Shampoo 990ml</t>
        </is>
      </c>
      <c r="C18201" t="inlineStr">
        <is>
          <t>Shampoo</t>
        </is>
      </c>
      <c r="D18201" t="inlineStr">
        <is>
          <t>Sachajuan</t>
        </is>
      </c>
      <c r="E18201" t="n">
        <v>50.68</v>
      </c>
      <c r="F18201" t="n">
        <v>1</v>
      </c>
      <c r="G18201" t="n">
        <v>7</v>
      </c>
      <c r="H18201" s="5">
        <f>HYPERLINK("https://api.qogita.com/variants/link/7350016332910/", "View Product")</f>
        <v/>
      </c>
    </row>
    <row r="18202">
      <c r="A18202" t="inlineStr">
        <is>
          <t>7350016333009</t>
        </is>
      </c>
      <c r="B18202" t="inlineStr">
        <is>
          <t>Sachajuan Light and Flexible Hairspray 200ml</t>
        </is>
      </c>
      <c r="C18202" t="inlineStr">
        <is>
          <t>Hairspray</t>
        </is>
      </c>
      <c r="D18202" t="inlineStr">
        <is>
          <t>Sachajuan</t>
        </is>
      </c>
      <c r="E18202" t="n">
        <v>20.3</v>
      </c>
      <c r="F18202" t="n">
        <v>1</v>
      </c>
      <c r="G18202" t="n">
        <v>2</v>
      </c>
      <c r="H18202" s="5">
        <f>HYPERLINK("https://api.qogita.com/variants/link/7350016333009/", "View Product")</f>
        <v/>
      </c>
    </row>
    <row r="18203">
      <c r="A18203" t="inlineStr">
        <is>
          <t>7350016333030</t>
        </is>
      </c>
      <c r="B18203" t="inlineStr">
        <is>
          <t>SACHAJUAN Ocean Mist Volume Hair Mousse Styling Foam Mousse 5 fl oz</t>
        </is>
      </c>
      <c r="C18203" t="inlineStr">
        <is>
          <t>Mousse</t>
        </is>
      </c>
      <c r="D18203" t="inlineStr">
        <is>
          <t>Sachajuan</t>
        </is>
      </c>
      <c r="E18203" t="n">
        <v>27.27</v>
      </c>
      <c r="F18203" t="n">
        <v>1</v>
      </c>
      <c r="G18203" t="n">
        <v>3</v>
      </c>
      <c r="H18203" s="5">
        <f>HYPERLINK("https://api.qogita.com/variants/link/7350016333030/", "View Product")</f>
        <v/>
      </c>
    </row>
    <row r="18204">
      <c r="A18204" t="inlineStr">
        <is>
          <t>7350049568560</t>
        </is>
      </c>
      <c r="B18204" t="inlineStr">
        <is>
          <t>Jabushe Soft Cream - Skin Cream Against The First Signs Of Aging, 50 Ml</t>
        </is>
      </c>
      <c r="C18204" t="inlineStr">
        <is>
          <t>Anti-Aging Facial Care</t>
        </is>
      </c>
      <c r="D18204" t="inlineStr">
        <is>
          <t>Jabushe</t>
        </is>
      </c>
      <c r="E18204" t="n">
        <v>34.44</v>
      </c>
      <c r="F18204" t="n">
        <v>1</v>
      </c>
      <c r="G18204" t="n">
        <v>15</v>
      </c>
      <c r="H18204" s="5">
        <f>HYPERLINK("https://api.qogita.com/variants/link/7350049568560/", "View Product")</f>
        <v/>
      </c>
    </row>
    <row r="18205">
      <c r="A18205" t="inlineStr">
        <is>
          <t>7350052830395</t>
        </is>
      </c>
      <c r="B18205" t="inlineStr">
        <is>
          <t>Manasi 7 Natural Brightening Eye Shadow Eye Glow Colour - 5 G</t>
        </is>
      </c>
      <c r="C18205" t="inlineStr">
        <is>
          <t>Eyeshadow</t>
        </is>
      </c>
      <c r="D18205" t="inlineStr">
        <is>
          <t>Manasi 7</t>
        </is>
      </c>
      <c r="E18205" t="n">
        <v>32.81</v>
      </c>
      <c r="F18205" t="n">
        <v>1</v>
      </c>
      <c r="G18205" t="n">
        <v>2</v>
      </c>
      <c r="H18205" s="5">
        <f>HYPERLINK("https://api.qogita.com/variants/link/7350052830395/", "View Product")</f>
        <v/>
      </c>
    </row>
    <row r="18206">
      <c r="A18206" t="inlineStr">
        <is>
          <t>7391681036024</t>
        </is>
      </c>
      <c r="B18206" t="inlineStr">
        <is>
          <t>Maria Nila Structure Repair Masque Hair Mask Intensive Moisturizing 250ml</t>
        </is>
      </c>
      <c r="C18206" t="inlineStr">
        <is>
          <t>Hair Masks</t>
        </is>
      </c>
      <c r="D18206" t="inlineStr">
        <is>
          <t>Maria Nila</t>
        </is>
      </c>
      <c r="E18206" t="n">
        <v>24.95</v>
      </c>
      <c r="F18206" t="n">
        <v>1</v>
      </c>
      <c r="G18206" t="n">
        <v>5</v>
      </c>
      <c r="H18206" s="5">
        <f>HYPERLINK("https://api.qogita.com/variants/link/7391681036024/", "View Product")</f>
        <v/>
      </c>
    </row>
    <row r="18207">
      <c r="A18207" t="inlineStr">
        <is>
          <t>7391681036123</t>
        </is>
      </c>
      <c r="B18207" t="inlineStr">
        <is>
          <t>Maria Nila Pure Volume Masque 250ml Light Mask For Fine Hair</t>
        </is>
      </c>
      <c r="C18207" t="inlineStr">
        <is>
          <t>Hair Masks</t>
        </is>
      </c>
      <c r="D18207" t="inlineStr">
        <is>
          <t>Maria Nila</t>
        </is>
      </c>
      <c r="E18207" t="n">
        <v>19.99</v>
      </c>
      <c r="F18207" t="n">
        <v>1</v>
      </c>
      <c r="G18207" t="n">
        <v>6</v>
      </c>
      <c r="H18207" s="5">
        <f>HYPERLINK("https://api.qogita.com/variants/link/7391681036123/", "View Product")</f>
        <v/>
      </c>
    </row>
    <row r="18208">
      <c r="A18208" t="inlineStr">
        <is>
          <t>7391681036161</t>
        </is>
      </c>
      <c r="B18208" t="inlineStr">
        <is>
          <t>Maria Nila Pure Volume Conditioner 100ml Hydrating Conditioner For Fine Hair Volume</t>
        </is>
      </c>
      <c r="C18208" t="inlineStr">
        <is>
          <t>Conditioner</t>
        </is>
      </c>
      <c r="D18208" t="inlineStr">
        <is>
          <t>Maria Nila</t>
        </is>
      </c>
      <c r="E18208" t="n">
        <v>11.37</v>
      </c>
      <c r="F18208" t="n">
        <v>1</v>
      </c>
      <c r="G18208" t="n">
        <v>5</v>
      </c>
      <c r="H18208" s="5">
        <f>HYPERLINK("https://api.qogita.com/variants/link/7391681036161/", "View Product")</f>
        <v/>
      </c>
    </row>
    <row r="18209">
      <c r="A18209" t="inlineStr">
        <is>
          <t>7391681036208</t>
        </is>
      </c>
      <c r="B18209" t="inlineStr">
        <is>
          <t>Maria Nila Luminous Colour Shampoo For Dyed Hair - 350ml</t>
        </is>
      </c>
      <c r="C18209" t="inlineStr">
        <is>
          <t>Shampoo</t>
        </is>
      </c>
      <c r="D18209" t="inlineStr">
        <is>
          <t>Maria Nila</t>
        </is>
      </c>
      <c r="E18209" t="n">
        <v>23.29</v>
      </c>
      <c r="F18209" t="n">
        <v>1</v>
      </c>
      <c r="G18209" t="n">
        <v>10</v>
      </c>
      <c r="H18209" s="5">
        <f>HYPERLINK("https://api.qogita.com/variants/link/7391681036208/", "View Product")</f>
        <v/>
      </c>
    </row>
    <row r="18210">
      <c r="A18210" t="inlineStr">
        <is>
          <t>7391681036215</t>
        </is>
      </c>
      <c r="B18210" t="inlineStr">
        <is>
          <t>Maria Nila Luminous Colour Conditioner - 300ml</t>
        </is>
      </c>
      <c r="C18210" t="inlineStr">
        <is>
          <t>Conditioner</t>
        </is>
      </c>
      <c r="D18210" t="inlineStr">
        <is>
          <t>Maria Nila</t>
        </is>
      </c>
      <c r="E18210" t="n">
        <v>18.47</v>
      </c>
      <c r="F18210" t="n">
        <v>1</v>
      </c>
      <c r="G18210" t="n">
        <v>14</v>
      </c>
      <c r="H18210" s="5">
        <f>HYPERLINK("https://api.qogita.com/variants/link/7391681036215/", "View Product")</f>
        <v/>
      </c>
    </row>
    <row r="18211">
      <c r="A18211" t="inlineStr">
        <is>
          <t>7391681036307</t>
        </is>
      </c>
      <c r="B18211" t="inlineStr">
        <is>
          <t>Maria Nila True Soft Shampoo For Dry Hair Moisturizing Shampoo With Argan Oil</t>
        </is>
      </c>
      <c r="C18211" t="inlineStr">
        <is>
          <t>Shampoo</t>
        </is>
      </c>
      <c r="D18211" t="inlineStr">
        <is>
          <t>Maria Nila</t>
        </is>
      </c>
      <c r="E18211" t="n">
        <v>23.29</v>
      </c>
      <c r="F18211" t="n">
        <v>1</v>
      </c>
      <c r="G18211" t="n">
        <v>7</v>
      </c>
      <c r="H18211" s="5">
        <f>HYPERLINK("https://api.qogita.com/variants/link/7391681036307/", "View Product")</f>
        <v/>
      </c>
    </row>
    <row r="18212">
      <c r="A18212" t="inlineStr">
        <is>
          <t>7391681036314</t>
        </is>
      </c>
      <c r="B18212" t="inlineStr">
        <is>
          <t>Maria Nila True Soft Conditioner Moisturizing Conditioner For Dry Hair 300ml</t>
        </is>
      </c>
      <c r="C18212" t="inlineStr">
        <is>
          <t>Conditioner</t>
        </is>
      </c>
      <c r="D18212" t="inlineStr">
        <is>
          <t>Maria Nila</t>
        </is>
      </c>
      <c r="E18212" t="n">
        <v>23.29</v>
      </c>
      <c r="F18212" t="n">
        <v>1</v>
      </c>
      <c r="G18212" t="n">
        <v>5</v>
      </c>
      <c r="H18212" s="5">
        <f>HYPERLINK("https://api.qogita.com/variants/link/7391681036314/", "View Product")</f>
        <v/>
      </c>
    </row>
    <row r="18213">
      <c r="A18213" t="inlineStr">
        <is>
          <t>7391681036338</t>
        </is>
      </c>
      <c r="B18213" t="inlineStr">
        <is>
          <t>Maria Nila Hydrating Shampoo With Argan Oil For Dry Hair Moisturizing Shampoo</t>
        </is>
      </c>
      <c r="C18213" t="inlineStr">
        <is>
          <t>Shampoo</t>
        </is>
      </c>
      <c r="D18213" t="inlineStr">
        <is>
          <t>Maria Nila</t>
        </is>
      </c>
      <c r="E18213" t="n">
        <v>53.9</v>
      </c>
      <c r="F18213" t="n">
        <v>1</v>
      </c>
      <c r="G18213" t="n">
        <v>3</v>
      </c>
      <c r="H18213" s="5">
        <f>HYPERLINK("https://api.qogita.com/variants/link/7391681036338/", "View Product")</f>
        <v/>
      </c>
    </row>
    <row r="18214">
      <c r="A18214" t="inlineStr">
        <is>
          <t>7391681036444</t>
        </is>
      </c>
      <c r="B18214" t="inlineStr">
        <is>
          <t>Maria Nila Sheer Silver Conditioner Moisturizing Conditioner Neutralizing Yellow Tones Of Hair</t>
        </is>
      </c>
      <c r="C18214" t="inlineStr">
        <is>
          <t>Conditioner</t>
        </is>
      </c>
      <c r="D18214" t="inlineStr">
        <is>
          <t>Maria Nila</t>
        </is>
      </c>
      <c r="E18214" t="n">
        <v>57.34</v>
      </c>
      <c r="F18214" t="n">
        <v>1</v>
      </c>
      <c r="G18214" t="n">
        <v>3</v>
      </c>
      <c r="H18214" s="5">
        <f>HYPERLINK("https://api.qogita.com/variants/link/7391681036444/", "View Product")</f>
        <v/>
      </c>
    </row>
    <row r="18215">
      <c r="A18215" t="inlineStr">
        <is>
          <t>7391681036505</t>
        </is>
      </c>
      <c r="B18215" t="inlineStr">
        <is>
          <t>Maria Nila Head &amp; Hair Heal - Prevents Dandruff and Scalp Problems, Stimulates Hair</t>
        </is>
      </c>
      <c r="C18215" t="inlineStr">
        <is>
          <t>Scalp Care</t>
        </is>
      </c>
      <c r="D18215" t="inlineStr">
        <is>
          <t>Maria Nila</t>
        </is>
      </c>
      <c r="E18215" t="n">
        <v>25.74</v>
      </c>
      <c r="F18215" t="n">
        <v>1</v>
      </c>
      <c r="G18215" t="n">
        <v>5</v>
      </c>
      <c r="H18215" s="5">
        <f>HYPERLINK("https://api.qogita.com/variants/link/7391681036505/", "View Product")</f>
        <v/>
      </c>
    </row>
    <row r="18216">
      <c r="A18216" t="inlineStr">
        <is>
          <t>7391681037083</t>
        </is>
      </c>
      <c r="B18216" t="inlineStr">
        <is>
          <t>Maria Nila Colour Refresh Semi-Permanent Pigments 100% Vegan &amp; Sulfate/Paraben Free</t>
        </is>
      </c>
      <c r="C18216" t="inlineStr">
        <is>
          <t>Color Rinse</t>
        </is>
      </c>
      <c r="D18216" t="inlineStr">
        <is>
          <t>Maria Nila</t>
        </is>
      </c>
      <c r="E18216" t="n">
        <v>24.95</v>
      </c>
      <c r="F18216" t="n">
        <v>1</v>
      </c>
      <c r="G18216" t="n">
        <v>5</v>
      </c>
      <c r="H18216" s="5">
        <f>HYPERLINK("https://api.qogita.com/variants/link/7391681037083/", "View Product")</f>
        <v/>
      </c>
    </row>
    <row r="18217">
      <c r="A18217" t="inlineStr">
        <is>
          <t>7391681038165</t>
        </is>
      </c>
      <c r="B18217" t="inlineStr">
        <is>
          <t>Maria Nila Volume Spray Hold 100% Vegan Hair Spray 100ml</t>
        </is>
      </c>
      <c r="C18217" t="inlineStr">
        <is>
          <t>Hairspray</t>
        </is>
      </c>
      <c r="D18217" t="inlineStr">
        <is>
          <t>Maria Nila</t>
        </is>
      </c>
      <c r="E18217" t="n">
        <v>11.8</v>
      </c>
      <c r="F18217" t="n">
        <v>1</v>
      </c>
      <c r="G18217" t="n">
        <v>6</v>
      </c>
      <c r="H18217" s="5">
        <f>HYPERLINK("https://api.qogita.com/variants/link/7391681038165/", "View Product")</f>
        <v/>
      </c>
    </row>
    <row r="18218">
      <c r="A18218" t="inlineStr">
        <is>
          <t>7391681038301</t>
        </is>
      </c>
      <c r="B18218" t="inlineStr">
        <is>
          <t>Maria Nila Invisidry Shampoo 250ml - Light Dry Shampoo Spray that Quickly Refreshes 100% Vegan Sulfate-free and Paraben-free</t>
        </is>
      </c>
      <c r="C18218" t="inlineStr">
        <is>
          <t>Dry Shampoo</t>
        </is>
      </c>
      <c r="D18218" t="inlineStr">
        <is>
          <t>Maria Nila</t>
        </is>
      </c>
      <c r="E18218" t="n">
        <v>17.9</v>
      </c>
      <c r="F18218" t="n">
        <v>1</v>
      </c>
      <c r="G18218" t="n">
        <v>7</v>
      </c>
      <c r="H18218" s="5">
        <f>HYPERLINK("https://api.qogita.com/variants/link/7391681038301/", "View Product")</f>
        <v/>
      </c>
    </row>
    <row r="18219">
      <c r="A18219" t="inlineStr">
        <is>
          <t>7391681047020</t>
        </is>
      </c>
      <c r="B18219" t="inlineStr">
        <is>
          <t>Maria Nila Colour Refresh Autumn Red Hair Mask 100ml</t>
        </is>
      </c>
      <c r="C18219" t="inlineStr">
        <is>
          <t>Hair Masks</t>
        </is>
      </c>
      <c r="D18219" t="inlineStr">
        <is>
          <t>Maria Nila</t>
        </is>
      </c>
      <c r="E18219" t="n">
        <v>13.79</v>
      </c>
      <c r="F18219" t="n">
        <v>1</v>
      </c>
      <c r="G18219" t="n">
        <v>3</v>
      </c>
      <c r="H18219" s="5">
        <f>HYPERLINK("https://api.qogita.com/variants/link/7391681047020/", "View Product")</f>
        <v/>
      </c>
    </row>
    <row r="18220">
      <c r="A18220" t="inlineStr">
        <is>
          <t>7391681047037</t>
        </is>
      </c>
      <c r="B18220" t="inlineStr">
        <is>
          <t>Maria Nila Vivid Violet Colour Refresh Mask 100ml Soft Nourishing Mask Without Permanent Color Pigments</t>
        </is>
      </c>
      <c r="C18220" t="inlineStr">
        <is>
          <t>Hair Masks</t>
        </is>
      </c>
      <c r="D18220" t="inlineStr">
        <is>
          <t>Maria Nila</t>
        </is>
      </c>
      <c r="E18220" t="n">
        <v>14.96</v>
      </c>
      <c r="F18220" t="n">
        <v>1</v>
      </c>
      <c r="G18220" t="n">
        <v>5</v>
      </c>
      <c r="H18220" s="5">
        <f>HYPERLINK("https://api.qogita.com/variants/link/7391681047037/", "View Product")</f>
        <v/>
      </c>
    </row>
    <row r="18221">
      <c r="A18221" t="inlineStr">
        <is>
          <t>7391681047129</t>
        </is>
      </c>
      <c r="B18221" t="inlineStr">
        <is>
          <t>Maria Nila Colour Refresh White Mix Color Mask 100ml</t>
        </is>
      </c>
      <c r="C18221" t="inlineStr">
        <is>
          <t>Hair Masks</t>
        </is>
      </c>
      <c r="D18221" t="inlineStr">
        <is>
          <t>Maria Nila</t>
        </is>
      </c>
      <c r="E18221" t="n">
        <v>12</v>
      </c>
      <c r="F18221" t="n">
        <v>1</v>
      </c>
      <c r="G18221" t="n">
        <v>2</v>
      </c>
      <c r="H18221" s="5">
        <f>HYPERLINK("https://api.qogita.com/variants/link/7391681047129/", "View Product")</f>
        <v/>
      </c>
    </row>
    <row r="18222">
      <c r="A18222" t="inlineStr">
        <is>
          <t>7391681047174</t>
        </is>
      </c>
      <c r="B18222" t="inlineStr">
        <is>
          <t>Maria Nila Gentle Nourishing Mask Without Permanent Color Pigments 922 Lavender 100ml</t>
        </is>
      </c>
      <c r="C18222" t="inlineStr">
        <is>
          <t>Hair Masks</t>
        </is>
      </c>
      <c r="D18222" t="inlineStr">
        <is>
          <t>Maria Nila</t>
        </is>
      </c>
      <c r="E18222" t="n">
        <v>12.39</v>
      </c>
      <c r="F18222" t="n">
        <v>1</v>
      </c>
      <c r="G18222" t="n">
        <v>9</v>
      </c>
      <c r="H18222" s="5">
        <f>HYPERLINK("https://api.qogita.com/variants/link/7391681047174/", "View Product")</f>
        <v/>
      </c>
    </row>
    <row r="18223">
      <c r="A18223" t="inlineStr">
        <is>
          <t>7391681400542</t>
        </is>
      </c>
      <c r="B18223" t="inlineStr">
        <is>
          <t>Maria Nila Cream Heat Spray Nourishing Cream In Spray - 75ml</t>
        </is>
      </c>
      <c r="C18223" t="inlineStr">
        <is>
          <t>Uv Protection</t>
        </is>
      </c>
      <c r="D18223" t="inlineStr">
        <is>
          <t>Maria Nila</t>
        </is>
      </c>
      <c r="E18223" t="n">
        <v>13.28</v>
      </c>
      <c r="F18223" t="n">
        <v>1</v>
      </c>
      <c r="G18223" t="n">
        <v>11</v>
      </c>
      <c r="H18223" s="5">
        <f>HYPERLINK("https://api.qogita.com/variants/link/7391681400542/", "View Product")</f>
        <v/>
      </c>
    </row>
    <row r="18224">
      <c r="A18224" t="inlineStr">
        <is>
          <t>7391681403772</t>
        </is>
      </c>
      <c r="B18224" t="inlineStr">
        <is>
          <t>Maria Nila Purifying Cleanse Shampoo 350ml Deep Cleansing Peppermint Aloe Vera Refresh Condition Hair Scalp</t>
        </is>
      </c>
      <c r="C18224" t="inlineStr">
        <is>
          <t>Shampoo</t>
        </is>
      </c>
      <c r="D18224" t="inlineStr">
        <is>
          <t>Maria Nila</t>
        </is>
      </c>
      <c r="E18224" t="n">
        <v>24.24</v>
      </c>
      <c r="F18224" t="n">
        <v>1</v>
      </c>
      <c r="G18224" t="n">
        <v>6</v>
      </c>
      <c r="H18224" s="5">
        <f>HYPERLINK("https://api.qogita.com/variants/link/7391681403772/", "View Product")</f>
        <v/>
      </c>
    </row>
    <row r="18225">
      <c r="A18225" t="inlineStr">
        <is>
          <t>7391681404144</t>
        </is>
      </c>
      <c r="B18225" t="inlineStr">
        <is>
          <t>Maria Nila Shaping Heat Spray 250ml Hold 2/5 Protects Hair Using Heating Tools Provides Hold 100% Vegan Sulfate Paraben Free</t>
        </is>
      </c>
      <c r="C18225" t="inlineStr">
        <is>
          <t>Heat Protection</t>
        </is>
      </c>
      <c r="D18225" t="inlineStr">
        <is>
          <t>Maria Nila</t>
        </is>
      </c>
      <c r="E18225" t="n">
        <v>22.03</v>
      </c>
      <c r="F18225" t="n">
        <v>1</v>
      </c>
      <c r="G18225" t="n">
        <v>10</v>
      </c>
      <c r="H18225" s="5">
        <f>HYPERLINK("https://api.qogita.com/variants/link/7391681404144/", "View Product")</f>
        <v/>
      </c>
    </row>
    <row r="18226">
      <c r="A18226" t="inlineStr">
        <is>
          <t>7391681404168</t>
        </is>
      </c>
      <c r="B18226" t="inlineStr">
        <is>
          <t>Maria Nila Texture Spray 250ml Hold 2/5 Moisturizing Instant Volume Texture 100% Vegan Sulfate Paraben Free</t>
        </is>
      </c>
      <c r="C18226" t="inlineStr">
        <is>
          <t>Styling Sprays</t>
        </is>
      </c>
      <c r="D18226" t="inlineStr">
        <is>
          <t>Maria Nila</t>
        </is>
      </c>
      <c r="E18226" t="n">
        <v>22.03</v>
      </c>
      <c r="F18226" t="n">
        <v>1</v>
      </c>
      <c r="G18226" t="n">
        <v>8</v>
      </c>
      <c r="H18226" s="5">
        <f>HYPERLINK("https://api.qogita.com/variants/link/7391681404168/", "View Product")</f>
        <v/>
      </c>
    </row>
    <row r="18227">
      <c r="A18227" t="inlineStr">
        <is>
          <t>7391681405936</t>
        </is>
      </c>
      <c r="B18227" t="inlineStr">
        <is>
          <t>Maria Nila True Soft Dry Hair Care Gift Set With Argan Oil</t>
        </is>
      </c>
      <c r="C18227" t="inlineStr">
        <is>
          <t>Hair Care Sets</t>
        </is>
      </c>
      <c r="D18227" t="inlineStr">
        <is>
          <t>Maria Nila</t>
        </is>
      </c>
      <c r="E18227" t="n">
        <v>53.58</v>
      </c>
      <c r="F18227" t="n">
        <v>1</v>
      </c>
      <c r="G18227" t="n">
        <v>9</v>
      </c>
      <c r="H18227" s="5">
        <f>HYPERLINK("https://api.qogita.com/variants/link/7391681405936/", "View Product")</f>
        <v/>
      </c>
    </row>
    <row r="18228">
      <c r="A18228" t="inlineStr">
        <is>
          <t>7500435225069</t>
        </is>
      </c>
      <c r="B18228" t="inlineStr">
        <is>
          <t>Braun Silkpil 5 5000 Epilator</t>
        </is>
      </c>
      <c r="C18228" t="inlineStr">
        <is>
          <t>Razors &amp; Hair Removal Tools</t>
        </is>
      </c>
      <c r="D18228" t="inlineStr">
        <is>
          <t>Braun</t>
        </is>
      </c>
      <c r="E18228" t="n">
        <v>65.27</v>
      </c>
      <c r="F18228" t="n">
        <v>1</v>
      </c>
      <c r="G18228" t="n">
        <v>4</v>
      </c>
      <c r="H18228" s="5">
        <f>HYPERLINK("https://api.qogita.com/variants/link/7500435225069/", "View Product")</f>
        <v/>
      </c>
    </row>
    <row r="18229">
      <c r="A18229" t="inlineStr">
        <is>
          <t>7610043200713</t>
        </is>
      </c>
      <c r="B18229" t="inlineStr">
        <is>
          <t>Pitralon After Shave Lotion 160ml for Men</t>
        </is>
      </c>
      <c r="C18229" t="inlineStr">
        <is>
          <t>Aftershave</t>
        </is>
      </c>
      <c r="D18229" t="inlineStr">
        <is>
          <t>Pitralon</t>
        </is>
      </c>
      <c r="E18229" t="n">
        <v>7.11</v>
      </c>
      <c r="F18229" t="n">
        <v>1</v>
      </c>
      <c r="G18229" t="n">
        <v>337</v>
      </c>
      <c r="H18229" s="5">
        <f>HYPERLINK("https://api.qogita.com/variants/link/7610043200713/", "View Product")</f>
        <v/>
      </c>
    </row>
    <row r="18230">
      <c r="A18230" t="inlineStr">
        <is>
          <t>7610108043521</t>
        </is>
      </c>
      <c r="B18230" t="inlineStr">
        <is>
          <t>Elmex Training Toothbrush For Children Aged 03</t>
        </is>
      </c>
      <c r="C18230" t="inlineStr">
        <is>
          <t>Dental Care For Children</t>
        </is>
      </c>
      <c r="D18230" t="inlineStr">
        <is>
          <t>Elmex</t>
        </is>
      </c>
      <c r="E18230" t="n">
        <v>5.14</v>
      </c>
      <c r="F18230" t="n">
        <v>1</v>
      </c>
      <c r="G18230" t="n">
        <v>2</v>
      </c>
      <c r="H18230" s="5">
        <f>HYPERLINK("https://api.qogita.com/variants/link/7610108043521/", "View Product")</f>
        <v/>
      </c>
    </row>
    <row r="18231">
      <c r="A18231" t="inlineStr">
        <is>
          <t>7610108043712</t>
        </is>
      </c>
      <c r="B18231" t="inlineStr">
        <is>
          <t>Elmex Sensitive Toothbrush For Sensitive Teeth</t>
        </is>
      </c>
      <c r="C18231" t="inlineStr">
        <is>
          <t>Toothbrushes &amp; Tongue Cleaners</t>
        </is>
      </c>
      <c r="D18231" t="inlineStr">
        <is>
          <t>Elmex</t>
        </is>
      </c>
      <c r="E18231" t="n">
        <v>5.77</v>
      </c>
      <c r="F18231" t="n">
        <v>1</v>
      </c>
      <c r="G18231" t="n">
        <v>8</v>
      </c>
      <c r="H18231" s="5">
        <f>HYPERLINK("https://api.qogita.com/variants/link/7610108043712/", "View Product")</f>
        <v/>
      </c>
    </row>
    <row r="18232">
      <c r="A18232" t="inlineStr">
        <is>
          <t>7610558000068</t>
        </is>
      </c>
      <c r="B18232" t="inlineStr">
        <is>
          <t>Valera Universal Hair Dryer Stand - Chrome</t>
        </is>
      </c>
      <c r="C18232" t="inlineStr">
        <is>
          <t>Hair Dryers</t>
        </is>
      </c>
      <c r="D18232" t="inlineStr">
        <is>
          <t>Valera</t>
        </is>
      </c>
      <c r="E18232" t="n">
        <v>12.79</v>
      </c>
      <c r="F18232" t="n">
        <v>1</v>
      </c>
      <c r="G18232" t="n">
        <v>2</v>
      </c>
      <c r="H18232" s="5">
        <f>HYPERLINK("https://api.qogita.com/variants/link/7610558000068/", "View Product")</f>
        <v/>
      </c>
    </row>
    <row r="18233">
      <c r="A18233" t="inlineStr">
        <is>
          <t>7610558014935</t>
        </is>
      </c>
      <c r="B18233" t="inlineStr">
        <is>
          <t>Professional Hair Dryer Swiss Steel-Master Light Gold</t>
        </is>
      </c>
      <c r="C18233" t="inlineStr">
        <is>
          <t>Hair Dryers</t>
        </is>
      </c>
      <c r="D18233" t="inlineStr">
        <is>
          <t>Valera</t>
        </is>
      </c>
      <c r="E18233" t="n">
        <v>118.81</v>
      </c>
      <c r="F18233" t="n">
        <v>1</v>
      </c>
      <c r="G18233" t="n">
        <v>2</v>
      </c>
      <c r="H18233" s="5">
        <f>HYPERLINK("https://api.qogita.com/variants/link/7610558014935/", "View Product")</f>
        <v/>
      </c>
    </row>
    <row r="18234">
      <c r="A18234" t="inlineStr">
        <is>
          <t>7610558014980</t>
        </is>
      </c>
      <c r="B18234" t="inlineStr">
        <is>
          <t>Valera Swiss Steel Master Digital Professional Metal Hair Dryer with Ion Generator 2200 Watt Black Chrome</t>
        </is>
      </c>
      <c r="C18234" t="inlineStr">
        <is>
          <t>Hair Dryers</t>
        </is>
      </c>
      <c r="D18234" t="inlineStr">
        <is>
          <t>Valera</t>
        </is>
      </c>
      <c r="E18234" t="n">
        <v>154.4</v>
      </c>
      <c r="F18234" t="n">
        <v>1</v>
      </c>
      <c r="G18234" t="n">
        <v>5</v>
      </c>
      <c r="H18234" s="5">
        <f>HYPERLINK("https://api.qogita.com/variants/link/7610558014980/", "View Product")</f>
        <v/>
      </c>
    </row>
    <row r="18235">
      <c r="A18235" t="inlineStr">
        <is>
          <t>7610558015444</t>
        </is>
      </c>
      <c r="B18235" t="inlineStr">
        <is>
          <t>Charging station for Swiss Excellence cosmetics</t>
        </is>
      </c>
      <c r="C18235" t="inlineStr">
        <is>
          <t>Toiletries Bags</t>
        </is>
      </c>
      <c r="D18235" t="inlineStr">
        <is>
          <t>Valera</t>
        </is>
      </c>
      <c r="E18235" t="n">
        <v>16.75</v>
      </c>
      <c r="F18235" t="n">
        <v>1</v>
      </c>
      <c r="G18235" t="n">
        <v>3</v>
      </c>
      <c r="H18235" s="5">
        <f>HYPERLINK("https://api.qogita.com/variants/link/7610558015444/", "View Product")</f>
        <v/>
      </c>
    </row>
    <row r="18236">
      <c r="A18236" t="inlineStr">
        <is>
          <t>7610558017752</t>
        </is>
      </c>
      <c r="B18236" t="inlineStr">
        <is>
          <t>Valera Hair Dryer Swiss Light 3400</t>
        </is>
      </c>
      <c r="C18236" t="inlineStr">
        <is>
          <t>Hair Dryers</t>
        </is>
      </c>
      <c r="D18236" t="inlineStr">
        <is>
          <t>Valera</t>
        </is>
      </c>
      <c r="E18236" t="n">
        <v>48.86</v>
      </c>
      <c r="F18236" t="n">
        <v>1</v>
      </c>
      <c r="G18236" t="n">
        <v>3</v>
      </c>
      <c r="H18236" s="5">
        <f>HYPERLINK("https://api.qogita.com/variants/link/7610558017752/", "View Product")</f>
        <v/>
      </c>
    </row>
    <row r="18237">
      <c r="A18237" t="inlineStr">
        <is>
          <t>7610558561620</t>
        </is>
      </c>
      <c r="B18237" t="inlineStr">
        <is>
          <t>Valera Excel 2000 Ionic Hair Dryer 2000W Black</t>
        </is>
      </c>
      <c r="C18237" t="inlineStr">
        <is>
          <t>Hair Dryers</t>
        </is>
      </c>
      <c r="D18237" t="inlineStr">
        <is>
          <t>Valera</t>
        </is>
      </c>
      <c r="E18237" t="n">
        <v>44.75</v>
      </c>
      <c r="F18237" t="n">
        <v>1</v>
      </c>
      <c r="G18237" t="n">
        <v>2</v>
      </c>
      <c r="H18237" s="5">
        <f>HYPERLINK("https://api.qogita.com/variants/link/7610558561620/", "View Product")</f>
        <v/>
      </c>
    </row>
    <row r="18238">
      <c r="A18238" t="inlineStr">
        <is>
          <t>7611160127662</t>
        </is>
      </c>
      <c r="B18238" t="inlineStr">
        <is>
          <t>Victorinox First Snow Eau De Toilette For Women, Perfume With Vanilla And Musk 100ml</t>
        </is>
      </c>
      <c r="C18238" t="inlineStr">
        <is>
          <t>Eau De Toilette</t>
        </is>
      </c>
      <c r="D18238" t="inlineStr">
        <is>
          <t>Victorinox</t>
        </is>
      </c>
      <c r="E18238" t="n">
        <v>13.87</v>
      </c>
      <c r="F18238" t="n">
        <v>1</v>
      </c>
      <c r="G18238" t="n">
        <v>36</v>
      </c>
      <c r="H18238" s="5">
        <f>HYPERLINK("https://api.qogita.com/variants/link/7611160127662/", "View Product")</f>
        <v/>
      </c>
    </row>
    <row r="18239">
      <c r="A18239" t="inlineStr">
        <is>
          <t>7611773052689</t>
        </is>
      </c>
      <c r="B18239" t="inlineStr">
        <is>
          <t>La Prairie Skin Caviar Concealer Foundation Spf 15 30ml 2g Honey Beige</t>
        </is>
      </c>
      <c r="C18239" t="inlineStr">
        <is>
          <t>Foundation</t>
        </is>
      </c>
      <c r="D18239" t="inlineStr">
        <is>
          <t>La Prairie</t>
        </is>
      </c>
      <c r="E18239" t="n">
        <v>170.41</v>
      </c>
      <c r="F18239" t="n">
        <v>1</v>
      </c>
      <c r="G18239" t="n">
        <v>10</v>
      </c>
      <c r="H18239" s="5">
        <f>HYPERLINK("https://api.qogita.com/variants/link/7611773052689/", "View Product")</f>
        <v/>
      </c>
    </row>
    <row r="18240">
      <c r="A18240" t="inlineStr">
        <is>
          <t>7611773085663</t>
        </is>
      </c>
      <c r="B18240" t="inlineStr">
        <is>
          <t>La Prairie Skin Caviar Luxe Sleep Mask 50ml Night Face Mask With Caviar Extracts</t>
        </is>
      </c>
      <c r="C18240" t="inlineStr">
        <is>
          <t>Anti-Aging Mask</t>
        </is>
      </c>
      <c r="D18240" t="inlineStr">
        <is>
          <t>La Prairie</t>
        </is>
      </c>
      <c r="E18240" t="n">
        <v>297.29</v>
      </c>
      <c r="F18240" t="n">
        <v>1</v>
      </c>
      <c r="G18240" t="n">
        <v>4</v>
      </c>
      <c r="H18240" s="5">
        <f>HYPERLINK("https://api.qogita.com/variants/link/7611773085663/", "View Product")</f>
        <v/>
      </c>
    </row>
    <row r="18241">
      <c r="A18241" t="inlineStr">
        <is>
          <t>7611773086721</t>
        </is>
      </c>
      <c r="B18241" t="inlineStr">
        <is>
          <t>La Prairie Skin Caviar Essenceinfoundation Spf 25 Satin Nude 30 Ml</t>
        </is>
      </c>
      <c r="C18241" t="inlineStr">
        <is>
          <t>Foundation</t>
        </is>
      </c>
      <c r="D18241" t="inlineStr">
        <is>
          <t>La Prairie</t>
        </is>
      </c>
      <c r="E18241" t="n">
        <v>157.45</v>
      </c>
      <c r="F18241" t="n">
        <v>1</v>
      </c>
      <c r="G18241" t="n">
        <v>2</v>
      </c>
      <c r="H18241" s="5">
        <f>HYPERLINK("https://api.qogita.com/variants/link/7611773086721/", "View Product")</f>
        <v/>
      </c>
    </row>
    <row r="18242">
      <c r="A18242" t="inlineStr">
        <is>
          <t>7611773087179</t>
        </is>
      </c>
      <c r="B18242" t="inlineStr">
        <is>
          <t>La Prairie Face Day Cream 60ml</t>
        </is>
      </c>
      <c r="C18242" t="inlineStr">
        <is>
          <t>Day Cream</t>
        </is>
      </c>
      <c r="D18242" t="inlineStr">
        <is>
          <t>La Prairie</t>
        </is>
      </c>
      <c r="E18242" t="n">
        <v>479.68</v>
      </c>
      <c r="F18242" t="n">
        <v>1</v>
      </c>
      <c r="G18242" t="n">
        <v>7</v>
      </c>
      <c r="H18242" s="5">
        <f>HYPERLINK("https://api.qogita.com/variants/link/7611773087179/", "View Product")</f>
        <v/>
      </c>
    </row>
    <row r="18243">
      <c r="A18243" t="inlineStr">
        <is>
          <t>7611773275910</t>
        </is>
      </c>
      <c r="B18243" t="inlineStr">
        <is>
          <t>La Prairie Cellular Hydralift Firming Mask 50ml</t>
        </is>
      </c>
      <c r="C18243" t="inlineStr">
        <is>
          <t>Anti-Aging Mask</t>
        </is>
      </c>
      <c r="D18243" t="inlineStr">
        <is>
          <t>La Prairie</t>
        </is>
      </c>
      <c r="E18243" t="n">
        <v>127.47</v>
      </c>
      <c r="F18243" t="n">
        <v>1</v>
      </c>
      <c r="G18243" t="n">
        <v>13</v>
      </c>
      <c r="H18243" s="5">
        <f>HYPERLINK("https://api.qogita.com/variants/link/7611773275910/", "View Product")</f>
        <v/>
      </c>
    </row>
    <row r="18244">
      <c r="A18244" t="inlineStr">
        <is>
          <t>7611916153600</t>
        </is>
      </c>
      <c r="B18244" t="inlineStr">
        <is>
          <t>Weleda Men Active Fresh 3 In 1 Shower Gel 200 Ml</t>
        </is>
      </c>
      <c r="C18244" t="inlineStr">
        <is>
          <t>Shower Gel</t>
        </is>
      </c>
      <c r="D18244" t="inlineStr">
        <is>
          <t>Weleda</t>
        </is>
      </c>
      <c r="E18244" t="n">
        <v>8.710000000000001</v>
      </c>
      <c r="F18244" t="n">
        <v>1</v>
      </c>
      <c r="G18244" t="n">
        <v>10</v>
      </c>
      <c r="H18244" s="5">
        <f>HYPERLINK("https://api.qogita.com/variants/link/7611916153600/", "View Product")</f>
        <v/>
      </c>
    </row>
    <row r="18245">
      <c r="A18245" t="inlineStr">
        <is>
          <t>7611916163241</t>
        </is>
      </c>
      <c r="B18245" t="inlineStr">
        <is>
          <t>Weleda Blue Gentian &amp; Edelweiss Contouring Face Serum 30ml</t>
        </is>
      </c>
      <c r="C18245" t="inlineStr">
        <is>
          <t>Hydrating Serum</t>
        </is>
      </c>
      <c r="D18245" t="inlineStr">
        <is>
          <t>Weleda</t>
        </is>
      </c>
      <c r="E18245" t="n">
        <v>28.46</v>
      </c>
      <c r="F18245" t="n">
        <v>1</v>
      </c>
      <c r="G18245" t="n">
        <v>5</v>
      </c>
      <c r="H18245" s="5">
        <f>HYPERLINK("https://api.qogita.com/variants/link/7611916163241/", "View Product")</f>
        <v/>
      </c>
    </row>
    <row r="18246">
      <c r="A18246" t="inlineStr">
        <is>
          <t>7611916163470</t>
        </is>
      </c>
      <c r="B18246" t="inlineStr">
        <is>
          <t>Skin Food Light Face and Body Cream 30ml</t>
        </is>
      </c>
      <c r="C18246" t="inlineStr">
        <is>
          <t>Face Cream</t>
        </is>
      </c>
      <c r="D18246" t="inlineStr">
        <is>
          <t>Weleda</t>
        </is>
      </c>
      <c r="E18246" t="n">
        <v>7.47</v>
      </c>
      <c r="F18246" t="n">
        <v>1</v>
      </c>
      <c r="G18246" t="n">
        <v>21</v>
      </c>
      <c r="H18246" s="5">
        <f>HYPERLINK("https://api.qogita.com/variants/link/7611916163470/", "View Product")</f>
        <v/>
      </c>
    </row>
    <row r="18247">
      <c r="A18247" t="inlineStr">
        <is>
          <t>7611916163890</t>
        </is>
      </c>
      <c r="B18247" t="inlineStr">
        <is>
          <t>Weleda Organic Smoothing Night Cream Wild Rose &amp; White Tea</t>
        </is>
      </c>
      <c r="C18247" t="inlineStr">
        <is>
          <t>Night Cream</t>
        </is>
      </c>
      <c r="D18247" t="inlineStr">
        <is>
          <t>Weleda</t>
        </is>
      </c>
      <c r="E18247" t="n">
        <v>19.72</v>
      </c>
      <c r="F18247" t="n">
        <v>1</v>
      </c>
      <c r="G18247" t="n">
        <v>5</v>
      </c>
      <c r="H18247" s="5">
        <f>HYPERLINK("https://api.qogita.com/variants/link/7611916163890/", "View Product")</f>
        <v/>
      </c>
    </row>
    <row r="18248">
      <c r="A18248" t="inlineStr">
        <is>
          <t>7611916164576</t>
        </is>
      </c>
      <c r="B18248" t="inlineStr">
        <is>
          <t>Weleda Inspire Pomegranate Shower Cream - 400 Ml</t>
        </is>
      </c>
      <c r="C18248" t="inlineStr">
        <is>
          <t>Shower Gel</t>
        </is>
      </c>
      <c r="D18248" t="inlineStr">
        <is>
          <t>Weleda</t>
        </is>
      </c>
      <c r="E18248" t="n">
        <v>11.35</v>
      </c>
      <c r="F18248" t="n">
        <v>1</v>
      </c>
      <c r="G18248" t="n">
        <v>3</v>
      </c>
      <c r="H18248" s="5">
        <f>HYPERLINK("https://api.qogita.com/variants/link/7611916164576/", "View Product")</f>
        <v/>
      </c>
    </row>
    <row r="18249">
      <c r="A18249" t="inlineStr">
        <is>
          <t>7611916558252</t>
        </is>
      </c>
      <c r="B18249" t="inlineStr">
        <is>
          <t>Weleda Contouring Eye &amp; Lip Cream Lifting Cream For Eye And Lip Contours With Blue Gentian And Alpine Prote 10 Ml</t>
        </is>
      </c>
      <c r="C18249" t="inlineStr">
        <is>
          <t>Eye Cream</t>
        </is>
      </c>
      <c r="D18249" t="inlineStr">
        <is>
          <t>Weleda</t>
        </is>
      </c>
      <c r="E18249" t="n">
        <v>22.97</v>
      </c>
      <c r="F18249" t="n">
        <v>1</v>
      </c>
      <c r="G18249" t="n">
        <v>2</v>
      </c>
      <c r="H18249" s="5">
        <f>HYPERLINK("https://api.qogita.com/variants/link/7611916558252/", "View Product")</f>
        <v/>
      </c>
    </row>
    <row r="18250">
      <c r="A18250" t="inlineStr">
        <is>
          <t>7611916558283</t>
        </is>
      </c>
      <c r="B18250" t="inlineStr">
        <is>
          <t>Weleda Men Energy Fresh 3 In 1 Shower Gel 200 Ml</t>
        </is>
      </c>
      <c r="C18250" t="inlineStr">
        <is>
          <t>Shower Gel</t>
        </is>
      </c>
      <c r="D18250" t="inlineStr">
        <is>
          <t>Weleda</t>
        </is>
      </c>
      <c r="E18250" t="n">
        <v>8.710000000000001</v>
      </c>
      <c r="F18250" t="n">
        <v>1</v>
      </c>
      <c r="G18250" t="n">
        <v>5</v>
      </c>
      <c r="H18250" s="5">
        <f>HYPERLINK("https://api.qogita.com/variants/link/7611916558283/", "View Product")</f>
        <v/>
      </c>
    </row>
    <row r="18251">
      <c r="A18251" t="inlineStr">
        <is>
          <t>7612017050058</t>
        </is>
      </c>
      <c r="B18251" t="inlineStr">
        <is>
          <t>Valmont Priming with a Hydrating Fluid 150ml</t>
        </is>
      </c>
      <c r="C18251" t="inlineStr">
        <is>
          <t>Facial Spray</t>
        </is>
      </c>
      <c r="D18251" t="inlineStr">
        <is>
          <t>Valmont</t>
        </is>
      </c>
      <c r="E18251" t="n">
        <v>99.02</v>
      </c>
      <c r="F18251" t="n">
        <v>1</v>
      </c>
      <c r="G18251" t="n">
        <v>10</v>
      </c>
      <c r="H18251" s="5">
        <f>HYPERLINK("https://api.qogita.com/variants/link/7612017050058/", "View Product")</f>
        <v/>
      </c>
    </row>
    <row r="18252">
      <c r="A18252" t="inlineStr">
        <is>
          <t>7612017050102</t>
        </is>
      </c>
      <c r="B18252" t="inlineStr">
        <is>
          <t>Valmont Moisturizing Booster 20ml</t>
        </is>
      </c>
      <c r="C18252" t="inlineStr">
        <is>
          <t>Hydrating Serum</t>
        </is>
      </c>
      <c r="D18252" t="inlineStr">
        <is>
          <t>Valmont</t>
        </is>
      </c>
      <c r="E18252" t="n">
        <v>103.26</v>
      </c>
      <c r="F18252" t="n">
        <v>1</v>
      </c>
      <c r="G18252" t="n">
        <v>11</v>
      </c>
      <c r="H18252" s="5">
        <f>HYPERLINK("https://api.qogita.com/variants/link/7612017050102/", "View Product")</f>
        <v/>
      </c>
    </row>
    <row r="18253">
      <c r="A18253" t="inlineStr">
        <is>
          <t>7612017050454</t>
        </is>
      </c>
      <c r="B18253" t="inlineStr">
        <is>
          <t>Valmont Aqua Falls</t>
        </is>
      </c>
      <c r="C18253" t="inlineStr">
        <is>
          <t>Facial Spray</t>
        </is>
      </c>
      <c r="D18253" t="inlineStr">
        <is>
          <t>Valmont</t>
        </is>
      </c>
      <c r="E18253" t="n">
        <v>55.06</v>
      </c>
      <c r="F18253" t="n">
        <v>1</v>
      </c>
      <c r="G18253" t="n">
        <v>19</v>
      </c>
      <c r="H18253" s="5">
        <f>HYPERLINK("https://api.qogita.com/variants/link/7612017050454/", "View Product")</f>
        <v/>
      </c>
    </row>
    <row r="18254">
      <c r="A18254" t="inlineStr">
        <is>
          <t>7612017057026</t>
        </is>
      </c>
      <c r="B18254" t="inlineStr">
        <is>
          <t>Valmont Lumicream 50ml</t>
        </is>
      </c>
      <c r="C18254" t="inlineStr">
        <is>
          <t>Face Cream</t>
        </is>
      </c>
      <c r="D18254" t="inlineStr">
        <is>
          <t>Valmont</t>
        </is>
      </c>
      <c r="E18254" t="n">
        <v>118.08</v>
      </c>
      <c r="F18254" t="n">
        <v>1</v>
      </c>
      <c r="G18254" t="n">
        <v>11</v>
      </c>
      <c r="H18254" s="5">
        <f>HYPERLINK("https://api.qogita.com/variants/link/7612017057026/", "View Product")</f>
        <v/>
      </c>
    </row>
    <row r="18255">
      <c r="A18255" t="inlineStr">
        <is>
          <t>7612017059426</t>
        </is>
      </c>
      <c r="B18255" t="inlineStr">
        <is>
          <t>Valmont V-Lift Cream 50ml</t>
        </is>
      </c>
      <c r="C18255" t="inlineStr">
        <is>
          <t>Anti-Aging Facial Care</t>
        </is>
      </c>
      <c r="D18255" t="inlineStr">
        <is>
          <t>Valmont</t>
        </is>
      </c>
      <c r="E18255" t="n">
        <v>200.1</v>
      </c>
      <c r="F18255" t="n">
        <v>1</v>
      </c>
      <c r="G18255" t="n">
        <v>11</v>
      </c>
      <c r="H18255" s="5">
        <f>HYPERLINK("https://api.qogita.com/variants/link/7612017059426/", "View Product")</f>
        <v/>
      </c>
    </row>
    <row r="18256">
      <c r="A18256" t="inlineStr">
        <is>
          <t>7612017504902</t>
        </is>
      </c>
      <c r="B18256" t="inlineStr">
        <is>
          <t>Valmont Wonderfalls Fluido 100ml Fluid - Black</t>
        </is>
      </c>
      <c r="C18256" t="inlineStr">
        <is>
          <t>Facial Oil</t>
        </is>
      </c>
      <c r="D18256" t="inlineStr">
        <is>
          <t>Valmont</t>
        </is>
      </c>
      <c r="E18256" t="n">
        <v>43.67</v>
      </c>
      <c r="F18256" t="n">
        <v>1</v>
      </c>
      <c r="G18256" t="n">
        <v>19</v>
      </c>
      <c r="H18256" s="5">
        <f>HYPERLINK("https://api.qogita.com/variants/link/7612017504902/", "View Product")</f>
        <v/>
      </c>
    </row>
    <row r="18257">
      <c r="A18257" t="inlineStr">
        <is>
          <t>7618900935037</t>
        </is>
      </c>
      <c r="B18257" t="inlineStr">
        <is>
          <t>Mavala Khol-Kajal Crayon Eye Pencil  - 03 - Bleu Minuit</t>
        </is>
      </c>
      <c r="C18257" t="inlineStr">
        <is>
          <t>Eye Pencil</t>
        </is>
      </c>
      <c r="D18257" t="inlineStr">
        <is>
          <t>Mavala</t>
        </is>
      </c>
      <c r="E18257" t="n">
        <v>7.28</v>
      </c>
      <c r="F18257" t="n">
        <v>1</v>
      </c>
      <c r="G18257" t="n">
        <v>1</v>
      </c>
      <c r="H18257" s="5">
        <f>HYPERLINK("https://api.qogita.com/variants/link/7618900935037/", "View Product")</f>
        <v/>
      </c>
    </row>
    <row r="18258">
      <c r="A18258" t="inlineStr">
        <is>
          <t>7640111497394</t>
        </is>
      </c>
      <c r="B18258" t="inlineStr">
        <is>
          <t>Bentley Bentley For Men Eau De Toilette Spray 100ml</t>
        </is>
      </c>
      <c r="C18258" t="inlineStr">
        <is>
          <t>Eau De Toilette</t>
        </is>
      </c>
      <c r="D18258" t="inlineStr">
        <is>
          <t>Bentley</t>
        </is>
      </c>
      <c r="E18258" t="n">
        <v>17.9</v>
      </c>
      <c r="F18258" t="n">
        <v>1</v>
      </c>
      <c r="G18258" t="n">
        <v>6</v>
      </c>
      <c r="H18258" s="5">
        <f>HYPERLINK("https://api.qogita.com/variants/link/7640111497394/", "View Product")</f>
        <v/>
      </c>
    </row>
    <row r="18259">
      <c r="A18259" t="inlineStr">
        <is>
          <t>7640111497547</t>
        </is>
      </c>
      <c r="B18259" t="inlineStr">
        <is>
          <t>Bentley Bentley For Men Intense Eau De Parfum Spray 100ml</t>
        </is>
      </c>
      <c r="C18259" t="inlineStr">
        <is>
          <t>Eau De Parfum</t>
        </is>
      </c>
      <c r="D18259" t="inlineStr">
        <is>
          <t>Bentley</t>
        </is>
      </c>
      <c r="E18259" t="n">
        <v>26.51</v>
      </c>
      <c r="F18259" t="n">
        <v>1</v>
      </c>
      <c r="G18259" t="n">
        <v>3</v>
      </c>
      <c r="H18259" s="5">
        <f>HYPERLINK("https://api.qogita.com/variants/link/7640111497547/", "View Product")</f>
        <v/>
      </c>
    </row>
    <row r="18260">
      <c r="A18260" t="inlineStr">
        <is>
          <t>7640111498544</t>
        </is>
      </c>
      <c r="B18260" t="inlineStr">
        <is>
          <t>Lalique Satine Eau De Parfum Spray 100ml</t>
        </is>
      </c>
      <c r="C18260" t="inlineStr">
        <is>
          <t>Eau De Parfum</t>
        </is>
      </c>
      <c r="D18260" t="inlineStr">
        <is>
          <t>Lalique</t>
        </is>
      </c>
      <c r="E18260" t="n">
        <v>21.9</v>
      </c>
      <c r="F18260" t="n">
        <v>1</v>
      </c>
      <c r="G18260" t="n">
        <v>5</v>
      </c>
      <c r="H18260" s="5">
        <f>HYPERLINK("https://api.qogita.com/variants/link/7640111498544/", "View Product")</f>
        <v/>
      </c>
    </row>
    <row r="18261">
      <c r="A18261" t="inlineStr">
        <is>
          <t>7640111501466</t>
        </is>
      </c>
      <c r="B18261" t="inlineStr">
        <is>
          <t>Lalique Amethyst Eclat Eau De Parfum 100ml</t>
        </is>
      </c>
      <c r="C18261" t="inlineStr">
        <is>
          <t>Eau De Parfum</t>
        </is>
      </c>
      <c r="D18261" t="inlineStr">
        <is>
          <t>Lalique</t>
        </is>
      </c>
      <c r="E18261" t="n">
        <v>17.34</v>
      </c>
      <c r="F18261" t="n">
        <v>1</v>
      </c>
      <c r="G18261" t="n">
        <v>59</v>
      </c>
      <c r="H18261" s="5">
        <f>HYPERLINK("https://api.qogita.com/variants/link/7640111501466/", "View Product")</f>
        <v/>
      </c>
    </row>
    <row r="18262">
      <c r="A18262" t="inlineStr">
        <is>
          <t>7640111502982</t>
        </is>
      </c>
      <c r="B18262" t="inlineStr">
        <is>
          <t>Les Compositions Parfumees Woody Gold Perfume Spray 100ml</t>
        </is>
      </c>
      <c r="C18262" t="inlineStr">
        <is>
          <t>Eau De Parfum</t>
        </is>
      </c>
      <c r="D18262" t="inlineStr">
        <is>
          <t>Les Compositions Parfumees</t>
        </is>
      </c>
      <c r="E18262" t="n">
        <v>88.95</v>
      </c>
      <c r="F18262" t="n">
        <v>1</v>
      </c>
      <c r="G18262" t="n">
        <v>5</v>
      </c>
      <c r="H18262" s="5">
        <f>HYPERLINK("https://api.qogita.com/variants/link/7640111502982/", "View Product")</f>
        <v/>
      </c>
    </row>
    <row r="18263">
      <c r="A18263" t="inlineStr">
        <is>
          <t>7640111505280</t>
        </is>
      </c>
      <c r="B18263" t="inlineStr">
        <is>
          <t>Jaguar Evolution Men Eau De Toilette Spray 100ml</t>
        </is>
      </c>
      <c r="C18263" t="inlineStr">
        <is>
          <t>Eau De Toilette</t>
        </is>
      </c>
      <c r="D18263" t="inlineStr">
        <is>
          <t>Jaguar</t>
        </is>
      </c>
      <c r="E18263" t="n">
        <v>9.51</v>
      </c>
      <c r="F18263" t="n">
        <v>1</v>
      </c>
      <c r="G18263" t="n">
        <v>53</v>
      </c>
      <c r="H18263" s="5">
        <f>HYPERLINK("https://api.qogita.com/variants/link/7640111505280/", "View Product")</f>
        <v/>
      </c>
    </row>
    <row r="18264">
      <c r="A18264" t="inlineStr">
        <is>
          <t>7640119232898</t>
        </is>
      </c>
      <c r="B18264" t="inlineStr">
        <is>
          <t>Fytofontana Botu Anti-Wrinkle Serum 30ml</t>
        </is>
      </c>
      <c r="C18264" t="inlineStr">
        <is>
          <t>Anti-Aging Serum</t>
        </is>
      </c>
      <c r="D18264" t="inlineStr">
        <is>
          <t>Fytofontana</t>
        </is>
      </c>
      <c r="E18264" t="n">
        <v>41.51</v>
      </c>
      <c r="F18264" t="n">
        <v>1</v>
      </c>
      <c r="G18264" t="n">
        <v>30</v>
      </c>
      <c r="H18264" s="5">
        <f>HYPERLINK("https://api.qogita.com/variants/link/7640119232898/", "View Product")</f>
        <v/>
      </c>
    </row>
    <row r="18265">
      <c r="A18265" t="inlineStr">
        <is>
          <t>7640119232904</t>
        </is>
      </c>
      <c r="B18265" t="inlineStr">
        <is>
          <t>Fytofontana Stem Cells Collagen Rejuvenating Emulsion With Stem Cells To Fill In Wrinkles 30 Ml</t>
        </is>
      </c>
      <c r="C18265" t="inlineStr">
        <is>
          <t>Collagen Serum</t>
        </is>
      </c>
      <c r="D18265" t="inlineStr">
        <is>
          <t>Fytofontana</t>
        </is>
      </c>
      <c r="E18265" t="n">
        <v>41.71</v>
      </c>
      <c r="F18265" t="n">
        <v>1</v>
      </c>
      <c r="G18265" t="n">
        <v>14</v>
      </c>
      <c r="H18265" s="5">
        <f>HYPERLINK("https://api.qogita.com/variants/link/7640119232904/", "View Product")</f>
        <v/>
      </c>
    </row>
    <row r="18266">
      <c r="A18266" t="inlineStr">
        <is>
          <t>7640119233062</t>
        </is>
      </c>
      <c r="B18266" t="inlineStr">
        <is>
          <t>Pigment Brightening Serum with Stem Cells 30ml</t>
        </is>
      </c>
      <c r="C18266" t="inlineStr">
        <is>
          <t>Glow Serum</t>
        </is>
      </c>
      <c r="D18266" t="inlineStr">
        <is>
          <t>Fytofontana</t>
        </is>
      </c>
      <c r="E18266" t="n">
        <v>41.31</v>
      </c>
      <c r="F18266" t="n">
        <v>1</v>
      </c>
      <c r="G18266" t="n">
        <v>19</v>
      </c>
      <c r="H18266" s="5">
        <f>HYPERLINK("https://api.qogita.com/variants/link/7640119233062/", "View Product")</f>
        <v/>
      </c>
    </row>
    <row r="18267">
      <c r="A18267" t="inlineStr">
        <is>
          <t>7640119233093</t>
        </is>
      </c>
      <c r="B18267" t="inlineStr">
        <is>
          <t>Fytofontana Hyaluron Stem Cell Emulsion 30ml</t>
        </is>
      </c>
      <c r="C18267" t="inlineStr">
        <is>
          <t>Anti-Aging Serum</t>
        </is>
      </c>
      <c r="D18267" t="inlineStr">
        <is>
          <t>Fytofontana</t>
        </is>
      </c>
      <c r="E18267" t="n">
        <v>41.8</v>
      </c>
      <c r="F18267" t="n">
        <v>1</v>
      </c>
      <c r="G18267" t="n">
        <v>10</v>
      </c>
      <c r="H18267" s="5">
        <f>HYPERLINK("https://api.qogita.com/variants/link/7640119233093/", "View Product")</f>
        <v/>
      </c>
    </row>
    <row r="18268">
      <c r="A18268" t="inlineStr">
        <is>
          <t>7640126190655</t>
        </is>
      </c>
      <c r="B18268" t="inlineStr">
        <is>
          <t>Swissdent Crystal Repair &amp; Whitening Toothcream 100ml Restorative And Whitening Toothpaste</t>
        </is>
      </c>
      <c r="C18268" t="inlineStr">
        <is>
          <t>Toothpaste</t>
        </is>
      </c>
      <c r="D18268" t="inlineStr">
        <is>
          <t>Swissdent</t>
        </is>
      </c>
      <c r="E18268" t="n">
        <v>16.36</v>
      </c>
      <c r="F18268" t="n">
        <v>1</v>
      </c>
      <c r="G18268" t="n">
        <v>10</v>
      </c>
      <c r="H18268" s="5">
        <f>HYPERLINK("https://api.qogita.com/variants/link/7640126190655/", "View Product")</f>
        <v/>
      </c>
    </row>
    <row r="18269">
      <c r="A18269" t="inlineStr">
        <is>
          <t>7640126190686</t>
        </is>
      </c>
      <c r="B18269" t="inlineStr">
        <is>
          <t>Swissdent Crystal Repair And Whitening Toothpaste 50ml</t>
        </is>
      </c>
      <c r="C18269" t="inlineStr">
        <is>
          <t>Toothpaste</t>
        </is>
      </c>
      <c r="D18269" t="inlineStr">
        <is>
          <t>Swissdent</t>
        </is>
      </c>
      <c r="E18269" t="n">
        <v>8.949999999999999</v>
      </c>
      <c r="F18269" t="n">
        <v>1</v>
      </c>
      <c r="G18269" t="n">
        <v>8</v>
      </c>
      <c r="H18269" s="5">
        <f>HYPERLINK("https://api.qogita.com/variants/link/7640126190686/", "View Product")</f>
        <v/>
      </c>
    </row>
    <row r="18270">
      <c r="A18270" t="inlineStr">
        <is>
          <t>7640126190853</t>
        </is>
      </c>
      <c r="B18270" t="inlineStr">
        <is>
          <t>Swissdent Biocare Whitening Toothpaste Regenerating And Lightening Toothpaste</t>
        </is>
      </c>
      <c r="C18270" t="inlineStr">
        <is>
          <t>Toothpaste</t>
        </is>
      </c>
      <c r="D18270" t="inlineStr">
        <is>
          <t>Swissdent</t>
        </is>
      </c>
      <c r="E18270" t="n">
        <v>14.31</v>
      </c>
      <c r="F18270" t="n">
        <v>1</v>
      </c>
      <c r="G18270" t="n">
        <v>9</v>
      </c>
      <c r="H18270" s="5">
        <f>HYPERLINK("https://api.qogita.com/variants/link/7640126190853/", "View Product")</f>
        <v/>
      </c>
    </row>
    <row r="18271">
      <c r="A18271" t="inlineStr">
        <is>
          <t>7640163970012</t>
        </is>
      </c>
      <c r="B18271" t="inlineStr">
        <is>
          <t>Bentley Infinite Eau De Toilette 100ml For Men</t>
        </is>
      </c>
      <c r="C18271" t="inlineStr">
        <is>
          <t>Eau De Toilette</t>
        </is>
      </c>
      <c r="D18271" t="inlineStr">
        <is>
          <t>Bentley</t>
        </is>
      </c>
      <c r="E18271" t="n">
        <v>19.86</v>
      </c>
      <c r="F18271" t="n">
        <v>1</v>
      </c>
      <c r="G18271" t="n">
        <v>5</v>
      </c>
      <c r="H18271" s="5">
        <f>HYPERLINK("https://api.qogita.com/variants/link/7640163970012/", "View Product")</f>
        <v/>
      </c>
    </row>
    <row r="18272">
      <c r="A18272" t="inlineStr">
        <is>
          <t>7640164030425</t>
        </is>
      </c>
      <c r="B18272" t="inlineStr">
        <is>
          <t>Gisada Ambassador Women 50ml Eau De Parfum Exclusive Perfume</t>
        </is>
      </c>
      <c r="C18272" t="inlineStr">
        <is>
          <t>Eau De Parfum</t>
        </is>
      </c>
      <c r="D18272" t="inlineStr">
        <is>
          <t>Gisada</t>
        </is>
      </c>
      <c r="E18272" t="n">
        <v>49.3</v>
      </c>
      <c r="F18272" t="n">
        <v>1</v>
      </c>
      <c r="G18272" t="n">
        <v>25</v>
      </c>
      <c r="H18272" s="5">
        <f>HYPERLINK("https://api.qogita.com/variants/link/7640164030425/", "View Product")</f>
        <v/>
      </c>
    </row>
    <row r="18273">
      <c r="A18273" t="inlineStr">
        <is>
          <t>7640171190518</t>
        </is>
      </c>
      <c r="B18273" t="inlineStr">
        <is>
          <t>Jaguar Classic Chromite Eau De Toilette 100ml For Men</t>
        </is>
      </c>
      <c r="C18273" t="inlineStr">
        <is>
          <t>Eau De Toilette</t>
        </is>
      </c>
      <c r="D18273" t="inlineStr">
        <is>
          <t>Jaguar</t>
        </is>
      </c>
      <c r="E18273" t="n">
        <v>13.15</v>
      </c>
      <c r="F18273" t="n">
        <v>1</v>
      </c>
      <c r="G18273" t="n">
        <v>41</v>
      </c>
      <c r="H18273" s="5">
        <f>HYPERLINK("https://api.qogita.com/variants/link/7640171190518/", "View Product")</f>
        <v/>
      </c>
    </row>
    <row r="18274">
      <c r="A18274" t="inlineStr">
        <is>
          <t>7640171192406</t>
        </is>
      </c>
      <c r="B18274" t="inlineStr">
        <is>
          <t>Parfum Gres Cabochard EDP 100ml</t>
        </is>
      </c>
      <c r="C18274" t="inlineStr">
        <is>
          <t>Eau De Parfum</t>
        </is>
      </c>
      <c r="D18274" t="inlineStr">
        <is>
          <t>Gres</t>
        </is>
      </c>
      <c r="E18274" t="n">
        <v>13.79</v>
      </c>
      <c r="F18274" t="n">
        <v>1</v>
      </c>
      <c r="G18274" t="n">
        <v>14</v>
      </c>
      <c r="H18274" s="5">
        <f>HYPERLINK("https://api.qogita.com/variants/link/7640171192406/", "View Product")</f>
        <v/>
      </c>
    </row>
    <row r="18275">
      <c r="A18275" t="inlineStr">
        <is>
          <t>7640171192703</t>
        </is>
      </c>
      <c r="B18275" t="inlineStr">
        <is>
          <t>Bentley Beyond The Collection Exotic Musk Acapulco Eau De Parfum 100ml</t>
        </is>
      </c>
      <c r="C18275" t="inlineStr">
        <is>
          <t>Eau De Parfum</t>
        </is>
      </c>
      <c r="D18275" t="inlineStr">
        <is>
          <t>Bentley</t>
        </is>
      </c>
      <c r="E18275" t="n">
        <v>56.85</v>
      </c>
      <c r="F18275" t="n">
        <v>1</v>
      </c>
      <c r="G18275" t="n">
        <v>14</v>
      </c>
      <c r="H18275" s="5">
        <f>HYPERLINK("https://api.qogita.com/variants/link/7640171192703/", "View Product")</f>
        <v/>
      </c>
    </row>
    <row r="18276">
      <c r="A18276" t="inlineStr">
        <is>
          <t>7640171192987</t>
        </is>
      </c>
      <c r="B18276" t="inlineStr">
        <is>
          <t>Jaguar Blue for Men 3.4oz EDT Spray 6.7oz Bath and Shower Gel</t>
        </is>
      </c>
      <c r="C18276" t="inlineStr">
        <is>
          <t>Eau De Toilette</t>
        </is>
      </c>
      <c r="D18276" t="inlineStr">
        <is>
          <t>Jaguar</t>
        </is>
      </c>
      <c r="E18276" t="n">
        <v>14.85</v>
      </c>
      <c r="F18276" t="n">
        <v>1</v>
      </c>
      <c r="G18276" t="n">
        <v>15</v>
      </c>
      <c r="H18276" s="5">
        <f>HYPERLINK("https://api.qogita.com/variants/link/7640171192987/", "View Product")</f>
        <v/>
      </c>
    </row>
    <row r="18277">
      <c r="A18277" t="inlineStr">
        <is>
          <t>7640171196473</t>
        </is>
      </c>
      <c r="B18277" t="inlineStr">
        <is>
          <t>Les Compositions Parfumees Woody Gold Perfume Spray 100ml</t>
        </is>
      </c>
      <c r="C18277" t="inlineStr">
        <is>
          <t>Eau De Parfum</t>
        </is>
      </c>
      <c r="D18277" t="inlineStr">
        <is>
          <t>Les Compositions Parfumees</t>
        </is>
      </c>
      <c r="E18277" t="n">
        <v>45.51</v>
      </c>
      <c r="F18277" t="n">
        <v>1</v>
      </c>
      <c r="G18277" t="n">
        <v>6</v>
      </c>
      <c r="H18277" s="5">
        <f>HYPERLINK("https://api.qogita.com/variants/link/7640171196473/", "View Product")</f>
        <v/>
      </c>
    </row>
    <row r="18278">
      <c r="A18278" t="inlineStr">
        <is>
          <t>7640171196930</t>
        </is>
      </c>
      <c r="B18278" t="inlineStr">
        <is>
          <t>Lalique White In Black Eau De Parfum 125ml For Men</t>
        </is>
      </c>
      <c r="C18278" t="inlineStr">
        <is>
          <t>Eau De Parfum</t>
        </is>
      </c>
      <c r="D18278" t="inlineStr">
        <is>
          <t>Lalique</t>
        </is>
      </c>
      <c r="E18278" t="n">
        <v>26.76</v>
      </c>
      <c r="F18278" t="n">
        <v>1</v>
      </c>
      <c r="G18278" t="n">
        <v>282</v>
      </c>
      <c r="H18278" s="5">
        <f>HYPERLINK("https://api.qogita.com/variants/link/7640171196930/", "View Product")</f>
        <v/>
      </c>
    </row>
    <row r="18279">
      <c r="A18279" t="inlineStr">
        <is>
          <t>7640177360083</t>
        </is>
      </c>
      <c r="B18279" t="inlineStr">
        <is>
          <t>Chopard Oud Malaki Eau De Parfum Spray 80ml</t>
        </is>
      </c>
      <c r="C18279" t="inlineStr">
        <is>
          <t>Eau De Parfum</t>
        </is>
      </c>
      <c r="D18279" t="inlineStr">
        <is>
          <t>Chopard</t>
        </is>
      </c>
      <c r="E18279" t="n">
        <v>44.03</v>
      </c>
      <c r="F18279" t="n">
        <v>1</v>
      </c>
      <c r="G18279" t="n">
        <v>97</v>
      </c>
      <c r="H18279" s="5">
        <f>HYPERLINK("https://api.qogita.com/variants/link/7640177360083/", "View Product")</f>
        <v/>
      </c>
    </row>
    <row r="18280">
      <c r="A18280" t="inlineStr">
        <is>
          <t>7640177360984</t>
        </is>
      </c>
      <c r="B18280" t="inlineStr">
        <is>
          <t>Chopard Happy Magnolia Bouquet Eau de Toilette for Women 40ml</t>
        </is>
      </c>
      <c r="C18280" t="inlineStr">
        <is>
          <t>Eau De Toilette</t>
        </is>
      </c>
      <c r="D18280" t="inlineStr">
        <is>
          <t>Chopard</t>
        </is>
      </c>
      <c r="E18280" t="n">
        <v>12.16</v>
      </c>
      <c r="F18280" t="n">
        <v>1</v>
      </c>
      <c r="G18280" t="n">
        <v>3</v>
      </c>
      <c r="H18280" s="5">
        <f>HYPERLINK("https://api.qogita.com/variants/link/7640177360984/", "View Product")</f>
        <v/>
      </c>
    </row>
    <row r="18281">
      <c r="A18281" t="inlineStr">
        <is>
          <t>7640177362001</t>
        </is>
      </c>
      <c r="B18281" t="inlineStr">
        <is>
          <t>Chopard Lemon Dulci Eau De Parfum for Women</t>
        </is>
      </c>
      <c r="C18281" t="inlineStr">
        <is>
          <t>Eau De Parfum</t>
        </is>
      </c>
      <c r="D18281" t="inlineStr">
        <is>
          <t>Chopard</t>
        </is>
      </c>
      <c r="E18281" t="n">
        <v>10.17</v>
      </c>
      <c r="F18281" t="n">
        <v>1</v>
      </c>
      <c r="G18281" t="n">
        <v>65</v>
      </c>
      <c r="H18281" s="5">
        <f>HYPERLINK("https://api.qogita.com/variants/link/7640177362001/", "View Product")</f>
        <v/>
      </c>
    </row>
    <row r="18282">
      <c r="A18282" t="inlineStr">
        <is>
          <t>7640177362018</t>
        </is>
      </c>
      <c r="B18282" t="inlineStr">
        <is>
          <t>Chopard Happy Lemon Dulci Eau De Parfum 100ml For Women</t>
        </is>
      </c>
      <c r="C18282" t="inlineStr">
        <is>
          <t>Eau De Parfum</t>
        </is>
      </c>
      <c r="D18282" t="inlineStr">
        <is>
          <t>Chopard</t>
        </is>
      </c>
      <c r="E18282" t="n">
        <v>17.49</v>
      </c>
      <c r="F18282" t="n">
        <v>1</v>
      </c>
      <c r="G18282" t="n">
        <v>6</v>
      </c>
      <c r="H18282" s="5">
        <f>HYPERLINK("https://api.qogita.com/variants/link/7640177362018/", "View Product")</f>
        <v/>
      </c>
    </row>
    <row r="18283">
      <c r="A18283" t="inlineStr">
        <is>
          <t>7640177362117</t>
        </is>
      </c>
      <c r="B18283" t="inlineStr">
        <is>
          <t>Chopard Happy Chopard Bigaradia Perfumed Water Spray 40ml</t>
        </is>
      </c>
      <c r="C18283" t="inlineStr">
        <is>
          <t>Eau De Parfum</t>
        </is>
      </c>
      <c r="D18283" t="inlineStr">
        <is>
          <t>Chopard</t>
        </is>
      </c>
      <c r="E18283" t="n">
        <v>13.75</v>
      </c>
      <c r="F18283" t="n">
        <v>1</v>
      </c>
      <c r="G18283" t="n">
        <v>64</v>
      </c>
      <c r="H18283" s="5">
        <f>HYPERLINK("https://api.qogita.com/variants/link/7640177362117/", "View Product")</f>
        <v/>
      </c>
    </row>
    <row r="18284">
      <c r="A18284" t="inlineStr">
        <is>
          <t>7640177366313</t>
        </is>
      </c>
      <c r="B18284" t="inlineStr">
        <is>
          <t>Chopard Wish Pink Diamond Eau De Toilette Spray 75ml</t>
        </is>
      </c>
      <c r="C18284" t="inlineStr">
        <is>
          <t>Eau De Toilette</t>
        </is>
      </c>
      <c r="D18284" t="inlineStr">
        <is>
          <t>Chopard</t>
        </is>
      </c>
      <c r="E18284" t="n">
        <v>12.64</v>
      </c>
      <c r="F18284" t="n">
        <v>1</v>
      </c>
      <c r="G18284" t="n">
        <v>91</v>
      </c>
      <c r="H18284" s="5">
        <f>HYPERLINK("https://api.qogita.com/variants/link/7640177366313/", "View Product")</f>
        <v/>
      </c>
    </row>
    <row r="18285">
      <c r="A18285" t="inlineStr">
        <is>
          <t>7640177367457</t>
        </is>
      </c>
      <c r="B18285" t="inlineStr">
        <is>
          <t>Chopard Orange Mauresque Eau De Parfum 100ml Unisex Spray</t>
        </is>
      </c>
      <c r="C18285" t="inlineStr">
        <is>
          <t>Eau De Parfum</t>
        </is>
      </c>
      <c r="D18285" t="inlineStr">
        <is>
          <t>Chopard</t>
        </is>
      </c>
      <c r="E18285" t="n">
        <v>134.25</v>
      </c>
      <c r="F18285" t="n">
        <v>1</v>
      </c>
      <c r="G18285" t="n">
        <v>17</v>
      </c>
      <c r="H18285" s="5">
        <f>HYPERLINK("https://api.qogita.com/variants/link/7640177367457/", "View Product")</f>
        <v/>
      </c>
    </row>
    <row r="18286">
      <c r="A18286" t="inlineStr">
        <is>
          <t>7640177367495</t>
        </is>
      </c>
      <c r="B18286" t="inlineStr">
        <is>
          <t>Chopard Nuit De Rois Eau De Parfum</t>
        </is>
      </c>
      <c r="C18286" t="inlineStr">
        <is>
          <t>Eau De Parfum</t>
        </is>
      </c>
      <c r="D18286" t="inlineStr">
        <is>
          <t>Chopard</t>
        </is>
      </c>
      <c r="E18286" t="n">
        <v>113.8</v>
      </c>
      <c r="F18286" t="n">
        <v>1</v>
      </c>
      <c r="G18286" t="n">
        <v>3</v>
      </c>
      <c r="H18286" s="5">
        <f>HYPERLINK("https://api.qogita.com/variants/link/7640177367495/", "View Product")</f>
        <v/>
      </c>
    </row>
    <row r="18287">
      <c r="A18287" t="inlineStr">
        <is>
          <t>7640177368461</t>
        </is>
      </c>
      <c r="B18287" t="inlineStr">
        <is>
          <t>Jasmin Moghol by Chopard for Women 3.3oz EDP Spray - Pack of 2</t>
        </is>
      </c>
      <c r="C18287" t="inlineStr">
        <is>
          <t>Eau De Parfum</t>
        </is>
      </c>
      <c r="D18287" t="inlineStr">
        <is>
          <t>Chopard</t>
        </is>
      </c>
      <c r="E18287" t="n">
        <v>117.79</v>
      </c>
      <c r="F18287" t="n">
        <v>1</v>
      </c>
      <c r="G18287" t="n">
        <v>8</v>
      </c>
      <c r="H18287" s="5">
        <f>HYPERLINK("https://api.qogita.com/variants/link/7640177368461/", "View Product")</f>
        <v/>
      </c>
    </row>
    <row r="18288">
      <c r="A18288" t="inlineStr">
        <is>
          <t>7640233340035</t>
        </is>
      </c>
      <c r="B18288" t="inlineStr">
        <is>
          <t>Elie Saab Le Parfum Woman Eau De Parfum Spray 90ml</t>
        </is>
      </c>
      <c r="C18288" t="inlineStr">
        <is>
          <t>Eau De Parfum</t>
        </is>
      </c>
      <c r="D18288" t="inlineStr">
        <is>
          <t>Elie Saab</t>
        </is>
      </c>
      <c r="E18288" t="n">
        <v>46.74</v>
      </c>
      <c r="F18288" t="n">
        <v>1</v>
      </c>
      <c r="G18288" t="n">
        <v>62</v>
      </c>
      <c r="H18288" s="5">
        <f>HYPERLINK("https://api.qogita.com/variants/link/7640233340035/", "View Product")</f>
        <v/>
      </c>
    </row>
    <row r="18289">
      <c r="A18289" t="inlineStr">
        <is>
          <t>7640233340219</t>
        </is>
      </c>
      <c r="B18289" t="inlineStr">
        <is>
          <t>ELIE SAAB Girl of Now Forever EDP 50ml</t>
        </is>
      </c>
      <c r="C18289" t="inlineStr">
        <is>
          <t>Eau De Parfum</t>
        </is>
      </c>
      <c r="D18289" t="inlineStr">
        <is>
          <t>Elie Saab</t>
        </is>
      </c>
      <c r="E18289" t="n">
        <v>33.65</v>
      </c>
      <c r="F18289" t="n">
        <v>1</v>
      </c>
      <c r="G18289" t="n">
        <v>9</v>
      </c>
      <c r="H18289" s="5">
        <f>HYPERLINK("https://api.qogita.com/variants/link/7640233340219/", "View Product")</f>
        <v/>
      </c>
    </row>
    <row r="18290">
      <c r="A18290" t="inlineStr">
        <is>
          <t>7640233341063</t>
        </is>
      </c>
      <c r="B18290" t="inlineStr">
        <is>
          <t>Elie Saab Girl Of Now Lovely Eau De Parfum Spray 50ml</t>
        </is>
      </c>
      <c r="C18290" t="inlineStr">
        <is>
          <t>Eau De Parfum</t>
        </is>
      </c>
      <c r="D18290" t="inlineStr">
        <is>
          <t>Elie Saab</t>
        </is>
      </c>
      <c r="E18290" t="n">
        <v>27.14</v>
      </c>
      <c r="F18290" t="n">
        <v>1</v>
      </c>
      <c r="G18290" t="n">
        <v>17</v>
      </c>
      <c r="H18290" s="5">
        <f>HYPERLINK("https://api.qogita.com/variants/link/7640233341063/", "View Product")</f>
        <v/>
      </c>
    </row>
    <row r="18291">
      <c r="A18291" t="inlineStr">
        <is>
          <t>7640233341070</t>
        </is>
      </c>
      <c r="B18291" t="inlineStr">
        <is>
          <t>Elie Saab Girl Of Now Lovely Eau De Parfum Spray 90ml</t>
        </is>
      </c>
      <c r="C18291" t="inlineStr">
        <is>
          <t>Eau De Parfum</t>
        </is>
      </c>
      <c r="D18291" t="inlineStr">
        <is>
          <t>Elie Saab</t>
        </is>
      </c>
      <c r="E18291" t="n">
        <v>40.08</v>
      </c>
      <c r="F18291" t="n">
        <v>1</v>
      </c>
      <c r="G18291" t="n">
        <v>103</v>
      </c>
      <c r="H18291" s="5">
        <f>HYPERLINK("https://api.qogita.com/variants/link/7640233341070/", "View Product")</f>
        <v/>
      </c>
    </row>
    <row r="18292">
      <c r="A18292" t="inlineStr">
        <is>
          <t>7640233341391</t>
        </is>
      </c>
      <c r="B18292" t="inlineStr">
        <is>
          <t>Elie Saab Elixir Eau De Parfum Spray 30ml</t>
        </is>
      </c>
      <c r="C18292" t="inlineStr">
        <is>
          <t>Eau De Parfum</t>
        </is>
      </c>
      <c r="D18292" t="inlineStr">
        <is>
          <t>Elie Saab</t>
        </is>
      </c>
      <c r="E18292" t="n">
        <v>24.55</v>
      </c>
      <c r="F18292" t="n">
        <v>1</v>
      </c>
      <c r="G18292" t="n">
        <v>4</v>
      </c>
      <c r="H18292" s="5">
        <f>HYPERLINK("https://api.qogita.com/variants/link/7640233341391/", "View Product")</f>
        <v/>
      </c>
    </row>
    <row r="18293">
      <c r="A18293" t="inlineStr">
        <is>
          <t>7640233341407</t>
        </is>
      </c>
      <c r="B18293" t="inlineStr">
        <is>
          <t>Elie Saab Elixir Eau De Parfum Spray 50ml</t>
        </is>
      </c>
      <c r="C18293" t="inlineStr">
        <is>
          <t>Eau De Parfum</t>
        </is>
      </c>
      <c r="D18293" t="inlineStr">
        <is>
          <t>Elie Saab</t>
        </is>
      </c>
      <c r="E18293" t="n">
        <v>32.69</v>
      </c>
      <c r="F18293" t="n">
        <v>1</v>
      </c>
      <c r="G18293" t="n">
        <v>68</v>
      </c>
      <c r="H18293" s="5">
        <f>HYPERLINK("https://api.qogita.com/variants/link/7640233341407/", "View Product")</f>
        <v/>
      </c>
    </row>
    <row r="18294">
      <c r="A18294" t="inlineStr">
        <is>
          <t>7640233342459</t>
        </is>
      </c>
      <c r="B18294" t="inlineStr">
        <is>
          <t>Elie Saab Girl of Now Rose Petal Eau de Parfum 50ml</t>
        </is>
      </c>
      <c r="C18294" t="inlineStr">
        <is>
          <t>Eau De Parfum</t>
        </is>
      </c>
      <c r="D18294" t="inlineStr">
        <is>
          <t>Elie Saab</t>
        </is>
      </c>
      <c r="E18294" t="n">
        <v>34.4</v>
      </c>
      <c r="F18294" t="n">
        <v>1</v>
      </c>
      <c r="G18294" t="n">
        <v>21</v>
      </c>
      <c r="H18294" s="5">
        <f>HYPERLINK("https://api.qogita.com/variants/link/7640233342459/", "View Product")</f>
        <v/>
      </c>
    </row>
    <row r="18295">
      <c r="A18295" t="inlineStr">
        <is>
          <t>7640233342558</t>
        </is>
      </c>
      <c r="B18295" t="inlineStr">
        <is>
          <t>Elie Saab Elie Saab Lhomme Eau De Parfum Spray 50ml</t>
        </is>
      </c>
      <c r="C18295" t="inlineStr">
        <is>
          <t>Eau De Parfum</t>
        </is>
      </c>
      <c r="D18295" t="inlineStr">
        <is>
          <t>Elie Saab</t>
        </is>
      </c>
      <c r="E18295" t="n">
        <v>32.77</v>
      </c>
      <c r="F18295" t="n">
        <v>1</v>
      </c>
      <c r="G18295" t="n">
        <v>47</v>
      </c>
      <c r="H18295" s="5">
        <f>HYPERLINK("https://api.qogita.com/variants/link/7640233342558/", "View Product")</f>
        <v/>
      </c>
    </row>
    <row r="18296">
      <c r="A18296" t="inlineStr">
        <is>
          <t>7640365140039</t>
        </is>
      </c>
      <c r="B18296" t="inlineStr">
        <is>
          <t>Philipp Plein No Limits Eau De Parfum Spray 90ml</t>
        </is>
      </c>
      <c r="C18296" t="inlineStr">
        <is>
          <t>Eau De Parfum</t>
        </is>
      </c>
      <c r="D18296" t="inlineStr">
        <is>
          <t>Philipp Plein</t>
        </is>
      </c>
      <c r="E18296" t="n">
        <v>35.05</v>
      </c>
      <c r="F18296" t="n">
        <v>1</v>
      </c>
      <c r="G18296" t="n">
        <v>3</v>
      </c>
      <c r="H18296" s="5">
        <f>HYPERLINK("https://api.qogita.com/variants/link/7640365140039/", "View Product")</f>
        <v/>
      </c>
    </row>
    <row r="18297">
      <c r="A18297" t="inlineStr">
        <is>
          <t>7640365140916</t>
        </is>
      </c>
      <c r="B18297" t="inlineStr">
        <is>
          <t>Philipp Plein Plein Fatale Ros Eau De Parfum</t>
        </is>
      </c>
      <c r="C18297" t="inlineStr">
        <is>
          <t>Eau De Parfum</t>
        </is>
      </c>
      <c r="D18297" t="inlineStr">
        <is>
          <t>Philipp Plein</t>
        </is>
      </c>
      <c r="E18297" t="n">
        <v>12.44</v>
      </c>
      <c r="F18297" t="n">
        <v>1</v>
      </c>
      <c r="G18297" t="n">
        <v>9</v>
      </c>
      <c r="H18297" s="5">
        <f>HYPERLINK("https://api.qogita.com/variants/link/7640365140916/", "View Product")</f>
        <v/>
      </c>
    </row>
    <row r="18298">
      <c r="A18298" t="inlineStr">
        <is>
          <t>7640496670153</t>
        </is>
      </c>
      <c r="B18298" t="inlineStr">
        <is>
          <t>Tommy Hilfiger Tommy Boy Eau De Toilette Spray 50ml</t>
        </is>
      </c>
      <c r="C18298" t="inlineStr">
        <is>
          <t>Eau De Toilette</t>
        </is>
      </c>
      <c r="D18298" t="inlineStr">
        <is>
          <t>Tommy Hilfiger</t>
        </is>
      </c>
      <c r="E18298" t="n">
        <v>14.24</v>
      </c>
      <c r="F18298" t="n">
        <v>1</v>
      </c>
      <c r="G18298" t="n">
        <v>8</v>
      </c>
      <c r="H18298" s="5">
        <f>HYPERLINK("https://api.qogita.com/variants/link/7640496670153/", "View Product")</f>
        <v/>
      </c>
    </row>
    <row r="18299">
      <c r="A18299" t="inlineStr">
        <is>
          <t>7640496670160</t>
        </is>
      </c>
      <c r="B18299" t="inlineStr">
        <is>
          <t>Tommy Hilfiger Tommy Boy Eau De Toilette Spray 100ml</t>
        </is>
      </c>
      <c r="C18299" t="inlineStr">
        <is>
          <t>Eau De Toilette</t>
        </is>
      </c>
      <c r="D18299" t="inlineStr">
        <is>
          <t>Tommy Hilfiger</t>
        </is>
      </c>
      <c r="E18299" t="n">
        <v>25.36</v>
      </c>
      <c r="F18299" t="n">
        <v>1</v>
      </c>
      <c r="G18299" t="n">
        <v>66</v>
      </c>
      <c r="H18299" s="5">
        <f>HYPERLINK("https://api.qogita.com/variants/link/7640496670160/", "View Product")</f>
        <v/>
      </c>
    </row>
    <row r="18300">
      <c r="A18300" t="inlineStr">
        <is>
          <t>7640496670184</t>
        </is>
      </c>
      <c r="B18300" t="inlineStr">
        <is>
          <t>Tommy Hilfiger Impact For Men 1.7 oz EDT Spray</t>
        </is>
      </c>
      <c r="C18300" t="inlineStr">
        <is>
          <t>Eau De Toilette</t>
        </is>
      </c>
      <c r="D18300" t="inlineStr">
        <is>
          <t>Tommy Hilfiger</t>
        </is>
      </c>
      <c r="E18300" t="n">
        <v>27.97</v>
      </c>
      <c r="F18300" t="n">
        <v>1</v>
      </c>
      <c r="G18300" t="n">
        <v>7</v>
      </c>
      <c r="H18300" s="5">
        <f>HYPERLINK("https://api.qogita.com/variants/link/7640496670184/", "View Product")</f>
        <v/>
      </c>
    </row>
    <row r="18301">
      <c r="A18301" t="inlineStr">
        <is>
          <t>7640496670238</t>
        </is>
      </c>
      <c r="B18301" t="inlineStr">
        <is>
          <t>Tommy Hilfiger Tommy Boy Eau De Toilette Spray 200ml</t>
        </is>
      </c>
      <c r="C18301" t="inlineStr">
        <is>
          <t>Eau De Toilette</t>
        </is>
      </c>
      <c r="D18301" t="inlineStr">
        <is>
          <t>Tommy Hilfiger</t>
        </is>
      </c>
      <c r="E18301" t="n">
        <v>34.11</v>
      </c>
      <c r="F18301" t="n">
        <v>1</v>
      </c>
      <c r="G18301" t="n">
        <v>25</v>
      </c>
      <c r="H18301" s="5">
        <f>HYPERLINK("https://api.qogita.com/variants/link/7640496670238/", "View Product")</f>
        <v/>
      </c>
    </row>
    <row r="18302">
      <c r="A18302" t="inlineStr">
        <is>
          <t>7640496670252</t>
        </is>
      </c>
      <c r="B18302" t="inlineStr">
        <is>
          <t>Tommy Hilfiger Tommy Now EDT 100ml</t>
        </is>
      </c>
      <c r="C18302" t="inlineStr">
        <is>
          <t>Eau De Toilette</t>
        </is>
      </c>
      <c r="D18302" t="inlineStr">
        <is>
          <t>Tommy Hilfiger</t>
        </is>
      </c>
      <c r="E18302" t="n">
        <v>26.8</v>
      </c>
      <c r="F18302" t="n">
        <v>1</v>
      </c>
      <c r="G18302" t="n">
        <v>91</v>
      </c>
      <c r="H18302" s="5">
        <f>HYPERLINK("https://api.qogita.com/variants/link/7640496670252/", "View Product")</f>
        <v/>
      </c>
    </row>
    <row r="18303">
      <c r="A18303" t="inlineStr">
        <is>
          <t>7640496671204</t>
        </is>
      </c>
      <c r="B18303" t="inlineStr">
        <is>
          <t>Tommy Hilfiger Impact Together Edt 50 Ml</t>
        </is>
      </c>
      <c r="C18303" t="inlineStr">
        <is>
          <t>Eau De Toilette</t>
        </is>
      </c>
      <c r="D18303" t="inlineStr">
        <is>
          <t>Tommy Hilfiger</t>
        </is>
      </c>
      <c r="E18303" t="n">
        <v>26.09</v>
      </c>
      <c r="F18303" t="n">
        <v>1</v>
      </c>
      <c r="G18303" t="n">
        <v>3</v>
      </c>
      <c r="H18303" s="5">
        <f>HYPERLINK("https://api.qogita.com/variants/link/7640496671204/", "View Product")</f>
        <v/>
      </c>
    </row>
    <row r="18304">
      <c r="A18304" t="inlineStr">
        <is>
          <t>7674182004106</t>
        </is>
      </c>
      <c r="B18304" t="inlineStr">
        <is>
          <t>Enrico Gi Oud Prive Eau De Parfum Spray 100ml</t>
        </is>
      </c>
      <c r="C18304" t="inlineStr">
        <is>
          <t>Eau De Parfum</t>
        </is>
      </c>
      <c r="D18304" t="inlineStr">
        <is>
          <t>Enrico G.</t>
        </is>
      </c>
      <c r="E18304" t="n">
        <v>15.9</v>
      </c>
      <c r="F18304" t="n">
        <v>1</v>
      </c>
      <c r="G18304" t="n">
        <v>6</v>
      </c>
      <c r="H18304" s="5">
        <f>HYPERLINK("https://api.qogita.com/variants/link/7674182004106/", "View Product")</f>
        <v/>
      </c>
    </row>
    <row r="18305">
      <c r="A18305" t="inlineStr">
        <is>
          <t>7702018015009</t>
        </is>
      </c>
      <c r="B18305" t="inlineStr">
        <is>
          <t>Gillette Satin Care Dry Skin Shave Gel with Shea Butter 200ml</t>
        </is>
      </c>
      <c r="C18305" t="inlineStr">
        <is>
          <t>Shaving Creams &amp; Foams</t>
        </is>
      </c>
      <c r="D18305" t="inlineStr">
        <is>
          <t>Gillette</t>
        </is>
      </c>
      <c r="E18305" t="n">
        <v>3.15</v>
      </c>
      <c r="F18305" t="n">
        <v>1</v>
      </c>
      <c r="G18305" t="n">
        <v>23</v>
      </c>
      <c r="H18305" s="5">
        <f>HYPERLINK("https://api.qogita.com/variants/link/7702018015009/", "View Product")</f>
        <v/>
      </c>
    </row>
    <row r="18306">
      <c r="A18306" t="inlineStr">
        <is>
          <t>7702018015665</t>
        </is>
      </c>
      <c r="B18306" t="inlineStr">
        <is>
          <t>Gillette Satin Care Sensitive Aloe Vera Shaving Gel 200ml</t>
        </is>
      </c>
      <c r="C18306" t="inlineStr">
        <is>
          <t>Shaving Creams &amp; Foams</t>
        </is>
      </c>
      <c r="D18306" t="inlineStr">
        <is>
          <t>Gillette</t>
        </is>
      </c>
      <c r="E18306" t="n">
        <v>3.44</v>
      </c>
      <c r="F18306" t="n">
        <v>1</v>
      </c>
      <c r="G18306" t="n">
        <v>9</v>
      </c>
      <c r="H18306" s="5">
        <f>HYPERLINK("https://api.qogita.com/variants/link/7702018015665/", "View Product")</f>
        <v/>
      </c>
    </row>
    <row r="18307">
      <c r="A18307" t="inlineStr">
        <is>
          <t>7702018263936</t>
        </is>
      </c>
      <c r="B18307" t="inlineStr">
        <is>
          <t>Gillette Fusion Proglide Power Replacement Heads 8 Pieces</t>
        </is>
      </c>
      <c r="C18307" t="inlineStr">
        <is>
          <t>Shaving</t>
        </is>
      </c>
      <c r="D18307" t="inlineStr">
        <is>
          <t>Gillette</t>
        </is>
      </c>
      <c r="E18307" t="n">
        <v>30.13</v>
      </c>
      <c r="F18307" t="n">
        <v>1</v>
      </c>
      <c r="G18307" t="n">
        <v>237</v>
      </c>
      <c r="H18307" s="5">
        <f>HYPERLINK("https://api.qogita.com/variants/link/7702018263936/", "View Product")</f>
        <v/>
      </c>
    </row>
    <row r="18308">
      <c r="A18308" t="inlineStr">
        <is>
          <t>7702018339877</t>
        </is>
      </c>
      <c r="B18308" t="inlineStr">
        <is>
          <t>Venus &amp; Olay Women's Razor 1 Piece</t>
        </is>
      </c>
      <c r="C18308" t="inlineStr">
        <is>
          <t>Razors &amp; Hair Removal Tools</t>
        </is>
      </c>
      <c r="D18308" t="inlineStr">
        <is>
          <t>Venus</t>
        </is>
      </c>
      <c r="E18308" t="n">
        <v>10.67</v>
      </c>
      <c r="F18308" t="n">
        <v>1</v>
      </c>
      <c r="G18308" t="n">
        <v>5</v>
      </c>
      <c r="H18308" s="5">
        <f>HYPERLINK("https://api.qogita.com/variants/link/7702018339877/", "View Product")</f>
        <v/>
      </c>
    </row>
    <row r="18309">
      <c r="A18309" t="inlineStr">
        <is>
          <t>7702018352883</t>
        </is>
      </c>
      <c r="B18309" t="inlineStr">
        <is>
          <t>Gillette Venus Embrace Sensitive Spare Head For Extra Smooth Shaving</t>
        </is>
      </c>
      <c r="C18309" t="inlineStr">
        <is>
          <t>Razors &amp; Hair Removal Tools</t>
        </is>
      </c>
      <c r="D18309" t="inlineStr">
        <is>
          <t>Gillette</t>
        </is>
      </c>
      <c r="E18309" t="n">
        <v>21.72</v>
      </c>
      <c r="F18309" t="n">
        <v>1</v>
      </c>
      <c r="G18309" t="n">
        <v>52</v>
      </c>
      <c r="H18309" s="5">
        <f>HYPERLINK("https://api.qogita.com/variants/link/7702018352883/", "View Product")</f>
        <v/>
      </c>
    </row>
    <row r="18310">
      <c r="A18310" t="inlineStr">
        <is>
          <t>7702018390816</t>
        </is>
      </c>
      <c r="B18310" t="inlineStr">
        <is>
          <t>Gillette Proglide Shaver Replacement Head Flexball With 2 Spare Heads For Men</t>
        </is>
      </c>
      <c r="C18310" t="inlineStr">
        <is>
          <t>Shaving</t>
        </is>
      </c>
      <c r="D18310" t="inlineStr">
        <is>
          <t>Gillette</t>
        </is>
      </c>
      <c r="E18310" t="n">
        <v>18.52</v>
      </c>
      <c r="F18310" t="n">
        <v>1</v>
      </c>
      <c r="G18310" t="n">
        <v>10</v>
      </c>
      <c r="H18310" s="5">
        <f>HYPERLINK("https://api.qogita.com/variants/link/7702018390816/", "View Product")</f>
        <v/>
      </c>
    </row>
    <row r="18311">
      <c r="A18311" t="inlineStr">
        <is>
          <t>7702018425198</t>
        </is>
      </c>
      <c r="B18311" t="inlineStr">
        <is>
          <t>Gillette Fusion Proglide Set Shaver With Spare Blades Proglide Flexball Shaver 10 Spare Heads</t>
        </is>
      </c>
      <c r="C18311" t="inlineStr">
        <is>
          <t>Shaving</t>
        </is>
      </c>
      <c r="D18311" t="inlineStr">
        <is>
          <t>Gillette</t>
        </is>
      </c>
      <c r="E18311" t="n">
        <v>55.61</v>
      </c>
      <c r="F18311" t="n">
        <v>1</v>
      </c>
      <c r="G18311" t="n">
        <v>5</v>
      </c>
      <c r="H18311" s="5">
        <f>HYPERLINK("https://api.qogita.com/variants/link/7702018425198/", "View Product")</f>
        <v/>
      </c>
    </row>
    <row r="18312">
      <c r="A18312" t="inlineStr">
        <is>
          <t>7702018426263</t>
        </is>
      </c>
      <c r="B18312" t="inlineStr">
        <is>
          <t>Gillette Venus Tropical Disposable Razors 3 Count</t>
        </is>
      </c>
      <c r="C18312" t="inlineStr">
        <is>
          <t>Razors &amp; Hair Removal Tools</t>
        </is>
      </c>
      <c r="D18312" t="inlineStr">
        <is>
          <t>Gillette</t>
        </is>
      </c>
      <c r="E18312" t="n">
        <v>7.37</v>
      </c>
      <c r="F18312" t="n">
        <v>1</v>
      </c>
      <c r="G18312" t="n">
        <v>18</v>
      </c>
      <c r="H18312" s="5">
        <f>HYPERLINK("https://api.qogita.com/variants/link/7702018426263/", "View Product")</f>
        <v/>
      </c>
    </row>
    <row r="18313">
      <c r="A18313" t="inlineStr">
        <is>
          <t>7702018457786</t>
        </is>
      </c>
      <c r="B18313" t="inlineStr">
        <is>
          <t>Gillette Sensitive Eucalyptus Cooling Shave Gel 200 Ml</t>
        </is>
      </c>
      <c r="C18313" t="inlineStr">
        <is>
          <t>Shaving Creams &amp; Foams</t>
        </is>
      </c>
      <c r="D18313" t="inlineStr">
        <is>
          <t>Gillette</t>
        </is>
      </c>
      <c r="E18313" t="n">
        <v>5.18</v>
      </c>
      <c r="F18313" t="n">
        <v>1</v>
      </c>
      <c r="G18313" t="n">
        <v>5</v>
      </c>
      <c r="H18313" s="5">
        <f>HYPERLINK("https://api.qogita.com/variants/link/7702018457786/", "View Product")</f>
        <v/>
      </c>
    </row>
    <row r="18314">
      <c r="A18314" t="inlineStr">
        <is>
          <t>7702018465132</t>
        </is>
      </c>
      <c r="B18314" t="inlineStr">
        <is>
          <t>Gillette Fusion Proglide Hydrating Gel Moisturizing Shave Gel 300ml</t>
        </is>
      </c>
      <c r="C18314" t="inlineStr">
        <is>
          <t>Shaving</t>
        </is>
      </c>
      <c r="D18314" t="inlineStr">
        <is>
          <t>Gillette</t>
        </is>
      </c>
      <c r="E18314" t="n">
        <v>5.72</v>
      </c>
      <c r="F18314" t="n">
        <v>1</v>
      </c>
      <c r="G18314" t="n">
        <v>5</v>
      </c>
      <c r="H18314" s="5">
        <f>HYPERLINK("https://api.qogita.com/variants/link/7702018465132/", "View Product")</f>
        <v/>
      </c>
    </row>
    <row r="18315">
      <c r="A18315" t="inlineStr">
        <is>
          <t>7702018469727</t>
        </is>
      </c>
      <c r="B18315" t="inlineStr">
        <is>
          <t>Gillette Venus Breeze Women's Shaver With 4 Heads</t>
        </is>
      </c>
      <c r="C18315" t="inlineStr">
        <is>
          <t>Razors &amp; Hair Removal Tools</t>
        </is>
      </c>
      <c r="D18315" t="inlineStr">
        <is>
          <t>Gillette</t>
        </is>
      </c>
      <c r="E18315" t="n">
        <v>17.46</v>
      </c>
      <c r="F18315" t="n">
        <v>1</v>
      </c>
      <c r="G18315" t="n">
        <v>132</v>
      </c>
      <c r="H18315" s="5">
        <f>HYPERLINK("https://api.qogita.com/variants/link/7702018469727/", "View Product")</f>
        <v/>
      </c>
    </row>
    <row r="18316">
      <c r="A18316" t="inlineStr">
        <is>
          <t>7702018487028</t>
        </is>
      </c>
      <c r="B18316" t="inlineStr">
        <is>
          <t>Gillette Venus 3 Sensitive Disposable Razors 3 Pcs</t>
        </is>
      </c>
      <c r="C18316" t="inlineStr">
        <is>
          <t>Razors &amp; Hair Removal Tools</t>
        </is>
      </c>
      <c r="D18316" t="inlineStr">
        <is>
          <t>Gillette</t>
        </is>
      </c>
      <c r="E18316" t="n">
        <v>5.1</v>
      </c>
      <c r="F18316" t="n">
        <v>1</v>
      </c>
      <c r="G18316" t="n">
        <v>20</v>
      </c>
      <c r="H18316" s="5">
        <f>HYPERLINK("https://api.qogita.com/variants/link/7702018487028/", "View Product")</f>
        <v/>
      </c>
    </row>
    <row r="18317">
      <c r="A18317" t="inlineStr">
        <is>
          <t>7702018489787</t>
        </is>
      </c>
      <c r="B18317" t="inlineStr">
        <is>
          <t>Gillette Disposable Razor Blue3 Plus Comfort 31 Pcs</t>
        </is>
      </c>
      <c r="C18317" t="inlineStr">
        <is>
          <t>Razors &amp; Hair Removal Tools</t>
        </is>
      </c>
      <c r="D18317" t="inlineStr">
        <is>
          <t>Gillette</t>
        </is>
      </c>
      <c r="E18317" t="n">
        <v>5.42</v>
      </c>
      <c r="F18317" t="n">
        <v>1</v>
      </c>
      <c r="G18317" t="n">
        <v>4</v>
      </c>
      <c r="H18317" s="5">
        <f>HYPERLINK("https://api.qogita.com/variants/link/7702018489787/", "View Product")</f>
        <v/>
      </c>
    </row>
    <row r="18318">
      <c r="A18318" t="inlineStr">
        <is>
          <t>7702018580026</t>
        </is>
      </c>
      <c r="B18318" t="inlineStr">
        <is>
          <t>Gillette Venus Smooth Replacement Head Spare Heads For A Smooth Shave</t>
        </is>
      </c>
      <c r="C18318" t="inlineStr">
        <is>
          <t>Razors &amp; Hair Removal Tools</t>
        </is>
      </c>
      <c r="D18318" t="inlineStr">
        <is>
          <t>Gillette</t>
        </is>
      </c>
      <c r="E18318" t="n">
        <v>38.95</v>
      </c>
      <c r="F18318" t="n">
        <v>1</v>
      </c>
      <c r="G18318" t="n">
        <v>5</v>
      </c>
      <c r="H18318" s="5">
        <f>HYPERLINK("https://api.qogita.com/variants/link/7702018580026/", "View Product")</f>
        <v/>
      </c>
    </row>
    <row r="18319">
      <c r="A18319" t="inlineStr">
        <is>
          <t>7702018877591</t>
        </is>
      </c>
      <c r="B18319" t="inlineStr">
        <is>
          <t>Gillette Fusion Power Razor - Pack of 4</t>
        </is>
      </c>
      <c r="C18319" t="inlineStr">
        <is>
          <t>Razors &amp; Hair Removal Tools</t>
        </is>
      </c>
      <c r="D18319" t="inlineStr">
        <is>
          <t>Gillette</t>
        </is>
      </c>
      <c r="E18319" t="n">
        <v>11.22</v>
      </c>
      <c r="F18319" t="n">
        <v>1</v>
      </c>
      <c r="G18319" t="n">
        <v>270</v>
      </c>
      <c r="H18319" s="5">
        <f>HYPERLINK("https://api.qogita.com/variants/link/7702018877591/", "View Product")</f>
        <v/>
      </c>
    </row>
    <row r="18320">
      <c r="A18320" t="inlineStr">
        <is>
          <t>7702018886463</t>
        </is>
      </c>
      <c r="B18320" t="inlineStr">
        <is>
          <t>Gillette Venus Breeze Replacement Shaving Head With 8 Blades For Women</t>
        </is>
      </c>
      <c r="C18320" t="inlineStr">
        <is>
          <t>Razors &amp; Hair Removal Tools</t>
        </is>
      </c>
      <c r="D18320" t="inlineStr">
        <is>
          <t>Gillette</t>
        </is>
      </c>
      <c r="E18320" t="n">
        <v>20.08</v>
      </c>
      <c r="F18320" t="n">
        <v>1</v>
      </c>
      <c r="G18320" t="n">
        <v>49</v>
      </c>
      <c r="H18320" s="5">
        <f>HYPERLINK("https://api.qogita.com/variants/link/7702018886463/", "View Product")</f>
        <v/>
      </c>
    </row>
    <row r="18321">
      <c r="A18321" t="inlineStr">
        <is>
          <t>7702018980932</t>
        </is>
      </c>
      <c r="B18321" t="inlineStr">
        <is>
          <t>Gillette Shaving Foam Sensitive Skin 200ml Shaving Cream For Sensitive Skin</t>
        </is>
      </c>
      <c r="C18321" t="inlineStr">
        <is>
          <t>Shaving</t>
        </is>
      </c>
      <c r="D18321" t="inlineStr">
        <is>
          <t>Gillette</t>
        </is>
      </c>
      <c r="E18321" t="n">
        <v>2.05</v>
      </c>
      <c r="F18321" t="n">
        <v>1</v>
      </c>
      <c r="G18321" t="n">
        <v>7</v>
      </c>
      <c r="H18321" s="5">
        <f>HYPERLINK("https://api.qogita.com/variants/link/7702018980932/", "View Product")</f>
        <v/>
      </c>
    </row>
    <row r="18322">
      <c r="A18322" t="inlineStr">
        <is>
          <t>7750075049253</t>
        </is>
      </c>
      <c r="B18322" t="inlineStr">
        <is>
          <t>Kativa Brunette Keratin Hair Straightening For Brunettes</t>
        </is>
      </c>
      <c r="C18322" t="inlineStr">
        <is>
          <t>Hair Care Sets</t>
        </is>
      </c>
      <c r="D18322" t="inlineStr">
        <is>
          <t>Kativa</t>
        </is>
      </c>
      <c r="E18322" t="n">
        <v>8.460000000000001</v>
      </c>
      <c r="F18322" t="n">
        <v>1</v>
      </c>
      <c r="G18322" t="n">
        <v>22</v>
      </c>
      <c r="H18322" s="5">
        <f>HYPERLINK("https://api.qogita.com/variants/link/7750075049253/", "View Product")</f>
        <v/>
      </c>
    </row>
    <row r="18323">
      <c r="A18323" t="inlineStr">
        <is>
          <t>8001090533869</t>
        </is>
      </c>
      <c r="B18323" t="inlineStr">
        <is>
          <t>Old Spice Bearglove Shower Gel Shampoo 2 In 1 Body Hair And Face Wash</t>
        </is>
      </c>
      <c r="C18323" t="inlineStr">
        <is>
          <t>Shower Gel</t>
        </is>
      </c>
      <c r="D18323" t="inlineStr">
        <is>
          <t>Old Spice</t>
        </is>
      </c>
      <c r="E18323" t="n">
        <v>6</v>
      </c>
      <c r="F18323" t="n">
        <v>1</v>
      </c>
      <c r="G18323" t="n">
        <v>40</v>
      </c>
      <c r="H18323" s="5">
        <f>HYPERLINK("https://api.qogita.com/variants/link/8001090533869/", "View Product")</f>
        <v/>
      </c>
    </row>
    <row r="18324">
      <c r="A18324" t="inlineStr">
        <is>
          <t>8001090962867</t>
        </is>
      </c>
      <c r="B18324" t="inlineStr">
        <is>
          <t>Old Spice Captain Deodorant Spray 150 Ml</t>
        </is>
      </c>
      <c r="C18324" t="inlineStr">
        <is>
          <t>Deodorant &amp; Anti-Perspirant</t>
        </is>
      </c>
      <c r="D18324" t="inlineStr">
        <is>
          <t>Old Spice</t>
        </is>
      </c>
      <c r="E18324" t="n">
        <v>5.75</v>
      </c>
      <c r="F18324" t="n">
        <v>1</v>
      </c>
      <c r="G18324" t="n">
        <v>6</v>
      </c>
      <c r="H18324" s="5">
        <f>HYPERLINK("https://api.qogita.com/variants/link/8001090962867/", "View Product")</f>
        <v/>
      </c>
    </row>
    <row r="18325">
      <c r="A18325" t="inlineStr">
        <is>
          <t>8001841282473</t>
        </is>
      </c>
      <c r="B18325" t="inlineStr">
        <is>
          <t>Old Spice Deep Sea Deodorant Spray 150 ml M</t>
        </is>
      </c>
      <c r="C18325" t="inlineStr">
        <is>
          <t>Deodorant &amp; Anti-Perspirant</t>
        </is>
      </c>
      <c r="D18325" t="inlineStr">
        <is>
          <t>Old Spice</t>
        </is>
      </c>
      <c r="E18325" t="n">
        <v>5.85</v>
      </c>
      <c r="F18325" t="n">
        <v>1</v>
      </c>
      <c r="G18325" t="n">
        <v>6</v>
      </c>
      <c r="H18325" s="5">
        <f>HYPERLINK("https://api.qogita.com/variants/link/8001841282473/", "View Product")</f>
        <v/>
      </c>
    </row>
    <row r="18326">
      <c r="A18326" t="inlineStr">
        <is>
          <t>8001841283944</t>
        </is>
      </c>
      <c r="B18326" t="inlineStr">
        <is>
          <t>Old Spice Deep Sea Deodorant Stick 50ml Solid Deodorant For Men</t>
        </is>
      </c>
      <c r="C18326" t="inlineStr">
        <is>
          <t>Deodorant &amp; Anti-Perspirant</t>
        </is>
      </c>
      <c r="D18326" t="inlineStr">
        <is>
          <t>Old Spice</t>
        </is>
      </c>
      <c r="E18326" t="n">
        <v>2.78</v>
      </c>
      <c r="F18326" t="n">
        <v>1</v>
      </c>
      <c r="G18326" t="n">
        <v>52</v>
      </c>
      <c r="H18326" s="5">
        <f>HYPERLINK("https://api.qogita.com/variants/link/8001841283944/", "View Product")</f>
        <v/>
      </c>
    </row>
    <row r="18327">
      <c r="A18327" t="inlineStr">
        <is>
          <t>8001841326153</t>
        </is>
      </c>
      <c r="B18327" t="inlineStr">
        <is>
          <t>Old Spice Deep Sea With Minerals Shower Gel 400ml</t>
        </is>
      </c>
      <c r="C18327" t="inlineStr">
        <is>
          <t>Shower Gel</t>
        </is>
      </c>
      <c r="D18327" t="inlineStr">
        <is>
          <t>Old Spice</t>
        </is>
      </c>
      <c r="E18327" t="n">
        <v>6</v>
      </c>
      <c r="F18327" t="n">
        <v>1</v>
      </c>
      <c r="G18327" t="n">
        <v>3</v>
      </c>
      <c r="H18327" s="5">
        <f>HYPERLINK("https://api.qogita.com/variants/link/8001841326153/", "View Product")</f>
        <v/>
      </c>
    </row>
    <row r="18328">
      <c r="A18328" t="inlineStr">
        <is>
          <t>8002135114814</t>
        </is>
      </c>
      <c r="B18328" t="inlineStr">
        <is>
          <t>Ducati Trace Me U EDT 50ml</t>
        </is>
      </c>
      <c r="C18328" t="inlineStr">
        <is>
          <t>Eau De Toilette</t>
        </is>
      </c>
      <c r="D18328" t="inlineStr">
        <is>
          <t>Ducati</t>
        </is>
      </c>
      <c r="E18328" t="n">
        <v>10.4</v>
      </c>
      <c r="F18328" t="n">
        <v>1</v>
      </c>
      <c r="G18328" t="n">
        <v>17</v>
      </c>
      <c r="H18328" s="5">
        <f>HYPERLINK("https://api.qogita.com/variants/link/8002135114814/", "View Product")</f>
        <v/>
      </c>
    </row>
    <row r="18329">
      <c r="A18329" t="inlineStr">
        <is>
          <t>8002135139053</t>
        </is>
      </c>
      <c r="B18329" t="inlineStr">
        <is>
          <t>Ferrari Scuderia Red Eau De Toilette Spray 125ml</t>
        </is>
      </c>
      <c r="C18329" t="inlineStr">
        <is>
          <t>Eau De Toilette</t>
        </is>
      </c>
      <c r="D18329" t="inlineStr">
        <is>
          <t>Ferrari</t>
        </is>
      </c>
      <c r="E18329" t="n">
        <v>14.98</v>
      </c>
      <c r="F18329" t="n">
        <v>1</v>
      </c>
      <c r="G18329" t="n">
        <v>728</v>
      </c>
      <c r="H18329" s="5">
        <f>HYPERLINK("https://api.qogita.com/variants/link/8002135139053/", "View Product")</f>
        <v/>
      </c>
    </row>
    <row r="18330">
      <c r="A18330" t="inlineStr">
        <is>
          <t>8002410041866</t>
        </is>
      </c>
      <c r="B18330" t="inlineStr">
        <is>
          <t>Borotalco Invisible Spray Deodorant 150 Ml</t>
        </is>
      </c>
      <c r="C18330" t="inlineStr">
        <is>
          <t>Deodorant &amp; Anti-Perspirant</t>
        </is>
      </c>
      <c r="D18330" t="inlineStr">
        <is>
          <t>Borotalco</t>
        </is>
      </c>
      <c r="E18330" t="n">
        <v>3.16</v>
      </c>
      <c r="F18330" t="n">
        <v>1</v>
      </c>
      <c r="G18330" t="n">
        <v>5</v>
      </c>
      <c r="H18330" s="5">
        <f>HYPERLINK("https://api.qogita.com/variants/link/8002410041866/", "View Product")</f>
        <v/>
      </c>
    </row>
    <row r="18331">
      <c r="A18331" t="inlineStr">
        <is>
          <t>8002410042214</t>
        </is>
      </c>
      <c r="B18331" t="inlineStr">
        <is>
          <t>Borotalco Invisible Fresh Deodorant Spray 150 Ml</t>
        </is>
      </c>
      <c r="C18331" t="inlineStr">
        <is>
          <t>Deodorant &amp; Anti-Perspirant</t>
        </is>
      </c>
      <c r="D18331" t="inlineStr">
        <is>
          <t>Borotalco</t>
        </is>
      </c>
      <c r="E18331" t="n">
        <v>4.5</v>
      </c>
      <c r="F18331" t="n">
        <v>1</v>
      </c>
      <c r="G18331" t="n">
        <v>68</v>
      </c>
      <c r="H18331" s="5">
        <f>HYPERLINK("https://api.qogita.com/variants/link/8002410042214/", "View Product")</f>
        <v/>
      </c>
    </row>
    <row r="18332">
      <c r="A18332" t="inlineStr">
        <is>
          <t>8002410043006</t>
        </is>
      </c>
      <c r="B18332" t="inlineStr">
        <is>
          <t>Borotalco Intensive Antiperspirant Spray 150 Ml</t>
        </is>
      </c>
      <c r="C18332" t="inlineStr">
        <is>
          <t>Deodorant &amp; Anti-Perspirant</t>
        </is>
      </c>
      <c r="D18332" t="inlineStr">
        <is>
          <t>Borotalco</t>
        </is>
      </c>
      <c r="E18332" t="n">
        <v>3.03</v>
      </c>
      <c r="F18332" t="n">
        <v>1</v>
      </c>
      <c r="G18332" t="n">
        <v>16</v>
      </c>
      <c r="H18332" s="5">
        <f>HYPERLINK("https://api.qogita.com/variants/link/8002410043006/", "View Product")</f>
        <v/>
      </c>
    </row>
    <row r="18333">
      <c r="A18333" t="inlineStr">
        <is>
          <t>8002410043587</t>
        </is>
      </c>
      <c r="B18333" t="inlineStr">
        <is>
          <t>Borotalco Active Citrus Scent Deodorant Spray 150 Ml</t>
        </is>
      </c>
      <c r="C18333" t="inlineStr">
        <is>
          <t>Deodorant &amp; Anti-Perspirant</t>
        </is>
      </c>
      <c r="D18333" t="inlineStr">
        <is>
          <t>Borotalco</t>
        </is>
      </c>
      <c r="E18333" t="n">
        <v>4.5</v>
      </c>
      <c r="F18333" t="n">
        <v>1</v>
      </c>
      <c r="G18333" t="n">
        <v>74</v>
      </c>
      <c r="H18333" s="5">
        <f>HYPERLINK("https://api.qogita.com/variants/link/8002410043587/", "View Product")</f>
        <v/>
      </c>
    </row>
    <row r="18334">
      <c r="A18334" t="inlineStr">
        <is>
          <t>8002410044096</t>
        </is>
      </c>
      <c r="B18334" t="inlineStr">
        <is>
          <t>Borotalco Active Mandarin And Neroli Deodorant Spray 150 Ml</t>
        </is>
      </c>
      <c r="C18334" t="inlineStr">
        <is>
          <t>Deodorant &amp; Anti-Perspirant</t>
        </is>
      </c>
      <c r="D18334" t="inlineStr">
        <is>
          <t>Borotalco</t>
        </is>
      </c>
      <c r="E18334" t="n">
        <v>4.5</v>
      </c>
      <c r="F18334" t="n">
        <v>1</v>
      </c>
      <c r="G18334" t="n">
        <v>7</v>
      </c>
      <c r="H18334" s="5">
        <f>HYPERLINK("https://api.qogita.com/variants/link/8002410044096/", "View Product")</f>
        <v/>
      </c>
    </row>
    <row r="18335">
      <c r="A18335" t="inlineStr">
        <is>
          <t>8002410044546</t>
        </is>
      </c>
      <c r="B18335" t="inlineStr">
        <is>
          <t>Borotalco Deodorant Spray Men Unique Scent 150 Ml</t>
        </is>
      </c>
      <c r="C18335" t="inlineStr">
        <is>
          <t>Deodorant &amp; Anti-Perspirant</t>
        </is>
      </c>
      <c r="D18335" t="inlineStr">
        <is>
          <t>Borotalco</t>
        </is>
      </c>
      <c r="E18335" t="n">
        <v>4.5</v>
      </c>
      <c r="F18335" t="n">
        <v>1</v>
      </c>
      <c r="G18335" t="n">
        <v>35</v>
      </c>
      <c r="H18335" s="5">
        <f>HYPERLINK("https://api.qogita.com/variants/link/8002410044546/", "View Product")</f>
        <v/>
      </c>
    </row>
    <row r="18336">
      <c r="A18336" t="inlineStr">
        <is>
          <t>8004395000265</t>
        </is>
      </c>
      <c r="B18336" t="inlineStr">
        <is>
          <t>Proraso Green Repair Gel 10ml Healing Gel For Irritation During Shaving With Eucalyptus</t>
        </is>
      </c>
      <c r="C18336" t="inlineStr">
        <is>
          <t>Shaving</t>
        </is>
      </c>
      <c r="D18336" t="inlineStr">
        <is>
          <t>Proraso</t>
        </is>
      </c>
      <c r="E18336" t="n">
        <v>1.58</v>
      </c>
      <c r="F18336" t="n">
        <v>1</v>
      </c>
      <c r="G18336" t="n">
        <v>10</v>
      </c>
      <c r="H18336" s="5">
        <f>HYPERLINK("https://api.qogita.com/variants/link/8004395000265/", "View Product")</f>
        <v/>
      </c>
    </row>
    <row r="18337">
      <c r="A18337" t="inlineStr">
        <is>
          <t>8004395001927</t>
        </is>
      </c>
      <c r="B18337" t="inlineStr">
        <is>
          <t>Proraso Green Shaving Foam 300 Ml Refreshing Shaving Foam With Eucalyptus</t>
        </is>
      </c>
      <c r="C18337" t="inlineStr">
        <is>
          <t>Shaving</t>
        </is>
      </c>
      <c r="D18337" t="inlineStr">
        <is>
          <t>Proraso</t>
        </is>
      </c>
      <c r="E18337" t="n">
        <v>3.33</v>
      </c>
      <c r="F18337" t="n">
        <v>1</v>
      </c>
      <c r="G18337" t="n">
        <v>38</v>
      </c>
      <c r="H18337" s="5">
        <f>HYPERLINK("https://api.qogita.com/variants/link/8004395001927/", "View Product")</f>
        <v/>
      </c>
    </row>
    <row r="18338">
      <c r="A18338" t="inlineStr">
        <is>
          <t>8004395003594</t>
        </is>
      </c>
      <c r="B18338" t="inlineStr">
        <is>
          <t>Proraso Classic Gift Set For Shaving Green Shaving Set With 4 Pieces</t>
        </is>
      </c>
      <c r="C18338" t="inlineStr">
        <is>
          <t>Shaving Sets</t>
        </is>
      </c>
      <c r="D18338" t="inlineStr">
        <is>
          <t>Proraso</t>
        </is>
      </c>
      <c r="E18338" t="n">
        <v>13.24</v>
      </c>
      <c r="F18338" t="n">
        <v>1</v>
      </c>
      <c r="G18338" t="n">
        <v>15</v>
      </c>
      <c r="H18338" s="5">
        <f>HYPERLINK("https://api.qogita.com/variants/link/8004395003594/", "View Product")</f>
        <v/>
      </c>
    </row>
    <row r="18339">
      <c r="A18339" t="inlineStr">
        <is>
          <t>8004395006250</t>
        </is>
      </c>
      <c r="B18339" t="inlineStr">
        <is>
          <t>Proraso Wood &amp; Spice Beard Oil 100 Ml</t>
        </is>
      </c>
      <c r="C18339" t="inlineStr">
        <is>
          <t>Beard Care Accessories</t>
        </is>
      </c>
      <c r="D18339" t="inlineStr">
        <is>
          <t>Proraso</t>
        </is>
      </c>
      <c r="E18339" t="n">
        <v>26.42</v>
      </c>
      <c r="F18339" t="n">
        <v>1</v>
      </c>
      <c r="G18339" t="n">
        <v>5</v>
      </c>
      <c r="H18339" s="5">
        <f>HYPERLINK("https://api.qogita.com/variants/link/8004395006250/", "View Product")</f>
        <v/>
      </c>
    </row>
    <row r="18340">
      <c r="A18340" t="inlineStr">
        <is>
          <t>8004395006274</t>
        </is>
      </c>
      <c r="B18340" t="inlineStr">
        <is>
          <t>Proraso Wood &amp; Spice Scented Beard Wash 500ml - Made in Italy</t>
        </is>
      </c>
      <c r="C18340" t="inlineStr">
        <is>
          <t>Shaving</t>
        </is>
      </c>
      <c r="D18340" t="inlineStr">
        <is>
          <t>Proraso</t>
        </is>
      </c>
      <c r="E18340" t="n">
        <v>15.32</v>
      </c>
      <c r="F18340" t="n">
        <v>1</v>
      </c>
      <c r="G18340" t="n">
        <v>2</v>
      </c>
      <c r="H18340" s="5">
        <f>HYPERLINK("https://api.qogita.com/variants/link/8004395006274/", "View Product")</f>
        <v/>
      </c>
    </row>
    <row r="18341">
      <c r="A18341" t="inlineStr">
        <is>
          <t>8004395006922</t>
        </is>
      </c>
      <c r="B18341" t="inlineStr">
        <is>
          <t>Proraso Beard Care Set Cypress &amp; Vetiver Green 900g</t>
        </is>
      </c>
      <c r="C18341" t="inlineStr">
        <is>
          <t>Beard Care Sets</t>
        </is>
      </c>
      <c r="D18341" t="inlineStr">
        <is>
          <t>Proraso</t>
        </is>
      </c>
      <c r="E18341" t="n">
        <v>33.97</v>
      </c>
      <c r="F18341" t="n">
        <v>1</v>
      </c>
      <c r="G18341" t="n">
        <v>4</v>
      </c>
      <c r="H18341" s="5">
        <f>HYPERLINK("https://api.qogita.com/variants/link/8004395006922/", "View Product")</f>
        <v/>
      </c>
    </row>
    <row r="18342">
      <c r="A18342" t="inlineStr">
        <is>
          <t>8004395007325</t>
        </is>
      </c>
      <c r="B18342" t="inlineStr">
        <is>
          <t>Proraso Cypress &amp; Vetiver Beard Balm 100ml</t>
        </is>
      </c>
      <c r="C18342" t="inlineStr">
        <is>
          <t>Beard Care Accessories</t>
        </is>
      </c>
      <c r="D18342" t="inlineStr">
        <is>
          <t>Proraso</t>
        </is>
      </c>
      <c r="E18342" t="n">
        <v>6.65</v>
      </c>
      <c r="F18342" t="n">
        <v>1</v>
      </c>
      <c r="G18342" t="n">
        <v>20</v>
      </c>
      <c r="H18342" s="5">
        <f>HYPERLINK("https://api.qogita.com/variants/link/8004395007325/", "View Product")</f>
        <v/>
      </c>
    </row>
    <row r="18343">
      <c r="A18343" t="inlineStr">
        <is>
          <t>8004395007455</t>
        </is>
      </c>
      <c r="B18343" t="inlineStr">
        <is>
          <t>Proraso Wood &amp; Spice Duo Set</t>
        </is>
      </c>
      <c r="C18343" t="inlineStr">
        <is>
          <t>Aftershave</t>
        </is>
      </c>
      <c r="D18343" t="inlineStr">
        <is>
          <t>Proraso</t>
        </is>
      </c>
      <c r="E18343" t="n">
        <v>23.72</v>
      </c>
      <c r="F18343" t="n">
        <v>1</v>
      </c>
      <c r="G18343" t="n">
        <v>5</v>
      </c>
      <c r="H18343" s="5">
        <f>HYPERLINK("https://api.qogita.com/variants/link/8004395007455/", "View Product")</f>
        <v/>
      </c>
    </row>
    <row r="18344">
      <c r="A18344" t="inlineStr">
        <is>
          <t>8004395007509</t>
        </is>
      </c>
      <c r="B18344" t="inlineStr">
        <is>
          <t>Proraso Wood &amp; Spice Beard Wash 200 Ml</t>
        </is>
      </c>
      <c r="C18344" t="inlineStr">
        <is>
          <t>Beard Care Accessories</t>
        </is>
      </c>
      <c r="D18344" t="inlineStr">
        <is>
          <t>Proraso</t>
        </is>
      </c>
      <c r="E18344" t="n">
        <v>6.77</v>
      </c>
      <c r="F18344" t="n">
        <v>1</v>
      </c>
      <c r="G18344" t="n">
        <v>22</v>
      </c>
      <c r="H18344" s="5">
        <f>HYPERLINK("https://api.qogita.com/variants/link/8004395007509/", "View Product")</f>
        <v/>
      </c>
    </row>
    <row r="18345">
      <c r="A18345" t="inlineStr">
        <is>
          <t>8004395007523</t>
        </is>
      </c>
      <c r="B18345" t="inlineStr">
        <is>
          <t>Proraso Cypress &amp; Vetiver Beard Wash 200 Ml Beard Shampoo With Cypress And Vetiver Scent</t>
        </is>
      </c>
      <c r="C18345" t="inlineStr">
        <is>
          <t>Beard Care Sets</t>
        </is>
      </c>
      <c r="D18345" t="inlineStr">
        <is>
          <t>Proraso</t>
        </is>
      </c>
      <c r="E18345" t="n">
        <v>6.93</v>
      </c>
      <c r="F18345" t="n">
        <v>1</v>
      </c>
      <c r="G18345" t="n">
        <v>3</v>
      </c>
      <c r="H18345" s="5">
        <f>HYPERLINK("https://api.qogita.com/variants/link/8004395007523/", "View Product")</f>
        <v/>
      </c>
    </row>
    <row r="18346">
      <c r="A18346" t="inlineStr">
        <is>
          <t>8004395007721</t>
        </is>
      </c>
      <c r="B18346" t="inlineStr">
        <is>
          <t>Proraso Cypress &amp; Vetyver Eau de Cologne 100ml</t>
        </is>
      </c>
      <c r="C18346" t="inlineStr">
        <is>
          <t>Eau De Cologne</t>
        </is>
      </c>
      <c r="D18346" t="inlineStr">
        <is>
          <t>Proraso</t>
        </is>
      </c>
      <c r="E18346" t="n">
        <v>12.07</v>
      </c>
      <c r="F18346" t="n">
        <v>1</v>
      </c>
      <c r="G18346" t="n">
        <v>5</v>
      </c>
      <c r="H18346" s="5">
        <f>HYPERLINK("https://api.qogita.com/variants/link/8004395007721/", "View Product")</f>
        <v/>
      </c>
    </row>
    <row r="18347">
      <c r="A18347" t="inlineStr">
        <is>
          <t>8004395007820</t>
        </is>
      </c>
      <c r="B18347" t="inlineStr">
        <is>
          <t>Proraso Cypress &amp; Vetyver After Shave Balm 100 Ml</t>
        </is>
      </c>
      <c r="C18347" t="inlineStr">
        <is>
          <t>Aftershave</t>
        </is>
      </c>
      <c r="D18347" t="inlineStr">
        <is>
          <t>Proraso</t>
        </is>
      </c>
      <c r="E18347" t="n">
        <v>6.83</v>
      </c>
      <c r="F18347" t="n">
        <v>1</v>
      </c>
      <c r="G18347" t="n">
        <v>31</v>
      </c>
      <c r="H18347" s="5">
        <f>HYPERLINK("https://api.qogita.com/variants/link/8004395007820/", "View Product")</f>
        <v/>
      </c>
    </row>
    <row r="18348">
      <c r="A18348" t="inlineStr">
        <is>
          <t>8004395009039</t>
        </is>
      </c>
      <c r="B18348" t="inlineStr">
        <is>
          <t>Proraso Blue Preshaving Cream 100ml</t>
        </is>
      </c>
      <c r="C18348" t="inlineStr">
        <is>
          <t>Shaving</t>
        </is>
      </c>
      <c r="D18348" t="inlineStr">
        <is>
          <t>Proraso</t>
        </is>
      </c>
      <c r="E18348" t="n">
        <v>4.26</v>
      </c>
      <c r="F18348" t="n">
        <v>1</v>
      </c>
      <c r="G18348" t="n">
        <v>10</v>
      </c>
      <c r="H18348" s="5">
        <f>HYPERLINK("https://api.qogita.com/variants/link/8004395009039/", "View Product")</f>
        <v/>
      </c>
    </row>
    <row r="18349">
      <c r="A18349" t="inlineStr">
        <is>
          <t>8004395009497</t>
        </is>
      </c>
      <c r="B18349" t="inlineStr">
        <is>
          <t>Proraso Karite Butter Shaving Foam 400ml</t>
        </is>
      </c>
      <c r="C18349" t="inlineStr">
        <is>
          <t>Aftershave</t>
        </is>
      </c>
      <c r="D18349" t="inlineStr">
        <is>
          <t>Proraso</t>
        </is>
      </c>
      <c r="E18349" t="n">
        <v>3.1</v>
      </c>
      <c r="F18349" t="n">
        <v>1</v>
      </c>
      <c r="G18349" t="n">
        <v>4</v>
      </c>
      <c r="H18349" s="5">
        <f>HYPERLINK("https://api.qogita.com/variants/link/8004395009497/", "View Product")</f>
        <v/>
      </c>
    </row>
    <row r="18350">
      <c r="A18350" t="inlineStr">
        <is>
          <t>8004395009657</t>
        </is>
      </c>
      <c r="B18350" t="inlineStr">
        <is>
          <t>Proraso Refreshing Shaving Foam With Eucalyptus 100ml</t>
        </is>
      </c>
      <c r="C18350" t="inlineStr">
        <is>
          <t>Shaving</t>
        </is>
      </c>
      <c r="D18350" t="inlineStr">
        <is>
          <t>Proraso</t>
        </is>
      </c>
      <c r="E18350" t="n">
        <v>2.67</v>
      </c>
      <c r="F18350" t="n">
        <v>1</v>
      </c>
      <c r="G18350" t="n">
        <v>5</v>
      </c>
      <c r="H18350" s="5">
        <f>HYPERLINK("https://api.qogita.com/variants/link/8004395009657/", "View Product")</f>
        <v/>
      </c>
    </row>
    <row r="18351">
      <c r="A18351" t="inlineStr">
        <is>
          <t>8004608226703</t>
        </is>
      </c>
      <c r="B18351" t="inlineStr">
        <is>
          <t>Davines Authentic Forms Moisturizing Balsam 150ml</t>
        </is>
      </c>
      <c r="C18351" t="inlineStr">
        <is>
          <t>Conditioner</t>
        </is>
      </c>
      <c r="D18351" t="inlineStr">
        <is>
          <t>Davines</t>
        </is>
      </c>
      <c r="E18351" t="n">
        <v>23.06</v>
      </c>
      <c r="F18351" t="n">
        <v>1</v>
      </c>
      <c r="G18351" t="n">
        <v>5</v>
      </c>
      <c r="H18351" s="5">
        <f>HYPERLINK("https://api.qogita.com/variants/link/8004608226703/", "View Product")</f>
        <v/>
      </c>
    </row>
    <row r="18352">
      <c r="A18352" t="inlineStr">
        <is>
          <t>8004608234944</t>
        </is>
      </c>
      <c r="B18352" t="inlineStr">
        <is>
          <t>Davines Ntech Mini Well-Being Conditioner 60ml</t>
        </is>
      </c>
      <c r="C18352" t="inlineStr">
        <is>
          <t>Conditioner</t>
        </is>
      </c>
      <c r="D18352" t="inlineStr">
        <is>
          <t>Davines</t>
        </is>
      </c>
      <c r="E18352" t="n">
        <v>11.81</v>
      </c>
      <c r="F18352" t="n">
        <v>1</v>
      </c>
      <c r="G18352" t="n">
        <v>3</v>
      </c>
      <c r="H18352" s="5">
        <f>HYPERLINK("https://api.qogita.com/variants/link/8004608234944/", "View Product")</f>
        <v/>
      </c>
    </row>
    <row r="18353">
      <c r="A18353" t="inlineStr">
        <is>
          <t>8004608242000</t>
        </is>
      </c>
      <c r="B18353" t="inlineStr">
        <is>
          <t>Davines Nounou Nourishing Shampoo 33.8oz 1000ml</t>
        </is>
      </c>
      <c r="C18353" t="inlineStr">
        <is>
          <t>Shampoo</t>
        </is>
      </c>
      <c r="D18353" t="inlineStr">
        <is>
          <t>Davines</t>
        </is>
      </c>
      <c r="E18353" t="n">
        <v>46.64</v>
      </c>
      <c r="F18353" t="n">
        <v>1</v>
      </c>
      <c r="G18353" t="n">
        <v>5</v>
      </c>
      <c r="H18353" s="5">
        <f>HYPERLINK("https://api.qogita.com/variants/link/8004608242000/", "View Product")</f>
        <v/>
      </c>
    </row>
    <row r="18354">
      <c r="A18354" t="inlineStr">
        <is>
          <t>8004608246206</t>
        </is>
      </c>
      <c r="B18354" t="inlineStr">
        <is>
          <t>Davines Essential Haircare MELU Shampoo 250ml</t>
        </is>
      </c>
      <c r="C18354" t="inlineStr">
        <is>
          <t>Shampoo</t>
        </is>
      </c>
      <c r="D18354" t="inlineStr">
        <is>
          <t>Davines</t>
        </is>
      </c>
      <c r="E18354" t="n">
        <v>18.68</v>
      </c>
      <c r="F18354" t="n">
        <v>1</v>
      </c>
      <c r="G18354" t="n">
        <v>40</v>
      </c>
      <c r="H18354" s="5">
        <f>HYPERLINK("https://api.qogita.com/variants/link/8004608246206/", "View Product")</f>
        <v/>
      </c>
    </row>
    <row r="18355">
      <c r="A18355" t="inlineStr">
        <is>
          <t>8004608247654</t>
        </is>
      </c>
      <c r="B18355" t="inlineStr">
        <is>
          <t>Davines OI Shampoo 90ml</t>
        </is>
      </c>
      <c r="C18355" t="inlineStr">
        <is>
          <t>Shampoo</t>
        </is>
      </c>
      <c r="D18355" t="inlineStr">
        <is>
          <t>Davines</t>
        </is>
      </c>
      <c r="E18355" t="n">
        <v>12.02</v>
      </c>
      <c r="F18355" t="n">
        <v>1</v>
      </c>
      <c r="G18355" t="n">
        <v>3</v>
      </c>
      <c r="H18355" s="5">
        <f>HYPERLINK("https://api.qogita.com/variants/link/8004608247654/", "View Product")</f>
        <v/>
      </c>
    </row>
    <row r="18356">
      <c r="A18356" t="inlineStr">
        <is>
          <t>8004608248958</t>
        </is>
      </c>
      <c r="B18356" t="inlineStr">
        <is>
          <t>Davines More Inside Forming Pomade 75ml</t>
        </is>
      </c>
      <c r="C18356" t="inlineStr">
        <is>
          <t>Wax</t>
        </is>
      </c>
      <c r="D18356" t="inlineStr">
        <is>
          <t>Davines</t>
        </is>
      </c>
      <c r="E18356" t="n">
        <v>25.46</v>
      </c>
      <c r="F18356" t="n">
        <v>1</v>
      </c>
      <c r="G18356" t="n">
        <v>5</v>
      </c>
      <c r="H18356" s="5">
        <f>HYPERLINK("https://api.qogita.com/variants/link/8004608248958/", "View Product")</f>
        <v/>
      </c>
    </row>
    <row r="18357">
      <c r="A18357" t="inlineStr">
        <is>
          <t>8004608253419</t>
        </is>
      </c>
      <c r="B18357" t="inlineStr">
        <is>
          <t>Davines Nounou Conditioner Travel Size 75ml</t>
        </is>
      </c>
      <c r="C18357" t="inlineStr">
        <is>
          <t>Conditioner</t>
        </is>
      </c>
      <c r="D18357" t="inlineStr">
        <is>
          <t>Davines</t>
        </is>
      </c>
      <c r="E18357" t="n">
        <v>9.99</v>
      </c>
      <c r="F18357" t="n">
        <v>1</v>
      </c>
      <c r="G18357" t="n">
        <v>3</v>
      </c>
      <c r="H18357" s="5">
        <f>HYPERLINK("https://api.qogita.com/variants/link/8004608253419/", "View Product")</f>
        <v/>
      </c>
    </row>
    <row r="18358">
      <c r="A18358" t="inlineStr">
        <is>
          <t>8004608255499</t>
        </is>
      </c>
      <c r="B18358" t="inlineStr">
        <is>
          <t>Naturaltech Natural Tech Mini Energizing Shampoo 100ml</t>
        </is>
      </c>
      <c r="C18358" t="inlineStr">
        <is>
          <t>Shampoo</t>
        </is>
      </c>
      <c r="D18358" t="inlineStr">
        <is>
          <t>Davines</t>
        </is>
      </c>
      <c r="E18358" t="n">
        <v>10.49</v>
      </c>
      <c r="F18358" t="n">
        <v>1</v>
      </c>
      <c r="G18358" t="n">
        <v>5</v>
      </c>
      <c r="H18358" s="5">
        <f>HYPERLINK("https://api.qogita.com/variants/link/8004608255499/", "View Product")</f>
        <v/>
      </c>
    </row>
    <row r="18359">
      <c r="A18359" t="inlineStr">
        <is>
          <t>8004608256786</t>
        </is>
      </c>
      <c r="B18359" t="inlineStr">
        <is>
          <t>Davines Naturaltech Well-Being Moisturizing Shampoo For Normal Or Slightly Dry Hair 100ml</t>
        </is>
      </c>
      <c r="C18359" t="inlineStr">
        <is>
          <t>Shampoo</t>
        </is>
      </c>
      <c r="D18359" t="inlineStr">
        <is>
          <t>Davines</t>
        </is>
      </c>
      <c r="E18359" t="n">
        <v>10.49</v>
      </c>
      <c r="F18359" t="n">
        <v>1</v>
      </c>
      <c r="G18359" t="n">
        <v>4</v>
      </c>
      <c r="H18359" s="5">
        <f>HYPERLINK("https://api.qogita.com/variants/link/8004608256786/", "View Product")</f>
        <v/>
      </c>
    </row>
    <row r="18360">
      <c r="A18360" t="inlineStr">
        <is>
          <t>8004608257110</t>
        </is>
      </c>
      <c r="B18360" t="inlineStr">
        <is>
          <t>Davines Essential Haircare Love Curl Shampoo</t>
        </is>
      </c>
      <c r="C18360" t="inlineStr">
        <is>
          <t>Shampoo</t>
        </is>
      </c>
      <c r="D18360" t="inlineStr">
        <is>
          <t>Davines</t>
        </is>
      </c>
      <c r="E18360" t="n">
        <v>11.16</v>
      </c>
      <c r="F18360" t="n">
        <v>1</v>
      </c>
      <c r="G18360" t="n">
        <v>6</v>
      </c>
      <c r="H18360" s="5">
        <f>HYPERLINK("https://api.qogita.com/variants/link/8004608257110/", "View Product")</f>
        <v/>
      </c>
    </row>
    <row r="18361">
      <c r="A18361" t="inlineStr">
        <is>
          <t>8004608257172</t>
        </is>
      </c>
      <c r="B18361" t="inlineStr">
        <is>
          <t>Davines Love Curl Cleansing Cream 500ml</t>
        </is>
      </c>
      <c r="C18361" t="inlineStr">
        <is>
          <t>Shampoo</t>
        </is>
      </c>
      <c r="D18361" t="inlineStr">
        <is>
          <t>Davines</t>
        </is>
      </c>
      <c r="E18361" t="n">
        <v>32.66</v>
      </c>
      <c r="F18361" t="n">
        <v>1</v>
      </c>
      <c r="G18361" t="n">
        <v>11</v>
      </c>
      <c r="H18361" s="5">
        <f>HYPERLINK("https://api.qogita.com/variants/link/8004608257172/", "View Product")</f>
        <v/>
      </c>
    </row>
    <row r="18362">
      <c r="A18362" t="inlineStr">
        <is>
          <t>8004608257189</t>
        </is>
      </c>
      <c r="B18362" t="inlineStr">
        <is>
          <t>Davines Love Curl Primer Milk for Wavy Hair 150ml</t>
        </is>
      </c>
      <c r="C18362" t="inlineStr">
        <is>
          <t>Leave-In Conditioner</t>
        </is>
      </c>
      <c r="D18362" t="inlineStr">
        <is>
          <t>Davines</t>
        </is>
      </c>
      <c r="E18362" t="n">
        <v>26.44</v>
      </c>
      <c r="F18362" t="n">
        <v>1</v>
      </c>
      <c r="G18362" t="n">
        <v>5</v>
      </c>
      <c r="H18362" s="5">
        <f>HYPERLINK("https://api.qogita.com/variants/link/8004608257189/", "View Product")</f>
        <v/>
      </c>
    </row>
    <row r="18363">
      <c r="A18363" t="inlineStr">
        <is>
          <t>8004608258179</t>
        </is>
      </c>
      <c r="B18363" t="inlineStr">
        <is>
          <t>Davines The Purity Circle Mask For Hair &amp; Scalp 50ml</t>
        </is>
      </c>
      <c r="C18363" t="inlineStr">
        <is>
          <t>Hair Masks</t>
        </is>
      </c>
      <c r="D18363" t="inlineStr">
        <is>
          <t>Davines</t>
        </is>
      </c>
      <c r="E18363" t="n">
        <v>10.64</v>
      </c>
      <c r="F18363" t="n">
        <v>1</v>
      </c>
      <c r="G18363" t="n">
        <v>3</v>
      </c>
      <c r="H18363" s="5">
        <f>HYPERLINK("https://api.qogita.com/variants/link/8004608258179/", "View Product")</f>
        <v/>
      </c>
    </row>
    <row r="18364">
      <c r="A18364" t="inlineStr">
        <is>
          <t>8004608258346</t>
        </is>
      </c>
      <c r="B18364" t="inlineStr">
        <is>
          <t>Davines Aromatic Shampoo and Hair Milk Spray 250ml</t>
        </is>
      </c>
      <c r="C18364" t="inlineStr">
        <is>
          <t>Shampoo</t>
        </is>
      </c>
      <c r="D18364" t="inlineStr">
        <is>
          <t>Davines</t>
        </is>
      </c>
      <c r="E18364" t="n">
        <v>24.7</v>
      </c>
      <c r="F18364" t="n">
        <v>1</v>
      </c>
      <c r="G18364" t="n">
        <v>5</v>
      </c>
      <c r="H18364" s="5">
        <f>HYPERLINK("https://api.qogita.com/variants/link/8004608258346/", "View Product")</f>
        <v/>
      </c>
    </row>
    <row r="18365">
      <c r="A18365" t="inlineStr">
        <is>
          <t>8004608259022</t>
        </is>
      </c>
      <c r="B18365" t="inlineStr">
        <is>
          <t>Davines Alchemic Conditioner Copper 250ml</t>
        </is>
      </c>
      <c r="C18365" t="inlineStr">
        <is>
          <t>Conditioner</t>
        </is>
      </c>
      <c r="D18365" t="inlineStr">
        <is>
          <t>Davines</t>
        </is>
      </c>
      <c r="E18365" t="n">
        <v>26.14</v>
      </c>
      <c r="F18365" t="n">
        <v>1</v>
      </c>
      <c r="G18365" t="n">
        <v>2</v>
      </c>
      <c r="H18365" s="5">
        <f>HYPERLINK("https://api.qogita.com/variants/link/8004608259022/", "View Product")</f>
        <v/>
      </c>
    </row>
    <row r="18366">
      <c r="A18366" t="inlineStr">
        <is>
          <t>8004608261810</t>
        </is>
      </c>
      <c r="B18366" t="inlineStr">
        <is>
          <t>Davines SU Hair &amp; Body Wash 75ml</t>
        </is>
      </c>
      <c r="C18366" t="inlineStr">
        <is>
          <t>Shower Gel</t>
        </is>
      </c>
      <c r="D18366" t="inlineStr">
        <is>
          <t>Davines</t>
        </is>
      </c>
      <c r="E18366" t="n">
        <v>10.06</v>
      </c>
      <c r="F18366" t="n">
        <v>1</v>
      </c>
      <c r="G18366" t="n">
        <v>5</v>
      </c>
      <c r="H18366" s="5">
        <f>HYPERLINK("https://api.qogita.com/variants/link/8004608261810/", "View Product")</f>
        <v/>
      </c>
    </row>
    <row r="18367">
      <c r="A18367" t="inlineStr">
        <is>
          <t>8004608264583</t>
        </is>
      </c>
      <c r="B18367" t="inlineStr">
        <is>
          <t>Davines OI Hair Butter 1000ml</t>
        </is>
      </c>
      <c r="C18367" t="inlineStr">
        <is>
          <t>Conditioner</t>
        </is>
      </c>
      <c r="D18367" t="inlineStr">
        <is>
          <t>Davines</t>
        </is>
      </c>
      <c r="E18367" t="n">
        <v>103.88</v>
      </c>
      <c r="F18367" t="n">
        <v>1</v>
      </c>
      <c r="G18367" t="n">
        <v>3</v>
      </c>
      <c r="H18367" s="5">
        <f>HYPERLINK("https://api.qogita.com/variants/link/8004608264583/", "View Product")</f>
        <v/>
      </c>
    </row>
    <row r="18368">
      <c r="A18368" t="inlineStr">
        <is>
          <t>8004608266006</t>
        </is>
      </c>
      <c r="B18368" t="inlineStr">
        <is>
          <t>Davines Solu Sea Salt Scrub Cleanser 3.57 Ounce</t>
        </is>
      </c>
      <c r="C18368" t="inlineStr">
        <is>
          <t>Shampoo</t>
        </is>
      </c>
      <c r="D18368" t="inlineStr">
        <is>
          <t>Davines</t>
        </is>
      </c>
      <c r="E18368" t="n">
        <v>9.99</v>
      </c>
      <c r="F18368" t="n">
        <v>1</v>
      </c>
      <c r="G18368" t="n">
        <v>5</v>
      </c>
      <c r="H18368" s="5">
        <f>HYPERLINK("https://api.qogita.com/variants/link/8004608266006/", "View Product")</f>
        <v/>
      </c>
    </row>
    <row r="18369">
      <c r="A18369" t="inlineStr">
        <is>
          <t>8004608266501</t>
        </is>
      </c>
      <c r="B18369" t="inlineStr">
        <is>
          <t>Davines OI Conditioner 1000ml</t>
        </is>
      </c>
      <c r="C18369" t="inlineStr">
        <is>
          <t>Conditioner</t>
        </is>
      </c>
      <c r="D18369" t="inlineStr">
        <is>
          <t>Davines</t>
        </is>
      </c>
      <c r="E18369" t="n">
        <v>83.26000000000001</v>
      </c>
      <c r="F18369" t="n">
        <v>1</v>
      </c>
      <c r="G18369" t="n">
        <v>2</v>
      </c>
      <c r="H18369" s="5">
        <f>HYPERLINK("https://api.qogita.com/variants/link/8004608266501/", "View Product")</f>
        <v/>
      </c>
    </row>
    <row r="18370">
      <c r="A18370" t="inlineStr">
        <is>
          <t>8004608271680</t>
        </is>
      </c>
      <c r="B18370" t="inlineStr">
        <is>
          <t>Davines Heart of Glass Silkening Shampoo for Blonde Care 3.04 Fl Oz</t>
        </is>
      </c>
      <c r="C18370" t="inlineStr">
        <is>
          <t>Shampoo</t>
        </is>
      </c>
      <c r="D18370" t="inlineStr">
        <is>
          <t>Davines</t>
        </is>
      </c>
      <c r="E18370" t="n">
        <v>10.45</v>
      </c>
      <c r="F18370" t="n">
        <v>1</v>
      </c>
      <c r="G18370" t="n">
        <v>3</v>
      </c>
      <c r="H18370" s="5">
        <f>HYPERLINK("https://api.qogita.com/variants/link/8004608271680/", "View Product")</f>
        <v/>
      </c>
    </row>
    <row r="18371">
      <c r="A18371" t="inlineStr">
        <is>
          <t>8004608271710</t>
        </is>
      </c>
      <c r="B18371" t="inlineStr">
        <is>
          <t>Davines Heart Of Glass Rich Conditioner For Blond Hair</t>
        </is>
      </c>
      <c r="C18371" t="inlineStr">
        <is>
          <t>Conditioner</t>
        </is>
      </c>
      <c r="D18371" t="inlineStr">
        <is>
          <t>Davines</t>
        </is>
      </c>
      <c r="E18371" t="n">
        <v>11.39</v>
      </c>
      <c r="F18371" t="n">
        <v>1</v>
      </c>
      <c r="G18371" t="n">
        <v>2</v>
      </c>
      <c r="H18371" s="5">
        <f>HYPERLINK("https://api.qogita.com/variants/link/8004608271710/", "View Product")</f>
        <v/>
      </c>
    </row>
    <row r="18372">
      <c r="A18372" t="inlineStr">
        <is>
          <t>8004608271741</t>
        </is>
      </c>
      <c r="B18372" t="inlineStr">
        <is>
          <t>Davines Heart Of Glass Sheer Glaze Brightening Thermal Fluid</t>
        </is>
      </c>
      <c r="C18372" t="inlineStr">
        <is>
          <t>Uv Protection</t>
        </is>
      </c>
      <c r="D18372" t="inlineStr">
        <is>
          <t>Davines</t>
        </is>
      </c>
      <c r="E18372" t="n">
        <v>26.69</v>
      </c>
      <c r="F18372" t="n">
        <v>1</v>
      </c>
      <c r="G18372" t="n">
        <v>5</v>
      </c>
      <c r="H18372" s="5">
        <f>HYPERLINK("https://api.qogita.com/variants/link/8004608271741/", "View Product")</f>
        <v/>
      </c>
    </row>
    <row r="18373">
      <c r="A18373" t="inlineStr">
        <is>
          <t>8004608274865</t>
        </is>
      </c>
      <c r="B18373" t="inlineStr">
        <is>
          <t>Davines LOVE Shampoo Gentle Cleansing for Frizzy or Coarse Hair 8.45 Fl Oz</t>
        </is>
      </c>
      <c r="C18373" t="inlineStr">
        <is>
          <t>Shampoo</t>
        </is>
      </c>
      <c r="D18373" t="inlineStr">
        <is>
          <t>Davines</t>
        </is>
      </c>
      <c r="E18373" t="n">
        <v>18.68</v>
      </c>
      <c r="F18373" t="n">
        <v>1</v>
      </c>
      <c r="G18373" t="n">
        <v>3</v>
      </c>
      <c r="H18373" s="5">
        <f>HYPERLINK("https://api.qogita.com/variants/link/8004608274865/", "View Product")</f>
        <v/>
      </c>
    </row>
    <row r="18374">
      <c r="A18374" t="inlineStr">
        <is>
          <t>8004608275558</t>
        </is>
      </c>
      <c r="B18374" t="inlineStr">
        <is>
          <t>Davines LOVE Smoothing Perfector Thermal Serum for Coarse or Frizzy Hair 5 fl. oz.</t>
        </is>
      </c>
      <c r="C18374" t="inlineStr">
        <is>
          <t>Hair Oil &amp; Hair Serum</t>
        </is>
      </c>
      <c r="D18374" t="inlineStr">
        <is>
          <t>Davines</t>
        </is>
      </c>
      <c r="E18374" t="n">
        <v>29.05</v>
      </c>
      <c r="F18374" t="n">
        <v>1</v>
      </c>
      <c r="G18374" t="n">
        <v>3</v>
      </c>
      <c r="H18374" s="5">
        <f>HYPERLINK("https://api.qogita.com/variants/link/8004608275558/", "View Product")</f>
        <v/>
      </c>
    </row>
    <row r="18375">
      <c r="A18375" t="inlineStr">
        <is>
          <t>8004608275565</t>
        </is>
      </c>
      <c r="B18375" t="inlineStr">
        <is>
          <t>Davines Love Smoothing Instant Mask 250ml</t>
        </is>
      </c>
      <c r="C18375" t="inlineStr">
        <is>
          <t>Hair Masks</t>
        </is>
      </c>
      <c r="D18375" t="inlineStr">
        <is>
          <t>Davines</t>
        </is>
      </c>
      <c r="E18375" t="n">
        <v>28.01</v>
      </c>
      <c r="F18375" t="n">
        <v>1</v>
      </c>
      <c r="G18375" t="n">
        <v>2</v>
      </c>
      <c r="H18375" s="5">
        <f>HYPERLINK("https://api.qogita.com/variants/link/8004608275565/", "View Product")</f>
        <v/>
      </c>
    </row>
    <row r="18376">
      <c r="A18376" t="inlineStr">
        <is>
          <t>8004608275879</t>
        </is>
      </c>
      <c r="B18376" t="inlineStr">
        <is>
          <t>Davines Essential Haircare Minu Conditioner Protective Conditioner For Colored Hair 250ml</t>
        </is>
      </c>
      <c r="C18376" t="inlineStr">
        <is>
          <t>Conditioner</t>
        </is>
      </c>
      <c r="D18376" t="inlineStr">
        <is>
          <t>Davines</t>
        </is>
      </c>
      <c r="E18376" t="n">
        <v>20.56</v>
      </c>
      <c r="F18376" t="n">
        <v>1</v>
      </c>
      <c r="G18376" t="n">
        <v>3</v>
      </c>
      <c r="H18376" s="5">
        <f>HYPERLINK("https://api.qogita.com/variants/link/8004608275879/", "View Product")</f>
        <v/>
      </c>
    </row>
    <row r="18377">
      <c r="A18377" t="inlineStr">
        <is>
          <t>8004608279341</t>
        </is>
      </c>
      <c r="B18377" t="inlineStr">
        <is>
          <t>Davines Natural Tech Rebalancing Shampoo For Oily Hair</t>
        </is>
      </c>
      <c r="C18377" t="inlineStr">
        <is>
          <t>Shampoo</t>
        </is>
      </c>
      <c r="D18377" t="inlineStr">
        <is>
          <t>Davines</t>
        </is>
      </c>
      <c r="E18377" t="n">
        <v>11.22</v>
      </c>
      <c r="F18377" t="n">
        <v>1</v>
      </c>
      <c r="G18377" t="n">
        <v>5</v>
      </c>
      <c r="H18377" s="5">
        <f>HYPERLINK("https://api.qogita.com/variants/link/8004608279341/", "View Product")</f>
        <v/>
      </c>
    </row>
    <row r="18378">
      <c r="A18378" t="inlineStr">
        <is>
          <t>8004608279358</t>
        </is>
      </c>
      <c r="B18378" t="inlineStr">
        <is>
          <t>Davines Natural Tech Rebalancing Shampoo For Oily Hair</t>
        </is>
      </c>
      <c r="C18378" t="inlineStr">
        <is>
          <t>Shampoo</t>
        </is>
      </c>
      <c r="D18378" t="inlineStr">
        <is>
          <t>Davines</t>
        </is>
      </c>
      <c r="E18378" t="n">
        <v>48.81</v>
      </c>
      <c r="F18378" t="n">
        <v>1</v>
      </c>
      <c r="G18378" t="n">
        <v>4</v>
      </c>
      <c r="H18378" s="5">
        <f>HYPERLINK("https://api.qogita.com/variants/link/8004608279358/", "View Product")</f>
        <v/>
      </c>
    </row>
    <row r="18379">
      <c r="A18379" t="inlineStr">
        <is>
          <t>8004608286950</t>
        </is>
      </c>
      <c r="B18379" t="inlineStr">
        <is>
          <t>Davines This is a Primer for Natural Shine Anti-Humidity and Bodyfying Effect 8.45 oz.</t>
        </is>
      </c>
      <c r="C18379" t="inlineStr">
        <is>
          <t>Hair Oil &amp; Hair Serum</t>
        </is>
      </c>
      <c r="D18379" t="inlineStr">
        <is>
          <t>Davines</t>
        </is>
      </c>
      <c r="E18379" t="n">
        <v>24.58</v>
      </c>
      <c r="F18379" t="n">
        <v>1</v>
      </c>
      <c r="G18379" t="n">
        <v>2</v>
      </c>
      <c r="H18379" s="5">
        <f>HYPERLINK("https://api.qogita.com/variants/link/8004608286950/", "View Product")</f>
        <v/>
      </c>
    </row>
    <row r="18380">
      <c r="A18380" t="inlineStr">
        <is>
          <t>8004995638349</t>
        </is>
      </c>
      <c r="B18380" t="inlineStr">
        <is>
          <t>Aquolina Cassis Pink Pepper Eau De Toilette 100ml Women's Spray</t>
        </is>
      </c>
      <c r="C18380" t="inlineStr">
        <is>
          <t>Eau De Toilette</t>
        </is>
      </c>
      <c r="D18380" t="inlineStr">
        <is>
          <t>Aquolina</t>
        </is>
      </c>
      <c r="E18380" t="n">
        <v>14.93</v>
      </c>
      <c r="F18380" t="n">
        <v>1</v>
      </c>
      <c r="G18380" t="n">
        <v>6</v>
      </c>
      <c r="H18380" s="5">
        <f>HYPERLINK("https://api.qogita.com/variants/link/8004995638349/", "View Product")</f>
        <v/>
      </c>
    </row>
    <row r="18381">
      <c r="A18381" t="inlineStr">
        <is>
          <t>8005610255613</t>
        </is>
      </c>
      <c r="B18381" t="inlineStr">
        <is>
          <t>Hugo Boss Boss Bottled Tonic Eau De Toilette 50ml For Men</t>
        </is>
      </c>
      <c r="C18381" t="inlineStr">
        <is>
          <t>Eau De Toilette</t>
        </is>
      </c>
      <c r="D18381" t="inlineStr">
        <is>
          <t>Hugo Boss</t>
        </is>
      </c>
      <c r="E18381" t="n">
        <v>33.06</v>
      </c>
      <c r="F18381" t="n">
        <v>1</v>
      </c>
      <c r="G18381" t="n">
        <v>29</v>
      </c>
      <c r="H18381" s="5">
        <f>HYPERLINK("https://api.qogita.com/variants/link/8005610255613/", "View Product")</f>
        <v/>
      </c>
    </row>
    <row r="18382">
      <c r="A18382" t="inlineStr">
        <is>
          <t>8005610255835</t>
        </is>
      </c>
      <c r="B18382" t="inlineStr">
        <is>
          <t>Bruno Banani Woman's Best Eau De Toilette Spray 20ml</t>
        </is>
      </c>
      <c r="C18382" t="inlineStr">
        <is>
          <t>Eau De Toilette</t>
        </is>
      </c>
      <c r="D18382" t="inlineStr">
        <is>
          <t>Bruno Banani</t>
        </is>
      </c>
      <c r="E18382" t="n">
        <v>6.2</v>
      </c>
      <c r="F18382" t="n">
        <v>1</v>
      </c>
      <c r="G18382" t="n">
        <v>7</v>
      </c>
      <c r="H18382" s="5">
        <f>HYPERLINK("https://api.qogita.com/variants/link/8005610255835/", "View Product")</f>
        <v/>
      </c>
    </row>
    <row r="18383">
      <c r="A18383" t="inlineStr">
        <is>
          <t>8005610255866</t>
        </is>
      </c>
      <c r="B18383" t="inlineStr">
        <is>
          <t>Bruno Banani Woman's Best Eau De Toilette Spray 30ml</t>
        </is>
      </c>
      <c r="C18383" t="inlineStr">
        <is>
          <t>Eau De Toilette</t>
        </is>
      </c>
      <c r="D18383" t="inlineStr">
        <is>
          <t>Bruno Banani</t>
        </is>
      </c>
      <c r="E18383" t="n">
        <v>7.54</v>
      </c>
      <c r="F18383" t="n">
        <v>1</v>
      </c>
      <c r="G18383" t="n">
        <v>10</v>
      </c>
      <c r="H18383" s="5">
        <f>HYPERLINK("https://api.qogita.com/variants/link/8005610255866/", "View Product")</f>
        <v/>
      </c>
    </row>
    <row r="18384">
      <c r="A18384" t="inlineStr">
        <is>
          <t>8005610270777</t>
        </is>
      </c>
      <c r="B18384" t="inlineStr">
        <is>
          <t>Wella Color Renew Activator Liquid 500ml</t>
        </is>
      </c>
      <c r="C18384" t="inlineStr">
        <is>
          <t>Hair Dye</t>
        </is>
      </c>
      <c r="D18384" t="inlineStr">
        <is>
          <t>Wella</t>
        </is>
      </c>
      <c r="E18384" t="n">
        <v>10.36</v>
      </c>
      <c r="F18384" t="n">
        <v>1</v>
      </c>
      <c r="G18384" t="n">
        <v>3</v>
      </c>
      <c r="H18384" s="5">
        <f>HYPERLINK("https://api.qogita.com/variants/link/8005610270777/", "View Product")</f>
        <v/>
      </c>
    </row>
    <row r="18385">
      <c r="A18385" t="inlineStr">
        <is>
          <t>8005610295046</t>
        </is>
      </c>
      <c r="B18385" t="inlineStr">
        <is>
          <t>Gucci Bamboo Eau De Toilette 50ml Women's Spray</t>
        </is>
      </c>
      <c r="C18385" t="inlineStr">
        <is>
          <t>Eau De Toilette</t>
        </is>
      </c>
      <c r="D18385" t="inlineStr">
        <is>
          <t>Gucci</t>
        </is>
      </c>
      <c r="E18385" t="n">
        <v>50.09</v>
      </c>
      <c r="F18385" t="n">
        <v>1</v>
      </c>
      <c r="G18385" t="n">
        <v>9</v>
      </c>
      <c r="H18385" s="5">
        <f>HYPERLINK("https://api.qogita.com/variants/link/8005610295046/", "View Product")</f>
        <v/>
      </c>
    </row>
    <row r="18386">
      <c r="A18386" t="inlineStr">
        <is>
          <t>8005610298894</t>
        </is>
      </c>
      <c r="B18386" t="inlineStr">
        <is>
          <t>Hugo Boss Hugo Boss The Scent For Her Eau De Parfum Spray 50ml</t>
        </is>
      </c>
      <c r="C18386" t="inlineStr">
        <is>
          <t>Eau De Parfum</t>
        </is>
      </c>
      <c r="D18386" t="inlineStr">
        <is>
          <t>Hugo Boss</t>
        </is>
      </c>
      <c r="E18386" t="n">
        <v>39.82</v>
      </c>
      <c r="F18386" t="n">
        <v>1</v>
      </c>
      <c r="G18386" t="n">
        <v>13</v>
      </c>
      <c r="H18386" s="5">
        <f>HYPERLINK("https://api.qogita.com/variants/link/8005610298894/", "View Product")</f>
        <v/>
      </c>
    </row>
    <row r="18387">
      <c r="A18387" t="inlineStr">
        <is>
          <t>8005610327686</t>
        </is>
      </c>
      <c r="B18387" t="inlineStr">
        <is>
          <t>Mexx Look Up Now Men Eau De Toilette Spray 30ml</t>
        </is>
      </c>
      <c r="C18387" t="inlineStr">
        <is>
          <t>Eau De Toilette</t>
        </is>
      </c>
      <c r="D18387" t="inlineStr">
        <is>
          <t>Mexx</t>
        </is>
      </c>
      <c r="E18387" t="n">
        <v>7.51</v>
      </c>
      <c r="F18387" t="n">
        <v>1</v>
      </c>
      <c r="G18387" t="n">
        <v>29</v>
      </c>
      <c r="H18387" s="5">
        <f>HYPERLINK("https://api.qogita.com/variants/link/8005610327686/", "View Product")</f>
        <v/>
      </c>
    </row>
    <row r="18388">
      <c r="A18388" t="inlineStr">
        <is>
          <t>8005610328799</t>
        </is>
      </c>
      <c r="B18388" t="inlineStr">
        <is>
          <t>Gucci Rush Eau De Toilette Spray 75ml By Gucci</t>
        </is>
      </c>
      <c r="C18388" t="inlineStr">
        <is>
          <t>Eau De Toilette</t>
        </is>
      </c>
      <c r="D18388" t="inlineStr">
        <is>
          <t>Gucci</t>
        </is>
      </c>
      <c r="E18388" t="n">
        <v>37.65</v>
      </c>
      <c r="F18388" t="n">
        <v>1</v>
      </c>
      <c r="G18388" t="n">
        <v>8</v>
      </c>
      <c r="H18388" s="5">
        <f>HYPERLINK("https://api.qogita.com/variants/link/8005610328799/", "View Product")</f>
        <v/>
      </c>
    </row>
    <row r="18389">
      <c r="A18389" t="inlineStr">
        <is>
          <t>8005610344157</t>
        </is>
      </c>
      <c r="B18389" t="inlineStr">
        <is>
          <t>Gucci Guilty Absolute Eau De Parfum For Men 90ml Spray</t>
        </is>
      </c>
      <c r="C18389" t="inlineStr">
        <is>
          <t>Eau De Parfum</t>
        </is>
      </c>
      <c r="D18389" t="inlineStr">
        <is>
          <t>Gucci</t>
        </is>
      </c>
      <c r="E18389" t="n">
        <v>71.31</v>
      </c>
      <c r="F18389" t="n">
        <v>1</v>
      </c>
      <c r="G18389" t="n">
        <v>3</v>
      </c>
      <c r="H18389" s="5">
        <f>HYPERLINK("https://api.qogita.com/variants/link/8005610344157/", "View Product")</f>
        <v/>
      </c>
    </row>
    <row r="18390">
      <c r="A18390" t="inlineStr">
        <is>
          <t>8005610426730</t>
        </is>
      </c>
      <c r="B18390" t="inlineStr">
        <is>
          <t>Sebastian Professional Twisted Curl Mask 150ml For Curly And Wavy Hair</t>
        </is>
      </c>
      <c r="C18390" t="inlineStr">
        <is>
          <t>Hair Masks</t>
        </is>
      </c>
      <c r="D18390" t="inlineStr">
        <is>
          <t>Sebastian Professional</t>
        </is>
      </c>
      <c r="E18390" t="n">
        <v>16.12</v>
      </c>
      <c r="F18390" t="n">
        <v>1</v>
      </c>
      <c r="G18390" t="n">
        <v>17</v>
      </c>
      <c r="H18390" s="5">
        <f>HYPERLINK("https://api.qogita.com/variants/link/8005610426730/", "View Product")</f>
        <v/>
      </c>
    </row>
    <row r="18391">
      <c r="A18391" t="inlineStr">
        <is>
          <t>8005610434247</t>
        </is>
      </c>
      <c r="B18391" t="inlineStr">
        <is>
          <t>Max Factor Honey Lacquer Lip Gloss 40 Regale Burgundy 38 Ml</t>
        </is>
      </c>
      <c r="C18391" t="inlineStr">
        <is>
          <t>Lip Gloss</t>
        </is>
      </c>
      <c r="D18391" t="inlineStr">
        <is>
          <t>Max Factor</t>
        </is>
      </c>
      <c r="E18391" t="n">
        <v>2.16</v>
      </c>
      <c r="F18391" t="n">
        <v>1</v>
      </c>
      <c r="G18391" t="n">
        <v>5</v>
      </c>
      <c r="H18391" s="5">
        <f>HYPERLINK("https://api.qogita.com/variants/link/8005610434247/", "View Product")</f>
        <v/>
      </c>
    </row>
    <row r="18392">
      <c r="A18392" t="inlineStr">
        <is>
          <t>8005610499413</t>
        </is>
      </c>
      <c r="B18392" t="inlineStr">
        <is>
          <t>Nioxin Deep Conditioner &amp; Treatments 100ml</t>
        </is>
      </c>
      <c r="C18392" t="inlineStr">
        <is>
          <t>Conditioner</t>
        </is>
      </c>
      <c r="D18392" t="inlineStr">
        <is>
          <t>Nioxin</t>
        </is>
      </c>
      <c r="E18392" t="n">
        <v>14.59</v>
      </c>
      <c r="F18392" t="n">
        <v>1</v>
      </c>
      <c r="G18392" t="n">
        <v>19</v>
      </c>
      <c r="H18392" s="5">
        <f>HYPERLINK("https://api.qogita.com/variants/link/8005610499413/", "View Product")</f>
        <v/>
      </c>
    </row>
    <row r="18393">
      <c r="A18393" t="inlineStr">
        <is>
          <t>8005610516134</t>
        </is>
      </c>
      <c r="B18393" t="inlineStr">
        <is>
          <t>Escada Celebrate Now Eau De Parfum Spray 80 Ml For Women</t>
        </is>
      </c>
      <c r="C18393" t="inlineStr">
        <is>
          <t>Eau De Parfum</t>
        </is>
      </c>
      <c r="D18393" t="inlineStr">
        <is>
          <t>Escada</t>
        </is>
      </c>
      <c r="E18393" t="n">
        <v>19.31</v>
      </c>
      <c r="F18393" t="n">
        <v>1</v>
      </c>
      <c r="G18393" t="n">
        <v>382</v>
      </c>
      <c r="H18393" s="5">
        <f>HYPERLINK("https://api.qogita.com/variants/link/8005610516134/", "View Product")</f>
        <v/>
      </c>
    </row>
    <row r="18394">
      <c r="A18394" t="inlineStr">
        <is>
          <t>8005610524177</t>
        </is>
      </c>
      <c r="B18394" t="inlineStr">
        <is>
          <t>Gucci Guilty Absolute Pour Femme Eau De Parfum Spray 90ml</t>
        </is>
      </c>
      <c r="C18394" t="inlineStr">
        <is>
          <t>Eau De Parfum</t>
        </is>
      </c>
      <c r="D18394" t="inlineStr">
        <is>
          <t>Gucci</t>
        </is>
      </c>
      <c r="E18394" t="n">
        <v>70.43000000000001</v>
      </c>
      <c r="F18394" t="n">
        <v>1</v>
      </c>
      <c r="G18394" t="n">
        <v>23</v>
      </c>
      <c r="H18394" s="5">
        <f>HYPERLINK("https://api.qogita.com/variants/link/8005610524177/", "View Product")</f>
        <v/>
      </c>
    </row>
    <row r="18395">
      <c r="A18395" t="inlineStr">
        <is>
          <t>8005610529141</t>
        </is>
      </c>
      <c r="B18395" t="inlineStr">
        <is>
          <t>Wella Color Touch Rich Naturals Ammonia Free 60ml</t>
        </is>
      </c>
      <c r="C18395" t="inlineStr">
        <is>
          <t>Hair Dye</t>
        </is>
      </c>
      <c r="D18395" t="inlineStr">
        <is>
          <t>Wella</t>
        </is>
      </c>
      <c r="E18395" t="n">
        <v>7.54</v>
      </c>
      <c r="F18395" t="n">
        <v>1</v>
      </c>
      <c r="G18395" t="n">
        <v>3</v>
      </c>
      <c r="H18395" s="5">
        <f>HYPERLINK("https://api.qogita.com/variants/link/8005610529141/", "View Product")</f>
        <v/>
      </c>
    </row>
    <row r="18396">
      <c r="A18396" t="inlineStr">
        <is>
          <t>8005610531274</t>
        </is>
      </c>
      <c r="B18396" t="inlineStr">
        <is>
          <t>Wella Professionals Oil Reflections Conditioner Shining Hair Conditioner 200ml</t>
        </is>
      </c>
      <c r="C18396" t="inlineStr">
        <is>
          <t>Conditioner</t>
        </is>
      </c>
      <c r="D18396" t="inlineStr">
        <is>
          <t>Wella Professionals</t>
        </is>
      </c>
      <c r="E18396" t="n">
        <v>10.76</v>
      </c>
      <c r="F18396" t="n">
        <v>1</v>
      </c>
      <c r="G18396" t="n">
        <v>9</v>
      </c>
      <c r="H18396" s="5">
        <f>HYPERLINK("https://api.qogita.com/variants/link/8005610531274/", "View Product")</f>
        <v/>
      </c>
    </row>
    <row r="18397">
      <c r="A18397" t="inlineStr">
        <is>
          <t>8005610532356</t>
        </is>
      </c>
      <c r="B18397" t="inlineStr">
        <is>
          <t>Wella Professionals Eimi Shape Control Extra Thick Foam Molding Hair 300 Ml</t>
        </is>
      </c>
      <c r="C18397" t="inlineStr">
        <is>
          <t>Mousse</t>
        </is>
      </c>
      <c r="D18397" t="inlineStr">
        <is>
          <t>Wella Professionals</t>
        </is>
      </c>
      <c r="E18397" t="n">
        <v>8.699999999999999</v>
      </c>
      <c r="F18397" t="n">
        <v>1</v>
      </c>
      <c r="G18397" t="n">
        <v>14</v>
      </c>
      <c r="H18397" s="5">
        <f>HYPERLINK("https://api.qogita.com/variants/link/8005610532356/", "View Product")</f>
        <v/>
      </c>
    </row>
    <row r="18398">
      <c r="A18398" t="inlineStr">
        <is>
          <t>8005610532837</t>
        </is>
      </c>
      <c r="B18398" t="inlineStr">
        <is>
          <t>Wella Professionals Eimi Dynamic Fix Crafting Spray 500ml</t>
        </is>
      </c>
      <c r="C18398" t="inlineStr">
        <is>
          <t>Hairspray</t>
        </is>
      </c>
      <c r="D18398" t="inlineStr">
        <is>
          <t>Wella Professionals</t>
        </is>
      </c>
      <c r="E18398" t="n">
        <v>9.199999999999999</v>
      </c>
      <c r="F18398" t="n">
        <v>1</v>
      </c>
      <c r="G18398" t="n">
        <v>60</v>
      </c>
      <c r="H18398" s="5">
        <f>HYPERLINK("https://api.qogita.com/variants/link/8005610532837/", "View Product")</f>
        <v/>
      </c>
    </row>
    <row r="18399">
      <c r="A18399" t="inlineStr">
        <is>
          <t>8005610538921</t>
        </is>
      </c>
      <c r="B18399" t="inlineStr">
        <is>
          <t>Wella Illumina Color 731 60ml Hair Color</t>
        </is>
      </c>
      <c r="C18399" t="inlineStr">
        <is>
          <t>Hair Dye</t>
        </is>
      </c>
      <c r="D18399" t="inlineStr">
        <is>
          <t>Wella</t>
        </is>
      </c>
      <c r="E18399" t="n">
        <v>7.69</v>
      </c>
      <c r="F18399" t="n">
        <v>1</v>
      </c>
      <c r="G18399" t="n">
        <v>12</v>
      </c>
      <c r="H18399" s="5">
        <f>HYPERLINK("https://api.qogita.com/variants/link/8005610538921/", "View Product")</f>
        <v/>
      </c>
    </row>
    <row r="18400">
      <c r="A18400" t="inlineStr">
        <is>
          <t>8005610539348</t>
        </is>
      </c>
      <c r="B18400" t="inlineStr">
        <is>
          <t>Wella Illumina Color 1038 60ml Hair Color</t>
        </is>
      </c>
      <c r="C18400" t="inlineStr">
        <is>
          <t>Hair Dye</t>
        </is>
      </c>
      <c r="D18400" t="inlineStr">
        <is>
          <t>Wella</t>
        </is>
      </c>
      <c r="E18400" t="n">
        <v>7.34</v>
      </c>
      <c r="F18400" t="n">
        <v>1</v>
      </c>
      <c r="G18400" t="n">
        <v>3</v>
      </c>
      <c r="H18400" s="5">
        <f>HYPERLINK("https://api.qogita.com/variants/link/8005610539348/", "View Product")</f>
        <v/>
      </c>
    </row>
    <row r="18401">
      <c r="A18401" t="inlineStr">
        <is>
          <t>8005610545875</t>
        </is>
      </c>
      <c r="B18401" t="inlineStr">
        <is>
          <t>Wella Instamatic by Color Touch Pastel Colors Ammonia-Free Hair Color 60ml</t>
        </is>
      </c>
      <c r="C18401" t="inlineStr">
        <is>
          <t>Hair Dye</t>
        </is>
      </c>
      <c r="D18401" t="inlineStr">
        <is>
          <t>Wella</t>
        </is>
      </c>
      <c r="E18401" t="n">
        <v>6.31</v>
      </c>
      <c r="F18401" t="n">
        <v>1</v>
      </c>
      <c r="G18401" t="n">
        <v>2</v>
      </c>
      <c r="H18401" s="5">
        <f>HYPERLINK("https://api.qogita.com/variants/link/8005610545875/", "View Product")</f>
        <v/>
      </c>
    </row>
    <row r="18402">
      <c r="A18402" t="inlineStr">
        <is>
          <t>8005610563602</t>
        </is>
      </c>
      <c r="B18402" t="inlineStr">
        <is>
          <t>Wella Magma By Blondor Post Treatment 0.22kg</t>
        </is>
      </c>
      <c r="C18402" t="inlineStr">
        <is>
          <t>Hair Care Sets</t>
        </is>
      </c>
      <c r="D18402" t="inlineStr">
        <is>
          <t>Wella</t>
        </is>
      </c>
      <c r="E18402" t="n">
        <v>20.3</v>
      </c>
      <c r="F18402" t="n">
        <v>1</v>
      </c>
      <c r="G18402" t="n">
        <v>21</v>
      </c>
      <c r="H18402" s="5">
        <f>HYPERLINK("https://api.qogita.com/variants/link/8005610563602/", "View Product")</f>
        <v/>
      </c>
    </row>
    <row r="18403">
      <c r="A18403" t="inlineStr">
        <is>
          <t>8005610563817</t>
        </is>
      </c>
      <c r="B18403" t="inlineStr">
        <is>
          <t>Wella EIMI Dynamic Fix 45 Second Modeling Spray Hair Spray for Flexibility Style and Protection from External Influences like Moisture UV Rays and Heat Protection Spray for Flat Iron 75ml</t>
        </is>
      </c>
      <c r="C18403" t="inlineStr">
        <is>
          <t>Hairspray</t>
        </is>
      </c>
      <c r="D18403" t="inlineStr">
        <is>
          <t>Wella</t>
        </is>
      </c>
      <c r="E18403" t="n">
        <v>4.58</v>
      </c>
      <c r="F18403" t="n">
        <v>1</v>
      </c>
      <c r="G18403" t="n">
        <v>14</v>
      </c>
      <c r="H18403" s="5">
        <f>HYPERLINK("https://api.qogita.com/variants/link/8005610563817/", "View Product")</f>
        <v/>
      </c>
    </row>
    <row r="18404">
      <c r="A18404" t="inlineStr">
        <is>
          <t>8005610563848</t>
        </is>
      </c>
      <c r="B18404" t="inlineStr">
        <is>
          <t>Wella Professionals Eimi Natural Volume Styling Mousse 75ml</t>
        </is>
      </c>
      <c r="C18404" t="inlineStr">
        <is>
          <t>Mousse</t>
        </is>
      </c>
      <c r="D18404" t="inlineStr">
        <is>
          <t>Wella Professionals</t>
        </is>
      </c>
      <c r="E18404" t="n">
        <v>4.22</v>
      </c>
      <c r="F18404" t="n">
        <v>1</v>
      </c>
      <c r="G18404" t="n">
        <v>5</v>
      </c>
      <c r="H18404" s="5">
        <f>HYPERLINK("https://api.qogita.com/variants/link/8005610563848/", "View Product")</f>
        <v/>
      </c>
    </row>
    <row r="18405">
      <c r="A18405" t="inlineStr">
        <is>
          <t>8005610568997</t>
        </is>
      </c>
      <c r="B18405" t="inlineStr">
        <is>
          <t>Sebastian Professional Reshaper Hairspray 50 Ml</t>
        </is>
      </c>
      <c r="C18405" t="inlineStr">
        <is>
          <t>Hairspray</t>
        </is>
      </c>
      <c r="D18405" t="inlineStr">
        <is>
          <t>Sebastian Professional</t>
        </is>
      </c>
      <c r="E18405" t="n">
        <v>5.16</v>
      </c>
      <c r="F18405" t="n">
        <v>1</v>
      </c>
      <c r="G18405" t="n">
        <v>2</v>
      </c>
      <c r="H18405" s="5">
        <f>HYPERLINK("https://api.qogita.com/variants/link/8005610568997/", "View Product")</f>
        <v/>
      </c>
    </row>
    <row r="18406">
      <c r="A18406" t="inlineStr">
        <is>
          <t>8005610569475</t>
        </is>
      </c>
      <c r="B18406" t="inlineStr">
        <is>
          <t>Sebastian Professional Cellophanes Semipermanent Hair Gloss 300 Ml Vanilla Blond</t>
        </is>
      </c>
      <c r="C18406" t="inlineStr">
        <is>
          <t>Hair Care Sets</t>
        </is>
      </c>
      <c r="D18406" t="inlineStr">
        <is>
          <t>Sebastian Professional</t>
        </is>
      </c>
      <c r="E18406" t="n">
        <v>29.23</v>
      </c>
      <c r="F18406" t="n">
        <v>1</v>
      </c>
      <c r="G18406" t="n">
        <v>5</v>
      </c>
      <c r="H18406" s="5">
        <f>HYPERLINK("https://api.qogita.com/variants/link/8005610569475/", "View Product")</f>
        <v/>
      </c>
    </row>
    <row r="18407">
      <c r="A18407" t="inlineStr">
        <is>
          <t>8005610579917</t>
        </is>
      </c>
      <c r="B18407" t="inlineStr">
        <is>
          <t>Nioxin 3D Styling Hair Thickening Gel Strong Hold for Thin Hair 140ml</t>
        </is>
      </c>
      <c r="C18407" t="inlineStr">
        <is>
          <t>Gel</t>
        </is>
      </c>
      <c r="D18407" t="inlineStr">
        <is>
          <t>Nioxin</t>
        </is>
      </c>
      <c r="E18407" t="n">
        <v>20.92</v>
      </c>
      <c r="F18407" t="n">
        <v>1</v>
      </c>
      <c r="G18407" t="n">
        <v>4</v>
      </c>
      <c r="H18407" s="5">
        <f>HYPERLINK("https://api.qogita.com/variants/link/8005610579917/", "View Product")</f>
        <v/>
      </c>
    </row>
    <row r="18408">
      <c r="A18408" t="inlineStr">
        <is>
          <t>8005610587929</t>
        </is>
      </c>
      <c r="B18408" t="inlineStr">
        <is>
          <t>Wella Professionals EIMI Flexible Finish 250ml</t>
        </is>
      </c>
      <c r="C18408" t="inlineStr">
        <is>
          <t>Styling Sprays</t>
        </is>
      </c>
      <c r="D18408" t="inlineStr">
        <is>
          <t>Wella</t>
        </is>
      </c>
      <c r="E18408" t="n">
        <v>8.81</v>
      </c>
      <c r="F18408" t="n">
        <v>1</v>
      </c>
      <c r="G18408" t="n">
        <v>10</v>
      </c>
      <c r="H18408" s="5">
        <f>HYPERLINK("https://api.qogita.com/variants/link/8005610587929/", "View Product")</f>
        <v/>
      </c>
    </row>
    <row r="18409">
      <c r="A18409" t="inlineStr">
        <is>
          <t>8005610588490</t>
        </is>
      </c>
      <c r="B18409" t="inlineStr">
        <is>
          <t>Wella Eimi Just Brilliant Shine Pomade 75ml - Hair Shine Pomade</t>
        </is>
      </c>
      <c r="C18409" t="inlineStr">
        <is>
          <t>Styling Creams</t>
        </is>
      </c>
      <c r="D18409" t="inlineStr">
        <is>
          <t>Wella</t>
        </is>
      </c>
      <c r="E18409" t="n">
        <v>6.59</v>
      </c>
      <c r="F18409" t="n">
        <v>1</v>
      </c>
      <c r="G18409" t="n">
        <v>26</v>
      </c>
      <c r="H18409" s="5">
        <f>HYPERLINK("https://api.qogita.com/variants/link/8005610588490/", "View Product")</f>
        <v/>
      </c>
    </row>
    <row r="18410">
      <c r="A18410" t="inlineStr">
        <is>
          <t>8005610604299</t>
        </is>
      </c>
      <c r="B18410" t="inlineStr">
        <is>
          <t>Londa Professional Deep Moisture Conditioner - 1000ml</t>
        </is>
      </c>
      <c r="C18410" t="inlineStr">
        <is>
          <t>Conditioner</t>
        </is>
      </c>
      <c r="D18410" t="inlineStr">
        <is>
          <t>Londa Professional</t>
        </is>
      </c>
      <c r="E18410" t="n">
        <v>11.03</v>
      </c>
      <c r="F18410" t="n">
        <v>1</v>
      </c>
      <c r="G18410" t="n">
        <v>25</v>
      </c>
      <c r="H18410" s="5">
        <f>HYPERLINK("https://api.qogita.com/variants/link/8005610604299/", "View Product")</f>
        <v/>
      </c>
    </row>
    <row r="18411">
      <c r="A18411" t="inlineStr">
        <is>
          <t>8005610604381</t>
        </is>
      </c>
      <c r="B18411" t="inlineStr">
        <is>
          <t>Londa Professional Color Radiance Conditioner For Radiant Hair Color</t>
        </is>
      </c>
      <c r="C18411" t="inlineStr">
        <is>
          <t>Conditioner</t>
        </is>
      </c>
      <c r="D18411" t="inlineStr">
        <is>
          <t>Londa Professional</t>
        </is>
      </c>
      <c r="E18411" t="n">
        <v>9.58</v>
      </c>
      <c r="F18411" t="n">
        <v>1</v>
      </c>
      <c r="G18411" t="n">
        <v>20</v>
      </c>
      <c r="H18411" s="5">
        <f>HYPERLINK("https://api.qogita.com/variants/link/8005610604381/", "View Product")</f>
        <v/>
      </c>
    </row>
    <row r="18412">
      <c r="A18412" t="inlineStr">
        <is>
          <t>8005610604411</t>
        </is>
      </c>
      <c r="B18412" t="inlineStr">
        <is>
          <t>Londa Professional Vital Booster Shampoo 1000ml</t>
        </is>
      </c>
      <c r="C18412" t="inlineStr">
        <is>
          <t>Shampoo</t>
        </is>
      </c>
      <c r="D18412" t="inlineStr">
        <is>
          <t>Londa</t>
        </is>
      </c>
      <c r="E18412" t="n">
        <v>11.98</v>
      </c>
      <c r="F18412" t="n">
        <v>1</v>
      </c>
      <c r="G18412" t="n">
        <v>9</v>
      </c>
      <c r="H18412" s="5">
        <f>HYPERLINK("https://api.qogita.com/variants/link/8005610604411/", "View Product")</f>
        <v/>
      </c>
    </row>
    <row r="18413">
      <c r="A18413" t="inlineStr">
        <is>
          <t>8005610605234</t>
        </is>
      </c>
      <c r="B18413" t="inlineStr">
        <is>
          <t>Londa Color Rad Mask 200ml</t>
        </is>
      </c>
      <c r="C18413" t="inlineStr">
        <is>
          <t>Hair Masks</t>
        </is>
      </c>
      <c r="D18413" t="inlineStr">
        <is>
          <t>Londa</t>
        </is>
      </c>
      <c r="E18413" t="n">
        <v>7.09</v>
      </c>
      <c r="F18413" t="n">
        <v>1</v>
      </c>
      <c r="G18413" t="n">
        <v>8</v>
      </c>
      <c r="H18413" s="5">
        <f>HYPERLINK("https://api.qogita.com/variants/link/8005610605234/", "View Product")</f>
        <v/>
      </c>
    </row>
    <row r="18414">
      <c r="A18414" t="inlineStr">
        <is>
          <t>8005610605593</t>
        </is>
      </c>
      <c r="B18414" t="inlineStr">
        <is>
          <t>Londa Styling Volumen Enhance Volume Mousse 250ml</t>
        </is>
      </c>
      <c r="C18414" t="inlineStr">
        <is>
          <t>Mousse</t>
        </is>
      </c>
      <c r="D18414" t="inlineStr">
        <is>
          <t>Londa</t>
        </is>
      </c>
      <c r="E18414" t="n">
        <v>6.07</v>
      </c>
      <c r="F18414" t="n">
        <v>1</v>
      </c>
      <c r="G18414" t="n">
        <v>3</v>
      </c>
      <c r="H18414" s="5">
        <f>HYPERLINK("https://api.qogita.com/variants/link/8005610605593/", "View Product")</f>
        <v/>
      </c>
    </row>
    <row r="18415">
      <c r="A18415" t="inlineStr">
        <is>
          <t>8005610606606</t>
        </is>
      </c>
      <c r="B18415" t="inlineStr">
        <is>
          <t>Londa Professional Men Change Over Remoldable Paste - 75ml</t>
        </is>
      </c>
      <c r="C18415" t="inlineStr">
        <is>
          <t>Wax</t>
        </is>
      </c>
      <c r="D18415" t="inlineStr">
        <is>
          <t>Londa Professional</t>
        </is>
      </c>
      <c r="E18415" t="n">
        <v>5.06</v>
      </c>
      <c r="F18415" t="n">
        <v>1</v>
      </c>
      <c r="G18415" t="n">
        <v>9</v>
      </c>
      <c r="H18415" s="5">
        <f>HYPERLINK("https://api.qogita.com/variants/link/8005610606606/", "View Product")</f>
        <v/>
      </c>
    </row>
    <row r="18416">
      <c r="A18416" t="inlineStr">
        <is>
          <t>8005610606781</t>
        </is>
      </c>
      <c r="B18416" t="inlineStr">
        <is>
          <t>Londa Professional Oxidations Emulsion For Permanent Hair Cream 1000 Ml</t>
        </is>
      </c>
      <c r="C18416" t="inlineStr">
        <is>
          <t>Hair Dye</t>
        </is>
      </c>
      <c r="D18416" t="inlineStr">
        <is>
          <t>Londa Professional</t>
        </is>
      </c>
      <c r="E18416" t="n">
        <v>4.28</v>
      </c>
      <c r="F18416" t="n">
        <v>1</v>
      </c>
      <c r="G18416" t="n">
        <v>40</v>
      </c>
      <c r="H18416" s="5">
        <f>HYPERLINK("https://api.qogita.com/variants/link/8005610606781/", "View Product")</f>
        <v/>
      </c>
    </row>
    <row r="18417">
      <c r="A18417" t="inlineStr">
        <is>
          <t>8005610606941</t>
        </is>
      </c>
      <c r="B18417" t="inlineStr">
        <is>
          <t>Londa Professional Men Solidify It Extreme Hold Gel 100 Ml Hair Gel With Extra Strong Fixation</t>
        </is>
      </c>
      <c r="C18417" t="inlineStr">
        <is>
          <t>Gel</t>
        </is>
      </c>
      <c r="D18417" t="inlineStr">
        <is>
          <t>Londa Professional</t>
        </is>
      </c>
      <c r="E18417" t="n">
        <v>4.95</v>
      </c>
      <c r="F18417" t="n">
        <v>1</v>
      </c>
      <c r="G18417" t="n">
        <v>23</v>
      </c>
      <c r="H18417" s="5">
        <f>HYPERLINK("https://api.qogita.com/variants/link/8005610606941/", "View Product")</f>
        <v/>
      </c>
    </row>
    <row r="18418">
      <c r="A18418" t="inlineStr">
        <is>
          <t>8005610618562</t>
        </is>
      </c>
      <c r="B18418" t="inlineStr">
        <is>
          <t>Mexx Forever Classic Never Boring For Her Eau De Parfum Spray 15ml</t>
        </is>
      </c>
      <c r="C18418" t="inlineStr">
        <is>
          <t>Eau De Parfum</t>
        </is>
      </c>
      <c r="D18418" t="inlineStr">
        <is>
          <t>Mexx</t>
        </is>
      </c>
      <c r="E18418" t="n">
        <v>2.94</v>
      </c>
      <c r="F18418" t="n">
        <v>1</v>
      </c>
      <c r="G18418" t="n">
        <v>24</v>
      </c>
      <c r="H18418" s="5">
        <f>HYPERLINK("https://api.qogita.com/variants/link/8005610618562/", "View Product")</f>
        <v/>
      </c>
    </row>
    <row r="18419">
      <c r="A18419" t="inlineStr">
        <is>
          <t>8005610624402</t>
        </is>
      </c>
      <c r="B18419" t="inlineStr">
        <is>
          <t>Max Factor Lipfinity Lipcolour 24h 115 Confident Long Lasting Lipstick 42 Grams</t>
        </is>
      </c>
      <c r="C18419" t="inlineStr">
        <is>
          <t>Lipstick</t>
        </is>
      </c>
      <c r="D18419" t="inlineStr">
        <is>
          <t>Max Factor</t>
        </is>
      </c>
      <c r="E18419" t="n">
        <v>6.56</v>
      </c>
      <c r="F18419" t="n">
        <v>1</v>
      </c>
      <c r="G18419" t="n">
        <v>8</v>
      </c>
      <c r="H18419" s="5">
        <f>HYPERLINK("https://api.qogita.com/variants/link/8005610624402/", "View Product")</f>
        <v/>
      </c>
    </row>
    <row r="18420">
      <c r="A18420" t="inlineStr">
        <is>
          <t>8005610625249</t>
        </is>
      </c>
      <c r="B18420" t="inlineStr">
        <is>
          <t>Max Factor Lipfinity 24hrs Long Lasting Lipstick 001 Pearly Nude 42 Grams</t>
        </is>
      </c>
      <c r="C18420" t="inlineStr">
        <is>
          <t>Lipstick</t>
        </is>
      </c>
      <c r="D18420" t="inlineStr">
        <is>
          <t>Max Factor</t>
        </is>
      </c>
      <c r="E18420" t="n">
        <v>8.460000000000001</v>
      </c>
      <c r="F18420" t="n">
        <v>1</v>
      </c>
      <c r="G18420" t="n">
        <v>2</v>
      </c>
      <c r="H18420" s="5">
        <f>HYPERLINK("https://api.qogita.com/variants/link/8005610625249/", "View Product")</f>
        <v/>
      </c>
    </row>
    <row r="18421">
      <c r="A18421" t="inlineStr">
        <is>
          <t>8005610626673</t>
        </is>
      </c>
      <c r="B18421" t="inlineStr">
        <is>
          <t>Wella Koleston Perfect Me+ 6/75 Dark Blonde Brown-Mahogany 60ml</t>
        </is>
      </c>
      <c r="C18421" t="inlineStr">
        <is>
          <t>Hair Dye</t>
        </is>
      </c>
      <c r="D18421" t="inlineStr">
        <is>
          <t>Wella Professionals</t>
        </is>
      </c>
      <c r="E18421" t="n">
        <v>7.27</v>
      </c>
      <c r="F18421" t="n">
        <v>1</v>
      </c>
      <c r="G18421" t="n">
        <v>3</v>
      </c>
      <c r="H18421" s="5">
        <f>HYPERLINK("https://api.qogita.com/variants/link/8005610626673/", "View Product")</f>
        <v/>
      </c>
    </row>
    <row r="18422">
      <c r="A18422" t="inlineStr">
        <is>
          <t>8005610628585</t>
        </is>
      </c>
      <c r="B18422" t="inlineStr">
        <is>
          <t>Wella Professional Koleston Perfect Me Pure Naturals Permanent Hair Color 6655</t>
        </is>
      </c>
      <c r="C18422" t="inlineStr">
        <is>
          <t>Hair Dye</t>
        </is>
      </c>
      <c r="D18422" t="inlineStr">
        <is>
          <t>Wella Professionals</t>
        </is>
      </c>
      <c r="E18422" t="n">
        <v>7.1</v>
      </c>
      <c r="F18422" t="n">
        <v>1</v>
      </c>
      <c r="G18422" t="n">
        <v>3</v>
      </c>
      <c r="H18422" s="5">
        <f>HYPERLINK("https://api.qogita.com/variants/link/8005610628585/", "View Product")</f>
        <v/>
      </c>
    </row>
    <row r="18423">
      <c r="A18423" t="inlineStr">
        <is>
          <t>8005610640082</t>
        </is>
      </c>
      <c r="B18423" t="inlineStr">
        <is>
          <t>Wella Professionals Eimi Mistify Me Strong Hairspray Strong Fixation Fast Drying 300ml</t>
        </is>
      </c>
      <c r="C18423" t="inlineStr">
        <is>
          <t>Hairspray</t>
        </is>
      </c>
      <c r="D18423" t="inlineStr">
        <is>
          <t>Wella Professionals</t>
        </is>
      </c>
      <c r="E18423" t="n">
        <v>6.95</v>
      </c>
      <c r="F18423" t="n">
        <v>1</v>
      </c>
      <c r="G18423" t="n">
        <v>11</v>
      </c>
      <c r="H18423" s="5">
        <f>HYPERLINK("https://api.qogita.com/variants/link/8005610640082/", "View Product")</f>
        <v/>
      </c>
    </row>
    <row r="18424">
      <c r="A18424" t="inlineStr">
        <is>
          <t>8005610640327</t>
        </is>
      </c>
      <c r="B18424" t="inlineStr">
        <is>
          <t>Wella Professionals Eimi Mistify Strong Hairspray 500ml Fast Drying Hairspray With Strong Fixation</t>
        </is>
      </c>
      <c r="C18424" t="inlineStr">
        <is>
          <t>Hairspray</t>
        </is>
      </c>
      <c r="D18424" t="inlineStr">
        <is>
          <t>Wella Professionals</t>
        </is>
      </c>
      <c r="E18424" t="n">
        <v>8.140000000000001</v>
      </c>
      <c r="F18424" t="n">
        <v>1</v>
      </c>
      <c r="G18424" t="n">
        <v>10</v>
      </c>
      <c r="H18424" s="5">
        <f>HYPERLINK("https://api.qogita.com/variants/link/8005610640327/", "View Product")</f>
        <v/>
      </c>
    </row>
    <row r="18425">
      <c r="A18425" t="inlineStr">
        <is>
          <t>8005610640419</t>
        </is>
      </c>
      <c r="B18425" t="inlineStr">
        <is>
          <t>Wella Professionals Eimi Mistify Me Light Hairspray - 500ml</t>
        </is>
      </c>
      <c r="C18425" t="inlineStr">
        <is>
          <t>Hairspray</t>
        </is>
      </c>
      <c r="D18425" t="inlineStr">
        <is>
          <t>Wella Professionals</t>
        </is>
      </c>
      <c r="E18425" t="n">
        <v>11.41</v>
      </c>
      <c r="F18425" t="n">
        <v>1</v>
      </c>
      <c r="G18425" t="n">
        <v>7</v>
      </c>
      <c r="H18425" s="5">
        <f>HYPERLINK("https://api.qogita.com/variants/link/8005610640419/", "View Product")</f>
        <v/>
      </c>
    </row>
    <row r="18426">
      <c r="A18426" t="inlineStr">
        <is>
          <t>8005610642406</t>
        </is>
      </c>
      <c r="B18426" t="inlineStr">
        <is>
          <t>Wella Professionals Invigo Aqua Pure Deep Cleansing Shampoo 250ml</t>
        </is>
      </c>
      <c r="C18426" t="inlineStr">
        <is>
          <t>Shampoo</t>
        </is>
      </c>
      <c r="D18426" t="inlineStr">
        <is>
          <t>Wella</t>
        </is>
      </c>
      <c r="E18426" t="n">
        <v>5.06</v>
      </c>
      <c r="F18426" t="n">
        <v>1</v>
      </c>
      <c r="G18426" t="n">
        <v>94</v>
      </c>
      <c r="H18426" s="5">
        <f>HYPERLINK("https://api.qogita.com/variants/link/8005610642406/", "View Product")</f>
        <v/>
      </c>
    </row>
    <row r="18427">
      <c r="A18427" t="inlineStr">
        <is>
          <t>8005610647746</t>
        </is>
      </c>
      <c r="B18427" t="inlineStr">
        <is>
          <t>Wella Hair Color Developer 60ml</t>
        </is>
      </c>
      <c r="C18427" t="inlineStr">
        <is>
          <t>Hair Dye</t>
        </is>
      </c>
      <c r="D18427" t="inlineStr">
        <is>
          <t>Wella Professionals</t>
        </is>
      </c>
      <c r="E18427" t="n">
        <v>7.54</v>
      </c>
      <c r="F18427" t="n">
        <v>1</v>
      </c>
      <c r="G18427" t="n">
        <v>2</v>
      </c>
      <c r="H18427" s="5">
        <f>HYPERLINK("https://api.qogita.com/variants/link/8005610647746/", "View Product")</f>
        <v/>
      </c>
    </row>
    <row r="18428">
      <c r="A18428" t="inlineStr">
        <is>
          <t>8005610648842</t>
        </is>
      </c>
      <c r="B18428" t="inlineStr">
        <is>
          <t>Wella Koleston Perfect Vibrant Reds 747 60ml</t>
        </is>
      </c>
      <c r="C18428" t="inlineStr">
        <is>
          <t>Hair Dye</t>
        </is>
      </c>
      <c r="D18428" t="inlineStr">
        <is>
          <t>Wella</t>
        </is>
      </c>
      <c r="E18428" t="n">
        <v>7.54</v>
      </c>
      <c r="F18428" t="n">
        <v>1</v>
      </c>
      <c r="G18428" t="n">
        <v>3</v>
      </c>
      <c r="H18428" s="5">
        <f>HYPERLINK("https://api.qogita.com/variants/link/8005610648842/", "View Product")</f>
        <v/>
      </c>
    </row>
    <row r="18429">
      <c r="A18429" t="inlineStr">
        <is>
          <t>8005610649504</t>
        </is>
      </c>
      <c r="B18429" t="inlineStr">
        <is>
          <t>Wella Koleston Perfect Me+ Pure Naturals Blonde Hair Dye 60ml</t>
        </is>
      </c>
      <c r="C18429" t="inlineStr">
        <is>
          <t>Hair Dye</t>
        </is>
      </c>
      <c r="D18429" t="inlineStr">
        <is>
          <t>Wella</t>
        </is>
      </c>
      <c r="E18429" t="n">
        <v>6.83</v>
      </c>
      <c r="F18429" t="n">
        <v>1</v>
      </c>
      <c r="G18429" t="n">
        <v>3</v>
      </c>
      <c r="H18429" s="5">
        <f>HYPERLINK("https://api.qogita.com/variants/link/8005610649504/", "View Product")</f>
        <v/>
      </c>
    </row>
    <row r="18430">
      <c r="A18430" t="inlineStr">
        <is>
          <t>8005610660431</t>
        </is>
      </c>
      <c r="B18430" t="inlineStr">
        <is>
          <t>Wella Koleston Perfect ME+ 5/07 60ml</t>
        </is>
      </c>
      <c r="C18430" t="inlineStr">
        <is>
          <t>Hair Dye</t>
        </is>
      </c>
      <c r="D18430" t="inlineStr">
        <is>
          <t>Wella</t>
        </is>
      </c>
      <c r="E18430" t="n">
        <v>7.54</v>
      </c>
      <c r="F18430" t="n">
        <v>1</v>
      </c>
      <c r="G18430" t="n">
        <v>2</v>
      </c>
      <c r="H18430" s="5">
        <f>HYPERLINK("https://api.qogita.com/variants/link/8005610660431/", "View Product")</f>
        <v/>
      </c>
    </row>
    <row r="18431">
      <c r="A18431" t="inlineStr">
        <is>
          <t>8005610660882</t>
        </is>
      </c>
      <c r="B18431" t="inlineStr">
        <is>
          <t>Wella KP Me+ 5/00 Light Brown-Natural-int. Koleston Perfect Pure Naturals 60ml</t>
        </is>
      </c>
      <c r="C18431" t="inlineStr">
        <is>
          <t>Hair Dye</t>
        </is>
      </c>
      <c r="D18431" t="inlineStr">
        <is>
          <t>Wella</t>
        </is>
      </c>
      <c r="E18431" t="n">
        <v>6.98</v>
      </c>
      <c r="F18431" t="n">
        <v>1</v>
      </c>
      <c r="G18431" t="n">
        <v>5</v>
      </c>
      <c r="H18431" s="5">
        <f>HYPERLINK("https://api.qogita.com/variants/link/8005610660882/", "View Product")</f>
        <v/>
      </c>
    </row>
    <row r="18432">
      <c r="A18432" t="inlineStr">
        <is>
          <t>8005610661087</t>
        </is>
      </c>
      <c r="B18432" t="inlineStr">
        <is>
          <t>Wella Professional Koleston Perfect Me Rich Naturals Permanent Hair Color 63</t>
        </is>
      </c>
      <c r="C18432" t="inlineStr">
        <is>
          <t>Hair Dye</t>
        </is>
      </c>
      <c r="D18432" t="inlineStr">
        <is>
          <t>Wella Professionals</t>
        </is>
      </c>
      <c r="E18432" t="n">
        <v>7.54</v>
      </c>
      <c r="F18432" t="n">
        <v>1</v>
      </c>
      <c r="G18432" t="n">
        <v>2</v>
      </c>
      <c r="H18432" s="5">
        <f>HYPERLINK("https://api.qogita.com/variants/link/8005610661087/", "View Product")</f>
        <v/>
      </c>
    </row>
    <row r="18433">
      <c r="A18433" t="inlineStr">
        <is>
          <t>8005610662039</t>
        </is>
      </c>
      <c r="B18433" t="inlineStr">
        <is>
          <t>Wella Koleston Perfect Me + Pure Naturals 7/03 Hair Color 60ml</t>
        </is>
      </c>
      <c r="C18433" t="inlineStr">
        <is>
          <t>Hair Dye</t>
        </is>
      </c>
      <c r="D18433" t="inlineStr">
        <is>
          <t>Wella</t>
        </is>
      </c>
      <c r="E18433" t="n">
        <v>7.54</v>
      </c>
      <c r="F18433" t="n">
        <v>1</v>
      </c>
      <c r="G18433" t="n">
        <v>3</v>
      </c>
      <c r="H18433" s="5">
        <f>HYPERLINK("https://api.qogita.com/variants/link/8005610662039/", "View Product")</f>
        <v/>
      </c>
    </row>
    <row r="18434">
      <c r="A18434" t="inlineStr">
        <is>
          <t>8005610663951</t>
        </is>
      </c>
      <c r="B18434" t="inlineStr">
        <is>
          <t>Wella Koleston Perfect ME+ 8/73 60ml 72g</t>
        </is>
      </c>
      <c r="C18434" t="inlineStr">
        <is>
          <t>Hair Dye</t>
        </is>
      </c>
      <c r="D18434" t="inlineStr">
        <is>
          <t>Wella</t>
        </is>
      </c>
      <c r="E18434" t="n">
        <v>6.86</v>
      </c>
      <c r="F18434" t="n">
        <v>1</v>
      </c>
      <c r="G18434" t="n">
        <v>3</v>
      </c>
      <c r="H18434" s="5">
        <f>HYPERLINK("https://api.qogita.com/variants/link/8005610663951/", "View Product")</f>
        <v/>
      </c>
    </row>
    <row r="18435">
      <c r="A18435" t="inlineStr">
        <is>
          <t>8005610664132</t>
        </is>
      </c>
      <c r="B18435" t="inlineStr">
        <is>
          <t>Wella Professional Koleston Perfect Me Rich Naturals Permanent Hair Color 897</t>
        </is>
      </c>
      <c r="C18435" t="inlineStr">
        <is>
          <t>Hair Dye</t>
        </is>
      </c>
      <c r="D18435" t="inlineStr">
        <is>
          <t>Wella Professionals</t>
        </is>
      </c>
      <c r="E18435" t="n">
        <v>6.13</v>
      </c>
      <c r="F18435" t="n">
        <v>1</v>
      </c>
      <c r="G18435" t="n">
        <v>2</v>
      </c>
      <c r="H18435" s="5">
        <f>HYPERLINK("https://api.qogita.com/variants/link/8005610664132/", "View Product")</f>
        <v/>
      </c>
    </row>
    <row r="18436">
      <c r="A18436" t="inlineStr">
        <is>
          <t>8005610664699</t>
        </is>
      </c>
      <c r="B18436" t="inlineStr">
        <is>
          <t>Wella 9/17 Koleston Perfect ME+ Hair Coloring 60ml</t>
        </is>
      </c>
      <c r="C18436" t="inlineStr">
        <is>
          <t>Hair Dye</t>
        </is>
      </c>
      <c r="D18436" t="inlineStr">
        <is>
          <t>Wella</t>
        </is>
      </c>
      <c r="E18436" t="n">
        <v>7.54</v>
      </c>
      <c r="F18436" t="n">
        <v>1</v>
      </c>
      <c r="G18436" t="n">
        <v>5</v>
      </c>
      <c r="H18436" s="5">
        <f>HYPERLINK("https://api.qogita.com/variants/link/8005610664699/", "View Product")</f>
        <v/>
      </c>
    </row>
    <row r="18437">
      <c r="A18437" t="inlineStr">
        <is>
          <t>8005610665290</t>
        </is>
      </c>
      <c r="B18437" t="inlineStr">
        <is>
          <t>Wella Koleston Perfect Me+ 10/1 60ml</t>
        </is>
      </c>
      <c r="C18437" t="inlineStr">
        <is>
          <t>Hair Dye</t>
        </is>
      </c>
      <c r="D18437" t="inlineStr">
        <is>
          <t>Wella</t>
        </is>
      </c>
      <c r="E18437" t="n">
        <v>7.4</v>
      </c>
      <c r="F18437" t="n">
        <v>1</v>
      </c>
      <c r="G18437" t="n">
        <v>3</v>
      </c>
      <c r="H18437" s="5">
        <f>HYPERLINK("https://api.qogita.com/variants/link/8005610665290/", "View Product")</f>
        <v/>
      </c>
    </row>
    <row r="18438">
      <c r="A18438" t="inlineStr">
        <is>
          <t>8005610667669</t>
        </is>
      </c>
      <c r="B18438" t="inlineStr">
        <is>
          <t>Wella Koleston Perfect ME+ 66/46 Dark Blonde Intense Red Violet Hair Color 60ml</t>
        </is>
      </c>
      <c r="C18438" t="inlineStr">
        <is>
          <t>Hair Dye</t>
        </is>
      </c>
      <c r="D18438" t="inlineStr">
        <is>
          <t>Wella Professionals</t>
        </is>
      </c>
      <c r="E18438" t="n">
        <v>6.91</v>
      </c>
      <c r="F18438" t="n">
        <v>1</v>
      </c>
      <c r="G18438" t="n">
        <v>3</v>
      </c>
      <c r="H18438" s="5">
        <f>HYPERLINK("https://api.qogita.com/variants/link/8005610667669/", "View Product")</f>
        <v/>
      </c>
    </row>
    <row r="18439">
      <c r="A18439" t="inlineStr">
        <is>
          <t>8006540280195</t>
        </is>
      </c>
      <c r="B18439" t="inlineStr">
        <is>
          <t>Old Spice Whitewater Shower Gel For Men Body Hair And Face Wash</t>
        </is>
      </c>
      <c r="C18439" t="inlineStr">
        <is>
          <t>Shower Gel</t>
        </is>
      </c>
      <c r="D18439" t="inlineStr">
        <is>
          <t>Old Spice</t>
        </is>
      </c>
      <c r="E18439" t="n">
        <v>8.31</v>
      </c>
      <c r="F18439" t="n">
        <v>1</v>
      </c>
      <c r="G18439" t="n">
        <v>67</v>
      </c>
      <c r="H18439" s="5">
        <f>HYPERLINK("https://api.qogita.com/variants/link/8006540280195/", "View Product")</f>
        <v/>
      </c>
    </row>
    <row r="18440">
      <c r="A18440" t="inlineStr">
        <is>
          <t>8006540424148</t>
        </is>
      </c>
      <c r="B18440" t="inlineStr">
        <is>
          <t>Old Spice Night Panther Deodorant Solid Stick for Men 50ml</t>
        </is>
      </c>
      <c r="C18440" t="inlineStr">
        <is>
          <t>Deodorant &amp; Anti-Perspirant</t>
        </is>
      </c>
      <c r="D18440" t="inlineStr">
        <is>
          <t>Old Spice</t>
        </is>
      </c>
      <c r="E18440" t="n">
        <v>6</v>
      </c>
      <c r="F18440" t="n">
        <v>1</v>
      </c>
      <c r="G18440" t="n">
        <v>9</v>
      </c>
      <c r="H18440" s="5">
        <f>HYPERLINK("https://api.qogita.com/variants/link/8006540424148/", "View Product")</f>
        <v/>
      </c>
    </row>
    <row r="18441">
      <c r="A18441" t="inlineStr">
        <is>
          <t>8006540731277</t>
        </is>
      </c>
      <c r="B18441" t="inlineStr">
        <is>
          <t>Oral B Electric Toothbrush Series Io 3 Black</t>
        </is>
      </c>
      <c r="C18441" t="inlineStr">
        <is>
          <t>Electric Toothbrushes</t>
        </is>
      </c>
      <c r="D18441" t="inlineStr">
        <is>
          <t>Oral-B</t>
        </is>
      </c>
      <c r="E18441" t="n">
        <v>69.22</v>
      </c>
      <c r="F18441" t="n">
        <v>1</v>
      </c>
      <c r="G18441" t="n">
        <v>2</v>
      </c>
      <c r="H18441" s="5">
        <f>HYPERLINK("https://api.qogita.com/variants/link/8006540731277/", "View Product")</f>
        <v/>
      </c>
    </row>
    <row r="18442">
      <c r="A18442" t="inlineStr">
        <is>
          <t>8006540810538</t>
        </is>
      </c>
      <c r="B18442" t="inlineStr">
        <is>
          <t>Head &amp; Shoulders Classic Clean Antidandruff Shampoo</t>
        </is>
      </c>
      <c r="C18442" t="inlineStr">
        <is>
          <t>Shampoo</t>
        </is>
      </c>
      <c r="D18442" t="inlineStr">
        <is>
          <t>Head And Shoulders</t>
        </is>
      </c>
      <c r="E18442" t="n">
        <v>6.4</v>
      </c>
      <c r="F18442" t="n">
        <v>1</v>
      </c>
      <c r="G18442" t="n">
        <v>5</v>
      </c>
      <c r="H18442" s="5">
        <f>HYPERLINK("https://api.qogita.com/variants/link/8006540810538/", "View Product")</f>
        <v/>
      </c>
    </row>
    <row r="18443">
      <c r="A18443" t="inlineStr">
        <is>
          <t>8006540816769</t>
        </is>
      </c>
      <c r="B18443" t="inlineStr">
        <is>
          <t>Gillette Venus Bikini Razor For The Bikini Area</t>
        </is>
      </c>
      <c r="C18443" t="inlineStr">
        <is>
          <t>Razors &amp; Hair Removal Tools</t>
        </is>
      </c>
      <c r="D18443" t="inlineStr">
        <is>
          <t>Gillette</t>
        </is>
      </c>
      <c r="E18443" t="n">
        <v>10.93</v>
      </c>
      <c r="F18443" t="n">
        <v>1</v>
      </c>
      <c r="G18443" t="n">
        <v>52</v>
      </c>
      <c r="H18443" s="5">
        <f>HYPERLINK("https://api.qogita.com/variants/link/8006540816769/", "View Product")</f>
        <v/>
      </c>
    </row>
    <row r="18444">
      <c r="A18444" t="inlineStr">
        <is>
          <t>8006540818787</t>
        </is>
      </c>
      <c r="B18444" t="inlineStr">
        <is>
          <t>Oral-B iO My Way Ocean Blue Extra Brush Head</t>
        </is>
      </c>
      <c r="C18444" t="inlineStr">
        <is>
          <t>Electric Toothbrushes</t>
        </is>
      </c>
      <c r="D18444" t="inlineStr">
        <is>
          <t>Oral-B</t>
        </is>
      </c>
      <c r="E18444" t="n">
        <v>96.92</v>
      </c>
      <c r="F18444" t="n">
        <v>1</v>
      </c>
      <c r="G18444" t="n">
        <v>4</v>
      </c>
      <c r="H18444" s="5">
        <f>HYPERLINK("https://api.qogita.com/variants/link/8006540818787/", "View Product")</f>
        <v/>
      </c>
    </row>
    <row r="18445">
      <c r="A18445" t="inlineStr">
        <is>
          <t>8006540818862</t>
        </is>
      </c>
      <c r="B18445" t="inlineStr">
        <is>
          <t>Old Spice Whitewater Shower Gel For Men Body Hair And Face Wash</t>
        </is>
      </c>
      <c r="C18445" t="inlineStr">
        <is>
          <t>Shower Gel</t>
        </is>
      </c>
      <c r="D18445" t="inlineStr">
        <is>
          <t>Old Spice</t>
        </is>
      </c>
      <c r="E18445" t="n">
        <v>11.75</v>
      </c>
      <c r="F18445" t="n">
        <v>1</v>
      </c>
      <c r="G18445" t="n">
        <v>110</v>
      </c>
      <c r="H18445" s="5">
        <f>HYPERLINK("https://api.qogita.com/variants/link/8006540818862/", "View Product")</f>
        <v/>
      </c>
    </row>
    <row r="18446">
      <c r="A18446" t="inlineStr">
        <is>
          <t>8006540833605</t>
        </is>
      </c>
      <c r="B18446" t="inlineStr">
        <is>
          <t>Head &amp; Shoulders Antihair Fall Antidandruff Shampoo</t>
        </is>
      </c>
      <c r="C18446" t="inlineStr">
        <is>
          <t>Shampoo</t>
        </is>
      </c>
      <c r="D18446" t="inlineStr">
        <is>
          <t>Head And Shoulders</t>
        </is>
      </c>
      <c r="E18446" t="n">
        <v>6.4</v>
      </c>
      <c r="F18446" t="n">
        <v>1</v>
      </c>
      <c r="G18446" t="n">
        <v>5</v>
      </c>
      <c r="H18446" s="5">
        <f>HYPERLINK("https://api.qogita.com/variants/link/8006540833605/", "View Product")</f>
        <v/>
      </c>
    </row>
    <row r="18447">
      <c r="A18447" t="inlineStr">
        <is>
          <t>8006540839362</t>
        </is>
      </c>
      <c r="B18447" t="inlineStr">
        <is>
          <t>Old Spice Oasis Deodorant 50 ml M</t>
        </is>
      </c>
      <c r="C18447" t="inlineStr">
        <is>
          <t>Deodorant &amp; Anti-Perspirant</t>
        </is>
      </c>
      <c r="D18447" t="inlineStr">
        <is>
          <t>Oasis</t>
        </is>
      </c>
      <c r="E18447" t="n">
        <v>5.78</v>
      </c>
      <c r="F18447" t="n">
        <v>1</v>
      </c>
      <c r="G18447" t="n">
        <v>18</v>
      </c>
      <c r="H18447" s="5">
        <f>HYPERLINK("https://api.qogita.com/variants/link/8006540839362/", "View Product")</f>
        <v/>
      </c>
    </row>
    <row r="18448">
      <c r="A18448" t="inlineStr">
        <is>
          <t>8006540839621</t>
        </is>
      </c>
      <c r="B18448" t="inlineStr">
        <is>
          <t>Oral Shower Aqua Care 6 Pro Expert</t>
        </is>
      </c>
      <c r="C18448" t="inlineStr">
        <is>
          <t>Mouth &amp; Gum Care</t>
        </is>
      </c>
      <c r="D18448" t="inlineStr">
        <is>
          <t>Oral-B</t>
        </is>
      </c>
      <c r="E18448" t="n">
        <v>103.85</v>
      </c>
      <c r="F18448" t="n">
        <v>1</v>
      </c>
      <c r="G18448" t="n">
        <v>3</v>
      </c>
      <c r="H18448" s="5">
        <f>HYPERLINK("https://api.qogita.com/variants/link/8006540839621/", "View Product")</f>
        <v/>
      </c>
    </row>
    <row r="18449">
      <c r="A18449" t="inlineStr">
        <is>
          <t>8006540847459</t>
        </is>
      </c>
      <c r="B18449" t="inlineStr">
        <is>
          <t>Oral B Precision Clean Eb20 Replacement Brush Heads 8 Pieces</t>
        </is>
      </c>
      <c r="C18449" t="inlineStr">
        <is>
          <t>Electric Toothbrushes</t>
        </is>
      </c>
      <c r="D18449" t="inlineStr">
        <is>
          <t>Oral-B</t>
        </is>
      </c>
      <c r="E18449" t="n">
        <v>32.86</v>
      </c>
      <c r="F18449" t="n">
        <v>1</v>
      </c>
      <c r="G18449" t="n">
        <v>5</v>
      </c>
      <c r="H18449" s="5">
        <f>HYPERLINK("https://api.qogita.com/variants/link/8006540847459/", "View Product")</f>
        <v/>
      </c>
    </row>
    <row r="18450">
      <c r="A18450" t="inlineStr">
        <is>
          <t>8006540847961</t>
        </is>
      </c>
      <c r="B18450" t="inlineStr">
        <is>
          <t>Oral B Pro Sensitive Clean Replacement Brush Heads 4 Pieces</t>
        </is>
      </c>
      <c r="C18450" t="inlineStr">
        <is>
          <t>Electric Toothbrushes</t>
        </is>
      </c>
      <c r="D18450" t="inlineStr">
        <is>
          <t>Oral-B</t>
        </is>
      </c>
      <c r="E18450" t="n">
        <v>22.47</v>
      </c>
      <c r="F18450" t="n">
        <v>1</v>
      </c>
      <c r="G18450" t="n">
        <v>8</v>
      </c>
      <c r="H18450" s="5">
        <f>HYPERLINK("https://api.qogita.com/variants/link/8006540847961/", "View Product")</f>
        <v/>
      </c>
    </row>
    <row r="18451">
      <c r="A18451" t="inlineStr">
        <is>
          <t>8007403051679</t>
        </is>
      </c>
      <c r="B18451" t="inlineStr">
        <is>
          <t>Bellissima Face Cleansing Pure &amp; Light Facial Cleansing Brush with 4 Different Brush Heads for Customized Treatments - for Use in the Shower for Smooth Skin</t>
        </is>
      </c>
      <c r="C18451" t="inlineStr">
        <is>
          <t>Facial Cleansing Brushes</t>
        </is>
      </c>
      <c r="D18451" t="inlineStr">
        <is>
          <t>Bellissima</t>
        </is>
      </c>
      <c r="E18451" t="n">
        <v>39.69</v>
      </c>
      <c r="F18451" t="n">
        <v>1</v>
      </c>
      <c r="G18451" t="n">
        <v>3</v>
      </c>
      <c r="H18451" s="5">
        <f>HYPERLINK("https://api.qogita.com/variants/link/8007403051679/", "View Product")</f>
        <v/>
      </c>
    </row>
    <row r="18452">
      <c r="A18452" t="inlineStr">
        <is>
          <t>8007403112257</t>
        </is>
      </c>
      <c r="B18452" t="inlineStr">
        <is>
          <t>Bellissima GT15 100 Curling Iron 19mm Ceramic Coating</t>
        </is>
      </c>
      <c r="C18452" t="inlineStr">
        <is>
          <t>Curling Irons</t>
        </is>
      </c>
      <c r="D18452" t="inlineStr">
        <is>
          <t>Imetec</t>
        </is>
      </c>
      <c r="E18452" t="n">
        <v>23.82</v>
      </c>
      <c r="F18452" t="n">
        <v>1</v>
      </c>
      <c r="G18452" t="n">
        <v>5</v>
      </c>
      <c r="H18452" s="5">
        <f>HYPERLINK("https://api.qogita.com/variants/link/8007403112257/", "View Product")</f>
        <v/>
      </c>
    </row>
    <row r="18453">
      <c r="A18453" t="inlineStr">
        <is>
          <t>8007403114633</t>
        </is>
      </c>
      <c r="B18453" t="inlineStr">
        <is>
          <t>Bellissima Professional Hairdryer With Powerful Engine 11463 Professional P11 2300</t>
        </is>
      </c>
      <c r="C18453" t="inlineStr">
        <is>
          <t>Hair Dryers</t>
        </is>
      </c>
      <c r="D18453" t="inlineStr">
        <is>
          <t>Bellissima</t>
        </is>
      </c>
      <c r="E18453" t="n">
        <v>43.52</v>
      </c>
      <c r="F18453" t="n">
        <v>1</v>
      </c>
      <c r="G18453" t="n">
        <v>3</v>
      </c>
      <c r="H18453" s="5">
        <f>HYPERLINK("https://api.qogita.com/variants/link/8007403114633/", "View Product")</f>
        <v/>
      </c>
    </row>
    <row r="18454">
      <c r="A18454" t="inlineStr">
        <is>
          <t>8007403115234</t>
        </is>
      </c>
      <c r="B18454" t="inlineStr">
        <is>
          <t>Bellissima K9 2300 Hair Dryer Moisturizes Hair without Frizz Effect 2300W Ion Technology 8 Airflow Combinations Curling Iron</t>
        </is>
      </c>
      <c r="C18454" t="inlineStr">
        <is>
          <t>Hair Dryers</t>
        </is>
      </c>
      <c r="D18454" t="inlineStr">
        <is>
          <t>Bellissima</t>
        </is>
      </c>
      <c r="E18454" t="n">
        <v>35.55</v>
      </c>
      <c r="F18454" t="n">
        <v>1</v>
      </c>
      <c r="G18454" t="n">
        <v>5</v>
      </c>
      <c r="H18454" s="5">
        <f>HYPERLINK("https://api.qogita.com/variants/link/8007403115234/", "View Product")</f>
        <v/>
      </c>
    </row>
    <row r="18455">
      <c r="A18455" t="inlineStr">
        <is>
          <t>8007403117283</t>
        </is>
      </c>
      <c r="B18455" t="inlineStr">
        <is>
          <t>Imetec Bellissima My Pro P3 3400 Hair Dryer with Professional AC Motor and Ion Technology 2400W</t>
        </is>
      </c>
      <c r="C18455" t="inlineStr">
        <is>
          <t>Hair Dryers</t>
        </is>
      </c>
      <c r="D18455" t="inlineStr">
        <is>
          <t>Imetec</t>
        </is>
      </c>
      <c r="E18455" t="n">
        <v>59.31</v>
      </c>
      <c r="F18455" t="n">
        <v>1</v>
      </c>
      <c r="G18455" t="n">
        <v>2</v>
      </c>
      <c r="H18455" s="5">
        <f>HYPERLINK("https://api.qogita.com/variants/link/8007403117283/", "View Product")</f>
        <v/>
      </c>
    </row>
    <row r="18456">
      <c r="A18456" t="inlineStr">
        <is>
          <t>8007403117375</t>
        </is>
      </c>
      <c r="B18456" t="inlineStr">
        <is>
          <t>Imetec Bellissima My Pro Magic Style Brush P2 30 Heating Brush Ceramic Technology Multivoltage</t>
        </is>
      </c>
      <c r="C18456" t="inlineStr">
        <is>
          <t>Hot Air Brushes</t>
        </is>
      </c>
      <c r="D18456" t="inlineStr">
        <is>
          <t>Bellissima</t>
        </is>
      </c>
      <c r="E18456" t="n">
        <v>39.5</v>
      </c>
      <c r="F18456" t="n">
        <v>1</v>
      </c>
      <c r="G18456" t="n">
        <v>5</v>
      </c>
      <c r="H18456" s="5">
        <f>HYPERLINK("https://api.qogita.com/variants/link/8007403117375/", "View Product")</f>
        <v/>
      </c>
    </row>
    <row r="18457">
      <c r="A18457" t="inlineStr">
        <is>
          <t>8007403117696</t>
        </is>
      </c>
      <c r="B18457" t="inlineStr">
        <is>
          <t>Bellissima Sculpted Curls Hair Curler Attachment</t>
        </is>
      </c>
      <c r="C18457" t="inlineStr">
        <is>
          <t>Curling Sets</t>
        </is>
      </c>
      <c r="D18457" t="inlineStr">
        <is>
          <t>Bellissima</t>
        </is>
      </c>
      <c r="E18457" t="n">
        <v>31.6</v>
      </c>
      <c r="F18457" t="n">
        <v>1</v>
      </c>
      <c r="G18457" t="n">
        <v>4</v>
      </c>
      <c r="H18457" s="5">
        <f>HYPERLINK("https://api.qogita.com/variants/link/8007403117696/", "View Product")</f>
        <v/>
      </c>
    </row>
    <row r="18458">
      <c r="A18458" t="inlineStr">
        <is>
          <t>8007403118389</t>
        </is>
      </c>
      <c r="B18458" t="inlineStr">
        <is>
          <t>Bellissima Hollywood Waves 11838 Attachment For My Pro Twist &amp; Style Hair Curler</t>
        </is>
      </c>
      <c r="C18458" t="inlineStr">
        <is>
          <t>Curling Sets</t>
        </is>
      </c>
      <c r="D18458" t="inlineStr">
        <is>
          <t>Bellissima</t>
        </is>
      </c>
      <c r="E18458" t="n">
        <v>31.79</v>
      </c>
      <c r="F18458" t="n">
        <v>1</v>
      </c>
      <c r="G18458" t="n">
        <v>2</v>
      </c>
      <c r="H18458" s="5">
        <f>HYPERLINK("https://api.qogita.com/variants/link/8007403118389/", "View Product")</f>
        <v/>
      </c>
    </row>
    <row r="18459">
      <c r="A18459" t="inlineStr">
        <is>
          <t>8007403118747</t>
        </is>
      </c>
      <c r="B18459" t="inlineStr">
        <is>
          <t>Bellissima Imetec Creativity Hair Straightener with Diamond Ceramic Plates 5 Temperatures 150/230°C</t>
        </is>
      </c>
      <c r="C18459" t="inlineStr">
        <is>
          <t>Hair Straighteners</t>
        </is>
      </c>
      <c r="D18459" t="inlineStr">
        <is>
          <t>Bellissima</t>
        </is>
      </c>
      <c r="E18459" t="n">
        <v>45.57</v>
      </c>
      <c r="F18459" t="n">
        <v>1</v>
      </c>
      <c r="G18459" t="n">
        <v>5</v>
      </c>
      <c r="H18459" s="5">
        <f>HYPERLINK("https://api.qogita.com/variants/link/8007403118747/", "View Product")</f>
        <v/>
      </c>
    </row>
    <row r="18460">
      <c r="A18460" t="inlineStr">
        <is>
          <t>8007403118761</t>
        </is>
      </c>
      <c r="B18460" t="inlineStr">
        <is>
          <t>Bellissima Creativity Multistyle 11876 Hair Straightener</t>
        </is>
      </c>
      <c r="C18460" t="inlineStr">
        <is>
          <t>Hair Straighteners</t>
        </is>
      </c>
      <c r="D18460" t="inlineStr">
        <is>
          <t>Bellissima</t>
        </is>
      </c>
      <c r="E18460" t="n">
        <v>66.01000000000001</v>
      </c>
      <c r="F18460" t="n">
        <v>1</v>
      </c>
      <c r="G18460" t="n">
        <v>3</v>
      </c>
      <c r="H18460" s="5">
        <f>HYPERLINK("https://api.qogita.com/variants/link/8007403118761/", "View Product")</f>
        <v/>
      </c>
    </row>
    <row r="18461">
      <c r="A18461" t="inlineStr">
        <is>
          <t>8007403118860</t>
        </is>
      </c>
      <c r="B18461" t="inlineStr">
        <is>
          <t>Ceramic Air 3 in 1 Hot Air Curling Iron</t>
        </is>
      </c>
      <c r="C18461" t="inlineStr">
        <is>
          <t>Curling Irons</t>
        </is>
      </c>
      <c r="D18461" t="inlineStr">
        <is>
          <t>Bellissima</t>
        </is>
      </c>
      <c r="E18461" t="n">
        <v>40.9</v>
      </c>
      <c r="F18461" t="n">
        <v>1</v>
      </c>
      <c r="G18461" t="n">
        <v>3</v>
      </c>
      <c r="H18461" s="5">
        <f>HYPERLINK("https://api.qogita.com/variants/link/8007403118860/", "View Product")</f>
        <v/>
      </c>
    </row>
    <row r="18462">
      <c r="A18462" t="inlineStr">
        <is>
          <t>8007403119157</t>
        </is>
      </c>
      <c r="B18462" t="inlineStr">
        <is>
          <t>Imetec Ceramic &amp; Keratin 3 Temp Hair Straightener</t>
        </is>
      </c>
      <c r="C18462" t="inlineStr">
        <is>
          <t>Hair Straighteners</t>
        </is>
      </c>
      <c r="D18462" t="inlineStr">
        <is>
          <t>Imetec</t>
        </is>
      </c>
      <c r="E18462" t="n">
        <v>71.16</v>
      </c>
      <c r="F18462" t="n">
        <v>1</v>
      </c>
      <c r="G18462" t="n">
        <v>4</v>
      </c>
      <c r="H18462" s="5">
        <f>HYPERLINK("https://api.qogita.com/variants/link/8007403119157/", "View Product")</f>
        <v/>
      </c>
    </row>
    <row r="18463">
      <c r="A18463" t="inlineStr">
        <is>
          <t>8008277261522</t>
        </is>
      </c>
      <c r="B18463" t="inlineStr">
        <is>
          <t>Inebrya Blondesse Ammonia Free Lightener 7 Tones Ammoniafree Brightener</t>
        </is>
      </c>
      <c r="C18463" t="inlineStr">
        <is>
          <t>Bleaching</t>
        </is>
      </c>
      <c r="D18463" t="inlineStr">
        <is>
          <t>Inebrya</t>
        </is>
      </c>
      <c r="E18463" t="n">
        <v>23.32</v>
      </c>
      <c r="F18463" t="n">
        <v>1</v>
      </c>
      <c r="G18463" t="n">
        <v>1</v>
      </c>
      <c r="H18463" s="5">
        <f>HYPERLINK("https://api.qogita.com/variants/link/8008277261522/", "View Product")</f>
        <v/>
      </c>
    </row>
    <row r="18464">
      <c r="A18464" t="inlineStr">
        <is>
          <t>8008277262338</t>
        </is>
      </c>
      <c r="B18464" t="inlineStr">
        <is>
          <t>Inebrya Blondesse Noorange Mask For Light Chestnut Dyed Or Lightened Hair</t>
        </is>
      </c>
      <c r="C18464" t="inlineStr">
        <is>
          <t>Hair Masks</t>
        </is>
      </c>
      <c r="D18464" t="inlineStr">
        <is>
          <t>Inebrya</t>
        </is>
      </c>
      <c r="E18464" t="n">
        <v>12.28</v>
      </c>
      <c r="F18464" t="n">
        <v>1</v>
      </c>
      <c r="G18464" t="n">
        <v>11</v>
      </c>
      <c r="H18464" s="5">
        <f>HYPERLINK("https://api.qogita.com/variants/link/8008277262338/", "View Product")</f>
        <v/>
      </c>
    </row>
    <row r="18465">
      <c r="A18465" t="inlineStr">
        <is>
          <t>8008277262352</t>
        </is>
      </c>
      <c r="B18465" t="inlineStr">
        <is>
          <t>Inebrya Blondesse No-Yellow Shampoo 300ml</t>
        </is>
      </c>
      <c r="C18465" t="inlineStr">
        <is>
          <t>Shampoo</t>
        </is>
      </c>
      <c r="D18465" t="inlineStr">
        <is>
          <t>Inebrya</t>
        </is>
      </c>
      <c r="E18465" t="n">
        <v>9.58</v>
      </c>
      <c r="F18465" t="n">
        <v>1</v>
      </c>
      <c r="G18465" t="n">
        <v>3</v>
      </c>
      <c r="H18465" s="5">
        <f>HYPERLINK("https://api.qogita.com/variants/link/8008277262352/", "View Product")</f>
        <v/>
      </c>
    </row>
    <row r="18466">
      <c r="A18466" t="inlineStr">
        <is>
          <t>8008277262369</t>
        </is>
      </c>
      <c r="B18466" t="inlineStr">
        <is>
          <t>Inebrya Blondesse No-Yellow Shampoo For Blonde, Highlighted, And Gray Hair - 1000ml</t>
        </is>
      </c>
      <c r="C18466" t="inlineStr">
        <is>
          <t>Shampoo</t>
        </is>
      </c>
      <c r="D18466" t="inlineStr">
        <is>
          <t>Inebrya</t>
        </is>
      </c>
      <c r="E18466" t="n">
        <v>18.64</v>
      </c>
      <c r="F18466" t="n">
        <v>1</v>
      </c>
      <c r="G18466" t="n">
        <v>12</v>
      </c>
      <c r="H18466" s="5">
        <f>HYPERLINK("https://api.qogita.com/variants/link/8008277262369/", "View Product")</f>
        <v/>
      </c>
    </row>
    <row r="18467">
      <c r="A18467" t="inlineStr">
        <is>
          <t>8008277262673</t>
        </is>
      </c>
      <c r="B18467" t="inlineStr">
        <is>
          <t>Inebrya Stylein Blow Dry Cream 150 Ml For Shortening Hair Drying Time</t>
        </is>
      </c>
      <c r="C18467" t="inlineStr">
        <is>
          <t>Styling Creams</t>
        </is>
      </c>
      <c r="D18467" t="inlineStr">
        <is>
          <t>Inebrya</t>
        </is>
      </c>
      <c r="E18467" t="n">
        <v>11.51</v>
      </c>
      <c r="F18467" t="n">
        <v>1</v>
      </c>
      <c r="G18467" t="n">
        <v>6</v>
      </c>
      <c r="H18467" s="5">
        <f>HYPERLINK("https://api.qogita.com/variants/link/8008277262673/", "View Product")</f>
        <v/>
      </c>
    </row>
    <row r="18468">
      <c r="A18468" t="inlineStr">
        <is>
          <t>8008277262765</t>
        </is>
      </c>
      <c r="B18468" t="inlineStr">
        <is>
          <t>Shecare Repair Mask Brightening And Repairing Mask For Hair Damaged By Chemical Treatments 250ml</t>
        </is>
      </c>
      <c r="C18468" t="inlineStr">
        <is>
          <t>Hair Masks</t>
        </is>
      </c>
      <c r="D18468" t="inlineStr">
        <is>
          <t>Shecare</t>
        </is>
      </c>
      <c r="E18468" t="n">
        <v>11.13</v>
      </c>
      <c r="F18468" t="n">
        <v>1</v>
      </c>
      <c r="G18468" t="n">
        <v>6</v>
      </c>
      <c r="H18468" s="5">
        <f>HYPERLINK("https://api.qogita.com/variants/link/8008277262765/", "View Product")</f>
        <v/>
      </c>
    </row>
    <row r="18469">
      <c r="A18469" t="inlineStr">
        <is>
          <t>8008277263083</t>
        </is>
      </c>
      <c r="B18469" t="inlineStr">
        <is>
          <t>Inebrya Ice Cream Dry-T Panna Montata 200ml</t>
        </is>
      </c>
      <c r="C18469" t="inlineStr">
        <is>
          <t>Hair Care Sets</t>
        </is>
      </c>
      <c r="D18469" t="inlineStr">
        <is>
          <t>Inebrya</t>
        </is>
      </c>
      <c r="E18469" t="n">
        <v>12.67</v>
      </c>
      <c r="F18469" t="n">
        <v>1</v>
      </c>
      <c r="G18469" t="n">
        <v>10</v>
      </c>
      <c r="H18469" s="5">
        <f>HYPERLINK("https://api.qogita.com/variants/link/8008277263083/", "View Product")</f>
        <v/>
      </c>
    </row>
    <row r="18470">
      <c r="A18470" t="inlineStr">
        <is>
          <t>8008277263120</t>
        </is>
      </c>
      <c r="B18470" t="inlineStr">
        <is>
          <t>Inebrya Ice Cream Keratin Restructuring Hair Mask 1000ml</t>
        </is>
      </c>
      <c r="C18470" t="inlineStr">
        <is>
          <t>Hair Masks</t>
        </is>
      </c>
      <c r="D18470" t="inlineStr">
        <is>
          <t>Inebrya</t>
        </is>
      </c>
      <c r="E18470" t="n">
        <v>17.09</v>
      </c>
      <c r="F18470" t="n">
        <v>1</v>
      </c>
      <c r="G18470" t="n">
        <v>21</v>
      </c>
      <c r="H18470" s="5">
        <f>HYPERLINK("https://api.qogita.com/variants/link/8008277263120/", "View Product")</f>
        <v/>
      </c>
    </row>
    <row r="18471">
      <c r="A18471" t="inlineStr">
        <is>
          <t>8008277263199</t>
        </is>
      </c>
      <c r="B18471" t="inlineStr">
        <is>
          <t>Inebrya Ice Cream Keratin Intensive Restructuring Lotion 12x11ml - Pack of 12</t>
        </is>
      </c>
      <c r="C18471" t="inlineStr">
        <is>
          <t>Conditioner</t>
        </is>
      </c>
      <c r="D18471" t="inlineStr">
        <is>
          <t>Inebrya</t>
        </is>
      </c>
      <c r="E18471" t="n">
        <v>27.51</v>
      </c>
      <c r="F18471" t="n">
        <v>1</v>
      </c>
      <c r="G18471" t="n">
        <v>5</v>
      </c>
      <c r="H18471" s="5">
        <f>HYPERLINK("https://api.qogita.com/variants/link/8008277263199/", "View Product")</f>
        <v/>
      </c>
    </row>
    <row r="18472">
      <c r="A18472" t="inlineStr">
        <is>
          <t>8008277263250</t>
        </is>
      </c>
      <c r="B18472" t="inlineStr">
        <is>
          <t>Inebrya Dry T Leave-In Conditioner 300ml</t>
        </is>
      </c>
      <c r="C18472" t="inlineStr">
        <is>
          <t>Leave-In Conditioner</t>
        </is>
      </c>
      <c r="D18472" t="inlineStr">
        <is>
          <t>Inebrya</t>
        </is>
      </c>
      <c r="E18472" t="n">
        <v>9.380000000000001</v>
      </c>
      <c r="F18472" t="n">
        <v>1</v>
      </c>
      <c r="G18472" t="n">
        <v>26</v>
      </c>
      <c r="H18472" s="5">
        <f>HYPERLINK("https://api.qogita.com/variants/link/8008277263250/", "View Product")</f>
        <v/>
      </c>
    </row>
    <row r="18473">
      <c r="A18473" t="inlineStr">
        <is>
          <t>8008277263281</t>
        </is>
      </c>
      <c r="B18473" t="inlineStr">
        <is>
          <t>Inebrya IC Fluid Star 60ml</t>
        </is>
      </c>
      <c r="C18473" t="inlineStr">
        <is>
          <t>Hair Oil &amp; Hair Serum</t>
        </is>
      </c>
      <c r="D18473" t="inlineStr">
        <is>
          <t>Inebrya</t>
        </is>
      </c>
      <c r="E18473" t="n">
        <v>15.36</v>
      </c>
      <c r="F18473" t="n">
        <v>1</v>
      </c>
      <c r="G18473" t="n">
        <v>23</v>
      </c>
      <c r="H18473" s="5">
        <f>HYPERLINK("https://api.qogita.com/variants/link/8008277263281/", "View Product")</f>
        <v/>
      </c>
    </row>
    <row r="18474">
      <c r="A18474" t="inlineStr">
        <is>
          <t>8008277263380</t>
        </is>
      </c>
      <c r="B18474" t="inlineStr">
        <is>
          <t>Ice Cream Argan Age Protective Spray For Hair 100ml</t>
        </is>
      </c>
      <c r="C18474" t="inlineStr">
        <is>
          <t>Uv Protection</t>
        </is>
      </c>
      <c r="D18474" t="inlineStr">
        <is>
          <t>Inebrya</t>
        </is>
      </c>
      <c r="E18474" t="n">
        <v>14.96</v>
      </c>
      <c r="F18474" t="n">
        <v>1</v>
      </c>
      <c r="G18474" t="n">
        <v>6</v>
      </c>
      <c r="H18474" s="5">
        <f>HYPERLINK("https://api.qogita.com/variants/link/8008277263380/", "View Product")</f>
        <v/>
      </c>
    </row>
    <row r="18475">
      <c r="A18475" t="inlineStr">
        <is>
          <t>8008277263434</t>
        </is>
      </c>
      <c r="B18475" t="inlineStr">
        <is>
          <t>Inebrya Ice Cream Age Therapy Hair Lift Cream Anti-Breakage 150ml</t>
        </is>
      </c>
      <c r="C18475" t="inlineStr">
        <is>
          <t>Hair Masks</t>
        </is>
      </c>
      <c r="D18475" t="inlineStr">
        <is>
          <t>Inebrya</t>
        </is>
      </c>
      <c r="E18475" t="n">
        <v>8.109999999999999</v>
      </c>
      <c r="F18475" t="n">
        <v>1</v>
      </c>
      <c r="G18475" t="n">
        <v>4</v>
      </c>
      <c r="H18475" s="5">
        <f>HYPERLINK("https://api.qogita.com/variants/link/8008277263434/", "View Product")</f>
        <v/>
      </c>
    </row>
    <row r="18476">
      <c r="A18476" t="inlineStr">
        <is>
          <t>8008277263557</t>
        </is>
      </c>
      <c r="B18476" t="inlineStr">
        <is>
          <t>Inebrya Ice Cream Liss Perfect Smoothing Shampoo 300ml</t>
        </is>
      </c>
      <c r="C18476" t="inlineStr">
        <is>
          <t>Shampoo</t>
        </is>
      </c>
      <c r="D18476" t="inlineStr">
        <is>
          <t>Inebrya</t>
        </is>
      </c>
      <c r="E18476" t="n">
        <v>9.199999999999999</v>
      </c>
      <c r="F18476" t="n">
        <v>1</v>
      </c>
      <c r="G18476" t="n">
        <v>6</v>
      </c>
      <c r="H18476" s="5">
        <f>HYPERLINK("https://api.qogita.com/variants/link/8008277263557/", "View Product")</f>
        <v/>
      </c>
    </row>
    <row r="18477">
      <c r="A18477" t="inlineStr">
        <is>
          <t>8008277263649</t>
        </is>
      </c>
      <c r="B18477" t="inlineStr">
        <is>
          <t>Inebrya Ice Cream Pro Volume Conditioner For Thin Hair 300ml</t>
        </is>
      </c>
      <c r="C18477" t="inlineStr">
        <is>
          <t>Conditioner</t>
        </is>
      </c>
      <c r="D18477" t="inlineStr">
        <is>
          <t>Inebrya</t>
        </is>
      </c>
      <c r="E18477" t="n">
        <v>9.970000000000001</v>
      </c>
      <c r="F18477" t="n">
        <v>1</v>
      </c>
      <c r="G18477" t="n">
        <v>11</v>
      </c>
      <c r="H18477" s="5">
        <f>HYPERLINK("https://api.qogita.com/variants/link/8008277263649/", "View Product")</f>
        <v/>
      </c>
    </row>
    <row r="18478">
      <c r="A18478" t="inlineStr">
        <is>
          <t>8008277263748</t>
        </is>
      </c>
      <c r="B18478" t="inlineStr">
        <is>
          <t>Inebrya Refreshing Shampoo 300ml</t>
        </is>
      </c>
      <c r="C18478" t="inlineStr">
        <is>
          <t>Shampoo</t>
        </is>
      </c>
      <c r="D18478" t="inlineStr">
        <is>
          <t>Inebrya</t>
        </is>
      </c>
      <c r="E18478" t="n">
        <v>8.220000000000001</v>
      </c>
      <c r="F18478" t="n">
        <v>1</v>
      </c>
      <c r="G18478" t="n">
        <v>5</v>
      </c>
      <c r="H18478" s="5">
        <f>HYPERLINK("https://api.qogita.com/variants/link/8008277263748/", "View Product")</f>
        <v/>
      </c>
    </row>
    <row r="18479">
      <c r="A18479" t="inlineStr">
        <is>
          <t>8008277263762</t>
        </is>
      </c>
      <c r="B18479" t="inlineStr">
        <is>
          <t>Inebrya Ice Cream Frequent Best Care Regenerating Shampoo For Hair 300ml</t>
        </is>
      </c>
      <c r="C18479" t="inlineStr">
        <is>
          <t>Shampoo</t>
        </is>
      </c>
      <c r="D18479" t="inlineStr">
        <is>
          <t>Inebrya</t>
        </is>
      </c>
      <c r="E18479" t="n">
        <v>8.220000000000001</v>
      </c>
      <c r="F18479" t="n">
        <v>1</v>
      </c>
      <c r="G18479" t="n">
        <v>5</v>
      </c>
      <c r="H18479" s="5">
        <f>HYPERLINK("https://api.qogita.com/variants/link/8008277263762/", "View Product")</f>
        <v/>
      </c>
    </row>
    <row r="18480">
      <c r="A18480" t="inlineStr">
        <is>
          <t>8008277263823</t>
        </is>
      </c>
      <c r="B18480" t="inlineStr">
        <is>
          <t>Inebrya Ice Cream Energy Shampoo Against Hair Loss 300ml</t>
        </is>
      </c>
      <c r="C18480" t="inlineStr">
        <is>
          <t>Shampoo</t>
        </is>
      </c>
      <c r="D18480" t="inlineStr">
        <is>
          <t>Inebrya</t>
        </is>
      </c>
      <c r="E18480" t="n">
        <v>8.220000000000001</v>
      </c>
      <c r="F18480" t="n">
        <v>1</v>
      </c>
      <c r="G18480" t="n">
        <v>10</v>
      </c>
      <c r="H18480" s="5">
        <f>HYPERLINK("https://api.qogita.com/variants/link/8008277263823/", "View Product")</f>
        <v/>
      </c>
    </row>
    <row r="18481">
      <c r="A18481" t="inlineStr">
        <is>
          <t>8008277263854</t>
        </is>
      </c>
      <c r="B18481" t="inlineStr">
        <is>
          <t>Inebrya Ice Cream Balance Shampoo For Oily Hair 300ml</t>
        </is>
      </c>
      <c r="C18481" t="inlineStr">
        <is>
          <t>Shampoo</t>
        </is>
      </c>
      <c r="D18481" t="inlineStr">
        <is>
          <t>Inebrya</t>
        </is>
      </c>
      <c r="E18481" t="n">
        <v>8.220000000000001</v>
      </c>
      <c r="F18481" t="n">
        <v>1</v>
      </c>
      <c r="G18481" t="n">
        <v>18</v>
      </c>
      <c r="H18481" s="5">
        <f>HYPERLINK("https://api.qogita.com/variants/link/8008277263854/", "View Product")</f>
        <v/>
      </c>
    </row>
    <row r="18482">
      <c r="A18482" t="inlineStr">
        <is>
          <t>8008277264356</t>
        </is>
      </c>
      <c r="B18482" t="inlineStr">
        <is>
          <t>Inebrya Shecare Glazed Illuminating Shampoo for Dull and Lifeless Hair 300ml</t>
        </is>
      </c>
      <c r="C18482" t="inlineStr">
        <is>
          <t>Shampoo</t>
        </is>
      </c>
      <c r="D18482" t="inlineStr">
        <is>
          <t>Inebrya</t>
        </is>
      </c>
      <c r="E18482" t="n">
        <v>11.51</v>
      </c>
      <c r="F18482" t="n">
        <v>1</v>
      </c>
      <c r="G18482" t="n">
        <v>5</v>
      </c>
      <c r="H18482" s="5">
        <f>HYPERLINK("https://api.qogita.com/variants/link/8008277264356/", "View Product")</f>
        <v/>
      </c>
    </row>
    <row r="18483">
      <c r="A18483" t="inlineStr">
        <is>
          <t>8008277264370</t>
        </is>
      </c>
      <c r="B18483" t="inlineStr">
        <is>
          <t>Inebrya Shecare Glazed Brightening Mask for Dull and Dehydrated Hair 250ml</t>
        </is>
      </c>
      <c r="C18483" t="inlineStr">
        <is>
          <t>Hair Masks</t>
        </is>
      </c>
      <c r="D18483" t="inlineStr">
        <is>
          <t>Inebrya</t>
        </is>
      </c>
      <c r="E18483" t="n">
        <v>12.67</v>
      </c>
      <c r="F18483" t="n">
        <v>1</v>
      </c>
      <c r="G18483" t="n">
        <v>4</v>
      </c>
      <c r="H18483" s="5">
        <f>HYPERLINK("https://api.qogita.com/variants/link/8008277264370/", "View Product")</f>
        <v/>
      </c>
    </row>
    <row r="18484">
      <c r="A18484" t="inlineStr">
        <is>
          <t>8008277264547</t>
        </is>
      </c>
      <c r="B18484" t="inlineStr">
        <is>
          <t>INEBRYA Kromask Nourishing Pink Mask 250ml</t>
        </is>
      </c>
      <c r="C18484" t="inlineStr">
        <is>
          <t>Hair Masks</t>
        </is>
      </c>
      <c r="D18484" t="inlineStr">
        <is>
          <t>Inebrya</t>
        </is>
      </c>
      <c r="E18484" t="n">
        <v>16.12</v>
      </c>
      <c r="F18484" t="n">
        <v>1</v>
      </c>
      <c r="G18484" t="n">
        <v>2</v>
      </c>
      <c r="H18484" s="5">
        <f>HYPERLINK("https://api.qogita.com/variants/link/8008277264547/", "View Product")</f>
        <v/>
      </c>
    </row>
    <row r="18485">
      <c r="A18485" t="inlineStr">
        <is>
          <t>8008277264561</t>
        </is>
      </c>
      <c r="B18485" t="inlineStr">
        <is>
          <t>Inebrya Kromask Hair Mask - 250 Ml</t>
        </is>
      </c>
      <c r="C18485" t="inlineStr">
        <is>
          <t>Hair Masks</t>
        </is>
      </c>
      <c r="D18485" t="inlineStr">
        <is>
          <t>Inebrya</t>
        </is>
      </c>
      <c r="E18485" t="n">
        <v>16.12</v>
      </c>
      <c r="F18485" t="n">
        <v>1</v>
      </c>
      <c r="G18485" t="n">
        <v>3</v>
      </c>
      <c r="H18485" s="5">
        <f>HYPERLINK("https://api.qogita.com/variants/link/8008277264561/", "View Product")</f>
        <v/>
      </c>
    </row>
    <row r="18486">
      <c r="A18486" t="inlineStr">
        <is>
          <t>8008277264776</t>
        </is>
      </c>
      <c r="B18486" t="inlineStr">
        <is>
          <t>INEBRYA Greylosophy Grey By Day Shampoo Reflexion 300ml</t>
        </is>
      </c>
      <c r="C18486" t="inlineStr">
        <is>
          <t>Shampoo</t>
        </is>
      </c>
      <c r="D18486" t="inlineStr">
        <is>
          <t>Inebrya</t>
        </is>
      </c>
      <c r="E18486" t="n">
        <v>10.36</v>
      </c>
      <c r="F18486" t="n">
        <v>1</v>
      </c>
      <c r="G18486" t="n">
        <v>6</v>
      </c>
      <c r="H18486" s="5">
        <f>HYPERLINK("https://api.qogita.com/variants/link/8008277264776/", "View Product")</f>
        <v/>
      </c>
    </row>
    <row r="18487">
      <c r="A18487" t="inlineStr">
        <is>
          <t>8008277264783</t>
        </is>
      </c>
      <c r="B18487" t="inlineStr">
        <is>
          <t>INEBRYA Greylosophy Grey By Day Shampoo Reflexion</t>
        </is>
      </c>
      <c r="C18487" t="inlineStr">
        <is>
          <t>Shampoo</t>
        </is>
      </c>
      <c r="D18487" t="inlineStr">
        <is>
          <t>Inebrya</t>
        </is>
      </c>
      <c r="E18487" t="n">
        <v>21.73</v>
      </c>
      <c r="F18487" t="n">
        <v>1</v>
      </c>
      <c r="G18487" t="n">
        <v>6</v>
      </c>
      <c r="H18487" s="5">
        <f>HYPERLINK("https://api.qogita.com/variants/link/8008277264783/", "View Product")</f>
        <v/>
      </c>
    </row>
    <row r="18488">
      <c r="A18488" t="inlineStr">
        <is>
          <t>8008277265193</t>
        </is>
      </c>
      <c r="B18488" t="inlineStr">
        <is>
          <t>Inebrya Up To You Smoothing 2 In 1 Smoothing Mask And Conditioner 250ml</t>
        </is>
      </c>
      <c r="C18488" t="inlineStr">
        <is>
          <t>Hair Masks</t>
        </is>
      </c>
      <c r="D18488" t="inlineStr">
        <is>
          <t>Inebrya</t>
        </is>
      </c>
      <c r="E18488" t="n">
        <v>9.970000000000001</v>
      </c>
      <c r="F18488" t="n">
        <v>1</v>
      </c>
      <c r="G18488" t="n">
        <v>4</v>
      </c>
      <c r="H18488" s="5">
        <f>HYPERLINK("https://api.qogita.com/variants/link/8008277265193/", "View Product")</f>
        <v/>
      </c>
    </row>
    <row r="18489">
      <c r="A18489" t="inlineStr">
        <is>
          <t>8008277265216</t>
        </is>
      </c>
      <c r="B18489" t="inlineStr">
        <is>
          <t>Inebrya Up To You Smoothing Cream For Styling Frizzy Hair - 200ml</t>
        </is>
      </c>
      <c r="C18489" t="inlineStr">
        <is>
          <t>Styling Creams</t>
        </is>
      </c>
      <c r="D18489" t="inlineStr">
        <is>
          <t>Inebrya</t>
        </is>
      </c>
      <c r="E18489" t="n">
        <v>19.6</v>
      </c>
      <c r="F18489" t="n">
        <v>1</v>
      </c>
      <c r="G18489" t="n">
        <v>5</v>
      </c>
      <c r="H18489" s="5">
        <f>HYPERLINK("https://api.qogita.com/variants/link/8008277265216/", "View Product")</f>
        <v/>
      </c>
    </row>
    <row r="18490">
      <c r="A18490" t="inlineStr">
        <is>
          <t>8008277265223</t>
        </is>
      </c>
      <c r="B18490" t="inlineStr">
        <is>
          <t>Inebrya Up To You Smoothing Serum For Frizzy Hair 50ml</t>
        </is>
      </c>
      <c r="C18490" t="inlineStr">
        <is>
          <t>Hair Oil &amp; Hair Serum</t>
        </is>
      </c>
      <c r="D18490" t="inlineStr">
        <is>
          <t>Inebrya</t>
        </is>
      </c>
      <c r="E18490" t="n">
        <v>20.37</v>
      </c>
      <c r="F18490" t="n">
        <v>1</v>
      </c>
      <c r="G18490" t="n">
        <v>3</v>
      </c>
      <c r="H18490" s="5">
        <f>HYPERLINK("https://api.qogita.com/variants/link/8008277265223/", "View Product")</f>
        <v/>
      </c>
    </row>
    <row r="18491">
      <c r="A18491" t="inlineStr">
        <is>
          <t>8008277760568</t>
        </is>
      </c>
      <c r="B18491" t="inlineStr">
        <is>
          <t>Fanola Nourishing Rebuilding Hair Mask 1500ml</t>
        </is>
      </c>
      <c r="C18491" t="inlineStr">
        <is>
          <t>Hair Masks</t>
        </is>
      </c>
      <c r="D18491" t="inlineStr">
        <is>
          <t>Fanola</t>
        </is>
      </c>
      <c r="E18491" t="n">
        <v>8.119999999999999</v>
      </c>
      <c r="F18491" t="n">
        <v>1</v>
      </c>
      <c r="G18491" t="n">
        <v>133</v>
      </c>
      <c r="H18491" s="5">
        <f>HYPERLINK("https://api.qogita.com/variants/link/8008277760568/", "View Product")</f>
        <v/>
      </c>
    </row>
    <row r="18492">
      <c r="A18492" t="inlineStr">
        <is>
          <t>8008277760629</t>
        </is>
      </c>
      <c r="B18492" t="inlineStr">
        <is>
          <t>Fanola Nourishing Restructuring Fluid Crystals 100ml</t>
        </is>
      </c>
      <c r="C18492" t="inlineStr">
        <is>
          <t>Hair Oil &amp; Hair Serum</t>
        </is>
      </c>
      <c r="D18492" t="inlineStr">
        <is>
          <t>Fanola</t>
        </is>
      </c>
      <c r="E18492" t="n">
        <v>8.199999999999999</v>
      </c>
      <c r="F18492" t="n">
        <v>1</v>
      </c>
      <c r="G18492" t="n">
        <v>18</v>
      </c>
      <c r="H18492" s="5">
        <f>HYPERLINK("https://api.qogita.com/variants/link/8008277760629/", "View Product")</f>
        <v/>
      </c>
    </row>
    <row r="18493">
      <c r="A18493" t="inlineStr">
        <is>
          <t>8008277760827</t>
        </is>
      </c>
      <c r="B18493" t="inlineStr">
        <is>
          <t>Fanola Purple Anti-Yellow Oxidant Cream 5 Vol 1000ml</t>
        </is>
      </c>
      <c r="C18493" t="inlineStr">
        <is>
          <t>Bleaching</t>
        </is>
      </c>
      <c r="D18493" t="inlineStr">
        <is>
          <t>Fanola</t>
        </is>
      </c>
      <c r="E18493" t="n">
        <v>5.05</v>
      </c>
      <c r="F18493" t="n">
        <v>1</v>
      </c>
      <c r="G18493" t="n">
        <v>4</v>
      </c>
      <c r="H18493" s="5">
        <f>HYPERLINK("https://api.qogita.com/variants/link/8008277760827/", "View Product")</f>
        <v/>
      </c>
    </row>
    <row r="18494">
      <c r="A18494" t="inlineStr">
        <is>
          <t>8008277762470</t>
        </is>
      </c>
      <c r="B18494" t="inlineStr">
        <is>
          <t>Fanola Wonder Color Locker Sealing Cream 480ml</t>
        </is>
      </c>
      <c r="C18494" t="inlineStr">
        <is>
          <t>Conditioner</t>
        </is>
      </c>
      <c r="D18494" t="inlineStr">
        <is>
          <t>Fanola</t>
        </is>
      </c>
      <c r="E18494" t="n">
        <v>10.49</v>
      </c>
      <c r="F18494" t="n">
        <v>1</v>
      </c>
      <c r="G18494" t="n">
        <v>4</v>
      </c>
      <c r="H18494" s="5">
        <f>HYPERLINK("https://api.qogita.com/variants/link/8008277762470/", "View Product")</f>
        <v/>
      </c>
    </row>
    <row r="18495">
      <c r="A18495" t="inlineStr">
        <is>
          <t>8008277762586</t>
        </is>
      </c>
      <c r="B18495" t="inlineStr">
        <is>
          <t>Fanola Vitamins Energy Be Complex Lotion 10ml x 12 - Energizing Lotion</t>
        </is>
      </c>
      <c r="C18495" t="inlineStr">
        <is>
          <t>Vitamin</t>
        </is>
      </c>
      <c r="D18495" t="inlineStr">
        <is>
          <t>Fanola</t>
        </is>
      </c>
      <c r="E18495" t="n">
        <v>13.45</v>
      </c>
      <c r="F18495" t="n">
        <v>1</v>
      </c>
      <c r="G18495" t="n">
        <v>50</v>
      </c>
      <c r="H18495" s="5">
        <f>HYPERLINK("https://api.qogita.com/variants/link/8008277762586/", "View Product")</f>
        <v/>
      </c>
    </row>
    <row r="18496">
      <c r="A18496" t="inlineStr">
        <is>
          <t>8008277762784</t>
        </is>
      </c>
      <c r="B18496" t="inlineStr">
        <is>
          <t>Fanola Oro Therapy 24k Gold Shampoo</t>
        </is>
      </c>
      <c r="C18496" t="inlineStr">
        <is>
          <t>Shampoo</t>
        </is>
      </c>
      <c r="D18496" t="inlineStr">
        <is>
          <t>Fanola</t>
        </is>
      </c>
      <c r="E18496" t="n">
        <v>7.71</v>
      </c>
      <c r="F18496" t="n">
        <v>1</v>
      </c>
      <c r="G18496" t="n">
        <v>14</v>
      </c>
      <c r="H18496" s="5">
        <f>HYPERLINK("https://api.qogita.com/variants/link/8008277762784/", "View Product")</f>
        <v/>
      </c>
    </row>
    <row r="18497">
      <c r="A18497" t="inlineStr">
        <is>
          <t>8008277762791</t>
        </is>
      </c>
      <c r="B18497" t="inlineStr">
        <is>
          <t>Fanola Gold Therapy Illuminating Moisturizing Mask 300ml</t>
        </is>
      </c>
      <c r="C18497" t="inlineStr">
        <is>
          <t>Hair Masks</t>
        </is>
      </c>
      <c r="D18497" t="inlineStr">
        <is>
          <t>Fanola</t>
        </is>
      </c>
      <c r="E18497" t="n">
        <v>4.54</v>
      </c>
      <c r="F18497" t="n">
        <v>1</v>
      </c>
      <c r="G18497" t="n">
        <v>4</v>
      </c>
      <c r="H18497" s="5">
        <f>HYPERLINK("https://api.qogita.com/variants/link/8008277762791/", "View Product")</f>
        <v/>
      </c>
    </row>
    <row r="18498">
      <c r="A18498" t="inlineStr">
        <is>
          <t>8008277762807</t>
        </is>
      </c>
      <c r="B18498" t="inlineStr">
        <is>
          <t>Fanola Orotherapy Gold Mask Illuminating Hair Mask for All Hair Types 1000ml</t>
        </is>
      </c>
      <c r="C18498" t="inlineStr">
        <is>
          <t>Hair Masks</t>
        </is>
      </c>
      <c r="D18498" t="inlineStr">
        <is>
          <t>Fanola</t>
        </is>
      </c>
      <c r="E18498" t="n">
        <v>7.78</v>
      </c>
      <c r="F18498" t="n">
        <v>1</v>
      </c>
      <c r="G18498" t="n">
        <v>6</v>
      </c>
      <c r="H18498" s="5">
        <f>HYPERLINK("https://api.qogita.com/variants/link/8008277762807/", "View Product")</f>
        <v/>
      </c>
    </row>
    <row r="18499">
      <c r="A18499" t="inlineStr">
        <is>
          <t>8008277764542</t>
        </is>
      </c>
      <c r="B18499" t="inlineStr">
        <is>
          <t>Fanola Fantouch Thermal Protective Hair Spray 300ml</t>
        </is>
      </c>
      <c r="C18499" t="inlineStr">
        <is>
          <t>Hairspray</t>
        </is>
      </c>
      <c r="D18499" t="inlineStr">
        <is>
          <t>Fanola</t>
        </is>
      </c>
      <c r="E18499" t="n">
        <v>9.48</v>
      </c>
      <c r="F18499" t="n">
        <v>1</v>
      </c>
      <c r="G18499" t="n">
        <v>3</v>
      </c>
      <c r="H18499" s="5">
        <f>HYPERLINK("https://api.qogita.com/variants/link/8008277764542/", "View Product")</f>
        <v/>
      </c>
    </row>
    <row r="18500">
      <c r="A18500" t="inlineStr">
        <is>
          <t>8008277765341</t>
        </is>
      </c>
      <c r="B18500" t="inlineStr">
        <is>
          <t>Fanola Fantouch Get Curl Cream For Curls 200ml</t>
        </is>
      </c>
      <c r="C18500" t="inlineStr">
        <is>
          <t>Styling Creams</t>
        </is>
      </c>
      <c r="D18500" t="inlineStr">
        <is>
          <t>Fanola</t>
        </is>
      </c>
      <c r="E18500" t="n">
        <v>5.84</v>
      </c>
      <c r="F18500" t="n">
        <v>1</v>
      </c>
      <c r="G18500" t="n">
        <v>4</v>
      </c>
      <c r="H18500" s="5">
        <f>HYPERLINK("https://api.qogita.com/variants/link/8008277765341/", "View Product")</f>
        <v/>
      </c>
    </row>
    <row r="18501">
      <c r="A18501" t="inlineStr">
        <is>
          <t>8008970000855</t>
        </is>
      </c>
      <c r="B18501" t="inlineStr">
        <is>
          <t>Tesori D'Oriente Lotus Flower Acacia's Milk Shower Gel</t>
        </is>
      </c>
      <c r="C18501" t="inlineStr">
        <is>
          <t>Shower Gel</t>
        </is>
      </c>
      <c r="D18501" t="inlineStr">
        <is>
          <t>Tesori D'Oriente</t>
        </is>
      </c>
      <c r="E18501" t="n">
        <v>3.85</v>
      </c>
      <c r="F18501" t="n">
        <v>1</v>
      </c>
      <c r="G18501" t="n">
        <v>5</v>
      </c>
      <c r="H18501" s="5">
        <f>HYPERLINK("https://api.qogita.com/variants/link/8008970000855/", "View Product")</f>
        <v/>
      </c>
    </row>
    <row r="18502">
      <c r="A18502" t="inlineStr">
        <is>
          <t>8008970004402</t>
        </is>
      </c>
      <c r="B18502" t="inlineStr">
        <is>
          <t>Denim Original Deospray Deodorant Spray</t>
        </is>
      </c>
      <c r="C18502" t="inlineStr">
        <is>
          <t>Deodorant &amp; Anti-Perspirant</t>
        </is>
      </c>
      <c r="D18502" t="inlineStr">
        <is>
          <t>Denim</t>
        </is>
      </c>
      <c r="E18502" t="n">
        <v>4.34</v>
      </c>
      <c r="F18502" t="n">
        <v>1</v>
      </c>
      <c r="G18502" t="n">
        <v>13</v>
      </c>
      <c r="H18502" s="5">
        <f>HYPERLINK("https://api.qogita.com/variants/link/8008970004402/", "View Product")</f>
        <v/>
      </c>
    </row>
    <row r="18503">
      <c r="A18503" t="inlineStr">
        <is>
          <t>8008970005157</t>
        </is>
      </c>
      <c r="B18503" t="inlineStr">
        <is>
          <t>Denim Black Shower Gel</t>
        </is>
      </c>
      <c r="C18503" t="inlineStr">
        <is>
          <t>Shower Gel</t>
        </is>
      </c>
      <c r="D18503" t="inlineStr">
        <is>
          <t>Denim</t>
        </is>
      </c>
      <c r="E18503" t="n">
        <v>4.17</v>
      </c>
      <c r="F18503" t="n">
        <v>1</v>
      </c>
      <c r="G18503" t="n">
        <v>12</v>
      </c>
      <c r="H18503" s="5">
        <f>HYPERLINK("https://api.qogita.com/variants/link/8008970005157/", "View Product")</f>
        <v/>
      </c>
    </row>
    <row r="18504">
      <c r="A18504" t="inlineStr">
        <is>
          <t>8008970011127</t>
        </is>
      </c>
      <c r="B18504" t="inlineStr">
        <is>
          <t>Tesori D'Oriente White Musk Bath Cream</t>
        </is>
      </c>
      <c r="C18504" t="inlineStr">
        <is>
          <t>Body Lotion</t>
        </is>
      </c>
      <c r="D18504" t="inlineStr">
        <is>
          <t>Tesori D'Oriente</t>
        </is>
      </c>
      <c r="E18504" t="n">
        <v>5.72</v>
      </c>
      <c r="F18504" t="n">
        <v>1</v>
      </c>
      <c r="G18504" t="n">
        <v>10</v>
      </c>
      <c r="H18504" s="5">
        <f>HYPERLINK("https://api.qogita.com/variants/link/8008970011127/", "View Product")</f>
        <v/>
      </c>
    </row>
    <row r="18505">
      <c r="A18505" t="inlineStr">
        <is>
          <t>8008970011141</t>
        </is>
      </c>
      <c r="B18505" t="inlineStr">
        <is>
          <t>Tesori D'Oriente Eau De Toilette 100ml</t>
        </is>
      </c>
      <c r="C18505" t="inlineStr">
        <is>
          <t>Eau De Toilette</t>
        </is>
      </c>
      <c r="D18505" t="inlineStr">
        <is>
          <t>Tesori D'Oriente</t>
        </is>
      </c>
      <c r="E18505" t="n">
        <v>6.31</v>
      </c>
      <c r="F18505" t="n">
        <v>1</v>
      </c>
      <c r="G18505" t="n">
        <v>93</v>
      </c>
      <c r="H18505" s="5">
        <f>HYPERLINK("https://api.qogita.com/variants/link/8008970011141/", "View Product")</f>
        <v/>
      </c>
    </row>
    <row r="18506">
      <c r="A18506" t="inlineStr">
        <is>
          <t>8008970040738</t>
        </is>
      </c>
      <c r="B18506" t="inlineStr">
        <is>
          <t>Treasures of the Orient Byzantium Bath Cream 500ml</t>
        </is>
      </c>
      <c r="C18506" t="inlineStr">
        <is>
          <t>Bath Oil &amp; Bath Milk</t>
        </is>
      </c>
      <c r="D18506" t="inlineStr">
        <is>
          <t>Tesori D'Oriente</t>
        </is>
      </c>
      <c r="E18506" t="n">
        <v>5.38</v>
      </c>
      <c r="F18506" t="n">
        <v>1</v>
      </c>
      <c r="G18506" t="n">
        <v>54</v>
      </c>
      <c r="H18506" s="5">
        <f>HYPERLINK("https://api.qogita.com/variants/link/8008970040738/", "View Product")</f>
        <v/>
      </c>
    </row>
    <row r="18507">
      <c r="A18507" t="inlineStr">
        <is>
          <t>8008970048611</t>
        </is>
      </c>
      <c r="B18507" t="inlineStr">
        <is>
          <t>Shower Oil Argan and Sweet Cyperus Oils 250ml</t>
        </is>
      </c>
      <c r="C18507" t="inlineStr">
        <is>
          <t>Shower Oil</t>
        </is>
      </c>
      <c r="D18507" t="inlineStr">
        <is>
          <t>Tesori D'Oriente</t>
        </is>
      </c>
      <c r="E18507" t="n">
        <v>4.26</v>
      </c>
      <c r="F18507" t="n">
        <v>1</v>
      </c>
      <c r="G18507" t="n">
        <v>31</v>
      </c>
      <c r="H18507" s="5">
        <f>HYPERLINK("https://api.qogita.com/variants/link/8008970048611/", "View Product")</f>
        <v/>
      </c>
    </row>
    <row r="18508">
      <c r="A18508" t="inlineStr">
        <is>
          <t>8008970048628</t>
        </is>
      </c>
      <c r="B18508" t="inlineStr">
        <is>
          <t>Shower Oil Rice and Tsubaki Oils 250ml</t>
        </is>
      </c>
      <c r="C18508" t="inlineStr">
        <is>
          <t>Shower Oil</t>
        </is>
      </c>
      <c r="D18508" t="inlineStr">
        <is>
          <t>Tesori D'Oriente</t>
        </is>
      </c>
      <c r="E18508" t="n">
        <v>4.26</v>
      </c>
      <c r="F18508" t="n">
        <v>1</v>
      </c>
      <c r="G18508" t="n">
        <v>40</v>
      </c>
      <c r="H18508" s="5">
        <f>HYPERLINK("https://api.qogita.com/variants/link/8008970048628/", "View Product")</f>
        <v/>
      </c>
    </row>
    <row r="18509">
      <c r="A18509" t="inlineStr">
        <is>
          <t>8008970048635</t>
        </is>
      </c>
      <c r="B18509" t="inlineStr">
        <is>
          <t>Tesori D'Oriente Olio Doccia Shower Gel Alma And Sesame Oils Shower Oil</t>
        </is>
      </c>
      <c r="C18509" t="inlineStr">
        <is>
          <t>Shower Oil</t>
        </is>
      </c>
      <c r="D18509" t="inlineStr">
        <is>
          <t>Tesori D'Oriente</t>
        </is>
      </c>
      <c r="E18509" t="n">
        <v>4.28</v>
      </c>
      <c r="F18509" t="n">
        <v>1</v>
      </c>
      <c r="G18509" t="n">
        <v>20</v>
      </c>
      <c r="H18509" s="5">
        <f>HYPERLINK("https://api.qogita.com/variants/link/8008970048635/", "View Product")</f>
        <v/>
      </c>
    </row>
    <row r="18510">
      <c r="A18510" t="inlineStr">
        <is>
          <t>8008970050409</t>
        </is>
      </c>
      <c r="B18510" t="inlineStr">
        <is>
          <t>Tesori D'Oriente Muschio Bianco Home Spray And Diffuser</t>
        </is>
      </c>
      <c r="C18510" t="inlineStr">
        <is>
          <t>Diffusers</t>
        </is>
      </c>
      <c r="D18510" t="inlineStr">
        <is>
          <t>Tesori D'Oriente</t>
        </is>
      </c>
      <c r="E18510" t="n">
        <v>5.92</v>
      </c>
      <c r="F18510" t="n">
        <v>1</v>
      </c>
      <c r="G18510" t="n">
        <v>12</v>
      </c>
      <c r="H18510" s="5">
        <f>HYPERLINK("https://api.qogita.com/variants/link/8008970050409/", "View Product")</f>
        <v/>
      </c>
    </row>
    <row r="18511">
      <c r="A18511" t="inlineStr">
        <is>
          <t>8008970051963</t>
        </is>
      </c>
      <c r="B18511" t="inlineStr">
        <is>
          <t>Tesori D'Oriente Byzantium Laundry Perfume 250ml</t>
        </is>
      </c>
      <c r="C18511" t="inlineStr">
        <is>
          <t>Incense</t>
        </is>
      </c>
      <c r="D18511" t="inlineStr">
        <is>
          <t>Sarcia.Eu</t>
        </is>
      </c>
      <c r="E18511" t="n">
        <v>8.16</v>
      </c>
      <c r="F18511" t="n">
        <v>1</v>
      </c>
      <c r="G18511" t="n">
        <v>3</v>
      </c>
      <c r="H18511" s="5">
        <f>HYPERLINK("https://api.qogita.com/variants/link/8008970051963/", "View Product")</f>
        <v/>
      </c>
    </row>
    <row r="18512">
      <c r="A18512" t="inlineStr">
        <is>
          <t>8009150880311</t>
        </is>
      </c>
      <c r="B18512" t="inlineStr">
        <is>
          <t>Visconti Di Modrone Acqua Di Selva Aftershave for Men 100ml</t>
        </is>
      </c>
      <c r="C18512" t="inlineStr">
        <is>
          <t>Aftershave</t>
        </is>
      </c>
      <c r="D18512" t="inlineStr">
        <is>
          <t>Visconti Di Modrone</t>
        </is>
      </c>
      <c r="E18512" t="n">
        <v>12.22</v>
      </c>
      <c r="F18512" t="n">
        <v>1</v>
      </c>
      <c r="G18512" t="n">
        <v>14</v>
      </c>
      <c r="H18512" s="5">
        <f>HYPERLINK("https://api.qogita.com/variants/link/8009150880311/", "View Product")</f>
        <v/>
      </c>
    </row>
    <row r="18513">
      <c r="A18513" t="inlineStr">
        <is>
          <t>8011003061327</t>
        </is>
      </c>
      <c r="B18513" t="inlineStr">
        <is>
          <t>Moschino Cheap And Chic Eau De Toilette Spray 100ml</t>
        </is>
      </c>
      <c r="C18513" t="inlineStr">
        <is>
          <t>Eau De Toilette</t>
        </is>
      </c>
      <c r="D18513" t="inlineStr">
        <is>
          <t>Moschino</t>
        </is>
      </c>
      <c r="E18513" t="n">
        <v>34.7</v>
      </c>
      <c r="F18513" t="n">
        <v>1</v>
      </c>
      <c r="G18513" t="n">
        <v>30</v>
      </c>
      <c r="H18513" s="5">
        <f>HYPERLINK("https://api.qogita.com/variants/link/8011003061327/", "View Product")</f>
        <v/>
      </c>
    </row>
    <row r="18514">
      <c r="A18514" t="inlineStr">
        <is>
          <t>8011003064106</t>
        </is>
      </c>
      <c r="B18514" t="inlineStr">
        <is>
          <t>Moschino Uomo Eau De Toilette 125ml Men Spray</t>
        </is>
      </c>
      <c r="C18514" t="inlineStr">
        <is>
          <t>Eau De Toilette</t>
        </is>
      </c>
      <c r="D18514" t="inlineStr">
        <is>
          <t>Moschino</t>
        </is>
      </c>
      <c r="E18514" t="n">
        <v>18.74</v>
      </c>
      <c r="F18514" t="n">
        <v>1</v>
      </c>
      <c r="G18514" t="n">
        <v>442</v>
      </c>
      <c r="H18514" s="5">
        <f>HYPERLINK("https://api.qogita.com/variants/link/8011003064106/", "View Product")</f>
        <v/>
      </c>
    </row>
    <row r="18515">
      <c r="A18515" t="inlineStr">
        <is>
          <t>8011003612802</t>
        </is>
      </c>
      <c r="B18515" t="inlineStr">
        <is>
          <t>Moschino Cheap Chic Eau De Toilette 30ml Women's Spray</t>
        </is>
      </c>
      <c r="C18515" t="inlineStr">
        <is>
          <t>Eau De Toilette</t>
        </is>
      </c>
      <c r="D18515" t="inlineStr">
        <is>
          <t>Moschino</t>
        </is>
      </c>
      <c r="E18515" t="n">
        <v>16.22</v>
      </c>
      <c r="F18515" t="n">
        <v>1</v>
      </c>
      <c r="G18515" t="n">
        <v>175</v>
      </c>
      <c r="H18515" s="5">
        <f>HYPERLINK("https://api.qogita.com/variants/link/8011003612802/", "View Product")</f>
        <v/>
      </c>
    </row>
    <row r="18516">
      <c r="A18516" t="inlineStr">
        <is>
          <t>8011003801619</t>
        </is>
      </c>
      <c r="B18516" t="inlineStr">
        <is>
          <t>Versace Pour Homme Eau De Toilette Spray 200ml Men's Fragrance</t>
        </is>
      </c>
      <c r="C18516" t="inlineStr">
        <is>
          <t>Eau De Toilette</t>
        </is>
      </c>
      <c r="D18516" t="inlineStr">
        <is>
          <t>Versace</t>
        </is>
      </c>
      <c r="E18516" t="n">
        <v>59.03</v>
      </c>
      <c r="F18516" t="n">
        <v>1</v>
      </c>
      <c r="G18516" t="n">
        <v>741</v>
      </c>
      <c r="H18516" s="5">
        <f>HYPERLINK("https://api.qogita.com/variants/link/8011003801619/", "View Product")</f>
        <v/>
      </c>
    </row>
    <row r="18517">
      <c r="A18517" t="inlineStr">
        <is>
          <t>8011003804603</t>
        </is>
      </c>
      <c r="B18517" t="inlineStr">
        <is>
          <t>Versace Yellow Diamond Perfumed Body Lotion 200ml</t>
        </is>
      </c>
      <c r="C18517" t="inlineStr">
        <is>
          <t>Body Lotion</t>
        </is>
      </c>
      <c r="D18517" t="inlineStr">
        <is>
          <t>Versace</t>
        </is>
      </c>
      <c r="E18517" t="n">
        <v>26.69</v>
      </c>
      <c r="F18517" t="n">
        <v>1</v>
      </c>
      <c r="G18517" t="n">
        <v>3</v>
      </c>
      <c r="H18517" s="5">
        <f>HYPERLINK("https://api.qogita.com/variants/link/8011003804603/", "View Product")</f>
        <v/>
      </c>
    </row>
    <row r="18518">
      <c r="A18518" t="inlineStr">
        <is>
          <t>8011003807864</t>
        </is>
      </c>
      <c r="B18518" t="inlineStr">
        <is>
          <t>Moschino Pink Bouquet EDT 50ml</t>
        </is>
      </c>
      <c r="C18518" t="inlineStr">
        <is>
          <t>Eau De Toilette</t>
        </is>
      </c>
      <c r="D18518" t="inlineStr">
        <is>
          <t>Moschino</t>
        </is>
      </c>
      <c r="E18518" t="n">
        <v>13.33</v>
      </c>
      <c r="F18518" t="n">
        <v>1</v>
      </c>
      <c r="G18518" t="n">
        <v>76</v>
      </c>
      <c r="H18518" s="5">
        <f>HYPERLINK("https://api.qogita.com/variants/link/8011003807864/", "View Product")</f>
        <v/>
      </c>
    </row>
    <row r="18519">
      <c r="A18519" t="inlineStr">
        <is>
          <t>8011003809202</t>
        </is>
      </c>
      <c r="B18519" t="inlineStr">
        <is>
          <t>Versace Eros Eau De Toilette 50ml For Men</t>
        </is>
      </c>
      <c r="C18519" t="inlineStr">
        <is>
          <t>Eau De Toilette</t>
        </is>
      </c>
      <c r="D18519" t="inlineStr">
        <is>
          <t>Versace</t>
        </is>
      </c>
      <c r="E18519" t="n">
        <v>36.19</v>
      </c>
      <c r="F18519" t="n">
        <v>1</v>
      </c>
      <c r="G18519" t="n">
        <v>28</v>
      </c>
      <c r="H18519" s="5">
        <f>HYPERLINK("https://api.qogita.com/variants/link/8011003809202/", "View Product")</f>
        <v/>
      </c>
    </row>
    <row r="18520">
      <c r="A18520" t="inlineStr">
        <is>
          <t>8011003809240</t>
        </is>
      </c>
      <c r="B18520" t="inlineStr">
        <is>
          <t>Versace Eros Deodorant Spray</t>
        </is>
      </c>
      <c r="C18520" t="inlineStr">
        <is>
          <t>Deodorant &amp; Anti-Perspirant</t>
        </is>
      </c>
      <c r="D18520" t="inlineStr">
        <is>
          <t>Versace</t>
        </is>
      </c>
      <c r="E18520" t="n">
        <v>28.12</v>
      </c>
      <c r="F18520" t="n">
        <v>1</v>
      </c>
      <c r="G18520" t="n">
        <v>6</v>
      </c>
      <c r="H18520" s="5">
        <f>HYPERLINK("https://api.qogita.com/variants/link/8011003809240/", "View Product")</f>
        <v/>
      </c>
    </row>
    <row r="18521">
      <c r="A18521" t="inlineStr">
        <is>
          <t>8011003809318</t>
        </is>
      </c>
      <c r="B18521" t="inlineStr">
        <is>
          <t>Versace Eros Eau De Toilette 30ml 2 Piece Gift Set</t>
        </is>
      </c>
      <c r="C18521" t="inlineStr">
        <is>
          <t>Fragrance Sets</t>
        </is>
      </c>
      <c r="D18521" t="inlineStr">
        <is>
          <t>Versace</t>
        </is>
      </c>
      <c r="E18521" t="n">
        <v>52.11</v>
      </c>
      <c r="F18521" t="n">
        <v>1</v>
      </c>
      <c r="G18521" t="n">
        <v>2</v>
      </c>
      <c r="H18521" s="5">
        <f>HYPERLINK("https://api.qogita.com/variants/link/8011003809318/", "View Product")</f>
        <v/>
      </c>
    </row>
    <row r="18522">
      <c r="A18522" t="inlineStr">
        <is>
          <t>8011003816729</t>
        </is>
      </c>
      <c r="B18522" t="inlineStr">
        <is>
          <t>Versace Man Eau Fraiche Deodorant Stick 75ml</t>
        </is>
      </c>
      <c r="C18522" t="inlineStr">
        <is>
          <t>Deodorant &amp; Anti-Perspirant</t>
        </is>
      </c>
      <c r="D18522" t="inlineStr">
        <is>
          <t>Versace</t>
        </is>
      </c>
      <c r="E18522" t="n">
        <v>20.08</v>
      </c>
      <c r="F18522" t="n">
        <v>1</v>
      </c>
      <c r="G18522" t="n">
        <v>5</v>
      </c>
      <c r="H18522" s="5">
        <f>HYPERLINK("https://api.qogita.com/variants/link/8011003816729/", "View Product")</f>
        <v/>
      </c>
    </row>
    <row r="18523">
      <c r="A18523" t="inlineStr">
        <is>
          <t>8011003823581</t>
        </is>
      </c>
      <c r="B18523" t="inlineStr">
        <is>
          <t>Eros Eau De Parfum Spray for Women 3.4 Ounce</t>
        </is>
      </c>
      <c r="C18523" t="inlineStr">
        <is>
          <t>Eau De Parfum</t>
        </is>
      </c>
      <c r="D18523" t="inlineStr">
        <is>
          <t>Versace</t>
        </is>
      </c>
      <c r="E18523" t="n">
        <v>45.74</v>
      </c>
      <c r="F18523" t="n">
        <v>1</v>
      </c>
      <c r="G18523" t="n">
        <v>7</v>
      </c>
      <c r="H18523" s="5">
        <f>HYPERLINK("https://api.qogita.com/variants/link/8011003823581/", "View Product")</f>
        <v/>
      </c>
    </row>
    <row r="18524">
      <c r="A18524" t="inlineStr">
        <is>
          <t>8011003827329</t>
        </is>
      </c>
      <c r="B18524" t="inlineStr">
        <is>
          <t>Versace Eros Pour Femme Eau De Toilette Spray 30ml</t>
        </is>
      </c>
      <c r="C18524" t="inlineStr">
        <is>
          <t>Eau De Toilette</t>
        </is>
      </c>
      <c r="D18524" t="inlineStr">
        <is>
          <t>Versace</t>
        </is>
      </c>
      <c r="E18524" t="n">
        <v>31.63</v>
      </c>
      <c r="F18524" t="n">
        <v>1</v>
      </c>
      <c r="G18524" t="n">
        <v>10</v>
      </c>
      <c r="H18524" s="5">
        <f>HYPERLINK("https://api.qogita.com/variants/link/8011003827329/", "View Product")</f>
        <v/>
      </c>
    </row>
    <row r="18525">
      <c r="A18525" t="inlineStr">
        <is>
          <t>8011003838066</t>
        </is>
      </c>
      <c r="B18525" t="inlineStr">
        <is>
          <t>Moschino Fresh Pink Eau De Toilette Spray 100ml</t>
        </is>
      </c>
      <c r="C18525" t="inlineStr">
        <is>
          <t>Eau De Toilette</t>
        </is>
      </c>
      <c r="D18525" t="inlineStr">
        <is>
          <t>Moschino</t>
        </is>
      </c>
      <c r="E18525" t="n">
        <v>33.85</v>
      </c>
      <c r="F18525" t="n">
        <v>1</v>
      </c>
      <c r="G18525" t="n">
        <v>32</v>
      </c>
      <c r="H18525" s="5">
        <f>HYPERLINK("https://api.qogita.com/variants/link/8011003838066/", "View Product")</f>
        <v/>
      </c>
    </row>
    <row r="18526">
      <c r="A18526" t="inlineStr">
        <is>
          <t>8011003839100</t>
        </is>
      </c>
      <c r="B18526" t="inlineStr">
        <is>
          <t>Versace Versace Pour Femme Dylan Blue Eau De Parfum Spray 50ml</t>
        </is>
      </c>
      <c r="C18526" t="inlineStr">
        <is>
          <t>Eau De Parfum</t>
        </is>
      </c>
      <c r="D18526" t="inlineStr">
        <is>
          <t>Versace</t>
        </is>
      </c>
      <c r="E18526" t="n">
        <v>40.19</v>
      </c>
      <c r="F18526" t="n">
        <v>1</v>
      </c>
      <c r="G18526" t="n">
        <v>36</v>
      </c>
      <c r="H18526" s="5">
        <f>HYPERLINK("https://api.qogita.com/variants/link/8011003839100/", "View Product")</f>
        <v/>
      </c>
    </row>
    <row r="18527">
      <c r="A18527" t="inlineStr">
        <is>
          <t>8011003839292</t>
        </is>
      </c>
      <c r="B18527" t="inlineStr">
        <is>
          <t>Moschino Toy 2 Eau De Parfum 50ml Spray For Women</t>
        </is>
      </c>
      <c r="C18527" t="inlineStr">
        <is>
          <t>Eau De Parfum</t>
        </is>
      </c>
      <c r="D18527" t="inlineStr">
        <is>
          <t>Moschino</t>
        </is>
      </c>
      <c r="E18527" t="n">
        <v>26.83</v>
      </c>
      <c r="F18527" t="n">
        <v>1</v>
      </c>
      <c r="G18527" t="n">
        <v>45</v>
      </c>
      <c r="H18527" s="5">
        <f>HYPERLINK("https://api.qogita.com/variants/link/8011003839292/", "View Product")</f>
        <v/>
      </c>
    </row>
    <row r="18528">
      <c r="A18528" t="inlineStr">
        <is>
          <t>8011003845163</t>
        </is>
      </c>
      <c r="B18528" t="inlineStr">
        <is>
          <t>Moschino Toy Boy Fragrance 3.4 Fl Oz</t>
        </is>
      </c>
      <c r="C18528" t="inlineStr">
        <is>
          <t>Eau De Parfum</t>
        </is>
      </c>
      <c r="D18528" t="inlineStr">
        <is>
          <t>Moschino</t>
        </is>
      </c>
      <c r="E18528" t="n">
        <v>28.21</v>
      </c>
      <c r="F18528" t="n">
        <v>1</v>
      </c>
      <c r="G18528" t="n">
        <v>5</v>
      </c>
      <c r="H18528" s="5">
        <f>HYPERLINK("https://api.qogita.com/variants/link/8011003845163/", "View Product")</f>
        <v/>
      </c>
    </row>
    <row r="18529">
      <c r="A18529" t="inlineStr">
        <is>
          <t>8011003845330</t>
        </is>
      </c>
      <c r="B18529" t="inlineStr">
        <is>
          <t>Versace Eros Flame Eau De Parfum Spray 30ml</t>
        </is>
      </c>
      <c r="C18529" t="inlineStr">
        <is>
          <t>Eau De Parfum</t>
        </is>
      </c>
      <c r="D18529" t="inlineStr">
        <is>
          <t>Versace</t>
        </is>
      </c>
      <c r="E18529" t="n">
        <v>31.1</v>
      </c>
      <c r="F18529" t="n">
        <v>1</v>
      </c>
      <c r="G18529" t="n">
        <v>44</v>
      </c>
      <c r="H18529" s="5">
        <f>HYPERLINK("https://api.qogita.com/variants/link/8011003845330/", "View Product")</f>
        <v/>
      </c>
    </row>
    <row r="18530">
      <c r="A18530" t="inlineStr">
        <is>
          <t>8011003848232</t>
        </is>
      </c>
      <c r="B18530" t="inlineStr">
        <is>
          <t>Versace Cedrat De Diamante Eau De Parfum</t>
        </is>
      </c>
      <c r="C18530" t="inlineStr">
        <is>
          <t>Eau De Parfum</t>
        </is>
      </c>
      <c r="D18530" t="inlineStr">
        <is>
          <t>Versace</t>
        </is>
      </c>
      <c r="E18530" t="n">
        <v>112.1</v>
      </c>
      <c r="F18530" t="n">
        <v>1</v>
      </c>
      <c r="G18530" t="n">
        <v>8</v>
      </c>
      <c r="H18530" s="5">
        <f>HYPERLINK("https://api.qogita.com/variants/link/8011003848232/", "View Product")</f>
        <v/>
      </c>
    </row>
    <row r="18531">
      <c r="A18531" t="inlineStr">
        <is>
          <t>8011003852734</t>
        </is>
      </c>
      <c r="B18531" t="inlineStr">
        <is>
          <t>Dsquared2 Green Wood Eau De Toilette Spray 50ml For Men</t>
        </is>
      </c>
      <c r="C18531" t="inlineStr">
        <is>
          <t>Eau De Toilette</t>
        </is>
      </c>
      <c r="D18531" t="inlineStr">
        <is>
          <t>Dsquared2</t>
        </is>
      </c>
      <c r="E18531" t="n">
        <v>20.98</v>
      </c>
      <c r="F18531" t="n">
        <v>1</v>
      </c>
      <c r="G18531" t="n">
        <v>59</v>
      </c>
      <c r="H18531" s="5">
        <f>HYPERLINK("https://api.qogita.com/variants/link/8011003852734/", "View Product")</f>
        <v/>
      </c>
    </row>
    <row r="18532">
      <c r="A18532" t="inlineStr">
        <is>
          <t>8011003858552</t>
        </is>
      </c>
      <c r="B18532" t="inlineStr">
        <is>
          <t>Versace Dylan Turquoise Eau De Toilette Spray 100ml For Women</t>
        </is>
      </c>
      <c r="C18532" t="inlineStr">
        <is>
          <t>Eau De Toilette</t>
        </is>
      </c>
      <c r="D18532" t="inlineStr">
        <is>
          <t>Versace</t>
        </is>
      </c>
      <c r="E18532" t="n">
        <v>53.34</v>
      </c>
      <c r="F18532" t="n">
        <v>1</v>
      </c>
      <c r="G18532" t="n">
        <v>86</v>
      </c>
      <c r="H18532" s="5">
        <f>HYPERLINK("https://api.qogita.com/variants/link/8011003858552/", "View Product")</f>
        <v/>
      </c>
    </row>
    <row r="18533">
      <c r="A18533" t="inlineStr">
        <is>
          <t>8011003863747</t>
        </is>
      </c>
      <c r="B18533" t="inlineStr">
        <is>
          <t>Versace Atelier Tabac Imperial for Men 3.4 oz EDP Spray</t>
        </is>
      </c>
      <c r="C18533" t="inlineStr">
        <is>
          <t>Eau De Parfum</t>
        </is>
      </c>
      <c r="D18533" t="inlineStr">
        <is>
          <t>Versace</t>
        </is>
      </c>
      <c r="E18533" t="n">
        <v>120.07</v>
      </c>
      <c r="F18533" t="n">
        <v>1</v>
      </c>
      <c r="G18533" t="n">
        <v>5</v>
      </c>
      <c r="H18533" s="5">
        <f>HYPERLINK("https://api.qogita.com/variants/link/8011003863747/", "View Product")</f>
        <v/>
      </c>
    </row>
    <row r="18534">
      <c r="A18534" t="inlineStr">
        <is>
          <t>8011003864294</t>
        </is>
      </c>
      <c r="B18534" t="inlineStr">
        <is>
          <t>Two Wood EDT Vapo 100ml</t>
        </is>
      </c>
      <c r="C18534" t="inlineStr">
        <is>
          <t>Eau De Toilette</t>
        </is>
      </c>
      <c r="D18534" t="inlineStr">
        <is>
          <t>Dsquared2</t>
        </is>
      </c>
      <c r="E18534" t="n">
        <v>34.02</v>
      </c>
      <c r="F18534" t="n">
        <v>1</v>
      </c>
      <c r="G18534" t="n">
        <v>65</v>
      </c>
      <c r="H18534" s="5">
        <f>HYPERLINK("https://api.qogita.com/variants/link/8011003864294/", "View Product")</f>
        <v/>
      </c>
    </row>
    <row r="18535">
      <c r="A18535" t="inlineStr">
        <is>
          <t>8011003865772</t>
        </is>
      </c>
      <c r="B18535" t="inlineStr">
        <is>
          <t>Atkinsons English Lavender Eau De Toilette 150ml Vaporizer</t>
        </is>
      </c>
      <c r="C18535" t="inlineStr">
        <is>
          <t>Eau De Toilette</t>
        </is>
      </c>
      <c r="D18535" t="inlineStr">
        <is>
          <t>Atkinsons</t>
        </is>
      </c>
      <c r="E18535" t="n">
        <v>21.17</v>
      </c>
      <c r="F18535" t="n">
        <v>1</v>
      </c>
      <c r="G18535" t="n">
        <v>3</v>
      </c>
      <c r="H18535" s="5">
        <f>HYPERLINK("https://api.qogita.com/variants/link/8011003865772/", "View Product")</f>
        <v/>
      </c>
    </row>
    <row r="18536">
      <c r="A18536" t="inlineStr">
        <is>
          <t>8011003866571</t>
        </is>
      </c>
      <c r="B18536" t="inlineStr">
        <is>
          <t>Atkinsons 44 Gerrard Street Eau De Cologne Spray 100ml</t>
        </is>
      </c>
      <c r="C18536" t="inlineStr">
        <is>
          <t>Eau De Cologne</t>
        </is>
      </c>
      <c r="D18536" t="inlineStr">
        <is>
          <t>Atkinsons</t>
        </is>
      </c>
      <c r="E18536" t="n">
        <v>77.67</v>
      </c>
      <c r="F18536" t="n">
        <v>1</v>
      </c>
      <c r="G18536" t="n">
        <v>4</v>
      </c>
      <c r="H18536" s="5">
        <f>HYPERLINK("https://api.qogita.com/variants/link/8011003866571/", "View Product")</f>
        <v/>
      </c>
    </row>
    <row r="18537">
      <c r="A18537" t="inlineStr">
        <is>
          <t>8011003866939</t>
        </is>
      </c>
      <c r="B18537" t="inlineStr">
        <is>
          <t>Atkinsons Tulipe Noire Eau De Parfum 100ml Unisex Spray</t>
        </is>
      </c>
      <c r="C18537" t="inlineStr">
        <is>
          <t>Eau De Parfum</t>
        </is>
      </c>
      <c r="D18537" t="inlineStr">
        <is>
          <t>Atkinsons</t>
        </is>
      </c>
      <c r="E18537" t="n">
        <v>64.01000000000001</v>
      </c>
      <c r="F18537" t="n">
        <v>1</v>
      </c>
      <c r="G18537" t="n">
        <v>10</v>
      </c>
      <c r="H18537" s="5">
        <f>HYPERLINK("https://api.qogita.com/variants/link/8011003866939/", "View Product")</f>
        <v/>
      </c>
    </row>
    <row r="18538">
      <c r="A18538" t="inlineStr">
        <is>
          <t>8011003867233</t>
        </is>
      </c>
      <c r="B18538" t="inlineStr">
        <is>
          <t>Atkinsons Her Majesty The Oud Eau De Parfum 100ml</t>
        </is>
      </c>
      <c r="C18538" t="inlineStr">
        <is>
          <t>Eau De Parfum</t>
        </is>
      </c>
      <c r="D18538" t="inlineStr">
        <is>
          <t>Atkinson's</t>
        </is>
      </c>
      <c r="E18538" t="n">
        <v>77.56</v>
      </c>
      <c r="F18538" t="n">
        <v>1</v>
      </c>
      <c r="G18538" t="n">
        <v>7</v>
      </c>
      <c r="H18538" s="5">
        <f>HYPERLINK("https://api.qogita.com/variants/link/8011003867233/", "View Product")</f>
        <v/>
      </c>
    </row>
    <row r="18539">
      <c r="A18539" t="inlineStr">
        <is>
          <t>8011003872077</t>
        </is>
      </c>
      <c r="B18539" t="inlineStr">
        <is>
          <t>Versace Eros Parfum 100ml Men's Perfume Spray</t>
        </is>
      </c>
      <c r="C18539" t="inlineStr">
        <is>
          <t>Eau De Parfum</t>
        </is>
      </c>
      <c r="D18539" t="inlineStr">
        <is>
          <t>Versace</t>
        </is>
      </c>
      <c r="E18539" t="n">
        <v>63.42</v>
      </c>
      <c r="F18539" t="n">
        <v>1</v>
      </c>
      <c r="G18539" t="n">
        <v>385</v>
      </c>
      <c r="H18539" s="5">
        <f>HYPERLINK("https://api.qogita.com/variants/link/8011003872077/", "View Product")</f>
        <v/>
      </c>
    </row>
    <row r="18540">
      <c r="A18540" t="inlineStr">
        <is>
          <t>8011003872831</t>
        </is>
      </c>
      <c r="B18540" t="inlineStr">
        <is>
          <t>Dsquared2 Original Wood Men Eau De Parfum Spray 30ml</t>
        </is>
      </c>
      <c r="C18540" t="inlineStr">
        <is>
          <t>Eau De Parfum</t>
        </is>
      </c>
      <c r="D18540" t="inlineStr">
        <is>
          <t>Dsquared2</t>
        </is>
      </c>
      <c r="E18540" t="n">
        <v>25.5</v>
      </c>
      <c r="F18540" t="n">
        <v>1</v>
      </c>
      <c r="G18540" t="n">
        <v>34</v>
      </c>
      <c r="H18540" s="5">
        <f>HYPERLINK("https://api.qogita.com/variants/link/8011003872831/", "View Product")</f>
        <v/>
      </c>
    </row>
    <row r="18541">
      <c r="A18541" t="inlineStr">
        <is>
          <t>8011003876280</t>
        </is>
      </c>
      <c r="B18541" t="inlineStr">
        <is>
          <t>Versace Dylan Purple Pour Femme Eau De Parfum Spray 100ml</t>
        </is>
      </c>
      <c r="C18541" t="inlineStr">
        <is>
          <t>Eau De Parfum</t>
        </is>
      </c>
      <c r="D18541" t="inlineStr">
        <is>
          <t>Versace</t>
        </is>
      </c>
      <c r="E18541" t="n">
        <v>58.3</v>
      </c>
      <c r="F18541" t="n">
        <v>1</v>
      </c>
      <c r="G18541" t="n">
        <v>23</v>
      </c>
      <c r="H18541" s="5">
        <f>HYPERLINK("https://api.qogita.com/variants/link/8011003876280/", "View Product")</f>
        <v/>
      </c>
    </row>
    <row r="18542">
      <c r="A18542" t="inlineStr">
        <is>
          <t>8011003877256</t>
        </is>
      </c>
      <c r="B18542" t="inlineStr">
        <is>
          <t>Dsquared2 Wood Eau De Toilette 100ml Shower Gel 100ml</t>
        </is>
      </c>
      <c r="C18542" t="inlineStr">
        <is>
          <t>Fragrance Sets</t>
        </is>
      </c>
      <c r="D18542" t="inlineStr">
        <is>
          <t>Dsquared2</t>
        </is>
      </c>
      <c r="E18542" t="n">
        <v>40.19</v>
      </c>
      <c r="F18542" t="n">
        <v>1</v>
      </c>
      <c r="G18542" t="n">
        <v>2</v>
      </c>
      <c r="H18542" s="5">
        <f>HYPERLINK("https://api.qogita.com/variants/link/8011003877256/", "View Product")</f>
        <v/>
      </c>
    </row>
    <row r="18543">
      <c r="A18543" t="inlineStr">
        <is>
          <t>8011003877904</t>
        </is>
      </c>
      <c r="B18543" t="inlineStr">
        <is>
          <t>Versace Eros Parfum Spray 200ml</t>
        </is>
      </c>
      <c r="C18543" t="inlineStr">
        <is>
          <t>Eau De Parfum</t>
        </is>
      </c>
      <c r="D18543" t="inlineStr">
        <is>
          <t>Versace</t>
        </is>
      </c>
      <c r="E18543" t="n">
        <v>85.98999999999999</v>
      </c>
      <c r="F18543" t="n">
        <v>1</v>
      </c>
      <c r="G18543" t="n">
        <v>3</v>
      </c>
      <c r="H18543" s="5">
        <f>HYPERLINK("https://api.qogita.com/variants/link/8011003877904/", "View Product")</f>
        <v/>
      </c>
    </row>
    <row r="18544">
      <c r="A18544" t="inlineStr">
        <is>
          <t>8011003878598</t>
        </is>
      </c>
      <c r="B18544" t="inlineStr">
        <is>
          <t>Moschino Toy 2 Pearl Eau De Parfum Spray 30ml</t>
        </is>
      </c>
      <c r="C18544" t="inlineStr">
        <is>
          <t>Eau De Parfum</t>
        </is>
      </c>
      <c r="D18544" t="inlineStr">
        <is>
          <t>Moschino</t>
        </is>
      </c>
      <c r="E18544" t="n">
        <v>26.41</v>
      </c>
      <c r="F18544" t="n">
        <v>1</v>
      </c>
      <c r="G18544" t="n">
        <v>2</v>
      </c>
      <c r="H18544" s="5">
        <f>HYPERLINK("https://api.qogita.com/variants/link/8011003878598/", "View Product")</f>
        <v/>
      </c>
    </row>
    <row r="18545">
      <c r="A18545" t="inlineStr">
        <is>
          <t>8011003878611</t>
        </is>
      </c>
      <c r="B18545" t="inlineStr">
        <is>
          <t>Moschino Toy2 Pearl Eau De Parfum 100ml Unisex Fragrance</t>
        </is>
      </c>
      <c r="C18545" t="inlineStr">
        <is>
          <t>Eau De Parfum</t>
        </is>
      </c>
      <c r="D18545" t="inlineStr">
        <is>
          <t>Moschino</t>
        </is>
      </c>
      <c r="E18545" t="n">
        <v>45.11</v>
      </c>
      <c r="F18545" t="n">
        <v>1</v>
      </c>
      <c r="G18545" t="n">
        <v>9</v>
      </c>
      <c r="H18545" s="5">
        <f>HYPERLINK("https://api.qogita.com/variants/link/8011003878611/", "View Product")</f>
        <v/>
      </c>
    </row>
    <row r="18546">
      <c r="A18546" t="inlineStr">
        <is>
          <t>8011003890804</t>
        </is>
      </c>
      <c r="B18546" t="inlineStr">
        <is>
          <t>Versace Eros Energy Eau De Parfum Spray 100 Ml</t>
        </is>
      </c>
      <c r="C18546" t="inlineStr">
        <is>
          <t>Eau De Parfum</t>
        </is>
      </c>
      <c r="D18546" t="inlineStr">
        <is>
          <t>Versace</t>
        </is>
      </c>
      <c r="E18546" t="n">
        <v>61.7</v>
      </c>
      <c r="F18546" t="n">
        <v>1</v>
      </c>
      <c r="G18546" t="n">
        <v>9</v>
      </c>
      <c r="H18546" s="5">
        <f>HYPERLINK("https://api.qogita.com/variants/link/8011003890804/", "View Product")</f>
        <v/>
      </c>
    </row>
    <row r="18547">
      <c r="A18547" t="inlineStr">
        <is>
          <t>8011003890989</t>
        </is>
      </c>
      <c r="B18547" t="inlineStr">
        <is>
          <t>Versace Eau Fraiche Extreme Eau De Parfum 100ml</t>
        </is>
      </c>
      <c r="C18547" t="inlineStr">
        <is>
          <t>Eau De Parfum</t>
        </is>
      </c>
      <c r="D18547" t="inlineStr">
        <is>
          <t>Versace</t>
        </is>
      </c>
      <c r="E18547" t="n">
        <v>79.09</v>
      </c>
      <c r="F18547" t="n">
        <v>1</v>
      </c>
      <c r="G18547" t="n">
        <v>46</v>
      </c>
      <c r="H18547" s="5">
        <f>HYPERLINK("https://api.qogita.com/variants/link/8011003890989/", "View Product")</f>
        <v/>
      </c>
    </row>
    <row r="18548">
      <c r="A18548" t="inlineStr">
        <is>
          <t>8011003891139</t>
        </is>
      </c>
      <c r="B18548" t="inlineStr">
        <is>
          <t>Dsquared2 Icon Pour Femme Eau De Parfum 50ml</t>
        </is>
      </c>
      <c r="C18548" t="inlineStr">
        <is>
          <t>Eau De Parfum</t>
        </is>
      </c>
      <c r="D18548" t="inlineStr">
        <is>
          <t>Dsquared2</t>
        </is>
      </c>
      <c r="E18548" t="n">
        <v>31.57</v>
      </c>
      <c r="F18548" t="n">
        <v>1</v>
      </c>
      <c r="G18548" t="n">
        <v>3</v>
      </c>
      <c r="H18548" s="5">
        <f>HYPERLINK("https://api.qogita.com/variants/link/8011003891139/", "View Product")</f>
        <v/>
      </c>
    </row>
    <row r="18549">
      <c r="A18549" t="inlineStr">
        <is>
          <t>8011003891467</t>
        </is>
      </c>
      <c r="B18549" t="inlineStr">
        <is>
          <t>Versace Bright Crystal Parfum Spray 50ml</t>
        </is>
      </c>
      <c r="C18549" t="inlineStr">
        <is>
          <t>Eau De Parfum</t>
        </is>
      </c>
      <c r="D18549" t="inlineStr">
        <is>
          <t>Versace</t>
        </is>
      </c>
      <c r="E18549" t="n">
        <v>72.38</v>
      </c>
      <c r="F18549" t="n">
        <v>1</v>
      </c>
      <c r="G18549" t="n">
        <v>13</v>
      </c>
      <c r="H18549" s="5">
        <f>HYPERLINK("https://api.qogita.com/variants/link/8011003891467/", "View Product")</f>
        <v/>
      </c>
    </row>
    <row r="18550">
      <c r="A18550" t="inlineStr">
        <is>
          <t>8011003893362</t>
        </is>
      </c>
      <c r="B18550" t="inlineStr">
        <is>
          <t>Versace Pour Femme Dylan Blue Eau De Perfume Spray 100ml Set 3 Pieces</t>
        </is>
      </c>
      <c r="C18550" t="inlineStr">
        <is>
          <t>Fragrance Sets</t>
        </is>
      </c>
      <c r="D18550" t="inlineStr">
        <is>
          <t>Versace</t>
        </is>
      </c>
      <c r="E18550" t="n">
        <v>91.77</v>
      </c>
      <c r="F18550" t="n">
        <v>1</v>
      </c>
      <c r="G18550" t="n">
        <v>4</v>
      </c>
      <c r="H18550" s="5">
        <f>HYPERLINK("https://api.qogita.com/variants/link/8011003893362/", "View Product")</f>
        <v/>
      </c>
    </row>
    <row r="18551">
      <c r="A18551" t="inlineStr">
        <is>
          <t>8011003893386</t>
        </is>
      </c>
      <c r="B18551" t="inlineStr">
        <is>
          <t>Versace Dylan Turquoise Eau De Toilette Spray 100ml Set 4 Pieces</t>
        </is>
      </c>
      <c r="C18551" t="inlineStr">
        <is>
          <t>Fragrance Sets</t>
        </is>
      </c>
      <c r="D18551" t="inlineStr">
        <is>
          <t>Versace</t>
        </is>
      </c>
      <c r="E18551" t="n">
        <v>60.84</v>
      </c>
      <c r="F18551" t="n">
        <v>1</v>
      </c>
      <c r="G18551" t="n">
        <v>19</v>
      </c>
      <c r="H18551" s="5">
        <f>HYPERLINK("https://api.qogita.com/variants/link/8011003893386/", "View Product")</f>
        <v/>
      </c>
    </row>
    <row r="18552">
      <c r="A18552" t="inlineStr">
        <is>
          <t>8011003893430</t>
        </is>
      </c>
      <c r="B18552" t="inlineStr">
        <is>
          <t>Versace Eau Fraiche Fragrance Set For Men</t>
        </is>
      </c>
      <c r="C18552" t="inlineStr">
        <is>
          <t>Fragrance Sets</t>
        </is>
      </c>
      <c r="D18552" t="inlineStr">
        <is>
          <t>Versace</t>
        </is>
      </c>
      <c r="E18552" t="n">
        <v>48.24</v>
      </c>
      <c r="F18552" t="n">
        <v>1</v>
      </c>
      <c r="G18552" t="n">
        <v>4</v>
      </c>
      <c r="H18552" s="5">
        <f>HYPERLINK("https://api.qogita.com/variants/link/8011003893430/", "View Product")</f>
        <v/>
      </c>
    </row>
    <row r="18553">
      <c r="A18553" t="inlineStr">
        <is>
          <t>8011003893645</t>
        </is>
      </c>
      <c r="B18553" t="inlineStr">
        <is>
          <t>Versace Eros Flame Gift Set 3 Pieces</t>
        </is>
      </c>
      <c r="C18553" t="inlineStr">
        <is>
          <t>Fragrance Sets</t>
        </is>
      </c>
      <c r="D18553" t="inlineStr">
        <is>
          <t>Versace</t>
        </is>
      </c>
      <c r="E18553" t="n">
        <v>78.31</v>
      </c>
      <c r="F18553" t="n">
        <v>1</v>
      </c>
      <c r="G18553" t="n">
        <v>5</v>
      </c>
      <c r="H18553" s="5">
        <f>HYPERLINK("https://api.qogita.com/variants/link/8011003893645/", "View Product")</f>
        <v/>
      </c>
    </row>
    <row r="18554">
      <c r="A18554" t="inlineStr">
        <is>
          <t>8011003893805</t>
        </is>
      </c>
      <c r="B18554" t="inlineStr">
        <is>
          <t>Moschino Toy 2 Bubblegum Eau De Toilette Spray 100ml Set 4 Pieces By Moschino</t>
        </is>
      </c>
      <c r="C18554" t="inlineStr">
        <is>
          <t>Fragrance Sets</t>
        </is>
      </c>
      <c r="D18554" t="inlineStr">
        <is>
          <t>Moschino</t>
        </is>
      </c>
      <c r="E18554" t="n">
        <v>72.06999999999999</v>
      </c>
      <c r="F18554" t="n">
        <v>1</v>
      </c>
      <c r="G18554" t="n">
        <v>3</v>
      </c>
      <c r="H18554" s="5">
        <f>HYPERLINK("https://api.qogita.com/variants/link/8011003893805/", "View Product")</f>
        <v/>
      </c>
    </row>
    <row r="18555">
      <c r="A18555" t="inlineStr">
        <is>
          <t>8011003895755</t>
        </is>
      </c>
      <c r="B18555" t="inlineStr">
        <is>
          <t>Versace Eros Najim H. Eau De Parfum 100 Ml Vaporisateur</t>
        </is>
      </c>
      <c r="C18555" t="inlineStr">
        <is>
          <t>Eau De Parfum</t>
        </is>
      </c>
      <c r="D18555" t="inlineStr">
        <is>
          <t>Versace</t>
        </is>
      </c>
      <c r="E18555" t="n">
        <v>105.52</v>
      </c>
      <c r="F18555" t="n">
        <v>1</v>
      </c>
      <c r="G18555" t="n">
        <v>14</v>
      </c>
      <c r="H18555" s="5">
        <f>HYPERLINK("https://api.qogita.com/variants/link/8011003895755/", "View Product")</f>
        <v/>
      </c>
    </row>
    <row r="18556">
      <c r="A18556" t="inlineStr">
        <is>
          <t>8011003899807</t>
        </is>
      </c>
      <c r="B18556" t="inlineStr">
        <is>
          <t>Versace Bright Crystal Women Eau De Toilette Spray Set 90ml 5ml Body Lotion 100ml Shower Gel 100ml</t>
        </is>
      </c>
      <c r="C18556" t="inlineStr">
        <is>
          <t>Fragrance Sets</t>
        </is>
      </c>
      <c r="D18556" t="inlineStr">
        <is>
          <t>Versace</t>
        </is>
      </c>
      <c r="E18556" t="n">
        <v>80.43000000000001</v>
      </c>
      <c r="F18556" t="n">
        <v>1</v>
      </c>
      <c r="G18556" t="n">
        <v>16</v>
      </c>
      <c r="H18556" s="5">
        <f>HYPERLINK("https://api.qogita.com/variants/link/8011003899807/", "View Product")</f>
        <v/>
      </c>
    </row>
    <row r="18557">
      <c r="A18557" t="inlineStr">
        <is>
          <t>8011003991457</t>
        </is>
      </c>
      <c r="B18557" t="inlineStr">
        <is>
          <t>Moschino I Love Love Eau De Toilette Spray 100ml</t>
        </is>
      </c>
      <c r="C18557" t="inlineStr">
        <is>
          <t>Eau De Toilette</t>
        </is>
      </c>
      <c r="D18557" t="inlineStr">
        <is>
          <t>Moschino</t>
        </is>
      </c>
      <c r="E18557" t="n">
        <v>29.24</v>
      </c>
      <c r="F18557" t="n">
        <v>1</v>
      </c>
      <c r="G18557" t="n">
        <v>284</v>
      </c>
      <c r="H18557" s="5">
        <f>HYPERLINK("https://api.qogita.com/variants/link/8011003991457/", "View Product")</f>
        <v/>
      </c>
    </row>
    <row r="18558">
      <c r="A18558" t="inlineStr">
        <is>
          <t>8011003994427</t>
        </is>
      </c>
      <c r="B18558" t="inlineStr">
        <is>
          <t>Versace Bright Crystal Eau De Toilette Spray 50ml Set Includes 50ml Eau De Toilette And 100ml Body Lotion</t>
        </is>
      </c>
      <c r="C18558" t="inlineStr">
        <is>
          <t>Fragrance Sets</t>
        </is>
      </c>
      <c r="D18558" t="inlineStr">
        <is>
          <t>Versace</t>
        </is>
      </c>
      <c r="E18558" t="n">
        <v>48.24</v>
      </c>
      <c r="F18558" t="n">
        <v>1</v>
      </c>
      <c r="G18558" t="n">
        <v>14</v>
      </c>
      <c r="H18558" s="5">
        <f>HYPERLINK("https://api.qogita.com/variants/link/8011003994427/", "View Product")</f>
        <v/>
      </c>
    </row>
    <row r="18559">
      <c r="A18559" t="inlineStr">
        <is>
          <t>8011003995943</t>
        </is>
      </c>
      <c r="B18559" t="inlineStr">
        <is>
          <t>Versace Versace Pour Homme Eau De Toilette Spray 30ml</t>
        </is>
      </c>
      <c r="C18559" t="inlineStr">
        <is>
          <t>Eau De Toilette</t>
        </is>
      </c>
      <c r="D18559" t="inlineStr">
        <is>
          <t>Versace</t>
        </is>
      </c>
      <c r="E18559" t="n">
        <v>24.56</v>
      </c>
      <c r="F18559" t="n">
        <v>1</v>
      </c>
      <c r="G18559" t="n">
        <v>49</v>
      </c>
      <c r="H18559" s="5">
        <f>HYPERLINK("https://api.qogita.com/variants/link/8011003995943/", "View Product")</f>
        <v/>
      </c>
    </row>
    <row r="18560">
      <c r="A18560" t="inlineStr">
        <is>
          <t>8011003995974</t>
        </is>
      </c>
      <c r="B18560" t="inlineStr">
        <is>
          <t>Versace Pour Homme After Shave Lotion 100ml</t>
        </is>
      </c>
      <c r="C18560" t="inlineStr">
        <is>
          <t>Eau De Toilette</t>
        </is>
      </c>
      <c r="D18560" t="inlineStr">
        <is>
          <t>Versace</t>
        </is>
      </c>
      <c r="E18560" t="n">
        <v>35.7</v>
      </c>
      <c r="F18560" t="n">
        <v>1</v>
      </c>
      <c r="G18560" t="n">
        <v>9</v>
      </c>
      <c r="H18560" s="5">
        <f>HYPERLINK("https://api.qogita.com/variants/link/8011003995974/", "View Product")</f>
        <v/>
      </c>
    </row>
    <row r="18561">
      <c r="A18561" t="inlineStr">
        <is>
          <t>8011003996179</t>
        </is>
      </c>
      <c r="B18561" t="inlineStr">
        <is>
          <t>Versace The Dreamer Eau De Toilette Spray 50ml</t>
        </is>
      </c>
      <c r="C18561" t="inlineStr">
        <is>
          <t>Eau De Toilette</t>
        </is>
      </c>
      <c r="D18561" t="inlineStr">
        <is>
          <t>Versace</t>
        </is>
      </c>
      <c r="E18561" t="n">
        <v>19.59</v>
      </c>
      <c r="F18561" t="n">
        <v>1</v>
      </c>
      <c r="G18561" t="n">
        <v>12</v>
      </c>
      <c r="H18561" s="5">
        <f>HYPERLINK("https://api.qogita.com/variants/link/8011003996179/", "View Product")</f>
        <v/>
      </c>
    </row>
    <row r="18562">
      <c r="A18562" t="inlineStr">
        <is>
          <t>8011003996209</t>
        </is>
      </c>
      <c r="B18562" t="inlineStr">
        <is>
          <t>Goldwell Dualsenses Just Smooth Taming Oil 100ml</t>
        </is>
      </c>
      <c r="C18562" t="inlineStr">
        <is>
          <t>Hair Oil &amp; Hair Serum</t>
        </is>
      </c>
      <c r="D18562" t="inlineStr">
        <is>
          <t>Versace</t>
        </is>
      </c>
      <c r="E18562" t="n">
        <v>46.3</v>
      </c>
      <c r="F18562" t="n">
        <v>1</v>
      </c>
      <c r="G18562" t="n">
        <v>11</v>
      </c>
      <c r="H18562" s="5">
        <f>HYPERLINK("https://api.qogita.com/variants/link/8011003996209/", "View Product")</f>
        <v/>
      </c>
    </row>
    <row r="18563">
      <c r="A18563" t="inlineStr">
        <is>
          <t>8011003996735</t>
        </is>
      </c>
      <c r="B18563" t="inlineStr">
        <is>
          <t>Versace Eau De Toilette Spray L'Homme 3.4 Ounce</t>
        </is>
      </c>
      <c r="C18563" t="inlineStr">
        <is>
          <t>Eau De Toilette</t>
        </is>
      </c>
      <c r="D18563" t="inlineStr">
        <is>
          <t>Versace</t>
        </is>
      </c>
      <c r="E18563" t="n">
        <v>20.46</v>
      </c>
      <c r="F18563" t="n">
        <v>1</v>
      </c>
      <c r="G18563" t="n">
        <v>4</v>
      </c>
      <c r="H18563" s="5">
        <f>HYPERLINK("https://api.qogita.com/variants/link/8011003996735/", "View Product")</f>
        <v/>
      </c>
    </row>
    <row r="18564">
      <c r="A18564" t="inlineStr">
        <is>
          <t>8011003996766</t>
        </is>
      </c>
      <c r="B18564" t="inlineStr">
        <is>
          <t>Versace The Dreamer Eau De Toilette 100ml For Men</t>
        </is>
      </c>
      <c r="C18564" t="inlineStr">
        <is>
          <t>Eau De Toilette</t>
        </is>
      </c>
      <c r="D18564" t="inlineStr">
        <is>
          <t>Versace</t>
        </is>
      </c>
      <c r="E18564" t="n">
        <v>30.13</v>
      </c>
      <c r="F18564" t="n">
        <v>1</v>
      </c>
      <c r="G18564" t="n">
        <v>11</v>
      </c>
      <c r="H18564" s="5">
        <f>HYPERLINK("https://api.qogita.com/variants/link/8011003996766/", "View Product")</f>
        <v/>
      </c>
    </row>
    <row r="18565">
      <c r="A18565" t="inlineStr">
        <is>
          <t>8011003997060</t>
        </is>
      </c>
      <c r="B18565" t="inlineStr">
        <is>
          <t>Versense by Versace for Women 3.4 oz Eau de Toilette Spray Tester 100ml</t>
        </is>
      </c>
      <c r="C18565" t="inlineStr">
        <is>
          <t>Eau De Toilette</t>
        </is>
      </c>
      <c r="D18565" t="inlineStr">
        <is>
          <t>Versace</t>
        </is>
      </c>
      <c r="E18565" t="n">
        <v>47.76</v>
      </c>
      <c r="F18565" t="n">
        <v>1</v>
      </c>
      <c r="G18565" t="n">
        <v>42</v>
      </c>
      <c r="H18565" s="5">
        <f>HYPERLINK("https://api.qogita.com/variants/link/8011003997060/", "View Product")</f>
        <v/>
      </c>
    </row>
    <row r="18566">
      <c r="A18566" t="inlineStr">
        <is>
          <t>8011530000318</t>
        </is>
      </c>
      <c r="B18566" t="inlineStr">
        <is>
          <t>Laura Biagiotti Roma Eau De Toilette Spray 100ml</t>
        </is>
      </c>
      <c r="C18566" t="inlineStr">
        <is>
          <t>Eau De Toilette</t>
        </is>
      </c>
      <c r="D18566" t="inlineStr">
        <is>
          <t>Laura Biagiotti</t>
        </is>
      </c>
      <c r="E18566" t="n">
        <v>28.94</v>
      </c>
      <c r="F18566" t="n">
        <v>1</v>
      </c>
      <c r="G18566" t="n">
        <v>151</v>
      </c>
      <c r="H18566" s="5">
        <f>HYPERLINK("https://api.qogita.com/variants/link/8011530000318/", "View Product")</f>
        <v/>
      </c>
    </row>
    <row r="18567">
      <c r="A18567" t="inlineStr">
        <is>
          <t>8011530001131</t>
        </is>
      </c>
      <c r="B18567" t="inlineStr">
        <is>
          <t>Laura Biagiotti Laura Edt Spray 50ml</t>
        </is>
      </c>
      <c r="C18567" t="inlineStr">
        <is>
          <t>Eau De Toilette</t>
        </is>
      </c>
      <c r="D18567" t="inlineStr">
        <is>
          <t>Laura Biagiotti</t>
        </is>
      </c>
      <c r="E18567" t="n">
        <v>19.52</v>
      </c>
      <c r="F18567" t="n">
        <v>1</v>
      </c>
      <c r="G18567" t="n">
        <v>23</v>
      </c>
      <c r="H18567" s="5">
        <f>HYPERLINK("https://api.qogita.com/variants/link/8011530001131/", "View Product")</f>
        <v/>
      </c>
    </row>
    <row r="18568">
      <c r="A18568" t="inlineStr">
        <is>
          <t>8011530005030</t>
        </is>
      </c>
      <c r="B18568" t="inlineStr">
        <is>
          <t>Laura Biagiotti Romamor Uomo EDT 40ml</t>
        </is>
      </c>
      <c r="C18568" t="inlineStr">
        <is>
          <t>Eau De Toilette</t>
        </is>
      </c>
      <c r="D18568" t="inlineStr">
        <is>
          <t>Laura Biagiotti</t>
        </is>
      </c>
      <c r="E18568" t="n">
        <v>16.97</v>
      </c>
      <c r="F18568" t="n">
        <v>1</v>
      </c>
      <c r="G18568" t="n">
        <v>2</v>
      </c>
      <c r="H18568" s="5">
        <f>HYPERLINK("https://api.qogita.com/variants/link/8011530005030/", "View Product")</f>
        <v/>
      </c>
    </row>
    <row r="18569">
      <c r="A18569" t="inlineStr">
        <is>
          <t>8011530460037</t>
        </is>
      </c>
      <c r="B18569" t="inlineStr">
        <is>
          <t>Romeo Gigli Profumi for Women Eau De Parfum Spray 2.5 Ounces</t>
        </is>
      </c>
      <c r="C18569" t="inlineStr">
        <is>
          <t>Eau De Parfum</t>
        </is>
      </c>
      <c r="D18569" t="inlineStr">
        <is>
          <t>Romeo Gigli</t>
        </is>
      </c>
      <c r="E18569" t="n">
        <v>10.25</v>
      </c>
      <c r="F18569" t="n">
        <v>1</v>
      </c>
      <c r="G18569" t="n">
        <v>3</v>
      </c>
      <c r="H18569" s="5">
        <f>HYPERLINK("https://api.qogita.com/variants/link/8011530460037/", "View Product")</f>
        <v/>
      </c>
    </row>
    <row r="18570">
      <c r="A18570" t="inlineStr">
        <is>
          <t>8011530805906</t>
        </is>
      </c>
      <c r="B18570" t="inlineStr">
        <is>
          <t>Trussardi Sound Of Donna Eau De Parfum 30ml For Women</t>
        </is>
      </c>
      <c r="C18570" t="inlineStr">
        <is>
          <t>Eau De Parfum</t>
        </is>
      </c>
      <c r="D18570" t="inlineStr">
        <is>
          <t>Trussardi</t>
        </is>
      </c>
      <c r="E18570" t="n">
        <v>19.18</v>
      </c>
      <c r="F18570" t="n">
        <v>1</v>
      </c>
      <c r="G18570" t="n">
        <v>6</v>
      </c>
      <c r="H18570" s="5">
        <f>HYPERLINK("https://api.qogita.com/variants/link/8011530805906/", "View Product")</f>
        <v/>
      </c>
    </row>
    <row r="18571">
      <c r="A18571" t="inlineStr">
        <is>
          <t>8011530810009</t>
        </is>
      </c>
      <c r="B18571" t="inlineStr">
        <is>
          <t>Trussardi Eau De Toilette 30ml</t>
        </is>
      </c>
      <c r="C18571" t="inlineStr">
        <is>
          <t>Eau De Toilette</t>
        </is>
      </c>
      <c r="D18571" t="inlineStr">
        <is>
          <t>Trussardi</t>
        </is>
      </c>
      <c r="E18571" t="n">
        <v>19.01</v>
      </c>
      <c r="F18571" t="n">
        <v>1</v>
      </c>
      <c r="G18571" t="n">
        <v>6</v>
      </c>
      <c r="H18571" s="5">
        <f>HYPERLINK("https://api.qogita.com/variants/link/8011530810009/", "View Product")</f>
        <v/>
      </c>
    </row>
    <row r="18572">
      <c r="A18572" t="inlineStr">
        <is>
          <t>8011530830014</t>
        </is>
      </c>
      <c r="B18572" t="inlineStr">
        <is>
          <t>Trussardi My Land M Eau De Toilette 50ml For Men</t>
        </is>
      </c>
      <c r="C18572" t="inlineStr">
        <is>
          <t>Eau De Toilette</t>
        </is>
      </c>
      <c r="D18572" t="inlineStr">
        <is>
          <t>Trussardi</t>
        </is>
      </c>
      <c r="E18572" t="n">
        <v>26.05</v>
      </c>
      <c r="F18572" t="n">
        <v>1</v>
      </c>
      <c r="G18572" t="n">
        <v>6</v>
      </c>
      <c r="H18572" s="5">
        <f>HYPERLINK("https://api.qogita.com/variants/link/8011530830014/", "View Product")</f>
        <v/>
      </c>
    </row>
    <row r="18573">
      <c r="A18573" t="inlineStr">
        <is>
          <t>8011530994815</t>
        </is>
      </c>
      <c r="B18573" t="inlineStr">
        <is>
          <t>Trussardi Black Extreme Eau De Toilette 50ml For Men</t>
        </is>
      </c>
      <c r="C18573" t="inlineStr">
        <is>
          <t>Eau De Toilette</t>
        </is>
      </c>
      <c r="D18573" t="inlineStr">
        <is>
          <t>Trussardi</t>
        </is>
      </c>
      <c r="E18573" t="n">
        <v>27.44</v>
      </c>
      <c r="F18573" t="n">
        <v>1</v>
      </c>
      <c r="G18573" t="n">
        <v>6</v>
      </c>
      <c r="H18573" s="5">
        <f>HYPERLINK("https://api.qogita.com/variants/link/8011530994815/", "View Product")</f>
        <v/>
      </c>
    </row>
    <row r="18574">
      <c r="A18574" t="inlineStr">
        <is>
          <t>8011607094554</t>
        </is>
      </c>
      <c r="B18574" t="inlineStr">
        <is>
          <t>Pupa No Transfer Foundation Spf15 Moisturizing Foundation 03 30ml</t>
        </is>
      </c>
      <c r="C18574" t="inlineStr">
        <is>
          <t>Foundation</t>
        </is>
      </c>
      <c r="D18574" t="inlineStr">
        <is>
          <t>Pupa</t>
        </is>
      </c>
      <c r="E18574" t="n">
        <v>16.37</v>
      </c>
      <c r="F18574" t="n">
        <v>1</v>
      </c>
      <c r="G18574" t="n">
        <v>3</v>
      </c>
      <c r="H18574" s="5">
        <f>HYPERLINK("https://api.qogita.com/variants/link/8011607094554/", "View Product")</f>
        <v/>
      </c>
    </row>
    <row r="18575">
      <c r="A18575" t="inlineStr">
        <is>
          <t>8011607178469</t>
        </is>
      </c>
      <c r="B18575" t="inlineStr">
        <is>
          <t>Pupa Miss Pupa Ultra Brilliant Lipstick In Shade 503, 2.4ml</t>
        </is>
      </c>
      <c r="C18575" t="inlineStr">
        <is>
          <t>Lipstick</t>
        </is>
      </c>
      <c r="D18575" t="inlineStr">
        <is>
          <t>Pupa</t>
        </is>
      </c>
      <c r="E18575" t="n">
        <v>9.109999999999999</v>
      </c>
      <c r="F18575" t="n">
        <v>1</v>
      </c>
      <c r="G18575" t="n">
        <v>4</v>
      </c>
      <c r="H18575" s="5">
        <f>HYPERLINK("https://api.qogita.com/variants/link/8011607178469/", "View Product")</f>
        <v/>
      </c>
    </row>
    <row r="18576">
      <c r="A18576" t="inlineStr">
        <is>
          <t>8011607179176</t>
        </is>
      </c>
      <c r="B18576" t="inlineStr">
        <is>
          <t>Pupa Vamp Mascara 400 Amethyst Violet 9ml</t>
        </is>
      </c>
      <c r="C18576" t="inlineStr">
        <is>
          <t>Mascara</t>
        </is>
      </c>
      <c r="D18576" t="inlineStr">
        <is>
          <t>Pupa</t>
        </is>
      </c>
      <c r="E18576" t="n">
        <v>11.22</v>
      </c>
      <c r="F18576" t="n">
        <v>1</v>
      </c>
      <c r="G18576" t="n">
        <v>10</v>
      </c>
      <c r="H18576" s="5">
        <f>HYPERLINK("https://api.qogita.com/variants/link/8011607179176/", "View Product")</f>
        <v/>
      </c>
    </row>
    <row r="18577">
      <c r="A18577" t="inlineStr">
        <is>
          <t>8011607188994</t>
        </is>
      </c>
      <c r="B18577" t="inlineStr">
        <is>
          <t>Pupa Round Blusher Brush</t>
        </is>
      </c>
      <c r="C18577" t="inlineStr">
        <is>
          <t>Blush Brushes</t>
        </is>
      </c>
      <c r="D18577" t="inlineStr">
        <is>
          <t>Pupa</t>
        </is>
      </c>
      <c r="E18577" t="n">
        <v>16.62</v>
      </c>
      <c r="F18577" t="n">
        <v>1</v>
      </c>
      <c r="G18577" t="n">
        <v>4</v>
      </c>
      <c r="H18577" s="5">
        <f>HYPERLINK("https://api.qogita.com/variants/link/8011607188994/", "View Product")</f>
        <v/>
      </c>
    </row>
    <row r="18578">
      <c r="A18578" t="inlineStr">
        <is>
          <t>8011607189014</t>
        </is>
      </c>
      <c r="B18578" t="inlineStr">
        <is>
          <t>Pupa Eye Base Brush - Essential Tool For Eye Makeup Application</t>
        </is>
      </c>
      <c r="C18578" t="inlineStr">
        <is>
          <t>Eyeshadow Brushes</t>
        </is>
      </c>
      <c r="D18578" t="inlineStr">
        <is>
          <t>Pupa</t>
        </is>
      </c>
      <c r="E18578" t="n">
        <v>11.34</v>
      </c>
      <c r="F18578" t="n">
        <v>1</v>
      </c>
      <c r="G18578" t="n">
        <v>2</v>
      </c>
      <c r="H18578" s="5">
        <f>HYPERLINK("https://api.qogita.com/variants/link/8011607189014/", "View Product")</f>
        <v/>
      </c>
    </row>
    <row r="18579">
      <c r="A18579" t="inlineStr">
        <is>
          <t>8011607189090</t>
        </is>
      </c>
      <c r="B18579" t="inlineStr">
        <is>
          <t>Pupa Active Light Perfect Skin Foundation Spf 10 Oil-Free Face Foundation 020 30ml</t>
        </is>
      </c>
      <c r="C18579" t="inlineStr">
        <is>
          <t>Foundation</t>
        </is>
      </c>
      <c r="D18579" t="inlineStr">
        <is>
          <t>Pupa</t>
        </is>
      </c>
      <c r="E18579" t="n">
        <v>14.82</v>
      </c>
      <c r="F18579" t="n">
        <v>1</v>
      </c>
      <c r="G18579" t="n">
        <v>2</v>
      </c>
      <c r="H18579" s="5">
        <f>HYPERLINK("https://api.qogita.com/variants/link/8011607189090/", "View Product")</f>
        <v/>
      </c>
    </row>
    <row r="18580">
      <c r="A18580" t="inlineStr">
        <is>
          <t>8011607190256</t>
        </is>
      </c>
      <c r="B18580" t="inlineStr">
        <is>
          <t>Pupa Multiplay Triple-Purpose Eye Pencil - 52, 1.2g</t>
        </is>
      </c>
      <c r="C18580" t="inlineStr">
        <is>
          <t>Eye Pencil</t>
        </is>
      </c>
      <c r="D18580" t="inlineStr">
        <is>
          <t>Pupa</t>
        </is>
      </c>
      <c r="E18580" t="n">
        <v>9.81</v>
      </c>
      <c r="F18580" t="n">
        <v>1</v>
      </c>
      <c r="G18580" t="n">
        <v>5</v>
      </c>
      <c r="H18580" s="5">
        <f>HYPERLINK("https://api.qogita.com/variants/link/8011607190256/", "View Product")</f>
        <v/>
      </c>
    </row>
    <row r="18581">
      <c r="A18581" t="inlineStr">
        <is>
          <t>8011607205899</t>
        </is>
      </c>
      <c r="B18581" t="inlineStr">
        <is>
          <t>Pupa Vamp Definition Liner Eyeliner With Brush 100 Black 2.5ml</t>
        </is>
      </c>
      <c r="C18581" t="inlineStr">
        <is>
          <t>Eyeliner</t>
        </is>
      </c>
      <c r="D18581" t="inlineStr">
        <is>
          <t>Pupa</t>
        </is>
      </c>
      <c r="E18581" t="n">
        <v>8.93</v>
      </c>
      <c r="F18581" t="n">
        <v>1</v>
      </c>
      <c r="G18581" t="n">
        <v>3</v>
      </c>
      <c r="H18581" s="5">
        <f>HYPERLINK("https://api.qogita.com/variants/link/8011607205899/", "View Product")</f>
        <v/>
      </c>
    </row>
    <row r="18582">
      <c r="A18582" t="inlineStr">
        <is>
          <t>8011607220373</t>
        </is>
      </c>
      <c r="B18582" t="inlineStr">
        <is>
          <t>Pupa Eyebrow Design Set - 001 Blonde, 1.1g</t>
        </is>
      </c>
      <c r="C18582" t="inlineStr">
        <is>
          <t>Eyebrow Sets &amp; Pallets</t>
        </is>
      </c>
      <c r="D18582" t="inlineStr">
        <is>
          <t>Pupa</t>
        </is>
      </c>
      <c r="E18582" t="n">
        <v>13.1</v>
      </c>
      <c r="F18582" t="n">
        <v>1</v>
      </c>
      <c r="G18582" t="n">
        <v>5</v>
      </c>
      <c r="H18582" s="5">
        <f>HYPERLINK("https://api.qogita.com/variants/link/8011607220373/", "View Product")</f>
        <v/>
      </c>
    </row>
    <row r="18583">
      <c r="A18583" t="inlineStr">
        <is>
          <t>8011607222131</t>
        </is>
      </c>
      <c r="B18583" t="inlineStr">
        <is>
          <t>Pupa Milano Longlasting Liquid Makeup Spf 10 Made To Last Total Comfort Foundation 30 Ml</t>
        </is>
      </c>
      <c r="C18583" t="inlineStr">
        <is>
          <t>Foundation</t>
        </is>
      </c>
      <c r="D18583" t="inlineStr">
        <is>
          <t>Pupa</t>
        </is>
      </c>
      <c r="E18583" t="n">
        <v>16.37</v>
      </c>
      <c r="F18583" t="n">
        <v>1</v>
      </c>
      <c r="G18583" t="n">
        <v>3</v>
      </c>
      <c r="H18583" s="5">
        <f>HYPERLINK("https://api.qogita.com/variants/link/8011607222131/", "View Product")</f>
        <v/>
      </c>
    </row>
    <row r="18584">
      <c r="A18584" t="inlineStr">
        <is>
          <t>8011607222193</t>
        </is>
      </c>
      <c r="B18584" t="inlineStr">
        <is>
          <t>Pupa Milano Longlasting Liquid Makeup Spf 10 Made To Last Total Comfort Foundation 30 Ml In 060 Golden Beige</t>
        </is>
      </c>
      <c r="C18584" t="inlineStr">
        <is>
          <t>Foundation</t>
        </is>
      </c>
      <c r="D18584" t="inlineStr">
        <is>
          <t>Pupa</t>
        </is>
      </c>
      <c r="E18584" t="n">
        <v>14.34</v>
      </c>
      <c r="F18584" t="n">
        <v>1</v>
      </c>
      <c r="G18584" t="n">
        <v>10</v>
      </c>
      <c r="H18584" s="5">
        <f>HYPERLINK("https://api.qogita.com/variants/link/8011607222193/", "View Product")</f>
        <v/>
      </c>
    </row>
    <row r="18585">
      <c r="A18585" t="inlineStr">
        <is>
          <t>8011607228744</t>
        </is>
      </c>
      <c r="B18585" t="inlineStr">
        <is>
          <t>Pupa Milano Made To Last Waterproof Eyeshadow 15 G 003 Nude Gold</t>
        </is>
      </c>
      <c r="C18585" t="inlineStr">
        <is>
          <t>Eyeshadow</t>
        </is>
      </c>
      <c r="D18585" t="inlineStr">
        <is>
          <t>Pupa</t>
        </is>
      </c>
      <c r="E18585" t="n">
        <v>9.51</v>
      </c>
      <c r="F18585" t="n">
        <v>1</v>
      </c>
      <c r="G18585" t="n">
        <v>3</v>
      </c>
      <c r="H18585" s="5">
        <f>HYPERLINK("https://api.qogita.com/variants/link/8011607228744/", "View Product")</f>
        <v/>
      </c>
    </row>
    <row r="18586">
      <c r="A18586" t="inlineStr">
        <is>
          <t>8011607234431</t>
        </is>
      </c>
      <c r="B18586" t="inlineStr">
        <is>
          <t>Pupa Vamp Mascara Waterproof - 001 Black, 9ml</t>
        </is>
      </c>
      <c r="C18586" t="inlineStr">
        <is>
          <t>Mascara</t>
        </is>
      </c>
      <c r="D18586" t="inlineStr">
        <is>
          <t>Pupa</t>
        </is>
      </c>
      <c r="E18586" t="n">
        <v>9.32</v>
      </c>
      <c r="F18586" t="n">
        <v>1</v>
      </c>
      <c r="G18586" t="n">
        <v>44</v>
      </c>
      <c r="H18586" s="5">
        <f>HYPERLINK("https://api.qogita.com/variants/link/8011607234431/", "View Product")</f>
        <v/>
      </c>
    </row>
    <row r="18587">
      <c r="A18587" t="inlineStr">
        <is>
          <t>8011607255672</t>
        </is>
      </c>
      <c r="B18587" t="inlineStr">
        <is>
          <t>Pupa Made To Last Lip Duo Liquid Lip Colour &amp; Topcoat Waterproof Long Lasting - 007, 2x4ml</t>
        </is>
      </c>
      <c r="C18587" t="inlineStr">
        <is>
          <t>Lip Sets</t>
        </is>
      </c>
      <c r="D18587" t="inlineStr">
        <is>
          <t>Pupa</t>
        </is>
      </c>
      <c r="E18587" t="n">
        <v>13.12</v>
      </c>
      <c r="F18587" t="n">
        <v>1</v>
      </c>
      <c r="G18587" t="n">
        <v>2</v>
      </c>
      <c r="H18587" s="5">
        <f>HYPERLINK("https://api.qogita.com/variants/link/8011607255672/", "View Product")</f>
        <v/>
      </c>
    </row>
    <row r="18588">
      <c r="A18588" t="inlineStr">
        <is>
          <t>8011607276103</t>
        </is>
      </c>
      <c r="B18588" t="inlineStr">
        <is>
          <t>Pupa Milano Active Light Perfect Skin Foundation 30 Ml 009 Light Porcelain</t>
        </is>
      </c>
      <c r="C18588" t="inlineStr">
        <is>
          <t>Foundation</t>
        </is>
      </c>
      <c r="D18588" t="inlineStr">
        <is>
          <t>Pupa</t>
        </is>
      </c>
      <c r="E18588" t="n">
        <v>15.12</v>
      </c>
      <c r="F18588" t="n">
        <v>1</v>
      </c>
      <c r="G18588" t="n">
        <v>5</v>
      </c>
      <c r="H18588" s="5">
        <f>HYPERLINK("https://api.qogita.com/variants/link/8011607276103/", "View Product")</f>
        <v/>
      </c>
    </row>
    <row r="18589">
      <c r="A18589" t="inlineStr">
        <is>
          <t>8011607279647</t>
        </is>
      </c>
      <c r="B18589" t="inlineStr">
        <is>
          <t>Pupa Milano Sport Addicted Bronzer Bronzing Powder 7 G 003 Intense Bronze Waterproof</t>
        </is>
      </c>
      <c r="C18589" t="inlineStr">
        <is>
          <t>Bronzer</t>
        </is>
      </c>
      <c r="D18589" t="inlineStr">
        <is>
          <t>Pupa</t>
        </is>
      </c>
      <c r="E18589" t="n">
        <v>12.48</v>
      </c>
      <c r="F18589" t="n">
        <v>1</v>
      </c>
      <c r="G18589" t="n">
        <v>8</v>
      </c>
      <c r="H18589" s="5">
        <f>HYPERLINK("https://api.qogita.com/variants/link/8011607279647/", "View Product")</f>
        <v/>
      </c>
    </row>
    <row r="18590">
      <c r="A18590" t="inlineStr">
        <is>
          <t>8011607282920</t>
        </is>
      </c>
      <c r="B18590" t="inlineStr">
        <is>
          <t>Pupa Milano Total Fill Eyebrow Pencil Long Lasting</t>
        </is>
      </c>
      <c r="C18590" t="inlineStr">
        <is>
          <t>Eyebrow Pencil</t>
        </is>
      </c>
      <c r="D18590" t="inlineStr">
        <is>
          <t>Pupa</t>
        </is>
      </c>
      <c r="E18590" t="n">
        <v>10.47</v>
      </c>
      <c r="F18590" t="n">
        <v>1</v>
      </c>
      <c r="G18590" t="n">
        <v>4</v>
      </c>
      <c r="H18590" s="5">
        <f>HYPERLINK("https://api.qogita.com/variants/link/8011607282920/", "View Product")</f>
        <v/>
      </c>
    </row>
    <row r="18591">
      <c r="A18591" t="inlineStr">
        <is>
          <t>8011607282944</t>
        </is>
      </c>
      <c r="B18591" t="inlineStr">
        <is>
          <t>Pupa True Eyebrow Pencil Waterproof 003 Dark Brown - 1.08g</t>
        </is>
      </c>
      <c r="C18591" t="inlineStr">
        <is>
          <t>Eyebrow Pencil</t>
        </is>
      </c>
      <c r="D18591" t="inlineStr">
        <is>
          <t>Pupa</t>
        </is>
      </c>
      <c r="E18591" t="n">
        <v>10.47</v>
      </c>
      <c r="F18591" t="n">
        <v>1</v>
      </c>
      <c r="G18591" t="n">
        <v>4</v>
      </c>
      <c r="H18591" s="5">
        <f>HYPERLINK("https://api.qogita.com/variants/link/8011607282944/", "View Product")</f>
        <v/>
      </c>
    </row>
    <row r="18592">
      <c r="A18592" t="inlineStr">
        <is>
          <t>8011607317080</t>
        </is>
      </c>
      <c r="B18592" t="inlineStr">
        <is>
          <t>Pupa Milano I'M Loverproof Liquid Matte Lipstick 27 Ml 010 Fire Red</t>
        </is>
      </c>
      <c r="C18592" t="inlineStr">
        <is>
          <t>Lipstick</t>
        </is>
      </c>
      <c r="D18592" t="inlineStr">
        <is>
          <t>Pupa</t>
        </is>
      </c>
      <c r="E18592" t="n">
        <v>10.53</v>
      </c>
      <c r="F18592" t="n">
        <v>1</v>
      </c>
      <c r="G18592" t="n">
        <v>5</v>
      </c>
      <c r="H18592" s="5">
        <f>HYPERLINK("https://api.qogita.com/variants/link/8011607317080/", "View Product")</f>
        <v/>
      </c>
    </row>
    <row r="18593">
      <c r="A18593" t="inlineStr">
        <is>
          <t>8011607317103</t>
        </is>
      </c>
      <c r="B18593" t="inlineStr">
        <is>
          <t>Pupa Milano I'M Loverproof Matt Liquid Lip Colour 27 Ml 011 Kiss Me Red</t>
        </is>
      </c>
      <c r="C18593" t="inlineStr">
        <is>
          <t>Lipstick</t>
        </is>
      </c>
      <c r="D18593" t="inlineStr">
        <is>
          <t>Pupa</t>
        </is>
      </c>
      <c r="E18593" t="n">
        <v>10.53</v>
      </c>
      <c r="F18593" t="n">
        <v>1</v>
      </c>
      <c r="G18593" t="n">
        <v>5</v>
      </c>
      <c r="H18593" s="5">
        <f>HYPERLINK("https://api.qogita.com/variants/link/8011607317103/", "View Product")</f>
        <v/>
      </c>
    </row>
    <row r="18594">
      <c r="A18594" t="inlineStr">
        <is>
          <t>8011607334377</t>
        </is>
      </c>
      <c r="B18594" t="inlineStr">
        <is>
          <t>Pupa Extreme Kajal Eye Pencil 002 Extreme Brown 1.6g</t>
        </is>
      </c>
      <c r="C18594" t="inlineStr">
        <is>
          <t>Eye Pencil</t>
        </is>
      </c>
      <c r="D18594" t="inlineStr">
        <is>
          <t>Pupa</t>
        </is>
      </c>
      <c r="E18594" t="n">
        <v>9.359999999999999</v>
      </c>
      <c r="F18594" t="n">
        <v>1</v>
      </c>
      <c r="G18594" t="n">
        <v>3</v>
      </c>
      <c r="H18594" s="5">
        <f>HYPERLINK("https://api.qogita.com/variants/link/8011607334377/", "View Product")</f>
        <v/>
      </c>
    </row>
    <row r="18595">
      <c r="A18595" t="inlineStr">
        <is>
          <t>8011607336739</t>
        </is>
      </c>
      <c r="B18595" t="inlineStr">
        <is>
          <t>Pupa Wonder Cover Total Coverage Concealer - 003 Cream Beige, 4.2ml</t>
        </is>
      </c>
      <c r="C18595" t="inlineStr">
        <is>
          <t>Concealer</t>
        </is>
      </c>
      <c r="D18595" t="inlineStr">
        <is>
          <t>Pupa</t>
        </is>
      </c>
      <c r="E18595" t="n">
        <v>13.1</v>
      </c>
      <c r="F18595" t="n">
        <v>1</v>
      </c>
      <c r="G18595" t="n">
        <v>4</v>
      </c>
      <c r="H18595" s="5">
        <f>HYPERLINK("https://api.qogita.com/variants/link/8011607336739/", "View Product")</f>
        <v/>
      </c>
    </row>
    <row r="18596">
      <c r="A18596" t="inlineStr">
        <is>
          <t>8011607340941</t>
        </is>
      </c>
      <c r="B18596" t="inlineStr">
        <is>
          <t>Pupa Made To Last Liner Eyeliner 001 Extra Black 3.2ml</t>
        </is>
      </c>
      <c r="C18596" t="inlineStr">
        <is>
          <t>Eyeliner</t>
        </is>
      </c>
      <c r="D18596" t="inlineStr">
        <is>
          <t>Pupa</t>
        </is>
      </c>
      <c r="E18596" t="n">
        <v>12.43</v>
      </c>
      <c r="F18596" t="n">
        <v>1</v>
      </c>
      <c r="G18596" t="n">
        <v>3</v>
      </c>
      <c r="H18596" s="5">
        <f>HYPERLINK("https://api.qogita.com/variants/link/8011607340941/", "View Product")</f>
        <v/>
      </c>
    </row>
    <row r="18597">
      <c r="A18597" t="inlineStr">
        <is>
          <t>8011607347599</t>
        </is>
      </c>
      <c r="B18597" t="inlineStr">
        <is>
          <t>Pupa Wonder Me Liquid Waterproof Foundation 020 Light Beige Warm</t>
        </is>
      </c>
      <c r="C18597" t="inlineStr">
        <is>
          <t>Foundation</t>
        </is>
      </c>
      <c r="D18597" t="inlineStr">
        <is>
          <t>Pupa</t>
        </is>
      </c>
      <c r="E18597" t="n">
        <v>15.2</v>
      </c>
      <c r="F18597" t="n">
        <v>1</v>
      </c>
      <c r="G18597" t="n">
        <v>3</v>
      </c>
      <c r="H18597" s="5">
        <f>HYPERLINK("https://api.qogita.com/variants/link/8011607347599/", "View Product")</f>
        <v/>
      </c>
    </row>
    <row r="18598">
      <c r="A18598" t="inlineStr">
        <is>
          <t>8011607348022</t>
        </is>
      </c>
      <c r="B18598" t="inlineStr">
        <is>
          <t>Pupa Milano Asian Spa Bath Infusions 3 Pieces</t>
        </is>
      </c>
      <c r="C18598" t="inlineStr">
        <is>
          <t>Body Care Sets</t>
        </is>
      </c>
      <c r="D18598" t="inlineStr">
        <is>
          <t>Pupa</t>
        </is>
      </c>
      <c r="E18598" t="n">
        <v>9.220000000000001</v>
      </c>
      <c r="F18598" t="n">
        <v>1</v>
      </c>
      <c r="G18598" t="n">
        <v>3</v>
      </c>
      <c r="H18598" s="5">
        <f>HYPERLINK("https://api.qogita.com/variants/link/8011607348022/", "View Product")</f>
        <v/>
      </c>
    </row>
    <row r="18599">
      <c r="A18599" t="inlineStr">
        <is>
          <t>8011607354870</t>
        </is>
      </c>
      <c r="B18599" t="inlineStr">
        <is>
          <t>Pupa Milano Vamp Eye Pencil Waterproof Eyeliner 035 G In Hot Chestnut</t>
        </is>
      </c>
      <c r="C18599" t="inlineStr">
        <is>
          <t>Eye Pencil</t>
        </is>
      </c>
      <c r="D18599" t="inlineStr">
        <is>
          <t>Pupa</t>
        </is>
      </c>
      <c r="E18599" t="n">
        <v>9.720000000000001</v>
      </c>
      <c r="F18599" t="n">
        <v>1</v>
      </c>
      <c r="G18599" t="n">
        <v>3</v>
      </c>
      <c r="H18599" s="5">
        <f>HYPERLINK("https://api.qogita.com/variants/link/8011607354870/", "View Product")</f>
        <v/>
      </c>
    </row>
    <row r="18600">
      <c r="A18600" t="inlineStr">
        <is>
          <t>8011607358847</t>
        </is>
      </c>
      <c r="B18600" t="inlineStr">
        <is>
          <t>Pupa Milano Full Eyebrow Pencil 02 G Dark Brown</t>
        </is>
      </c>
      <c r="C18600" t="inlineStr">
        <is>
          <t>Eyebrow Pencil</t>
        </is>
      </c>
      <c r="D18600" t="inlineStr">
        <is>
          <t>Pupa</t>
        </is>
      </c>
      <c r="E18600" t="n">
        <v>11.38</v>
      </c>
      <c r="F18600" t="n">
        <v>1</v>
      </c>
      <c r="G18600" t="n">
        <v>4</v>
      </c>
      <c r="H18600" s="5">
        <f>HYPERLINK("https://api.qogita.com/variants/link/8011607358847/", "View Product")</f>
        <v/>
      </c>
    </row>
    <row r="18601">
      <c r="A18601" t="inlineStr">
        <is>
          <t>8011607358854</t>
        </is>
      </c>
      <c r="B18601" t="inlineStr">
        <is>
          <t>Pupa Milano Full Eyebrow Pencil 02 G Extra Dark</t>
        </is>
      </c>
      <c r="C18601" t="inlineStr">
        <is>
          <t>Eyebrow Pencil</t>
        </is>
      </c>
      <c r="D18601" t="inlineStr">
        <is>
          <t>Pupa</t>
        </is>
      </c>
      <c r="E18601" t="n">
        <v>11.38</v>
      </c>
      <c r="F18601" t="n">
        <v>1</v>
      </c>
      <c r="G18601" t="n">
        <v>8</v>
      </c>
      <c r="H18601" s="5">
        <f>HYPERLINK("https://api.qogita.com/variants/link/8011607358854/", "View Product")</f>
        <v/>
      </c>
    </row>
    <row r="18602">
      <c r="A18602" t="inlineStr">
        <is>
          <t>8011607362790</t>
        </is>
      </c>
      <c r="B18602" t="inlineStr">
        <is>
          <t>Pupa Push Me Up Volumizing Rasson Dance Seno 75ml</t>
        </is>
      </c>
      <c r="C18602" t="inlineStr">
        <is>
          <t>Anti-Stretch Mark Cream</t>
        </is>
      </c>
      <c r="D18602" t="inlineStr">
        <is>
          <t>Pupa</t>
        </is>
      </c>
      <c r="E18602" t="n">
        <v>20.07</v>
      </c>
      <c r="F18602" t="n">
        <v>1</v>
      </c>
      <c r="G18602" t="n">
        <v>4</v>
      </c>
      <c r="H18602" s="5">
        <f>HYPERLINK("https://api.qogita.com/variants/link/8011607362790/", "View Product")</f>
        <v/>
      </c>
    </row>
    <row r="18603">
      <c r="A18603" t="inlineStr">
        <is>
          <t>8011607362899</t>
        </is>
      </c>
      <c r="B18603" t="inlineStr">
        <is>
          <t>PUPA Smog No More Shots Anti-Pollution Serum 30ml</t>
        </is>
      </c>
      <c r="C18603" t="inlineStr">
        <is>
          <t>Hydrating Serum</t>
        </is>
      </c>
      <c r="D18603" t="inlineStr">
        <is>
          <t>Pupa</t>
        </is>
      </c>
      <c r="E18603" t="n">
        <v>11.15</v>
      </c>
      <c r="F18603" t="n">
        <v>1</v>
      </c>
      <c r="G18603" t="n">
        <v>6</v>
      </c>
      <c r="H18603" s="5">
        <f>HYPERLINK("https://api.qogita.com/variants/link/8011607362899/", "View Product")</f>
        <v/>
      </c>
    </row>
    <row r="18604">
      <c r="A18604" t="inlineStr">
        <is>
          <t>8011607368884</t>
        </is>
      </c>
      <c r="B18604" t="inlineStr">
        <is>
          <t>Pupa Vamp Compact Eyeshadow 201 Champagne Gold Wet &amp; Dry 15 G</t>
        </is>
      </c>
      <c r="C18604" t="inlineStr">
        <is>
          <t>Eyeshadow</t>
        </is>
      </c>
      <c r="D18604" t="inlineStr">
        <is>
          <t>Pupa</t>
        </is>
      </c>
      <c r="E18604" t="n">
        <v>10.05</v>
      </c>
      <c r="F18604" t="n">
        <v>1</v>
      </c>
      <c r="G18604" t="n">
        <v>7</v>
      </c>
      <c r="H18604" s="5">
        <f>HYPERLINK("https://api.qogita.com/variants/link/8011607368884/", "View Product")</f>
        <v/>
      </c>
    </row>
    <row r="18605">
      <c r="A18605" t="inlineStr">
        <is>
          <t>8011607368976</t>
        </is>
      </c>
      <c r="B18605" t="inlineStr">
        <is>
          <t>Pupa Vamp Compact Eyeshadow 407 Spicy Wet &amp; Dry 15 G</t>
        </is>
      </c>
      <c r="C18605" t="inlineStr">
        <is>
          <t>Eyeshadow</t>
        </is>
      </c>
      <c r="D18605" t="inlineStr">
        <is>
          <t>Pupa</t>
        </is>
      </c>
      <c r="E18605" t="n">
        <v>9.029999999999999</v>
      </c>
      <c r="F18605" t="n">
        <v>1</v>
      </c>
      <c r="G18605" t="n">
        <v>11</v>
      </c>
      <c r="H18605" s="5">
        <f>HYPERLINK("https://api.qogita.com/variants/link/8011607368976/", "View Product")</f>
        <v/>
      </c>
    </row>
    <row r="18606">
      <c r="A18606" t="inlineStr">
        <is>
          <t>8011607369218</t>
        </is>
      </c>
      <c r="B18606" t="inlineStr">
        <is>
          <t>Pupa Vamp Compact Eyeshadow 205 Biscuit Matt 15 G</t>
        </is>
      </c>
      <c r="C18606" t="inlineStr">
        <is>
          <t>Eyeshadow</t>
        </is>
      </c>
      <c r="D18606" t="inlineStr">
        <is>
          <t>Pupa</t>
        </is>
      </c>
      <c r="E18606" t="n">
        <v>9.279999999999999</v>
      </c>
      <c r="F18606" t="n">
        <v>1</v>
      </c>
      <c r="G18606" t="n">
        <v>24</v>
      </c>
      <c r="H18606" s="5">
        <f>HYPERLINK("https://api.qogita.com/variants/link/8011607369218/", "View Product")</f>
        <v/>
      </c>
    </row>
    <row r="18607">
      <c r="A18607" t="inlineStr">
        <is>
          <t>8011607373185</t>
        </is>
      </c>
      <c r="B18607" t="inlineStr">
        <is>
          <t>Pupa Milano Shine Bright Eye Palette 002 Sunset Gold 4 G</t>
        </is>
      </c>
      <c r="C18607" t="inlineStr">
        <is>
          <t>Eye Sets &amp; Pallets</t>
        </is>
      </c>
      <c r="D18607" t="inlineStr">
        <is>
          <t>Pupa</t>
        </is>
      </c>
      <c r="E18607" t="n">
        <v>12.48</v>
      </c>
      <c r="F18607" t="n">
        <v>1</v>
      </c>
      <c r="G18607" t="n">
        <v>4</v>
      </c>
      <c r="H18607" s="5">
        <f>HYPERLINK("https://api.qogita.com/variants/link/8011607373185/", "View Product")</f>
        <v/>
      </c>
    </row>
    <row r="18608">
      <c r="A18608" t="inlineStr">
        <is>
          <t>8011607374564</t>
        </is>
      </c>
      <c r="B18608" t="inlineStr">
        <is>
          <t>Pupa Vamp Mascara Kit Christmas '23</t>
        </is>
      </c>
      <c r="C18608" t="inlineStr">
        <is>
          <t>Eye Sets &amp; Pallets</t>
        </is>
      </c>
      <c r="D18608" t="inlineStr">
        <is>
          <t>Pupa</t>
        </is>
      </c>
      <c r="E18608" t="n">
        <v>13.79</v>
      </c>
      <c r="F18608" t="n">
        <v>1</v>
      </c>
      <c r="G18608" t="n">
        <v>4</v>
      </c>
      <c r="H18608" s="5">
        <f>HYPERLINK("https://api.qogita.com/variants/link/8011607374564/", "View Product")</f>
        <v/>
      </c>
    </row>
    <row r="18609">
      <c r="A18609" t="inlineStr">
        <is>
          <t>8011607374922</t>
        </is>
      </c>
      <c r="B18609" t="inlineStr">
        <is>
          <t>PUPA Vamp! Sexy Lashes Mascara 12ml + Mini Multiplay Eye Pencil 0.8g</t>
        </is>
      </c>
      <c r="C18609" t="inlineStr">
        <is>
          <t>Mascara</t>
        </is>
      </c>
      <c r="D18609" t="inlineStr">
        <is>
          <t>Pupa</t>
        </is>
      </c>
      <c r="E18609" t="n">
        <v>14.39</v>
      </c>
      <c r="F18609" t="n">
        <v>1</v>
      </c>
      <c r="G18609" t="n">
        <v>9</v>
      </c>
      <c r="H18609" s="5">
        <f>HYPERLINK("https://api.qogita.com/variants/link/8011607374922/", "View Product")</f>
        <v/>
      </c>
    </row>
    <row r="18610">
      <c r="A18610" t="inlineStr">
        <is>
          <t>8011607376636</t>
        </is>
      </c>
      <c r="B18610" t="inlineStr">
        <is>
          <t>Pupa Hair Styling Boost Softening Serum for All Hair Types 30ml</t>
        </is>
      </c>
      <c r="C18610" t="inlineStr">
        <is>
          <t>Hair Oil &amp; Hair Serum</t>
        </is>
      </c>
      <c r="D18610" t="inlineStr">
        <is>
          <t>Pupa</t>
        </is>
      </c>
      <c r="E18610" t="n">
        <v>9.07</v>
      </c>
      <c r="F18610" t="n">
        <v>1</v>
      </c>
      <c r="G18610" t="n">
        <v>4</v>
      </c>
      <c r="H18610" s="5">
        <f>HYPERLINK("https://api.qogita.com/variants/link/8011607376636/", "View Product")</f>
        <v/>
      </c>
    </row>
    <row r="18611">
      <c r="A18611" t="inlineStr">
        <is>
          <t>8011607377275</t>
        </is>
      </c>
      <c r="B18611" t="inlineStr">
        <is>
          <t>Pupa Milano Blush Wonder Me 4 G</t>
        </is>
      </c>
      <c r="C18611" t="inlineStr">
        <is>
          <t>Blush</t>
        </is>
      </c>
      <c r="D18611" t="inlineStr">
        <is>
          <t>Pupa</t>
        </is>
      </c>
      <c r="E18611" t="n">
        <v>11.47</v>
      </c>
      <c r="F18611" t="n">
        <v>1</v>
      </c>
      <c r="G18611" t="n">
        <v>4</v>
      </c>
      <c r="H18611" s="5">
        <f>HYPERLINK("https://api.qogita.com/variants/link/8011607377275/", "View Product")</f>
        <v/>
      </c>
    </row>
    <row r="18612">
      <c r="A18612" t="inlineStr">
        <is>
          <t>8011607377329</t>
        </is>
      </c>
      <c r="B18612" t="inlineStr">
        <is>
          <t>Pupa Milano Wonder Me Blush 4 G Color 006 First Kissradiant</t>
        </is>
      </c>
      <c r="C18612" t="inlineStr">
        <is>
          <t>Blush</t>
        </is>
      </c>
      <c r="D18612" t="inlineStr">
        <is>
          <t>Pupa</t>
        </is>
      </c>
      <c r="E18612" t="n">
        <v>10.78</v>
      </c>
      <c r="F18612" t="n">
        <v>1</v>
      </c>
      <c r="G18612" t="n">
        <v>6</v>
      </c>
      <c r="H18612" s="5">
        <f>HYPERLINK("https://api.qogita.com/variants/link/8011607377329/", "View Product")</f>
        <v/>
      </c>
    </row>
    <row r="18613">
      <c r="A18613" t="inlineStr">
        <is>
          <t>8011607378432</t>
        </is>
      </c>
      <c r="B18613" t="inlineStr">
        <is>
          <t>Pupa Milano Cheek Palette Pupart Small Pink 91 G</t>
        </is>
      </c>
      <c r="C18613" t="inlineStr">
        <is>
          <t>Complexion Sets &amp; Pallets</t>
        </is>
      </c>
      <c r="D18613" t="inlineStr">
        <is>
          <t>Pupa</t>
        </is>
      </c>
      <c r="E18613" t="n">
        <v>13.41</v>
      </c>
      <c r="F18613" t="n">
        <v>1</v>
      </c>
      <c r="G18613" t="n">
        <v>7</v>
      </c>
      <c r="H18613" s="5">
        <f>HYPERLINK("https://api.qogita.com/variants/link/8011607378432/", "View Product")</f>
        <v/>
      </c>
    </row>
    <row r="18614">
      <c r="A18614" t="inlineStr">
        <is>
          <t>8011607378456</t>
        </is>
      </c>
      <c r="B18614" t="inlineStr">
        <is>
          <t>Pupart S Makeup Palette 004 Blue by Pupa Milano for Women 0.4 oz</t>
        </is>
      </c>
      <c r="C18614" t="inlineStr">
        <is>
          <t>Eye Sets &amp; Pallets</t>
        </is>
      </c>
      <c r="D18614" t="inlineStr">
        <is>
          <t>Pupa Milano</t>
        </is>
      </c>
      <c r="E18614" t="n">
        <v>13.52</v>
      </c>
      <c r="F18614" t="n">
        <v>1</v>
      </c>
      <c r="G18614" t="n">
        <v>4</v>
      </c>
      <c r="H18614" s="5">
        <f>HYPERLINK("https://api.qogita.com/variants/link/8011607378456/", "View Product")</f>
        <v/>
      </c>
    </row>
    <row r="18615">
      <c r="A18615" t="inlineStr">
        <is>
          <t>8011607391592</t>
        </is>
      </c>
      <c r="B18615" t="inlineStr">
        <is>
          <t>Pupa Milano Vamp Compact Highlighter Gift Set Mascara</t>
        </is>
      </c>
      <c r="C18615" t="inlineStr">
        <is>
          <t>Highlighter</t>
        </is>
      </c>
      <c r="D18615" t="inlineStr">
        <is>
          <t>Pupa</t>
        </is>
      </c>
      <c r="E18615" t="n">
        <v>21.8</v>
      </c>
      <c r="F18615" t="n">
        <v>1</v>
      </c>
      <c r="G18615" t="n">
        <v>6</v>
      </c>
      <c r="H18615" s="5">
        <f>HYPERLINK("https://api.qogita.com/variants/link/8011607391592/", "View Product")</f>
        <v/>
      </c>
    </row>
    <row r="18616">
      <c r="A18616" t="inlineStr">
        <is>
          <t>8011607391660</t>
        </is>
      </c>
      <c r="B18616" t="inlineStr">
        <is>
          <t>Pupa Milano Vamp Gift Set! Forever Mascara Set</t>
        </is>
      </c>
      <c r="C18616" t="inlineStr">
        <is>
          <t>Mascara</t>
        </is>
      </c>
      <c r="D18616" t="inlineStr">
        <is>
          <t>Pupa</t>
        </is>
      </c>
      <c r="E18616" t="n">
        <v>20</v>
      </c>
      <c r="F18616" t="n">
        <v>1</v>
      </c>
      <c r="G18616" t="n">
        <v>7</v>
      </c>
      <c r="H18616" s="5">
        <f>HYPERLINK("https://api.qogita.com/variants/link/8011607391660/", "View Product")</f>
        <v/>
      </c>
    </row>
    <row r="18617">
      <c r="A18617" t="inlineStr">
        <is>
          <t>8011607393367</t>
        </is>
      </c>
      <c r="B18617" t="inlineStr">
        <is>
          <t>Pupa Milano Perfumed Water Flower Power Happy Box - 100 Ml</t>
        </is>
      </c>
      <c r="C18617" t="inlineStr">
        <is>
          <t>Fragrance Sets</t>
        </is>
      </c>
      <c r="D18617" t="inlineStr">
        <is>
          <t>Pupa</t>
        </is>
      </c>
      <c r="E18617" t="n">
        <v>9.609999999999999</v>
      </c>
      <c r="F18617" t="n">
        <v>1</v>
      </c>
      <c r="G18617" t="n">
        <v>11</v>
      </c>
      <c r="H18617" s="5">
        <f>HYPERLINK("https://api.qogita.com/variants/link/8011607393367/", "View Product")</f>
        <v/>
      </c>
    </row>
    <row r="18618">
      <c r="A18618" t="inlineStr">
        <is>
          <t>8011607393398</t>
        </is>
      </c>
      <c r="B18618" t="inlineStr">
        <is>
          <t>Pupa Milano Berry Boost Happy Box Shower Gel 200 Ml</t>
        </is>
      </c>
      <c r="C18618" t="inlineStr">
        <is>
          <t>Shower Gel</t>
        </is>
      </c>
      <c r="D18618" t="inlineStr">
        <is>
          <t>Pupa</t>
        </is>
      </c>
      <c r="E18618" t="n">
        <v>9.380000000000001</v>
      </c>
      <c r="F18618" t="n">
        <v>1</v>
      </c>
      <c r="G18618" t="n">
        <v>11</v>
      </c>
      <c r="H18618" s="5">
        <f>HYPERLINK("https://api.qogita.com/variants/link/8011607393398/", "View Product")</f>
        <v/>
      </c>
    </row>
    <row r="18619">
      <c r="A18619" t="inlineStr">
        <is>
          <t>8011607393411</t>
        </is>
      </c>
      <c r="B18619" t="inlineStr">
        <is>
          <t>Pupa Milano Flower Dream Happy Box Shower Gel 200 Ml</t>
        </is>
      </c>
      <c r="C18619" t="inlineStr">
        <is>
          <t>Shower Gel</t>
        </is>
      </c>
      <c r="D18619" t="inlineStr">
        <is>
          <t>Pupa</t>
        </is>
      </c>
      <c r="E18619" t="n">
        <v>10.37</v>
      </c>
      <c r="F18619" t="n">
        <v>1</v>
      </c>
      <c r="G18619" t="n">
        <v>7</v>
      </c>
      <c r="H18619" s="5">
        <f>HYPERLINK("https://api.qogita.com/variants/link/8011607393411/", "View Product")</f>
        <v/>
      </c>
    </row>
    <row r="18620">
      <c r="A18620" t="inlineStr">
        <is>
          <t>8011607393435</t>
        </is>
      </c>
      <c r="B18620" t="inlineStr">
        <is>
          <t>Pupa Milano Candy Land Happy Box Shower Gel 200 Ml</t>
        </is>
      </c>
      <c r="C18620" t="inlineStr">
        <is>
          <t>Shower Gel</t>
        </is>
      </c>
      <c r="D18620" t="inlineStr">
        <is>
          <t>Pupa</t>
        </is>
      </c>
      <c r="E18620" t="n">
        <v>10.37</v>
      </c>
      <c r="F18620" t="n">
        <v>1</v>
      </c>
      <c r="G18620" t="n">
        <v>2</v>
      </c>
      <c r="H18620" s="5">
        <f>HYPERLINK("https://api.qogita.com/variants/link/8011607393435/", "View Product")</f>
        <v/>
      </c>
    </row>
    <row r="18621">
      <c r="A18621" t="inlineStr">
        <is>
          <t>8011607393534</t>
        </is>
      </c>
      <c r="B18621" t="inlineStr">
        <is>
          <t>Pupa Happy Box Kit Peach Paradise Exfoliating Shower Gel 200ml + Body Milk 200ml</t>
        </is>
      </c>
      <c r="C18621" t="inlineStr">
        <is>
          <t>Body Care Sets</t>
        </is>
      </c>
      <c r="D18621" t="inlineStr">
        <is>
          <t>Pupa</t>
        </is>
      </c>
      <c r="E18621" t="n">
        <v>15.49</v>
      </c>
      <c r="F18621" t="n">
        <v>1</v>
      </c>
      <c r="G18621" t="n">
        <v>15</v>
      </c>
      <c r="H18621" s="5">
        <f>HYPERLINK("https://api.qogita.com/variants/link/8011607393534/", "View Product")</f>
        <v/>
      </c>
    </row>
    <row r="18622">
      <c r="A18622" t="inlineStr">
        <is>
          <t>8011607393558</t>
        </is>
      </c>
      <c r="B18622" t="inlineStr">
        <is>
          <t>Pupa Happy Box Kit Flower Power Shower Gel 200ml + Body Lotion 200ml</t>
        </is>
      </c>
      <c r="C18622" t="inlineStr">
        <is>
          <t>Body Care Sets</t>
        </is>
      </c>
      <c r="D18622" t="inlineStr">
        <is>
          <t>Pupa</t>
        </is>
      </c>
      <c r="E18622" t="n">
        <v>14.41</v>
      </c>
      <c r="F18622" t="n">
        <v>1</v>
      </c>
      <c r="G18622" t="n">
        <v>6</v>
      </c>
      <c r="H18622" s="5">
        <f>HYPERLINK("https://api.qogita.com/variants/link/8011607393558/", "View Product")</f>
        <v/>
      </c>
    </row>
    <row r="18623">
      <c r="A18623" t="inlineStr">
        <is>
          <t>8011607394043</t>
        </is>
      </c>
      <c r="B18623" t="inlineStr">
        <is>
          <t>Pupa Milano Anti-Fatigue Shower Gel In A Hawaiian Spa Box, 300 Ml</t>
        </is>
      </c>
      <c r="C18623" t="inlineStr">
        <is>
          <t>Shower Gel</t>
        </is>
      </c>
      <c r="D18623" t="inlineStr">
        <is>
          <t>Pupa</t>
        </is>
      </c>
      <c r="E18623" t="n">
        <v>9.470000000000001</v>
      </c>
      <c r="F18623" t="n">
        <v>1</v>
      </c>
      <c r="G18623" t="n">
        <v>8</v>
      </c>
      <c r="H18623" s="5">
        <f>HYPERLINK("https://api.qogita.com/variants/link/8011607394043/", "View Product")</f>
        <v/>
      </c>
    </row>
    <row r="18624">
      <c r="A18624" t="inlineStr">
        <is>
          <t>8011607394067</t>
        </is>
      </c>
      <c r="B18624" t="inlineStr">
        <is>
          <t>Pupa Milano Toning Shower Gel - 300 Ml</t>
        </is>
      </c>
      <c r="C18624" t="inlineStr">
        <is>
          <t>Shower Gel</t>
        </is>
      </c>
      <c r="D18624" t="inlineStr">
        <is>
          <t>Pupa</t>
        </is>
      </c>
      <c r="E18624" t="n">
        <v>10.07</v>
      </c>
      <c r="F18624" t="n">
        <v>1</v>
      </c>
      <c r="G18624" t="n">
        <v>2</v>
      </c>
      <c r="H18624" s="5">
        <f>HYPERLINK("https://api.qogita.com/variants/link/8011607394067/", "View Product")</f>
        <v/>
      </c>
    </row>
    <row r="18625">
      <c r="A18625" t="inlineStr">
        <is>
          <t>8011607394210</t>
        </is>
      </c>
      <c r="B18625" t="inlineStr">
        <is>
          <t>Pupa Oceanian Spa Kit 2 - Nourishing Shower Milk 300 Milliliters And Body Cream 150 Milliliters</t>
        </is>
      </c>
      <c r="C18625" t="inlineStr">
        <is>
          <t>Body Care Sets</t>
        </is>
      </c>
      <c r="D18625" t="inlineStr">
        <is>
          <t>Pupa</t>
        </is>
      </c>
      <c r="E18625" t="n">
        <v>21.46</v>
      </c>
      <c r="F18625" t="n">
        <v>1</v>
      </c>
      <c r="G18625" t="n">
        <v>3</v>
      </c>
      <c r="H18625" s="5">
        <f>HYPERLINK("https://api.qogita.com/variants/link/8011607394210/", "View Product")</f>
        <v/>
      </c>
    </row>
    <row r="18626">
      <c r="A18626" t="inlineStr">
        <is>
          <t>8011607396122</t>
        </is>
      </c>
      <c r="B18626" t="inlineStr">
        <is>
          <t>Pupa Pupart S Ivory - A Versatile Makeup Palette From Pupa</t>
        </is>
      </c>
      <c r="C18626" t="inlineStr">
        <is>
          <t>Eye Sets &amp; Pallets</t>
        </is>
      </c>
      <c r="D18626" t="inlineStr">
        <is>
          <t>Pupa</t>
        </is>
      </c>
      <c r="E18626" t="n">
        <v>14.42</v>
      </c>
      <c r="F18626" t="n">
        <v>1</v>
      </c>
      <c r="G18626" t="n">
        <v>6</v>
      </c>
      <c r="H18626" s="5">
        <f>HYPERLINK("https://api.qogita.com/variants/link/8011607396122/", "View Product")</f>
        <v/>
      </c>
    </row>
    <row r="18627">
      <c r="A18627" t="inlineStr">
        <is>
          <t>8011607396139</t>
        </is>
      </c>
      <c r="B18627" t="inlineStr">
        <is>
          <t>Pupa Pupart S Red - A Vibrant Makeup Palette From Pupa</t>
        </is>
      </c>
      <c r="C18627" t="inlineStr">
        <is>
          <t>Eye Sets &amp; Pallets</t>
        </is>
      </c>
      <c r="D18627" t="inlineStr">
        <is>
          <t>Pupa</t>
        </is>
      </c>
      <c r="E18627" t="n">
        <v>13.69</v>
      </c>
      <c r="F18627" t="n">
        <v>1</v>
      </c>
      <c r="G18627" t="n">
        <v>18</v>
      </c>
      <c r="H18627" s="5">
        <f>HYPERLINK("https://api.qogita.com/variants/link/8011607396139/", "View Product")</f>
        <v/>
      </c>
    </row>
    <row r="18628">
      <c r="A18628" t="inlineStr">
        <is>
          <t>8011889622018</t>
        </is>
      </c>
      <c r="B18628" t="inlineStr">
        <is>
          <t>John Richmond For Men Eau De Toilette 50ml</t>
        </is>
      </c>
      <c r="C18628" t="inlineStr">
        <is>
          <t>Eau De Toilette</t>
        </is>
      </c>
      <c r="D18628" t="inlineStr">
        <is>
          <t>Richmond</t>
        </is>
      </c>
      <c r="E18628" t="n">
        <v>23.5</v>
      </c>
      <c r="F18628" t="n">
        <v>1</v>
      </c>
      <c r="G18628" t="n">
        <v>9</v>
      </c>
      <c r="H18628" s="5">
        <f>HYPERLINK("https://api.qogita.com/variants/link/8011889622018/", "View Product")</f>
        <v/>
      </c>
    </row>
    <row r="18629">
      <c r="A18629" t="inlineStr">
        <is>
          <t>8015150000550</t>
        </is>
      </c>
      <c r="B18629" t="inlineStr">
        <is>
          <t>Collistar Double Pencil Sharpener - Perfect For Your Makeup Tools</t>
        </is>
      </c>
      <c r="C18629" t="inlineStr">
        <is>
          <t>Pencil Sharpeners</t>
        </is>
      </c>
      <c r="D18629" t="inlineStr">
        <is>
          <t>Collistar</t>
        </is>
      </c>
      <c r="E18629" t="n">
        <v>8.19</v>
      </c>
      <c r="F18629" t="n">
        <v>1</v>
      </c>
      <c r="G18629" t="n">
        <v>4</v>
      </c>
      <c r="H18629" s="5">
        <f>HYPERLINK("https://api.qogita.com/variants/link/8015150000550/", "View Product")</f>
        <v/>
      </c>
    </row>
    <row r="18630">
      <c r="A18630" t="inlineStr">
        <is>
          <t>8015150001885</t>
        </is>
      </c>
      <c r="B18630" t="inlineStr">
        <is>
          <t>Collistar Hyaluronic Acid Ceramides Set Skincare Gift Set Includes Facial Lotion 15ml Volumizing Face Cream 50ml And Cosmetics Bag</t>
        </is>
      </c>
      <c r="C18630" t="inlineStr">
        <is>
          <t>Facial Care Sets</t>
        </is>
      </c>
      <c r="D18630" t="inlineStr">
        <is>
          <t>Collistar</t>
        </is>
      </c>
      <c r="E18630" t="n">
        <v>25.65</v>
      </c>
      <c r="F18630" t="n">
        <v>1</v>
      </c>
      <c r="G18630" t="n">
        <v>5</v>
      </c>
      <c r="H18630" s="5">
        <f>HYPERLINK("https://api.qogita.com/variants/link/8015150001885/", "View Product")</f>
        <v/>
      </c>
    </row>
    <row r="18631">
      <c r="A18631" t="inlineStr">
        <is>
          <t>8015150001960</t>
        </is>
      </c>
      <c r="B18631" t="inlineStr">
        <is>
          <t>Collistar Sun Kit Supertanning 2024</t>
        </is>
      </c>
      <c r="C18631" t="inlineStr">
        <is>
          <t>Sun Protection Sets</t>
        </is>
      </c>
      <c r="D18631" t="inlineStr">
        <is>
          <t>Collistar</t>
        </is>
      </c>
      <c r="E18631" t="n">
        <v>24.24</v>
      </c>
      <c r="F18631" t="n">
        <v>1</v>
      </c>
      <c r="G18631" t="n">
        <v>5</v>
      </c>
      <c r="H18631" s="5">
        <f>HYPERLINK("https://api.qogita.com/variants/link/8015150001960/", "View Product")</f>
        <v/>
      </c>
    </row>
    <row r="18632">
      <c r="A18632" t="inlineStr">
        <is>
          <t>8015150002509</t>
        </is>
      </c>
      <c r="B18632" t="inlineStr">
        <is>
          <t>Collistar Nudo Foundation Second Skin Spf 15 3r-Natural Rosato 30ml</t>
        </is>
      </c>
      <c r="C18632" t="inlineStr">
        <is>
          <t>Foundation</t>
        </is>
      </c>
      <c r="D18632" t="inlineStr">
        <is>
          <t>Collistar</t>
        </is>
      </c>
      <c r="E18632" t="n">
        <v>39.33</v>
      </c>
      <c r="F18632" t="n">
        <v>1</v>
      </c>
      <c r="G18632" t="n">
        <v>2</v>
      </c>
      <c r="H18632" s="5">
        <f>HYPERLINK("https://api.qogita.com/variants/link/8015150002509/", "View Product")</f>
        <v/>
      </c>
    </row>
    <row r="18633">
      <c r="A18633" t="inlineStr">
        <is>
          <t>8015150004541</t>
        </is>
      </c>
      <c r="B18633" t="inlineStr">
        <is>
          <t>Collistar Sculpt Eye Contour Lifting Anti-Dark Circles 15 Ml</t>
        </is>
      </c>
      <c r="C18633" t="inlineStr">
        <is>
          <t>Eye Cream</t>
        </is>
      </c>
      <c r="D18633" t="inlineStr">
        <is>
          <t>Collistar</t>
        </is>
      </c>
      <c r="E18633" t="n">
        <v>22.95</v>
      </c>
      <c r="F18633" t="n">
        <v>1</v>
      </c>
      <c r="G18633" t="n">
        <v>11</v>
      </c>
      <c r="H18633" s="5">
        <f>HYPERLINK("https://api.qogita.com/variants/link/8015150004541/", "View Product")</f>
        <v/>
      </c>
    </row>
    <row r="18634">
      <c r="A18634" t="inlineStr">
        <is>
          <t>8015150005036</t>
        </is>
      </c>
      <c r="B18634" t="inlineStr">
        <is>
          <t>Collistar Cofanetto Benessere Neroli E Elicriso Eau De Toilette 50 Ml</t>
        </is>
      </c>
      <c r="C18634" t="inlineStr">
        <is>
          <t>Eau De Toilette</t>
        </is>
      </c>
      <c r="D18634" t="inlineStr">
        <is>
          <t>Collistar</t>
        </is>
      </c>
      <c r="E18634" t="n">
        <v>49.17</v>
      </c>
      <c r="F18634" t="n">
        <v>1</v>
      </c>
      <c r="G18634" t="n">
        <v>4</v>
      </c>
      <c r="H18634" s="5">
        <f>HYPERLINK("https://api.qogita.com/variants/link/8015150005036/", "View Product")</f>
        <v/>
      </c>
    </row>
    <row r="18635">
      <c r="A18635" t="inlineStr">
        <is>
          <t>8015150005586</t>
        </is>
      </c>
      <c r="B18635" t="inlineStr">
        <is>
          <t>Collistar Futura Revitalizing Brightening Cream 50 Ml</t>
        </is>
      </c>
      <c r="C18635" t="inlineStr">
        <is>
          <t>Anti-Pigmentation Spot Cream</t>
        </is>
      </c>
      <c r="D18635" t="inlineStr">
        <is>
          <t>Collistar</t>
        </is>
      </c>
      <c r="E18635" t="n">
        <v>62.95</v>
      </c>
      <c r="F18635" t="n">
        <v>1</v>
      </c>
      <c r="G18635" t="n">
        <v>10</v>
      </c>
      <c r="H18635" s="5">
        <f>HYPERLINK("https://api.qogita.com/variants/link/8015150005586/", "View Product")</f>
        <v/>
      </c>
    </row>
    <row r="18636">
      <c r="A18636" t="inlineStr">
        <is>
          <t>8015150006736</t>
        </is>
      </c>
      <c r="B18636" t="inlineStr">
        <is>
          <t>Collistar Body Care Gift Set</t>
        </is>
      </c>
      <c r="C18636" t="inlineStr">
        <is>
          <t>Body Care Sets</t>
        </is>
      </c>
      <c r="D18636" t="inlineStr">
        <is>
          <t>Collistar</t>
        </is>
      </c>
      <c r="E18636" t="n">
        <v>26.21</v>
      </c>
      <c r="F18636" t="n">
        <v>1</v>
      </c>
      <c r="G18636" t="n">
        <v>2</v>
      </c>
      <c r="H18636" s="5">
        <f>HYPERLINK("https://api.qogita.com/variants/link/8015150006736/", "View Product")</f>
        <v/>
      </c>
    </row>
    <row r="18637">
      <c r="A18637" t="inlineStr">
        <is>
          <t>8015150120005</t>
        </is>
      </c>
      <c r="B18637" t="inlineStr">
        <is>
          <t>Collistar Revitalizing Lip Balm Pure Lip Balm 3 Ml</t>
        </is>
      </c>
      <c r="C18637" t="inlineStr">
        <is>
          <t>Medicated Treatments</t>
        </is>
      </c>
      <c r="D18637" t="inlineStr">
        <is>
          <t>Collistar</t>
        </is>
      </c>
      <c r="E18637" t="n">
        <v>15.03</v>
      </c>
      <c r="F18637" t="n">
        <v>1</v>
      </c>
      <c r="G18637" t="n">
        <v>5</v>
      </c>
      <c r="H18637" s="5">
        <f>HYPERLINK("https://api.qogita.com/variants/link/8015150120005/", "View Product")</f>
        <v/>
      </c>
    </row>
    <row r="18638">
      <c r="A18638" t="inlineStr">
        <is>
          <t>8015150120081</t>
        </is>
      </c>
      <c r="B18638" t="inlineStr">
        <is>
          <t>Collistar Rossetto Puro Lipstick 104raspberry Rose 35 Grams</t>
        </is>
      </c>
      <c r="C18638" t="inlineStr">
        <is>
          <t>Lipstick</t>
        </is>
      </c>
      <c r="D18638" t="inlineStr">
        <is>
          <t>Collistar</t>
        </is>
      </c>
      <c r="E18638" t="n">
        <v>11.46</v>
      </c>
      <c r="F18638" t="n">
        <v>1</v>
      </c>
      <c r="G18638" t="n">
        <v>2</v>
      </c>
      <c r="H18638" s="5">
        <f>HYPERLINK("https://api.qogita.com/variants/link/8015150120081/", "View Product")</f>
        <v/>
      </c>
    </row>
    <row r="18639">
      <c r="A18639" t="inlineStr">
        <is>
          <t>8015150132909</t>
        </is>
      </c>
      <c r="B18639" t="inlineStr">
        <is>
          <t>Collistar Impeccabile Mascara Base - 12.5 Ml</t>
        </is>
      </c>
      <c r="C18639" t="inlineStr">
        <is>
          <t>Mascara</t>
        </is>
      </c>
      <c r="D18639" t="inlineStr">
        <is>
          <t>Collistar</t>
        </is>
      </c>
      <c r="E18639" t="n">
        <v>19.97</v>
      </c>
      <c r="F18639" t="n">
        <v>1</v>
      </c>
      <c r="G18639" t="n">
        <v>8</v>
      </c>
      <c r="H18639" s="5">
        <f>HYPERLINK("https://api.qogita.com/variants/link/8015150132909/", "View Product")</f>
        <v/>
      </c>
    </row>
    <row r="18640">
      <c r="A18640" t="inlineStr">
        <is>
          <t>8015150135825</t>
        </is>
      </c>
      <c r="B18640" t="inlineStr">
        <is>
          <t>Collistar Unico Foundation Spf15 2n 30ml - A Lightweight Foundation With Sun Protection</t>
        </is>
      </c>
      <c r="C18640" t="inlineStr">
        <is>
          <t>Foundation</t>
        </is>
      </c>
      <c r="D18640" t="inlineStr">
        <is>
          <t>Collistar</t>
        </is>
      </c>
      <c r="E18640" t="n">
        <v>24.91</v>
      </c>
      <c r="F18640" t="n">
        <v>1</v>
      </c>
      <c r="G18640" t="n">
        <v>3</v>
      </c>
      <c r="H18640" s="5">
        <f>HYPERLINK("https://api.qogita.com/variants/link/8015150135825/", "View Product")</f>
        <v/>
      </c>
    </row>
    <row r="18641">
      <c r="A18641" t="inlineStr">
        <is>
          <t>8015150157117</t>
        </is>
      </c>
      <c r="B18641" t="inlineStr">
        <is>
          <t>Collistar Professional Kajal Pencil Eye Pencil 2 1.2ml</t>
        </is>
      </c>
      <c r="C18641" t="inlineStr">
        <is>
          <t>Eye Pencil</t>
        </is>
      </c>
      <c r="D18641" t="inlineStr">
        <is>
          <t>Collistar</t>
        </is>
      </c>
      <c r="E18641" t="n">
        <v>12.19</v>
      </c>
      <c r="F18641" t="n">
        <v>1</v>
      </c>
      <c r="G18641" t="n">
        <v>12</v>
      </c>
      <c r="H18641" s="5">
        <f>HYPERLINK("https://api.qogita.com/variants/link/8015150157117/", "View Product")</f>
        <v/>
      </c>
    </row>
    <row r="18642">
      <c r="A18642" t="inlineStr">
        <is>
          <t>8015150158305</t>
        </is>
      </c>
      <c r="B18642" t="inlineStr">
        <is>
          <t>Collistar Waterproof Eye Pencil 12 Ml</t>
        </is>
      </c>
      <c r="C18642" t="inlineStr">
        <is>
          <t>Eye Pencil</t>
        </is>
      </c>
      <c r="D18642" t="inlineStr">
        <is>
          <t>Collistar</t>
        </is>
      </c>
      <c r="E18642" t="n">
        <v>11.72</v>
      </c>
      <c r="F18642" t="n">
        <v>1</v>
      </c>
      <c r="G18642" t="n">
        <v>16</v>
      </c>
      <c r="H18642" s="5">
        <f>HYPERLINK("https://api.qogita.com/variants/link/8015150158305/", "View Product")</f>
        <v/>
      </c>
    </row>
    <row r="18643">
      <c r="A18643" t="inlineStr">
        <is>
          <t>8015150189019</t>
        </is>
      </c>
      <c r="B18643" t="inlineStr">
        <is>
          <t>Collistar Not Ordinary Smooth Matte Base Makeup Base 30ml</t>
        </is>
      </c>
      <c r="C18643" t="inlineStr">
        <is>
          <t>Primer</t>
        </is>
      </c>
      <c r="D18643" t="inlineStr">
        <is>
          <t>Collistar</t>
        </is>
      </c>
      <c r="E18643" t="n">
        <v>13.2</v>
      </c>
      <c r="F18643" t="n">
        <v>1</v>
      </c>
      <c r="G18643" t="n">
        <v>5</v>
      </c>
      <c r="H18643" s="5">
        <f>HYPERLINK("https://api.qogita.com/variants/link/8015150189019/", "View Product")</f>
        <v/>
      </c>
    </row>
    <row r="18644">
      <c r="A18644" t="inlineStr">
        <is>
          <t>8015150189033</t>
        </is>
      </c>
      <c r="B18644" t="inlineStr">
        <is>
          <t>Collistar Not Ordinary Treatment Game Changer Lip Balm 6.5ml</t>
        </is>
      </c>
      <c r="C18644" t="inlineStr">
        <is>
          <t>Medicated Treatments</t>
        </is>
      </c>
      <c r="D18644" t="inlineStr">
        <is>
          <t>Collistar</t>
        </is>
      </c>
      <c r="E18644" t="n">
        <v>11.52</v>
      </c>
      <c r="F18644" t="n">
        <v>1</v>
      </c>
      <c r="G18644" t="n">
        <v>5</v>
      </c>
      <c r="H18644" s="5">
        <f>HYPERLINK("https://api.qogita.com/variants/link/8015150189033/", "View Product")</f>
        <v/>
      </c>
    </row>
    <row r="18645">
      <c r="A18645" t="inlineStr">
        <is>
          <t>8015150218696</t>
        </is>
      </c>
      <c r="B18645" t="inlineStr">
        <is>
          <t>Attivi Puri Vitamin C + Alpha Arbutin Brightening Face Serum 30ml</t>
        </is>
      </c>
      <c r="C18645" t="inlineStr">
        <is>
          <t>Vitamin Serum</t>
        </is>
      </c>
      <c r="D18645" t="inlineStr">
        <is>
          <t>Attivi Puri</t>
        </is>
      </c>
      <c r="E18645" t="n">
        <v>21</v>
      </c>
      <c r="F18645" t="n">
        <v>1</v>
      </c>
      <c r="G18645" t="n">
        <v>10</v>
      </c>
      <c r="H18645" s="5">
        <f>HYPERLINK("https://api.qogita.com/variants/link/8015150218696/", "View Product")</f>
        <v/>
      </c>
    </row>
    <row r="18646">
      <c r="A18646" t="inlineStr">
        <is>
          <t>8015150218887</t>
        </is>
      </c>
      <c r="B18646" t="inlineStr">
        <is>
          <t>Collistar Pure Actives Salicylic Acid Niacinamide Cream 50ml Antiblemish Oil Control</t>
        </is>
      </c>
      <c r="C18646" t="inlineStr">
        <is>
          <t>Pimple &amp; Blackhead Treatments</t>
        </is>
      </c>
      <c r="D18646" t="inlineStr">
        <is>
          <t>Collistar</t>
        </is>
      </c>
      <c r="E18646" t="n">
        <v>21</v>
      </c>
      <c r="F18646" t="n">
        <v>1</v>
      </c>
      <c r="G18646" t="n">
        <v>5</v>
      </c>
      <c r="H18646" s="5">
        <f>HYPERLINK("https://api.qogita.com/variants/link/8015150218887/", "View Product")</f>
        <v/>
      </c>
    </row>
    <row r="18647">
      <c r="A18647" t="inlineStr">
        <is>
          <t>8015150219129</t>
        </is>
      </c>
      <c r="B18647" t="inlineStr">
        <is>
          <t>Collistar Professional Eyeliner Pencil N.11 Metallic Blue Soft Waterproof</t>
        </is>
      </c>
      <c r="C18647" t="inlineStr">
        <is>
          <t>Eyeliner</t>
        </is>
      </c>
      <c r="D18647" t="inlineStr">
        <is>
          <t>Collistar</t>
        </is>
      </c>
      <c r="E18647" t="n">
        <v>9.98</v>
      </c>
      <c r="F18647" t="n">
        <v>1</v>
      </c>
      <c r="G18647" t="n">
        <v>3</v>
      </c>
      <c r="H18647" s="5">
        <f>HYPERLINK("https://api.qogita.com/variants/link/8015150219129/", "View Product")</f>
        <v/>
      </c>
    </row>
    <row r="18648">
      <c r="A18648" t="inlineStr">
        <is>
          <t>8015150219341</t>
        </is>
      </c>
      <c r="B18648" t="inlineStr">
        <is>
          <t>Collistar Anti-Age Toning Lotion 250ml</t>
        </is>
      </c>
      <c r="C18648" t="inlineStr">
        <is>
          <t>Face Lotion</t>
        </is>
      </c>
      <c r="D18648" t="inlineStr">
        <is>
          <t>Collistar</t>
        </is>
      </c>
      <c r="E18648" t="n">
        <v>13.2</v>
      </c>
      <c r="F18648" t="n">
        <v>1</v>
      </c>
      <c r="G18648" t="n">
        <v>4</v>
      </c>
      <c r="H18648" s="5">
        <f>HYPERLINK("https://api.qogita.com/variants/link/8015150219341/", "View Product")</f>
        <v/>
      </c>
    </row>
    <row r="18649">
      <c r="A18649" t="inlineStr">
        <is>
          <t>8015150235013</t>
        </is>
      </c>
      <c r="B18649" t="inlineStr">
        <is>
          <t>Collistar Protective Drops Antiage Brightening Spf 50 50ml</t>
        </is>
      </c>
      <c r="C18649" t="inlineStr">
        <is>
          <t>Face Sun Protection</t>
        </is>
      </c>
      <c r="D18649" t="inlineStr">
        <is>
          <t>Collistar</t>
        </is>
      </c>
      <c r="E18649" t="n">
        <v>25.87</v>
      </c>
      <c r="F18649" t="n">
        <v>1</v>
      </c>
      <c r="G18649" t="n">
        <v>11</v>
      </c>
      <c r="H18649" s="5">
        <f>HYPERLINK("https://api.qogita.com/variants/link/8015150235013/", "View Product")</f>
        <v/>
      </c>
    </row>
    <row r="18650">
      <c r="A18650" t="inlineStr">
        <is>
          <t>8015150244428</t>
        </is>
      </c>
      <c r="B18650" t="inlineStr">
        <is>
          <t>Collistar Magnifica Moisturizing and Firming Face and Neck Cream</t>
        </is>
      </c>
      <c r="C18650" t="inlineStr">
        <is>
          <t>Face Cream</t>
        </is>
      </c>
      <c r="D18650" t="inlineStr">
        <is>
          <t>Collistar</t>
        </is>
      </c>
      <c r="E18650" t="n">
        <v>37.59</v>
      </c>
      <c r="F18650" t="n">
        <v>1</v>
      </c>
      <c r="G18650" t="n">
        <v>3</v>
      </c>
      <c r="H18650" s="5">
        <f>HYPERLINK("https://api.qogita.com/variants/link/8015150244428/", "View Product")</f>
        <v/>
      </c>
    </row>
    <row r="18651">
      <c r="A18651" t="inlineStr">
        <is>
          <t>8015150244442</t>
        </is>
      </c>
      <c r="B18651" t="inlineStr">
        <is>
          <t>Collistar Magnifica Redensifying Repairing Eye Contour Cream 15ml</t>
        </is>
      </c>
      <c r="C18651" t="inlineStr">
        <is>
          <t>Eye Cream</t>
        </is>
      </c>
      <c r="D18651" t="inlineStr">
        <is>
          <t>Collistar</t>
        </is>
      </c>
      <c r="E18651" t="n">
        <v>27.09</v>
      </c>
      <c r="F18651" t="n">
        <v>1</v>
      </c>
      <c r="G18651" t="n">
        <v>4</v>
      </c>
      <c r="H18651" s="5">
        <f>HYPERLINK("https://api.qogita.com/variants/link/8015150244442/", "View Product")</f>
        <v/>
      </c>
    </row>
    <row r="18652">
      <c r="A18652" t="inlineStr">
        <is>
          <t>8015150245395</t>
        </is>
      </c>
      <c r="B18652" t="inlineStr">
        <is>
          <t>Collistar Perfecta Plus Eye Contour Perfection Cream 15ml</t>
        </is>
      </c>
      <c r="C18652" t="inlineStr">
        <is>
          <t>Eye Cream</t>
        </is>
      </c>
      <c r="D18652" t="inlineStr">
        <is>
          <t>Collistar</t>
        </is>
      </c>
      <c r="E18652" t="n">
        <v>29.55</v>
      </c>
      <c r="F18652" t="n">
        <v>1</v>
      </c>
      <c r="G18652" t="n">
        <v>23</v>
      </c>
      <c r="H18652" s="5">
        <f>HYPERLINK("https://api.qogita.com/variants/link/8015150245395/", "View Product")</f>
        <v/>
      </c>
    </row>
    <row r="18653">
      <c r="A18653" t="inlineStr">
        <is>
          <t>8015150247320</t>
        </is>
      </c>
      <c r="B18653" t="inlineStr">
        <is>
          <t>Collistar Idroattiva+ Anti-Pollution Cream Bb - 50ml</t>
        </is>
      </c>
      <c r="C18653" t="inlineStr">
        <is>
          <t>Tinted Day Cream</t>
        </is>
      </c>
      <c r="D18653" t="inlineStr">
        <is>
          <t>Collistar</t>
        </is>
      </c>
      <c r="E18653" t="n">
        <v>20.12</v>
      </c>
      <c r="F18653" t="n">
        <v>1</v>
      </c>
      <c r="G18653" t="n">
        <v>5</v>
      </c>
      <c r="H18653" s="5">
        <f>HYPERLINK("https://api.qogita.com/variants/link/8015150247320/", "View Product")</f>
        <v/>
      </c>
    </row>
    <row r="18654">
      <c r="A18654" t="inlineStr">
        <is>
          <t>8015150247337</t>
        </is>
      </c>
      <c r="B18654" t="inlineStr">
        <is>
          <t>Collistar Idroattiva Bb Cream Antipollution Spf 30 50 Ml</t>
        </is>
      </c>
      <c r="C18654" t="inlineStr">
        <is>
          <t>Tinted Day Cream</t>
        </is>
      </c>
      <c r="D18654" t="inlineStr">
        <is>
          <t>Collistar</t>
        </is>
      </c>
      <c r="E18654" t="n">
        <v>16.15</v>
      </c>
      <c r="F18654" t="n">
        <v>1</v>
      </c>
      <c r="G18654" t="n">
        <v>3</v>
      </c>
      <c r="H18654" s="5">
        <f>HYPERLINK("https://api.qogita.com/variants/link/8015150247337/", "View Product")</f>
        <v/>
      </c>
    </row>
    <row r="18655">
      <c r="A18655" t="inlineStr">
        <is>
          <t>8015150250191</t>
        </is>
      </c>
      <c r="B18655" t="inlineStr">
        <is>
          <t>Collistar Firming Shower Oil 400 Ml</t>
        </is>
      </c>
      <c r="C18655" t="inlineStr">
        <is>
          <t>Shower Oil</t>
        </is>
      </c>
      <c r="D18655" t="inlineStr">
        <is>
          <t>Collistar</t>
        </is>
      </c>
      <c r="E18655" t="n">
        <v>15.55</v>
      </c>
      <c r="F18655" t="n">
        <v>1</v>
      </c>
      <c r="G18655" t="n">
        <v>7</v>
      </c>
      <c r="H18655" s="5">
        <f>HYPERLINK("https://api.qogita.com/variants/link/8015150250191/", "View Product")</f>
        <v/>
      </c>
    </row>
    <row r="18656">
      <c r="A18656" t="inlineStr">
        <is>
          <t>8015150250887</t>
        </is>
      </c>
      <c r="B18656" t="inlineStr">
        <is>
          <t>Collistar Anti-Water Talasso-Scrub Revitalizing Salt Scrub For Body 700g</t>
        </is>
      </c>
      <c r="C18656" t="inlineStr">
        <is>
          <t>Body Scrub &amp; Peeling</t>
        </is>
      </c>
      <c r="D18656" t="inlineStr">
        <is>
          <t>Collistar</t>
        </is>
      </c>
      <c r="E18656" t="n">
        <v>23.54</v>
      </c>
      <c r="F18656" t="n">
        <v>1</v>
      </c>
      <c r="G18656" t="n">
        <v>3</v>
      </c>
      <c r="H18656" s="5">
        <f>HYPERLINK("https://api.qogita.com/variants/link/8015150250887/", "View Product")</f>
        <v/>
      </c>
    </row>
    <row r="18657">
      <c r="A18657" t="inlineStr">
        <is>
          <t>8015150251310</t>
        </is>
      </c>
      <c r="B18657" t="inlineStr">
        <is>
          <t>Collistar Talasso Shower Cream 250ml Nourishing And Revitalizing Shower Cream With Marine Extracts And Essential Oils</t>
        </is>
      </c>
      <c r="C18657" t="inlineStr">
        <is>
          <t>Shower Gel</t>
        </is>
      </c>
      <c r="D18657" t="inlineStr">
        <is>
          <t>Collistar</t>
        </is>
      </c>
      <c r="E18657" t="n">
        <v>10.37</v>
      </c>
      <c r="F18657" t="n">
        <v>1</v>
      </c>
      <c r="G18657" t="n">
        <v>4</v>
      </c>
      <c r="H18657" s="5">
        <f>HYPERLINK("https://api.qogita.com/variants/link/8015150251310/", "View Product")</f>
        <v/>
      </c>
    </row>
    <row r="18658">
      <c r="A18658" t="inlineStr">
        <is>
          <t>8015150251723</t>
        </is>
      </c>
      <c r="B18658" t="inlineStr">
        <is>
          <t>Collistar Firming Talasso-Scrub 700g - Exfoliating Body Scrub With Sea Salt</t>
        </is>
      </c>
      <c r="C18658" t="inlineStr">
        <is>
          <t>Body Scrub &amp; Peeling</t>
        </is>
      </c>
      <c r="D18658" t="inlineStr">
        <is>
          <t>Collistar</t>
        </is>
      </c>
      <c r="E18658" t="n">
        <v>22.97</v>
      </c>
      <c r="F18658" t="n">
        <v>1</v>
      </c>
      <c r="G18658" t="n">
        <v>5</v>
      </c>
      <c r="H18658" s="5">
        <f>HYPERLINK("https://api.qogita.com/variants/link/8015150251723/", "View Product")</f>
        <v/>
      </c>
    </row>
    <row r="18659">
      <c r="A18659" t="inlineStr">
        <is>
          <t>8015150253024</t>
        </is>
      </c>
      <c r="B18659" t="inlineStr">
        <is>
          <t>Collistar Face Scrub 300ml Nutty and Slightly Sweet</t>
        </is>
      </c>
      <c r="C18659" t="inlineStr">
        <is>
          <t>Facial Scrub &amp; Peeling</t>
        </is>
      </c>
      <c r="D18659" t="inlineStr">
        <is>
          <t>Collistar</t>
        </is>
      </c>
      <c r="E18659" t="n">
        <v>14.94</v>
      </c>
      <c r="F18659" t="n">
        <v>1</v>
      </c>
      <c r="G18659" t="n">
        <v>5</v>
      </c>
      <c r="H18659" s="5">
        <f>HYPERLINK("https://api.qogita.com/variants/link/8015150253024/", "View Product")</f>
        <v/>
      </c>
    </row>
    <row r="18660">
      <c r="A18660" t="inlineStr">
        <is>
          <t>8015150253956</t>
        </is>
      </c>
      <c r="B18660" t="inlineStr">
        <is>
          <t>Collistar Anticellulite Thermal Cream 400ml Firming Thermal Cream Against Cellulite</t>
        </is>
      </c>
      <c r="C18660" t="inlineStr">
        <is>
          <t>Anti-Cellulite</t>
        </is>
      </c>
      <c r="D18660" t="inlineStr">
        <is>
          <t>Collistar</t>
        </is>
      </c>
      <c r="E18660" t="n">
        <v>28.36</v>
      </c>
      <c r="F18660" t="n">
        <v>1</v>
      </c>
      <c r="G18660" t="n">
        <v>12</v>
      </c>
      <c r="H18660" s="5">
        <f>HYPERLINK("https://api.qogita.com/variants/link/8015150253956/", "View Product")</f>
        <v/>
      </c>
    </row>
    <row r="18661">
      <c r="A18661" t="inlineStr">
        <is>
          <t>8015150260374</t>
        </is>
      </c>
      <c r="B18661" t="inlineStr">
        <is>
          <t>Collistar After Sun Perfect Tanning</t>
        </is>
      </c>
      <c r="C18661" t="inlineStr">
        <is>
          <t>Aftersun</t>
        </is>
      </c>
      <c r="D18661" t="inlineStr">
        <is>
          <t>Collistar</t>
        </is>
      </c>
      <c r="E18661" t="n">
        <v>18.67</v>
      </c>
      <c r="F18661" t="n">
        <v>1</v>
      </c>
      <c r="G18661" t="n">
        <v>5</v>
      </c>
      <c r="H18661" s="5">
        <f>HYPERLINK("https://api.qogita.com/variants/link/8015150260374/", "View Product")</f>
        <v/>
      </c>
    </row>
    <row r="18662">
      <c r="A18662" t="inlineStr">
        <is>
          <t>8015150260596</t>
        </is>
      </c>
      <c r="B18662" t="inlineStr">
        <is>
          <t>Collistar Protective Face Cream For Intense Tanning Spf 30 50 Ml</t>
        </is>
      </c>
      <c r="C18662" t="inlineStr">
        <is>
          <t>Face Sun Protection</t>
        </is>
      </c>
      <c r="D18662" t="inlineStr">
        <is>
          <t>Collistar</t>
        </is>
      </c>
      <c r="E18662" t="n">
        <v>15.94</v>
      </c>
      <c r="F18662" t="n">
        <v>1</v>
      </c>
      <c r="G18662" t="n">
        <v>5</v>
      </c>
      <c r="H18662" s="5">
        <f>HYPERLINK("https://api.qogita.com/variants/link/8015150260596/", "View Product")</f>
        <v/>
      </c>
    </row>
    <row r="18663">
      <c r="A18663" t="inlineStr">
        <is>
          <t>8015150260701</t>
        </is>
      </c>
      <c r="B18663" t="inlineStr">
        <is>
          <t>Collistar Moisturizing Tanning Spray Spf10 - 200ml</t>
        </is>
      </c>
      <c r="C18663" t="inlineStr">
        <is>
          <t>Body Sun Protection</t>
        </is>
      </c>
      <c r="D18663" t="inlineStr">
        <is>
          <t>Collistar</t>
        </is>
      </c>
      <c r="E18663" t="n">
        <v>16.04</v>
      </c>
      <c r="F18663" t="n">
        <v>1</v>
      </c>
      <c r="G18663" t="n">
        <v>5</v>
      </c>
      <c r="H18663" s="5">
        <f>HYPERLINK("https://api.qogita.com/variants/link/8015150260701/", "View Product")</f>
        <v/>
      </c>
    </row>
    <row r="18664">
      <c r="A18664" t="inlineStr">
        <is>
          <t>8015150260961</t>
        </is>
      </c>
      <c r="B18664" t="inlineStr">
        <is>
          <t>Collistar Speciale Abbronzatura Perfetta Active Protection Sun Face Cream Spf50+ - 50ml</t>
        </is>
      </c>
      <c r="C18664" t="inlineStr">
        <is>
          <t>Face Sun Protection</t>
        </is>
      </c>
      <c r="D18664" t="inlineStr">
        <is>
          <t>Collistar</t>
        </is>
      </c>
      <c r="E18664" t="n">
        <v>15.58</v>
      </c>
      <c r="F18664" t="n">
        <v>1</v>
      </c>
      <c r="G18664" t="n">
        <v>5</v>
      </c>
      <c r="H18664" s="5">
        <f>HYPERLINK("https://api.qogita.com/variants/link/8015150260961/", "View Product")</f>
        <v/>
      </c>
    </row>
    <row r="18665">
      <c r="A18665" t="inlineStr">
        <is>
          <t>8015150262552</t>
        </is>
      </c>
      <c r="B18665" t="inlineStr">
        <is>
          <t>Collistar Protective Sun Cream Spf 30 150 Ml Ecocompatible Cream</t>
        </is>
      </c>
      <c r="C18665" t="inlineStr">
        <is>
          <t>Face Sun Protection</t>
        </is>
      </c>
      <c r="D18665" t="inlineStr">
        <is>
          <t>Collistar</t>
        </is>
      </c>
      <c r="E18665" t="n">
        <v>18.1</v>
      </c>
      <c r="F18665" t="n">
        <v>1</v>
      </c>
      <c r="G18665" t="n">
        <v>13</v>
      </c>
      <c r="H18665" s="5">
        <f>HYPERLINK("https://api.qogita.com/variants/link/8015150262552/", "View Product")</f>
        <v/>
      </c>
    </row>
    <row r="18666">
      <c r="A18666" t="inlineStr">
        <is>
          <t>8015150262569</t>
        </is>
      </c>
      <c r="B18666" t="inlineStr">
        <is>
          <t>Collistar Protective Sun Cream SPF 15 150ml</t>
        </is>
      </c>
      <c r="C18666" t="inlineStr">
        <is>
          <t>Body Sun Protection</t>
        </is>
      </c>
      <c r="D18666" t="inlineStr">
        <is>
          <t>Collistar</t>
        </is>
      </c>
      <c r="E18666" t="n">
        <v>18.19</v>
      </c>
      <c r="F18666" t="n">
        <v>1</v>
      </c>
      <c r="G18666" t="n">
        <v>14</v>
      </c>
      <c r="H18666" s="5">
        <f>HYPERLINK("https://api.qogita.com/variants/link/8015150262569/", "View Product")</f>
        <v/>
      </c>
    </row>
    <row r="18667">
      <c r="A18667" t="inlineStr">
        <is>
          <t>8015150285308</t>
        </is>
      </c>
      <c r="B18667" t="inlineStr">
        <is>
          <t>Collistar Lifting Skin Serum Pure Active With Hyaluronic Acid 30 Ml</t>
        </is>
      </c>
      <c r="C18667" t="inlineStr">
        <is>
          <t>Hyaluronic Acid Serum</t>
        </is>
      </c>
      <c r="D18667" t="inlineStr">
        <is>
          <t>Collistar</t>
        </is>
      </c>
      <c r="E18667" t="n">
        <v>21.59</v>
      </c>
      <c r="F18667" t="n">
        <v>1</v>
      </c>
      <c r="G18667" t="n">
        <v>15</v>
      </c>
      <c r="H18667" s="5">
        <f>HYPERLINK("https://api.qogita.com/variants/link/8015150285308/", "View Product")</f>
        <v/>
      </c>
    </row>
    <row r="18668">
      <c r="A18668" t="inlineStr">
        <is>
          <t>8015150297240</t>
        </is>
      </c>
      <c r="B18668" t="inlineStr">
        <is>
          <t>Collistar Attivi Puri Vitamin-C Shampoo 250ml</t>
        </is>
      </c>
      <c r="C18668" t="inlineStr">
        <is>
          <t>Shampoo</t>
        </is>
      </c>
      <c r="D18668" t="inlineStr">
        <is>
          <t>Collistar</t>
        </is>
      </c>
      <c r="E18668" t="n">
        <v>8.58</v>
      </c>
      <c r="F18668" t="n">
        <v>1</v>
      </c>
      <c r="G18668" t="n">
        <v>5</v>
      </c>
      <c r="H18668" s="5">
        <f>HYPERLINK("https://api.qogita.com/variants/link/8015150297240/", "View Product")</f>
        <v/>
      </c>
    </row>
    <row r="18669">
      <c r="A18669" t="inlineStr">
        <is>
          <t>8015150297318</t>
        </is>
      </c>
      <c r="B18669" t="inlineStr">
        <is>
          <t>Collistar Attivi Puri Liquid Balsam With Hyaluronic Acid Hair Conditioner Spray 200ml</t>
        </is>
      </c>
      <c r="C18669" t="inlineStr">
        <is>
          <t>Leave-In Conditioner</t>
        </is>
      </c>
      <c r="D18669" t="inlineStr">
        <is>
          <t>Collistar</t>
        </is>
      </c>
      <c r="E18669" t="n">
        <v>15.11</v>
      </c>
      <c r="F18669" t="n">
        <v>1</v>
      </c>
      <c r="G18669" t="n">
        <v>10</v>
      </c>
      <c r="H18669" s="5">
        <f>HYPERLINK("https://api.qogita.com/variants/link/8015150297318/", "View Product")</f>
        <v/>
      </c>
    </row>
    <row r="18670">
      <c r="A18670" t="inlineStr">
        <is>
          <t>8016741002397</t>
        </is>
      </c>
      <c r="B18670" t="inlineStr">
        <is>
          <t>Tiziana Terenzi Laudano Nero Unisex Eau De Parfum Spray 100ml</t>
        </is>
      </c>
      <c r="C18670" t="inlineStr">
        <is>
          <t>Eau De Parfum</t>
        </is>
      </c>
      <c r="D18670" t="inlineStr">
        <is>
          <t>Tiziana Terenzi</t>
        </is>
      </c>
      <c r="E18670" t="n">
        <v>87.8</v>
      </c>
      <c r="F18670" t="n">
        <v>1</v>
      </c>
      <c r="G18670" t="n">
        <v>39</v>
      </c>
      <c r="H18670" s="5">
        <f>HYPERLINK("https://api.qogita.com/variants/link/8016741002397/", "View Product")</f>
        <v/>
      </c>
    </row>
    <row r="18671">
      <c r="A18671" t="inlineStr">
        <is>
          <t>8016741012587</t>
        </is>
      </c>
      <c r="B18671" t="inlineStr">
        <is>
          <t>Tiziana Terenzi Bianco Puro Extrait De Parfum Spray 100ml</t>
        </is>
      </c>
      <c r="C18671" t="inlineStr">
        <is>
          <t>Extrait De Parfum</t>
        </is>
      </c>
      <c r="D18671" t="inlineStr">
        <is>
          <t>Tiziana Terenzi</t>
        </is>
      </c>
      <c r="E18671" t="n">
        <v>95.45999999999999</v>
      </c>
      <c r="F18671" t="n">
        <v>1</v>
      </c>
      <c r="G18671" t="n">
        <v>4</v>
      </c>
      <c r="H18671" s="5">
        <f>HYPERLINK("https://api.qogita.com/variants/link/8016741012587/", "View Product")</f>
        <v/>
      </c>
    </row>
    <row r="18672">
      <c r="A18672" t="inlineStr">
        <is>
          <t>8016741012662</t>
        </is>
      </c>
      <c r="B18672" t="inlineStr">
        <is>
          <t>Tiziana Terenzi Libra Extrait De Parfum Spray 100ml</t>
        </is>
      </c>
      <c r="C18672" t="inlineStr">
        <is>
          <t>Extrait De Parfum</t>
        </is>
      </c>
      <c r="D18672" t="inlineStr">
        <is>
          <t>Tiziana Terenzi</t>
        </is>
      </c>
      <c r="E18672" t="n">
        <v>137.6</v>
      </c>
      <c r="F18672" t="n">
        <v>1</v>
      </c>
      <c r="G18672" t="n">
        <v>14</v>
      </c>
      <c r="H18672" s="5">
        <f>HYPERLINK("https://api.qogita.com/variants/link/8016741012662/", "View Product")</f>
        <v/>
      </c>
    </row>
    <row r="18673">
      <c r="A18673" t="inlineStr">
        <is>
          <t>8016741022579</t>
        </is>
      </c>
      <c r="B18673" t="inlineStr">
        <is>
          <t>Tiziana Terenzi Moro Di Venezia Extrait De Parfum Spray 100ml</t>
        </is>
      </c>
      <c r="C18673" t="inlineStr">
        <is>
          <t>Extrait De Parfum</t>
        </is>
      </c>
      <c r="D18673" t="inlineStr">
        <is>
          <t>Tiziana Terenzi</t>
        </is>
      </c>
      <c r="E18673" t="n">
        <v>156.71</v>
      </c>
      <c r="F18673" t="n">
        <v>1</v>
      </c>
      <c r="G18673" t="n">
        <v>2</v>
      </c>
      <c r="H18673" s="5">
        <f>HYPERLINK("https://api.qogita.com/variants/link/8016741022579/", "View Product")</f>
        <v/>
      </c>
    </row>
    <row r="18674">
      <c r="A18674" t="inlineStr">
        <is>
          <t>8016741032684</t>
        </is>
      </c>
      <c r="B18674" t="inlineStr">
        <is>
          <t>Tiziana Terenzi Il Piacere Extrait De Parfum Spray 100ml</t>
        </is>
      </c>
      <c r="C18674" t="inlineStr">
        <is>
          <t>Extrait De Parfum</t>
        </is>
      </c>
      <c r="D18674" t="inlineStr">
        <is>
          <t>Tiziana Terenzi</t>
        </is>
      </c>
      <c r="E18674" t="n">
        <v>166.86</v>
      </c>
      <c r="F18674" t="n">
        <v>1</v>
      </c>
      <c r="G18674" t="n">
        <v>3</v>
      </c>
      <c r="H18674" s="5">
        <f>HYPERLINK("https://api.qogita.com/variants/link/8016741032684/", "View Product")</f>
        <v/>
      </c>
    </row>
    <row r="18675">
      <c r="A18675" t="inlineStr">
        <is>
          <t>8016741082481</t>
        </is>
      </c>
      <c r="B18675" t="inlineStr">
        <is>
          <t>Tiziana Terenzi Contrary De Parfum Extract 50ml</t>
        </is>
      </c>
      <c r="C18675" t="inlineStr">
        <is>
          <t>Extrait De Parfum</t>
        </is>
      </c>
      <c r="D18675" t="inlineStr">
        <is>
          <t>Tiziana Terenzi</t>
        </is>
      </c>
      <c r="E18675" t="n">
        <v>82.94</v>
      </c>
      <c r="F18675" t="n">
        <v>1</v>
      </c>
      <c r="G18675" t="n">
        <v>5</v>
      </c>
      <c r="H18675" s="5">
        <f>HYPERLINK("https://api.qogita.com/variants/link/8016741082481/", "View Product")</f>
        <v/>
      </c>
    </row>
    <row r="18676">
      <c r="A18676" t="inlineStr">
        <is>
          <t>8016741092701</t>
        </is>
      </c>
      <c r="B18676" t="inlineStr">
        <is>
          <t>Tiziana Terenzi Unisex Torpe Extrait de Parfum Spray 3.4 oz Fragrances</t>
        </is>
      </c>
      <c r="C18676" t="inlineStr">
        <is>
          <t>Extrait De Parfum</t>
        </is>
      </c>
      <c r="D18676" t="inlineStr">
        <is>
          <t>Tiziana Terenzi</t>
        </is>
      </c>
      <c r="E18676" t="n">
        <v>73.81999999999999</v>
      </c>
      <c r="F18676" t="n">
        <v>1</v>
      </c>
      <c r="G18676" t="n">
        <v>15</v>
      </c>
      <c r="H18676" s="5">
        <f>HYPERLINK("https://api.qogita.com/variants/link/8016741092701/", "View Product")</f>
        <v/>
      </c>
    </row>
    <row r="18677">
      <c r="A18677" t="inlineStr">
        <is>
          <t>8016741122590</t>
        </is>
      </c>
      <c r="B18677" t="inlineStr">
        <is>
          <t>Giardino Benessere Rea Extrait de Parfum 100ml Unisex</t>
        </is>
      </c>
      <c r="C18677" t="inlineStr">
        <is>
          <t>Extrait De Parfum</t>
        </is>
      </c>
      <c r="D18677" t="inlineStr">
        <is>
          <t>Giardino Benessere</t>
        </is>
      </c>
      <c r="E18677" t="n">
        <v>94.84999999999999</v>
      </c>
      <c r="F18677" t="n">
        <v>1</v>
      </c>
      <c r="G18677" t="n">
        <v>3</v>
      </c>
      <c r="H18677" s="5">
        <f>HYPERLINK("https://api.qogita.com/variants/link/8016741122590/", "View Product")</f>
        <v/>
      </c>
    </row>
    <row r="18678">
      <c r="A18678" t="inlineStr">
        <is>
          <t>8016741132322</t>
        </is>
      </c>
      <c r="B18678" t="inlineStr">
        <is>
          <t>Tiziana Terenzi Maremma Eau De Parfum Spray 100ml</t>
        </is>
      </c>
      <c r="C18678" t="inlineStr">
        <is>
          <t>Eau De Parfum</t>
        </is>
      </c>
      <c r="D18678" t="inlineStr">
        <is>
          <t>Tiziana Terenzi</t>
        </is>
      </c>
      <c r="E18678" t="n">
        <v>88.31</v>
      </c>
      <c r="F18678" t="n">
        <v>1</v>
      </c>
      <c r="G18678" t="n">
        <v>3</v>
      </c>
      <c r="H18678" s="5">
        <f>HYPERLINK("https://api.qogita.com/variants/link/8016741132322/", "View Product")</f>
        <v/>
      </c>
    </row>
    <row r="18679">
      <c r="A18679" t="inlineStr">
        <is>
          <t>8016741142536</t>
        </is>
      </c>
      <c r="B18679" t="inlineStr">
        <is>
          <t>Vele By Tiziana Terenzi Extrait De Parfum 100ml</t>
        </is>
      </c>
      <c r="C18679" t="inlineStr">
        <is>
          <t>Extrait De Parfum</t>
        </is>
      </c>
      <c r="D18679" t="inlineStr">
        <is>
          <t>Tiziana Terenzi</t>
        </is>
      </c>
      <c r="E18679" t="n">
        <v>123.67</v>
      </c>
      <c r="F18679" t="n">
        <v>1</v>
      </c>
      <c r="G18679" t="n">
        <v>40</v>
      </c>
      <c r="H18679" s="5">
        <f>HYPERLINK("https://api.qogita.com/variants/link/8016741142536/", "View Product")</f>
        <v/>
      </c>
    </row>
    <row r="18680">
      <c r="A18680" t="inlineStr">
        <is>
          <t>8016741152436</t>
        </is>
      </c>
      <c r="B18680" t="inlineStr">
        <is>
          <t>V Canto Magnificat Extrait De Parfum Spray 100ml</t>
        </is>
      </c>
      <c r="C18680" t="inlineStr">
        <is>
          <t>Extrait De Parfum</t>
        </is>
      </c>
      <c r="D18680" t="inlineStr">
        <is>
          <t>V Canto</t>
        </is>
      </c>
      <c r="E18680" t="n">
        <v>61.15</v>
      </c>
      <c r="F18680" t="n">
        <v>1</v>
      </c>
      <c r="G18680" t="n">
        <v>2</v>
      </c>
      <c r="H18680" s="5">
        <f>HYPERLINK("https://api.qogita.com/variants/link/8016741152436/", "View Product")</f>
        <v/>
      </c>
    </row>
    <row r="18681">
      <c r="A18681" t="inlineStr">
        <is>
          <t>8016741282508</t>
        </is>
      </c>
      <c r="B18681" t="inlineStr">
        <is>
          <t>V Canto Mandragola Extrait De Parfum Spray 100ml</t>
        </is>
      </c>
      <c r="C18681" t="inlineStr">
        <is>
          <t>Extrait De Parfum</t>
        </is>
      </c>
      <c r="D18681" t="inlineStr">
        <is>
          <t>V Canto</t>
        </is>
      </c>
      <c r="E18681" t="n">
        <v>73.27</v>
      </c>
      <c r="F18681" t="n">
        <v>1</v>
      </c>
      <c r="G18681" t="n">
        <v>19</v>
      </c>
      <c r="H18681" s="5">
        <f>HYPERLINK("https://api.qogita.com/variants/link/8016741282508/", "View Product")</f>
        <v/>
      </c>
    </row>
    <row r="18682">
      <c r="A18682" t="inlineStr">
        <is>
          <t>8016741342516</t>
        </is>
      </c>
      <c r="B18682" t="inlineStr">
        <is>
          <t>Tiziana Terenzi Unisex Tabit Extrait De Parfum Spray 3.4 Oz</t>
        </is>
      </c>
      <c r="C18682" t="inlineStr">
        <is>
          <t>Extrait De Parfum</t>
        </is>
      </c>
      <c r="D18682" t="inlineStr">
        <is>
          <t>Tiziana Terenzi</t>
        </is>
      </c>
      <c r="E18682" t="n">
        <v>150.8</v>
      </c>
      <c r="F18682" t="n">
        <v>1</v>
      </c>
      <c r="G18682" t="n">
        <v>3</v>
      </c>
      <c r="H18682" s="5">
        <f>HYPERLINK("https://api.qogita.com/variants/link/8016741342516/", "View Product")</f>
        <v/>
      </c>
    </row>
    <row r="18683">
      <c r="A18683" t="inlineStr">
        <is>
          <t>8016741502606</t>
        </is>
      </c>
      <c r="B18683" t="inlineStr">
        <is>
          <t>Tiziana Terenzi Telea Extrait De Parfum Spray 100ml</t>
        </is>
      </c>
      <c r="C18683" t="inlineStr">
        <is>
          <t>Extrait De Parfum</t>
        </is>
      </c>
      <c r="D18683" t="inlineStr">
        <is>
          <t>Tiziana Terenzi</t>
        </is>
      </c>
      <c r="E18683" t="n">
        <v>216.71</v>
      </c>
      <c r="F18683" t="n">
        <v>1</v>
      </c>
      <c r="G18683" t="n">
        <v>8</v>
      </c>
      <c r="H18683" s="5">
        <f>HYPERLINK("https://api.qogita.com/variants/link/8016741502606/", "View Product")</f>
        <v/>
      </c>
    </row>
    <row r="18684">
      <c r="A18684" t="inlineStr">
        <is>
          <t>8016741562570</t>
        </is>
      </c>
      <c r="B18684" t="inlineStr">
        <is>
          <t>Lince By Tiziana Terenzi Extrait De Parfum 100ml</t>
        </is>
      </c>
      <c r="C18684" t="inlineStr">
        <is>
          <t>Extrait De Parfum</t>
        </is>
      </c>
      <c r="D18684" t="inlineStr">
        <is>
          <t>Tiziana Terenzi</t>
        </is>
      </c>
      <c r="E18684" t="n">
        <v>87.47</v>
      </c>
      <c r="F18684" t="n">
        <v>1</v>
      </c>
      <c r="G18684" t="n">
        <v>8</v>
      </c>
      <c r="H18684" s="5">
        <f>HYPERLINK("https://api.qogita.com/variants/link/8016741562570/", "View Product")</f>
        <v/>
      </c>
    </row>
    <row r="18685">
      <c r="A18685" t="inlineStr">
        <is>
          <t>8016741572555</t>
        </is>
      </c>
      <c r="B18685" t="inlineStr">
        <is>
          <t>Tiziana Terenzi Bigia Anniversary Collection Extrait De Parfum 100ml Unisex Spray</t>
        </is>
      </c>
      <c r="C18685" t="inlineStr">
        <is>
          <t>Extrait De Parfum</t>
        </is>
      </c>
      <c r="D18685" t="inlineStr">
        <is>
          <t>Tiziana Terenzi</t>
        </is>
      </c>
      <c r="E18685" t="n">
        <v>123.34</v>
      </c>
      <c r="F18685" t="n">
        <v>1</v>
      </c>
      <c r="G18685" t="n">
        <v>3</v>
      </c>
      <c r="H18685" s="5">
        <f>HYPERLINK("https://api.qogita.com/variants/link/8016741572555/", "View Product")</f>
        <v/>
      </c>
    </row>
    <row r="18686">
      <c r="A18686" t="inlineStr">
        <is>
          <t>8016741572579</t>
        </is>
      </c>
      <c r="B18686" t="inlineStr">
        <is>
          <t>Tiziana Terenzi Spirito Fiorentino Extrait De Parfum Spray 100ml</t>
        </is>
      </c>
      <c r="C18686" t="inlineStr">
        <is>
          <t>Extrait De Parfum</t>
        </is>
      </c>
      <c r="D18686" t="inlineStr">
        <is>
          <t>Tiziana Terenzi</t>
        </is>
      </c>
      <c r="E18686" t="n">
        <v>157.2</v>
      </c>
      <c r="F18686" t="n">
        <v>1</v>
      </c>
      <c r="G18686" t="n">
        <v>28</v>
      </c>
      <c r="H18686" s="5">
        <f>HYPERLINK("https://api.qogita.com/variants/link/8016741572579/", "View Product")</f>
        <v/>
      </c>
    </row>
    <row r="18687">
      <c r="A18687" t="inlineStr">
        <is>
          <t>8016741612558</t>
        </is>
      </c>
      <c r="B18687" t="inlineStr">
        <is>
          <t>Tiziana Terenzi Afrodite Extrait De Parfum Spray 100ml</t>
        </is>
      </c>
      <c r="C18687" t="inlineStr">
        <is>
          <t>Extrait De Parfum</t>
        </is>
      </c>
      <c r="D18687" t="inlineStr">
        <is>
          <t>Tiziana Terenzi</t>
        </is>
      </c>
      <c r="E18687" t="n">
        <v>127.64</v>
      </c>
      <c r="F18687" t="n">
        <v>1</v>
      </c>
      <c r="G18687" t="n">
        <v>2</v>
      </c>
      <c r="H18687" s="5">
        <f>HYPERLINK("https://api.qogita.com/variants/link/8016741612558/", "View Product")</f>
        <v/>
      </c>
    </row>
    <row r="18688">
      <c r="A18688" t="inlineStr">
        <is>
          <t>8016741622557</t>
        </is>
      </c>
      <c r="B18688" t="inlineStr">
        <is>
          <t>Tiziana Terenzi Dionisio Extrait De Parfum 100ml</t>
        </is>
      </c>
      <c r="C18688" t="inlineStr">
        <is>
          <t>Extrait De Parfum</t>
        </is>
      </c>
      <c r="D18688" t="inlineStr">
        <is>
          <t>Tiziana Terenzi</t>
        </is>
      </c>
      <c r="E18688" t="n">
        <v>175.23</v>
      </c>
      <c r="F18688" t="n">
        <v>1</v>
      </c>
      <c r="G18688" t="n">
        <v>4</v>
      </c>
      <c r="H18688" s="5">
        <f>HYPERLINK("https://api.qogita.com/variants/link/8016741622557/", "View Product")</f>
        <v/>
      </c>
    </row>
    <row r="18689">
      <c r="A18689" t="inlineStr">
        <is>
          <t>8016741632556</t>
        </is>
      </c>
      <c r="B18689" t="inlineStr">
        <is>
          <t>Tiziana Terenzi Mirach Extrait De Parfum Spray 100ml</t>
        </is>
      </c>
      <c r="C18689" t="inlineStr">
        <is>
          <t>Extrait De Parfum</t>
        </is>
      </c>
      <c r="D18689" t="inlineStr">
        <is>
          <t>Tiziana Terenzi</t>
        </is>
      </c>
      <c r="E18689" t="n">
        <v>145.02</v>
      </c>
      <c r="F18689" t="n">
        <v>1</v>
      </c>
      <c r="G18689" t="n">
        <v>4</v>
      </c>
      <c r="H18689" s="5">
        <f>HYPERLINK("https://api.qogita.com/variants/link/8016741632556/", "View Product")</f>
        <v/>
      </c>
    </row>
    <row r="18690">
      <c r="A18690" t="inlineStr">
        <is>
          <t>8016741642555</t>
        </is>
      </c>
      <c r="B18690" t="inlineStr">
        <is>
          <t>Sirrah By Tiziana Terenzi Extrait De Parfum 100ml</t>
        </is>
      </c>
      <c r="C18690" t="inlineStr">
        <is>
          <t>Extrait De Parfum</t>
        </is>
      </c>
      <c r="D18690" t="inlineStr">
        <is>
          <t>Tiziana Terenzi</t>
        </is>
      </c>
      <c r="E18690" t="n">
        <v>122.85</v>
      </c>
      <c r="F18690" t="n">
        <v>1</v>
      </c>
      <c r="G18690" t="n">
        <v>9</v>
      </c>
      <c r="H18690" s="5">
        <f>HYPERLINK("https://api.qogita.com/variants/link/8016741642555/", "View Product")</f>
        <v/>
      </c>
    </row>
    <row r="18691">
      <c r="A18691" t="inlineStr">
        <is>
          <t>8016741682551</t>
        </is>
      </c>
      <c r="B18691" t="inlineStr">
        <is>
          <t>V Canto Stramonio Extrait De Parfum Spray 100ml</t>
        </is>
      </c>
      <c r="C18691" t="inlineStr">
        <is>
          <t>Extrait De Parfum</t>
        </is>
      </c>
      <c r="D18691" t="inlineStr">
        <is>
          <t>V Canto</t>
        </is>
      </c>
      <c r="E18691" t="n">
        <v>82.81999999999999</v>
      </c>
      <c r="F18691" t="n">
        <v>1</v>
      </c>
      <c r="G18691" t="n">
        <v>5</v>
      </c>
      <c r="H18691" s="5">
        <f>HYPERLINK("https://api.qogita.com/variants/link/8016741682551/", "View Product")</f>
        <v/>
      </c>
    </row>
    <row r="18692">
      <c r="A18692" t="inlineStr">
        <is>
          <t>8016741692550</t>
        </is>
      </c>
      <c r="B18692" t="inlineStr">
        <is>
          <t>Giardino Benessere Febe Eau De Parfum Spray 100ml</t>
        </is>
      </c>
      <c r="C18692" t="inlineStr">
        <is>
          <t>Eau De Parfum</t>
        </is>
      </c>
      <c r="D18692" t="inlineStr">
        <is>
          <t>Giardino Benessere</t>
        </is>
      </c>
      <c r="E18692" t="n">
        <v>87.23999999999999</v>
      </c>
      <c r="F18692" t="n">
        <v>1</v>
      </c>
      <c r="G18692" t="n">
        <v>7</v>
      </c>
      <c r="H18692" s="5">
        <f>HYPERLINK("https://api.qogita.com/variants/link/8016741692550/", "View Product")</f>
        <v/>
      </c>
    </row>
    <row r="18693">
      <c r="A18693" t="inlineStr">
        <is>
          <t>8016741692604</t>
        </is>
      </c>
      <c r="B18693" t="inlineStr">
        <is>
          <t>V Canto Pandolfo Extrait De Parfum 100ml</t>
        </is>
      </c>
      <c r="C18693" t="inlineStr">
        <is>
          <t>Extrait De Parfum</t>
        </is>
      </c>
      <c r="D18693" t="inlineStr">
        <is>
          <t>V Canto</t>
        </is>
      </c>
      <c r="E18693" t="n">
        <v>93.28</v>
      </c>
      <c r="F18693" t="n">
        <v>1</v>
      </c>
      <c r="G18693" t="n">
        <v>5</v>
      </c>
      <c r="H18693" s="5">
        <f>HYPERLINK("https://api.qogita.com/variants/link/8016741692604/", "View Product")</f>
        <v/>
      </c>
    </row>
    <row r="18694">
      <c r="A18694" t="inlineStr">
        <is>
          <t>8016741722554</t>
        </is>
      </c>
      <c r="B18694" t="inlineStr">
        <is>
          <t>Giardino Benessere Tethys Eau De Parfum Spray 100ml</t>
        </is>
      </c>
      <c r="C18694" t="inlineStr">
        <is>
          <t>Eau De Parfum</t>
        </is>
      </c>
      <c r="D18694" t="inlineStr">
        <is>
          <t>Giardino Benessere</t>
        </is>
      </c>
      <c r="E18694" t="n">
        <v>83.65000000000001</v>
      </c>
      <c r="F18694" t="n">
        <v>1</v>
      </c>
      <c r="G18694" t="n">
        <v>5</v>
      </c>
      <c r="H18694" s="5">
        <f>HYPERLINK("https://api.qogita.com/variants/link/8016741722554/", "View Product")</f>
        <v/>
      </c>
    </row>
    <row r="18695">
      <c r="A18695" t="inlineStr">
        <is>
          <t>8016741832550</t>
        </is>
      </c>
      <c r="B18695" t="inlineStr">
        <is>
          <t>V Canto Cianuro Extrait De Parfum Spray 100ml</t>
        </is>
      </c>
      <c r="C18695" t="inlineStr">
        <is>
          <t>Extrait De Parfum</t>
        </is>
      </c>
      <c r="D18695" t="inlineStr">
        <is>
          <t>V Canto</t>
        </is>
      </c>
      <c r="E18695" t="n">
        <v>115.4</v>
      </c>
      <c r="F18695" t="n">
        <v>1</v>
      </c>
      <c r="G18695" t="n">
        <v>2</v>
      </c>
      <c r="H18695" s="5">
        <f>HYPERLINK("https://api.qogita.com/variants/link/8016741832550/", "View Product")</f>
        <v/>
      </c>
    </row>
    <row r="18696">
      <c r="A18696" t="inlineStr">
        <is>
          <t>8016741932588</t>
        </is>
      </c>
      <c r="B18696" t="inlineStr">
        <is>
          <t>Tiziana Terenzi Hale Bopp Extrait De Parfum Spray 100ml</t>
        </is>
      </c>
      <c r="C18696" t="inlineStr">
        <is>
          <t>Extrait De Parfum</t>
        </is>
      </c>
      <c r="D18696" t="inlineStr">
        <is>
          <t>Tiziana Terenzi</t>
        </is>
      </c>
      <c r="E18696" t="n">
        <v>127.68</v>
      </c>
      <c r="F18696" t="n">
        <v>1</v>
      </c>
      <c r="G18696" t="n">
        <v>7</v>
      </c>
      <c r="H18696" s="5">
        <f>HYPERLINK("https://api.qogita.com/variants/link/8016741932588/", "View Product")</f>
        <v/>
      </c>
    </row>
    <row r="18697">
      <c r="A18697" t="inlineStr">
        <is>
          <t>8016741932632</t>
        </is>
      </c>
      <c r="B18697" t="inlineStr">
        <is>
          <t>Giardino Benessere The Titans Giapeto Eau De Parfum Spray 100ml</t>
        </is>
      </c>
      <c r="C18697" t="inlineStr">
        <is>
          <t>Eau De Parfum</t>
        </is>
      </c>
      <c r="D18697" t="inlineStr">
        <is>
          <t>Giardino Benessere</t>
        </is>
      </c>
      <c r="E18697" t="n">
        <v>81.34</v>
      </c>
      <c r="F18697" t="n">
        <v>1</v>
      </c>
      <c r="G18697" t="n">
        <v>3</v>
      </c>
      <c r="H18697" s="5">
        <f>HYPERLINK("https://api.qogita.com/variants/link/8016741932632/", "View Product")</f>
        <v/>
      </c>
    </row>
    <row r="18698">
      <c r="A18698" t="inlineStr">
        <is>
          <t>8017692552764</t>
        </is>
      </c>
      <c r="B18698" t="inlineStr">
        <is>
          <t>Di Angelo Cosmetics No.1 Bust Enhancer 120ml</t>
        </is>
      </c>
      <c r="C18698" t="inlineStr">
        <is>
          <t>Intimate Care</t>
        </is>
      </c>
      <c r="D18698" t="inlineStr">
        <is>
          <t>Di Angelo Cosmetics</t>
        </is>
      </c>
      <c r="E18698" t="n">
        <v>34.04</v>
      </c>
      <c r="F18698" t="n">
        <v>1</v>
      </c>
      <c r="G18698" t="n">
        <v>2</v>
      </c>
      <c r="H18698" s="5">
        <f>HYPERLINK("https://api.qogita.com/variants/link/8017692552764/", "View Product")</f>
        <v/>
      </c>
    </row>
    <row r="18699">
      <c r="A18699" t="inlineStr">
        <is>
          <t>8018365070264</t>
        </is>
      </c>
      <c r="B18699" t="inlineStr">
        <is>
          <t>Versace Crystal Noir Eau De Parfum Spray 50ml</t>
        </is>
      </c>
      <c r="C18699" t="inlineStr">
        <is>
          <t>Eau De Parfum</t>
        </is>
      </c>
      <c r="D18699" t="inlineStr">
        <is>
          <t>Versace</t>
        </is>
      </c>
      <c r="E18699" t="n">
        <v>37.65</v>
      </c>
      <c r="F18699" t="n">
        <v>1</v>
      </c>
      <c r="G18699" t="n">
        <v>50</v>
      </c>
      <c r="H18699" s="5">
        <f>HYPERLINK("https://api.qogita.com/variants/link/8018365070264/", "View Product")</f>
        <v/>
      </c>
    </row>
    <row r="18700">
      <c r="A18700" t="inlineStr">
        <is>
          <t>8018365260757</t>
        </is>
      </c>
      <c r="B18700" t="inlineStr">
        <is>
          <t>Versace Blue Jeans Eau De Toilette Spray 75ml</t>
        </is>
      </c>
      <c r="C18700" t="inlineStr">
        <is>
          <t>Eau De Toilette</t>
        </is>
      </c>
      <c r="D18700" t="inlineStr">
        <is>
          <t>Versace</t>
        </is>
      </c>
      <c r="E18700" t="n">
        <v>14.38</v>
      </c>
      <c r="F18700" t="n">
        <v>1</v>
      </c>
      <c r="G18700" t="n">
        <v>1134</v>
      </c>
      <c r="H18700" s="5">
        <f>HYPERLINK("https://api.qogita.com/variants/link/8018365260757/", "View Product")</f>
        <v/>
      </c>
    </row>
    <row r="18701">
      <c r="A18701" t="inlineStr">
        <is>
          <t>8018365500129</t>
        </is>
      </c>
      <c r="B18701" t="inlineStr">
        <is>
          <t>Versace Man Eau Fraiche Eau De Toilette 5ml By Versace</t>
        </is>
      </c>
      <c r="C18701" t="inlineStr">
        <is>
          <t>Eau De Toilette</t>
        </is>
      </c>
      <c r="D18701" t="inlineStr">
        <is>
          <t>Versace</t>
        </is>
      </c>
      <c r="E18701" t="n">
        <v>5.14</v>
      </c>
      <c r="F18701" t="n">
        <v>1</v>
      </c>
      <c r="G18701" t="n">
        <v>10</v>
      </c>
      <c r="H18701" s="5">
        <f>HYPERLINK("https://api.qogita.com/variants/link/8018365500129/", "View Product")</f>
        <v/>
      </c>
    </row>
    <row r="18702">
      <c r="A18702" t="inlineStr">
        <is>
          <t>8020936073352</t>
        </is>
      </c>
      <c r="B18702" t="inlineStr">
        <is>
          <t>Kemon Liding Color Mask Velian 200ml</t>
        </is>
      </c>
      <c r="C18702" t="inlineStr">
        <is>
          <t>Hair Dye</t>
        </is>
      </c>
      <c r="D18702" t="inlineStr">
        <is>
          <t>Kemon</t>
        </is>
      </c>
      <c r="E18702" t="n">
        <v>5.86</v>
      </c>
      <c r="F18702" t="n">
        <v>1</v>
      </c>
      <c r="G18702" t="n">
        <v>6</v>
      </c>
      <c r="H18702" s="5">
        <f>HYPERLINK("https://api.qogita.com/variants/link/8020936073352/", "View Product")</f>
        <v/>
      </c>
    </row>
    <row r="18703">
      <c r="A18703" t="inlineStr">
        <is>
          <t>8020936084105</t>
        </is>
      </c>
      <c r="B18703" t="inlineStr">
        <is>
          <t>Kemon Yo Cond Hair Dye Conditioner 250ml</t>
        </is>
      </c>
      <c r="C18703" t="inlineStr">
        <is>
          <t>Conditioner</t>
        </is>
      </c>
      <c r="D18703" t="inlineStr">
        <is>
          <t>Kemon</t>
        </is>
      </c>
      <c r="E18703" t="n">
        <v>9.99</v>
      </c>
      <c r="F18703" t="n">
        <v>1</v>
      </c>
      <c r="G18703" t="n">
        <v>13</v>
      </c>
      <c r="H18703" s="5">
        <f>HYPERLINK("https://api.qogita.com/variants/link/8020936084105/", "View Product")</f>
        <v/>
      </c>
    </row>
    <row r="18704">
      <c r="A18704" t="inlineStr">
        <is>
          <t>8020936095361</t>
        </is>
      </c>
      <c r="B18704" t="inlineStr">
        <is>
          <t>Kemon Glamoon Light Shine Spray for Very Shiny Hair</t>
        </is>
      </c>
      <c r="C18704" t="inlineStr">
        <is>
          <t>Styling Sprays</t>
        </is>
      </c>
      <c r="D18704" t="inlineStr">
        <is>
          <t>Kemon</t>
        </is>
      </c>
      <c r="E18704" t="n">
        <v>12.42</v>
      </c>
      <c r="F18704" t="n">
        <v>1</v>
      </c>
      <c r="G18704" t="n">
        <v>10</v>
      </c>
      <c r="H18704" s="5">
        <f>HYPERLINK("https://api.qogita.com/variants/link/8020936095361/", "View Product")</f>
        <v/>
      </c>
    </row>
    <row r="18705">
      <c r="A18705" t="inlineStr">
        <is>
          <t>8020936095583</t>
        </is>
      </c>
      <c r="B18705" t="inlineStr">
        <is>
          <t>Kemon Fix Gum Moulding Hair Pomade 100ml</t>
        </is>
      </c>
      <c r="C18705" t="inlineStr">
        <is>
          <t>Wax</t>
        </is>
      </c>
      <c r="D18705" t="inlineStr">
        <is>
          <t>Kemon</t>
        </is>
      </c>
      <c r="E18705" t="n">
        <v>6.67</v>
      </c>
      <c r="F18705" t="n">
        <v>1</v>
      </c>
      <c r="G18705" t="n">
        <v>6</v>
      </c>
      <c r="H18705" s="5">
        <f>HYPERLINK("https://api.qogita.com/variants/link/8020936095583/", "View Product")</f>
        <v/>
      </c>
    </row>
    <row r="18706">
      <c r="A18706" t="inlineStr">
        <is>
          <t>8020936095910</t>
        </is>
      </c>
      <c r="B18706" t="inlineStr">
        <is>
          <t>Kemon Hair Style Easy Smooth Smoothing Serum 100 Ml</t>
        </is>
      </c>
      <c r="C18706" t="inlineStr">
        <is>
          <t>Hair Oil &amp; Hair Serum</t>
        </is>
      </c>
      <c r="D18706" t="inlineStr">
        <is>
          <t>Kemon</t>
        </is>
      </c>
      <c r="E18706" t="n">
        <v>9.130000000000001</v>
      </c>
      <c r="F18706" t="n">
        <v>1</v>
      </c>
      <c r="G18706" t="n">
        <v>15</v>
      </c>
      <c r="H18706" s="5">
        <f>HYPERLINK("https://api.qogita.com/variants/link/8020936095910/", "View Product")</f>
        <v/>
      </c>
    </row>
    <row r="18707">
      <c r="A18707" t="inlineStr">
        <is>
          <t>8020936095996</t>
        </is>
      </c>
      <c r="B18707" t="inlineStr">
        <is>
          <t>Kemon Energy Energizing Shampoo with Ginseng and Caffeine</t>
        </is>
      </c>
      <c r="C18707" t="inlineStr">
        <is>
          <t>Shampoo</t>
        </is>
      </c>
      <c r="D18707" t="inlineStr">
        <is>
          <t>Kemon</t>
        </is>
      </c>
      <c r="E18707" t="n">
        <v>4.98</v>
      </c>
      <c r="F18707" t="n">
        <v>1</v>
      </c>
      <c r="G18707" t="n">
        <v>2</v>
      </c>
      <c r="H18707" s="5">
        <f>HYPERLINK("https://api.qogita.com/variants/link/8020936095996/", "View Product")</f>
        <v/>
      </c>
    </row>
    <row r="18708">
      <c r="A18708" t="inlineStr">
        <is>
          <t>8020936096092</t>
        </is>
      </c>
      <c r="B18708" t="inlineStr">
        <is>
          <t>Kemon Color Cold Shampoo for Colored, Bleached or Highlighted Hair</t>
        </is>
      </c>
      <c r="C18708" t="inlineStr">
        <is>
          <t>Shampoo</t>
        </is>
      </c>
      <c r="D18708" t="inlineStr">
        <is>
          <t>Kemon</t>
        </is>
      </c>
      <c r="E18708" t="n">
        <v>5.84</v>
      </c>
      <c r="F18708" t="n">
        <v>1</v>
      </c>
      <c r="G18708" t="n">
        <v>41</v>
      </c>
      <c r="H18708" s="5">
        <f>HYPERLINK("https://api.qogita.com/variants/link/8020936096092/", "View Product")</f>
        <v/>
      </c>
    </row>
    <row r="18709">
      <c r="A18709" t="inlineStr">
        <is>
          <t>8020936096375</t>
        </is>
      </c>
      <c r="B18709" t="inlineStr">
        <is>
          <t>Kemon Hair Care Color Illuminating Mask 1000 Ml</t>
        </is>
      </c>
      <c r="C18709" t="inlineStr">
        <is>
          <t>Hair Masks</t>
        </is>
      </c>
      <c r="D18709" t="inlineStr">
        <is>
          <t>Kemon</t>
        </is>
      </c>
      <c r="E18709" t="n">
        <v>22.9</v>
      </c>
      <c r="F18709" t="n">
        <v>1</v>
      </c>
      <c r="G18709" t="n">
        <v>3</v>
      </c>
      <c r="H18709" s="5">
        <f>HYPERLINK("https://api.qogita.com/variants/link/8020936096375/", "View Product")</f>
        <v/>
      </c>
    </row>
    <row r="18710">
      <c r="A18710" t="inlineStr">
        <is>
          <t>8020936096443</t>
        </is>
      </c>
      <c r="B18710" t="inlineStr">
        <is>
          <t>Kemon Volume Body-Building Shampoo 1000ml</t>
        </is>
      </c>
      <c r="C18710" t="inlineStr">
        <is>
          <t>Shampoo</t>
        </is>
      </c>
      <c r="D18710" t="inlineStr">
        <is>
          <t>Kemon</t>
        </is>
      </c>
      <c r="E18710" t="n">
        <v>15.21</v>
      </c>
      <c r="F18710" t="n">
        <v>1</v>
      </c>
      <c r="G18710" t="n">
        <v>14</v>
      </c>
      <c r="H18710" s="5">
        <f>HYPERLINK("https://api.qogita.com/variants/link/8020936096443/", "View Product")</f>
        <v/>
      </c>
    </row>
    <row r="18711">
      <c r="A18711" t="inlineStr">
        <is>
          <t>8020936098287</t>
        </is>
      </c>
      <c r="B18711" t="inlineStr">
        <is>
          <t>Actyva Shampoo for Volume and Fullness for Fine Hair with Linseed</t>
        </is>
      </c>
      <c r="C18711" t="inlineStr">
        <is>
          <t>Shampoo</t>
        </is>
      </c>
      <c r="D18711" t="inlineStr">
        <is>
          <t>Kemon</t>
        </is>
      </c>
      <c r="E18711" t="n">
        <v>6.57</v>
      </c>
      <c r="F18711" t="n">
        <v>1</v>
      </c>
      <c r="G18711" t="n">
        <v>2</v>
      </c>
      <c r="H18711" s="5">
        <f>HYPERLINK("https://api.qogita.com/variants/link/8020936098287/", "View Product")</f>
        <v/>
      </c>
    </row>
    <row r="18712">
      <c r="A18712" t="inlineStr">
        <is>
          <t>8022297064260</t>
        </is>
      </c>
      <c r="B18712" t="inlineStr">
        <is>
          <t>Alfaparf Milano Semi Di Lino Moisture Shampoo Nutriente 1000ml</t>
        </is>
      </c>
      <c r="C18712" t="inlineStr">
        <is>
          <t>Shampoo</t>
        </is>
      </c>
      <c r="D18712" t="inlineStr">
        <is>
          <t>Alfaparf Milano</t>
        </is>
      </c>
      <c r="E18712" t="n">
        <v>20.64</v>
      </c>
      <c r="F18712" t="n">
        <v>1</v>
      </c>
      <c r="G18712" t="n">
        <v>52</v>
      </c>
      <c r="H18712" s="5">
        <f>HYPERLINK("https://api.qogita.com/variants/link/8022297064260/", "View Product")</f>
        <v/>
      </c>
    </row>
    <row r="18713">
      <c r="A18713" t="inlineStr">
        <is>
          <t>8022297064277</t>
        </is>
      </c>
      <c r="B18713" t="inlineStr">
        <is>
          <t>Alfaparf Milano Semi Di Lino Moisture Nutrient Mask 200ml</t>
        </is>
      </c>
      <c r="C18713" t="inlineStr">
        <is>
          <t>Hair Masks</t>
        </is>
      </c>
      <c r="D18713" t="inlineStr">
        <is>
          <t>Alfaparf Milano</t>
        </is>
      </c>
      <c r="E18713" t="n">
        <v>9.74</v>
      </c>
      <c r="F18713" t="n">
        <v>1</v>
      </c>
      <c r="G18713" t="n">
        <v>76</v>
      </c>
      <c r="H18713" s="5">
        <f>HYPERLINK("https://api.qogita.com/variants/link/8022297064277/", "View Product")</f>
        <v/>
      </c>
    </row>
    <row r="18714">
      <c r="A18714" t="inlineStr">
        <is>
          <t>8022297064307</t>
        </is>
      </c>
      <c r="B18714" t="inlineStr">
        <is>
          <t>Alfaparf Milano Semi Di Lino Moisture Leavein Conditioner Nutrient 1000ml</t>
        </is>
      </c>
      <c r="C18714" t="inlineStr">
        <is>
          <t>Leave-In Conditioner</t>
        </is>
      </c>
      <c r="D18714" t="inlineStr">
        <is>
          <t>Alfaparf Milano</t>
        </is>
      </c>
      <c r="E18714" t="n">
        <v>19.96</v>
      </c>
      <c r="F18714" t="n">
        <v>1</v>
      </c>
      <c r="G18714" t="n">
        <v>7</v>
      </c>
      <c r="H18714" s="5">
        <f>HYPERLINK("https://api.qogita.com/variants/link/8022297064307/", "View Product")</f>
        <v/>
      </c>
    </row>
    <row r="18715">
      <c r="A18715" t="inlineStr">
        <is>
          <t>8022297064932</t>
        </is>
      </c>
      <c r="B18715" t="inlineStr">
        <is>
          <t>Alfaparf Milano Semi Di Lino Diamond Illuminating Low Shampoo 250ml Brightening Shampoo For Normal Hair</t>
        </is>
      </c>
      <c r="C18715" t="inlineStr">
        <is>
          <t>Shampoo</t>
        </is>
      </c>
      <c r="D18715" t="inlineStr">
        <is>
          <t>Alfaparf Milano</t>
        </is>
      </c>
      <c r="E18715" t="n">
        <v>8.1</v>
      </c>
      <c r="F18715" t="n">
        <v>1</v>
      </c>
      <c r="G18715" t="n">
        <v>5</v>
      </c>
      <c r="H18715" s="5">
        <f>HYPERLINK("https://api.qogita.com/variants/link/8022297064932/", "View Product")</f>
        <v/>
      </c>
    </row>
    <row r="18716">
      <c r="A18716" t="inlineStr">
        <is>
          <t>8022297064949</t>
        </is>
      </c>
      <c r="B18716" t="inlineStr">
        <is>
          <t>Alfaparf Milano Semi Di Lino Diamond Illuminating Low Shampoo 1000ml Brightening Shampoo For Normal Hair</t>
        </is>
      </c>
      <c r="C18716" t="inlineStr">
        <is>
          <t>Shampoo</t>
        </is>
      </c>
      <c r="D18716" t="inlineStr">
        <is>
          <t>Alfaparf Milano</t>
        </is>
      </c>
      <c r="E18716" t="n">
        <v>23.86</v>
      </c>
      <c r="F18716" t="n">
        <v>1</v>
      </c>
      <c r="G18716" t="n">
        <v>2</v>
      </c>
      <c r="H18716" s="5">
        <f>HYPERLINK("https://api.qogita.com/variants/link/8022297064949/", "View Product")</f>
        <v/>
      </c>
    </row>
    <row r="18717">
      <c r="A18717" t="inlineStr">
        <is>
          <t>8022297064963</t>
        </is>
      </c>
      <c r="B18717" t="inlineStr">
        <is>
          <t>Alfaparf Milano Sdl Diamond Illuminating Conditioner 1000ml</t>
        </is>
      </c>
      <c r="C18717" t="inlineStr">
        <is>
          <t>Conditioner</t>
        </is>
      </c>
      <c r="D18717" t="inlineStr">
        <is>
          <t>Alfaparf Milano</t>
        </is>
      </c>
      <c r="E18717" t="n">
        <v>23.06</v>
      </c>
      <c r="F18717" t="n">
        <v>1</v>
      </c>
      <c r="G18717" t="n">
        <v>30</v>
      </c>
      <c r="H18717" s="5">
        <f>HYPERLINK("https://api.qogita.com/variants/link/8022297064963/", "View Product")</f>
        <v/>
      </c>
    </row>
    <row r="18718">
      <c r="A18718" t="inlineStr">
        <is>
          <t>8022297071343</t>
        </is>
      </c>
      <c r="B18718" t="inlineStr">
        <is>
          <t>Alfaparf Milano Style Stories Texturizing Gel 150ml</t>
        </is>
      </c>
      <c r="C18718" t="inlineStr">
        <is>
          <t>Gel</t>
        </is>
      </c>
      <c r="D18718" t="inlineStr">
        <is>
          <t>Alfaparf Milano</t>
        </is>
      </c>
      <c r="E18718" t="n">
        <v>8.470000000000001</v>
      </c>
      <c r="F18718" t="n">
        <v>1</v>
      </c>
      <c r="G18718" t="n">
        <v>2</v>
      </c>
      <c r="H18718" s="5">
        <f>HYPERLINK("https://api.qogita.com/variants/link/8022297071343/", "View Product")</f>
        <v/>
      </c>
    </row>
    <row r="18719">
      <c r="A18719" t="inlineStr">
        <is>
          <t>8022297071411</t>
        </is>
      </c>
      <c r="B18719" t="inlineStr">
        <is>
          <t>Alfaparf Milano Style Stories Defining Wax 75ml</t>
        </is>
      </c>
      <c r="C18719" t="inlineStr">
        <is>
          <t>Wax</t>
        </is>
      </c>
      <c r="D18719" t="inlineStr">
        <is>
          <t>Alfaparf Milano</t>
        </is>
      </c>
      <c r="E18719" t="n">
        <v>9.199999999999999</v>
      </c>
      <c r="F18719" t="n">
        <v>1</v>
      </c>
      <c r="G18719" t="n">
        <v>3</v>
      </c>
      <c r="H18719" s="5">
        <f>HYPERLINK("https://api.qogita.com/variants/link/8022297071411/", "View Product")</f>
        <v/>
      </c>
    </row>
    <row r="18720">
      <c r="A18720" t="inlineStr">
        <is>
          <t>8022297095882</t>
        </is>
      </c>
      <c r="B18720" t="inlineStr">
        <is>
          <t>Alfaparf Milano Semi Di Lino Scalp Rebalance Gentle Exfoliating Scrub 150ml</t>
        </is>
      </c>
      <c r="C18720" t="inlineStr">
        <is>
          <t>Scalp Care</t>
        </is>
      </c>
      <c r="D18720" t="inlineStr">
        <is>
          <t>Alfaparf Milano</t>
        </is>
      </c>
      <c r="E18720" t="n">
        <v>10.42</v>
      </c>
      <c r="F18720" t="n">
        <v>1</v>
      </c>
      <c r="G18720" t="n">
        <v>3</v>
      </c>
      <c r="H18720" s="5">
        <f>HYPERLINK("https://api.qogita.com/variants/link/8022297095882/", "View Product")</f>
        <v/>
      </c>
    </row>
    <row r="18721">
      <c r="A18721" t="inlineStr">
        <is>
          <t>8022297096025</t>
        </is>
      </c>
      <c r="B18721" t="inlineStr">
        <is>
          <t>Super Neutralizing Pure Silver Acai &amp; Rose of Jericho 100ml Yellow</t>
        </is>
      </c>
      <c r="C18721" t="inlineStr">
        <is>
          <t>Rose</t>
        </is>
      </c>
      <c r="D18721" t="inlineStr">
        <is>
          <t>Alfaparf Milano</t>
        </is>
      </c>
      <c r="E18721" t="n">
        <v>6.2</v>
      </c>
      <c r="F18721" t="n">
        <v>1</v>
      </c>
      <c r="G18721" t="n">
        <v>10</v>
      </c>
      <c r="H18721" s="5">
        <f>HYPERLINK("https://api.qogita.com/variants/link/8022297096025/", "View Product")</f>
        <v/>
      </c>
    </row>
    <row r="18722">
      <c r="A18722" t="inlineStr">
        <is>
          <t>8022297098234</t>
        </is>
      </c>
      <c r="B18722" t="inlineStr">
        <is>
          <t>Alfaparf Keratin Therapy Curl Design 1b Move Creamy Protector 300ml</t>
        </is>
      </c>
      <c r="C18722" t="inlineStr">
        <is>
          <t>Styling Creams</t>
        </is>
      </c>
      <c r="D18722" t="inlineStr">
        <is>
          <t>Alfaparf Milano</t>
        </is>
      </c>
      <c r="E18722" t="n">
        <v>8.84</v>
      </c>
      <c r="F18722" t="n">
        <v>1</v>
      </c>
      <c r="G18722" t="n">
        <v>2</v>
      </c>
      <c r="H18722" s="5">
        <f>HYPERLINK("https://api.qogita.com/variants/link/8022297098234/", "View Product")</f>
        <v/>
      </c>
    </row>
    <row r="18723">
      <c r="A18723" t="inlineStr">
        <is>
          <t>8022297104393</t>
        </is>
      </c>
      <c r="B18723" t="inlineStr">
        <is>
          <t>Alfaparf Milano Semi Di Lino Volumizing Spray 125ml</t>
        </is>
      </c>
      <c r="C18723" t="inlineStr">
        <is>
          <t>Hairspray</t>
        </is>
      </c>
      <c r="D18723" t="inlineStr">
        <is>
          <t>Alfaparf Milano</t>
        </is>
      </c>
      <c r="E18723" t="n">
        <v>11.34</v>
      </c>
      <c r="F18723" t="n">
        <v>1</v>
      </c>
      <c r="G18723" t="n">
        <v>3</v>
      </c>
      <c r="H18723" s="5">
        <f>HYPERLINK("https://api.qogita.com/variants/link/8022297104393/", "View Product")</f>
        <v/>
      </c>
    </row>
    <row r="18724">
      <c r="A18724" t="inlineStr">
        <is>
          <t>8022297111209</t>
        </is>
      </c>
      <c r="B18724" t="inlineStr">
        <is>
          <t>Alfaparf Milano Semi Di Lino Smooth Shampoo 1000ml</t>
        </is>
      </c>
      <c r="C18724" t="inlineStr">
        <is>
          <t>Shampoo</t>
        </is>
      </c>
      <c r="D18724" t="inlineStr">
        <is>
          <t>Alfaparf Milano</t>
        </is>
      </c>
      <c r="E18724" t="n">
        <v>19.77</v>
      </c>
      <c r="F18724" t="n">
        <v>1</v>
      </c>
      <c r="G18724" t="n">
        <v>9</v>
      </c>
      <c r="H18724" s="5">
        <f>HYPERLINK("https://api.qogita.com/variants/link/8022297111209/", "View Product")</f>
        <v/>
      </c>
    </row>
    <row r="18725">
      <c r="A18725" t="inlineStr">
        <is>
          <t>8022297111254</t>
        </is>
      </c>
      <c r="B18725" t="inlineStr">
        <is>
          <t>Alfaparf Semi Di Lino Smooth Rebel Hair Smoothing Cream For Unruly Hair 125ml</t>
        </is>
      </c>
      <c r="C18725" t="inlineStr">
        <is>
          <t>Hair Oil &amp; Hair Serum</t>
        </is>
      </c>
      <c r="D18725" t="inlineStr">
        <is>
          <t>Alfaparf Milano</t>
        </is>
      </c>
      <c r="E18725" t="n">
        <v>11.17</v>
      </c>
      <c r="F18725" t="n">
        <v>1</v>
      </c>
      <c r="G18725" t="n">
        <v>8</v>
      </c>
      <c r="H18725" s="5">
        <f>HYPERLINK("https://api.qogita.com/variants/link/8022297111254/", "View Product")</f>
        <v/>
      </c>
    </row>
    <row r="18726">
      <c r="A18726" t="inlineStr">
        <is>
          <t>8022297111346</t>
        </is>
      </c>
      <c r="B18726" t="inlineStr">
        <is>
          <t>Alfaparf Semi Di Lino Curls Enhancing Mask - 500ml</t>
        </is>
      </c>
      <c r="C18726" t="inlineStr">
        <is>
          <t>Hair Masks</t>
        </is>
      </c>
      <c r="D18726" t="inlineStr">
        <is>
          <t>Alfaparf Milano</t>
        </is>
      </c>
      <c r="E18726" t="n">
        <v>19.07</v>
      </c>
      <c r="F18726" t="n">
        <v>1</v>
      </c>
      <c r="G18726" t="n">
        <v>14</v>
      </c>
      <c r="H18726" s="5">
        <f>HYPERLINK("https://api.qogita.com/variants/link/8022297111346/", "View Product")</f>
        <v/>
      </c>
    </row>
    <row r="18727">
      <c r="A18727" t="inlineStr">
        <is>
          <t>8022297131375</t>
        </is>
      </c>
      <c r="B18727" t="inlineStr">
        <is>
          <t>Alfaparf H&amp;B Absolute Cleansing Micellar Shampoo for Hair and Body 250ml</t>
        </is>
      </c>
      <c r="C18727" t="inlineStr">
        <is>
          <t>Shampoo</t>
        </is>
      </c>
      <c r="D18727" t="inlineStr">
        <is>
          <t>Alfaparf Milano</t>
        </is>
      </c>
      <c r="E18727" t="n">
        <v>4.95</v>
      </c>
      <c r="F18727" t="n">
        <v>1</v>
      </c>
      <c r="G18727" t="n">
        <v>14</v>
      </c>
      <c r="H18727" s="5">
        <f>HYPERLINK("https://api.qogita.com/variants/link/8022297131375/", "View Product")</f>
        <v/>
      </c>
    </row>
    <row r="18728">
      <c r="A18728" t="inlineStr">
        <is>
          <t>8022297133423</t>
        </is>
      </c>
      <c r="B18728" t="inlineStr">
        <is>
          <t>Alfaparf Milano Semi Di Lino Brunette Shampoo Antiorange 1000ml</t>
        </is>
      </c>
      <c r="C18728" t="inlineStr">
        <is>
          <t>Shampoo</t>
        </is>
      </c>
      <c r="D18728" t="inlineStr">
        <is>
          <t>Alfaparf Milano</t>
        </is>
      </c>
      <c r="E18728" t="n">
        <v>20.77</v>
      </c>
      <c r="F18728" t="n">
        <v>1</v>
      </c>
      <c r="G18728" t="n">
        <v>3</v>
      </c>
      <c r="H18728" s="5">
        <f>HYPERLINK("https://api.qogita.com/variants/link/8022297133423/", "View Product")</f>
        <v/>
      </c>
    </row>
    <row r="18729">
      <c r="A18729" t="inlineStr">
        <is>
          <t>8022297133461</t>
        </is>
      </c>
      <c r="B18729" t="inlineStr">
        <is>
          <t>Alfaparf Milano Semi Di Lino Sublime Cellula Madre Curl Definition Treatment 150ml</t>
        </is>
      </c>
      <c r="C18729" t="inlineStr">
        <is>
          <t>Hair Masks</t>
        </is>
      </c>
      <c r="D18729" t="inlineStr">
        <is>
          <t>Alfaparf Milano</t>
        </is>
      </c>
      <c r="E18729" t="n">
        <v>15.12</v>
      </c>
      <c r="F18729" t="n">
        <v>1</v>
      </c>
      <c r="G18729" t="n">
        <v>14</v>
      </c>
      <c r="H18729" s="5">
        <f>HYPERLINK("https://api.qogita.com/variants/link/8022297133461/", "View Product")</f>
        <v/>
      </c>
    </row>
    <row r="18730">
      <c r="A18730" t="inlineStr">
        <is>
          <t>8022297141428</t>
        </is>
      </c>
      <c r="B18730" t="inlineStr">
        <is>
          <t>Alfaparf Milano Alfaparf Keratin Therapy Lisse Design Maintenance Shampoo 250ml</t>
        </is>
      </c>
      <c r="C18730" t="inlineStr">
        <is>
          <t>Shampoo</t>
        </is>
      </c>
      <c r="D18730" t="inlineStr">
        <is>
          <t>Alfaparf Milano</t>
        </is>
      </c>
      <c r="E18730" t="n">
        <v>8.18</v>
      </c>
      <c r="F18730" t="n">
        <v>1</v>
      </c>
      <c r="G18730" t="n">
        <v>21</v>
      </c>
      <c r="H18730" s="5">
        <f>HYPERLINK("https://api.qogita.com/variants/link/8022297141428/", "View Product")</f>
        <v/>
      </c>
    </row>
    <row r="18731">
      <c r="A18731" t="inlineStr">
        <is>
          <t>8022297141442</t>
        </is>
      </c>
      <c r="B18731" t="inlineStr">
        <is>
          <t>Alfaparf Milano Alfaparf Keratin Therapy Lisse Design The Oil 50ml Nourishing Oil For Shine And Softness</t>
        </is>
      </c>
      <c r="C18731" t="inlineStr">
        <is>
          <t>Hair Oil &amp; Hair Serum</t>
        </is>
      </c>
      <c r="D18731" t="inlineStr">
        <is>
          <t>Alfaparf Milano</t>
        </is>
      </c>
      <c r="E18731" t="n">
        <v>12.98</v>
      </c>
      <c r="F18731" t="n">
        <v>1</v>
      </c>
      <c r="G18731" t="n">
        <v>16</v>
      </c>
      <c r="H18731" s="5">
        <f>HYPERLINK("https://api.qogita.com/variants/link/8022297141442/", "View Product")</f>
        <v/>
      </c>
    </row>
    <row r="18732">
      <c r="A18732" t="inlineStr">
        <is>
          <t>8022297141459</t>
        </is>
      </c>
      <c r="B18732" t="inlineStr">
        <is>
          <t>Alfaparf Keratin Therapy Lisse Design Keratin Serum Hair Serum 125ml</t>
        </is>
      </c>
      <c r="C18732" t="inlineStr">
        <is>
          <t>Hair Oil &amp; Hair Serum</t>
        </is>
      </c>
      <c r="D18732" t="inlineStr">
        <is>
          <t>Alfaparf Milano</t>
        </is>
      </c>
      <c r="E18732" t="n">
        <v>12.84</v>
      </c>
      <c r="F18732" t="n">
        <v>1</v>
      </c>
      <c r="G18732" t="n">
        <v>21</v>
      </c>
      <c r="H18732" s="5">
        <f>HYPERLINK("https://api.qogita.com/variants/link/8022297141459/", "View Product")</f>
        <v/>
      </c>
    </row>
    <row r="18733">
      <c r="A18733" t="inlineStr">
        <is>
          <t>8022297141572</t>
        </is>
      </c>
      <c r="B18733" t="inlineStr">
        <is>
          <t>Alfaparf Milano Alfaparf Sdl Style And Care Flexible Mousse</t>
        </is>
      </c>
      <c r="C18733" t="inlineStr">
        <is>
          <t>Mousse</t>
        </is>
      </c>
      <c r="D18733" t="inlineStr">
        <is>
          <t>Alfaparf Milano</t>
        </is>
      </c>
      <c r="E18733" t="n">
        <v>10.06</v>
      </c>
      <c r="F18733" t="n">
        <v>1</v>
      </c>
      <c r="G18733" t="n">
        <v>14</v>
      </c>
      <c r="H18733" s="5">
        <f>HYPERLINK("https://api.qogita.com/variants/link/8022297141572/", "View Product")</f>
        <v/>
      </c>
    </row>
    <row r="18734">
      <c r="A18734" t="inlineStr">
        <is>
          <t>8022297141619</t>
        </is>
      </c>
      <c r="B18734" t="inlineStr">
        <is>
          <t>Alfaparf Milano Alfaparf Style And Care Amplifying Mousse</t>
        </is>
      </c>
      <c r="C18734" t="inlineStr">
        <is>
          <t>Mousse</t>
        </is>
      </c>
      <c r="D18734" t="inlineStr">
        <is>
          <t>Alfaparf Milano</t>
        </is>
      </c>
      <c r="E18734" t="n">
        <v>9.83</v>
      </c>
      <c r="F18734" t="n">
        <v>1</v>
      </c>
      <c r="G18734" t="n">
        <v>13</v>
      </c>
      <c r="H18734" s="5">
        <f>HYPERLINK("https://api.qogita.com/variants/link/8022297141619/", "View Product")</f>
        <v/>
      </c>
    </row>
    <row r="18735">
      <c r="A18735" t="inlineStr">
        <is>
          <t>8022297154749</t>
        </is>
      </c>
      <c r="B18735" t="inlineStr">
        <is>
          <t>Alfaparf Milano Semi di Lino Sublime Cristalli Liquidi Hair Oil with Thermal Protection 0.51 fl. oz. - Vegan Formula</t>
        </is>
      </c>
      <c r="C18735" t="inlineStr">
        <is>
          <t>Hair Oil &amp; Hair Serum</t>
        </is>
      </c>
      <c r="D18735" t="inlineStr">
        <is>
          <t>Alfaparf Milano</t>
        </is>
      </c>
      <c r="E18735" t="n">
        <v>6.79</v>
      </c>
      <c r="F18735" t="n">
        <v>1</v>
      </c>
      <c r="G18735" t="n">
        <v>17</v>
      </c>
      <c r="H18735" s="5">
        <f>HYPERLINK("https://api.qogita.com/variants/link/8022297154749/", "View Product")</f>
        <v/>
      </c>
    </row>
    <row r="18736">
      <c r="A18736" t="inlineStr">
        <is>
          <t>8022297160856</t>
        </is>
      </c>
      <c r="B18736" t="inlineStr">
        <is>
          <t>Alfaparf Milano Oxid'o 20 Vol 6% 1000ml</t>
        </is>
      </c>
      <c r="C18736" t="inlineStr">
        <is>
          <t>Hair Dye</t>
        </is>
      </c>
      <c r="D18736" t="inlineStr">
        <is>
          <t>Alfaparf Milano</t>
        </is>
      </c>
      <c r="E18736" t="n">
        <v>6.07</v>
      </c>
      <c r="F18736" t="n">
        <v>1</v>
      </c>
      <c r="G18736" t="n">
        <v>1</v>
      </c>
      <c r="H18736" s="5">
        <f>HYPERLINK("https://api.qogita.com/variants/link/8022297160856/", "View Product")</f>
        <v/>
      </c>
    </row>
    <row r="18737">
      <c r="A18737" t="inlineStr">
        <is>
          <t>8022297175300</t>
        </is>
      </c>
      <c r="B18737" t="inlineStr">
        <is>
          <t>Alfaparf Milano Semi Di Lino Reconstruction Shampoo 1000ml</t>
        </is>
      </c>
      <c r="C18737" t="inlineStr">
        <is>
          <t>Shampoo</t>
        </is>
      </c>
      <c r="D18737" t="inlineStr">
        <is>
          <t>Alfaparf Milano</t>
        </is>
      </c>
      <c r="E18737" t="n">
        <v>19.54</v>
      </c>
      <c r="F18737" t="n">
        <v>1</v>
      </c>
      <c r="G18737" t="n">
        <v>11</v>
      </c>
      <c r="H18737" s="5">
        <f>HYPERLINK("https://api.qogita.com/variants/link/8022297175300/", "View Product")</f>
        <v/>
      </c>
    </row>
    <row r="18738">
      <c r="A18738" t="inlineStr">
        <is>
          <t>8028544101221</t>
        </is>
      </c>
      <c r="B18738" t="inlineStr">
        <is>
          <t>Lorenzo Villoresi Piper Nigrum Eau De Toilette Spray 50ml</t>
        </is>
      </c>
      <c r="C18738" t="inlineStr">
        <is>
          <t>Eau De Toilette</t>
        </is>
      </c>
      <c r="D18738" t="inlineStr">
        <is>
          <t>Lorenzo Villoresi</t>
        </is>
      </c>
      <c r="E18738" t="n">
        <v>48.5</v>
      </c>
      <c r="F18738" t="n">
        <v>1</v>
      </c>
      <c r="G18738" t="n">
        <v>5</v>
      </c>
      <c r="H18738" s="5">
        <f>HYPERLINK("https://api.qogita.com/variants/link/8028544101221/", "View Product")</f>
        <v/>
      </c>
    </row>
    <row r="18739">
      <c r="A18739" t="inlineStr">
        <is>
          <t>8028544101757</t>
        </is>
      </c>
      <c r="B18739" t="inlineStr">
        <is>
          <t>LORENZO VILLORESI Alamut EDT Vapo 50ml</t>
        </is>
      </c>
      <c r="C18739" t="inlineStr">
        <is>
          <t>Eau De Toilette</t>
        </is>
      </c>
      <c r="D18739" t="inlineStr">
        <is>
          <t>Lorenzo Villoresi</t>
        </is>
      </c>
      <c r="E18739" t="n">
        <v>48.54</v>
      </c>
      <c r="F18739" t="n">
        <v>1</v>
      </c>
      <c r="G18739" t="n">
        <v>4</v>
      </c>
      <c r="H18739" s="5">
        <f>HYPERLINK("https://api.qogita.com/variants/link/8028544101757/", "View Product")</f>
        <v/>
      </c>
    </row>
    <row r="18740">
      <c r="A18740" t="inlineStr">
        <is>
          <t>8028544102587</t>
        </is>
      </c>
      <c r="B18740" t="inlineStr">
        <is>
          <t>Lorenzo Villoresi Theseus Eau De Toilette Spray 100ml</t>
        </is>
      </c>
      <c r="C18740" t="inlineStr">
        <is>
          <t>Eau De Toilette</t>
        </is>
      </c>
      <c r="D18740" t="inlineStr">
        <is>
          <t>Lorenzo Villoresi</t>
        </is>
      </c>
      <c r="E18740" t="n">
        <v>77.77</v>
      </c>
      <c r="F18740" t="n">
        <v>1</v>
      </c>
      <c r="G18740" t="n">
        <v>8</v>
      </c>
      <c r="H18740" s="5">
        <f>HYPERLINK("https://api.qogita.com/variants/link/8028544102587/", "View Product")</f>
        <v/>
      </c>
    </row>
    <row r="18741">
      <c r="A18741" t="inlineStr">
        <is>
          <t>8029352236129</t>
        </is>
      </c>
      <c r="B18741" t="inlineStr">
        <is>
          <t>OWAY Color Protection Veil 160ml</t>
        </is>
      </c>
      <c r="C18741" t="inlineStr">
        <is>
          <t>Uv Protection</t>
        </is>
      </c>
      <c r="D18741" t="inlineStr">
        <is>
          <t>Oway</t>
        </is>
      </c>
      <c r="E18741" t="n">
        <v>21.95</v>
      </c>
      <c r="F18741" t="n">
        <v>1</v>
      </c>
      <c r="G18741" t="n">
        <v>9</v>
      </c>
      <c r="H18741" s="5">
        <f>HYPERLINK("https://api.qogita.com/variants/link/8029352236129/", "View Product")</f>
        <v/>
      </c>
    </row>
    <row r="18742">
      <c r="A18742" t="inlineStr">
        <is>
          <t>8029352354410</t>
        </is>
      </c>
      <c r="B18742" t="inlineStr">
        <is>
          <t>Insight Scalp Comfort Cream 100ml</t>
        </is>
      </c>
      <c r="C18742" t="inlineStr">
        <is>
          <t>Scalp Care</t>
        </is>
      </c>
      <c r="D18742" t="inlineStr">
        <is>
          <t>Insight</t>
        </is>
      </c>
      <c r="E18742" t="n">
        <v>9.890000000000001</v>
      </c>
      <c r="F18742" t="n">
        <v>1</v>
      </c>
      <c r="G18742" t="n">
        <v>6</v>
      </c>
      <c r="H18742" s="5">
        <f>HYPERLINK("https://api.qogita.com/variants/link/8029352354410/", "View Product")</f>
        <v/>
      </c>
    </row>
    <row r="18743">
      <c r="A18743" t="inlineStr">
        <is>
          <t>8029352365348</t>
        </is>
      </c>
      <c r="B18743" t="inlineStr">
        <is>
          <t>OWAY Men Face &amp; Beard Hydrating Cleanser 150ml</t>
        </is>
      </c>
      <c r="C18743" t="inlineStr">
        <is>
          <t>Cleansing Gel</t>
        </is>
      </c>
      <c r="D18743" t="inlineStr">
        <is>
          <t>Oway</t>
        </is>
      </c>
      <c r="E18743" t="n">
        <v>21.12</v>
      </c>
      <c r="F18743" t="n">
        <v>1</v>
      </c>
      <c r="G18743" t="n">
        <v>10</v>
      </c>
      <c r="H18743" s="5">
        <f>HYPERLINK("https://api.qogita.com/variants/link/8029352365348/", "View Product")</f>
        <v/>
      </c>
    </row>
    <row r="18744">
      <c r="A18744" t="inlineStr">
        <is>
          <t>8029352365393</t>
        </is>
      </c>
      <c r="B18744" t="inlineStr">
        <is>
          <t>Oway Men Lip &amp; Beard Salve</t>
        </is>
      </c>
      <c r="C18744" t="inlineStr">
        <is>
          <t>Beard Care Accessories</t>
        </is>
      </c>
      <c r="D18744" t="inlineStr">
        <is>
          <t>Oway</t>
        </is>
      </c>
      <c r="E18744" t="n">
        <v>25.62</v>
      </c>
      <c r="F18744" t="n">
        <v>1</v>
      </c>
      <c r="G18744" t="n">
        <v>5</v>
      </c>
      <c r="H18744" s="5">
        <f>HYPERLINK("https://api.qogita.com/variants/link/8029352365393/", "View Product")</f>
        <v/>
      </c>
    </row>
    <row r="18745">
      <c r="A18745" t="inlineStr">
        <is>
          <t>8032274011040</t>
        </is>
      </c>
      <c r="B18745" t="inlineStr">
        <is>
          <t>Depot N 104 Silver Shampoo 250ml</t>
        </is>
      </c>
      <c r="C18745" t="inlineStr">
        <is>
          <t>Shampoo</t>
        </is>
      </c>
      <c r="D18745" t="inlineStr">
        <is>
          <t>Depot</t>
        </is>
      </c>
      <c r="E18745" t="n">
        <v>8.23</v>
      </c>
      <c r="F18745" t="n">
        <v>1</v>
      </c>
      <c r="G18745" t="n">
        <v>4</v>
      </c>
      <c r="H18745" s="5">
        <f>HYPERLINK("https://api.qogita.com/variants/link/8032274011040/", "View Product")</f>
        <v/>
      </c>
    </row>
    <row r="18746">
      <c r="A18746" t="inlineStr">
        <is>
          <t>8032274011538</t>
        </is>
      </c>
      <c r="B18746" t="inlineStr">
        <is>
          <t>Milk Shake Lifestyling Texturizing Spritz Hair Spray Wild 175ml</t>
        </is>
      </c>
      <c r="C18746" t="inlineStr">
        <is>
          <t>Hairspray</t>
        </is>
      </c>
      <c r="D18746" t="inlineStr">
        <is>
          <t>Milk_Shake</t>
        </is>
      </c>
      <c r="E18746" t="n">
        <v>8.02</v>
      </c>
      <c r="F18746" t="n">
        <v>1</v>
      </c>
      <c r="G18746" t="n">
        <v>16</v>
      </c>
      <c r="H18746" s="5">
        <f>HYPERLINK("https://api.qogita.com/variants/link/8032274011538/", "View Product")</f>
        <v/>
      </c>
    </row>
    <row r="18747">
      <c r="A18747" t="inlineStr">
        <is>
          <t>8032274011736</t>
        </is>
      </c>
      <c r="B18747" t="inlineStr">
        <is>
          <t>Milk Shake Lifestyling Texturizing Cream 100ml</t>
        </is>
      </c>
      <c r="C18747" t="inlineStr">
        <is>
          <t>Styling Creams</t>
        </is>
      </c>
      <c r="D18747" t="inlineStr">
        <is>
          <t>Milk_Shake</t>
        </is>
      </c>
      <c r="E18747" t="n">
        <v>12.05</v>
      </c>
      <c r="F18747" t="n">
        <v>1</v>
      </c>
      <c r="G18747" t="n">
        <v>7</v>
      </c>
      <c r="H18747" s="5">
        <f>HYPERLINK("https://api.qogita.com/variants/link/8032274011736/", "View Product")</f>
        <v/>
      </c>
    </row>
    <row r="18748">
      <c r="A18748" t="inlineStr">
        <is>
          <t>8032274012924</t>
        </is>
      </c>
      <c r="B18748" t="inlineStr">
        <is>
          <t>Milk_Shake Natural Care Active Yogurt Hair Mask 500ml</t>
        </is>
      </c>
      <c r="C18748" t="inlineStr">
        <is>
          <t>Hair Masks</t>
        </is>
      </c>
      <c r="D18748" t="inlineStr">
        <is>
          <t>Milk_Shake</t>
        </is>
      </c>
      <c r="E18748" t="n">
        <v>18.98</v>
      </c>
      <c r="F18748" t="n">
        <v>1</v>
      </c>
      <c r="G18748" t="n">
        <v>32</v>
      </c>
      <c r="H18748" s="5">
        <f>HYPERLINK("https://api.qogita.com/variants/link/8032274012924/", "View Product")</f>
        <v/>
      </c>
    </row>
    <row r="18749">
      <c r="A18749" t="inlineStr">
        <is>
          <t>8032274051985</t>
        </is>
      </c>
      <c r="B18749" t="inlineStr">
        <is>
          <t>Milk Shake Argan Shampoo 300ml</t>
        </is>
      </c>
      <c r="C18749" t="inlineStr">
        <is>
          <t>Shampoo</t>
        </is>
      </c>
      <c r="D18749" t="inlineStr">
        <is>
          <t>Milk_Shake</t>
        </is>
      </c>
      <c r="E18749" t="n">
        <v>11.63</v>
      </c>
      <c r="F18749" t="n">
        <v>1</v>
      </c>
      <c r="G18749" t="n">
        <v>6</v>
      </c>
      <c r="H18749" s="5">
        <f>HYPERLINK("https://api.qogita.com/variants/link/8032274051985/", "View Product")</f>
        <v/>
      </c>
    </row>
    <row r="18750">
      <c r="A18750" t="inlineStr">
        <is>
          <t>8032274052005</t>
        </is>
      </c>
      <c r="B18750" t="inlineStr">
        <is>
          <t>Milk Shake Argan Shampoo 1000ml Nourishing Shampoo For All Hair Types</t>
        </is>
      </c>
      <c r="C18750" t="inlineStr">
        <is>
          <t>Shampoo</t>
        </is>
      </c>
      <c r="D18750" t="inlineStr">
        <is>
          <t>Milk_Shake</t>
        </is>
      </c>
      <c r="E18750" t="n">
        <v>23.6</v>
      </c>
      <c r="F18750" t="n">
        <v>1</v>
      </c>
      <c r="G18750" t="n">
        <v>30</v>
      </c>
      <c r="H18750" s="5">
        <f>HYPERLINK("https://api.qogita.com/variants/link/8032274052005/", "View Product")</f>
        <v/>
      </c>
    </row>
    <row r="18751">
      <c r="A18751" t="inlineStr">
        <is>
          <t>8032274057086</t>
        </is>
      </c>
      <c r="B18751" t="inlineStr">
        <is>
          <t>No Inhibition Revitalizing Mask 200ml</t>
        </is>
      </c>
      <c r="C18751" t="inlineStr">
        <is>
          <t>Hydrating Mask</t>
        </is>
      </c>
      <c r="D18751" t="inlineStr">
        <is>
          <t>No Inhibition</t>
        </is>
      </c>
      <c r="E18751" t="n">
        <v>15.85</v>
      </c>
      <c r="F18751" t="n">
        <v>1</v>
      </c>
      <c r="G18751" t="n">
        <v>8</v>
      </c>
      <c r="H18751" s="5">
        <f>HYPERLINK("https://api.qogita.com/variants/link/8032274057086/", "View Product")</f>
        <v/>
      </c>
    </row>
    <row r="18752">
      <c r="A18752" t="inlineStr">
        <is>
          <t>8032274059875</t>
        </is>
      </c>
      <c r="B18752" t="inlineStr">
        <is>
          <t>Milk Shake Energizing Blend Shampoo 0.34kg 286.3g</t>
        </is>
      </c>
      <c r="C18752" t="inlineStr">
        <is>
          <t>Shampoo</t>
        </is>
      </c>
      <c r="D18752" t="inlineStr">
        <is>
          <t>Milk_Shake</t>
        </is>
      </c>
      <c r="E18752" t="n">
        <v>9.890000000000001</v>
      </c>
      <c r="F18752" t="n">
        <v>1</v>
      </c>
      <c r="G18752" t="n">
        <v>5</v>
      </c>
      <c r="H18752" s="5">
        <f>HYPERLINK("https://api.qogita.com/variants/link/8032274059875/", "View Product")</f>
        <v/>
      </c>
    </row>
    <row r="18753">
      <c r="A18753" t="inlineStr">
        <is>
          <t>8032274060802</t>
        </is>
      </c>
      <c r="B18753" t="inlineStr">
        <is>
          <t>Depot No. 103 Hydrating Shampoo 1000ml</t>
        </is>
      </c>
      <c r="C18753" t="inlineStr">
        <is>
          <t>Shampoo</t>
        </is>
      </c>
      <c r="D18753" t="inlineStr">
        <is>
          <t>Depot</t>
        </is>
      </c>
      <c r="E18753" t="n">
        <v>17.49</v>
      </c>
      <c r="F18753" t="n">
        <v>1</v>
      </c>
      <c r="G18753" t="n">
        <v>4</v>
      </c>
      <c r="H18753" s="5">
        <f>HYPERLINK("https://api.qogita.com/variants/link/8032274060802/", "View Product")</f>
        <v/>
      </c>
    </row>
    <row r="18754">
      <c r="A18754" t="inlineStr">
        <is>
          <t>8032274060901</t>
        </is>
      </c>
      <c r="B18754" t="inlineStr">
        <is>
          <t>Depot No 304 Hold Strong Gel 200ml For Men</t>
        </is>
      </c>
      <c r="C18754" t="inlineStr">
        <is>
          <t>Gel</t>
        </is>
      </c>
      <c r="D18754" t="inlineStr">
        <is>
          <t>Depot</t>
        </is>
      </c>
      <c r="E18754" t="n">
        <v>10.87</v>
      </c>
      <c r="F18754" t="n">
        <v>1</v>
      </c>
      <c r="G18754" t="n">
        <v>14</v>
      </c>
      <c r="H18754" s="5">
        <f>HYPERLINK("https://api.qogita.com/variants/link/8032274060901/", "View Product")</f>
        <v/>
      </c>
    </row>
    <row r="18755">
      <c r="A18755" t="inlineStr">
        <is>
          <t>8032274060987</t>
        </is>
      </c>
      <c r="B18755" t="inlineStr">
        <is>
          <t>Depot MSSS 020 Soap Beauty and Body Care</t>
        </is>
      </c>
      <c r="C18755" t="inlineStr">
        <is>
          <t>Soap</t>
        </is>
      </c>
      <c r="D18755" t="inlineStr">
        <is>
          <t>Depot</t>
        </is>
      </c>
      <c r="E18755" t="n">
        <v>7.13</v>
      </c>
      <c r="F18755" t="n">
        <v>1</v>
      </c>
      <c r="G18755" t="n">
        <v>5</v>
      </c>
      <c r="H18755" s="5">
        <f>HYPERLINK("https://api.qogita.com/variants/link/8032274060987/", "View Product")</f>
        <v/>
      </c>
    </row>
    <row r="18756">
      <c r="A18756" t="inlineStr">
        <is>
          <t>8032274078173</t>
        </is>
      </c>
      <c r="B18756" t="inlineStr">
        <is>
          <t>DEPOT No. 308 Volume Creator 100ml</t>
        </is>
      </c>
      <c r="C18756" t="inlineStr">
        <is>
          <t>Mousse</t>
        </is>
      </c>
      <c r="D18756" t="inlineStr">
        <is>
          <t>Depot</t>
        </is>
      </c>
      <c r="E18756" t="n">
        <v>7.28</v>
      </c>
      <c r="F18756" t="n">
        <v>1</v>
      </c>
      <c r="G18756" t="n">
        <v>4</v>
      </c>
      <c r="H18756" s="5">
        <f>HYPERLINK("https://api.qogita.com/variants/link/8032274078173/", "View Product")</f>
        <v/>
      </c>
    </row>
    <row r="18757">
      <c r="A18757" t="inlineStr">
        <is>
          <t>8032274087007</t>
        </is>
      </c>
      <c r="B18757" t="inlineStr">
        <is>
          <t>607 Sport Refreshing Body Spray</t>
        </is>
      </c>
      <c r="C18757" t="inlineStr">
        <is>
          <t>Deodorant &amp; Anti-Perspirant</t>
        </is>
      </c>
      <c r="D18757" t="inlineStr">
        <is>
          <t>Depot</t>
        </is>
      </c>
      <c r="E18757" t="n">
        <v>8.039999999999999</v>
      </c>
      <c r="F18757" t="n">
        <v>1</v>
      </c>
      <c r="G18757" t="n">
        <v>5</v>
      </c>
      <c r="H18757" s="5">
        <f>HYPERLINK("https://api.qogita.com/variants/link/8032274087007/", "View Product")</f>
        <v/>
      </c>
    </row>
    <row r="18758">
      <c r="A18758" t="inlineStr">
        <is>
          <t>8032274101871</t>
        </is>
      </c>
      <c r="B18758" t="inlineStr">
        <is>
          <t>Milkshake Colour Whipped Cream Warm Brunette Tinted Leavein Mousse 100 Ml</t>
        </is>
      </c>
      <c r="C18758" t="inlineStr">
        <is>
          <t>Mousse</t>
        </is>
      </c>
      <c r="D18758" t="inlineStr">
        <is>
          <t>Milk_Shake</t>
        </is>
      </c>
      <c r="E18758" t="n">
        <v>7.83</v>
      </c>
      <c r="F18758" t="n">
        <v>1</v>
      </c>
      <c r="G18758" t="n">
        <v>2</v>
      </c>
      <c r="H18758" s="5">
        <f>HYPERLINK("https://api.qogita.com/variants/link/8032274101871/", "View Product")</f>
        <v/>
      </c>
    </row>
    <row r="18759">
      <c r="A18759" t="inlineStr">
        <is>
          <t>8032274103882</t>
        </is>
      </c>
      <c r="B18759" t="inlineStr">
        <is>
          <t>Milk_Shake Braid Defining Lotion 150ml</t>
        </is>
      </c>
      <c r="C18759" t="inlineStr">
        <is>
          <t>Styling Creams</t>
        </is>
      </c>
      <c r="D18759" t="inlineStr">
        <is>
          <t>Milk_Shake</t>
        </is>
      </c>
      <c r="E18759" t="n">
        <v>9.32</v>
      </c>
      <c r="F18759" t="n">
        <v>1</v>
      </c>
      <c r="G18759" t="n">
        <v>10</v>
      </c>
      <c r="H18759" s="5">
        <f>HYPERLINK("https://api.qogita.com/variants/link/8032274103882/", "View Product")</f>
        <v/>
      </c>
    </row>
    <row r="18760">
      <c r="A18760" t="inlineStr">
        <is>
          <t>8032274106135</t>
        </is>
      </c>
      <c r="B18760" t="inlineStr">
        <is>
          <t>Milk Shake Curl Passion Shampoo For Curly Hair 1000ml</t>
        </is>
      </c>
      <c r="C18760" t="inlineStr">
        <is>
          <t>Shampoo</t>
        </is>
      </c>
      <c r="D18760" t="inlineStr">
        <is>
          <t>Milk_Shake</t>
        </is>
      </c>
      <c r="E18760" t="n">
        <v>23.11</v>
      </c>
      <c r="F18760" t="n">
        <v>1</v>
      </c>
      <c r="G18760" t="n">
        <v>33</v>
      </c>
      <c r="H18760" s="5">
        <f>HYPERLINK("https://api.qogita.com/variants/link/8032274106135/", "View Product")</f>
        <v/>
      </c>
    </row>
    <row r="18761">
      <c r="A18761" t="inlineStr">
        <is>
          <t>8032274106210</t>
        </is>
      </c>
      <c r="B18761" t="inlineStr">
        <is>
          <t>Milk Shake Integrity Intensive Treatment 200ml Unisex Hair Mask For All Hair Types</t>
        </is>
      </c>
      <c r="C18761" t="inlineStr">
        <is>
          <t>Hair Masks</t>
        </is>
      </c>
      <c r="D18761" t="inlineStr">
        <is>
          <t>Milk_Shake</t>
        </is>
      </c>
      <c r="E18761" t="n">
        <v>10.87</v>
      </c>
      <c r="F18761" t="n">
        <v>1</v>
      </c>
      <c r="G18761" t="n">
        <v>10</v>
      </c>
      <c r="H18761" s="5">
        <f>HYPERLINK("https://api.qogita.com/variants/link/8032274106210/", "View Product")</f>
        <v/>
      </c>
    </row>
    <row r="18762">
      <c r="A18762" t="inlineStr">
        <is>
          <t>8032274116080</t>
        </is>
      </c>
      <c r="B18762" t="inlineStr">
        <is>
          <t>No 801 Daily Skin Cleanser - Čisticí gel s aktivním uhlím</t>
        </is>
      </c>
      <c r="C18762" t="inlineStr">
        <is>
          <t>Cleansing Gel</t>
        </is>
      </c>
      <c r="D18762" t="inlineStr">
        <is>
          <t>No 801</t>
        </is>
      </c>
      <c r="E18762" t="n">
        <v>10.13</v>
      </c>
      <c r="F18762" t="n">
        <v>1</v>
      </c>
      <c r="G18762" t="n">
        <v>5</v>
      </c>
      <c r="H18762" s="5">
        <f>HYPERLINK("https://api.qogita.com/variants/link/8032274116080/", "View Product")</f>
        <v/>
      </c>
    </row>
    <row r="18763">
      <c r="A18763" t="inlineStr">
        <is>
          <t>8032274121121</t>
        </is>
      </c>
      <c r="B18763" t="inlineStr">
        <is>
          <t>Milk Shake In Good Hands Cosmetic Hand Cleansing Spray 250ml</t>
        </is>
      </c>
      <c r="C18763" t="inlineStr">
        <is>
          <t>Hand Cleaning</t>
        </is>
      </c>
      <c r="D18763" t="inlineStr">
        <is>
          <t>Milk_Shake</t>
        </is>
      </c>
      <c r="E18763" t="n">
        <v>6.26</v>
      </c>
      <c r="F18763" t="n">
        <v>1</v>
      </c>
      <c r="G18763" t="n">
        <v>11</v>
      </c>
      <c r="H18763" s="5">
        <f>HYPERLINK("https://api.qogita.com/variants/link/8032274121121/", "View Product")</f>
        <v/>
      </c>
    </row>
    <row r="18764">
      <c r="A18764" t="inlineStr">
        <is>
          <t>8032274143895</t>
        </is>
      </c>
      <c r="B18764" t="inlineStr">
        <is>
          <t>Milk Shake Cold Brunette Conditioner 1000ml</t>
        </is>
      </c>
      <c r="C18764" t="inlineStr">
        <is>
          <t>Conditioner</t>
        </is>
      </c>
      <c r="D18764" t="inlineStr">
        <is>
          <t>Milk_Shake</t>
        </is>
      </c>
      <c r="E18764" t="n">
        <v>30.42</v>
      </c>
      <c r="F18764" t="n">
        <v>1</v>
      </c>
      <c r="G18764" t="n">
        <v>13</v>
      </c>
      <c r="H18764" s="5">
        <f>HYPERLINK("https://api.qogita.com/variants/link/8032274143895/", "View Product")</f>
        <v/>
      </c>
    </row>
    <row r="18765">
      <c r="A18765" t="inlineStr">
        <is>
          <t>8032274147800</t>
        </is>
      </c>
      <c r="B18765" t="inlineStr">
        <is>
          <t>Milk Shake Color Care Color Maintainer Conditioner 300ml For Unisex</t>
        </is>
      </c>
      <c r="C18765" t="inlineStr">
        <is>
          <t>Conditioner</t>
        </is>
      </c>
      <c r="D18765" t="inlineStr">
        <is>
          <t>Milk_Shake</t>
        </is>
      </c>
      <c r="E18765" t="n">
        <v>9.289999999999999</v>
      </c>
      <c r="F18765" t="n">
        <v>1</v>
      </c>
      <c r="G18765" t="n">
        <v>12</v>
      </c>
      <c r="H18765" s="5">
        <f>HYPERLINK("https://api.qogita.com/variants/link/8032274147800/", "View Product")</f>
        <v/>
      </c>
    </row>
    <row r="18766">
      <c r="A18766" t="inlineStr">
        <is>
          <t>8032274147831</t>
        </is>
      </c>
      <c r="B18766" t="inlineStr">
        <is>
          <t>Milk Shake Colour Care Deep Conditioning Mask 200 Ml Protects Hair Color</t>
        </is>
      </c>
      <c r="C18766" t="inlineStr">
        <is>
          <t>Hair Masks</t>
        </is>
      </c>
      <c r="D18766" t="inlineStr">
        <is>
          <t>Milk_Shake</t>
        </is>
      </c>
      <c r="E18766" t="n">
        <v>10.74</v>
      </c>
      <c r="F18766" t="n">
        <v>1</v>
      </c>
      <c r="G18766" t="n">
        <v>22</v>
      </c>
      <c r="H18766" s="5">
        <f>HYPERLINK("https://api.qogita.com/variants/link/8032274147831/", "View Product")</f>
        <v/>
      </c>
    </row>
    <row r="18767">
      <c r="A18767" t="inlineStr">
        <is>
          <t>8032274151173</t>
        </is>
      </c>
      <c r="B18767" t="inlineStr">
        <is>
          <t>Depot Nr. 102 Anti-Sandruff &amp; Sebum Anti-Dandruff Shampoo 1000ml</t>
        </is>
      </c>
      <c r="C18767" t="inlineStr">
        <is>
          <t>Shampoo</t>
        </is>
      </c>
      <c r="D18767" t="inlineStr">
        <is>
          <t>Depot</t>
        </is>
      </c>
      <c r="E18767" t="n">
        <v>23.21</v>
      </c>
      <c r="F18767" t="n">
        <v>1</v>
      </c>
      <c r="G18767" t="n">
        <v>2</v>
      </c>
      <c r="H18767" s="5">
        <f>HYPERLINK("https://api.qogita.com/variants/link/8032274151173/", "View Product")</f>
        <v/>
      </c>
    </row>
    <row r="18768">
      <c r="A18768" t="inlineStr">
        <is>
          <t>8032274151340</t>
        </is>
      </c>
      <c r="B18768" t="inlineStr">
        <is>
          <t>Milk Shake Purifying Blend Shampoo 1l For All Hair Types</t>
        </is>
      </c>
      <c r="C18768" t="inlineStr">
        <is>
          <t>Shampoo</t>
        </is>
      </c>
      <c r="D18768" t="inlineStr">
        <is>
          <t>Milk_Shake</t>
        </is>
      </c>
      <c r="E18768" t="n">
        <v>23.63</v>
      </c>
      <c r="F18768" t="n">
        <v>1</v>
      </c>
      <c r="G18768" t="n">
        <v>5</v>
      </c>
      <c r="H18768" s="5">
        <f>HYPERLINK("https://api.qogita.com/variants/link/8032274151340/", "View Product")</f>
        <v/>
      </c>
    </row>
    <row r="18769">
      <c r="A18769" t="inlineStr">
        <is>
          <t>8032274167334</t>
        </is>
      </c>
      <c r="B18769" t="inlineStr">
        <is>
          <t>Milk Shake Make My Day Shampoo 1000ml</t>
        </is>
      </c>
      <c r="C18769" t="inlineStr">
        <is>
          <t>Shampoo</t>
        </is>
      </c>
      <c r="D18769" t="inlineStr">
        <is>
          <t>Milk_Shake</t>
        </is>
      </c>
      <c r="E18769" t="n">
        <v>24.82</v>
      </c>
      <c r="F18769" t="n">
        <v>1</v>
      </c>
      <c r="G18769" t="n">
        <v>10</v>
      </c>
      <c r="H18769" s="5">
        <f>HYPERLINK("https://api.qogita.com/variants/link/8032274167334/", "View Product")</f>
        <v/>
      </c>
    </row>
    <row r="18770">
      <c r="A18770" t="inlineStr">
        <is>
          <t>8032274167365</t>
        </is>
      </c>
      <c r="B18770" t="inlineStr">
        <is>
          <t>Milk Shake Make My Day Conditioner 1000 Ml Daily Conditioner For Softness And Shine</t>
        </is>
      </c>
      <c r="C18770" t="inlineStr">
        <is>
          <t>Conditioner</t>
        </is>
      </c>
      <c r="D18770" t="inlineStr">
        <is>
          <t>Milk_Shake</t>
        </is>
      </c>
      <c r="E18770" t="n">
        <v>29.49</v>
      </c>
      <c r="F18770" t="n">
        <v>1</v>
      </c>
      <c r="G18770" t="n">
        <v>2</v>
      </c>
      <c r="H18770" s="5">
        <f>HYPERLINK("https://api.qogita.com/variants/link/8032274167365/", "View Product")</f>
        <v/>
      </c>
    </row>
    <row r="18771">
      <c r="A18771" t="inlineStr">
        <is>
          <t>8032274170730</t>
        </is>
      </c>
      <c r="B18771" t="inlineStr">
        <is>
          <t>Milk Shake Flower Power Colour Care Maintainer Shampoo 350ml</t>
        </is>
      </c>
      <c r="C18771" t="inlineStr">
        <is>
          <t>Shampoo</t>
        </is>
      </c>
      <c r="D18771" t="inlineStr">
        <is>
          <t>Milk_Shake</t>
        </is>
      </c>
      <c r="E18771" t="n">
        <v>8.5</v>
      </c>
      <c r="F18771" t="n">
        <v>1</v>
      </c>
      <c r="G18771" t="n">
        <v>18</v>
      </c>
      <c r="H18771" s="5">
        <f>HYPERLINK("https://api.qogita.com/variants/link/8032274170730/", "View Product")</f>
        <v/>
      </c>
    </row>
    <row r="18772">
      <c r="A18772" t="inlineStr">
        <is>
          <t>8032274180760</t>
        </is>
      </c>
      <c r="B18772" t="inlineStr">
        <is>
          <t>Milk Shake Deep Detox Shampoo 1000ml</t>
        </is>
      </c>
      <c r="C18772" t="inlineStr">
        <is>
          <t>Shampoo</t>
        </is>
      </c>
      <c r="D18772" t="inlineStr">
        <is>
          <t>Milk_Shake</t>
        </is>
      </c>
      <c r="E18772" t="n">
        <v>26.21</v>
      </c>
      <c r="F18772" t="n">
        <v>1</v>
      </c>
      <c r="G18772" t="n">
        <v>9</v>
      </c>
      <c r="H18772" s="5">
        <f>HYPERLINK("https://api.qogita.com/variants/link/8032274180760/", "View Product")</f>
        <v/>
      </c>
    </row>
    <row r="18773">
      <c r="A18773" t="inlineStr">
        <is>
          <t>8032274190370</t>
        </is>
      </c>
      <c r="B18773" t="inlineStr">
        <is>
          <t>Milk Shake Incredible Illuminating And Protective Oil 50 Ml</t>
        </is>
      </c>
      <c r="C18773" t="inlineStr">
        <is>
          <t>Hair Oil &amp; Hair Serum</t>
        </is>
      </c>
      <c r="D18773" t="inlineStr">
        <is>
          <t>Milk_Shake</t>
        </is>
      </c>
      <c r="E18773" t="n">
        <v>17.65</v>
      </c>
      <c r="F18773" t="n">
        <v>1</v>
      </c>
      <c r="G18773" t="n">
        <v>2</v>
      </c>
      <c r="H18773" s="5">
        <f>HYPERLINK("https://api.qogita.com/variants/link/8032274190370/", "View Product")</f>
        <v/>
      </c>
    </row>
    <row r="18774">
      <c r="A18774" t="inlineStr">
        <is>
          <t>8032274192541</t>
        </is>
      </c>
      <c r="B18774" t="inlineStr">
        <is>
          <t>Milk Shake K-Respect Smoothing Conditioner</t>
        </is>
      </c>
      <c r="C18774" t="inlineStr">
        <is>
          <t>Conditioner</t>
        </is>
      </c>
      <c r="D18774" t="inlineStr">
        <is>
          <t>Milk_Shake</t>
        </is>
      </c>
      <c r="E18774" t="n">
        <v>26.21</v>
      </c>
      <c r="F18774" t="n">
        <v>1</v>
      </c>
      <c r="G18774" t="n">
        <v>3</v>
      </c>
      <c r="H18774" s="5">
        <f>HYPERLINK("https://api.qogita.com/variants/link/8032274192541/", "View Product")</f>
        <v/>
      </c>
    </row>
    <row r="18775">
      <c r="A18775" t="inlineStr">
        <is>
          <t>8032529110146</t>
        </is>
      </c>
      <c r="B18775" t="inlineStr">
        <is>
          <t>Salvatore Ferragamo Subtil Pour Homme Eau De Toilette Spray 100ml</t>
        </is>
      </c>
      <c r="C18775" t="inlineStr">
        <is>
          <t>Eau De Toilette</t>
        </is>
      </c>
      <c r="D18775" t="inlineStr">
        <is>
          <t>Salvatore Ferragamo</t>
        </is>
      </c>
      <c r="E18775" t="n">
        <v>21.87</v>
      </c>
      <c r="F18775" t="n">
        <v>1</v>
      </c>
      <c r="G18775" t="n">
        <v>3</v>
      </c>
      <c r="H18775" s="5">
        <f>HYPERLINK("https://api.qogita.com/variants/link/8032529110146/", "View Product")</f>
        <v/>
      </c>
    </row>
    <row r="18776">
      <c r="A18776" t="inlineStr">
        <is>
          <t>8032529110542</t>
        </is>
      </c>
      <c r="B18776" t="inlineStr">
        <is>
          <t>Salvatore Ferragamo Incanto Eau De Parfum for Women 100ml</t>
        </is>
      </c>
      <c r="C18776" t="inlineStr">
        <is>
          <t>Eau De Parfum</t>
        </is>
      </c>
      <c r="D18776" t="inlineStr">
        <is>
          <t>Salvatore Ferragamo</t>
        </is>
      </c>
      <c r="E18776" t="n">
        <v>18.84</v>
      </c>
      <c r="F18776" t="n">
        <v>1</v>
      </c>
      <c r="G18776" t="n">
        <v>8</v>
      </c>
      <c r="H18776" s="5">
        <f>HYPERLINK("https://api.qogita.com/variants/link/8032529110542/", "View Product")</f>
        <v/>
      </c>
    </row>
    <row r="18777">
      <c r="A18777" t="inlineStr">
        <is>
          <t>8032758533099</t>
        </is>
      </c>
      <c r="B18777" t="inlineStr">
        <is>
          <t>Essenza di un'Isola Altrove Eau de Parfum 50ml ACQUA DELL'ELBA</t>
        </is>
      </c>
      <c r="C18777" t="inlineStr">
        <is>
          <t>Eau De Parfum</t>
        </is>
      </c>
      <c r="D18777" t="inlineStr">
        <is>
          <t>Acqua Dell'elba</t>
        </is>
      </c>
      <c r="E18777" t="n">
        <v>56.28</v>
      </c>
      <c r="F18777" t="n">
        <v>1</v>
      </c>
      <c r="G18777" t="n">
        <v>3</v>
      </c>
      <c r="H18777" s="5">
        <f>HYPERLINK("https://api.qogita.com/variants/link/8032758533099/", "View Product")</f>
        <v/>
      </c>
    </row>
    <row r="18778">
      <c r="A18778" t="inlineStr">
        <is>
          <t>8032947860128</t>
        </is>
      </c>
      <c r="B18778" t="inlineStr">
        <is>
          <t>Fanola 7.03 Warm Blonde hair color 100ml</t>
        </is>
      </c>
      <c r="C18778" t="inlineStr">
        <is>
          <t>Hair Dye</t>
        </is>
      </c>
      <c r="D18778" t="inlineStr">
        <is>
          <t>Fanola</t>
        </is>
      </c>
      <c r="E18778" t="n">
        <v>3.06</v>
      </c>
      <c r="F18778" t="n">
        <v>1</v>
      </c>
      <c r="G18778" t="n">
        <v>2</v>
      </c>
      <c r="H18778" s="5">
        <f>HYPERLINK("https://api.qogita.com/variants/link/8032947860128/", "View Product")</f>
        <v/>
      </c>
    </row>
    <row r="18779">
      <c r="A18779" t="inlineStr">
        <is>
          <t>8032947860333</t>
        </is>
      </c>
      <c r="B18779" t="inlineStr">
        <is>
          <t>Fanola Colouring Cream 5.2 Light Brown Purple 100ml</t>
        </is>
      </c>
      <c r="C18779" t="inlineStr">
        <is>
          <t>Hair Dye</t>
        </is>
      </c>
      <c r="D18779" t="inlineStr">
        <is>
          <t>Fanola</t>
        </is>
      </c>
      <c r="E18779" t="n">
        <v>3.05</v>
      </c>
      <c r="F18779" t="n">
        <v>1</v>
      </c>
      <c r="G18779" t="n">
        <v>3</v>
      </c>
      <c r="H18779" s="5">
        <f>HYPERLINK("https://api.qogita.com/variants/link/8032947860333/", "View Product")</f>
        <v/>
      </c>
    </row>
    <row r="18780">
      <c r="A18780" t="inlineStr">
        <is>
          <t>8032947860418</t>
        </is>
      </c>
      <c r="B18780" t="inlineStr">
        <is>
          <t>8.34 Fanola Colouring Cream 100ml - Light Blonde Golden Copper</t>
        </is>
      </c>
      <c r="C18780" t="inlineStr">
        <is>
          <t>Hair Dye</t>
        </is>
      </c>
      <c r="D18780" t="inlineStr">
        <is>
          <t>Fanola</t>
        </is>
      </c>
      <c r="E18780" t="n">
        <v>3.06</v>
      </c>
      <c r="F18780" t="n">
        <v>1</v>
      </c>
      <c r="G18780" t="n">
        <v>4</v>
      </c>
      <c r="H18780" s="5">
        <f>HYPERLINK("https://api.qogita.com/variants/link/8032947860418/", "View Product")</f>
        <v/>
      </c>
    </row>
    <row r="18781">
      <c r="A18781" t="inlineStr">
        <is>
          <t>8032947860487</t>
        </is>
      </c>
      <c r="B18781" t="inlineStr">
        <is>
          <t>Fanola Hair Color 7.43 Blonde Copper Gold 100ml</t>
        </is>
      </c>
      <c r="C18781" t="inlineStr">
        <is>
          <t>Hair Dye</t>
        </is>
      </c>
      <c r="D18781" t="inlineStr">
        <is>
          <t>Fanola</t>
        </is>
      </c>
      <c r="E18781" t="n">
        <v>3.06</v>
      </c>
      <c r="F18781" t="n">
        <v>1</v>
      </c>
      <c r="G18781" t="n">
        <v>5</v>
      </c>
      <c r="H18781" s="5">
        <f>HYPERLINK("https://api.qogita.com/variants/link/8032947860487/", "View Product")</f>
        <v/>
      </c>
    </row>
    <row r="18782">
      <c r="A18782" t="inlineStr">
        <is>
          <t>8032947860753</t>
        </is>
      </c>
      <c r="B18782" t="inlineStr">
        <is>
          <t>Fanola 10.1 Blonde Platinum Ash 100ml coloring cream</t>
        </is>
      </c>
      <c r="C18782" t="inlineStr">
        <is>
          <t>Hair Dye</t>
        </is>
      </c>
      <c r="D18782" t="inlineStr">
        <is>
          <t>Fanola</t>
        </is>
      </c>
      <c r="E18782" t="n">
        <v>3.06</v>
      </c>
      <c r="F18782" t="n">
        <v>1</v>
      </c>
      <c r="G18782" t="n">
        <v>3</v>
      </c>
      <c r="H18782" s="5">
        <f>HYPERLINK("https://api.qogita.com/variants/link/8032947860753/", "View Product")</f>
        <v/>
      </c>
    </row>
    <row r="18783">
      <c r="A18783" t="inlineStr">
        <is>
          <t>8032947860791</t>
        </is>
      </c>
      <c r="B18783" t="inlineStr">
        <is>
          <t>Fanola  Colouring Cream 6.2 Dark Blonde Violet 100ml</t>
        </is>
      </c>
      <c r="C18783" t="inlineStr">
        <is>
          <t>Hair Dye</t>
        </is>
      </c>
      <c r="D18783" t="inlineStr">
        <is>
          <t>Fanola</t>
        </is>
      </c>
      <c r="E18783" t="n">
        <v>3.06</v>
      </c>
      <c r="F18783" t="n">
        <v>1</v>
      </c>
      <c r="G18783" t="n">
        <v>2</v>
      </c>
      <c r="H18783" s="5">
        <f>HYPERLINK("https://api.qogita.com/variants/link/8032947860791/", "View Product")</f>
        <v/>
      </c>
    </row>
    <row r="18784">
      <c r="A18784" t="inlineStr">
        <is>
          <t>8032947860869</t>
        </is>
      </c>
      <c r="B18784" t="inlineStr">
        <is>
          <t>10.13 Fanola Colouring Cream 100ml - Blonde Platinum</t>
        </is>
      </c>
      <c r="C18784" t="inlineStr">
        <is>
          <t>Hair Dye</t>
        </is>
      </c>
      <c r="D18784" t="inlineStr">
        <is>
          <t>Fanola</t>
        </is>
      </c>
      <c r="E18784" t="n">
        <v>3.11</v>
      </c>
      <c r="F18784" t="n">
        <v>1</v>
      </c>
      <c r="G18784" t="n">
        <v>4</v>
      </c>
      <c r="H18784" s="5">
        <f>HYPERLINK("https://api.qogita.com/variants/link/8032947860869/", "View Product")</f>
        <v/>
      </c>
    </row>
    <row r="18785">
      <c r="A18785" t="inlineStr">
        <is>
          <t>8032947861606</t>
        </is>
      </c>
      <c r="B18785" t="inlineStr">
        <is>
          <t>Fanola Cream Activator 3.5 Vol. 1.05% 1000ml</t>
        </is>
      </c>
      <c r="C18785" t="inlineStr">
        <is>
          <t>Hair Dye</t>
        </is>
      </c>
      <c r="D18785" t="inlineStr">
        <is>
          <t>Fanola</t>
        </is>
      </c>
      <c r="E18785" t="n">
        <v>2.38</v>
      </c>
      <c r="F18785" t="n">
        <v>1</v>
      </c>
      <c r="G18785" t="n">
        <v>81</v>
      </c>
      <c r="H18785" s="5">
        <f>HYPERLINK("https://api.qogita.com/variants/link/8032947861606/", "View Product")</f>
        <v/>
      </c>
    </row>
    <row r="18786">
      <c r="A18786" t="inlineStr">
        <is>
          <t>8032947861675</t>
        </is>
      </c>
      <c r="B18786" t="inlineStr">
        <is>
          <t>Fanola Perfumed Hydrogen Peroxide Hair Oxidant 300ml</t>
        </is>
      </c>
      <c r="C18786" t="inlineStr">
        <is>
          <t>Bleaching</t>
        </is>
      </c>
      <c r="D18786" t="inlineStr">
        <is>
          <t>Fanola</t>
        </is>
      </c>
      <c r="E18786" t="n">
        <v>1.46</v>
      </c>
      <c r="F18786" t="n">
        <v>1</v>
      </c>
      <c r="G18786" t="n">
        <v>7</v>
      </c>
      <c r="H18786" s="5">
        <f>HYPERLINK("https://api.qogita.com/variants/link/8032947861675/", "View Product")</f>
        <v/>
      </c>
    </row>
    <row r="18787">
      <c r="A18787" t="inlineStr">
        <is>
          <t>8032947861699</t>
        </is>
      </c>
      <c r="B18787" t="inlineStr">
        <is>
          <t>Fanola Cream Activator 20 Vol. 6% 300ml</t>
        </is>
      </c>
      <c r="C18787" t="inlineStr">
        <is>
          <t>Hair Dye</t>
        </is>
      </c>
      <c r="D18787" t="inlineStr">
        <is>
          <t>Fanola</t>
        </is>
      </c>
      <c r="E18787" t="n">
        <v>1.74</v>
      </c>
      <c r="F18787" t="n">
        <v>1</v>
      </c>
      <c r="G18787" t="n">
        <v>22</v>
      </c>
      <c r="H18787" s="5">
        <f>HYPERLINK("https://api.qogita.com/variants/link/8032947861699/", "View Product")</f>
        <v/>
      </c>
    </row>
    <row r="18788">
      <c r="A18788" t="inlineStr">
        <is>
          <t>8032947861767</t>
        </is>
      </c>
      <c r="B18788" t="inlineStr">
        <is>
          <t>Fanola Oro Therapy Color Keratin Puro 8.34 100ml</t>
        </is>
      </c>
      <c r="C18788" t="inlineStr">
        <is>
          <t>Hair Oil &amp; Hair Serum</t>
        </is>
      </c>
      <c r="D18788" t="inlineStr">
        <is>
          <t>Fanola</t>
        </is>
      </c>
      <c r="E18788" t="n">
        <v>3.81</v>
      </c>
      <c r="F18788" t="n">
        <v>1</v>
      </c>
      <c r="G18788" t="n">
        <v>4</v>
      </c>
      <c r="H18788" s="5">
        <f>HYPERLINK("https://api.qogita.com/variants/link/8032947861767/", "View Product")</f>
        <v/>
      </c>
    </row>
    <row r="18789">
      <c r="A18789" t="inlineStr">
        <is>
          <t>8032947863051</t>
        </is>
      </c>
      <c r="B18789" t="inlineStr">
        <is>
          <t>Fanola Coloring Cream 8.11 Intense Ash Blonde 100ml</t>
        </is>
      </c>
      <c r="C18789" t="inlineStr">
        <is>
          <t>Hair Dye</t>
        </is>
      </c>
      <c r="D18789" t="inlineStr">
        <is>
          <t>Fanola</t>
        </is>
      </c>
      <c r="E18789" t="n">
        <v>3.48</v>
      </c>
      <c r="F18789" t="n">
        <v>1</v>
      </c>
      <c r="G18789" t="n">
        <v>3</v>
      </c>
      <c r="H18789" s="5">
        <f>HYPERLINK("https://api.qogita.com/variants/link/8032947863051/", "View Product")</f>
        <v/>
      </c>
    </row>
    <row r="18790">
      <c r="A18790" t="inlineStr">
        <is>
          <t>8032947863235</t>
        </is>
      </c>
      <c r="B18790" t="inlineStr">
        <is>
          <t>Fanola Hair Colour Cream 12.1 Super Blonde Platinum Ash Extra 100ml</t>
        </is>
      </c>
      <c r="C18790" t="inlineStr">
        <is>
          <t>Hair Dye</t>
        </is>
      </c>
      <c r="D18790" t="inlineStr">
        <is>
          <t>Fanola</t>
        </is>
      </c>
      <c r="E18790" t="n">
        <v>3.48</v>
      </c>
      <c r="F18790" t="n">
        <v>1</v>
      </c>
      <c r="G18790" t="n">
        <v>3</v>
      </c>
      <c r="H18790" s="5">
        <f>HYPERLINK("https://api.qogita.com/variants/link/8032947863235/", "View Product")</f>
        <v/>
      </c>
    </row>
    <row r="18791">
      <c r="A18791" t="inlineStr">
        <is>
          <t>8032947863259</t>
        </is>
      </c>
      <c r="B18791" t="inlineStr">
        <is>
          <t>Fanola Crema Colore Colouring Cream 12.13 Super Blonde Platinum Beige Extra 100ml</t>
        </is>
      </c>
      <c r="C18791" t="inlineStr">
        <is>
          <t>Hair Dye</t>
        </is>
      </c>
      <c r="D18791" t="inlineStr">
        <is>
          <t>Fanola</t>
        </is>
      </c>
      <c r="E18791" t="n">
        <v>3.1</v>
      </c>
      <c r="F18791" t="n">
        <v>1</v>
      </c>
      <c r="G18791" t="n">
        <v>2</v>
      </c>
      <c r="H18791" s="5">
        <f>HYPERLINK("https://api.qogita.com/variants/link/8032947863259/", "View Product")</f>
        <v/>
      </c>
    </row>
    <row r="18792">
      <c r="A18792" t="inlineStr">
        <is>
          <t>8032947863617</t>
        </is>
      </c>
      <c r="B18792" t="inlineStr">
        <is>
          <t>Fanola Colouring 9.2F Cream Very Light Blonde 100ml</t>
        </is>
      </c>
      <c r="C18792" t="inlineStr">
        <is>
          <t>Hair Dye</t>
        </is>
      </c>
      <c r="D18792" t="inlineStr">
        <is>
          <t>Fanola</t>
        </is>
      </c>
      <c r="E18792" t="n">
        <v>3.06</v>
      </c>
      <c r="F18792" t="n">
        <v>1</v>
      </c>
      <c r="G18792" t="n">
        <v>5</v>
      </c>
      <c r="H18792" s="5">
        <f>HYPERLINK("https://api.qogita.com/variants/link/8032947863617/", "View Product")</f>
        <v/>
      </c>
    </row>
    <row r="18793">
      <c r="A18793" t="inlineStr">
        <is>
          <t>8032947863747</t>
        </is>
      </c>
      <c r="B18793" t="inlineStr">
        <is>
          <t>Fanola Keraterm Shampoo With Keratin For Frizzy Hair 1000ml</t>
        </is>
      </c>
      <c r="C18793" t="inlineStr">
        <is>
          <t>Shampoo</t>
        </is>
      </c>
      <c r="D18793" t="inlineStr">
        <is>
          <t>Fanola</t>
        </is>
      </c>
      <c r="E18793" t="n">
        <v>9.56</v>
      </c>
      <c r="F18793" t="n">
        <v>1</v>
      </c>
      <c r="G18793" t="n">
        <v>14</v>
      </c>
      <c r="H18793" s="5">
        <f>HYPERLINK("https://api.qogita.com/variants/link/8032947863747/", "View Product")</f>
        <v/>
      </c>
    </row>
    <row r="18794">
      <c r="A18794" t="inlineStr">
        <is>
          <t>8032947864348</t>
        </is>
      </c>
      <c r="B18794" t="inlineStr">
        <is>
          <t>Fanola Oro Therapy Color Keratin 5.2 100ml - Light Brown Violet</t>
        </is>
      </c>
      <c r="C18794" t="inlineStr">
        <is>
          <t>Hair Dye</t>
        </is>
      </c>
      <c r="D18794" t="inlineStr">
        <is>
          <t>Fanola</t>
        </is>
      </c>
      <c r="E18794" t="n">
        <v>3.81</v>
      </c>
      <c r="F18794" t="n">
        <v>1</v>
      </c>
      <c r="G18794" t="n">
        <v>2</v>
      </c>
      <c r="H18794" s="5">
        <f>HYPERLINK("https://api.qogita.com/variants/link/8032947864348/", "View Product")</f>
        <v/>
      </c>
    </row>
    <row r="18795">
      <c r="A18795" t="inlineStr">
        <is>
          <t>8032947864492</t>
        </is>
      </c>
      <c r="B18795" t="inlineStr">
        <is>
          <t>Fanola Oro Therapy Color Keratin 9.3 100ml</t>
        </is>
      </c>
      <c r="C18795" t="inlineStr">
        <is>
          <t>Hair Oil &amp; Hair Serum</t>
        </is>
      </c>
      <c r="D18795" t="inlineStr">
        <is>
          <t>Fanola</t>
        </is>
      </c>
      <c r="E18795" t="n">
        <v>3.85</v>
      </c>
      <c r="F18795" t="n">
        <v>1</v>
      </c>
      <c r="G18795" t="n">
        <v>2</v>
      </c>
      <c r="H18795" s="5">
        <f>HYPERLINK("https://api.qogita.com/variants/link/8032947864492/", "View Product")</f>
        <v/>
      </c>
    </row>
    <row r="18796">
      <c r="A18796" t="inlineStr">
        <is>
          <t>8032947865024</t>
        </is>
      </c>
      <c r="B18796" t="inlineStr">
        <is>
          <t>Fanola Oro Therapy Color Keratin 7.13 100ml</t>
        </is>
      </c>
      <c r="C18796" t="inlineStr">
        <is>
          <t>Hair Dye</t>
        </is>
      </c>
      <c r="D18796" t="inlineStr">
        <is>
          <t>Fanola</t>
        </is>
      </c>
      <c r="E18796" t="n">
        <v>3.81</v>
      </c>
      <c r="F18796" t="n">
        <v>1</v>
      </c>
      <c r="G18796" t="n">
        <v>3</v>
      </c>
      <c r="H18796" s="5">
        <f>HYPERLINK("https://api.qogita.com/variants/link/8032947865024/", "View Product")</f>
        <v/>
      </c>
    </row>
    <row r="18797">
      <c r="A18797" t="inlineStr">
        <is>
          <t>8032947866090</t>
        </is>
      </c>
      <c r="B18797" t="inlineStr">
        <is>
          <t>Fanola Oro Puro Therapy Color Keratin 100ml - Silver</t>
        </is>
      </c>
      <c r="C18797" t="inlineStr">
        <is>
          <t>Hair Care Sets</t>
        </is>
      </c>
      <c r="D18797" t="inlineStr">
        <is>
          <t>Fanola</t>
        </is>
      </c>
      <c r="E18797" t="n">
        <v>4.03</v>
      </c>
      <c r="F18797" t="n">
        <v>1</v>
      </c>
      <c r="G18797" t="n">
        <v>5</v>
      </c>
      <c r="H18797" s="5">
        <f>HYPERLINK("https://api.qogita.com/variants/link/8032947866090/", "View Product")</f>
        <v/>
      </c>
    </row>
    <row r="18798">
      <c r="A18798" t="inlineStr">
        <is>
          <t>8032947866281</t>
        </is>
      </c>
      <c r="B18798" t="inlineStr">
        <is>
          <t>Fanola No Yellow Colour S 1202 Anti-Yellow Superlightener 100ml</t>
        </is>
      </c>
      <c r="C18798" t="inlineStr">
        <is>
          <t>Bleaching</t>
        </is>
      </c>
      <c r="D18798" t="inlineStr">
        <is>
          <t>Fanola</t>
        </is>
      </c>
      <c r="E18798" t="n">
        <v>4.75</v>
      </c>
      <c r="F18798" t="n">
        <v>1</v>
      </c>
      <c r="G18798" t="n">
        <v>3</v>
      </c>
      <c r="H18798" s="5">
        <f>HYPERLINK("https://api.qogita.com/variants/link/8032947866281/", "View Product")</f>
        <v/>
      </c>
    </row>
    <row r="18799">
      <c r="A18799" t="inlineStr">
        <is>
          <t>8032947866458</t>
        </is>
      </c>
      <c r="B18799" t="inlineStr">
        <is>
          <t>Botugen Botolife Mask Reconstruction Mask For Damaged And Brittle Hair 1000ml</t>
        </is>
      </c>
      <c r="C18799" t="inlineStr">
        <is>
          <t>Hair Masks</t>
        </is>
      </c>
      <c r="D18799" t="inlineStr">
        <is>
          <t>Botugen</t>
        </is>
      </c>
      <c r="E18799" t="n">
        <v>10.34</v>
      </c>
      <c r="F18799" t="n">
        <v>1</v>
      </c>
      <c r="G18799" t="n">
        <v>37</v>
      </c>
      <c r="H18799" s="5">
        <f>HYPERLINK("https://api.qogita.com/variants/link/8032947866458/", "View Product")</f>
        <v/>
      </c>
    </row>
    <row r="18800">
      <c r="A18800" t="inlineStr">
        <is>
          <t>8033219160045</t>
        </is>
      </c>
      <c r="B18800" t="inlineStr">
        <is>
          <t>Inebrya Stylein Total Fix Extra Strong Hair Spray</t>
        </is>
      </c>
      <c r="C18800" t="inlineStr">
        <is>
          <t>Hairspray</t>
        </is>
      </c>
      <c r="D18800" t="inlineStr">
        <is>
          <t>Inebrya</t>
        </is>
      </c>
      <c r="E18800" t="n">
        <v>17.09</v>
      </c>
      <c r="F18800" t="n">
        <v>1</v>
      </c>
      <c r="G18800" t="n">
        <v>5</v>
      </c>
      <c r="H18800" s="5">
        <f>HYPERLINK("https://api.qogita.com/variants/link/8033219160045/", "View Product")</f>
        <v/>
      </c>
    </row>
    <row r="18801">
      <c r="A18801" t="inlineStr">
        <is>
          <t>8033219160120</t>
        </is>
      </c>
      <c r="B18801" t="inlineStr">
        <is>
          <t>Inebrya Bionic Color Dark Blonde Mahogany 100ml</t>
        </is>
      </c>
      <c r="C18801" t="inlineStr">
        <is>
          <t>Hair Dye</t>
        </is>
      </c>
      <c r="D18801" t="inlineStr">
        <is>
          <t>Inebrya</t>
        </is>
      </c>
      <c r="E18801" t="n">
        <v>10</v>
      </c>
      <c r="F18801" t="n">
        <v>1</v>
      </c>
      <c r="G18801" t="n">
        <v>2</v>
      </c>
      <c r="H18801" s="5">
        <f>HYPERLINK("https://api.qogita.com/variants/link/8033219160120/", "View Product")</f>
        <v/>
      </c>
    </row>
    <row r="18802">
      <c r="A18802" t="inlineStr">
        <is>
          <t>8033219160199</t>
        </is>
      </c>
      <c r="B18802" t="inlineStr">
        <is>
          <t>Inebrya Stylein Extra Mousse Extra Strong Hair Mousse</t>
        </is>
      </c>
      <c r="C18802" t="inlineStr">
        <is>
          <t>Mousse</t>
        </is>
      </c>
      <c r="D18802" t="inlineStr">
        <is>
          <t>Inebrya</t>
        </is>
      </c>
      <c r="E18802" t="n">
        <v>16.71</v>
      </c>
      <c r="F18802" t="n">
        <v>1</v>
      </c>
      <c r="G18802" t="n">
        <v>8</v>
      </c>
      <c r="H18802" s="5">
        <f>HYPERLINK("https://api.qogita.com/variants/link/8033219160199/", "View Product")</f>
        <v/>
      </c>
    </row>
    <row r="18803">
      <c r="A18803" t="inlineStr">
        <is>
          <t>8033219160274</t>
        </is>
      </c>
      <c r="B18803" t="inlineStr">
        <is>
          <t>Ice Cream Style-In Thermo Spray Hair Protection Spray 250ml</t>
        </is>
      </c>
      <c r="C18803" t="inlineStr">
        <is>
          <t>Uv Protection</t>
        </is>
      </c>
      <c r="D18803" t="inlineStr">
        <is>
          <t>Inebrya</t>
        </is>
      </c>
      <c r="E18803" t="n">
        <v>15.94</v>
      </c>
      <c r="F18803" t="n">
        <v>1</v>
      </c>
      <c r="G18803" t="n">
        <v>3</v>
      </c>
      <c r="H18803" s="5">
        <f>HYPERLINK("https://api.qogita.com/variants/link/8033219160274/", "View Product")</f>
        <v/>
      </c>
    </row>
    <row r="18804">
      <c r="A18804" t="inlineStr">
        <is>
          <t>8033219160892</t>
        </is>
      </c>
      <c r="B18804" t="inlineStr">
        <is>
          <t>Inebrya 7 Pure Blonde 100ml</t>
        </is>
      </c>
      <c r="C18804" t="inlineStr">
        <is>
          <t>Hair Dye</t>
        </is>
      </c>
      <c r="D18804" t="inlineStr">
        <is>
          <t>Inebrya</t>
        </is>
      </c>
      <c r="E18804" t="n">
        <v>7.25</v>
      </c>
      <c r="F18804" t="n">
        <v>1</v>
      </c>
      <c r="G18804" t="n">
        <v>2</v>
      </c>
      <c r="H18804" s="5">
        <f>HYPERLINK("https://api.qogita.com/variants/link/8033219160892/", "View Product")</f>
        <v/>
      </c>
    </row>
    <row r="18805">
      <c r="A18805" t="inlineStr">
        <is>
          <t>8033219161066</t>
        </is>
      </c>
      <c r="B18805" t="inlineStr">
        <is>
          <t>Inebrya Illuminator Shine Spray 150ml</t>
        </is>
      </c>
      <c r="C18805" t="inlineStr">
        <is>
          <t>Styling Sprays</t>
        </is>
      </c>
      <c r="D18805" t="inlineStr">
        <is>
          <t>Inebrya</t>
        </is>
      </c>
      <c r="E18805" t="n">
        <v>17.86</v>
      </c>
      <c r="F18805" t="n">
        <v>1</v>
      </c>
      <c r="G18805" t="n">
        <v>8</v>
      </c>
      <c r="H18805" s="5">
        <f>HYPERLINK("https://api.qogita.com/variants/link/8033219161066/", "View Product")</f>
        <v/>
      </c>
    </row>
    <row r="18806">
      <c r="A18806" t="inlineStr">
        <is>
          <t>8033219161288</t>
        </is>
      </c>
      <c r="B18806" t="inlineStr">
        <is>
          <t>Inebrya Bionic Violet 4/2 Chestnut Violet 100ml</t>
        </is>
      </c>
      <c r="C18806" t="inlineStr">
        <is>
          <t>Hair Dye</t>
        </is>
      </c>
      <c r="D18806" t="inlineStr">
        <is>
          <t>Inebrya</t>
        </is>
      </c>
      <c r="E18806" t="n">
        <v>10</v>
      </c>
      <c r="F18806" t="n">
        <v>1</v>
      </c>
      <c r="G18806" t="n">
        <v>2</v>
      </c>
      <c r="H18806" s="5">
        <f>HYPERLINK("https://api.qogita.com/variants/link/8033219161288/", "View Product")</f>
        <v/>
      </c>
    </row>
    <row r="18807">
      <c r="A18807" t="inlineStr">
        <is>
          <t>8033219161493</t>
        </is>
      </c>
      <c r="B18807" t="inlineStr">
        <is>
          <t>Inebrya Ice Cream Style-In Volume Spray 200ml</t>
        </is>
      </c>
      <c r="C18807" t="inlineStr">
        <is>
          <t>Hairspray</t>
        </is>
      </c>
      <c r="D18807" t="inlineStr">
        <is>
          <t>Inebrya</t>
        </is>
      </c>
      <c r="E18807" t="n">
        <v>9.58</v>
      </c>
      <c r="F18807" t="n">
        <v>1</v>
      </c>
      <c r="G18807" t="n">
        <v>4</v>
      </c>
      <c r="H18807" s="5">
        <f>HYPERLINK("https://api.qogita.com/variants/link/8033219161493/", "View Product")</f>
        <v/>
      </c>
    </row>
    <row r="18808">
      <c r="A18808" t="inlineStr">
        <is>
          <t>8033219161684</t>
        </is>
      </c>
      <c r="B18808" t="inlineStr">
        <is>
          <t>Inebrya Style-In Duo Style Serum 200ml</t>
        </is>
      </c>
      <c r="C18808" t="inlineStr">
        <is>
          <t>Hair Oil &amp; Hair Serum</t>
        </is>
      </c>
      <c r="D18808" t="inlineStr">
        <is>
          <t>Inebrya</t>
        </is>
      </c>
      <c r="E18808" t="n">
        <v>12.28</v>
      </c>
      <c r="F18808" t="n">
        <v>1</v>
      </c>
      <c r="G18808" t="n">
        <v>4</v>
      </c>
      <c r="H18808" s="5">
        <f>HYPERLINK("https://api.qogita.com/variants/link/8033219161684/", "View Product")</f>
        <v/>
      </c>
    </row>
    <row r="18809">
      <c r="A18809" t="inlineStr">
        <is>
          <t>8033406601733</t>
        </is>
      </c>
      <c r="B18809" t="inlineStr">
        <is>
          <t>NOBILE 1942 Vespri Aromatico 75ml</t>
        </is>
      </c>
      <c r="C18809" t="inlineStr">
        <is>
          <t>Eau De Parfum</t>
        </is>
      </c>
      <c r="D18809" t="inlineStr">
        <is>
          <t>Nobile 1942</t>
        </is>
      </c>
      <c r="E18809" t="n">
        <v>71.48999999999999</v>
      </c>
      <c r="F18809" t="n">
        <v>1</v>
      </c>
      <c r="G18809" t="n">
        <v>4</v>
      </c>
      <c r="H18809" s="5">
        <f>HYPERLINK("https://api.qogita.com/variants/link/8033406601733/", "View Product")</f>
        <v/>
      </c>
    </row>
    <row r="18810">
      <c r="A18810" t="inlineStr">
        <is>
          <t>8033406602242</t>
        </is>
      </c>
      <c r="B18810" t="inlineStr">
        <is>
          <t>Nobile 1942 Ambra Nobile Unisex Eau de Parfum 75ml</t>
        </is>
      </c>
      <c r="C18810" t="inlineStr">
        <is>
          <t>Eau De Parfum</t>
        </is>
      </c>
      <c r="D18810" t="inlineStr">
        <is>
          <t>Nobile 1942</t>
        </is>
      </c>
      <c r="E18810" t="n">
        <v>77.83</v>
      </c>
      <c r="F18810" t="n">
        <v>1</v>
      </c>
      <c r="G18810" t="n">
        <v>4</v>
      </c>
      <c r="H18810" s="5">
        <f>HYPERLINK("https://api.qogita.com/variants/link/8033406602242/", "View Product")</f>
        <v/>
      </c>
    </row>
    <row r="18811">
      <c r="A18811" t="inlineStr">
        <is>
          <t>8033406604635</t>
        </is>
      </c>
      <c r="B18811" t="inlineStr">
        <is>
          <t>NOBILE 1942 E.D.D. Perfume Anti-Milock Scent for Men and Women</t>
        </is>
      </c>
      <c r="C18811" t="inlineStr">
        <is>
          <t>Eau De Parfum</t>
        </is>
      </c>
      <c r="D18811" t="inlineStr">
        <is>
          <t>Nobile 1942</t>
        </is>
      </c>
      <c r="E18811" t="n">
        <v>70.44</v>
      </c>
      <c r="F18811" t="n">
        <v>1</v>
      </c>
      <c r="G18811" t="n">
        <v>2</v>
      </c>
      <c r="H18811" s="5">
        <f>HYPERLINK("https://api.qogita.com/variants/link/8033406604635/", "View Product")</f>
        <v/>
      </c>
    </row>
    <row r="18812">
      <c r="A18812" t="inlineStr">
        <is>
          <t>8033488150662</t>
        </is>
      </c>
      <c r="B18812" t="inlineStr">
        <is>
          <t>Casamorati 1888 Dolce Amalfi Perfumed Water Spray 30ml</t>
        </is>
      </c>
      <c r="C18812" t="inlineStr">
        <is>
          <t>Eau De Parfum</t>
        </is>
      </c>
      <c r="D18812" t="inlineStr">
        <is>
          <t>Casamorati</t>
        </is>
      </c>
      <c r="E18812" t="n">
        <v>64.02</v>
      </c>
      <c r="F18812" t="n">
        <v>1</v>
      </c>
      <c r="G18812" t="n">
        <v>6</v>
      </c>
      <c r="H18812" s="5">
        <f>HYPERLINK("https://api.qogita.com/variants/link/8033488150662/", "View Product")</f>
        <v/>
      </c>
    </row>
    <row r="18813">
      <c r="A18813" t="inlineStr">
        <is>
          <t>8033488151522</t>
        </is>
      </c>
      <c r="B18813" t="inlineStr">
        <is>
          <t>Xerjoff Uden Eau De Parfum Spray 50ml</t>
        </is>
      </c>
      <c r="C18813" t="inlineStr">
        <is>
          <t>Eau De Parfum</t>
        </is>
      </c>
      <c r="D18813" t="inlineStr">
        <is>
          <t>Xerjoff</t>
        </is>
      </c>
      <c r="E18813" t="n">
        <v>123.86</v>
      </c>
      <c r="F18813" t="n">
        <v>1</v>
      </c>
      <c r="G18813" t="n">
        <v>26</v>
      </c>
      <c r="H18813" s="5">
        <f>HYPERLINK("https://api.qogita.com/variants/link/8033488151522/", "View Product")</f>
        <v/>
      </c>
    </row>
    <row r="18814">
      <c r="A18814" t="inlineStr">
        <is>
          <t>8033488151959</t>
        </is>
      </c>
      <c r="B18814" t="inlineStr">
        <is>
          <t>Xerjoff Shooting Stars Oesel Eau De Parfum Spray 50ml</t>
        </is>
      </c>
      <c r="C18814" t="inlineStr">
        <is>
          <t>Eau De Parfum</t>
        </is>
      </c>
      <c r="D18814" t="inlineStr">
        <is>
          <t>Xerjoff</t>
        </is>
      </c>
      <c r="E18814" t="n">
        <v>129.5</v>
      </c>
      <c r="F18814" t="n">
        <v>1</v>
      </c>
      <c r="G18814" t="n">
        <v>2</v>
      </c>
      <c r="H18814" s="5">
        <f>HYPERLINK("https://api.qogita.com/variants/link/8033488151959/", "View Product")</f>
        <v/>
      </c>
    </row>
    <row r="18815">
      <c r="A18815" t="inlineStr">
        <is>
          <t>8033488153588</t>
        </is>
      </c>
      <c r="B18815" t="inlineStr">
        <is>
          <t>Casamorati 1888 Bouquet Ideale Eau De Parfum Spray 100ml</t>
        </is>
      </c>
      <c r="C18815" t="inlineStr">
        <is>
          <t>Eau De Parfum</t>
        </is>
      </c>
      <c r="D18815" t="inlineStr">
        <is>
          <t>Casamorati</t>
        </is>
      </c>
      <c r="E18815" t="n">
        <v>123.86</v>
      </c>
      <c r="F18815" t="n">
        <v>1</v>
      </c>
      <c r="G18815" t="n">
        <v>11</v>
      </c>
      <c r="H18815" s="5">
        <f>HYPERLINK("https://api.qogita.com/variants/link/8033488153588/", "View Product")</f>
        <v/>
      </c>
    </row>
    <row r="18816">
      <c r="A18816" t="inlineStr">
        <is>
          <t>8033488153601</t>
        </is>
      </c>
      <c r="B18816" t="inlineStr">
        <is>
          <t>Xerjoff Casamorati 1888 Regio Eau De Parfum Spray 100ml</t>
        </is>
      </c>
      <c r="C18816" t="inlineStr">
        <is>
          <t>Eau De Parfum</t>
        </is>
      </c>
      <c r="D18816" t="inlineStr">
        <is>
          <t>Xerjoff</t>
        </is>
      </c>
      <c r="E18816" t="n">
        <v>108.41</v>
      </c>
      <c r="F18816" t="n">
        <v>1</v>
      </c>
      <c r="G18816" t="n">
        <v>10</v>
      </c>
      <c r="H18816" s="5">
        <f>HYPERLINK("https://api.qogita.com/variants/link/8033488153601/", "View Product")</f>
        <v/>
      </c>
    </row>
    <row r="18817">
      <c r="A18817" t="inlineStr">
        <is>
          <t>8033488154516</t>
        </is>
      </c>
      <c r="B18817" t="inlineStr">
        <is>
          <t>Casamorati 1888 Bouquet Ideale Eau De Parfum Spray 30ml</t>
        </is>
      </c>
      <c r="C18817" t="inlineStr">
        <is>
          <t>Eau De Parfum</t>
        </is>
      </c>
      <c r="D18817" t="inlineStr">
        <is>
          <t>Casamorati</t>
        </is>
      </c>
      <c r="E18817" t="n">
        <v>75.47</v>
      </c>
      <c r="F18817" t="n">
        <v>1</v>
      </c>
      <c r="G18817" t="n">
        <v>12</v>
      </c>
      <c r="H18817" s="5">
        <f>HYPERLINK("https://api.qogita.com/variants/link/8033488154516/", "View Product")</f>
        <v/>
      </c>
    </row>
    <row r="18818">
      <c r="A18818" t="inlineStr">
        <is>
          <t>8033488155148</t>
        </is>
      </c>
      <c r="B18818" t="inlineStr">
        <is>
          <t>Join The Club by Xerjoff Comandante Eau De Parfum Spray 50ml</t>
        </is>
      </c>
      <c r="C18818" t="inlineStr">
        <is>
          <t>Eau De Parfum</t>
        </is>
      </c>
      <c r="D18818" t="inlineStr">
        <is>
          <t>Xerjoff</t>
        </is>
      </c>
      <c r="E18818" t="n">
        <v>122.76</v>
      </c>
      <c r="F18818" t="n">
        <v>1</v>
      </c>
      <c r="G18818" t="n">
        <v>3</v>
      </c>
      <c r="H18818" s="5">
        <f>HYPERLINK("https://api.qogita.com/variants/link/8033488155148/", "View Product")</f>
        <v/>
      </c>
    </row>
    <row r="18819">
      <c r="A18819" t="inlineStr">
        <is>
          <t>8033488155230</t>
        </is>
      </c>
      <c r="B18819" t="inlineStr">
        <is>
          <t>Xerjoff Ivory Route Eau De Parfum 50ml</t>
        </is>
      </c>
      <c r="C18819" t="inlineStr">
        <is>
          <t>Eau De Parfum</t>
        </is>
      </c>
      <c r="D18819" t="inlineStr">
        <is>
          <t>Xerjoff</t>
        </is>
      </c>
      <c r="E18819" t="n">
        <v>113.35</v>
      </c>
      <c r="F18819" t="n">
        <v>1</v>
      </c>
      <c r="G18819" t="n">
        <v>4</v>
      </c>
      <c r="H18819" s="5">
        <f>HYPERLINK("https://api.qogita.com/variants/link/8033488155230/", "View Product")</f>
        <v/>
      </c>
    </row>
    <row r="18820">
      <c r="A18820" t="inlineStr">
        <is>
          <t>8033488155421</t>
        </is>
      </c>
      <c r="B18820" t="inlineStr">
        <is>
          <t>Xerjoff Elle Eau De Parfum 100ml</t>
        </is>
      </c>
      <c r="C18820" t="inlineStr">
        <is>
          <t>Eau De Parfum</t>
        </is>
      </c>
      <c r="D18820" t="inlineStr">
        <is>
          <t>Xerjoff</t>
        </is>
      </c>
      <c r="E18820" t="n">
        <v>294.25</v>
      </c>
      <c r="F18820" t="n">
        <v>1</v>
      </c>
      <c r="G18820" t="n">
        <v>5</v>
      </c>
      <c r="H18820" s="5">
        <f>HYPERLINK("https://api.qogita.com/variants/link/8033488155421/", "View Product")</f>
        <v/>
      </c>
    </row>
    <row r="18821">
      <c r="A18821" t="inlineStr">
        <is>
          <t>8033488155513</t>
        </is>
      </c>
      <c r="B18821" t="inlineStr">
        <is>
          <t>17/17 By Xerjoff Pikovaya Dama Eau De Parfum Spray 50ml</t>
        </is>
      </c>
      <c r="C18821" t="inlineStr">
        <is>
          <t>Eau De Parfum</t>
        </is>
      </c>
      <c r="D18821" t="inlineStr">
        <is>
          <t>Xerjoff</t>
        </is>
      </c>
      <c r="E18821" t="n">
        <v>236.45</v>
      </c>
      <c r="F18821" t="n">
        <v>1</v>
      </c>
      <c r="G18821" t="n">
        <v>2</v>
      </c>
      <c r="H18821" s="5">
        <f>HYPERLINK("https://api.qogita.com/variants/link/8033488155513/", "View Product")</f>
        <v/>
      </c>
    </row>
    <row r="18822">
      <c r="A18822" t="inlineStr">
        <is>
          <t>8033488158057</t>
        </is>
      </c>
      <c r="B18822" t="inlineStr">
        <is>
          <t>Casamorati 1888 Mefisto Gentiluomo Eau De Parfum Spray 100ml</t>
        </is>
      </c>
      <c r="C18822" t="inlineStr">
        <is>
          <t>Eau De Parfum</t>
        </is>
      </c>
      <c r="D18822" t="inlineStr">
        <is>
          <t>Casamorati</t>
        </is>
      </c>
      <c r="E18822" t="n">
        <v>143.61</v>
      </c>
      <c r="F18822" t="n">
        <v>1</v>
      </c>
      <c r="G18822" t="n">
        <v>3</v>
      </c>
      <c r="H18822" s="5">
        <f>HYPERLINK("https://api.qogita.com/variants/link/8033488158057/", "View Product")</f>
        <v/>
      </c>
    </row>
    <row r="18823">
      <c r="A18823" t="inlineStr">
        <is>
          <t>8033488158996</t>
        </is>
      </c>
      <c r="B18823" t="inlineStr">
        <is>
          <t>Xerjoff V Soprano Eau De Parfum Spray 50ml</t>
        </is>
      </c>
      <c r="C18823" t="inlineStr">
        <is>
          <t>Eau De Parfum</t>
        </is>
      </c>
      <c r="D18823" t="inlineStr">
        <is>
          <t>Xerjoff</t>
        </is>
      </c>
      <c r="E18823" t="n">
        <v>97.73999999999999</v>
      </c>
      <c r="F18823" t="n">
        <v>1</v>
      </c>
      <c r="G18823" t="n">
        <v>26</v>
      </c>
      <c r="H18823" s="5">
        <f>HYPERLINK("https://api.qogita.com/variants/link/8033488158996/", "View Product")</f>
        <v/>
      </c>
    </row>
    <row r="18824">
      <c r="A18824" t="inlineStr">
        <is>
          <t>8033488159139</t>
        </is>
      </c>
      <c r="B18824" t="inlineStr">
        <is>
          <t>Xerjoff Eau De Parfum Spray 50ml Female Travel Size Perfume</t>
        </is>
      </c>
      <c r="C18824" t="inlineStr">
        <is>
          <t>Eau De Parfum</t>
        </is>
      </c>
      <c r="D18824" t="inlineStr">
        <is>
          <t>Xerjoff</t>
        </is>
      </c>
      <c r="E18824" t="n">
        <v>130.33</v>
      </c>
      <c r="F18824" t="n">
        <v>1</v>
      </c>
      <c r="G18824" t="n">
        <v>27</v>
      </c>
      <c r="H18824" s="5">
        <f>HYPERLINK("https://api.qogita.com/variants/link/8033488159139/", "View Product")</f>
        <v/>
      </c>
    </row>
    <row r="18825">
      <c r="A18825" t="inlineStr">
        <is>
          <t>8033488159160</t>
        </is>
      </c>
      <c r="B18825" t="inlineStr">
        <is>
          <t>Xerjoff Oud Stars Luxor Eau De Parfum Spray 50ml</t>
        </is>
      </c>
      <c r="C18825" t="inlineStr">
        <is>
          <t>Eau De Parfum</t>
        </is>
      </c>
      <c r="D18825" t="inlineStr">
        <is>
          <t>Xerjoff</t>
        </is>
      </c>
      <c r="E18825" t="n">
        <v>165.95</v>
      </c>
      <c r="F18825" t="n">
        <v>1</v>
      </c>
      <c r="G18825" t="n">
        <v>10</v>
      </c>
      <c r="H18825" s="5">
        <f>HYPERLINK("https://api.qogita.com/variants/link/8033488159160/", "View Product")</f>
        <v/>
      </c>
    </row>
    <row r="18826">
      <c r="A18826" t="inlineStr">
        <is>
          <t>8033745721376</t>
        </is>
      </c>
      <c r="B18826" t="inlineStr">
        <is>
          <t>Sinergy Cosmetics Soft Touch Super Hand San Gel Hand Disinfectant Gel With 80 Alcohol</t>
        </is>
      </c>
      <c r="C18826" t="inlineStr">
        <is>
          <t>Hand Cleaning</t>
        </is>
      </c>
      <c r="D18826" t="inlineStr">
        <is>
          <t>Synergy Cosmetics</t>
        </is>
      </c>
      <c r="E18826" t="n">
        <v>2.26</v>
      </c>
      <c r="F18826" t="n">
        <v>1</v>
      </c>
      <c r="G18826" t="n">
        <v>1136</v>
      </c>
      <c r="H18826" s="5">
        <f>HYPERLINK("https://api.qogita.com/variants/link/8033745721376/", "View Product")</f>
        <v/>
      </c>
    </row>
    <row r="18827">
      <c r="A18827" t="inlineStr">
        <is>
          <t>8034041522384</t>
        </is>
      </c>
      <c r="B18827" t="inlineStr">
        <is>
          <t>Costume National Compatible Supergloss Natural Spray 50ml</t>
        </is>
      </c>
      <c r="C18827" t="inlineStr">
        <is>
          <t>Eau De Parfum</t>
        </is>
      </c>
      <c r="D18827" t="inlineStr">
        <is>
          <t>Costume National</t>
        </is>
      </c>
      <c r="E18827" t="n">
        <v>29.62</v>
      </c>
      <c r="F18827" t="n">
        <v>1</v>
      </c>
      <c r="G18827" t="n">
        <v>2</v>
      </c>
      <c r="H18827" s="5">
        <f>HYPERLINK("https://api.qogita.com/variants/link/8034041522384/", "View Product")</f>
        <v/>
      </c>
    </row>
    <row r="18828">
      <c r="A18828" t="inlineStr">
        <is>
          <t>8034041522797</t>
        </is>
      </c>
      <c r="B18828" t="inlineStr">
        <is>
          <t>COSTUME NATIONAL Free d’Homme 100ml Oriental Amber</t>
        </is>
      </c>
      <c r="C18828" t="inlineStr">
        <is>
          <t>Eau De Parfum</t>
        </is>
      </c>
      <c r="D18828" t="inlineStr">
        <is>
          <t>Costume National</t>
        </is>
      </c>
      <c r="E18828" t="n">
        <v>50.71</v>
      </c>
      <c r="F18828" t="n">
        <v>1</v>
      </c>
      <c r="G18828" t="n">
        <v>8</v>
      </c>
      <c r="H18828" s="5">
        <f>HYPERLINK("https://api.qogita.com/variants/link/8034041522797/", "View Product")</f>
        <v/>
      </c>
    </row>
    <row r="18829">
      <c r="A18829" t="inlineStr">
        <is>
          <t>8051277312541</t>
        </is>
      </c>
      <c r="B18829" t="inlineStr">
        <is>
          <t>Blend Oud Corona Eau de Parfum Spray 2 oz 60 ml 100% Authentic NEW &amp; SEALED</t>
        </is>
      </c>
      <c r="C18829" t="inlineStr">
        <is>
          <t>Eau De Parfum</t>
        </is>
      </c>
      <c r="D18829" t="inlineStr">
        <is>
          <t>Blend Oud</t>
        </is>
      </c>
      <c r="E18829" t="n">
        <v>59.75</v>
      </c>
      <c r="F18829" t="n">
        <v>1</v>
      </c>
      <c r="G18829" t="n">
        <v>4</v>
      </c>
      <c r="H18829" s="5">
        <f>HYPERLINK("https://api.qogita.com/variants/link/8051277312541/", "View Product")</f>
        <v/>
      </c>
    </row>
    <row r="18830">
      <c r="A18830" t="inlineStr">
        <is>
          <t>8051277312787</t>
        </is>
      </c>
      <c r="B18830" t="inlineStr">
        <is>
          <t>Blend Oud Voyage Collection Oud Marrakech EDP 60ml</t>
        </is>
      </c>
      <c r="C18830" t="inlineStr">
        <is>
          <t>Eau De Parfum</t>
        </is>
      </c>
      <c r="D18830" t="inlineStr">
        <is>
          <t>Blend Oud</t>
        </is>
      </c>
      <c r="E18830" t="n">
        <v>69.64</v>
      </c>
      <c r="F18830" t="n">
        <v>1</v>
      </c>
      <c r="G18830" t="n">
        <v>2</v>
      </c>
      <c r="H18830" s="5">
        <f>HYPERLINK("https://api.qogita.com/variants/link/8051277312787/", "View Product")</f>
        <v/>
      </c>
    </row>
    <row r="18831">
      <c r="A18831" t="inlineStr">
        <is>
          <t>8051277331177</t>
        </is>
      </c>
      <c r="B18831" t="inlineStr">
        <is>
          <t>Mr &amp; Mrs Fragrance Cesare Car Air Freshener Fresh Air 1 Piece</t>
        </is>
      </c>
      <c r="C18831" t="inlineStr">
        <is>
          <t>Diffusers</t>
        </is>
      </c>
      <c r="D18831" t="inlineStr">
        <is>
          <t>Mr &amp; Mrs Fragrance</t>
        </is>
      </c>
      <c r="E18831" t="n">
        <v>4.14</v>
      </c>
      <c r="F18831" t="n">
        <v>1</v>
      </c>
      <c r="G18831" t="n">
        <v>57</v>
      </c>
      <c r="H18831" s="5">
        <f>HYPERLINK("https://api.qogita.com/variants/link/8051277331177/", "View Product")</f>
        <v/>
      </c>
    </row>
    <row r="18832">
      <c r="A18832" t="inlineStr">
        <is>
          <t>8051277333485</t>
        </is>
      </c>
      <c r="B18832" t="inlineStr">
        <is>
          <t>Mr &amp; Mrs Fragrance Jeff Chrome Lemon &amp; Orange Car Fragrance</t>
        </is>
      </c>
      <c r="C18832" t="inlineStr">
        <is>
          <t>Diffusers</t>
        </is>
      </c>
      <c r="D18832" t="inlineStr">
        <is>
          <t>Mr &amp; Mrs Fragrance</t>
        </is>
      </c>
      <c r="E18832" t="n">
        <v>3.28</v>
      </c>
      <c r="F18832" t="n">
        <v>1</v>
      </c>
      <c r="G18832" t="n">
        <v>8</v>
      </c>
      <c r="H18832" s="5">
        <f>HYPERLINK("https://api.qogita.com/variants/link/8051277333485/", "View Product")</f>
        <v/>
      </c>
    </row>
    <row r="18833">
      <c r="A18833" t="inlineStr">
        <is>
          <t>8051417002615</t>
        </is>
      </c>
      <c r="B18833" t="inlineStr">
        <is>
          <t>OXY-TREAT Wrinkles Day Cream 50 ml</t>
        </is>
      </c>
      <c r="C18833" t="inlineStr">
        <is>
          <t>Day Cream</t>
        </is>
      </c>
      <c r="D18833" t="inlineStr">
        <is>
          <t>Lego</t>
        </is>
      </c>
      <c r="E18833" t="n">
        <v>42.42</v>
      </c>
      <c r="F18833" t="n">
        <v>1</v>
      </c>
      <c r="G18833" t="n">
        <v>5</v>
      </c>
      <c r="H18833" s="5">
        <f>HYPERLINK("https://api.qogita.com/variants/link/8051417002615/", "View Product")</f>
        <v/>
      </c>
    </row>
    <row r="18834">
      <c r="A18834" t="inlineStr">
        <is>
          <t>8051417007610</t>
        </is>
      </c>
      <c r="B18834" t="inlineStr">
        <is>
          <t>Oxy-Treat Set Of Intensive Complete Skin Firming Care</t>
        </is>
      </c>
      <c r="C18834" t="inlineStr">
        <is>
          <t>Facial Care Sets</t>
        </is>
      </c>
      <c r="D18834" t="inlineStr">
        <is>
          <t>Oxy-Treat</t>
        </is>
      </c>
      <c r="E18834" t="n">
        <v>83.28</v>
      </c>
      <c r="F18834" t="n">
        <v>1</v>
      </c>
      <c r="G18834" t="n">
        <v>2</v>
      </c>
      <c r="H18834" s="5">
        <f>HYPERLINK("https://api.qogita.com/variants/link/8051417007610/", "View Product")</f>
        <v/>
      </c>
    </row>
    <row r="18835">
      <c r="A18835" t="inlineStr">
        <is>
          <t>8051417008617</t>
        </is>
      </c>
      <c r="B18835" t="inlineStr">
        <is>
          <t>Oxy-Treat Day Cream For Skin Firming - 50 Ml</t>
        </is>
      </c>
      <c r="C18835" t="inlineStr">
        <is>
          <t>Day Cream</t>
        </is>
      </c>
      <c r="D18835" t="inlineStr">
        <is>
          <t>Oxytreat</t>
        </is>
      </c>
      <c r="E18835" t="n">
        <v>42.42</v>
      </c>
      <c r="F18835" t="n">
        <v>1</v>
      </c>
      <c r="G18835" t="n">
        <v>3</v>
      </c>
      <c r="H18835" s="5">
        <f>HYPERLINK("https://api.qogita.com/variants/link/8051417008617/", "View Product")</f>
        <v/>
      </c>
    </row>
    <row r="18836">
      <c r="A18836" t="inlineStr">
        <is>
          <t>8051417018616</t>
        </is>
      </c>
      <c r="B18836" t="inlineStr">
        <is>
          <t>Oxy-Treat Night Cream For Pigment Spots</t>
        </is>
      </c>
      <c r="C18836" t="inlineStr">
        <is>
          <t>Night Cream</t>
        </is>
      </c>
      <c r="D18836" t="inlineStr">
        <is>
          <t>Oxytreat</t>
        </is>
      </c>
      <c r="E18836" t="n">
        <v>45.56</v>
      </c>
      <c r="F18836" t="n">
        <v>1</v>
      </c>
      <c r="G18836" t="n">
        <v>2</v>
      </c>
      <c r="H18836" s="5">
        <f>HYPERLINK("https://api.qogita.com/variants/link/8051417018616/", "View Product")</f>
        <v/>
      </c>
    </row>
    <row r="18837">
      <c r="A18837" t="inlineStr">
        <is>
          <t>8051417069618</t>
        </is>
      </c>
      <c r="B18837" t="inlineStr">
        <is>
          <t>Caducrex Hair Loss Treatment Hssc For Men 20 X 35 Ml And 20 X 35 Ml</t>
        </is>
      </c>
      <c r="C18837" t="inlineStr">
        <is>
          <t>Hair Tonic</t>
        </is>
      </c>
      <c r="D18837" t="inlineStr">
        <is>
          <t>Caducrex</t>
        </is>
      </c>
      <c r="E18837" t="n">
        <v>100.9</v>
      </c>
      <c r="F18837" t="n">
        <v>1</v>
      </c>
      <c r="G18837" t="n">
        <v>3</v>
      </c>
      <c r="H18837" s="5">
        <f>HYPERLINK("https://api.qogita.com/variants/link/8051417069618/", "View Product")</f>
        <v/>
      </c>
    </row>
    <row r="18838">
      <c r="A18838" t="inlineStr">
        <is>
          <t>8051417071611</t>
        </is>
      </c>
      <c r="B18838" t="inlineStr">
        <is>
          <t>Caducrex Treatment For Advanced Hair Loss For Women Available In 20 X 35 Ml And 20 X 35 Ml</t>
        </is>
      </c>
      <c r="C18838" t="inlineStr">
        <is>
          <t>Hair Tonic</t>
        </is>
      </c>
      <c r="D18838" t="inlineStr">
        <is>
          <t>Caducrex</t>
        </is>
      </c>
      <c r="E18838" t="n">
        <v>77.16</v>
      </c>
      <c r="F18838" t="n">
        <v>1</v>
      </c>
      <c r="G18838" t="n">
        <v>2</v>
      </c>
      <c r="H18838" s="5">
        <f>HYPERLINK("https://api.qogita.com/variants/link/8051417071611/", "View Product")</f>
        <v/>
      </c>
    </row>
    <row r="18839">
      <c r="A18839" t="inlineStr">
        <is>
          <t>8051417079617</t>
        </is>
      </c>
      <c r="B18839" t="inlineStr">
        <is>
          <t>Hair Loss Hssc Shampoo for Men 200 ml</t>
        </is>
      </c>
      <c r="C18839" t="inlineStr">
        <is>
          <t>Shampoo</t>
        </is>
      </c>
      <c r="D18839" t="inlineStr">
        <is>
          <t>Cadu-Crex</t>
        </is>
      </c>
      <c r="E18839" t="n">
        <v>19.4</v>
      </c>
      <c r="F18839" t="n">
        <v>1</v>
      </c>
      <c r="G18839" t="n">
        <v>2</v>
      </c>
      <c r="H18839" s="5">
        <f>HYPERLINK("https://api.qogita.com/variants/link/8051417079617/", "View Product")</f>
        <v/>
      </c>
    </row>
    <row r="18840">
      <c r="A18840" t="inlineStr">
        <is>
          <t>8051417946612</t>
        </is>
      </c>
      <c r="B18840" t="inlineStr">
        <is>
          <t>Deep Wrinkle Filling Serum 12HA Level 3 (Filler Effect Gel) 15 ml</t>
        </is>
      </c>
      <c r="C18840" t="inlineStr">
        <is>
          <t>Anti-Aging Serum</t>
        </is>
      </c>
      <c r="D18840" t="inlineStr">
        <is>
          <t>Fillerina</t>
        </is>
      </c>
      <c r="E18840" t="n">
        <v>91.81999999999999</v>
      </c>
      <c r="F18840" t="n">
        <v>1</v>
      </c>
      <c r="G18840" t="n">
        <v>2</v>
      </c>
      <c r="H18840" s="5">
        <f>HYPERLINK("https://api.qogita.com/variants/link/8051417946612/", "View Product")</f>
        <v/>
      </c>
    </row>
    <row r="18841">
      <c r="A18841" t="inlineStr">
        <is>
          <t>8051772716868</t>
        </is>
      </c>
      <c r="B18841" t="inlineStr">
        <is>
          <t>Beper 40.926 Ion Technology Hairbrush with Adjustable Heat Resistance 80-230C</t>
        </is>
      </c>
      <c r="C18841" t="inlineStr">
        <is>
          <t>Hot Air Brushes</t>
        </is>
      </c>
      <c r="D18841" t="inlineStr">
        <is>
          <t>Beper</t>
        </is>
      </c>
      <c r="E18841" t="n">
        <v>26.29</v>
      </c>
      <c r="F18841" t="n">
        <v>1</v>
      </c>
      <c r="G18841" t="n">
        <v>3</v>
      </c>
      <c r="H18841" s="5">
        <f>HYPERLINK("https://api.qogita.com/variants/link/8051772716868/", "View Product")</f>
        <v/>
      </c>
    </row>
    <row r="18842">
      <c r="A18842" t="inlineStr">
        <is>
          <t>8051772719586</t>
        </is>
      </c>
      <c r="B18842" t="inlineStr">
        <is>
          <t>BEPER 40.404 Hair Dryer 2200 Watt with Soft Touch Folding Handle, Diffuser and Concentrator Black/Gold</t>
        </is>
      </c>
      <c r="C18842" t="inlineStr">
        <is>
          <t>Hair Dryers</t>
        </is>
      </c>
      <c r="D18842" t="inlineStr">
        <is>
          <t>Beper</t>
        </is>
      </c>
      <c r="E18842" t="n">
        <v>26.96</v>
      </c>
      <c r="F18842" t="n">
        <v>1</v>
      </c>
      <c r="G18842" t="n">
        <v>2</v>
      </c>
      <c r="H18842" s="5">
        <f>HYPERLINK("https://api.qogita.com/variants/link/8051772719586/", "View Product")</f>
        <v/>
      </c>
    </row>
    <row r="18843">
      <c r="A18843" t="inlineStr">
        <is>
          <t>8051938697901</t>
        </is>
      </c>
      <c r="B18843" t="inlineStr">
        <is>
          <t>Millefiori Icon Nero car air freshener - 1 piece</t>
        </is>
      </c>
      <c r="C18843" t="inlineStr">
        <is>
          <t>Diffusers</t>
        </is>
      </c>
      <c r="D18843" t="inlineStr">
        <is>
          <t>Millefiori</t>
        </is>
      </c>
      <c r="E18843" t="n">
        <v>8.130000000000001</v>
      </c>
      <c r="F18843" t="n">
        <v>1</v>
      </c>
      <c r="G18843" t="n">
        <v>19</v>
      </c>
      <c r="H18843" s="5">
        <f>HYPERLINK("https://api.qogita.com/variants/link/8051938697901/", "View Product")</f>
        <v/>
      </c>
    </row>
    <row r="18844">
      <c r="A18844" t="inlineStr">
        <is>
          <t>8051938698069</t>
        </is>
      </c>
      <c r="B18844" t="inlineStr">
        <is>
          <t>Millefiori Icon Silver Spirit car air freshener - 1 piece</t>
        </is>
      </c>
      <c r="C18844" t="inlineStr">
        <is>
          <t>Diffusers</t>
        </is>
      </c>
      <c r="D18844" t="inlineStr">
        <is>
          <t>Millefiori</t>
        </is>
      </c>
      <c r="E18844" t="n">
        <v>8.130000000000001</v>
      </c>
      <c r="F18844" t="n">
        <v>1</v>
      </c>
      <c r="G18844" t="n">
        <v>8</v>
      </c>
      <c r="H18844" s="5">
        <f>HYPERLINK("https://api.qogita.com/variants/link/8051938698069/", "View Product")</f>
        <v/>
      </c>
    </row>
    <row r="18845">
      <c r="A18845" t="inlineStr">
        <is>
          <t>8052086372962</t>
        </is>
      </c>
      <c r="B18845" t="inlineStr">
        <is>
          <t>Salvatore Ferragamo Uomo Casual Life Eau De Toilette Spray 50ml</t>
        </is>
      </c>
      <c r="C18845" t="inlineStr">
        <is>
          <t>Eau De Toilette</t>
        </is>
      </c>
      <c r="D18845" t="inlineStr">
        <is>
          <t>Salvatore Ferragamo</t>
        </is>
      </c>
      <c r="E18845" t="n">
        <v>25.44</v>
      </c>
      <c r="F18845" t="n">
        <v>1</v>
      </c>
      <c r="G18845" t="n">
        <v>13</v>
      </c>
      <c r="H18845" s="5">
        <f>HYPERLINK("https://api.qogita.com/variants/link/8052086372962/", "View Product")</f>
        <v/>
      </c>
    </row>
    <row r="18846">
      <c r="A18846" t="inlineStr">
        <is>
          <t>8052086375154</t>
        </is>
      </c>
      <c r="B18846" t="inlineStr">
        <is>
          <t>Tuscan Creations Bianco Di Carrara Eau de Parfum 100ml</t>
        </is>
      </c>
      <c r="C18846" t="inlineStr">
        <is>
          <t>Eau De Parfum</t>
        </is>
      </c>
      <c r="D18846" t="inlineStr">
        <is>
          <t>Salvatore Ferragamo</t>
        </is>
      </c>
      <c r="E18846" t="n">
        <v>53.75</v>
      </c>
      <c r="F18846" t="n">
        <v>1</v>
      </c>
      <c r="G18846" t="n">
        <v>7</v>
      </c>
      <c r="H18846" s="5">
        <f>HYPERLINK("https://api.qogita.com/variants/link/8052086375154/", "View Product")</f>
        <v/>
      </c>
    </row>
    <row r="18847">
      <c r="A18847" t="inlineStr">
        <is>
          <t>8052086375192</t>
        </is>
      </c>
      <c r="B18847" t="inlineStr">
        <is>
          <t>Tuscan Creations La Corte Perfumed Water 100ml</t>
        </is>
      </c>
      <c r="C18847" t="inlineStr">
        <is>
          <t>Eau De Parfum</t>
        </is>
      </c>
      <c r="D18847" t="inlineStr">
        <is>
          <t>Tuscan Creations</t>
        </is>
      </c>
      <c r="E18847" t="n">
        <v>71.22</v>
      </c>
      <c r="F18847" t="n">
        <v>1</v>
      </c>
      <c r="G18847" t="n">
        <v>3</v>
      </c>
      <c r="H18847" s="5">
        <f>HYPERLINK("https://api.qogita.com/variants/link/8052086375192/", "View Product")</f>
        <v/>
      </c>
    </row>
    <row r="18848">
      <c r="A18848" t="inlineStr">
        <is>
          <t>8052086377257</t>
        </is>
      </c>
      <c r="B18848" t="inlineStr">
        <is>
          <t>Salvatore Ferragamo Signorina Ribelle Shower Gel 200ml</t>
        </is>
      </c>
      <c r="C18848" t="inlineStr">
        <is>
          <t>Shower Gel</t>
        </is>
      </c>
      <c r="D18848" t="inlineStr">
        <is>
          <t>Salvatore Ferragamo</t>
        </is>
      </c>
      <c r="E18848" t="n">
        <v>12.56</v>
      </c>
      <c r="F18848" t="n">
        <v>1</v>
      </c>
      <c r="G18848" t="n">
        <v>2</v>
      </c>
      <c r="H18848" s="5">
        <f>HYPERLINK("https://api.qogita.com/variants/link/8052086377257/", "View Product")</f>
        <v/>
      </c>
    </row>
    <row r="18849">
      <c r="A18849" t="inlineStr">
        <is>
          <t>8052086377950</t>
        </is>
      </c>
      <c r="B18849" t="inlineStr">
        <is>
          <t>Salvatore Ferragamo Eau De Toilette Spray 30ml</t>
        </is>
      </c>
      <c r="C18849" t="inlineStr">
        <is>
          <t>Eau De Toilette</t>
        </is>
      </c>
      <c r="D18849" t="inlineStr">
        <is>
          <t>Salvatore Ferragamo</t>
        </is>
      </c>
      <c r="E18849" t="n">
        <v>17</v>
      </c>
      <c r="F18849" t="n">
        <v>1</v>
      </c>
      <c r="G18849" t="n">
        <v>11</v>
      </c>
      <c r="H18849" s="5">
        <f>HYPERLINK("https://api.qogita.com/variants/link/8052086377950/", "View Product")</f>
        <v/>
      </c>
    </row>
    <row r="18850">
      <c r="A18850" t="inlineStr">
        <is>
          <t>8052086378483</t>
        </is>
      </c>
      <c r="B18850" t="inlineStr">
        <is>
          <t>Salvatore Ferragamo Signorina in Fiore Eau De Toilette 20ml for Women</t>
        </is>
      </c>
      <c r="C18850" t="inlineStr">
        <is>
          <t>Eau De Toilette</t>
        </is>
      </c>
      <c r="D18850" t="inlineStr">
        <is>
          <t>Salvatore Ferragamo</t>
        </is>
      </c>
      <c r="E18850" t="n">
        <v>11.68</v>
      </c>
      <c r="F18850" t="n">
        <v>1</v>
      </c>
      <c r="G18850" t="n">
        <v>3</v>
      </c>
      <c r="H18850" s="5">
        <f>HYPERLINK("https://api.qogita.com/variants/link/8052086378483/", "View Product")</f>
        <v/>
      </c>
    </row>
    <row r="18851">
      <c r="A18851" t="inlineStr">
        <is>
          <t>8052086379671</t>
        </is>
      </c>
      <c r="B18851" t="inlineStr">
        <is>
          <t>Emanuel Ungaro For Her Fresh Eau De Toilette 50ml</t>
        </is>
      </c>
      <c r="C18851" t="inlineStr">
        <is>
          <t>Eau De Toilette</t>
        </is>
      </c>
      <c r="D18851" t="inlineStr">
        <is>
          <t>Emanuel Ungaro</t>
        </is>
      </c>
      <c r="E18851" t="n">
        <v>8.42</v>
      </c>
      <c r="F18851" t="n">
        <v>1</v>
      </c>
      <c r="G18851" t="n">
        <v>4</v>
      </c>
      <c r="H18851" s="5">
        <f>HYPERLINK("https://api.qogita.com/variants/link/8052086379671/", "View Product")</f>
        <v/>
      </c>
    </row>
    <row r="18852">
      <c r="A18852" t="inlineStr">
        <is>
          <t>8052086379749</t>
        </is>
      </c>
      <c r="B18852" t="inlineStr">
        <is>
          <t>Emanuel Ungaro Fresh For Him Eau De Toilette</t>
        </is>
      </c>
      <c r="C18852" t="inlineStr">
        <is>
          <t>Eau De Toilette</t>
        </is>
      </c>
      <c r="D18852" t="inlineStr">
        <is>
          <t>Emanuel Ungaro</t>
        </is>
      </c>
      <c r="E18852" t="n">
        <v>16.64</v>
      </c>
      <c r="F18852" t="n">
        <v>1</v>
      </c>
      <c r="G18852" t="n">
        <v>2</v>
      </c>
      <c r="H18852" s="5">
        <f>HYPERLINK("https://api.qogita.com/variants/link/8052086379749/", "View Product")</f>
        <v/>
      </c>
    </row>
    <row r="18853">
      <c r="A18853" t="inlineStr">
        <is>
          <t>8052464890316</t>
        </is>
      </c>
      <c r="B18853" t="inlineStr">
        <is>
          <t>Salvatore Ferragamo Giardini Di Seta Eau De Parfum 100ml</t>
        </is>
      </c>
      <c r="C18853" t="inlineStr">
        <is>
          <t>Eau De Parfum</t>
        </is>
      </c>
      <c r="D18853" t="inlineStr">
        <is>
          <t>Salvatore Ferragamo</t>
        </is>
      </c>
      <c r="E18853" t="n">
        <v>25.84</v>
      </c>
      <c r="F18853" t="n">
        <v>1</v>
      </c>
      <c r="G18853" t="n">
        <v>8</v>
      </c>
      <c r="H18853" s="5">
        <f>HYPERLINK("https://api.qogita.com/variants/link/8052464890316/", "View Product")</f>
        <v/>
      </c>
    </row>
    <row r="18854">
      <c r="A18854" t="inlineStr">
        <is>
          <t>8052464890347</t>
        </is>
      </c>
      <c r="B18854" t="inlineStr">
        <is>
          <t>Salvatore Ferragamo Savane Di Seta Eau De Parfum Spray 50ml</t>
        </is>
      </c>
      <c r="C18854" t="inlineStr">
        <is>
          <t>Eau De Parfum</t>
        </is>
      </c>
      <c r="D18854" t="inlineStr">
        <is>
          <t>Salvatore Ferragamo</t>
        </is>
      </c>
      <c r="E18854" t="n">
        <v>15.75</v>
      </c>
      <c r="F18854" t="n">
        <v>1</v>
      </c>
      <c r="G18854" t="n">
        <v>29</v>
      </c>
      <c r="H18854" s="5">
        <f>HYPERLINK("https://api.qogita.com/variants/link/8052464890347/", "View Product")</f>
        <v/>
      </c>
    </row>
    <row r="18855">
      <c r="A18855" t="inlineStr">
        <is>
          <t>8052464890682</t>
        </is>
      </c>
      <c r="B18855" t="inlineStr">
        <is>
          <t>Salvatore Ferragamo Ferragamo Intense Leather Eau De Parfum</t>
        </is>
      </c>
      <c r="C18855" t="inlineStr">
        <is>
          <t>Eau De Parfum</t>
        </is>
      </c>
      <c r="D18855" t="inlineStr">
        <is>
          <t>Salvatore Ferragamo</t>
        </is>
      </c>
      <c r="E18855" t="n">
        <v>19.11</v>
      </c>
      <c r="F18855" t="n">
        <v>1</v>
      </c>
      <c r="G18855" t="n">
        <v>3</v>
      </c>
      <c r="H18855" s="5">
        <f>HYPERLINK("https://api.qogita.com/variants/link/8052464890682/", "View Product")</f>
        <v/>
      </c>
    </row>
    <row r="18856">
      <c r="A18856" t="inlineStr">
        <is>
          <t>8052464890989</t>
        </is>
      </c>
      <c r="B18856" t="inlineStr">
        <is>
          <t>Salvatore Ferragamo Arte Orafa Eau De Parfum Spray 100ml</t>
        </is>
      </c>
      <c r="C18856" t="inlineStr">
        <is>
          <t>Eau De Parfum</t>
        </is>
      </c>
      <c r="D18856" t="inlineStr">
        <is>
          <t>Salvatore Ferragamo</t>
        </is>
      </c>
      <c r="E18856" t="n">
        <v>81.70999999999999</v>
      </c>
      <c r="F18856" t="n">
        <v>1</v>
      </c>
      <c r="G18856" t="n">
        <v>3</v>
      </c>
      <c r="H18856" s="5">
        <f>HYPERLINK("https://api.qogita.com/variants/link/8052464890989/", "View Product")</f>
        <v/>
      </c>
    </row>
    <row r="18857">
      <c r="A18857" t="inlineStr">
        <is>
          <t>8052464891412</t>
        </is>
      </c>
      <c r="B18857" t="inlineStr">
        <is>
          <t>Salvatore Ferragamo Acqua Essenziale 100ml EDT Spray</t>
        </is>
      </c>
      <c r="C18857" t="inlineStr">
        <is>
          <t>Eau De Toilette</t>
        </is>
      </c>
      <c r="D18857" t="inlineStr">
        <is>
          <t>Salvatore Ferragamo</t>
        </is>
      </c>
      <c r="E18857" t="n">
        <v>26.93</v>
      </c>
      <c r="F18857" t="n">
        <v>1</v>
      </c>
      <c r="G18857" t="n">
        <v>10</v>
      </c>
      <c r="H18857" s="5">
        <f>HYPERLINK("https://api.qogita.com/variants/link/8052464891412/", "View Product")</f>
        <v/>
      </c>
    </row>
    <row r="18858">
      <c r="A18858" t="inlineStr">
        <is>
          <t>8052464891542</t>
        </is>
      </c>
      <c r="B18858" t="inlineStr">
        <is>
          <t>Ungaro Femme Eau De Parfum Spray 90ml</t>
        </is>
      </c>
      <c r="C18858" t="inlineStr">
        <is>
          <t>Eau De Parfum</t>
        </is>
      </c>
      <c r="D18858" t="inlineStr">
        <is>
          <t>Emanuel Ungaro</t>
        </is>
      </c>
      <c r="E18858" t="n">
        <v>16.79</v>
      </c>
      <c r="F18858" t="n">
        <v>1</v>
      </c>
      <c r="G18858" t="n">
        <v>5</v>
      </c>
      <c r="H18858" s="5">
        <f>HYPERLINK("https://api.qogita.com/variants/link/8052464891542/", "View Product")</f>
        <v/>
      </c>
    </row>
    <row r="18859">
      <c r="A18859" t="inlineStr">
        <is>
          <t>8052464891603</t>
        </is>
      </c>
      <c r="B18859" t="inlineStr">
        <is>
          <t>Ferragamo Incanto Shine Eau de Toilette Spray 100ml</t>
        </is>
      </c>
      <c r="C18859" t="inlineStr">
        <is>
          <t>Eau De Toilette</t>
        </is>
      </c>
      <c r="D18859" t="inlineStr">
        <is>
          <t>Salvatore Ferragamo</t>
        </is>
      </c>
      <c r="E18859" t="n">
        <v>17.26</v>
      </c>
      <c r="F18859" t="n">
        <v>1</v>
      </c>
      <c r="G18859" t="n">
        <v>66</v>
      </c>
      <c r="H18859" s="5">
        <f>HYPERLINK("https://api.qogita.com/variants/link/8052464891603/", "View Product")</f>
        <v/>
      </c>
    </row>
    <row r="18860">
      <c r="A18860" t="inlineStr">
        <is>
          <t>8052464893324</t>
        </is>
      </c>
      <c r="B18860" t="inlineStr">
        <is>
          <t>Salvatore Ferragamo Signorina Eau De Parfum 50ml</t>
        </is>
      </c>
      <c r="C18860" t="inlineStr">
        <is>
          <t>Eau De Parfum</t>
        </is>
      </c>
      <c r="D18860" t="inlineStr">
        <is>
          <t>Salvatore Ferragamo</t>
        </is>
      </c>
      <c r="E18860" t="n">
        <v>32.94</v>
      </c>
      <c r="F18860" t="n">
        <v>1</v>
      </c>
      <c r="G18860" t="n">
        <v>162</v>
      </c>
      <c r="H18860" s="5">
        <f>HYPERLINK("https://api.qogita.com/variants/link/8052464893324/", "View Product")</f>
        <v/>
      </c>
    </row>
    <row r="18861">
      <c r="A18861" t="inlineStr">
        <is>
          <t>8052464893652</t>
        </is>
      </c>
      <c r="B18861" t="inlineStr">
        <is>
          <t>Emanuel Ungaro Diva Rouge Eau De Parfum</t>
        </is>
      </c>
      <c r="C18861" t="inlineStr">
        <is>
          <t>Eau De Parfum</t>
        </is>
      </c>
      <c r="D18861" t="inlineStr">
        <is>
          <t>Emanuel Ungaro</t>
        </is>
      </c>
      <c r="E18861" t="n">
        <v>13.87</v>
      </c>
      <c r="F18861" t="n">
        <v>1</v>
      </c>
      <c r="G18861" t="n">
        <v>3</v>
      </c>
      <c r="H18861" s="5">
        <f>HYPERLINK("https://api.qogita.com/variants/link/8052464893652/", "View Product")</f>
        <v/>
      </c>
    </row>
    <row r="18862">
      <c r="A18862" t="inlineStr">
        <is>
          <t>8052464894543</t>
        </is>
      </c>
      <c r="B18862" t="inlineStr">
        <is>
          <t>Emanuel Ungaro Heavenly Petals Fragrance Mist for Women 4.2 Fl Oz</t>
        </is>
      </c>
      <c r="C18862" t="inlineStr">
        <is>
          <t>Eau De Parfum</t>
        </is>
      </c>
      <c r="D18862" t="inlineStr">
        <is>
          <t>Emanuel Ungaro</t>
        </is>
      </c>
      <c r="E18862" t="n">
        <v>7.66</v>
      </c>
      <c r="F18862" t="n">
        <v>1</v>
      </c>
      <c r="G18862" t="n">
        <v>5</v>
      </c>
      <c r="H18862" s="5">
        <f>HYPERLINK("https://api.qogita.com/variants/link/8052464894543/", "View Product")</f>
        <v/>
      </c>
    </row>
    <row r="18863">
      <c r="A18863" t="inlineStr">
        <is>
          <t>8052464895823</t>
        </is>
      </c>
      <c r="B18863" t="inlineStr">
        <is>
          <t>Salvatore Ferragamo Signorina Misteriosa Eau De Parfum 100ml</t>
        </is>
      </c>
      <c r="C18863" t="inlineStr">
        <is>
          <t>Eau De Parfum</t>
        </is>
      </c>
      <c r="D18863" t="inlineStr">
        <is>
          <t>Salvatore Ferragamo</t>
        </is>
      </c>
      <c r="E18863" t="n">
        <v>34.45</v>
      </c>
      <c r="F18863" t="n">
        <v>1</v>
      </c>
      <c r="G18863" t="n">
        <v>66</v>
      </c>
      <c r="H18863" s="5">
        <f>HYPERLINK("https://api.qogita.com/variants/link/8052464895823/", "View Product")</f>
        <v/>
      </c>
    </row>
    <row r="18864">
      <c r="A18864" t="inlineStr">
        <is>
          <t>8052464896837</t>
        </is>
      </c>
      <c r="B18864" t="inlineStr">
        <is>
          <t>Paradiso Azzurro by Roberto Cavalli Eau de Parfum Spray 75ml Floral</t>
        </is>
      </c>
      <c r="C18864" t="inlineStr">
        <is>
          <t>Eau De Parfum</t>
        </is>
      </c>
      <c r="D18864" t="inlineStr">
        <is>
          <t>Roberto Cavalli</t>
        </is>
      </c>
      <c r="E18864" t="n">
        <v>26.7</v>
      </c>
      <c r="F18864" t="n">
        <v>1</v>
      </c>
      <c r="G18864" t="n">
        <v>30</v>
      </c>
      <c r="H18864" s="5">
        <f>HYPERLINK("https://api.qogita.com/variants/link/8052464896837/", "View Product")</f>
        <v/>
      </c>
    </row>
    <row r="18865">
      <c r="A18865" t="inlineStr">
        <is>
          <t>8052464897759</t>
        </is>
      </c>
      <c r="B18865" t="inlineStr">
        <is>
          <t>Roberto Cavalli Sweet Fericious Eau De Parfum For Women - 75 Ml</t>
        </is>
      </c>
      <c r="C18865" t="inlineStr">
        <is>
          <t>Eau De Parfum</t>
        </is>
      </c>
      <c r="D18865" t="inlineStr">
        <is>
          <t>Roberto Cavalli</t>
        </is>
      </c>
      <c r="E18865" t="n">
        <v>28.8</v>
      </c>
      <c r="F18865" t="n">
        <v>1</v>
      </c>
      <c r="G18865" t="n">
        <v>16</v>
      </c>
      <c r="H18865" s="5">
        <f>HYPERLINK("https://api.qogita.com/variants/link/8052464897759/", "View Product")</f>
        <v/>
      </c>
    </row>
    <row r="18866">
      <c r="A18866" t="inlineStr">
        <is>
          <t>8053288291952</t>
        </is>
      </c>
      <c r="B18866" t="inlineStr">
        <is>
          <t>Mr &amp; Mrs Fragrance Niki Gardenia Of Tahiti Car Scent</t>
        </is>
      </c>
      <c r="C18866" t="inlineStr">
        <is>
          <t>Diffusers</t>
        </is>
      </c>
      <c r="D18866" t="inlineStr">
        <is>
          <t>Mr &amp; Mrs Fragrance</t>
        </is>
      </c>
      <c r="E18866" t="n">
        <v>8.08</v>
      </c>
      <c r="F18866" t="n">
        <v>1</v>
      </c>
      <c r="G18866" t="n">
        <v>5</v>
      </c>
      <c r="H18866" s="5">
        <f>HYPERLINK("https://api.qogita.com/variants/link/8053288291952/", "View Product")</f>
        <v/>
      </c>
    </row>
    <row r="18867">
      <c r="A18867" t="inlineStr">
        <is>
          <t>8053288291969</t>
        </is>
      </c>
      <c r="B18867" t="inlineStr">
        <is>
          <t>Mr &amp; Mrs Fragranance Car Air Freshener, Niki, Classic, Cobalt Blue</t>
        </is>
      </c>
      <c r="C18867" t="inlineStr">
        <is>
          <t>Diffusers</t>
        </is>
      </c>
      <c r="D18867" t="inlineStr">
        <is>
          <t>Mr &amp; Mrs Fragrance</t>
        </is>
      </c>
      <c r="E18867" t="n">
        <v>8.109999999999999</v>
      </c>
      <c r="F18867" t="n">
        <v>1</v>
      </c>
      <c r="G18867" t="n">
        <v>12</v>
      </c>
      <c r="H18867" s="5">
        <f>HYPERLINK("https://api.qogita.com/variants/link/8053288291969/", "View Product")</f>
        <v/>
      </c>
    </row>
    <row r="18868">
      <c r="A18868" t="inlineStr">
        <is>
          <t>8053288292362</t>
        </is>
      </c>
      <c r="B18868" t="inlineStr">
        <is>
          <t>Mr &amp; Mrs Fragrance Niki Big Oriental Refill A Car Fragrance Refill</t>
        </is>
      </c>
      <c r="C18868" t="inlineStr">
        <is>
          <t>Diffusers</t>
        </is>
      </c>
      <c r="D18868" t="inlineStr">
        <is>
          <t>Mr &amp; Mrs Fragrance</t>
        </is>
      </c>
      <c r="E18868" t="n">
        <v>3.94</v>
      </c>
      <c r="F18868" t="n">
        <v>1</v>
      </c>
      <c r="G18868" t="n">
        <v>36</v>
      </c>
      <c r="H18868" s="5">
        <f>HYPERLINK("https://api.qogita.com/variants/link/8053288292362/", "View Product")</f>
        <v/>
      </c>
    </row>
    <row r="18869">
      <c r="A18869" t="inlineStr">
        <is>
          <t>8053288292386</t>
        </is>
      </c>
      <c r="B18869" t="inlineStr">
        <is>
          <t>Mr &amp; Mrs Fragrance Niki Equilibrium Refill Replacement Refill For Car Fragrance</t>
        </is>
      </c>
      <c r="C18869" t="inlineStr">
        <is>
          <t>Diffusers</t>
        </is>
      </c>
      <c r="D18869" t="inlineStr">
        <is>
          <t>Mr &amp; Mrs Fragrance</t>
        </is>
      </c>
      <c r="E18869" t="n">
        <v>5.41</v>
      </c>
      <c r="F18869" t="n">
        <v>1</v>
      </c>
      <c r="G18869" t="n">
        <v>6</v>
      </c>
      <c r="H18869" s="5">
        <f>HYPERLINK("https://api.qogita.com/variants/link/8053288292386/", "View Product")</f>
        <v/>
      </c>
    </row>
    <row r="18870">
      <c r="A18870" t="inlineStr">
        <is>
          <t>8053288295950</t>
        </is>
      </c>
      <c r="B18870" t="inlineStr">
        <is>
          <t>Mr &amp; Mrs Fragrance Niki Spicy Woods Refill Replacement Fragrance For Car</t>
        </is>
      </c>
      <c r="C18870" t="inlineStr">
        <is>
          <t>Diffusers</t>
        </is>
      </c>
      <c r="D18870" t="inlineStr">
        <is>
          <t>Mr &amp; Mrs Fragrance</t>
        </is>
      </c>
      <c r="E18870" t="n">
        <v>3.94</v>
      </c>
      <c r="F18870" t="n">
        <v>1</v>
      </c>
      <c r="G18870" t="n">
        <v>33</v>
      </c>
      <c r="H18870" s="5">
        <f>HYPERLINK("https://api.qogita.com/variants/link/8053288295950/", "View Product")</f>
        <v/>
      </c>
    </row>
    <row r="18871">
      <c r="A18871" t="inlineStr">
        <is>
          <t>8053288296575</t>
        </is>
      </c>
      <c r="B18871" t="inlineStr">
        <is>
          <t>Mr&amp;Mrs Fragrance Big Joy Citrus Woods White - Car Fragrance</t>
        </is>
      </c>
      <c r="C18871" t="inlineStr">
        <is>
          <t>Diffusers</t>
        </is>
      </c>
      <c r="D18871" t="inlineStr">
        <is>
          <t>Mr&amp;mrs Fragrance</t>
        </is>
      </c>
      <c r="E18871" t="n">
        <v>4.33</v>
      </c>
      <c r="F18871" t="n">
        <v>1</v>
      </c>
      <c r="G18871" t="n">
        <v>5</v>
      </c>
      <c r="H18871" s="5">
        <f>HYPERLINK("https://api.qogita.com/variants/link/8053288296575/", "View Product")</f>
        <v/>
      </c>
    </row>
    <row r="18872">
      <c r="A18872" t="inlineStr">
        <is>
          <t>8053288298944</t>
        </is>
      </c>
      <c r="B18872" t="inlineStr">
        <is>
          <t>Mr &amp; Mrs Fragrance Cesare Warm Spicy Car Fragrance</t>
        </is>
      </c>
      <c r="C18872" t="inlineStr">
        <is>
          <t>Incense</t>
        </is>
      </c>
      <c r="D18872" t="inlineStr">
        <is>
          <t>Mr &amp; Mrs Fragrance</t>
        </is>
      </c>
      <c r="E18872" t="n">
        <v>5.05</v>
      </c>
      <c r="F18872" t="n">
        <v>1</v>
      </c>
      <c r="G18872" t="n">
        <v>15</v>
      </c>
      <c r="H18872" s="5">
        <f>HYPERLINK("https://api.qogita.com/variants/link/8053288298944/", "View Product")</f>
        <v/>
      </c>
    </row>
    <row r="18873">
      <c r="A18873" t="inlineStr">
        <is>
          <t>8053369880044</t>
        </is>
      </c>
      <c r="B18873" t="inlineStr">
        <is>
          <t>Morph Luxury Kolonaki Eau De Parfum 100 Milliliters</t>
        </is>
      </c>
      <c r="C18873" t="inlineStr">
        <is>
          <t>Eau De Parfum</t>
        </is>
      </c>
      <c r="D18873" t="inlineStr">
        <is>
          <t>Morph</t>
        </is>
      </c>
      <c r="E18873" t="n">
        <v>93.7</v>
      </c>
      <c r="F18873" t="n">
        <v>1</v>
      </c>
      <c r="G18873" t="n">
        <v>4</v>
      </c>
      <c r="H18873" s="5">
        <f>HYPERLINK("https://api.qogita.com/variants/link/8053369880044/", "View Product")</f>
        <v/>
      </c>
    </row>
    <row r="18874">
      <c r="A18874" t="inlineStr">
        <is>
          <t>8053369880136</t>
        </is>
      </c>
      <c r="B18874" t="inlineStr">
        <is>
          <t>Morph N8 100ml - Les Exclusifs: Exclusive Elegance By Morph</t>
        </is>
      </c>
      <c r="C18874" t="inlineStr">
        <is>
          <t>Eau De Parfum</t>
        </is>
      </c>
      <c r="D18874" t="inlineStr">
        <is>
          <t>Morph</t>
        </is>
      </c>
      <c r="E18874" t="n">
        <v>109.05</v>
      </c>
      <c r="F18874" t="n">
        <v>1</v>
      </c>
      <c r="G18874" t="n">
        <v>2</v>
      </c>
      <c r="H18874" s="5">
        <f>HYPERLINK("https://api.qogita.com/variants/link/8053369880136/", "View Product")</f>
        <v/>
      </c>
    </row>
    <row r="18875">
      <c r="A18875" t="inlineStr">
        <is>
          <t>8053369880655</t>
        </is>
      </c>
      <c r="B18875" t="inlineStr">
        <is>
          <t>Morph Umhh 100ml: Exclusive And Seductive Perfume</t>
        </is>
      </c>
      <c r="C18875" t="inlineStr">
        <is>
          <t>Eau De Parfum</t>
        </is>
      </c>
      <c r="D18875" t="inlineStr">
        <is>
          <t>Morph</t>
        </is>
      </c>
      <c r="E18875" t="n">
        <v>107.95</v>
      </c>
      <c r="F18875" t="n">
        <v>1</v>
      </c>
      <c r="G18875" t="n">
        <v>3</v>
      </c>
      <c r="H18875" s="5">
        <f>HYPERLINK("https://api.qogita.com/variants/link/8053369880655/", "View Product")</f>
        <v/>
      </c>
    </row>
    <row r="18876">
      <c r="A18876" t="inlineStr">
        <is>
          <t>8054320900009</t>
        </is>
      </c>
      <c r="B18876" t="inlineStr">
        <is>
          <t>Xerjoff V Amabile Eau De Parfum Spray 100ml</t>
        </is>
      </c>
      <c r="C18876" t="inlineStr">
        <is>
          <t>Eau De Parfum</t>
        </is>
      </c>
      <c r="D18876" t="inlineStr">
        <is>
          <t>Xerjoff</t>
        </is>
      </c>
      <c r="E18876" t="n">
        <v>112.54</v>
      </c>
      <c r="F18876" t="n">
        <v>1</v>
      </c>
      <c r="G18876" t="n">
        <v>11</v>
      </c>
      <c r="H18876" s="5">
        <f>HYPERLINK("https://api.qogita.com/variants/link/8054320900009/", "View Product")</f>
        <v/>
      </c>
    </row>
    <row r="18877">
      <c r="A18877" t="inlineStr">
        <is>
          <t>8054320900276</t>
        </is>
      </c>
      <c r="B18877" t="inlineStr">
        <is>
          <t>Xerjoff Jtc 400 Eau De Parfum Spray 50ml</t>
        </is>
      </c>
      <c r="C18877" t="inlineStr">
        <is>
          <t>Eau De Parfum</t>
        </is>
      </c>
      <c r="D18877" t="inlineStr">
        <is>
          <t>Xerjoff</t>
        </is>
      </c>
      <c r="E18877" t="n">
        <v>105.52</v>
      </c>
      <c r="F18877" t="n">
        <v>1</v>
      </c>
      <c r="G18877" t="n">
        <v>22</v>
      </c>
      <c r="H18877" s="5">
        <f>HYPERLINK("https://api.qogita.com/variants/link/8054320900276/", "View Product")</f>
        <v/>
      </c>
    </row>
    <row r="18878">
      <c r="A18878" t="inlineStr">
        <is>
          <t>8054320900771</t>
        </is>
      </c>
      <c r="B18878" t="inlineStr">
        <is>
          <t>Xerjoff Aqua Regia Perfume Spray for Unisex 100g</t>
        </is>
      </c>
      <c r="C18878" t="inlineStr">
        <is>
          <t>Eau De Parfum</t>
        </is>
      </c>
      <c r="D18878" t="inlineStr">
        <is>
          <t>Xerjoff</t>
        </is>
      </c>
      <c r="E18878" t="n">
        <v>159.68</v>
      </c>
      <c r="F18878" t="n">
        <v>1</v>
      </c>
      <c r="G18878" t="n">
        <v>12</v>
      </c>
      <c r="H18878" s="5">
        <f>HYPERLINK("https://api.qogita.com/variants/link/8054320900771/", "View Product")</f>
        <v/>
      </c>
    </row>
    <row r="18879">
      <c r="A18879" t="inlineStr">
        <is>
          <t>8054320900900</t>
        </is>
      </c>
      <c r="B18879" t="inlineStr">
        <is>
          <t>Xerjoff Kemi Parfum Spray 50ml - Luxury Fragrance</t>
        </is>
      </c>
      <c r="C18879" t="inlineStr">
        <is>
          <t>Eau De Parfum</t>
        </is>
      </c>
      <c r="D18879" t="inlineStr">
        <is>
          <t>Xerjoff</t>
        </is>
      </c>
      <c r="E18879" t="n">
        <v>135.41</v>
      </c>
      <c r="F18879" t="n">
        <v>1</v>
      </c>
      <c r="G18879" t="n">
        <v>12</v>
      </c>
      <c r="H18879" s="5">
        <f>HYPERLINK("https://api.qogita.com/variants/link/8054320900900/", "View Product")</f>
        <v/>
      </c>
    </row>
    <row r="18880">
      <c r="A18880" t="inlineStr">
        <is>
          <t>8054320901457</t>
        </is>
      </c>
      <c r="B18880" t="inlineStr">
        <is>
          <t>Xerjoff Groove Xcape Parfum 50ml</t>
        </is>
      </c>
      <c r="C18880" t="inlineStr">
        <is>
          <t>Eau De Parfum</t>
        </is>
      </c>
      <c r="D18880" t="inlineStr">
        <is>
          <t>Xerjoff</t>
        </is>
      </c>
      <c r="E18880" t="n">
        <v>121.73</v>
      </c>
      <c r="F18880" t="n">
        <v>1</v>
      </c>
      <c r="G18880" t="n">
        <v>5</v>
      </c>
      <c r="H18880" s="5">
        <f>HYPERLINK("https://api.qogita.com/variants/link/8054320901457/", "View Product")</f>
        <v/>
      </c>
    </row>
    <row r="18881">
      <c r="A18881" t="inlineStr">
        <is>
          <t>8054320902010</t>
        </is>
      </c>
      <c r="B18881" t="inlineStr">
        <is>
          <t>Xerjoff K Collection Blue Holysm Parfum Spray 50ml</t>
        </is>
      </c>
      <c r="C18881" t="inlineStr">
        <is>
          <t>Eau De Parfum</t>
        </is>
      </c>
      <c r="D18881" t="inlineStr">
        <is>
          <t>Xerjoff</t>
        </is>
      </c>
      <c r="E18881" t="n">
        <v>147.76</v>
      </c>
      <c r="F18881" t="n">
        <v>1</v>
      </c>
      <c r="G18881" t="n">
        <v>3</v>
      </c>
      <c r="H18881" s="5">
        <f>HYPERLINK("https://api.qogita.com/variants/link/8054320902010/", "View Product")</f>
        <v/>
      </c>
    </row>
    <row r="18882">
      <c r="A18882" t="inlineStr">
        <is>
          <t>8054320902560</t>
        </is>
      </c>
      <c r="B18882" t="inlineStr">
        <is>
          <t>Xerjoff Accento Eau De Parfum Spray 50 Ml</t>
        </is>
      </c>
      <c r="C18882" t="inlineStr">
        <is>
          <t>Eau De Parfum</t>
        </is>
      </c>
      <c r="D18882" t="inlineStr">
        <is>
          <t>Xerjoff</t>
        </is>
      </c>
      <c r="E18882" t="n">
        <v>96.41</v>
      </c>
      <c r="F18882" t="n">
        <v>1</v>
      </c>
      <c r="G18882" t="n">
        <v>27</v>
      </c>
      <c r="H18882" s="5">
        <f>HYPERLINK("https://api.qogita.com/variants/link/8054320902560/", "View Product")</f>
        <v/>
      </c>
    </row>
    <row r="18883">
      <c r="A18883" t="inlineStr">
        <is>
          <t>8054320902591</t>
        </is>
      </c>
      <c r="B18883" t="inlineStr">
        <is>
          <t>Xerjoff Erba Pura Eau De Parfum 50ml</t>
        </is>
      </c>
      <c r="C18883" t="inlineStr">
        <is>
          <t>Eau De Parfum</t>
        </is>
      </c>
      <c r="D18883" t="inlineStr">
        <is>
          <t>Xerjoff</t>
        </is>
      </c>
      <c r="E18883" t="n">
        <v>106.37</v>
      </c>
      <c r="F18883" t="n">
        <v>1</v>
      </c>
      <c r="G18883" t="n">
        <v>3</v>
      </c>
      <c r="H18883" s="5">
        <f>HYPERLINK("https://api.qogita.com/variants/link/8054320902591/", "View Product")</f>
        <v/>
      </c>
    </row>
    <row r="18884">
      <c r="A18884" t="inlineStr">
        <is>
          <t>8054320902614</t>
        </is>
      </c>
      <c r="B18884" t="inlineStr">
        <is>
          <t>Xerjoff Accento Overdose Eau De Parfum 100ml</t>
        </is>
      </c>
      <c r="C18884" t="inlineStr">
        <is>
          <t>Eau De Parfum</t>
        </is>
      </c>
      <c r="D18884" t="inlineStr">
        <is>
          <t>Xerjoff</t>
        </is>
      </c>
      <c r="E18884" t="n">
        <v>181.49</v>
      </c>
      <c r="F18884" t="n">
        <v>1</v>
      </c>
      <c r="G18884" t="n">
        <v>7</v>
      </c>
      <c r="H18884" s="5">
        <f>HYPERLINK("https://api.qogita.com/variants/link/8054320902614/", "View Product")</f>
        <v/>
      </c>
    </row>
    <row r="18885">
      <c r="A18885" t="inlineStr">
        <is>
          <t>8054320902690</t>
        </is>
      </c>
      <c r="B18885" t="inlineStr">
        <is>
          <t>Xerjoff Muse Eau De Parfum Spray 100ml</t>
        </is>
      </c>
      <c r="C18885" t="inlineStr">
        <is>
          <t>Eau De Parfum</t>
        </is>
      </c>
      <c r="D18885" t="inlineStr">
        <is>
          <t>Xerjoff</t>
        </is>
      </c>
      <c r="E18885" t="n">
        <v>145.89</v>
      </c>
      <c r="F18885" t="n">
        <v>1</v>
      </c>
      <c r="G18885" t="n">
        <v>19</v>
      </c>
      <c r="H18885" s="5">
        <f>HYPERLINK("https://api.qogita.com/variants/link/8054320902690/", "View Product")</f>
        <v/>
      </c>
    </row>
    <row r="18886">
      <c r="A18886" t="inlineStr">
        <is>
          <t>8054320902898</t>
        </is>
      </c>
      <c r="B18886" t="inlineStr">
        <is>
          <t>Xerjoff Vibe Opera Eau De Parfum 50ml</t>
        </is>
      </c>
      <c r="C18886" t="inlineStr">
        <is>
          <t>Eau De Parfum</t>
        </is>
      </c>
      <c r="D18886" t="inlineStr">
        <is>
          <t>Xerjoff</t>
        </is>
      </c>
      <c r="E18886" t="n">
        <v>116.52</v>
      </c>
      <c r="F18886" t="n">
        <v>1</v>
      </c>
      <c r="G18886" t="n">
        <v>17</v>
      </c>
      <c r="H18886" s="5">
        <f>HYPERLINK("https://api.qogita.com/variants/link/8054320902898/", "View Product")</f>
        <v/>
      </c>
    </row>
    <row r="18887">
      <c r="A18887" t="inlineStr">
        <is>
          <t>8054320903376</t>
        </is>
      </c>
      <c r="B18887" t="inlineStr">
        <is>
          <t>Tony Iommi Deified Perfume Spray 50ml</t>
        </is>
      </c>
      <c r="C18887" t="inlineStr">
        <is>
          <t>Eau De Parfum</t>
        </is>
      </c>
      <c r="D18887" t="inlineStr">
        <is>
          <t>Tony Iommi</t>
        </is>
      </c>
      <c r="E18887" t="n">
        <v>155</v>
      </c>
      <c r="F18887" t="n">
        <v>1</v>
      </c>
      <c r="G18887" t="n">
        <v>62</v>
      </c>
      <c r="H18887" s="5">
        <f>HYPERLINK("https://api.qogita.com/variants/link/8054320903376/", "View Product")</f>
        <v/>
      </c>
    </row>
    <row r="18888">
      <c r="A18888" t="inlineStr">
        <is>
          <t>8054320904021</t>
        </is>
      </c>
      <c r="B18888" t="inlineStr">
        <is>
          <t>Xerjoff Newclues Parfum - Women's Fragrance</t>
        </is>
      </c>
      <c r="C18888" t="inlineStr">
        <is>
          <t>Eau De Parfum</t>
        </is>
      </c>
      <c r="D18888" t="inlineStr">
        <is>
          <t>Xerjoff</t>
        </is>
      </c>
      <c r="E18888" t="n">
        <v>168.61</v>
      </c>
      <c r="F18888" t="n">
        <v>1</v>
      </c>
      <c r="G18888" t="n">
        <v>20</v>
      </c>
      <c r="H18888" s="5">
        <f>HYPERLINK("https://api.qogita.com/variants/link/8054320904021/", "View Product")</f>
        <v/>
      </c>
    </row>
    <row r="18889">
      <c r="A18889" t="inlineStr">
        <is>
          <t>8054320904403</t>
        </is>
      </c>
      <c r="B18889" t="inlineStr">
        <is>
          <t>Duran Duran Neorio Fluo Yellow Perfume Spray 50ml</t>
        </is>
      </c>
      <c r="C18889" t="inlineStr">
        <is>
          <t>Eau De Parfum</t>
        </is>
      </c>
      <c r="D18889" t="inlineStr">
        <is>
          <t>Duran Duran</t>
        </is>
      </c>
      <c r="E18889" t="n">
        <v>214.93</v>
      </c>
      <c r="F18889" t="n">
        <v>1</v>
      </c>
      <c r="G18889" t="n">
        <v>15</v>
      </c>
      <c r="H18889" s="5">
        <f>HYPERLINK("https://api.qogita.com/variants/link/8054320904403/", "View Product")</f>
        <v/>
      </c>
    </row>
    <row r="18890">
      <c r="A18890" t="inlineStr">
        <is>
          <t>8054521910142</t>
        </is>
      </c>
      <c r="B18890" t="inlineStr">
        <is>
          <t>Accendis Fiorialux Eau de Parfum for Women</t>
        </is>
      </c>
      <c r="C18890" t="inlineStr">
        <is>
          <t>Eau De Parfum</t>
        </is>
      </c>
      <c r="D18890" t="inlineStr">
        <is>
          <t>Accendis</t>
        </is>
      </c>
      <c r="E18890" t="n">
        <v>54.08</v>
      </c>
      <c r="F18890" t="n">
        <v>1</v>
      </c>
      <c r="G18890" t="n">
        <v>4</v>
      </c>
      <c r="H18890" s="5">
        <f>HYPERLINK("https://api.qogita.com/variants/link/8054521910142/", "View Product")</f>
        <v/>
      </c>
    </row>
    <row r="18891">
      <c r="A18891" t="inlineStr">
        <is>
          <t>8054609782227</t>
        </is>
      </c>
      <c r="B18891" t="inlineStr">
        <is>
          <t>Aquolina Pink Sugar Eau De Toilette Spray 50ml</t>
        </is>
      </c>
      <c r="C18891" t="inlineStr">
        <is>
          <t>Eau De Toilette</t>
        </is>
      </c>
      <c r="D18891" t="inlineStr">
        <is>
          <t>Aquolina</t>
        </is>
      </c>
      <c r="E18891" t="n">
        <v>9.52</v>
      </c>
      <c r="F18891" t="n">
        <v>1</v>
      </c>
      <c r="G18891" t="n">
        <v>27</v>
      </c>
      <c r="H18891" s="5">
        <f>HYPERLINK("https://api.qogita.com/variants/link/8054609782227/", "View Product")</f>
        <v/>
      </c>
    </row>
    <row r="18892">
      <c r="A18892" t="inlineStr">
        <is>
          <t>8054609783026</t>
        </is>
      </c>
      <c r="B18892" t="inlineStr">
        <is>
          <t>Pink Sugar Perfumed Shower Gel 150 ml - Pink Sugar - for women</t>
        </is>
      </c>
      <c r="C18892" t="inlineStr">
        <is>
          <t>Shower Gel</t>
        </is>
      </c>
      <c r="D18892" t="inlineStr">
        <is>
          <t>Pink Sugar</t>
        </is>
      </c>
      <c r="E18892" t="n">
        <v>4.32</v>
      </c>
      <c r="F18892" t="n">
        <v>1</v>
      </c>
      <c r="G18892" t="n">
        <v>28</v>
      </c>
      <c r="H18892" s="5">
        <f>HYPERLINK("https://api.qogita.com/variants/link/8054609783026/", "View Product")</f>
        <v/>
      </c>
    </row>
    <row r="18893">
      <c r="A18893" t="inlineStr">
        <is>
          <t>8054609783088</t>
        </is>
      </c>
      <c r="B18893" t="inlineStr">
        <is>
          <t>Pink Sugar Lollipink Eau De Toilette Women's Perfume with Fine and Enveloping Scent</t>
        </is>
      </c>
      <c r="C18893" t="inlineStr">
        <is>
          <t>Eau De Toilette</t>
        </is>
      </c>
      <c r="D18893" t="inlineStr">
        <is>
          <t>Pink Sugar</t>
        </is>
      </c>
      <c r="E18893" t="n">
        <v>14.05</v>
      </c>
      <c r="F18893" t="n">
        <v>1</v>
      </c>
      <c r="G18893" t="n">
        <v>2</v>
      </c>
      <c r="H18893" s="5">
        <f>HYPERLINK("https://api.qogita.com/variants/link/8054609783088/", "View Product")</f>
        <v/>
      </c>
    </row>
    <row r="18894">
      <c r="A18894" t="inlineStr">
        <is>
          <t>8054754400038</t>
        </is>
      </c>
      <c r="B18894" t="inlineStr">
        <is>
          <t>Dolce &amp; Gabbana Velvet Desert Oud Eau de Parfum 100ml</t>
        </is>
      </c>
      <c r="C18894" t="inlineStr">
        <is>
          <t>Eau De Parfum</t>
        </is>
      </c>
      <c r="D18894" t="inlineStr">
        <is>
          <t>Dolce &amp; Gabbana</t>
        </is>
      </c>
      <c r="E18894" t="n">
        <v>213.06</v>
      </c>
      <c r="F18894" t="n">
        <v>1</v>
      </c>
      <c r="G18894" t="n">
        <v>21</v>
      </c>
      <c r="H18894" s="5">
        <f>HYPERLINK("https://api.qogita.com/variants/link/8054754400038/", "View Product")</f>
        <v/>
      </c>
    </row>
    <row r="18895">
      <c r="A18895" t="inlineStr">
        <is>
          <t>8054754400670</t>
        </is>
      </c>
      <c r="B18895" t="inlineStr">
        <is>
          <t>Dolce &amp; Gabbana Light Blue Pour Femme Gift Set 3 Pieces</t>
        </is>
      </c>
      <c r="C18895" t="inlineStr">
        <is>
          <t>Fragrance Sets</t>
        </is>
      </c>
      <c r="D18895" t="inlineStr">
        <is>
          <t>Dolce &amp; Gabbana</t>
        </is>
      </c>
      <c r="E18895" t="n">
        <v>64.31999999999999</v>
      </c>
      <c r="F18895" t="n">
        <v>1</v>
      </c>
      <c r="G18895" t="n">
        <v>242</v>
      </c>
      <c r="H18895" s="5">
        <f>HYPERLINK("https://api.qogita.com/variants/link/8054754400670/", "View Product")</f>
        <v/>
      </c>
    </row>
    <row r="18896">
      <c r="A18896" t="inlineStr">
        <is>
          <t>8054754400724</t>
        </is>
      </c>
      <c r="B18896" t="inlineStr">
        <is>
          <t>Dolce &amp; Gabbana Light Blue Pour Homme - Eau De Toilette 75 Ml + Shower Gel 50 Ml + Eau De Toilette 4.5 Ml</t>
        </is>
      </c>
      <c r="C18896" t="inlineStr">
        <is>
          <t>Fragrance Sets</t>
        </is>
      </c>
      <c r="D18896" t="inlineStr">
        <is>
          <t>Dolce &amp; Gabbana</t>
        </is>
      </c>
      <c r="E18896" t="n">
        <v>46.37</v>
      </c>
      <c r="F18896" t="n">
        <v>1</v>
      </c>
      <c r="G18896" t="n">
        <v>20</v>
      </c>
      <c r="H18896" s="5">
        <f>HYPERLINK("https://api.qogita.com/variants/link/8054754400724/", "View Product")</f>
        <v/>
      </c>
    </row>
    <row r="18897">
      <c r="A18897" t="inlineStr">
        <is>
          <t>8054754401165</t>
        </is>
      </c>
      <c r="B18897" t="inlineStr">
        <is>
          <t>Devotion Liquid Mousse Lipstick 100 Speranza</t>
        </is>
      </c>
      <c r="C18897" t="inlineStr">
        <is>
          <t>Lipstick</t>
        </is>
      </c>
      <c r="D18897" t="inlineStr">
        <is>
          <t>Devotion</t>
        </is>
      </c>
      <c r="E18897" t="n">
        <v>31.66</v>
      </c>
      <c r="F18897" t="n">
        <v>1</v>
      </c>
      <c r="G18897" t="n">
        <v>5</v>
      </c>
      <c r="H18897" s="5">
        <f>HYPERLINK("https://api.qogita.com/variants/link/8054754401165/", "View Product")</f>
        <v/>
      </c>
    </row>
    <row r="18898">
      <c r="A18898" t="inlineStr">
        <is>
          <t>8054754404739</t>
        </is>
      </c>
      <c r="B18898" t="inlineStr">
        <is>
          <t>Dolce &amp; Gabbana D&amp;G Devotion Male Eau De Parfum 50 Milliliters</t>
        </is>
      </c>
      <c r="C18898" t="inlineStr">
        <is>
          <t>Eau De Parfum</t>
        </is>
      </c>
      <c r="D18898" t="inlineStr">
        <is>
          <t>Dolce &amp; Gabbana</t>
        </is>
      </c>
      <c r="E18898" t="n">
        <v>43.82</v>
      </c>
      <c r="F18898" t="n">
        <v>1</v>
      </c>
      <c r="G18898" t="n">
        <v>94</v>
      </c>
      <c r="H18898" s="5">
        <f>HYPERLINK("https://api.qogita.com/variants/link/8054754404739/", "View Product")</f>
        <v/>
      </c>
    </row>
    <row r="18899">
      <c r="A18899" t="inlineStr">
        <is>
          <t>8054754405057</t>
        </is>
      </c>
      <c r="B18899" t="inlineStr">
        <is>
          <t>Dolce &amp; Gabbana Q Parfum 100ml</t>
        </is>
      </c>
      <c r="C18899" t="inlineStr">
        <is>
          <t>Eau De Parfum</t>
        </is>
      </c>
      <c r="D18899" t="inlineStr">
        <is>
          <t>Dolce &amp; Gabbana</t>
        </is>
      </c>
      <c r="E18899" t="n">
        <v>50.3</v>
      </c>
      <c r="F18899" t="n">
        <v>1</v>
      </c>
      <c r="G18899" t="n">
        <v>43</v>
      </c>
      <c r="H18899" s="5">
        <f>HYPERLINK("https://api.qogita.com/variants/link/8054754405057/", "View Product")</f>
        <v/>
      </c>
    </row>
    <row r="18900">
      <c r="A18900" t="inlineStr">
        <is>
          <t>8054754407181</t>
        </is>
      </c>
      <c r="B18900" t="inlineStr">
        <is>
          <t>Dolce &amp; Gabbana Eyeshadow Shader Beauty Brush</t>
        </is>
      </c>
      <c r="C18900" t="inlineStr">
        <is>
          <t>Eyeshadow Brushes</t>
        </is>
      </c>
      <c r="D18900" t="inlineStr">
        <is>
          <t>Dolce &amp; Gabbana</t>
        </is>
      </c>
      <c r="E18900" t="n">
        <v>29.68</v>
      </c>
      <c r="F18900" t="n">
        <v>1</v>
      </c>
      <c r="G18900" t="n">
        <v>2</v>
      </c>
      <c r="H18900" s="5">
        <f>HYPERLINK("https://api.qogita.com/variants/link/8054754407181/", "View Product")</f>
        <v/>
      </c>
    </row>
    <row r="18901">
      <c r="A18901" t="inlineStr">
        <is>
          <t>8055118033121</t>
        </is>
      </c>
      <c r="B18901" t="inlineStr">
        <is>
          <t>Masque Milano Unisex Eau De Parfum 3.4 Oz</t>
        </is>
      </c>
      <c r="C18901" t="inlineStr">
        <is>
          <t>Eau De Parfum</t>
        </is>
      </c>
      <c r="D18901" t="inlineStr">
        <is>
          <t>Masque Milano</t>
        </is>
      </c>
      <c r="E18901" t="n">
        <v>120.87</v>
      </c>
      <c r="F18901" t="n">
        <v>1</v>
      </c>
      <c r="G18901" t="n">
        <v>5</v>
      </c>
      <c r="H18901" s="5">
        <f>HYPERLINK("https://api.qogita.com/variants/link/8055118033121/", "View Product")</f>
        <v/>
      </c>
    </row>
    <row r="18902">
      <c r="A18902" t="inlineStr">
        <is>
          <t>8055118033237</t>
        </is>
      </c>
      <c r="B18902" t="inlineStr">
        <is>
          <t>Masque Milano Fragrances Madeleine Eau De Parfum</t>
        </is>
      </c>
      <c r="C18902" t="inlineStr">
        <is>
          <t>Eau De Parfum</t>
        </is>
      </c>
      <c r="D18902" t="inlineStr">
        <is>
          <t>Masque Milano</t>
        </is>
      </c>
      <c r="E18902" t="n">
        <v>136.45</v>
      </c>
      <c r="F18902" t="n">
        <v>1</v>
      </c>
      <c r="G18902" t="n">
        <v>4</v>
      </c>
      <c r="H18902" s="5">
        <f>HYPERLINK("https://api.qogita.com/variants/link/8055118033237/", "View Product")</f>
        <v/>
      </c>
    </row>
    <row r="18903">
      <c r="A18903" t="inlineStr">
        <is>
          <t>8055277280565</t>
        </is>
      </c>
      <c r="B18903" t="inlineStr">
        <is>
          <t>Bois 1920 Wind Of Flowers EDT Vaporisateur 100ml</t>
        </is>
      </c>
      <c r="C18903" t="inlineStr">
        <is>
          <t>Eau De Parfum</t>
        </is>
      </c>
      <c r="D18903" t="inlineStr">
        <is>
          <t>Bois 1920</t>
        </is>
      </c>
      <c r="E18903" t="n">
        <v>65.81</v>
      </c>
      <c r="F18903" t="n">
        <v>1</v>
      </c>
      <c r="G18903" t="n">
        <v>7</v>
      </c>
      <c r="H18903" s="5">
        <f>HYPERLINK("https://api.qogita.com/variants/link/8055277280565/", "View Product")</f>
        <v/>
      </c>
    </row>
    <row r="18904">
      <c r="A18904" t="inlineStr">
        <is>
          <t>8055277281746</t>
        </is>
      </c>
      <c r="B18904" t="inlineStr">
        <is>
          <t>Bois 1920 Relativamente Rosso Eau De Parfum 100ml Unisex</t>
        </is>
      </c>
      <c r="C18904" t="inlineStr">
        <is>
          <t>Eau De Parfum</t>
        </is>
      </c>
      <c r="D18904" t="inlineStr">
        <is>
          <t>Bois 1920</t>
        </is>
      </c>
      <c r="E18904" t="n">
        <v>73.76000000000001</v>
      </c>
      <c r="F18904" t="n">
        <v>1</v>
      </c>
      <c r="G18904" t="n">
        <v>3</v>
      </c>
      <c r="H18904" s="5">
        <f>HYPERLINK("https://api.qogita.com/variants/link/8055277281746/", "View Product")</f>
        <v/>
      </c>
    </row>
    <row r="18905">
      <c r="A18905" t="inlineStr">
        <is>
          <t>8056420220049</t>
        </is>
      </c>
      <c r="B18905" t="inlineStr">
        <is>
          <t>Beper 40.405 Travel Hair Dryer - Foldable and Compact</t>
        </is>
      </c>
      <c r="C18905" t="inlineStr">
        <is>
          <t>Hair Dryers</t>
        </is>
      </c>
      <c r="D18905" t="inlineStr">
        <is>
          <t>Beper</t>
        </is>
      </c>
      <c r="E18905" t="n">
        <v>12.2</v>
      </c>
      <c r="F18905" t="n">
        <v>1</v>
      </c>
      <c r="G18905" t="n">
        <v>2</v>
      </c>
      <c r="H18905" s="5">
        <f>HYPERLINK("https://api.qogita.com/variants/link/8056420220049/", "View Product")</f>
        <v/>
      </c>
    </row>
    <row r="18906">
      <c r="A18906" t="inlineStr">
        <is>
          <t>8056420222456</t>
        </is>
      </c>
      <c r="B18906" t="inlineStr">
        <is>
          <t>BEPER P303BIP050 Impedance Scale with ScaleUp App Bluetooth for iOS-Android 21 Body Values Unlimited Users Statistical/Historical Data 180kg Black</t>
        </is>
      </c>
      <c r="C18906" t="inlineStr">
        <is>
          <t>Biometric Monitors &amp; Accessories</t>
        </is>
      </c>
      <c r="D18906" t="inlineStr">
        <is>
          <t>Beper</t>
        </is>
      </c>
      <c r="E18906" t="n">
        <v>24.33</v>
      </c>
      <c r="F18906" t="n">
        <v>1</v>
      </c>
      <c r="G18906" t="n">
        <v>2</v>
      </c>
      <c r="H18906" s="5">
        <f>HYPERLINK("https://api.qogita.com/variants/link/8056420222456/", "View Product")</f>
        <v/>
      </c>
    </row>
    <row r="18907">
      <c r="A18907" t="inlineStr">
        <is>
          <t>8056420222845</t>
        </is>
      </c>
      <c r="B18907" t="inlineStr">
        <is>
          <t>Beper Shiatsu Foot Massage</t>
        </is>
      </c>
      <c r="C18907" t="inlineStr">
        <is>
          <t>Foot Care Sets</t>
        </is>
      </c>
      <c r="D18907" t="inlineStr">
        <is>
          <t>Beper</t>
        </is>
      </c>
      <c r="E18907" t="n">
        <v>156.15</v>
      </c>
      <c r="F18907" t="n">
        <v>1</v>
      </c>
      <c r="G18907" t="n">
        <v>5</v>
      </c>
      <c r="H18907" s="5">
        <f>HYPERLINK("https://api.qogita.com/variants/link/8056420222845/", "View Product")</f>
        <v/>
      </c>
    </row>
    <row r="18908">
      <c r="A18908" t="inlineStr">
        <is>
          <t>8056420223453</t>
        </is>
      </c>
      <c r="B18908" t="inlineStr">
        <is>
          <t>Beper Automatic Cosmetic Brush Cleaner P302vis060</t>
        </is>
      </c>
      <c r="C18908" t="inlineStr">
        <is>
          <t>Brush Cleaner</t>
        </is>
      </c>
      <c r="D18908" t="inlineStr">
        <is>
          <t>Beper</t>
        </is>
      </c>
      <c r="E18908" t="n">
        <v>13.89</v>
      </c>
      <c r="F18908" t="n">
        <v>1</v>
      </c>
      <c r="G18908" t="n">
        <v>2</v>
      </c>
      <c r="H18908" s="5">
        <f>HYPERLINK("https://api.qogita.com/variants/link/8056420223453/", "View Product")</f>
        <v/>
      </c>
    </row>
    <row r="18909">
      <c r="A18909" t="inlineStr">
        <is>
          <t>8056420224054</t>
        </is>
      </c>
      <c r="B18909" t="inlineStr">
        <is>
          <t>Beper Hair Straightener Ceramic Pro Style P301pis200</t>
        </is>
      </c>
      <c r="C18909" t="inlineStr">
        <is>
          <t>Hair Straighteners</t>
        </is>
      </c>
      <c r="D18909" t="inlineStr">
        <is>
          <t>Beper</t>
        </is>
      </c>
      <c r="E18909" t="n">
        <v>24.24</v>
      </c>
      <c r="F18909" t="n">
        <v>1</v>
      </c>
      <c r="G18909" t="n">
        <v>2</v>
      </c>
      <c r="H18909" s="5">
        <f>HYPERLINK("https://api.qogita.com/variants/link/8056420224054/", "View Product")</f>
        <v/>
      </c>
    </row>
    <row r="18910">
      <c r="A18910" t="inlineStr">
        <is>
          <t>8056459100091</t>
        </is>
      </c>
      <c r="B18910" t="inlineStr">
        <is>
          <t>Bois 1920 Classic 1920 Eau De Toilette 100ml Unisex Spray</t>
        </is>
      </c>
      <c r="C18910" t="inlineStr">
        <is>
          <t>Eau De Toilette</t>
        </is>
      </c>
      <c r="D18910" t="inlineStr">
        <is>
          <t>Bois 1920</t>
        </is>
      </c>
      <c r="E18910" t="n">
        <v>76.56</v>
      </c>
      <c r="F18910" t="n">
        <v>1</v>
      </c>
      <c r="G18910" t="n">
        <v>5</v>
      </c>
      <c r="H18910" s="5">
        <f>HYPERLINK("https://api.qogita.com/variants/link/8056459100091/", "View Product")</f>
        <v/>
      </c>
    </row>
    <row r="18911">
      <c r="A18911" t="inlineStr">
        <is>
          <t>8057509460073</t>
        </is>
      </c>
      <c r="B18911" t="inlineStr">
        <is>
          <t>Giardini Di Toscana Rosso Rubino Eau De Parfum Spray 100ml</t>
        </is>
      </c>
      <c r="C18911" t="inlineStr">
        <is>
          <t>Eau De Parfum</t>
        </is>
      </c>
      <c r="D18911" t="inlineStr">
        <is>
          <t>Giardini Di Toscana</t>
        </is>
      </c>
      <c r="E18911" t="n">
        <v>89.81999999999999</v>
      </c>
      <c r="F18911" t="n">
        <v>1</v>
      </c>
      <c r="G18911" t="n">
        <v>3</v>
      </c>
      <c r="H18911" s="5">
        <f>HYPERLINK("https://api.qogita.com/variants/link/8057509460073/", "View Product")</f>
        <v/>
      </c>
    </row>
    <row r="18912">
      <c r="A18912" t="inlineStr">
        <is>
          <t>8057509460110</t>
        </is>
      </c>
      <c r="B18912" t="inlineStr">
        <is>
          <t>Giardini Di Toscana Scintilla Eau De Parfum Spray 100ml</t>
        </is>
      </c>
      <c r="C18912" t="inlineStr">
        <is>
          <t>Eau De Parfum</t>
        </is>
      </c>
      <c r="D18912" t="inlineStr">
        <is>
          <t>Giardini Di Toscana</t>
        </is>
      </c>
      <c r="E18912" t="n">
        <v>90.36</v>
      </c>
      <c r="F18912" t="n">
        <v>1</v>
      </c>
      <c r="G18912" t="n">
        <v>4</v>
      </c>
      <c r="H18912" s="5">
        <f>HYPERLINK("https://api.qogita.com/variants/link/8057509460110/", "View Product")</f>
        <v/>
      </c>
    </row>
    <row r="18913">
      <c r="A18913" t="inlineStr">
        <is>
          <t>8057714450104</t>
        </is>
      </c>
      <c r="B18913" t="inlineStr">
        <is>
          <t>Iceberg Eau De Iceberg Homme Eau De Toilette A Refreshing Fragrance For Men</t>
        </is>
      </c>
      <c r="C18913" t="inlineStr">
        <is>
          <t>Eau De Toilette</t>
        </is>
      </c>
      <c r="D18913" t="inlineStr">
        <is>
          <t>Iceberg</t>
        </is>
      </c>
      <c r="E18913" t="n">
        <v>11.46</v>
      </c>
      <c r="F18913" t="n">
        <v>1</v>
      </c>
      <c r="G18913" t="n">
        <v>6</v>
      </c>
      <c r="H18913" s="5">
        <f>HYPERLINK("https://api.qogita.com/variants/link/8057714450104/", "View Product")</f>
        <v/>
      </c>
    </row>
    <row r="18914">
      <c r="A18914" t="inlineStr">
        <is>
          <t>8057714450548</t>
        </is>
      </c>
      <c r="B18914" t="inlineStr">
        <is>
          <t>Iceberg Change The Flow For Him Eau De Toilette Spray 30ml</t>
        </is>
      </c>
      <c r="C18914" t="inlineStr">
        <is>
          <t>Eau De Toilette</t>
        </is>
      </c>
      <c r="D18914" t="inlineStr">
        <is>
          <t>Iceberg</t>
        </is>
      </c>
      <c r="E18914" t="n">
        <v>9.140000000000001</v>
      </c>
      <c r="F18914" t="n">
        <v>1</v>
      </c>
      <c r="G18914" t="n">
        <v>3</v>
      </c>
      <c r="H18914" s="5">
        <f>HYPERLINK("https://api.qogita.com/variants/link/8057714450548/", "View Product")</f>
        <v/>
      </c>
    </row>
    <row r="18915">
      <c r="A18915" t="inlineStr">
        <is>
          <t>8057971180356</t>
        </is>
      </c>
      <c r="B18915" t="inlineStr">
        <is>
          <t>Dolce &amp; Gabbana Light Blue Pour Homme Eau De Toilette 200ml Men Spray</t>
        </is>
      </c>
      <c r="C18915" t="inlineStr">
        <is>
          <t>Eau De Toilette</t>
        </is>
      </c>
      <c r="D18915" t="inlineStr">
        <is>
          <t>Dolce &amp; Gabbana</t>
        </is>
      </c>
      <c r="E18915" t="n">
        <v>56.7</v>
      </c>
      <c r="F18915" t="n">
        <v>1</v>
      </c>
      <c r="G18915" t="n">
        <v>46</v>
      </c>
      <c r="H18915" s="5">
        <f>HYPERLINK("https://api.qogita.com/variants/link/8057971180356/", "View Product")</f>
        <v/>
      </c>
    </row>
    <row r="18916">
      <c r="A18916" t="inlineStr">
        <is>
          <t>8057971180394</t>
        </is>
      </c>
      <c r="B18916" t="inlineStr">
        <is>
          <t>Pour Femme by Dolce &amp; Gabbana Eau De Toilette for Women 100ml</t>
        </is>
      </c>
      <c r="C18916" t="inlineStr">
        <is>
          <t>Eau De Toilette</t>
        </is>
      </c>
      <c r="D18916" t="inlineStr">
        <is>
          <t>Dolce &amp; Gabbana</t>
        </is>
      </c>
      <c r="E18916" t="n">
        <v>51.89</v>
      </c>
      <c r="F18916" t="n">
        <v>1</v>
      </c>
      <c r="G18916" t="n">
        <v>64</v>
      </c>
      <c r="H18916" s="5">
        <f>HYPERLINK("https://api.qogita.com/variants/link/8057971180394/", "View Product")</f>
        <v/>
      </c>
    </row>
    <row r="18917">
      <c r="A18917" t="inlineStr">
        <is>
          <t>8057971180417</t>
        </is>
      </c>
      <c r="B18917" t="inlineStr">
        <is>
          <t>Dolce &amp; Gabbana Pour Homme Eau De Toilette 200ml Men Spray</t>
        </is>
      </c>
      <c r="C18917" t="inlineStr">
        <is>
          <t>Eau De Toilette</t>
        </is>
      </c>
      <c r="D18917" t="inlineStr">
        <is>
          <t>Dolce &amp; Gabbana</t>
        </is>
      </c>
      <c r="E18917" t="n">
        <v>53.71</v>
      </c>
      <c r="F18917" t="n">
        <v>1</v>
      </c>
      <c r="G18917" t="n">
        <v>131</v>
      </c>
      <c r="H18917" s="5">
        <f>HYPERLINK("https://api.qogita.com/variants/link/8057971180417/", "View Product")</f>
        <v/>
      </c>
    </row>
    <row r="18918">
      <c r="A18918" t="inlineStr">
        <is>
          <t>8057971180448</t>
        </is>
      </c>
      <c r="B18918" t="inlineStr">
        <is>
          <t>Dolce&amp;Gabbana Pour Homme Intenso Eau De Parfum Spray 125ml</t>
        </is>
      </c>
      <c r="C18918" t="inlineStr">
        <is>
          <t>Eau De Parfum</t>
        </is>
      </c>
      <c r="D18918" t="inlineStr">
        <is>
          <t>Dolce &amp; Gabbana</t>
        </is>
      </c>
      <c r="E18918" t="n">
        <v>48.21</v>
      </c>
      <c r="F18918" t="n">
        <v>1</v>
      </c>
      <c r="G18918" t="n">
        <v>86</v>
      </c>
      <c r="H18918" s="5">
        <f>HYPERLINK("https://api.qogita.com/variants/link/8057971180448/", "View Product")</f>
        <v/>
      </c>
    </row>
    <row r="18919">
      <c r="A18919" t="inlineStr">
        <is>
          <t>8057971180455</t>
        </is>
      </c>
      <c r="B18919" t="inlineStr">
        <is>
          <t>Dolce&amp;Gabbana Intenso Pour Homme Eau De Parfum Spray 75ml</t>
        </is>
      </c>
      <c r="C18919" t="inlineStr">
        <is>
          <t>Eau De Parfum</t>
        </is>
      </c>
      <c r="D18919" t="inlineStr">
        <is>
          <t>Dolce &amp; Gabbana</t>
        </is>
      </c>
      <c r="E18919" t="n">
        <v>36.91</v>
      </c>
      <c r="F18919" t="n">
        <v>1</v>
      </c>
      <c r="G18919" t="n">
        <v>247</v>
      </c>
      <c r="H18919" s="5">
        <f>HYPERLINK("https://api.qogita.com/variants/link/8057971180455/", "View Product")</f>
        <v/>
      </c>
    </row>
    <row r="18920">
      <c r="A18920" t="inlineStr">
        <is>
          <t>8057971180493</t>
        </is>
      </c>
      <c r="B18920" t="inlineStr">
        <is>
          <t>Dolce&amp;Gabbana The One Woman Eau De Parfum Spray 75ml</t>
        </is>
      </c>
      <c r="C18920" t="inlineStr">
        <is>
          <t>Eau De Parfum</t>
        </is>
      </c>
      <c r="D18920" t="inlineStr">
        <is>
          <t>Dolce &amp; Gabbana</t>
        </is>
      </c>
      <c r="E18920" t="n">
        <v>49.89</v>
      </c>
      <c r="F18920" t="n">
        <v>1</v>
      </c>
      <c r="G18920" t="n">
        <v>4</v>
      </c>
      <c r="H18920" s="5">
        <f>HYPERLINK("https://api.qogita.com/variants/link/8057971180493/", "View Product")</f>
        <v/>
      </c>
    </row>
    <row r="18921">
      <c r="A18921" t="inlineStr">
        <is>
          <t>8057971180509</t>
        </is>
      </c>
      <c r="B18921" t="inlineStr">
        <is>
          <t>Dolce &amp; Gabbana The One For Men Eau De Toilette 100ml</t>
        </is>
      </c>
      <c r="C18921" t="inlineStr">
        <is>
          <t>Eau De Toilette</t>
        </is>
      </c>
      <c r="D18921" t="inlineStr">
        <is>
          <t>Dolce &amp; Gabbana</t>
        </is>
      </c>
      <c r="E18921" t="n">
        <v>46.95</v>
      </c>
      <c r="F18921" t="n">
        <v>1</v>
      </c>
      <c r="G18921" t="n">
        <v>33</v>
      </c>
      <c r="H18921" s="5">
        <f>HYPERLINK("https://api.qogita.com/variants/link/8057971180509/", "View Product")</f>
        <v/>
      </c>
    </row>
    <row r="18922">
      <c r="A18922" t="inlineStr">
        <is>
          <t>8057971181582</t>
        </is>
      </c>
      <c r="B18922" t="inlineStr">
        <is>
          <t>Dolce &amp; Gabbana The One Eau De Parfum Intense Spray 50ml</t>
        </is>
      </c>
      <c r="C18922" t="inlineStr">
        <is>
          <t>Eau De Parfum</t>
        </is>
      </c>
      <c r="D18922" t="inlineStr">
        <is>
          <t>Dolce &amp; Gabbana</t>
        </is>
      </c>
      <c r="E18922" t="n">
        <v>46.55</v>
      </c>
      <c r="F18922" t="n">
        <v>1</v>
      </c>
      <c r="G18922" t="n">
        <v>20</v>
      </c>
      <c r="H18922" s="5">
        <f>HYPERLINK("https://api.qogita.com/variants/link/8057971181582/", "View Product")</f>
        <v/>
      </c>
    </row>
    <row r="18923">
      <c r="A18923" t="inlineStr">
        <is>
          <t>8057971184590</t>
        </is>
      </c>
      <c r="B18923" t="inlineStr">
        <is>
          <t>Dolce &amp; Gabbana Dolce Garden Eau De Parfum Spray 75ml</t>
        </is>
      </c>
      <c r="C18923" t="inlineStr">
        <is>
          <t>Eau De Parfum</t>
        </is>
      </c>
      <c r="D18923" t="inlineStr">
        <is>
          <t>Dolce &amp; Gabbana</t>
        </is>
      </c>
      <c r="E18923" t="n">
        <v>56.91</v>
      </c>
      <c r="F18923" t="n">
        <v>1</v>
      </c>
      <c r="G18923" t="n">
        <v>5</v>
      </c>
      <c r="H18923" s="5">
        <f>HYPERLINK("https://api.qogita.com/variants/link/8057971184590/", "View Product")</f>
        <v/>
      </c>
    </row>
    <row r="18924">
      <c r="A18924" t="inlineStr">
        <is>
          <t>8057971184897</t>
        </is>
      </c>
      <c r="B18924" t="inlineStr">
        <is>
          <t>Dolce&amp;Gabbana The Only One Eau De Parfum Spray 30ml</t>
        </is>
      </c>
      <c r="C18924" t="inlineStr">
        <is>
          <t>Eau De Parfum</t>
        </is>
      </c>
      <c r="D18924" t="inlineStr">
        <is>
          <t>Dolce &amp; Gabbana</t>
        </is>
      </c>
      <c r="E18924" t="n">
        <v>34.66</v>
      </c>
      <c r="F18924" t="n">
        <v>1</v>
      </c>
      <c r="G18924" t="n">
        <v>4</v>
      </c>
      <c r="H18924" s="5">
        <f>HYPERLINK("https://api.qogita.com/variants/link/8057971184897/", "View Product")</f>
        <v/>
      </c>
    </row>
    <row r="18925">
      <c r="A18925" t="inlineStr">
        <is>
          <t>8057971184903</t>
        </is>
      </c>
      <c r="B18925" t="inlineStr">
        <is>
          <t>Dolce &amp; Gabbana The Only One Eau De Parfum Spray 50ml</t>
        </is>
      </c>
      <c r="C18925" t="inlineStr">
        <is>
          <t>Eau De Parfum</t>
        </is>
      </c>
      <c r="D18925" t="inlineStr">
        <is>
          <t>Dolce &amp; Gabbana</t>
        </is>
      </c>
      <c r="E18925" t="n">
        <v>47.16</v>
      </c>
      <c r="F18925" t="n">
        <v>1</v>
      </c>
      <c r="G18925" t="n">
        <v>11</v>
      </c>
      <c r="H18925" s="5">
        <f>HYPERLINK("https://api.qogita.com/variants/link/8057971184903/", "View Product")</f>
        <v/>
      </c>
    </row>
    <row r="18926">
      <c r="A18926" t="inlineStr">
        <is>
          <t>8057971185405</t>
        </is>
      </c>
      <c r="B18926" t="inlineStr">
        <is>
          <t>Dolce &amp; Gabbana Set The One For Men Eau De Toilette 100ml Eau De Toilette 50ml</t>
        </is>
      </c>
      <c r="C18926" t="inlineStr">
        <is>
          <t>Fragrance Sets</t>
        </is>
      </c>
      <c r="D18926" t="inlineStr">
        <is>
          <t>Dolce &amp; Gabbana</t>
        </is>
      </c>
      <c r="E18926" t="n">
        <v>69.52</v>
      </c>
      <c r="F18926" t="n">
        <v>1</v>
      </c>
      <c r="G18926" t="n">
        <v>5</v>
      </c>
      <c r="H18926" s="5">
        <f>HYPERLINK("https://api.qogita.com/variants/link/8057971185405/", "View Product")</f>
        <v/>
      </c>
    </row>
    <row r="18927">
      <c r="A18927" t="inlineStr">
        <is>
          <t>8057971187423</t>
        </is>
      </c>
      <c r="B18927" t="inlineStr">
        <is>
          <t>Dolce and Gabbana Light Blue Eau de Toilette 50ml 2023 Gift Set</t>
        </is>
      </c>
      <c r="C18927" t="inlineStr">
        <is>
          <t>Fragrance Sets</t>
        </is>
      </c>
      <c r="D18927" t="inlineStr">
        <is>
          <t>Dolce &amp; Gabbana</t>
        </is>
      </c>
      <c r="E18927" t="n">
        <v>51.05</v>
      </c>
      <c r="F18927" t="n">
        <v>1</v>
      </c>
      <c r="G18927" t="n">
        <v>122</v>
      </c>
      <c r="H18927" s="5">
        <f>HYPERLINK("https://api.qogita.com/variants/link/8057971187423/", "View Product")</f>
        <v/>
      </c>
    </row>
    <row r="18928">
      <c r="A18928" t="inlineStr">
        <is>
          <t>8057971188000</t>
        </is>
      </c>
      <c r="B18928" t="inlineStr">
        <is>
          <t>Dolce&amp;Gabbana Blue Jasmine Eau De Parfum Spray 75ml</t>
        </is>
      </c>
      <c r="C18928" t="inlineStr">
        <is>
          <t>Eau De Parfum</t>
        </is>
      </c>
      <c r="D18928" t="inlineStr">
        <is>
          <t>Dolce &amp; Gabbana</t>
        </is>
      </c>
      <c r="E18928" t="n">
        <v>43.7</v>
      </c>
      <c r="F18928" t="n">
        <v>1</v>
      </c>
      <c r="G18928" t="n">
        <v>4</v>
      </c>
      <c r="H18928" s="5">
        <f>HYPERLINK("https://api.qogita.com/variants/link/8057971188000/", "View Product")</f>
        <v/>
      </c>
    </row>
    <row r="18929">
      <c r="A18929" t="inlineStr">
        <is>
          <t>8057971189205</t>
        </is>
      </c>
      <c r="B18929" t="inlineStr">
        <is>
          <t>Dolce &amp; Gabbana Nail Polish Nailed It! Nail Lacquer 10 Ml</t>
        </is>
      </c>
      <c r="C18929" t="inlineStr">
        <is>
          <t>Nail Polish</t>
        </is>
      </c>
      <c r="D18929" t="inlineStr">
        <is>
          <t>Dolce &amp; Gabbana</t>
        </is>
      </c>
      <c r="E18929" t="n">
        <v>19.88</v>
      </c>
      <c r="F18929" t="n">
        <v>1</v>
      </c>
      <c r="G18929" t="n">
        <v>3</v>
      </c>
      <c r="H18929" s="5">
        <f>HYPERLINK("https://api.qogita.com/variants/link/8057971189205/", "View Product")</f>
        <v/>
      </c>
    </row>
    <row r="18930">
      <c r="A18930" t="inlineStr">
        <is>
          <t>8057971189458</t>
        </is>
      </c>
      <c r="B18930" t="inlineStr">
        <is>
          <t>Dolce &amp; Gabbana Powder Bronzer Face &amp; Eyes Match Lasting Bronzer &amp; Eyeshadow Powder 14 G</t>
        </is>
      </c>
      <c r="C18930" t="inlineStr">
        <is>
          <t>Bronzer</t>
        </is>
      </c>
      <c r="D18930" t="inlineStr">
        <is>
          <t>Dolce &amp; Gabbana</t>
        </is>
      </c>
      <c r="E18930" t="n">
        <v>43.26</v>
      </c>
      <c r="F18930" t="n">
        <v>1</v>
      </c>
      <c r="G18930" t="n">
        <v>4</v>
      </c>
      <c r="H18930" s="5">
        <f>HYPERLINK("https://api.qogita.com/variants/link/8057971189458/", "View Product")</f>
        <v/>
      </c>
    </row>
    <row r="18931">
      <c r="A18931" t="inlineStr">
        <is>
          <t>8057971189465</t>
        </is>
      </c>
      <c r="B18931" t="inlineStr">
        <is>
          <t>Dolce &amp; Gabbana Powder Bronzer Face &amp; Eyes Match Lasting Bronzer &amp; Eyeshadow Powder 14 G</t>
        </is>
      </c>
      <c r="C18931" t="inlineStr">
        <is>
          <t>Bronzer</t>
        </is>
      </c>
      <c r="D18931" t="inlineStr">
        <is>
          <t>Dolce &amp; Gabbana</t>
        </is>
      </c>
      <c r="E18931" t="n">
        <v>38.94</v>
      </c>
      <c r="F18931" t="n">
        <v>1</v>
      </c>
      <c r="G18931" t="n">
        <v>5</v>
      </c>
      <c r="H18931" s="5">
        <f>HYPERLINK("https://api.qogita.com/variants/link/8057971189465/", "View Product")</f>
        <v/>
      </c>
    </row>
    <row r="18932">
      <c r="A18932" t="inlineStr">
        <is>
          <t>8057971189588</t>
        </is>
      </c>
      <c r="B18932" t="inlineStr">
        <is>
          <t>Dolce &amp; Gabbana Blueberry Nutri-Tint</t>
        </is>
      </c>
      <c r="C18932" t="inlineStr">
        <is>
          <t>Lip Balm</t>
        </is>
      </c>
      <c r="D18932" t="inlineStr">
        <is>
          <t>Dolce &amp; Gabbana</t>
        </is>
      </c>
      <c r="E18932" t="n">
        <v>42.29</v>
      </c>
      <c r="F18932" t="n">
        <v>1</v>
      </c>
      <c r="G18932" t="n">
        <v>2</v>
      </c>
      <c r="H18932" s="5">
        <f>HYPERLINK("https://api.qogita.com/variants/link/8057971189588/", "View Product")</f>
        <v/>
      </c>
    </row>
    <row r="18933">
      <c r="A18933" t="inlineStr">
        <is>
          <t>8058045421849</t>
        </is>
      </c>
      <c r="B18933" t="inlineStr">
        <is>
          <t>Laura Biagiotti Forever Eau De Parfum Spray 100ml</t>
        </is>
      </c>
      <c r="C18933" t="inlineStr">
        <is>
          <t>Eau De Parfum</t>
        </is>
      </c>
      <c r="D18933" t="inlineStr">
        <is>
          <t>Laura Biagiotti</t>
        </is>
      </c>
      <c r="E18933" t="n">
        <v>31.34</v>
      </c>
      <c r="F18933" t="n">
        <v>1</v>
      </c>
      <c r="G18933" t="n">
        <v>27</v>
      </c>
      <c r="H18933" s="5">
        <f>HYPERLINK("https://api.qogita.com/variants/link/8058045421849/", "View Product")</f>
        <v/>
      </c>
    </row>
    <row r="18934">
      <c r="A18934" t="inlineStr">
        <is>
          <t>8058045425632</t>
        </is>
      </c>
      <c r="B18934" t="inlineStr">
        <is>
          <t>Trussardi Eau De Parfum Spray 60ml A Luxurious Fragrance From Trussardi</t>
        </is>
      </c>
      <c r="C18934" t="inlineStr">
        <is>
          <t>Eau De Parfum</t>
        </is>
      </c>
      <c r="D18934" t="inlineStr">
        <is>
          <t>Trussardi</t>
        </is>
      </c>
      <c r="E18934" t="n">
        <v>24.99</v>
      </c>
      <c r="F18934" t="n">
        <v>1</v>
      </c>
      <c r="G18934" t="n">
        <v>63</v>
      </c>
      <c r="H18934" s="5">
        <f>HYPERLINK("https://api.qogita.com/variants/link/8058045425632/", "View Product")</f>
        <v/>
      </c>
    </row>
    <row r="18935">
      <c r="A18935" t="inlineStr">
        <is>
          <t>8058045427032</t>
        </is>
      </c>
      <c r="B18935" t="inlineStr">
        <is>
          <t>Angel Schlesser Deep Leather Absolu Eau De Parfum Spray 100ml</t>
        </is>
      </c>
      <c r="C18935" t="inlineStr">
        <is>
          <t>Eau De Parfum</t>
        </is>
      </c>
      <c r="D18935" t="inlineStr">
        <is>
          <t>Angel Schlesser</t>
        </is>
      </c>
      <c r="E18935" t="n">
        <v>28.49</v>
      </c>
      <c r="F18935" t="n">
        <v>1</v>
      </c>
      <c r="G18935" t="n">
        <v>5</v>
      </c>
      <c r="H18935" s="5">
        <f>HYPERLINK("https://api.qogita.com/variants/link/8058045427032/", "View Product")</f>
        <v/>
      </c>
    </row>
    <row r="18936">
      <c r="A18936" t="inlineStr">
        <is>
          <t>8058045429890</t>
        </is>
      </c>
      <c r="B18936" t="inlineStr">
        <is>
          <t>Laura Biagiotti Roma Uomo Eau De Toilette Spray 200ml</t>
        </is>
      </c>
      <c r="C18936" t="inlineStr">
        <is>
          <t>Eau De Toilette</t>
        </is>
      </c>
      <c r="D18936" t="inlineStr">
        <is>
          <t>Laura Biagiotti</t>
        </is>
      </c>
      <c r="E18936" t="n">
        <v>32.58</v>
      </c>
      <c r="F18936" t="n">
        <v>1</v>
      </c>
      <c r="G18936" t="n">
        <v>119</v>
      </c>
      <c r="H18936" s="5">
        <f>HYPERLINK("https://api.qogita.com/variants/link/8058045429890/", "View Product")</f>
        <v/>
      </c>
    </row>
    <row r="18937">
      <c r="A18937" t="inlineStr">
        <is>
          <t>8058045430063</t>
        </is>
      </c>
      <c r="B18937" t="inlineStr">
        <is>
          <t>ANNE MOLLER Livingoldage Nutri Recovery Rich Cream SPF15 50ml</t>
        </is>
      </c>
      <c r="C18937" t="inlineStr">
        <is>
          <t>Day Cream</t>
        </is>
      </c>
      <c r="D18937" t="inlineStr">
        <is>
          <t>Anne Moller</t>
        </is>
      </c>
      <c r="E18937" t="n">
        <v>38.62</v>
      </c>
      <c r="F18937" t="n">
        <v>1</v>
      </c>
      <c r="G18937" t="n">
        <v>2</v>
      </c>
      <c r="H18937" s="5">
        <f>HYPERLINK("https://api.qogita.com/variants/link/8058045430063/", "View Product")</f>
        <v/>
      </c>
    </row>
    <row r="18938">
      <c r="A18938" t="inlineStr">
        <is>
          <t>8058045430315</t>
        </is>
      </c>
      <c r="B18938" t="inlineStr">
        <is>
          <t>Anne Mller Lines Minimizer Eye Cream 15ml Eye Cream With Antiaging Effect</t>
        </is>
      </c>
      <c r="C18938" t="inlineStr">
        <is>
          <t>Eye Cream</t>
        </is>
      </c>
      <c r="D18938" t="inlineStr">
        <is>
          <t>Anne Moller</t>
        </is>
      </c>
      <c r="E18938" t="n">
        <v>24.19</v>
      </c>
      <c r="F18938" t="n">
        <v>1</v>
      </c>
      <c r="G18938" t="n">
        <v>2</v>
      </c>
      <c r="H18938" s="5">
        <f>HYPERLINK("https://api.qogita.com/variants/link/8058045430315/", "View Product")</f>
        <v/>
      </c>
    </row>
    <row r="18939">
      <c r="A18939" t="inlineStr">
        <is>
          <t>8058045430322</t>
        </is>
      </c>
      <c r="B18939" t="inlineStr">
        <is>
          <t>Anne Moller Stimulage Illuminating Perfecting Fluid SPF30 50ml</t>
        </is>
      </c>
      <c r="C18939" t="inlineStr">
        <is>
          <t>Face Sun Protection</t>
        </is>
      </c>
      <c r="D18939" t="inlineStr">
        <is>
          <t>Anne Moller</t>
        </is>
      </c>
      <c r="E18939" t="n">
        <v>29.59</v>
      </c>
      <c r="F18939" t="n">
        <v>1</v>
      </c>
      <c r="G18939" t="n">
        <v>3</v>
      </c>
      <c r="H18939" s="5">
        <f>HYPERLINK("https://api.qogita.com/variants/link/8058045430322/", "View Product")</f>
        <v/>
      </c>
    </row>
    <row r="18940">
      <c r="A18940" t="inlineStr">
        <is>
          <t>8058045433057</t>
        </is>
      </c>
      <c r="B18940" t="inlineStr">
        <is>
          <t>Trussardi Pure Jasmine Eau De Parfum 60ml</t>
        </is>
      </c>
      <c r="C18940" t="inlineStr">
        <is>
          <t>Eau De Parfum</t>
        </is>
      </c>
      <c r="D18940" t="inlineStr">
        <is>
          <t>Trussardi</t>
        </is>
      </c>
      <c r="E18940" t="n">
        <v>31.95</v>
      </c>
      <c r="F18940" t="n">
        <v>1</v>
      </c>
      <c r="G18940" t="n">
        <v>2</v>
      </c>
      <c r="H18940" s="5">
        <f>HYPERLINK("https://api.qogita.com/variants/link/8058045433057/", "View Product")</f>
        <v/>
      </c>
    </row>
    <row r="18941">
      <c r="A18941" t="inlineStr">
        <is>
          <t>8058045434269</t>
        </is>
      </c>
      <c r="B18941" t="inlineStr">
        <is>
          <t>Anne Moller Express Sun Defence Body Lotion SPF30 175ml</t>
        </is>
      </c>
      <c r="C18941" t="inlineStr">
        <is>
          <t>Body Sun Protection</t>
        </is>
      </c>
      <c r="D18941" t="inlineStr">
        <is>
          <t>Anne Moller</t>
        </is>
      </c>
      <c r="E18941" t="n">
        <v>13.5</v>
      </c>
      <c r="F18941" t="n">
        <v>1</v>
      </c>
      <c r="G18941" t="n">
        <v>3</v>
      </c>
      <c r="H18941" s="5">
        <f>HYPERLINK("https://api.qogita.com/variants/link/8058045434269/", "View Product")</f>
        <v/>
      </c>
    </row>
    <row r="18942">
      <c r="A18942" t="inlineStr">
        <is>
          <t>8058045434344</t>
        </is>
      </c>
      <c r="B18942" t="inlineStr">
        <is>
          <t>Anne Moller Clean Up Mint Revitalizing Facial Tonique 400ml</t>
        </is>
      </c>
      <c r="C18942" t="inlineStr">
        <is>
          <t>Facial Spray</t>
        </is>
      </c>
      <c r="D18942" t="inlineStr">
        <is>
          <t>Anne Moller</t>
        </is>
      </c>
      <c r="E18942" t="n">
        <v>17.22</v>
      </c>
      <c r="F18942" t="n">
        <v>1</v>
      </c>
      <c r="G18942" t="n">
        <v>3</v>
      </c>
      <c r="H18942" s="5">
        <f>HYPERLINK("https://api.qogita.com/variants/link/8058045434344/", "View Product")</f>
        <v/>
      </c>
    </row>
    <row r="18943">
      <c r="A18943" t="inlineStr">
        <is>
          <t>8058045436843</t>
        </is>
      </c>
      <c r="B18943" t="inlineStr">
        <is>
          <t>Angel Schlesser Les Eaux D'Un Instant Luminous Violet Eau De Toilette Spray 100ml</t>
        </is>
      </c>
      <c r="C18943" t="inlineStr">
        <is>
          <t>Eau De Toilette</t>
        </is>
      </c>
      <c r="D18943" t="inlineStr">
        <is>
          <t>Angel Schlesser</t>
        </is>
      </c>
      <c r="E18943" t="n">
        <v>22.92</v>
      </c>
      <c r="F18943" t="n">
        <v>1</v>
      </c>
      <c r="G18943" t="n">
        <v>2</v>
      </c>
      <c r="H18943" s="5">
        <f>HYPERLINK("https://api.qogita.com/variants/link/8058045436843/", "View Product")</f>
        <v/>
      </c>
    </row>
    <row r="18944">
      <c r="A18944" t="inlineStr">
        <is>
          <t>8058045437086</t>
        </is>
      </c>
      <c r="B18944" t="inlineStr">
        <is>
          <t>Laura Biagiotti Roma Fiori Bianchi Eau De Toilette 25ml</t>
        </is>
      </c>
      <c r="C18944" t="inlineStr">
        <is>
          <t>Eau De Toilette</t>
        </is>
      </c>
      <c r="D18944" t="inlineStr">
        <is>
          <t>Laura Biagiotti</t>
        </is>
      </c>
      <c r="E18944" t="n">
        <v>18.4</v>
      </c>
      <c r="F18944" t="n">
        <v>1</v>
      </c>
      <c r="G18944" t="n">
        <v>2</v>
      </c>
      <c r="H18944" s="5">
        <f>HYPERLINK("https://api.qogita.com/variants/link/8058045437086/", "View Product")</f>
        <v/>
      </c>
    </row>
    <row r="18945">
      <c r="A18945" t="inlineStr">
        <is>
          <t>8058045438526</t>
        </is>
      </c>
      <c r="B18945" t="inlineStr">
        <is>
          <t>Anne Mller Skin Care Set For Normal And Combination Skin Livingoldage</t>
        </is>
      </c>
      <c r="C18945" t="inlineStr">
        <is>
          <t>Face</t>
        </is>
      </c>
      <c r="D18945" t="inlineStr">
        <is>
          <t>Anne Moller</t>
        </is>
      </c>
      <c r="E18945" t="n">
        <v>41.67</v>
      </c>
      <c r="F18945" t="n">
        <v>1</v>
      </c>
      <c r="G18945" t="n">
        <v>3</v>
      </c>
      <c r="H18945" s="5">
        <f>HYPERLINK("https://api.qogita.com/variants/link/8058045438526/", "View Product")</f>
        <v/>
      </c>
    </row>
    <row r="18946">
      <c r="A18946" t="inlineStr">
        <is>
          <t>8058045439066</t>
        </is>
      </c>
      <c r="B18946" t="inlineStr">
        <is>
          <t>ANNE MOLLER Progressive Peeling Cream 50ml</t>
        </is>
      </c>
      <c r="C18946" t="inlineStr">
        <is>
          <t>Facial Scrub &amp; Peeling</t>
        </is>
      </c>
      <c r="D18946" t="inlineStr">
        <is>
          <t>Anne Moller</t>
        </is>
      </c>
      <c r="E18946" t="n">
        <v>33.43</v>
      </c>
      <c r="F18946" t="n">
        <v>1</v>
      </c>
      <c r="G18946" t="n">
        <v>3</v>
      </c>
      <c r="H18946" s="5">
        <f>HYPERLINK("https://api.qogita.com/variants/link/8058045439066/", "View Product")</f>
        <v/>
      </c>
    </row>
    <row r="18947">
      <c r="A18947" t="inlineStr">
        <is>
          <t>8059349004516</t>
        </is>
      </c>
      <c r="B18947" t="inlineStr">
        <is>
          <t>Laura Biagiotti Laura Body Lotion 150ml</t>
        </is>
      </c>
      <c r="C18947" t="inlineStr">
        <is>
          <t>Body Lotion</t>
        </is>
      </c>
      <c r="D18947" t="inlineStr">
        <is>
          <t>Laura Biagiotti</t>
        </is>
      </c>
      <c r="E18947" t="n">
        <v>6.08</v>
      </c>
      <c r="F18947" t="n">
        <v>1</v>
      </c>
      <c r="G18947" t="n">
        <v>32</v>
      </c>
      <c r="H18947" s="5">
        <f>HYPERLINK("https://api.qogita.com/variants/link/8059349004516/", "View Product")</f>
        <v/>
      </c>
    </row>
    <row r="18948">
      <c r="A18948" t="inlineStr">
        <is>
          <t>8059602242631</t>
        </is>
      </c>
      <c r="B18948" t="inlineStr">
        <is>
          <t>Sweet Home Collection Aroma Diffuser Green Lotus 250 Ml</t>
        </is>
      </c>
      <c r="C18948" t="inlineStr">
        <is>
          <t>Diffusers</t>
        </is>
      </c>
      <c r="D18948" t="inlineStr">
        <is>
          <t>Sweet Home Collection</t>
        </is>
      </c>
      <c r="E18948" t="n">
        <v>19.15</v>
      </c>
      <c r="F18948" t="n">
        <v>1</v>
      </c>
      <c r="G18948" t="n">
        <v>6</v>
      </c>
      <c r="H18948" s="5">
        <f>HYPERLINK("https://api.qogita.com/variants/link/8059602242631/", "View Product")</f>
        <v/>
      </c>
    </row>
    <row r="18949">
      <c r="A18949" t="inlineStr">
        <is>
          <t>8163780225642</t>
        </is>
      </c>
      <c r="B18949" t="inlineStr">
        <is>
          <t>Ds Laboratories Vitamin Teddy Bears For Hair Growth Support Revita 60 Pieces</t>
        </is>
      </c>
      <c r="C18949" t="inlineStr">
        <is>
          <t>Vitamin</t>
        </is>
      </c>
      <c r="D18949" t="inlineStr">
        <is>
          <t>Ds Laboratories</t>
        </is>
      </c>
      <c r="E18949" t="n">
        <v>37.85</v>
      </c>
      <c r="F18949" t="n">
        <v>1</v>
      </c>
      <c r="G18949" t="n">
        <v>11</v>
      </c>
      <c r="H18949" s="5">
        <f>HYPERLINK("https://api.qogita.com/variants/link/8163780225642/", "View Product")</f>
        <v/>
      </c>
    </row>
    <row r="18950">
      <c r="A18950" t="inlineStr">
        <is>
          <t>8410190622678</t>
        </is>
      </c>
      <c r="B18950" t="inlineStr">
        <is>
          <t>Aristocrazy Brave Eau De Toilette Spray 80ml</t>
        </is>
      </c>
      <c r="C18950" t="inlineStr">
        <is>
          <t>Eau De Toilette</t>
        </is>
      </c>
      <c r="D18950" t="inlineStr">
        <is>
          <t>Aristocrazy</t>
        </is>
      </c>
      <c r="E18950" t="n">
        <v>19.92</v>
      </c>
      <c r="F18950" t="n">
        <v>1</v>
      </c>
      <c r="G18950" t="n">
        <v>7</v>
      </c>
      <c r="H18950" s="5">
        <f>HYPERLINK("https://api.qogita.com/variants/link/8410190622678/", "View Product")</f>
        <v/>
      </c>
    </row>
    <row r="18951">
      <c r="A18951" t="inlineStr">
        <is>
          <t>8410412490177</t>
        </is>
      </c>
      <c r="B18951" t="inlineStr">
        <is>
          <t>Babaria Sunscreen Spray With Aloe Vera For Children Spf 50 200ml</t>
        </is>
      </c>
      <c r="C18951" t="inlineStr">
        <is>
          <t>Sun Protection For Children</t>
        </is>
      </c>
      <c r="D18951" t="inlineStr">
        <is>
          <t>Babaria</t>
        </is>
      </c>
      <c r="E18951" t="n">
        <v>10.23</v>
      </c>
      <c r="F18951" t="n">
        <v>1</v>
      </c>
      <c r="G18951" t="n">
        <v>11</v>
      </c>
      <c r="H18951" s="5">
        <f>HYPERLINK("https://api.qogita.com/variants/link/8410412490177/", "View Product")</f>
        <v/>
      </c>
    </row>
    <row r="18952">
      <c r="A18952" t="inlineStr">
        <is>
          <t>8411047135877</t>
        </is>
      </c>
      <c r="B18952" t="inlineStr">
        <is>
          <t>Aire De Sevilla La Vida Es Bella Eau De Toilette Spray 150ml</t>
        </is>
      </c>
      <c r="C18952" t="inlineStr">
        <is>
          <t>Eau De Toilette</t>
        </is>
      </c>
      <c r="D18952" t="inlineStr">
        <is>
          <t>Aire De Sevilla</t>
        </is>
      </c>
      <c r="E18952" t="n">
        <v>9.41</v>
      </c>
      <c r="F18952" t="n">
        <v>1</v>
      </c>
      <c r="G18952" t="n">
        <v>4</v>
      </c>
      <c r="H18952" s="5">
        <f>HYPERLINK("https://api.qogita.com/variants/link/8411047135877/", "View Product")</f>
        <v/>
      </c>
    </row>
    <row r="18953">
      <c r="A18953" t="inlineStr">
        <is>
          <t>8411047136300</t>
        </is>
      </c>
      <c r="B18953" t="inlineStr">
        <is>
          <t>Aire Sevilla Chic EDT Women's Perfume 150ml</t>
        </is>
      </c>
      <c r="C18953" t="inlineStr">
        <is>
          <t>Eau De Toilette</t>
        </is>
      </c>
      <c r="D18953" t="inlineStr">
        <is>
          <t>Instituto Español</t>
        </is>
      </c>
      <c r="E18953" t="n">
        <v>9.119999999999999</v>
      </c>
      <c r="F18953" t="n">
        <v>1</v>
      </c>
      <c r="G18953" t="n">
        <v>13</v>
      </c>
      <c r="H18953" s="5">
        <f>HYPERLINK("https://api.qogita.com/variants/link/8411047136300/", "View Product")</f>
        <v/>
      </c>
    </row>
    <row r="18954">
      <c r="A18954" t="inlineStr">
        <is>
          <t>8411047136362</t>
        </is>
      </c>
      <c r="B18954" t="inlineStr">
        <is>
          <t>Instituto Espaol Aire De Sevilla Queen Eau De Toilette Spray 150 Ml</t>
        </is>
      </c>
      <c r="C18954" t="inlineStr">
        <is>
          <t>Eau De Toilette</t>
        </is>
      </c>
      <c r="D18954" t="inlineStr">
        <is>
          <t>Instituto Español</t>
        </is>
      </c>
      <c r="E18954" t="n">
        <v>8.140000000000001</v>
      </c>
      <c r="F18954" t="n">
        <v>1</v>
      </c>
      <c r="G18954" t="n">
        <v>6</v>
      </c>
      <c r="H18954" s="5">
        <f>HYPERLINK("https://api.qogita.com/variants/link/8411047136362/", "View Product")</f>
        <v/>
      </c>
    </row>
    <row r="18955">
      <c r="A18955" t="inlineStr">
        <is>
          <t>8411047151167</t>
        </is>
      </c>
      <c r="B18955" t="inlineStr">
        <is>
          <t>Instituto Espaol Poseidon Gold Men Eau De Toilette Spray 150ml</t>
        </is>
      </c>
      <c r="C18955" t="inlineStr">
        <is>
          <t>Eau De Toilette</t>
        </is>
      </c>
      <c r="D18955" t="inlineStr">
        <is>
          <t>Instituto Español</t>
        </is>
      </c>
      <c r="E18955" t="n">
        <v>16.91</v>
      </c>
      <c r="F18955" t="n">
        <v>1</v>
      </c>
      <c r="G18955" t="n">
        <v>2</v>
      </c>
      <c r="H18955" s="5">
        <f>HYPERLINK("https://api.qogita.com/variants/link/8411047151167/", "View Product")</f>
        <v/>
      </c>
    </row>
    <row r="18956">
      <c r="A18956" t="inlineStr">
        <is>
          <t>8411047160206</t>
        </is>
      </c>
      <c r="B18956" t="inlineStr">
        <is>
          <t>Instituto Espanol Repairing Shampoo For Hair Argan And Keratin 750ml</t>
        </is>
      </c>
      <c r="C18956" t="inlineStr">
        <is>
          <t>Shampoo</t>
        </is>
      </c>
      <c r="D18956" t="inlineStr">
        <is>
          <t>Instituto Español</t>
        </is>
      </c>
      <c r="E18956" t="n">
        <v>3.57</v>
      </c>
      <c r="F18956" t="n">
        <v>1</v>
      </c>
      <c r="G18956" t="n">
        <v>2</v>
      </c>
      <c r="H18956" s="5">
        <f>HYPERLINK("https://api.qogita.com/variants/link/8411047160206/", "View Product")</f>
        <v/>
      </c>
    </row>
    <row r="18957">
      <c r="A18957" t="inlineStr">
        <is>
          <t>8411061041659</t>
        </is>
      </c>
      <c r="B18957" t="inlineStr">
        <is>
          <t>Carolina Herrera Very Good Girl Eau De Parfum Spray 30ml</t>
        </is>
      </c>
      <c r="C18957" t="inlineStr">
        <is>
          <t>Eau De Parfum</t>
        </is>
      </c>
      <c r="D18957" t="inlineStr">
        <is>
          <t>Carolina Herrera</t>
        </is>
      </c>
      <c r="E18957" t="n">
        <v>53.59</v>
      </c>
      <c r="F18957" t="n">
        <v>1</v>
      </c>
      <c r="G18957" t="n">
        <v>15</v>
      </c>
      <c r="H18957" s="5">
        <f>HYPERLINK("https://api.qogita.com/variants/link/8411061041659/", "View Product")</f>
        <v/>
      </c>
    </row>
    <row r="18958">
      <c r="A18958" t="inlineStr">
        <is>
          <t>8411061041802</t>
        </is>
      </c>
      <c r="B18958" t="inlineStr">
        <is>
          <t>Carolina Herrera Good Girl Body Cream 200ml</t>
        </is>
      </c>
      <c r="C18958" t="inlineStr">
        <is>
          <t>Body Lotion</t>
        </is>
      </c>
      <c r="D18958" t="inlineStr">
        <is>
          <t>Carolina Herrera</t>
        </is>
      </c>
      <c r="E18958" t="n">
        <v>32.64</v>
      </c>
      <c r="F18958" t="n">
        <v>1</v>
      </c>
      <c r="G18958" t="n">
        <v>4</v>
      </c>
      <c r="H18958" s="5">
        <f>HYPERLINK("https://api.qogita.com/variants/link/8411061041802/", "View Product")</f>
        <v/>
      </c>
    </row>
    <row r="18959">
      <c r="A18959" t="inlineStr">
        <is>
          <t>8411061043844</t>
        </is>
      </c>
      <c r="B18959" t="inlineStr">
        <is>
          <t>Carolina Herrera 212 Vip Black Men Eau De Parfum Spray 100ml</t>
        </is>
      </c>
      <c r="C18959" t="inlineStr">
        <is>
          <t>Eau De Parfum</t>
        </is>
      </c>
      <c r="D18959" t="inlineStr">
        <is>
          <t>Carolina Herrera</t>
        </is>
      </c>
      <c r="E18959" t="n">
        <v>63.42</v>
      </c>
      <c r="F18959" t="n">
        <v>1</v>
      </c>
      <c r="G18959" t="n">
        <v>8</v>
      </c>
      <c r="H18959" s="5">
        <f>HYPERLINK("https://api.qogita.com/variants/link/8411061043844/", "View Product")</f>
        <v/>
      </c>
    </row>
    <row r="18960">
      <c r="A18960" t="inlineStr">
        <is>
          <t>8411061056776</t>
        </is>
      </c>
      <c r="B18960" t="inlineStr">
        <is>
          <t>Carolina Herrera Good Girl Blush Eau De Parfum 30ml</t>
        </is>
      </c>
      <c r="C18960" t="inlineStr">
        <is>
          <t>Eau De Parfum</t>
        </is>
      </c>
      <c r="D18960" t="inlineStr">
        <is>
          <t>Carolina Herrera</t>
        </is>
      </c>
      <c r="E18960" t="n">
        <v>52.7</v>
      </c>
      <c r="F18960" t="n">
        <v>1</v>
      </c>
      <c r="G18960" t="n">
        <v>10</v>
      </c>
      <c r="H18960" s="5">
        <f>HYPERLINK("https://api.qogita.com/variants/link/8411061056776/", "View Product")</f>
        <v/>
      </c>
    </row>
    <row r="18961">
      <c r="A18961" t="inlineStr">
        <is>
          <t>8411061065679</t>
        </is>
      </c>
      <c r="B18961" t="inlineStr">
        <is>
          <t>Carolina Herrera Very Good Girl Eau De Parfum Spray 150ml</t>
        </is>
      </c>
      <c r="C18961" t="inlineStr">
        <is>
          <t>Eau De Parfum</t>
        </is>
      </c>
      <c r="D18961" t="inlineStr">
        <is>
          <t>Carolina Herrera</t>
        </is>
      </c>
      <c r="E18961" t="n">
        <v>120.29</v>
      </c>
      <c r="F18961" t="n">
        <v>1</v>
      </c>
      <c r="G18961" t="n">
        <v>42</v>
      </c>
      <c r="H18961" s="5">
        <f>HYPERLINK("https://api.qogita.com/variants/link/8411061065679/", "View Product")</f>
        <v/>
      </c>
    </row>
    <row r="18962">
      <c r="A18962" t="inlineStr">
        <is>
          <t>8411061067925</t>
        </is>
      </c>
      <c r="B18962" t="inlineStr">
        <is>
          <t>Carolina Herrera Ch Men Eau De Toilette Spray 100ml</t>
        </is>
      </c>
      <c r="C18962" t="inlineStr">
        <is>
          <t>Eau De Toilette</t>
        </is>
      </c>
      <c r="D18962" t="inlineStr">
        <is>
          <t>Carolina Herrera</t>
        </is>
      </c>
      <c r="E18962" t="n">
        <v>60.58</v>
      </c>
      <c r="F18962" t="n">
        <v>1</v>
      </c>
      <c r="G18962" t="n">
        <v>51</v>
      </c>
      <c r="H18962" s="5">
        <f>HYPERLINK("https://api.qogita.com/variants/link/8411061067925/", "View Product")</f>
        <v/>
      </c>
    </row>
    <row r="18963">
      <c r="A18963" t="inlineStr">
        <is>
          <t>8411061074831</t>
        </is>
      </c>
      <c r="B18963" t="inlineStr">
        <is>
          <t>Carolina Herrera 212 Heroes Eau de Toilette 90 ml</t>
        </is>
      </c>
      <c r="C18963" t="inlineStr">
        <is>
          <t>Eau De Toilette</t>
        </is>
      </c>
      <c r="D18963" t="inlineStr">
        <is>
          <t>Carolina Herrera</t>
        </is>
      </c>
      <c r="E18963" t="n">
        <v>85.59</v>
      </c>
      <c r="F18963" t="n">
        <v>1</v>
      </c>
      <c r="G18963" t="n">
        <v>2</v>
      </c>
      <c r="H18963" s="5">
        <f>HYPERLINK("https://api.qogita.com/variants/link/8411061074831/", "View Product")</f>
        <v/>
      </c>
    </row>
    <row r="18964">
      <c r="A18964" t="inlineStr">
        <is>
          <t>8411061080764</t>
        </is>
      </c>
      <c r="B18964" t="inlineStr">
        <is>
          <t>Antonio Banderas The Golden Secret Eau De Toilette</t>
        </is>
      </c>
      <c r="C18964" t="inlineStr">
        <is>
          <t>Eau De Toilette</t>
        </is>
      </c>
      <c r="D18964" t="inlineStr">
        <is>
          <t>Antonio Banderas</t>
        </is>
      </c>
      <c r="E18964" t="n">
        <v>15.1</v>
      </c>
      <c r="F18964" t="n">
        <v>1</v>
      </c>
      <c r="G18964" t="n">
        <v>65</v>
      </c>
      <c r="H18964" s="5">
        <f>HYPERLINK("https://api.qogita.com/variants/link/8411061080764/", "View Product")</f>
        <v/>
      </c>
    </row>
    <row r="18965">
      <c r="A18965" t="inlineStr">
        <is>
          <t>8411061081150</t>
        </is>
      </c>
      <c r="B18965" t="inlineStr">
        <is>
          <t>Antonio Banderas A Banderas Blue Seduction Man Eau De Toilette Spray 100 Ml</t>
        </is>
      </c>
      <c r="C18965" t="inlineStr">
        <is>
          <t>Eau De Toilette</t>
        </is>
      </c>
      <c r="D18965" t="inlineStr">
        <is>
          <t>Antonio Banderas</t>
        </is>
      </c>
      <c r="E18965" t="n">
        <v>13.28</v>
      </c>
      <c r="F18965" t="n">
        <v>1</v>
      </c>
      <c r="G18965" t="n">
        <v>244</v>
      </c>
      <c r="H18965" s="5">
        <f>HYPERLINK("https://api.qogita.com/variants/link/8411061081150/", "View Product")</f>
        <v/>
      </c>
    </row>
    <row r="18966">
      <c r="A18966" t="inlineStr">
        <is>
          <t>8411061083673</t>
        </is>
      </c>
      <c r="B18966" t="inlineStr">
        <is>
          <t>Carolina Herrera Good Girl Blush Elixir Eau De Parfum 30ml</t>
        </is>
      </c>
      <c r="C18966" t="inlineStr">
        <is>
          <t>Eau De Parfum</t>
        </is>
      </c>
      <c r="D18966" t="inlineStr">
        <is>
          <t>Carolina Herrera</t>
        </is>
      </c>
      <c r="E18966" t="n">
        <v>56.15</v>
      </c>
      <c r="F18966" t="n">
        <v>1</v>
      </c>
      <c r="G18966" t="n">
        <v>85</v>
      </c>
      <c r="H18966" s="5">
        <f>HYPERLINK("https://api.qogita.com/variants/link/8411061083673/", "View Product")</f>
        <v/>
      </c>
    </row>
    <row r="18967">
      <c r="A18967" t="inlineStr">
        <is>
          <t>8411061092774</t>
        </is>
      </c>
      <c r="B18967" t="inlineStr">
        <is>
          <t>Carolina Herrera Good Girl Eau De Parfum Spray Set 80ml Eau De Parfum And 10ml Spray</t>
        </is>
      </c>
      <c r="C18967" t="inlineStr">
        <is>
          <t>Fragrance Sets</t>
        </is>
      </c>
      <c r="D18967" t="inlineStr">
        <is>
          <t>Carolina Herrera</t>
        </is>
      </c>
      <c r="E18967" t="n">
        <v>100.1</v>
      </c>
      <c r="F18967" t="n">
        <v>1</v>
      </c>
      <c r="G18967" t="n">
        <v>45</v>
      </c>
      <c r="H18967" s="5">
        <f>HYPERLINK("https://api.qogita.com/variants/link/8411061092774/", "View Product")</f>
        <v/>
      </c>
    </row>
    <row r="18968">
      <c r="A18968" t="inlineStr">
        <is>
          <t>8411061097922</t>
        </is>
      </c>
      <c r="B18968" t="inlineStr">
        <is>
          <t>Carolina Herrera Good Girl Blush Eau De Parfum Spray 150ml</t>
        </is>
      </c>
      <c r="C18968" t="inlineStr">
        <is>
          <t>Eau De Parfum</t>
        </is>
      </c>
      <c r="D18968" t="inlineStr">
        <is>
          <t>Carolina Herrera</t>
        </is>
      </c>
      <c r="E18968" t="n">
        <v>119.64</v>
      </c>
      <c r="F18968" t="n">
        <v>1</v>
      </c>
      <c r="G18968" t="n">
        <v>11</v>
      </c>
      <c r="H18968" s="5">
        <f>HYPERLINK("https://api.qogita.com/variants/link/8411061097922/", "View Product")</f>
        <v/>
      </c>
    </row>
    <row r="18969">
      <c r="A18969" t="inlineStr">
        <is>
          <t>8411061099735</t>
        </is>
      </c>
      <c r="B18969" t="inlineStr">
        <is>
          <t>Carolina Herrera Bad Boy Eau De Toilette 50ml</t>
        </is>
      </c>
      <c r="C18969" t="inlineStr">
        <is>
          <t>Eau De Toilette</t>
        </is>
      </c>
      <c r="D18969" t="inlineStr">
        <is>
          <t>Carolina Herrera</t>
        </is>
      </c>
      <c r="E18969" t="n">
        <v>58.09</v>
      </c>
      <c r="F18969" t="n">
        <v>1</v>
      </c>
      <c r="G18969" t="n">
        <v>6</v>
      </c>
      <c r="H18969" s="5">
        <f>HYPERLINK("https://api.qogita.com/variants/link/8411061099735/", "View Product")</f>
        <v/>
      </c>
    </row>
    <row r="18970">
      <c r="A18970" t="inlineStr">
        <is>
          <t>8411061106204</t>
        </is>
      </c>
      <c r="B18970" t="inlineStr">
        <is>
          <t>Carolina Herrera Very Good Girl Elixir Eau De Parfum Elixir - 30ml</t>
        </is>
      </c>
      <c r="C18970" t="inlineStr">
        <is>
          <t>Eau De Parfum</t>
        </is>
      </c>
      <c r="D18970" t="inlineStr">
        <is>
          <t>Carolina Herrera</t>
        </is>
      </c>
      <c r="E18970" t="n">
        <v>59.31</v>
      </c>
      <c r="F18970" t="n">
        <v>1</v>
      </c>
      <c r="G18970" t="n">
        <v>2</v>
      </c>
      <c r="H18970" s="5">
        <f>HYPERLINK("https://api.qogita.com/variants/link/8411061106204/", "View Product")</f>
        <v/>
      </c>
    </row>
    <row r="18971">
      <c r="A18971" t="inlineStr">
        <is>
          <t>8411061711804</t>
        </is>
      </c>
      <c r="B18971" t="inlineStr">
        <is>
          <t>Carolina Herrera 212 Vip Eau De Parfum Spray 50ml</t>
        </is>
      </c>
      <c r="C18971" t="inlineStr">
        <is>
          <t>Eau De Parfum</t>
        </is>
      </c>
      <c r="D18971" t="inlineStr">
        <is>
          <t>Carolina Herrera</t>
        </is>
      </c>
      <c r="E18971" t="n">
        <v>44.12</v>
      </c>
      <c r="F18971" t="n">
        <v>1</v>
      </c>
      <c r="G18971" t="n">
        <v>29</v>
      </c>
      <c r="H18971" s="5">
        <f>HYPERLINK("https://api.qogita.com/variants/link/8411061711804/", "View Product")</f>
        <v/>
      </c>
    </row>
    <row r="18972">
      <c r="A18972" t="inlineStr">
        <is>
          <t>8411061746196</t>
        </is>
      </c>
      <c r="B18972" t="inlineStr">
        <is>
          <t>Carolina Herrera CH Men Sport Eau De Toilette Spray 100ml</t>
        </is>
      </c>
      <c r="C18972" t="inlineStr">
        <is>
          <t>Eau De Toilette</t>
        </is>
      </c>
      <c r="D18972" t="inlineStr">
        <is>
          <t>Carolina Herrera</t>
        </is>
      </c>
      <c r="E18972" t="n">
        <v>33.59</v>
      </c>
      <c r="F18972" t="n">
        <v>1</v>
      </c>
      <c r="G18972" t="n">
        <v>7</v>
      </c>
      <c r="H18972" s="5">
        <f>HYPERLINK("https://api.qogita.com/variants/link/8411061746196/", "View Product")</f>
        <v/>
      </c>
    </row>
    <row r="18973">
      <c r="A18973" t="inlineStr">
        <is>
          <t>8411061844977</t>
        </is>
      </c>
      <c r="B18973" t="inlineStr">
        <is>
          <t>Carolina Herrera Eau De Parfum Spray 3.4 Oz for Women</t>
        </is>
      </c>
      <c r="C18973" t="inlineStr">
        <is>
          <t>Eau De Parfum</t>
        </is>
      </c>
      <c r="D18973" t="inlineStr">
        <is>
          <t>Carolina Herrera</t>
        </is>
      </c>
      <c r="E18973" t="n">
        <v>150.65</v>
      </c>
      <c r="F18973" t="n">
        <v>1</v>
      </c>
      <c r="G18973" t="n">
        <v>4</v>
      </c>
      <c r="H18973" s="5">
        <f>HYPERLINK("https://api.qogita.com/variants/link/8411061844977/", "View Product")</f>
        <v/>
      </c>
    </row>
    <row r="18974">
      <c r="A18974" t="inlineStr">
        <is>
          <t>8411061853207</t>
        </is>
      </c>
      <c r="B18974" t="inlineStr">
        <is>
          <t>Carolina Herrera 212 Men Eau De Toilette Spray 200ml</t>
        </is>
      </c>
      <c r="C18974" t="inlineStr">
        <is>
          <t>Eau De Toilette</t>
        </is>
      </c>
      <c r="D18974" t="inlineStr">
        <is>
          <t>Carolina Herrera</t>
        </is>
      </c>
      <c r="E18974" t="n">
        <v>88.51000000000001</v>
      </c>
      <c r="F18974" t="n">
        <v>1</v>
      </c>
      <c r="G18974" t="n">
        <v>13</v>
      </c>
      <c r="H18974" s="5">
        <f>HYPERLINK("https://api.qogita.com/variants/link/8411061853207/", "View Product")</f>
        <v/>
      </c>
    </row>
    <row r="18975">
      <c r="A18975" t="inlineStr">
        <is>
          <t>8411061917510</t>
        </is>
      </c>
      <c r="B18975" t="inlineStr">
        <is>
          <t>Antonio Banderas Power Of Seduction Eau De Toilette 50ml Men Spray</t>
        </is>
      </c>
      <c r="C18975" t="inlineStr">
        <is>
          <t>Eau De Toilette</t>
        </is>
      </c>
      <c r="D18975" t="inlineStr">
        <is>
          <t>Antonio Banderas</t>
        </is>
      </c>
      <c r="E18975" t="n">
        <v>9.4</v>
      </c>
      <c r="F18975" t="n">
        <v>1</v>
      </c>
      <c r="G18975" t="n">
        <v>2</v>
      </c>
      <c r="H18975" s="5">
        <f>HYPERLINK("https://api.qogita.com/variants/link/8411061917510/", "View Product")</f>
        <v/>
      </c>
    </row>
    <row r="18976">
      <c r="A18976" t="inlineStr">
        <is>
          <t>8411061923221</t>
        </is>
      </c>
      <c r="B18976" t="inlineStr">
        <is>
          <t>Antonio Puig Quorum Eau De Toilette 100ml Men Spray</t>
        </is>
      </c>
      <c r="C18976" t="inlineStr">
        <is>
          <t>Eau De Toilette</t>
        </is>
      </c>
      <c r="D18976" t="inlineStr">
        <is>
          <t>Antonio Puig</t>
        </is>
      </c>
      <c r="E18976" t="n">
        <v>9.859999999999999</v>
      </c>
      <c r="F18976" t="n">
        <v>1</v>
      </c>
      <c r="G18976" t="n">
        <v>725</v>
      </c>
      <c r="H18976" s="5">
        <f>HYPERLINK("https://api.qogita.com/variants/link/8411061923221/", "View Product")</f>
        <v/>
      </c>
    </row>
    <row r="18977">
      <c r="A18977" t="inlineStr">
        <is>
          <t>8411061930878</t>
        </is>
      </c>
      <c r="B18977" t="inlineStr">
        <is>
          <t>Antonio Banderas Seduction In Black For Men Eau De Toilette Spray 200ml</t>
        </is>
      </c>
      <c r="C18977" t="inlineStr">
        <is>
          <t>Eau De Toilette</t>
        </is>
      </c>
      <c r="D18977" t="inlineStr">
        <is>
          <t>Antonio Banderas</t>
        </is>
      </c>
      <c r="E18977" t="n">
        <v>18.59</v>
      </c>
      <c r="F18977" t="n">
        <v>1</v>
      </c>
      <c r="G18977" t="n">
        <v>41</v>
      </c>
      <c r="H18977" s="5">
        <f>HYPERLINK("https://api.qogita.com/variants/link/8411061930878/", "View Product")</f>
        <v/>
      </c>
    </row>
    <row r="18978">
      <c r="A18978" t="inlineStr">
        <is>
          <t>8411061934524</t>
        </is>
      </c>
      <c r="B18978" t="inlineStr">
        <is>
          <t>CAROLINA HERRERA Eau De Toilette for Women 100ml EDT Spray</t>
        </is>
      </c>
      <c r="C18978" t="inlineStr">
        <is>
          <t>Eau De Toilette</t>
        </is>
      </c>
      <c r="D18978" t="inlineStr">
        <is>
          <t>Carolina Herrera</t>
        </is>
      </c>
      <c r="E18978" t="n">
        <v>45.18</v>
      </c>
      <c r="F18978" t="n">
        <v>1</v>
      </c>
      <c r="G18978" t="n">
        <v>12</v>
      </c>
      <c r="H18978" s="5">
        <f>HYPERLINK("https://api.qogita.com/variants/link/8411061934524/", "View Product")</f>
        <v/>
      </c>
    </row>
    <row r="18979">
      <c r="A18979" t="inlineStr">
        <is>
          <t>8411061954331</t>
        </is>
      </c>
      <c r="B18979" t="inlineStr">
        <is>
          <t>Carolina Herrera Chic Men Eau De Toilette Spray 60ml</t>
        </is>
      </c>
      <c r="C18979" t="inlineStr">
        <is>
          <t>Eau De Toilette</t>
        </is>
      </c>
      <c r="D18979" t="inlineStr">
        <is>
          <t>Carolina Herrera</t>
        </is>
      </c>
      <c r="E18979" t="n">
        <v>29.29</v>
      </c>
      <c r="F18979" t="n">
        <v>1</v>
      </c>
      <c r="G18979" t="n">
        <v>30</v>
      </c>
      <c r="H18979" s="5">
        <f>HYPERLINK("https://api.qogita.com/variants/link/8411061954331/", "View Product")</f>
        <v/>
      </c>
    </row>
    <row r="18980">
      <c r="A18980" t="inlineStr">
        <is>
          <t>8411061972656</t>
        </is>
      </c>
      <c r="B18980" t="inlineStr">
        <is>
          <t>Carolina Herrera 212 Men Heroes Eau De Toilette Spray 90ml</t>
        </is>
      </c>
      <c r="C18980" t="inlineStr">
        <is>
          <t>Eau De Toilette</t>
        </is>
      </c>
      <c r="D18980" t="inlineStr">
        <is>
          <t>Carolina Herrera</t>
        </is>
      </c>
      <c r="E18980" t="n">
        <v>67.02</v>
      </c>
      <c r="F18980" t="n">
        <v>1</v>
      </c>
      <c r="G18980" t="n">
        <v>4</v>
      </c>
      <c r="H18980" s="5">
        <f>HYPERLINK("https://api.qogita.com/variants/link/8411061972656/", "View Product")</f>
        <v/>
      </c>
    </row>
    <row r="18981">
      <c r="A18981" t="inlineStr">
        <is>
          <t>8411061973479</t>
        </is>
      </c>
      <c r="B18981" t="inlineStr">
        <is>
          <t>Carolina Herrera Bad Boy Deodorant Stick 75ml</t>
        </is>
      </c>
      <c r="C18981" t="inlineStr">
        <is>
          <t>Deodorant &amp; Anti-Perspirant</t>
        </is>
      </c>
      <c r="D18981" t="inlineStr">
        <is>
          <t>Carolina Herrera</t>
        </is>
      </c>
      <c r="E18981" t="n">
        <v>19.86</v>
      </c>
      <c r="F18981" t="n">
        <v>1</v>
      </c>
      <c r="G18981" t="n">
        <v>2</v>
      </c>
      <c r="H18981" s="5">
        <f>HYPERLINK("https://api.qogita.com/variants/link/8411061973479/", "View Product")</f>
        <v/>
      </c>
    </row>
    <row r="18982">
      <c r="A18982" t="inlineStr">
        <is>
          <t>8411061982068</t>
        </is>
      </c>
      <c r="B18982" t="inlineStr">
        <is>
          <t>Carolina Herrera Bad Boy Eau De Toilette Spray 150ml</t>
        </is>
      </c>
      <c r="C18982" t="inlineStr">
        <is>
          <t>Eau De Toilette</t>
        </is>
      </c>
      <c r="D18982" t="inlineStr">
        <is>
          <t>Carolina Herrera</t>
        </is>
      </c>
      <c r="E18982" t="n">
        <v>78.33</v>
      </c>
      <c r="F18982" t="n">
        <v>1</v>
      </c>
      <c r="G18982" t="n">
        <v>2</v>
      </c>
      <c r="H18982" s="5">
        <f>HYPERLINK("https://api.qogita.com/variants/link/8411061982068/", "View Product")</f>
        <v/>
      </c>
    </row>
    <row r="18983">
      <c r="A18983" t="inlineStr">
        <is>
          <t>8411061991909</t>
        </is>
      </c>
      <c r="B18983" t="inlineStr">
        <is>
          <t>Carolina Herrera Bad Boy Le Parfum Eau De Parfum 50ml</t>
        </is>
      </c>
      <c r="C18983" t="inlineStr">
        <is>
          <t>Eau De Parfum</t>
        </is>
      </c>
      <c r="D18983" t="inlineStr">
        <is>
          <t>Carolina Herrera</t>
        </is>
      </c>
      <c r="E18983" t="n">
        <v>52.88</v>
      </c>
      <c r="F18983" t="n">
        <v>1</v>
      </c>
      <c r="G18983" t="n">
        <v>15</v>
      </c>
      <c r="H18983" s="5">
        <f>HYPERLINK("https://api.qogita.com/variants/link/8411061991909/", "View Product")</f>
        <v/>
      </c>
    </row>
    <row r="18984">
      <c r="A18984" t="inlineStr">
        <is>
          <t>8411061995761</t>
        </is>
      </c>
      <c r="B18984" t="inlineStr">
        <is>
          <t>Carolina Herrera 212 VIP Wins for Women 2.7 Oz EDP Spray</t>
        </is>
      </c>
      <c r="C18984" t="inlineStr">
        <is>
          <t>Eau De Parfum</t>
        </is>
      </c>
      <c r="D18984" t="inlineStr">
        <is>
          <t>Carolina Herrera</t>
        </is>
      </c>
      <c r="E18984" t="n">
        <v>64</v>
      </c>
      <c r="F18984" t="n">
        <v>1</v>
      </c>
      <c r="G18984" t="n">
        <v>6</v>
      </c>
      <c r="H18984" s="5">
        <f>HYPERLINK("https://api.qogita.com/variants/link/8411061995761/", "View Product")</f>
        <v/>
      </c>
    </row>
    <row r="18985">
      <c r="A18985" t="inlineStr">
        <is>
          <t>8411114093376</t>
        </is>
      </c>
      <c r="B18985" t="inlineStr">
        <is>
          <t>Ep Line Paw Patrol Gift Set Includes 50 Ml Eau De Toilette 300 Ml Shower Gel And Backpack</t>
        </is>
      </c>
      <c r="C18985" t="inlineStr">
        <is>
          <t>Fragrance Sets</t>
        </is>
      </c>
      <c r="D18985" t="inlineStr">
        <is>
          <t>Ep Line</t>
        </is>
      </c>
      <c r="E18985" t="n">
        <v>26.56</v>
      </c>
      <c r="F18985" t="n">
        <v>1</v>
      </c>
      <c r="G18985" t="n">
        <v>47</v>
      </c>
      <c r="H18985" s="5">
        <f>HYPERLINK("https://api.qogita.com/variants/link/8411114093376/", "View Product")</f>
        <v/>
      </c>
    </row>
    <row r="18986">
      <c r="A18986" t="inlineStr">
        <is>
          <t>8411114094120</t>
        </is>
      </c>
      <c r="B18986" t="inlineStr">
        <is>
          <t>Dc Batman Gift Set - Eau De Toilette 50 Milliliters, Shower Gel Shampoo 400 Milliliters, Fidget Toy</t>
        </is>
      </c>
      <c r="C18986" t="inlineStr">
        <is>
          <t>Fragrance Sets</t>
        </is>
      </c>
      <c r="D18986" t="inlineStr">
        <is>
          <t>Dc Comics</t>
        </is>
      </c>
      <c r="E18986" t="n">
        <v>23.11</v>
      </c>
      <c r="F18986" t="n">
        <v>1</v>
      </c>
      <c r="G18986" t="n">
        <v>12</v>
      </c>
      <c r="H18986" s="5">
        <f>HYPERLINK("https://api.qogita.com/variants/link/8411114094120/", "View Product")</f>
        <v/>
      </c>
    </row>
    <row r="18987">
      <c r="A18987" t="inlineStr">
        <is>
          <t>8411114095448</t>
        </is>
      </c>
      <c r="B18987" t="inlineStr">
        <is>
          <t>Ep Line La Casa De Papel - Eau De Toilette</t>
        </is>
      </c>
      <c r="C18987" t="inlineStr">
        <is>
          <t>Eau De Toilette</t>
        </is>
      </c>
      <c r="D18987" t="inlineStr">
        <is>
          <t>Ep Line</t>
        </is>
      </c>
      <c r="E18987" t="n">
        <v>13.79</v>
      </c>
      <c r="F18987" t="n">
        <v>1</v>
      </c>
      <c r="G18987" t="n">
        <v>4</v>
      </c>
      <c r="H18987" s="5">
        <f>HYPERLINK("https://api.qogita.com/variants/link/8411114095448/", "View Product")</f>
        <v/>
      </c>
    </row>
    <row r="18988">
      <c r="A18988" t="inlineStr">
        <is>
          <t>8411135005433</t>
        </is>
      </c>
      <c r="B18988" t="inlineStr">
        <is>
          <t>ECRAN SUNNIQUE Silk Touch Cream Gel SPF30 250ml</t>
        </is>
      </c>
      <c r="C18988" t="inlineStr">
        <is>
          <t>Body Sun Protection</t>
        </is>
      </c>
      <c r="D18988" t="inlineStr">
        <is>
          <t>Ecran</t>
        </is>
      </c>
      <c r="E18988" t="n">
        <v>10.7</v>
      </c>
      <c r="F18988" t="n">
        <v>1</v>
      </c>
      <c r="G18988" t="n">
        <v>5</v>
      </c>
      <c r="H18988" s="5">
        <f>HYPERLINK("https://api.qogita.com/variants/link/8411135005433/", "View Product")</f>
        <v/>
      </c>
    </row>
    <row r="18989">
      <c r="A18989" t="inlineStr">
        <is>
          <t>8411135006911</t>
        </is>
      </c>
      <c r="B18989" t="inlineStr">
        <is>
          <t>ECRAN SUNNIQUE Face and Decollete SPF50+ Stick 30ml</t>
        </is>
      </c>
      <c r="C18989" t="inlineStr">
        <is>
          <t>Face Sun Protection</t>
        </is>
      </c>
      <c r="D18989" t="inlineStr">
        <is>
          <t>Ecran</t>
        </is>
      </c>
      <c r="E18989" t="n">
        <v>9.4</v>
      </c>
      <c r="F18989" t="n">
        <v>1</v>
      </c>
      <c r="G18989" t="n">
        <v>5</v>
      </c>
      <c r="H18989" s="5">
        <f>HYPERLINK("https://api.qogita.com/variants/link/8411135006911/", "View Product")</f>
        <v/>
      </c>
    </row>
    <row r="18990">
      <c r="A18990" t="inlineStr">
        <is>
          <t>8411135351905</t>
        </is>
      </c>
      <c r="B18990" t="inlineStr">
        <is>
          <t>Lactovit Kiwi And Grapes Antioxidant Shower Gel</t>
        </is>
      </c>
      <c r="C18990" t="inlineStr">
        <is>
          <t>Shower Gel</t>
        </is>
      </c>
      <c r="D18990" t="inlineStr">
        <is>
          <t>Lactovit</t>
        </is>
      </c>
      <c r="E18990" t="n">
        <v>4.78</v>
      </c>
      <c r="F18990" t="n">
        <v>1</v>
      </c>
      <c r="G18990" t="n">
        <v>6</v>
      </c>
      <c r="H18990" s="5">
        <f>HYPERLINK("https://api.qogita.com/variants/link/8411135351905/", "View Product")</f>
        <v/>
      </c>
    </row>
    <row r="18991">
      <c r="A18991" t="inlineStr">
        <is>
          <t>8411135351929</t>
        </is>
      </c>
      <c r="B18991" t="inlineStr">
        <is>
          <t>Lactovit Fruit Energy Moisturizing Shower Gel with Peach and Grapefruit for Dry Skin 600ml</t>
        </is>
      </c>
      <c r="C18991" t="inlineStr">
        <is>
          <t>Shower Gel</t>
        </is>
      </c>
      <c r="D18991" t="inlineStr">
        <is>
          <t>Lactovit</t>
        </is>
      </c>
      <c r="E18991" t="n">
        <v>4.78</v>
      </c>
      <c r="F18991" t="n">
        <v>1</v>
      </c>
      <c r="G18991" t="n">
        <v>8</v>
      </c>
      <c r="H18991" s="5">
        <f>HYPERLINK("https://api.qogita.com/variants/link/8411135351929/", "View Product")</f>
        <v/>
      </c>
    </row>
    <row r="18992">
      <c r="A18992" t="inlineStr">
        <is>
          <t>8411135354807</t>
        </is>
      </c>
      <c r="B18992" t="inlineStr">
        <is>
          <t>Lactovit Intensive Care Lacto Oil For Dry Skin 15 fl oz - Pack of 2</t>
        </is>
      </c>
      <c r="C18992" t="inlineStr">
        <is>
          <t>Body Oil</t>
        </is>
      </c>
      <c r="D18992" t="inlineStr">
        <is>
          <t>Lactovit</t>
        </is>
      </c>
      <c r="E18992" t="n">
        <v>6.7</v>
      </c>
      <c r="F18992" t="n">
        <v>1</v>
      </c>
      <c r="G18992" t="n">
        <v>5</v>
      </c>
      <c r="H18992" s="5">
        <f>HYPERLINK("https://api.qogita.com/variants/link/8411135354807/", "View Product")</f>
        <v/>
      </c>
    </row>
    <row r="18993">
      <c r="A18993" t="inlineStr">
        <is>
          <t>8414135002563</t>
        </is>
      </c>
      <c r="B18993" t="inlineStr">
        <is>
          <t>Nike Sweet Blossom Deodorant for Women 50ml</t>
        </is>
      </c>
      <c r="C18993" t="inlineStr">
        <is>
          <t>Deodorant &amp; Anti-Perspirant</t>
        </is>
      </c>
      <c r="D18993" t="inlineStr">
        <is>
          <t>Nike</t>
        </is>
      </c>
      <c r="E18993" t="n">
        <v>6.4</v>
      </c>
      <c r="F18993" t="n">
        <v>1</v>
      </c>
      <c r="G18993" t="n">
        <v>636</v>
      </c>
      <c r="H18993" s="5">
        <f>HYPERLINK("https://api.qogita.com/variants/link/8414135002563/", "View Product")</f>
        <v/>
      </c>
    </row>
    <row r="18994">
      <c r="A18994" t="inlineStr">
        <is>
          <t>8414135863294</t>
        </is>
      </c>
      <c r="B18994" t="inlineStr">
        <is>
          <t>Nike The Perfume Man Deodorant Spray 200ml</t>
        </is>
      </c>
      <c r="C18994" t="inlineStr">
        <is>
          <t>Deodorant &amp; Anti-Perspirant</t>
        </is>
      </c>
      <c r="D18994" t="inlineStr">
        <is>
          <t>Nike</t>
        </is>
      </c>
      <c r="E18994" t="n">
        <v>3.01</v>
      </c>
      <c r="F18994" t="n">
        <v>1</v>
      </c>
      <c r="G18994" t="n">
        <v>17</v>
      </c>
      <c r="H18994" s="5">
        <f>HYPERLINK("https://api.qogita.com/variants/link/8414135863294/", "View Product")</f>
        <v/>
      </c>
    </row>
    <row r="18995">
      <c r="A18995" t="inlineStr">
        <is>
          <t>8414135873415</t>
        </is>
      </c>
      <c r="B18995" t="inlineStr">
        <is>
          <t>Nike Urbanite Spicy Road Man Deodorant With Spray</t>
        </is>
      </c>
      <c r="C18995" t="inlineStr">
        <is>
          <t>Deodorant &amp; Anti-Perspirant</t>
        </is>
      </c>
      <c r="D18995" t="inlineStr">
        <is>
          <t>Nike</t>
        </is>
      </c>
      <c r="E18995" t="n">
        <v>5.83</v>
      </c>
      <c r="F18995" t="n">
        <v>1</v>
      </c>
      <c r="G18995" t="n">
        <v>3</v>
      </c>
      <c r="H18995" s="5">
        <f>HYPERLINK("https://api.qogita.com/variants/link/8414135873415/", "View Product")</f>
        <v/>
      </c>
    </row>
    <row r="18996">
      <c r="A18996" t="inlineStr">
        <is>
          <t>8423986021982</t>
        </is>
      </c>
      <c r="B18996" t="inlineStr">
        <is>
          <t>Pour Homme Eye Contour Roll-On 15ml</t>
        </is>
      </c>
      <c r="C18996" t="inlineStr">
        <is>
          <t>Eye Cream</t>
        </is>
      </c>
      <c r="D18996" t="inlineStr">
        <is>
          <t>Anne Moller</t>
        </is>
      </c>
      <c r="E18996" t="n">
        <v>22.61</v>
      </c>
      <c r="F18996" t="n">
        <v>1</v>
      </c>
      <c r="G18996" t="n">
        <v>3</v>
      </c>
      <c r="H18996" s="5">
        <f>HYPERLINK("https://api.qogita.com/variants/link/8423986021982/", "View Product")</f>
        <v/>
      </c>
    </row>
    <row r="18997">
      <c r="A18997" t="inlineStr">
        <is>
          <t>8427395013637</t>
        </is>
      </c>
      <c r="B18997" t="inlineStr">
        <is>
          <t>Mandarina Duck Let's Travel To New York for Men 100ml</t>
        </is>
      </c>
      <c r="C18997" t="inlineStr">
        <is>
          <t>Eau De Toilette</t>
        </is>
      </c>
      <c r="D18997" t="inlineStr">
        <is>
          <t>Mandarina Duck</t>
        </is>
      </c>
      <c r="E18997" t="n">
        <v>8.119999999999999</v>
      </c>
      <c r="F18997" t="n">
        <v>1</v>
      </c>
      <c r="G18997" t="n">
        <v>8</v>
      </c>
      <c r="H18997" s="5">
        <f>HYPERLINK("https://api.qogita.com/variants/link/8427395013637/", "View Product")</f>
        <v/>
      </c>
    </row>
    <row r="18998">
      <c r="A18998" t="inlineStr">
        <is>
          <t>8427395014917</t>
        </is>
      </c>
      <c r="B18998" t="inlineStr">
        <is>
          <t>Angel Schlesser Femme Adorable Eau De Toilette Spray 100ml</t>
        </is>
      </c>
      <c r="C18998" t="inlineStr">
        <is>
          <t>Eau De Toilette</t>
        </is>
      </c>
      <c r="D18998" t="inlineStr">
        <is>
          <t>Angel Schlesser</t>
        </is>
      </c>
      <c r="E18998" t="n">
        <v>26.73</v>
      </c>
      <c r="F18998" t="n">
        <v>1</v>
      </c>
      <c r="G18998" t="n">
        <v>6</v>
      </c>
      <c r="H18998" s="5">
        <f>HYPERLINK("https://api.qogita.com/variants/link/8427395014917/", "View Product")</f>
        <v/>
      </c>
    </row>
    <row r="18999">
      <c r="A18999" t="inlineStr">
        <is>
          <t>8427395600189</t>
        </is>
      </c>
      <c r="B18999" t="inlineStr">
        <is>
          <t>Angel Schlesser Pirouette Eau De Toilette Spray 50ml</t>
        </is>
      </c>
      <c r="C18999" t="inlineStr">
        <is>
          <t>Eau De Toilette</t>
        </is>
      </c>
      <c r="D18999" t="inlineStr">
        <is>
          <t>Angel Schlesser</t>
        </is>
      </c>
      <c r="E18999" t="n">
        <v>9.18</v>
      </c>
      <c r="F18999" t="n">
        <v>1</v>
      </c>
      <c r="G18999" t="n">
        <v>6</v>
      </c>
      <c r="H18999" s="5">
        <f>HYPERLINK("https://api.qogita.com/variants/link/8427395600189/", "View Product")</f>
        <v/>
      </c>
    </row>
    <row r="19000">
      <c r="A19000" t="inlineStr">
        <is>
          <t>8427395660206</t>
        </is>
      </c>
      <c r="B19000" t="inlineStr">
        <is>
          <t>Angel Schlesser Homme Eau De Toilette 125ml Spray</t>
        </is>
      </c>
      <c r="C19000" t="inlineStr">
        <is>
          <t>Eau De Toilette</t>
        </is>
      </c>
      <c r="D19000" t="inlineStr">
        <is>
          <t>Angel Schlesser</t>
        </is>
      </c>
      <c r="E19000" t="n">
        <v>20.56</v>
      </c>
      <c r="F19000" t="n">
        <v>1</v>
      </c>
      <c r="G19000" t="n">
        <v>10</v>
      </c>
      <c r="H19000" s="5">
        <f>HYPERLINK("https://api.qogita.com/variants/link/8427395660206/", "View Product")</f>
        <v/>
      </c>
    </row>
    <row r="19001">
      <c r="A19001" t="inlineStr">
        <is>
          <t>8427395940186</t>
        </is>
      </c>
      <c r="B19001" t="inlineStr">
        <is>
          <t>IDESA Armand Basi Red Eau de Parfum Vapo 50ml</t>
        </is>
      </c>
      <c r="C19001" t="inlineStr">
        <is>
          <t>Eau De Parfum</t>
        </is>
      </c>
      <c r="D19001" t="inlineStr">
        <is>
          <t>Idesa</t>
        </is>
      </c>
      <c r="E19001" t="n">
        <v>21.76</v>
      </c>
      <c r="F19001" t="n">
        <v>1</v>
      </c>
      <c r="G19001" t="n">
        <v>21</v>
      </c>
      <c r="H19001" s="5">
        <f>HYPERLINK("https://api.qogita.com/variants/link/8427395940186/", "View Product")</f>
        <v/>
      </c>
    </row>
    <row r="19002">
      <c r="A19002" t="inlineStr">
        <is>
          <t>8427395940285</t>
        </is>
      </c>
      <c r="B19002" t="inlineStr">
        <is>
          <t>Armand Basi In Red Perfume Spray 100ml</t>
        </is>
      </c>
      <c r="C19002" t="inlineStr">
        <is>
          <t>Eau De Parfum</t>
        </is>
      </c>
      <c r="D19002" t="inlineStr">
        <is>
          <t>Armand Basi</t>
        </is>
      </c>
      <c r="E19002" t="n">
        <v>24.04</v>
      </c>
      <c r="F19002" t="n">
        <v>1</v>
      </c>
      <c r="G19002" t="n">
        <v>24</v>
      </c>
      <c r="H19002" s="5">
        <f>HYPERLINK("https://api.qogita.com/variants/link/8427395940285/", "View Product")</f>
        <v/>
      </c>
    </row>
    <row r="19003">
      <c r="A19003" t="inlineStr">
        <is>
          <t>8427395950109</t>
        </is>
      </c>
      <c r="B19003" t="inlineStr">
        <is>
          <t>Armand Basi in Blue Pour Homme Eau de Toilette 50ml</t>
        </is>
      </c>
      <c r="C19003" t="inlineStr">
        <is>
          <t>Eau De Toilette</t>
        </is>
      </c>
      <c r="D19003" t="inlineStr">
        <is>
          <t>Armand Basi</t>
        </is>
      </c>
      <c r="E19003" t="n">
        <v>17.94</v>
      </c>
      <c r="F19003" t="n">
        <v>1</v>
      </c>
      <c r="G19003" t="n">
        <v>11</v>
      </c>
      <c r="H19003" s="5">
        <f>HYPERLINK("https://api.qogita.com/variants/link/8427395950109/", "View Product")</f>
        <v/>
      </c>
    </row>
    <row r="19004">
      <c r="A19004" t="inlineStr">
        <is>
          <t>8428749007579</t>
        </is>
      </c>
      <c r="B19004" t="inlineStr">
        <is>
          <t>Sensilis Prep4 Drops Exfoliating Antiaging Serum 30ml</t>
        </is>
      </c>
      <c r="C19004" t="inlineStr">
        <is>
          <t>Anti-Aging Serum</t>
        </is>
      </c>
      <c r="D19004" t="inlineStr">
        <is>
          <t>Sensilis</t>
        </is>
      </c>
      <c r="E19004" t="n">
        <v>27.94</v>
      </c>
      <c r="F19004" t="n">
        <v>1</v>
      </c>
      <c r="G19004" t="n">
        <v>4</v>
      </c>
      <c r="H19004" s="5">
        <f>HYPERLINK("https://api.qogita.com/variants/link/8428749007579/", "View Product")</f>
        <v/>
      </c>
    </row>
    <row r="19005">
      <c r="A19005" t="inlineStr">
        <is>
          <t>8429421430098</t>
        </is>
      </c>
      <c r="B19005" t="inlineStr">
        <is>
          <t>Lakmé Shampoo and Conditioner 1000g</t>
        </is>
      </c>
      <c r="C19005" t="inlineStr">
        <is>
          <t>Shampoo</t>
        </is>
      </c>
      <c r="D19005" t="inlineStr">
        <is>
          <t>Lakmé</t>
        </is>
      </c>
      <c r="E19005" t="n">
        <v>21.81</v>
      </c>
      <c r="F19005" t="n">
        <v>1</v>
      </c>
      <c r="G19005" t="n">
        <v>11</v>
      </c>
      <c r="H19005" s="5">
        <f>HYPERLINK("https://api.qogita.com/variants/link/8429421430098/", "View Product")</f>
        <v/>
      </c>
    </row>
    <row r="19006">
      <c r="A19006" t="inlineStr">
        <is>
          <t>8429421430326</t>
        </is>
      </c>
      <c r="B19006" t="inlineStr">
        <is>
          <t>LAKME K. Therapy Active Prevention Lotion 4.2 fl oz</t>
        </is>
      </c>
      <c r="C19006" t="inlineStr">
        <is>
          <t>Scalp Care</t>
        </is>
      </c>
      <c r="D19006" t="inlineStr">
        <is>
          <t>Lakmé</t>
        </is>
      </c>
      <c r="E19006" t="n">
        <v>11.96</v>
      </c>
      <c r="F19006" t="n">
        <v>1</v>
      </c>
      <c r="G19006" t="n">
        <v>7</v>
      </c>
      <c r="H19006" s="5">
        <f>HYPERLINK("https://api.qogita.com/variants/link/8429421430326/", "View Product")</f>
        <v/>
      </c>
    </row>
    <row r="19007">
      <c r="A19007" t="inlineStr">
        <is>
          <t>8429421431323</t>
        </is>
      </c>
      <c r="B19007" t="inlineStr">
        <is>
          <t>LAKME K. Therapy Sensitive Relaxing Night Drops 1 fl oz</t>
        </is>
      </c>
      <c r="C19007" t="inlineStr">
        <is>
          <t>Night Cream</t>
        </is>
      </c>
      <c r="D19007" t="inlineStr">
        <is>
          <t>Lakmé</t>
        </is>
      </c>
      <c r="E19007" t="n">
        <v>11.8</v>
      </c>
      <c r="F19007" t="n">
        <v>1</v>
      </c>
      <c r="G19007" t="n">
        <v>25</v>
      </c>
      <c r="H19007" s="5">
        <f>HYPERLINK("https://api.qogita.com/variants/link/8429421431323/", "View Product")</f>
        <v/>
      </c>
    </row>
    <row r="19008">
      <c r="A19008" t="inlineStr">
        <is>
          <t>8429421431439</t>
        </is>
      </c>
      <c r="B19008" t="inlineStr">
        <is>
          <t>Lakme K.Therapy Sensitive Relaxing Balm 1000ml</t>
        </is>
      </c>
      <c r="C19008" t="inlineStr">
        <is>
          <t>Hair Masks</t>
        </is>
      </c>
      <c r="D19008" t="inlineStr">
        <is>
          <t>Lakmé</t>
        </is>
      </c>
      <c r="E19008" t="n">
        <v>20.78</v>
      </c>
      <c r="F19008" t="n">
        <v>1</v>
      </c>
      <c r="G19008" t="n">
        <v>8</v>
      </c>
      <c r="H19008" s="5">
        <f>HYPERLINK("https://api.qogita.com/variants/link/8429421431439/", "View Product")</f>
        <v/>
      </c>
    </row>
    <row r="19009">
      <c r="A19009" t="inlineStr">
        <is>
          <t>8429421436137</t>
        </is>
      </c>
      <c r="B19009" t="inlineStr">
        <is>
          <t>Lakmé Shampoo 1000ml</t>
        </is>
      </c>
      <c r="C19009" t="inlineStr">
        <is>
          <t>Shampoo</t>
        </is>
      </c>
      <c r="D19009" t="inlineStr">
        <is>
          <t>Lakmé</t>
        </is>
      </c>
      <c r="E19009" t="n">
        <v>16.37</v>
      </c>
      <c r="F19009" t="n">
        <v>1</v>
      </c>
      <c r="G19009" t="n">
        <v>10</v>
      </c>
      <c r="H19009" s="5">
        <f>HYPERLINK("https://api.qogita.com/variants/link/8429421436137/", "View Product")</f>
        <v/>
      </c>
    </row>
    <row r="19010">
      <c r="A19010" t="inlineStr">
        <is>
          <t>8429421440226</t>
        </is>
      </c>
      <c r="B19010" t="inlineStr">
        <is>
          <t>Lakme Teknia White Silver Mask Formula Vegan 250ml</t>
        </is>
      </c>
      <c r="C19010" t="inlineStr">
        <is>
          <t>Hair Masks</t>
        </is>
      </c>
      <c r="D19010" t="inlineStr">
        <is>
          <t>Lakmé</t>
        </is>
      </c>
      <c r="E19010" t="n">
        <v>12.34</v>
      </c>
      <c r="F19010" t="n">
        <v>1</v>
      </c>
      <c r="G19010" t="n">
        <v>8</v>
      </c>
      <c r="H19010" s="5">
        <f>HYPERLINK("https://api.qogita.com/variants/link/8429421440226/", "View Product")</f>
        <v/>
      </c>
    </row>
    <row r="19011">
      <c r="A19011" t="inlineStr">
        <is>
          <t>8429421441438</t>
        </is>
      </c>
      <c r="B19011" t="inlineStr">
        <is>
          <t>Teknia Organic Balance Oil Organic Oil 100ml</t>
        </is>
      </c>
      <c r="C19011" t="inlineStr">
        <is>
          <t>Body Oil</t>
        </is>
      </c>
      <c r="D19011" t="inlineStr">
        <is>
          <t>Lakme Teknia</t>
        </is>
      </c>
      <c r="E19011" t="n">
        <v>14.52</v>
      </c>
      <c r="F19011" t="n">
        <v>1</v>
      </c>
      <c r="G19011" t="n">
        <v>33</v>
      </c>
      <c r="H19011" s="5">
        <f>HYPERLINK("https://api.qogita.com/variants/link/8429421441438/", "View Product")</f>
        <v/>
      </c>
    </row>
    <row r="19012">
      <c r="A19012" t="inlineStr">
        <is>
          <t>8429421443395</t>
        </is>
      </c>
      <c r="B19012" t="inlineStr">
        <is>
          <t>LAKME Teknia Perfect Cleanse Refill Pouch</t>
        </is>
      </c>
      <c r="C19012" t="inlineStr">
        <is>
          <t>Shampoo</t>
        </is>
      </c>
      <c r="D19012" t="inlineStr">
        <is>
          <t>Lakmé</t>
        </is>
      </c>
      <c r="E19012" t="n">
        <v>11.15</v>
      </c>
      <c r="F19012" t="n">
        <v>1</v>
      </c>
      <c r="G19012" t="n">
        <v>4</v>
      </c>
      <c r="H19012" s="5">
        <f>HYPERLINK("https://api.qogita.com/variants/link/8429421443395/", "View Product")</f>
        <v/>
      </c>
    </row>
    <row r="19013">
      <c r="A19013" t="inlineStr">
        <is>
          <t>8429421444125</t>
        </is>
      </c>
      <c r="B19013" t="inlineStr">
        <is>
          <t>LAKMÉ Teknia Frizz Control Shampoo 300ml</t>
        </is>
      </c>
      <c r="C19013" t="inlineStr">
        <is>
          <t>Shampoo</t>
        </is>
      </c>
      <c r="D19013" t="inlineStr">
        <is>
          <t>Lakmé</t>
        </is>
      </c>
      <c r="E19013" t="n">
        <v>9.460000000000001</v>
      </c>
      <c r="F19013" t="n">
        <v>1</v>
      </c>
      <c r="G19013" t="n">
        <v>3</v>
      </c>
      <c r="H19013" s="5">
        <f>HYPERLINK("https://api.qogita.com/variants/link/8429421444125/", "View Product")</f>
        <v/>
      </c>
    </row>
    <row r="19014">
      <c r="A19014" t="inlineStr">
        <is>
          <t>8429421444422</t>
        </is>
      </c>
      <c r="B19014" t="inlineStr">
        <is>
          <t>Lakme Teknia Frizz Control Mask Vegan Formula 250ml</t>
        </is>
      </c>
      <c r="C19014" t="inlineStr">
        <is>
          <t>Hair Masks</t>
        </is>
      </c>
      <c r="D19014" t="inlineStr">
        <is>
          <t>Lakmé</t>
        </is>
      </c>
      <c r="E19014" t="n">
        <v>15.53</v>
      </c>
      <c r="F19014" t="n">
        <v>1</v>
      </c>
      <c r="G19014" t="n">
        <v>17</v>
      </c>
      <c r="H19014" s="5">
        <f>HYPERLINK("https://api.qogita.com/variants/link/8429421444422/", "View Product")</f>
        <v/>
      </c>
    </row>
    <row r="19015">
      <c r="A19015" t="inlineStr">
        <is>
          <t>8429421444538</t>
        </is>
      </c>
      <c r="B19015" t="inlineStr">
        <is>
          <t>Lakme Teknia Frizz Control Cream for Frizzy Hair 150ml</t>
        </is>
      </c>
      <c r="C19015" t="inlineStr">
        <is>
          <t>Hair Oil &amp; Hair Serum</t>
        </is>
      </c>
      <c r="D19015" t="inlineStr">
        <is>
          <t>Lakmé</t>
        </is>
      </c>
      <c r="E19015" t="n">
        <v>11.8</v>
      </c>
      <c r="F19015" t="n">
        <v>1</v>
      </c>
      <c r="G19015" t="n">
        <v>2</v>
      </c>
      <c r="H19015" s="5">
        <f>HYPERLINK("https://api.qogita.com/variants/link/8429421444538/", "View Product")</f>
        <v/>
      </c>
    </row>
    <row r="19016">
      <c r="A19016" t="inlineStr">
        <is>
          <t>8429421445320</t>
        </is>
      </c>
      <c r="B19016" t="inlineStr">
        <is>
          <t>Teknia Color Stay Treatment Protective Treatment For Colored Hair 250ml</t>
        </is>
      </c>
      <c r="C19016" t="inlineStr">
        <is>
          <t>Conditioner</t>
        </is>
      </c>
      <c r="D19016" t="inlineStr">
        <is>
          <t>Lakme Teknia</t>
        </is>
      </c>
      <c r="E19016" t="n">
        <v>14.34</v>
      </c>
      <c r="F19016" t="n">
        <v>1</v>
      </c>
      <c r="G19016" t="n">
        <v>9</v>
      </c>
      <c r="H19016" s="5">
        <f>HYPERLINK("https://api.qogita.com/variants/link/8429421445320/", "View Product")</f>
        <v/>
      </c>
    </row>
    <row r="19017">
      <c r="A19017" t="inlineStr">
        <is>
          <t>8429421448116</t>
        </is>
      </c>
      <c r="B19017" t="inlineStr">
        <is>
          <t>Lakme Teknia Argan Oil Moisturizing Shampoo, 33.9 Oz</t>
        </is>
      </c>
      <c r="C19017" t="inlineStr">
        <is>
          <t>Shampoo</t>
        </is>
      </c>
      <c r="D19017" t="inlineStr">
        <is>
          <t>Lakmé</t>
        </is>
      </c>
      <c r="E19017" t="n">
        <v>23.41</v>
      </c>
      <c r="F19017" t="n">
        <v>1</v>
      </c>
      <c r="G19017" t="n">
        <v>6</v>
      </c>
      <c r="H19017" s="5">
        <f>HYPERLINK("https://api.qogita.com/variants/link/8429421448116/", "View Product")</f>
        <v/>
      </c>
    </row>
    <row r="19018">
      <c r="A19018" t="inlineStr">
        <is>
          <t>8429421448536</t>
        </is>
      </c>
      <c r="B19018" t="inlineStr">
        <is>
          <t>Lakme - Teknia Argan Dry Oil 125 Ml</t>
        </is>
      </c>
      <c r="C19018" t="inlineStr">
        <is>
          <t>Hair Oil &amp; Hair Serum</t>
        </is>
      </c>
      <c r="D19018" t="inlineStr">
        <is>
          <t>Lakmé</t>
        </is>
      </c>
      <c r="E19018" t="n">
        <v>18.07</v>
      </c>
      <c r="F19018" t="n">
        <v>1</v>
      </c>
      <c r="G19018" t="n">
        <v>10</v>
      </c>
      <c r="H19018" s="5">
        <f>HYPERLINK("https://api.qogita.com/variants/link/8429421448536/", "View Product")</f>
        <v/>
      </c>
    </row>
    <row r="19019">
      <c r="A19019" t="inlineStr">
        <is>
          <t>8429421455015</t>
        </is>
      </c>
      <c r="B19019" t="inlineStr">
        <is>
          <t>Lakme Lak 2 Hair Conditioner 300ml</t>
        </is>
      </c>
      <c r="C19019" t="inlineStr">
        <is>
          <t>Conditioner</t>
        </is>
      </c>
      <c r="D19019" t="inlineStr">
        <is>
          <t>Lakmé</t>
        </is>
      </c>
      <c r="E19019" t="n">
        <v>9.57</v>
      </c>
      <c r="F19019" t="n">
        <v>1</v>
      </c>
      <c r="G19019" t="n">
        <v>126</v>
      </c>
      <c r="H19019" s="5">
        <f>HYPERLINK("https://api.qogita.com/variants/link/8429421455015/", "View Product")</f>
        <v/>
      </c>
    </row>
    <row r="19020">
      <c r="A19020" t="inlineStr">
        <is>
          <t>8429421460101</t>
        </is>
      </c>
      <c r="B19020" t="inlineStr">
        <is>
          <t>Lakme K.Finish Matt Working Wax</t>
        </is>
      </c>
      <c r="C19020" t="inlineStr">
        <is>
          <t>Wax</t>
        </is>
      </c>
      <c r="D19020" t="inlineStr">
        <is>
          <t>Lakmé</t>
        </is>
      </c>
      <c r="E19020" t="n">
        <v>7.86</v>
      </c>
      <c r="F19020" t="n">
        <v>1</v>
      </c>
      <c r="G19020" t="n">
        <v>2</v>
      </c>
      <c r="H19020" s="5">
        <f>HYPERLINK("https://api.qogita.com/variants/link/8429421460101/", "View Product")</f>
        <v/>
      </c>
    </row>
    <row r="19021">
      <c r="A19021" t="inlineStr">
        <is>
          <t>8429421490429</t>
        </is>
      </c>
      <c r="B19021" t="inlineStr">
        <is>
          <t>Lakme K2.0 Recover Protector Mist Increases Breakage Resistance 200ml</t>
        </is>
      </c>
      <c r="C19021" t="inlineStr">
        <is>
          <t>Hair Tonic</t>
        </is>
      </c>
      <c r="D19021" t="inlineStr">
        <is>
          <t>Lakmé</t>
        </is>
      </c>
      <c r="E19021" t="n">
        <v>40.84</v>
      </c>
      <c r="F19021" t="n">
        <v>1</v>
      </c>
      <c r="G19021" t="n">
        <v>16</v>
      </c>
      <c r="H19021" s="5">
        <f>HYPERLINK("https://api.qogita.com/variants/link/8429421490429/", "View Product")</f>
        <v/>
      </c>
    </row>
    <row r="19022">
      <c r="A19022" t="inlineStr">
        <is>
          <t>8429421491112</t>
        </is>
      </c>
      <c r="B19022" t="inlineStr">
        <is>
          <t>Lakme Micellar Aura'01 Shampoo 1000ml</t>
        </is>
      </c>
      <c r="C19022" t="inlineStr">
        <is>
          <t>Shampoo</t>
        </is>
      </c>
      <c r="D19022" t="inlineStr">
        <is>
          <t>Lakmé</t>
        </is>
      </c>
      <c r="E19022" t="n">
        <v>18.2</v>
      </c>
      <c r="F19022" t="n">
        <v>1</v>
      </c>
      <c r="G19022" t="n">
        <v>7</v>
      </c>
      <c r="H19022" s="5">
        <f>HYPERLINK("https://api.qogita.com/variants/link/8429421491112/", "View Product")</f>
        <v/>
      </c>
    </row>
    <row r="19023">
      <c r="A19023" t="inlineStr">
        <is>
          <t>8431240405041</t>
        </is>
      </c>
      <c r="B19023" t="inlineStr">
        <is>
          <t>Giorgio Armani Si Intense 100ml Eau de Parfum &amp; Lip Maestro Satin 12 4ml</t>
        </is>
      </c>
      <c r="C19023" t="inlineStr">
        <is>
          <t>Eau De Parfum</t>
        </is>
      </c>
      <c r="D19023" t="inlineStr">
        <is>
          <t>Giorgio Armani</t>
        </is>
      </c>
      <c r="E19023" t="n">
        <v>122.75</v>
      </c>
      <c r="F19023" t="n">
        <v>1</v>
      </c>
      <c r="G19023" t="n">
        <v>3</v>
      </c>
      <c r="H19023" s="5">
        <f>HYPERLINK("https://api.qogita.com/variants/link/8431240405041/", "View Product")</f>
        <v/>
      </c>
    </row>
    <row r="19024">
      <c r="A19024" t="inlineStr">
        <is>
          <t>8431754006031</t>
        </is>
      </c>
      <c r="B19024" t="inlineStr">
        <is>
          <t>Jesus Del Pozo Halloween Halloween Man X Eau De Toilette 125ml</t>
        </is>
      </c>
      <c r="C19024" t="inlineStr">
        <is>
          <t>Eau De Toilette</t>
        </is>
      </c>
      <c r="D19024" t="inlineStr">
        <is>
          <t>Jesus Del Pozo</t>
        </is>
      </c>
      <c r="E19024" t="n">
        <v>40.15</v>
      </c>
      <c r="F19024" t="n">
        <v>1</v>
      </c>
      <c r="G19024" t="n">
        <v>5</v>
      </c>
      <c r="H19024" s="5">
        <f>HYPERLINK("https://api.qogita.com/variants/link/8431754006031/", "View Product")</f>
        <v/>
      </c>
    </row>
    <row r="19025">
      <c r="A19025" t="inlineStr">
        <is>
          <t>8432225074924</t>
        </is>
      </c>
      <c r="B19025" t="inlineStr">
        <is>
          <t>Revlon Professional Style Masters Curly Orbital 150ml</t>
        </is>
      </c>
      <c r="C19025" t="inlineStr">
        <is>
          <t>Styling Creams</t>
        </is>
      </c>
      <c r="D19025" t="inlineStr">
        <is>
          <t>Revlon Professional</t>
        </is>
      </c>
      <c r="E19025" t="n">
        <v>6.75</v>
      </c>
      <c r="F19025" t="n">
        <v>1</v>
      </c>
      <c r="G19025" t="n">
        <v>14</v>
      </c>
      <c r="H19025" s="5">
        <f>HYPERLINK("https://api.qogita.com/variants/link/8432225074924/", "View Product")</f>
        <v/>
      </c>
    </row>
    <row r="19026">
      <c r="A19026" t="inlineStr">
        <is>
          <t>8432225091501</t>
        </is>
      </c>
      <c r="B19026" t="inlineStr">
        <is>
          <t>Revlon Professional Revlonissimo 45 Days Conditioning Shampoo Intense Coppers 275 Ml</t>
        </is>
      </c>
      <c r="C19026" t="inlineStr">
        <is>
          <t>Shampoo</t>
        </is>
      </c>
      <c r="D19026" t="inlineStr">
        <is>
          <t>Revlon Professional</t>
        </is>
      </c>
      <c r="E19026" t="n">
        <v>9.27</v>
      </c>
      <c r="F19026" t="n">
        <v>1</v>
      </c>
      <c r="G19026" t="n">
        <v>3</v>
      </c>
      <c r="H19026" s="5">
        <f>HYPERLINK("https://api.qogita.com/variants/link/8432225091501/", "View Product")</f>
        <v/>
      </c>
    </row>
    <row r="19027">
      <c r="A19027" t="inlineStr">
        <is>
          <t>8432225096865</t>
        </is>
      </c>
      <c r="B19027" t="inlineStr">
        <is>
          <t>Revlon Professional Style Masters Reset Dry Shampoo 150 Ml For Hair Volume</t>
        </is>
      </c>
      <c r="C19027" t="inlineStr">
        <is>
          <t>Dry Shampoo</t>
        </is>
      </c>
      <c r="D19027" t="inlineStr">
        <is>
          <t>Revlon Professional</t>
        </is>
      </c>
      <c r="E19027" t="n">
        <v>5.5</v>
      </c>
      <c r="F19027" t="n">
        <v>1</v>
      </c>
      <c r="G19027" t="n">
        <v>2</v>
      </c>
      <c r="H19027" s="5">
        <f>HYPERLINK("https://api.qogita.com/variants/link/8432225096865/", "View Product")</f>
        <v/>
      </c>
    </row>
    <row r="19028">
      <c r="A19028" t="inlineStr">
        <is>
          <t>8432225096896</t>
        </is>
      </c>
      <c r="B19028" t="inlineStr">
        <is>
          <t>Revlon Professional Style Masters Brightastic Hair Smoothing Serum 100 Ml</t>
        </is>
      </c>
      <c r="C19028" t="inlineStr">
        <is>
          <t>Hair Oil &amp; Hair Serum</t>
        </is>
      </c>
      <c r="D19028" t="inlineStr">
        <is>
          <t>Revlon Professional</t>
        </is>
      </c>
      <c r="E19028" t="n">
        <v>6.49</v>
      </c>
      <c r="F19028" t="n">
        <v>1</v>
      </c>
      <c r="G19028" t="n">
        <v>8</v>
      </c>
      <c r="H19028" s="5">
        <f>HYPERLINK("https://api.qogita.com/variants/link/8432225096896/", "View Product")</f>
        <v/>
      </c>
    </row>
    <row r="19029">
      <c r="A19029" t="inlineStr">
        <is>
          <t>8432225113678</t>
        </is>
      </c>
      <c r="B19029" t="inlineStr">
        <is>
          <t>Revlon Professional Revlon Proyou The Keeper Color Care Shampoo 350ml</t>
        </is>
      </c>
      <c r="C19029" t="inlineStr">
        <is>
          <t>Shampoo</t>
        </is>
      </c>
      <c r="D19029" t="inlineStr">
        <is>
          <t>Revlon Professional</t>
        </is>
      </c>
      <c r="E19029" t="n">
        <v>4.7</v>
      </c>
      <c r="F19029" t="n">
        <v>1</v>
      </c>
      <c r="G19029" t="n">
        <v>12</v>
      </c>
      <c r="H19029" s="5">
        <f>HYPERLINK("https://api.qogita.com/variants/link/8432225113678/", "View Product")</f>
        <v/>
      </c>
    </row>
    <row r="19030">
      <c r="A19030" t="inlineStr">
        <is>
          <t>8432225113739</t>
        </is>
      </c>
      <c r="B19030" t="inlineStr">
        <is>
          <t>Pro You The Amplifier Volumizing Shampoo 350ml</t>
        </is>
      </c>
      <c r="C19030" t="inlineStr">
        <is>
          <t>Shampoo</t>
        </is>
      </c>
      <c r="D19030" t="inlineStr">
        <is>
          <t>Proyou</t>
        </is>
      </c>
      <c r="E19030" t="n">
        <v>4.08</v>
      </c>
      <c r="F19030" t="n">
        <v>1</v>
      </c>
      <c r="G19030" t="n">
        <v>5</v>
      </c>
      <c r="H19030" s="5">
        <f>HYPERLINK("https://api.qogita.com/variants/link/8432225113739/", "View Product")</f>
        <v/>
      </c>
    </row>
    <row r="19031">
      <c r="A19031" t="inlineStr">
        <is>
          <t>8432225114187</t>
        </is>
      </c>
      <c r="B19031" t="inlineStr">
        <is>
          <t>Revlon Professional Pro You The Toner Neutralizing Shampoo Blonde Hair 350ml</t>
        </is>
      </c>
      <c r="C19031" t="inlineStr">
        <is>
          <t>Shampoo</t>
        </is>
      </c>
      <c r="D19031" t="inlineStr">
        <is>
          <t>Revlon Professional</t>
        </is>
      </c>
      <c r="E19031" t="n">
        <v>6.52</v>
      </c>
      <c r="F19031" t="n">
        <v>1</v>
      </c>
      <c r="G19031" t="n">
        <v>7</v>
      </c>
      <c r="H19031" s="5">
        <f>HYPERLINK("https://api.qogita.com/variants/link/8432225114187/", "View Product")</f>
        <v/>
      </c>
    </row>
    <row r="19032">
      <c r="A19032" t="inlineStr">
        <is>
          <t>8432225114392</t>
        </is>
      </c>
      <c r="B19032" t="inlineStr">
        <is>
          <t>Revlon Restart Volume Magnifying Melting Conditioner 200ml</t>
        </is>
      </c>
      <c r="C19032" t="inlineStr">
        <is>
          <t>Conditioner</t>
        </is>
      </c>
      <c r="D19032" t="inlineStr">
        <is>
          <t>Revlon</t>
        </is>
      </c>
      <c r="E19032" t="n">
        <v>6.57</v>
      </c>
      <c r="F19032" t="n">
        <v>1</v>
      </c>
      <c r="G19032" t="n">
        <v>5</v>
      </c>
      <c r="H19032" s="5">
        <f>HYPERLINK("https://api.qogita.com/variants/link/8432225114392/", "View Product")</f>
        <v/>
      </c>
    </row>
    <row r="19033">
      <c r="A19033" t="inlineStr">
        <is>
          <t>8432225114408</t>
        </is>
      </c>
      <c r="B19033" t="inlineStr">
        <is>
          <t>REVLON RE-START volume melting conditioner 750 ml</t>
        </is>
      </c>
      <c r="C19033" t="inlineStr">
        <is>
          <t>Conditioner</t>
        </is>
      </c>
      <c r="D19033" t="inlineStr">
        <is>
          <t>Revlon Professional</t>
        </is>
      </c>
      <c r="E19033" t="n">
        <v>17.31</v>
      </c>
      <c r="F19033" t="n">
        <v>1</v>
      </c>
      <c r="G19033" t="n">
        <v>10</v>
      </c>
      <c r="H19033" s="5">
        <f>HYPERLINK("https://api.qogita.com/variants/link/8432225114408/", "View Product")</f>
        <v/>
      </c>
    </row>
    <row r="19034">
      <c r="A19034" t="inlineStr">
        <is>
          <t>8432225114576</t>
        </is>
      </c>
      <c r="B19034" t="inlineStr">
        <is>
          <t>Revlon Restart Hydration Rich Mask 500ml Moisture Rich Hair Mask</t>
        </is>
      </c>
      <c r="C19034" t="inlineStr">
        <is>
          <t>Hair Masks</t>
        </is>
      </c>
      <c r="D19034" t="inlineStr">
        <is>
          <t>Revlon</t>
        </is>
      </c>
      <c r="E19034" t="n">
        <v>19.69</v>
      </c>
      <c r="F19034" t="n">
        <v>1</v>
      </c>
      <c r="G19034" t="n">
        <v>5</v>
      </c>
      <c r="H19034" s="5">
        <f>HYPERLINK("https://api.qogita.com/variants/link/8432225114576/", "View Product")</f>
        <v/>
      </c>
    </row>
    <row r="19035">
      <c r="A19035" t="inlineStr">
        <is>
          <t>8432225114743</t>
        </is>
      </c>
      <c r="B19035" t="inlineStr">
        <is>
          <t>Revlon Restart Color Protective Gentle Cleanser 1000ml Cleansing Shampoo For Colored Hair</t>
        </is>
      </c>
      <c r="C19035" t="inlineStr">
        <is>
          <t>Shampoo</t>
        </is>
      </c>
      <c r="D19035" t="inlineStr">
        <is>
          <t>Revlon</t>
        </is>
      </c>
      <c r="E19035" t="n">
        <v>27.81</v>
      </c>
      <c r="F19035" t="n">
        <v>1</v>
      </c>
      <c r="G19035" t="n">
        <v>2</v>
      </c>
      <c r="H19035" s="5">
        <f>HYPERLINK("https://api.qogita.com/variants/link/8432225114743/", "View Product")</f>
        <v/>
      </c>
    </row>
    <row r="19036">
      <c r="A19036" t="inlineStr">
        <is>
          <t>8432225114804</t>
        </is>
      </c>
      <c r="B19036" t="inlineStr">
        <is>
          <t>Proyou The Twister Scrunch Activating Gel - 350ml</t>
        </is>
      </c>
      <c r="C19036" t="inlineStr">
        <is>
          <t>Gel</t>
        </is>
      </c>
      <c r="D19036" t="inlineStr">
        <is>
          <t>Proyou</t>
        </is>
      </c>
      <c r="E19036" t="n">
        <v>6.7</v>
      </c>
      <c r="F19036" t="n">
        <v>1</v>
      </c>
      <c r="G19036" t="n">
        <v>40</v>
      </c>
      <c r="H19036" s="5">
        <f>HYPERLINK("https://api.qogita.com/variants/link/8432225114804/", "View Product")</f>
        <v/>
      </c>
    </row>
    <row r="19037">
      <c r="A19037" t="inlineStr">
        <is>
          <t>8432225114835</t>
        </is>
      </c>
      <c r="B19037" t="inlineStr">
        <is>
          <t>Revlon Professional Pro You The Setter Hair Spray Extreme Hold 500 Ml</t>
        </is>
      </c>
      <c r="C19037" t="inlineStr">
        <is>
          <t>Hairspray</t>
        </is>
      </c>
      <c r="D19037" t="inlineStr">
        <is>
          <t>Revlon Professional</t>
        </is>
      </c>
      <c r="E19037" t="n">
        <v>4.33</v>
      </c>
      <c r="F19037" t="n">
        <v>1</v>
      </c>
      <c r="G19037" t="n">
        <v>4</v>
      </c>
      <c r="H19037" s="5">
        <f>HYPERLINK("https://api.qogita.com/variants/link/8432225114835/", "View Product")</f>
        <v/>
      </c>
    </row>
    <row r="19038">
      <c r="A19038" t="inlineStr">
        <is>
          <t>8432225114866</t>
        </is>
      </c>
      <c r="B19038" t="inlineStr">
        <is>
          <t>Pro You The Winner Anti Hair Loss Invigorating Shampoo - 350ml</t>
        </is>
      </c>
      <c r="C19038" t="inlineStr">
        <is>
          <t>Shampoo</t>
        </is>
      </c>
      <c r="D19038" t="inlineStr">
        <is>
          <t>Proyou</t>
        </is>
      </c>
      <c r="E19038" t="n">
        <v>4.03</v>
      </c>
      <c r="F19038" t="n">
        <v>1</v>
      </c>
      <c r="G19038" t="n">
        <v>6</v>
      </c>
      <c r="H19038" s="5">
        <f>HYPERLINK("https://api.qogita.com/variants/link/8432225114866/", "View Product")</f>
        <v/>
      </c>
    </row>
    <row r="19039">
      <c r="A19039" t="inlineStr">
        <is>
          <t>8432225114941</t>
        </is>
      </c>
      <c r="B19039" t="inlineStr">
        <is>
          <t>Revlon Restart Color Protect Mist 200ml Protective Mist For Colored Hair</t>
        </is>
      </c>
      <c r="C19039" t="inlineStr">
        <is>
          <t>Uv Protection</t>
        </is>
      </c>
      <c r="D19039" t="inlineStr">
        <is>
          <t>Revlon</t>
        </is>
      </c>
      <c r="E19039" t="n">
        <v>14.54</v>
      </c>
      <c r="F19039" t="n">
        <v>1</v>
      </c>
      <c r="G19039" t="n">
        <v>3</v>
      </c>
      <c r="H19039" s="5">
        <f>HYPERLINK("https://api.qogita.com/variants/link/8432225114941/", "View Product")</f>
        <v/>
      </c>
    </row>
    <row r="19040">
      <c r="A19040" t="inlineStr">
        <is>
          <t>8432225114965</t>
        </is>
      </c>
      <c r="B19040" t="inlineStr">
        <is>
          <t>Revlon Professional Proyou The Fixer Shield 250ml Thermal Protection Hair Spray</t>
        </is>
      </c>
      <c r="C19040" t="inlineStr">
        <is>
          <t>Hairspray</t>
        </is>
      </c>
      <c r="D19040" t="inlineStr">
        <is>
          <t>Revlon Professional</t>
        </is>
      </c>
      <c r="E19040" t="n">
        <v>6.54</v>
      </c>
      <c r="F19040" t="n">
        <v>1</v>
      </c>
      <c r="G19040" t="n">
        <v>7</v>
      </c>
      <c r="H19040" s="5">
        <f>HYPERLINK("https://api.qogita.com/variants/link/8432225114965/", "View Product")</f>
        <v/>
      </c>
    </row>
    <row r="19041">
      <c r="A19041" t="inlineStr">
        <is>
          <t>8432225115481</t>
        </is>
      </c>
      <c r="B19041" t="inlineStr">
        <is>
          <t>Revlon Style Master Amplifier Mousse 300ml</t>
        </is>
      </c>
      <c r="C19041" t="inlineStr">
        <is>
          <t>Mousse</t>
        </is>
      </c>
      <c r="D19041" t="inlineStr">
        <is>
          <t>Revlon</t>
        </is>
      </c>
      <c r="E19041" t="n">
        <v>7.87</v>
      </c>
      <c r="F19041" t="n">
        <v>1</v>
      </c>
      <c r="G19041" t="n">
        <v>4</v>
      </c>
      <c r="H19041" s="5">
        <f>HYPERLINK("https://api.qogita.com/variants/link/8432225115481/", "View Product")</f>
        <v/>
      </c>
    </row>
    <row r="19042">
      <c r="A19042" t="inlineStr">
        <is>
          <t>8432225127392</t>
        </is>
      </c>
      <c r="B19042" t="inlineStr">
        <is>
          <t>Revlon Restart Density Fortifying Weightless Conditioner 200ml</t>
        </is>
      </c>
      <c r="C19042" t="inlineStr">
        <is>
          <t>Conditioner</t>
        </is>
      </c>
      <c r="D19042" t="inlineStr">
        <is>
          <t>Revlon</t>
        </is>
      </c>
      <c r="E19042" t="n">
        <v>6.95</v>
      </c>
      <c r="F19042" t="n">
        <v>1</v>
      </c>
      <c r="G19042" t="n">
        <v>7</v>
      </c>
      <c r="H19042" s="5">
        <f>HYPERLINK("https://api.qogita.com/variants/link/8432225127392/", "View Product")</f>
        <v/>
      </c>
    </row>
    <row r="19043">
      <c r="A19043" t="inlineStr">
        <is>
          <t>8432225127910</t>
        </is>
      </c>
      <c r="B19043" t="inlineStr">
        <is>
          <t>Orofluido Radiance Argan Mask Hair Mask With Argan Oil 500ml</t>
        </is>
      </c>
      <c r="C19043" t="inlineStr">
        <is>
          <t>Hair Masks</t>
        </is>
      </c>
      <c r="D19043" t="inlineStr">
        <is>
          <t>Orofluido</t>
        </is>
      </c>
      <c r="E19043" t="n">
        <v>8.9</v>
      </c>
      <c r="F19043" t="n">
        <v>1</v>
      </c>
      <c r="G19043" t="n">
        <v>82</v>
      </c>
      <c r="H19043" s="5">
        <f>HYPERLINK("https://api.qogita.com/variants/link/8432225127910/", "View Product")</f>
        <v/>
      </c>
    </row>
    <row r="19044">
      <c r="A19044" t="inlineStr">
        <is>
          <t>8432225132884</t>
        </is>
      </c>
      <c r="B19044" t="inlineStr">
        <is>
          <t>Revlon Professional Proyou The Balancer Dandruff Control Shampoo 350ml</t>
        </is>
      </c>
      <c r="C19044" t="inlineStr">
        <is>
          <t>Shampoo</t>
        </is>
      </c>
      <c r="D19044" t="inlineStr">
        <is>
          <t>Revlon Professional</t>
        </is>
      </c>
      <c r="E19044" t="n">
        <v>4.45</v>
      </c>
      <c r="F19044" t="n">
        <v>1</v>
      </c>
      <c r="G19044" t="n">
        <v>2</v>
      </c>
      <c r="H19044" s="5">
        <f>HYPERLINK("https://api.qogita.com/variants/link/8432225132884/", "View Product")</f>
        <v/>
      </c>
    </row>
    <row r="19045">
      <c r="A19045" t="inlineStr">
        <is>
          <t>8432225133966</t>
        </is>
      </c>
      <c r="B19045" t="inlineStr">
        <is>
          <t>Revlon Style Masters Pure Styler Strong Hold Hairspray 325ml</t>
        </is>
      </c>
      <c r="C19045" t="inlineStr">
        <is>
          <t>Hairspray</t>
        </is>
      </c>
      <c r="D19045" t="inlineStr">
        <is>
          <t>Revlon</t>
        </is>
      </c>
      <c r="E19045" t="n">
        <v>7.23</v>
      </c>
      <c r="F19045" t="n">
        <v>1</v>
      </c>
      <c r="G19045" t="n">
        <v>5</v>
      </c>
      <c r="H19045" s="5">
        <f>HYPERLINK("https://api.qogita.com/variants/link/8432225133966/", "View Product")</f>
        <v/>
      </c>
    </row>
    <row r="19046">
      <c r="A19046" t="inlineStr">
        <is>
          <t>8432225137001</t>
        </is>
      </c>
      <c r="B19046" t="inlineStr">
        <is>
          <t>Revlon Professional Equave Instant Beauty Detangling Hydro Nutritive Conditioner 500ml</t>
        </is>
      </c>
      <c r="C19046" t="inlineStr">
        <is>
          <t>Conditioner</t>
        </is>
      </c>
      <c r="D19046" t="inlineStr">
        <is>
          <t>Revlon Professional</t>
        </is>
      </c>
      <c r="E19046" t="n">
        <v>11.52</v>
      </c>
      <c r="F19046" t="n">
        <v>1</v>
      </c>
      <c r="G19046" t="n">
        <v>80</v>
      </c>
      <c r="H19046" s="5">
        <f>HYPERLINK("https://api.qogita.com/variants/link/8432225137001/", "View Product")</f>
        <v/>
      </c>
    </row>
    <row r="19047">
      <c r="A19047" t="inlineStr">
        <is>
          <t>8432225137025</t>
        </is>
      </c>
      <c r="B19047" t="inlineStr">
        <is>
          <t>Revlon Equave Instant Detangling Conditioner For Blonde Hair 200ml Antibrassiness Formula</t>
        </is>
      </c>
      <c r="C19047" t="inlineStr">
        <is>
          <t>Conditioner</t>
        </is>
      </c>
      <c r="D19047" t="inlineStr">
        <is>
          <t>Revlon</t>
        </is>
      </c>
      <c r="E19047" t="n">
        <v>6.52</v>
      </c>
      <c r="F19047" t="n">
        <v>1</v>
      </c>
      <c r="G19047" t="n">
        <v>9</v>
      </c>
      <c r="H19047" s="5">
        <f>HYPERLINK("https://api.qogita.com/variants/link/8432225137025/", "View Product")</f>
        <v/>
      </c>
    </row>
    <row r="19048">
      <c r="A19048" t="inlineStr">
        <is>
          <t>8432225137032</t>
        </is>
      </c>
      <c r="B19048" t="inlineStr">
        <is>
          <t>Revlon Equave Instant Detangling Conditioner Fine Hair 200ml</t>
        </is>
      </c>
      <c r="C19048" t="inlineStr">
        <is>
          <t>Conditioner</t>
        </is>
      </c>
      <c r="D19048" t="inlineStr">
        <is>
          <t>Revlon</t>
        </is>
      </c>
      <c r="E19048" t="n">
        <v>7.53</v>
      </c>
      <c r="F19048" t="n">
        <v>1</v>
      </c>
      <c r="G19048" t="n">
        <v>8</v>
      </c>
      <c r="H19048" s="5">
        <f>HYPERLINK("https://api.qogita.com/variants/link/8432225137032/", "View Product")</f>
        <v/>
      </c>
    </row>
    <row r="19049">
      <c r="A19049" t="inlineStr">
        <is>
          <t>8432225137087</t>
        </is>
      </c>
      <c r="B19049" t="inlineStr">
        <is>
          <t>Revlon Professional Equave Hydro Fusiooil Leavein Nourishing Hair And Body 200ml</t>
        </is>
      </c>
      <c r="C19049" t="inlineStr">
        <is>
          <t>Leave-In Conditioner</t>
        </is>
      </c>
      <c r="D19049" t="inlineStr">
        <is>
          <t>Revlon Professional</t>
        </is>
      </c>
      <c r="E19049" t="n">
        <v>8.380000000000001</v>
      </c>
      <c r="F19049" t="n">
        <v>1</v>
      </c>
      <c r="G19049" t="n">
        <v>27</v>
      </c>
      <c r="H19049" s="5">
        <f>HYPERLINK("https://api.qogita.com/variants/link/8432225137087/", "View Product")</f>
        <v/>
      </c>
    </row>
    <row r="19050">
      <c r="A19050" t="inlineStr">
        <is>
          <t>8432225139388</t>
        </is>
      </c>
      <c r="B19050" t="inlineStr">
        <is>
          <t>Revlon Professional 45 Days Shampoo With Conditioner For Highlighted Hair 2 In 1 275ml</t>
        </is>
      </c>
      <c r="C19050" t="inlineStr">
        <is>
          <t>Shampoo</t>
        </is>
      </c>
      <c r="D19050" t="inlineStr">
        <is>
          <t>Revlon</t>
        </is>
      </c>
      <c r="E19050" t="n">
        <v>9.24</v>
      </c>
      <c r="F19050" t="n">
        <v>1</v>
      </c>
      <c r="G19050" t="n">
        <v>9</v>
      </c>
      <c r="H19050" s="5">
        <f>HYPERLINK("https://api.qogita.com/variants/link/8432225139388/", "View Product")</f>
        <v/>
      </c>
    </row>
    <row r="19051">
      <c r="A19051" t="inlineStr">
        <is>
          <t>8433982013171</t>
        </is>
      </c>
      <c r="B19051" t="inlineStr">
        <is>
          <t>Benetton Colors Rose Woman Eau De Toilette 50ml</t>
        </is>
      </c>
      <c r="C19051" t="inlineStr">
        <is>
          <t>Eau De Toilette</t>
        </is>
      </c>
      <c r="D19051" t="inlineStr">
        <is>
          <t>Benetton</t>
        </is>
      </c>
      <c r="E19051" t="n">
        <v>13.95</v>
      </c>
      <c r="F19051" t="n">
        <v>1</v>
      </c>
      <c r="G19051" t="n">
        <v>14</v>
      </c>
      <c r="H19051" s="5">
        <f>HYPERLINK("https://api.qogita.com/variants/link/8433982013171/", "View Product")</f>
        <v/>
      </c>
    </row>
    <row r="19052">
      <c r="A19052" t="inlineStr">
        <is>
          <t>8433982016493</t>
        </is>
      </c>
      <c r="B19052" t="inlineStr">
        <is>
          <t>Benetton United Dreams Together EDT Spray 2.7 oz</t>
        </is>
      </c>
      <c r="C19052" t="inlineStr">
        <is>
          <t>Eau De Toilette</t>
        </is>
      </c>
      <c r="D19052" t="inlineStr">
        <is>
          <t>Benetton</t>
        </is>
      </c>
      <c r="E19052" t="n">
        <v>11.32</v>
      </c>
      <c r="F19052" t="n">
        <v>1</v>
      </c>
      <c r="G19052" t="n">
        <v>11</v>
      </c>
      <c r="H19052" s="5">
        <f>HYPERLINK("https://api.qogita.com/variants/link/8433982016493/", "View Product")</f>
        <v/>
      </c>
    </row>
    <row r="19053">
      <c r="A19053" t="inlineStr">
        <is>
          <t>8435137743223</t>
        </is>
      </c>
      <c r="B19053" t="inlineStr">
        <is>
          <t>Prada Les Infusions Cedre Eau De Parfum 100ml</t>
        </is>
      </c>
      <c r="C19053" t="inlineStr">
        <is>
          <t>Eau De Parfum</t>
        </is>
      </c>
      <c r="D19053" t="inlineStr">
        <is>
          <t>Prada</t>
        </is>
      </c>
      <c r="E19053" t="n">
        <v>104.87</v>
      </c>
      <c r="F19053" t="n">
        <v>1</v>
      </c>
      <c r="G19053" t="n">
        <v>3</v>
      </c>
      <c r="H19053" s="5">
        <f>HYPERLINK("https://api.qogita.com/variants/link/8435137743223/", "View Product")</f>
        <v/>
      </c>
    </row>
    <row r="19054">
      <c r="A19054" t="inlineStr">
        <is>
          <t>8435137749614</t>
        </is>
      </c>
      <c r="B19054" t="inlineStr">
        <is>
          <t>Prada L'Homme Eau De Toilette 150ml Men's Spray By Prada</t>
        </is>
      </c>
      <c r="C19054" t="inlineStr">
        <is>
          <t>Eau De Toilette</t>
        </is>
      </c>
      <c r="D19054" t="inlineStr">
        <is>
          <t>Prada</t>
        </is>
      </c>
      <c r="E19054" t="n">
        <v>119.51</v>
      </c>
      <c r="F19054" t="n">
        <v>1</v>
      </c>
      <c r="G19054" t="n">
        <v>23</v>
      </c>
      <c r="H19054" s="5">
        <f>HYPERLINK("https://api.qogita.com/variants/link/8435137749614/", "View Product")</f>
        <v/>
      </c>
    </row>
    <row r="19055">
      <c r="A19055" t="inlineStr">
        <is>
          <t>8435137750450</t>
        </is>
      </c>
      <c r="B19055" t="inlineStr">
        <is>
          <t>Prada La Femme Eau De Parfum 35ml Women's Fragrance</t>
        </is>
      </c>
      <c r="C19055" t="inlineStr">
        <is>
          <t>Eau De Parfum</t>
        </is>
      </c>
      <c r="D19055" t="inlineStr">
        <is>
          <t>Prada</t>
        </is>
      </c>
      <c r="E19055" t="n">
        <v>58.6</v>
      </c>
      <c r="F19055" t="n">
        <v>1</v>
      </c>
      <c r="G19055" t="n">
        <v>10</v>
      </c>
      <c r="H19055" s="5">
        <f>HYPERLINK("https://api.qogita.com/variants/link/8435137750450/", "View Product")</f>
        <v/>
      </c>
    </row>
    <row r="19056">
      <c r="A19056" t="inlineStr">
        <is>
          <t>8435137764433</t>
        </is>
      </c>
      <c r="B19056" t="inlineStr">
        <is>
          <t>Prada La Femme Intense Eau De Parfum Spray 100ml</t>
        </is>
      </c>
      <c r="C19056" t="inlineStr">
        <is>
          <t>Eau De Parfum</t>
        </is>
      </c>
      <c r="D19056" t="inlineStr">
        <is>
          <t>Prada</t>
        </is>
      </c>
      <c r="E19056" t="n">
        <v>111.4</v>
      </c>
      <c r="F19056" t="n">
        <v>1</v>
      </c>
      <c r="G19056" t="n">
        <v>16</v>
      </c>
      <c r="H19056" s="5">
        <f>HYPERLINK("https://api.qogita.com/variants/link/8435137764433/", "View Product")</f>
        <v/>
      </c>
    </row>
    <row r="19057">
      <c r="A19057" t="inlineStr">
        <is>
          <t>8435137765065</t>
        </is>
      </c>
      <c r="B19057" t="inlineStr">
        <is>
          <t>Prada La Femme L'Eau Eau De Toilette Spray 100ml</t>
        </is>
      </c>
      <c r="C19057" t="inlineStr">
        <is>
          <t>Eau De Toilette</t>
        </is>
      </c>
      <c r="D19057" t="inlineStr">
        <is>
          <t>Prada</t>
        </is>
      </c>
      <c r="E19057" t="n">
        <v>89.54000000000001</v>
      </c>
      <c r="F19057" t="n">
        <v>1</v>
      </c>
      <c r="G19057" t="n">
        <v>3</v>
      </c>
      <c r="H19057" s="5">
        <f>HYPERLINK("https://api.qogita.com/variants/link/8435137765065/", "View Product")</f>
        <v/>
      </c>
    </row>
    <row r="19058">
      <c r="A19058" t="inlineStr">
        <is>
          <t>8435137782949</t>
        </is>
      </c>
      <c r="B19058" t="inlineStr">
        <is>
          <t>Prada Luna Rossa Black Eau De Parfum 100ml For Men</t>
        </is>
      </c>
      <c r="C19058" t="inlineStr">
        <is>
          <t>Eau De Parfum</t>
        </is>
      </c>
      <c r="D19058" t="inlineStr">
        <is>
          <t>Prada</t>
        </is>
      </c>
      <c r="E19058" t="n">
        <v>73.53</v>
      </c>
      <c r="F19058" t="n">
        <v>1</v>
      </c>
      <c r="G19058" t="n">
        <v>13</v>
      </c>
      <c r="H19058" s="5">
        <f>HYPERLINK("https://api.qogita.com/variants/link/8435137782949/", "View Product")</f>
        <v/>
      </c>
    </row>
    <row r="19059">
      <c r="A19059" t="inlineStr">
        <is>
          <t>8435415006378</t>
        </is>
      </c>
      <c r="B19059" t="inlineStr">
        <is>
          <t>Jean Paul Gaultier Scandal Woman Eau de Parfum 50ml</t>
        </is>
      </c>
      <c r="C19059" t="inlineStr">
        <is>
          <t>Eau De Parfum</t>
        </is>
      </c>
      <c r="D19059" t="inlineStr">
        <is>
          <t>Jean Paul Gaultier</t>
        </is>
      </c>
      <c r="E19059" t="n">
        <v>65.65000000000001</v>
      </c>
      <c r="F19059" t="n">
        <v>1</v>
      </c>
      <c r="G19059" t="n">
        <v>12</v>
      </c>
      <c r="H19059" s="5">
        <f>HYPERLINK("https://api.qogita.com/variants/link/8435415006378/", "View Product")</f>
        <v/>
      </c>
    </row>
    <row r="19060">
      <c r="A19060" t="inlineStr">
        <is>
          <t>8435415006460</t>
        </is>
      </c>
      <c r="B19060" t="inlineStr">
        <is>
          <t>Scandal Eau de Parfum by Jean Paul Gaultier - 80 ml Tester</t>
        </is>
      </c>
      <c r="C19060" t="inlineStr">
        <is>
          <t>Eau De Parfum</t>
        </is>
      </c>
      <c r="D19060" t="inlineStr">
        <is>
          <t>Jean Paul Gaultier</t>
        </is>
      </c>
      <c r="E19060" t="n">
        <v>62.07</v>
      </c>
      <c r="F19060" t="n">
        <v>1</v>
      </c>
      <c r="G19060" t="n">
        <v>5</v>
      </c>
      <c r="H19060" s="5">
        <f>HYPERLINK("https://api.qogita.com/variants/link/8435415006460/", "View Product")</f>
        <v/>
      </c>
    </row>
    <row r="19061">
      <c r="A19061" t="inlineStr">
        <is>
          <t>8435415007542</t>
        </is>
      </c>
      <c r="B19061" t="inlineStr">
        <is>
          <t>Jean Paul Gaultier Scandal Perfumed Body Lotion 200ml For Women</t>
        </is>
      </c>
      <c r="C19061" t="inlineStr">
        <is>
          <t>Body Lotion</t>
        </is>
      </c>
      <c r="D19061" t="inlineStr">
        <is>
          <t>Jean Paul Gaultier</t>
        </is>
      </c>
      <c r="E19061" t="n">
        <v>26.03</v>
      </c>
      <c r="F19061" t="n">
        <v>1</v>
      </c>
      <c r="G19061" t="n">
        <v>4</v>
      </c>
      <c r="H19061" s="5">
        <f>HYPERLINK("https://api.qogita.com/variants/link/8435415007542/", "View Product")</f>
        <v/>
      </c>
    </row>
    <row r="19062">
      <c r="A19062" t="inlineStr">
        <is>
          <t>8435415011372</t>
        </is>
      </c>
      <c r="B19062" t="inlineStr">
        <is>
          <t>Jean Paul Gaultier Le Classique Perfumed Body Lotion 200ml</t>
        </is>
      </c>
      <c r="C19062" t="inlineStr">
        <is>
          <t>Body Lotion</t>
        </is>
      </c>
      <c r="D19062" t="inlineStr">
        <is>
          <t>Jean Paul Gaultier</t>
        </is>
      </c>
      <c r="E19062" t="n">
        <v>35.98</v>
      </c>
      <c r="F19062" t="n">
        <v>1</v>
      </c>
      <c r="G19062" t="n">
        <v>11</v>
      </c>
      <c r="H19062" s="5">
        <f>HYPERLINK("https://api.qogita.com/variants/link/8435415011372/", "View Product")</f>
        <v/>
      </c>
    </row>
    <row r="19063">
      <c r="A19063" t="inlineStr">
        <is>
          <t>8435415011402</t>
        </is>
      </c>
      <c r="B19063" t="inlineStr">
        <is>
          <t>Jean Paul Gaultier Classique Shower Gel 200ml</t>
        </is>
      </c>
      <c r="C19063" t="inlineStr">
        <is>
          <t>Shower Gel</t>
        </is>
      </c>
      <c r="D19063" t="inlineStr">
        <is>
          <t>Jean-Paul Gaultier</t>
        </is>
      </c>
      <c r="E19063" t="n">
        <v>22.03</v>
      </c>
      <c r="F19063" t="n">
        <v>1</v>
      </c>
      <c r="G19063" t="n">
        <v>2</v>
      </c>
      <c r="H19063" s="5">
        <f>HYPERLINK("https://api.qogita.com/variants/link/8435415011402/", "View Product")</f>
        <v/>
      </c>
    </row>
    <row r="19064">
      <c r="A19064" t="inlineStr">
        <is>
          <t>8435415052382</t>
        </is>
      </c>
      <c r="B19064" t="inlineStr">
        <is>
          <t>Jean Paul Gaultier Scandal Pour Homme Stick 75g</t>
        </is>
      </c>
      <c r="C19064" t="inlineStr">
        <is>
          <t>Deodorant &amp; Anti-Perspirant</t>
        </is>
      </c>
      <c r="D19064" t="inlineStr">
        <is>
          <t>Jean-Paul Gaultier</t>
        </is>
      </c>
      <c r="E19064" t="n">
        <v>23.18</v>
      </c>
      <c r="F19064" t="n">
        <v>1</v>
      </c>
      <c r="G19064" t="n">
        <v>5</v>
      </c>
      <c r="H19064" s="5">
        <f>HYPERLINK("https://api.qogita.com/variants/link/8435415052382/", "View Product")</f>
        <v/>
      </c>
    </row>
    <row r="19065">
      <c r="A19065" t="inlineStr">
        <is>
          <t>8435415055963</t>
        </is>
      </c>
      <c r="B19065" t="inlineStr">
        <is>
          <t>Jean Paul Gaultier Scandal Pour Homme Eau De Toilette 150ml</t>
        </is>
      </c>
      <c r="C19065" t="inlineStr">
        <is>
          <t>Eau De Toilette</t>
        </is>
      </c>
      <c r="D19065" t="inlineStr">
        <is>
          <t>Jean Paul Gaultier</t>
        </is>
      </c>
      <c r="E19065" t="n">
        <v>102.75</v>
      </c>
      <c r="F19065" t="n">
        <v>1</v>
      </c>
      <c r="G19065" t="n">
        <v>5</v>
      </c>
      <c r="H19065" s="5">
        <f>HYPERLINK("https://api.qogita.com/variants/link/8435415055963/", "View Product")</f>
        <v/>
      </c>
    </row>
    <row r="19066">
      <c r="A19066" t="inlineStr">
        <is>
          <t>8435415058339</t>
        </is>
      </c>
      <c r="B19066" t="inlineStr">
        <is>
          <t>Jean Paul Gaultier So Scandal Eau De Parfum Spray 30ml</t>
        </is>
      </c>
      <c r="C19066" t="inlineStr">
        <is>
          <t>Eau De Parfum</t>
        </is>
      </c>
      <c r="D19066" t="inlineStr">
        <is>
          <t>Jean Paul Gaultier</t>
        </is>
      </c>
      <c r="E19066" t="n">
        <v>49.92</v>
      </c>
      <c r="F19066" t="n">
        <v>1</v>
      </c>
      <c r="G19066" t="n">
        <v>2</v>
      </c>
      <c r="H19066" s="5">
        <f>HYPERLINK("https://api.qogita.com/variants/link/8435415058339/", "View Product")</f>
        <v/>
      </c>
    </row>
    <row r="19067">
      <c r="A19067" t="inlineStr">
        <is>
          <t>8435415059060</t>
        </is>
      </c>
      <c r="B19067" t="inlineStr">
        <is>
          <t>Jean Paul Gaultier Scandal Eau De Parfum Spray 80ml</t>
        </is>
      </c>
      <c r="C19067" t="inlineStr">
        <is>
          <t>Eau De Parfum</t>
        </is>
      </c>
      <c r="D19067" t="inlineStr">
        <is>
          <t>Jean-Paul Gaultier</t>
        </is>
      </c>
      <c r="E19067" t="n">
        <v>75.19</v>
      </c>
      <c r="F19067" t="n">
        <v>1</v>
      </c>
      <c r="G19067" t="n">
        <v>129</v>
      </c>
      <c r="H19067" s="5">
        <f>HYPERLINK("https://api.qogita.com/variants/link/8435415059060/", "View Product")</f>
        <v/>
      </c>
    </row>
    <row r="19068">
      <c r="A19068" t="inlineStr">
        <is>
          <t>8435415061964</t>
        </is>
      </c>
      <c r="B19068" t="inlineStr">
        <is>
          <t>Jean Paul Gaultier Scandal For Men Eau De Toilette Spray 1.7oz &amp; Shower Gel 2.5oz</t>
        </is>
      </c>
      <c r="C19068" t="inlineStr">
        <is>
          <t>Eau De Toilette</t>
        </is>
      </c>
      <c r="D19068" t="inlineStr">
        <is>
          <t>Jean Paul Gaultier</t>
        </is>
      </c>
      <c r="E19068" t="n">
        <v>49.77</v>
      </c>
      <c r="F19068" t="n">
        <v>1</v>
      </c>
      <c r="G19068" t="n">
        <v>2</v>
      </c>
      <c r="H19068" s="5">
        <f>HYPERLINK("https://api.qogita.com/variants/link/8435415061964/", "View Product")</f>
        <v/>
      </c>
    </row>
    <row r="19069">
      <c r="A19069" t="inlineStr">
        <is>
          <t>8435415065207</t>
        </is>
      </c>
      <c r="B19069" t="inlineStr">
        <is>
          <t>Jean Paul Gaultier Scandal Le Parfum Eau De Parfum Intense Spray 50ml</t>
        </is>
      </c>
      <c r="C19069" t="inlineStr">
        <is>
          <t>Eau De Parfum</t>
        </is>
      </c>
      <c r="D19069" t="inlineStr">
        <is>
          <t>Jean Paul Gaultier</t>
        </is>
      </c>
      <c r="E19069" t="n">
        <v>50.72</v>
      </c>
      <c r="F19069" t="n">
        <v>1</v>
      </c>
      <c r="G19069" t="n">
        <v>18</v>
      </c>
      <c r="H19069" s="5">
        <f>HYPERLINK("https://api.qogita.com/variants/link/8435415065207/", "View Product")</f>
        <v/>
      </c>
    </row>
    <row r="19070">
      <c r="A19070" t="inlineStr">
        <is>
          <t>8435415076210</t>
        </is>
      </c>
      <c r="B19070" t="inlineStr">
        <is>
          <t>Jean Paul Gaultier Classique Pride Edition Eau De Toilette</t>
        </is>
      </c>
      <c r="C19070" t="inlineStr">
        <is>
          <t>Eau De Toilette</t>
        </is>
      </c>
      <c r="D19070" t="inlineStr">
        <is>
          <t>Jean Paul Gaultier</t>
        </is>
      </c>
      <c r="E19070" t="n">
        <v>66.12</v>
      </c>
      <c r="F19070" t="n">
        <v>1</v>
      </c>
      <c r="G19070" t="n">
        <v>31</v>
      </c>
      <c r="H19070" s="5">
        <f>HYPERLINK("https://api.qogita.com/variants/link/8435415076210/", "View Product")</f>
        <v/>
      </c>
    </row>
    <row r="19071">
      <c r="A19071" t="inlineStr">
        <is>
          <t>8435415076944</t>
        </is>
      </c>
      <c r="B19071" t="inlineStr">
        <is>
          <t>Jean Paul Gaultier Le Male Elixir Parfum Spray 125ml</t>
        </is>
      </c>
      <c r="C19071" t="inlineStr">
        <is>
          <t>Eau De Parfum</t>
        </is>
      </c>
      <c r="D19071" t="inlineStr">
        <is>
          <t>Jean-Paul Gaultier</t>
        </is>
      </c>
      <c r="E19071" t="n">
        <v>100.53</v>
      </c>
      <c r="F19071" t="n">
        <v>1</v>
      </c>
      <c r="G19071" t="n">
        <v>7</v>
      </c>
      <c r="H19071" s="5">
        <f>HYPERLINK("https://api.qogita.com/variants/link/8435415076944/", "View Product")</f>
        <v/>
      </c>
    </row>
    <row r="19072">
      <c r="A19072" t="inlineStr">
        <is>
          <t>8435415080408</t>
        </is>
      </c>
      <c r="B19072" t="inlineStr">
        <is>
          <t>Jean Paul Gaultier Scandal Absolu Concentrate Eau De Parfum Spray 30ml</t>
        </is>
      </c>
      <c r="C19072" t="inlineStr">
        <is>
          <t>Eau De Parfum</t>
        </is>
      </c>
      <c r="D19072" t="inlineStr">
        <is>
          <t>Jean-Paul Gaultier</t>
        </is>
      </c>
      <c r="E19072" t="n">
        <v>57.56</v>
      </c>
      <c r="F19072" t="n">
        <v>1</v>
      </c>
      <c r="G19072" t="n">
        <v>8</v>
      </c>
      <c r="H19072" s="5">
        <f>HYPERLINK("https://api.qogita.com/variants/link/8435415080408/", "View Product")</f>
        <v/>
      </c>
    </row>
    <row r="19073">
      <c r="A19073" t="inlineStr">
        <is>
          <t>8435415080415</t>
        </is>
      </c>
      <c r="B19073" t="inlineStr">
        <is>
          <t>Jean Paul Gaultier Scandal Absolu Concentrate Eau De Parfum Spray 50ml</t>
        </is>
      </c>
      <c r="C19073" t="inlineStr">
        <is>
          <t>Eau De Parfum</t>
        </is>
      </c>
      <c r="D19073" t="inlineStr">
        <is>
          <t>Jean-Paul Gaultier</t>
        </is>
      </c>
      <c r="E19073" t="n">
        <v>77.81999999999999</v>
      </c>
      <c r="F19073" t="n">
        <v>1</v>
      </c>
      <c r="G19073" t="n">
        <v>2</v>
      </c>
      <c r="H19073" s="5">
        <f>HYPERLINK("https://api.qogita.com/variants/link/8435415080415/", "View Product")</f>
        <v/>
      </c>
    </row>
    <row r="19074">
      <c r="A19074" t="inlineStr">
        <is>
          <t>8435415080422</t>
        </is>
      </c>
      <c r="B19074" t="inlineStr">
        <is>
          <t>Jean Paul Gaultier Scandal Absolu Parfum Concentr Spray 80ml</t>
        </is>
      </c>
      <c r="C19074" t="inlineStr">
        <is>
          <t>Eau De Parfum</t>
        </is>
      </c>
      <c r="D19074" t="inlineStr">
        <is>
          <t>Jean Paul Gaultier</t>
        </is>
      </c>
      <c r="E19074" t="n">
        <v>95.38</v>
      </c>
      <c r="F19074" t="n">
        <v>1</v>
      </c>
      <c r="G19074" t="n">
        <v>5</v>
      </c>
      <c r="H19074" s="5">
        <f>HYPERLINK("https://api.qogita.com/variants/link/8435415080422/", "View Product")</f>
        <v/>
      </c>
    </row>
    <row r="19075">
      <c r="A19075" t="inlineStr">
        <is>
          <t>8435415084918</t>
        </is>
      </c>
      <c r="B19075" t="inlineStr">
        <is>
          <t>Jean Paul Gaultier Scandal Pour Homme Eau De Toilette Spray 100ml + Eau De Toilette Spray 20ml Set</t>
        </is>
      </c>
      <c r="C19075" t="inlineStr">
        <is>
          <t>Fragrance Sets</t>
        </is>
      </c>
      <c r="D19075" t="inlineStr">
        <is>
          <t>Jean-Paul Gaultier</t>
        </is>
      </c>
      <c r="E19075" t="n">
        <v>70.48</v>
      </c>
      <c r="F19075" t="n">
        <v>1</v>
      </c>
      <c r="G19075" t="n">
        <v>5</v>
      </c>
      <c r="H19075" s="5">
        <f>HYPERLINK("https://api.qogita.com/variants/link/8435415084918/", "View Product")</f>
        <v/>
      </c>
    </row>
    <row r="19076">
      <c r="A19076" t="inlineStr">
        <is>
          <t>8435415091169</t>
        </is>
      </c>
      <c r="B19076" t="inlineStr">
        <is>
          <t>Jean Paul Gaultier Gaultier Divine Le Parfum Eau De Parfum Spray 100ml</t>
        </is>
      </c>
      <c r="C19076" t="inlineStr">
        <is>
          <t>Eau De Parfum</t>
        </is>
      </c>
      <c r="D19076" t="inlineStr">
        <is>
          <t>Jean-Paul Gaultier</t>
        </is>
      </c>
      <c r="E19076" t="n">
        <v>96.58</v>
      </c>
      <c r="F19076" t="n">
        <v>1</v>
      </c>
      <c r="G19076" t="n">
        <v>14</v>
      </c>
      <c r="H19076" s="5">
        <f>HYPERLINK("https://api.qogita.com/variants/link/8435415091169/", "View Product")</f>
        <v/>
      </c>
    </row>
    <row r="19077">
      <c r="A19077" t="inlineStr">
        <is>
          <t>8435415091190</t>
        </is>
      </c>
      <c r="B19077" t="inlineStr">
        <is>
          <t>Jean Paul Gaultier La Belle Paradise Garden Eau De Parfum Spray 30ml</t>
        </is>
      </c>
      <c r="C19077" t="inlineStr">
        <is>
          <t>Eau De Parfum</t>
        </is>
      </c>
      <c r="D19077" t="inlineStr">
        <is>
          <t>Jean Paul Gaultier</t>
        </is>
      </c>
      <c r="E19077" t="n">
        <v>54.08</v>
      </c>
      <c r="F19077" t="n">
        <v>1</v>
      </c>
      <c r="G19077" t="n">
        <v>12</v>
      </c>
      <c r="H19077" s="5">
        <f>HYPERLINK("https://api.qogita.com/variants/link/8435415091190/", "View Product")</f>
        <v/>
      </c>
    </row>
    <row r="19078">
      <c r="A19078" t="inlineStr">
        <is>
          <t>8435415091268</t>
        </is>
      </c>
      <c r="B19078" t="inlineStr">
        <is>
          <t>Jean Paul Gaultier La Belle Paradise Garden Eau De Parfum Spray 50ml</t>
        </is>
      </c>
      <c r="C19078" t="inlineStr">
        <is>
          <t>Eau De Parfum</t>
        </is>
      </c>
      <c r="D19078" t="inlineStr">
        <is>
          <t>Jean-Paul Gaultier</t>
        </is>
      </c>
      <c r="E19078" t="n">
        <v>66.54000000000001</v>
      </c>
      <c r="F19078" t="n">
        <v>1</v>
      </c>
      <c r="G19078" t="n">
        <v>8</v>
      </c>
      <c r="H19078" s="5">
        <f>HYPERLINK("https://api.qogita.com/variants/link/8435415091268/", "View Product")</f>
        <v/>
      </c>
    </row>
    <row r="19079">
      <c r="A19079" t="inlineStr">
        <is>
          <t>8435415092128</t>
        </is>
      </c>
      <c r="B19079" t="inlineStr">
        <is>
          <t>Jean Paul Gaultier Gaultier Scandal Eau De Parfum Spray 80ml Mini 20ml Set</t>
        </is>
      </c>
      <c r="C19079" t="inlineStr">
        <is>
          <t>Fragrance Sets</t>
        </is>
      </c>
      <c r="D19079" t="inlineStr">
        <is>
          <t>Jean-Paul Gaultier</t>
        </is>
      </c>
      <c r="E19079" t="n">
        <v>85.16</v>
      </c>
      <c r="F19079" t="n">
        <v>1</v>
      </c>
      <c r="G19079" t="n">
        <v>4</v>
      </c>
      <c r="H19079" s="5">
        <f>HYPERLINK("https://api.qogita.com/variants/link/8435415092128/", "View Product")</f>
        <v/>
      </c>
    </row>
    <row r="19080">
      <c r="A19080" t="inlineStr">
        <is>
          <t>8435415098687</t>
        </is>
      </c>
      <c r="B19080" t="inlineStr">
        <is>
          <t>Jean Paul Gaultier Classique Collector Edition Eau De Toilette Spray 100ml</t>
        </is>
      </c>
      <c r="C19080" t="inlineStr">
        <is>
          <t>Eau De Toilette</t>
        </is>
      </c>
      <c r="D19080" t="inlineStr">
        <is>
          <t>Jean-Paul Gaultier</t>
        </is>
      </c>
      <c r="E19080" t="n">
        <v>62.31</v>
      </c>
      <c r="F19080" t="n">
        <v>1</v>
      </c>
      <c r="G19080" t="n">
        <v>12</v>
      </c>
      <c r="H19080" s="5">
        <f>HYPERLINK("https://api.qogita.com/variants/link/8435415098687/", "View Product")</f>
        <v/>
      </c>
    </row>
    <row r="19081">
      <c r="A19081" t="inlineStr">
        <is>
          <t>8435415098830</t>
        </is>
      </c>
      <c r="B19081" t="inlineStr">
        <is>
          <t>Jean Paul Gaultier Le Male Gift Set Eau De Toilette Spray 125ml + Eau De Toilette Spray 40ml</t>
        </is>
      </c>
      <c r="C19081" t="inlineStr">
        <is>
          <t>Fragrance Sets</t>
        </is>
      </c>
      <c r="D19081" t="inlineStr">
        <is>
          <t>Jean-Paul Gaultier</t>
        </is>
      </c>
      <c r="E19081" t="n">
        <v>73.16</v>
      </c>
      <c r="F19081" t="n">
        <v>1</v>
      </c>
      <c r="G19081" t="n">
        <v>20</v>
      </c>
      <c r="H19081" s="5">
        <f>HYPERLINK("https://api.qogita.com/variants/link/8435415098830/", "View Product")</f>
        <v/>
      </c>
    </row>
    <row r="19082">
      <c r="A19082" t="inlineStr">
        <is>
          <t>8435415102346</t>
        </is>
      </c>
      <c r="B19082" t="inlineStr">
        <is>
          <t>Jean Paul Gaultier Le Male Elixir Absolu Parfum Intense 125 Ml</t>
        </is>
      </c>
      <c r="C19082" t="inlineStr">
        <is>
          <t>Eau De Parfum</t>
        </is>
      </c>
      <c r="D19082" t="inlineStr">
        <is>
          <t>Jean-Paul Gaultier</t>
        </is>
      </c>
      <c r="E19082" t="n">
        <v>96.66</v>
      </c>
      <c r="F19082" t="n">
        <v>1</v>
      </c>
      <c r="G19082" t="n">
        <v>5</v>
      </c>
      <c r="H19082" s="5">
        <f>HYPERLINK("https://api.qogita.com/variants/link/8435415102346/", "View Product")</f>
        <v/>
      </c>
    </row>
    <row r="19083">
      <c r="A19083" t="inlineStr">
        <is>
          <t>8435590603133</t>
        </is>
      </c>
      <c r="B19083" t="inlineStr">
        <is>
          <t>Miriam Quevedo Platinum &amp; Diamonds Volume Shampoo 250 Ml</t>
        </is>
      </c>
      <c r="C19083" t="inlineStr">
        <is>
          <t>Shampoo</t>
        </is>
      </c>
      <c r="D19083" t="inlineStr">
        <is>
          <t>Miriam Quevedo</t>
        </is>
      </c>
      <c r="E19083" t="n">
        <v>45.28</v>
      </c>
      <c r="F19083" t="n">
        <v>1</v>
      </c>
      <c r="G19083" t="n">
        <v>5</v>
      </c>
      <c r="H19083" s="5">
        <f>HYPERLINK("https://api.qogita.com/variants/link/8435590603133/", "View Product")</f>
        <v/>
      </c>
    </row>
    <row r="19084">
      <c r="A19084" t="inlineStr">
        <is>
          <t>8435624502906</t>
        </is>
      </c>
      <c r="B19084" t="inlineStr">
        <is>
          <t>Natura Bisse Exfoliating Ampoule For Oily And Acne-Prone Skin - Advanced Professional Peels Perfecting Resurfacing Peel 12 X 3 Ml</t>
        </is>
      </c>
      <c r="C19084" t="inlineStr">
        <is>
          <t>Ampoules</t>
        </is>
      </c>
      <c r="D19084" t="inlineStr">
        <is>
          <t>Natura Bissé</t>
        </is>
      </c>
      <c r="E19084" t="n">
        <v>64.55</v>
      </c>
      <c r="F19084" t="n">
        <v>1</v>
      </c>
      <c r="G19084" t="n">
        <v>3</v>
      </c>
      <c r="H19084" s="5">
        <f>HYPERLINK("https://api.qogita.com/variants/link/8435624502906/", "View Product")</f>
        <v/>
      </c>
    </row>
    <row r="19085">
      <c r="A19085" t="inlineStr">
        <is>
          <t>8435624505570</t>
        </is>
      </c>
      <c r="B19085" t="inlineStr">
        <is>
          <t>Natura Bisse C+C Vitamin Bi-Phase Spf50 - 200ml</t>
        </is>
      </c>
      <c r="C19085" t="inlineStr">
        <is>
          <t>Face Sun Protection</t>
        </is>
      </c>
      <c r="D19085" t="inlineStr">
        <is>
          <t>Natura Bissé</t>
        </is>
      </c>
      <c r="E19085" t="n">
        <v>53.91</v>
      </c>
      <c r="F19085" t="n">
        <v>1</v>
      </c>
      <c r="G19085" t="n">
        <v>2</v>
      </c>
      <c r="H19085" s="5">
        <f>HYPERLINK("https://api.qogita.com/variants/link/8435624505570/", "View Product")</f>
        <v/>
      </c>
    </row>
    <row r="19086">
      <c r="A19086" t="inlineStr">
        <is>
          <t>8436002991282</t>
        </is>
      </c>
      <c r="B19086" t="inlineStr">
        <is>
          <t>Natura Biss Oxygen Cream 75ml</t>
        </is>
      </c>
      <c r="C19086" t="inlineStr">
        <is>
          <t>Face Cream</t>
        </is>
      </c>
      <c r="D19086" t="inlineStr">
        <is>
          <t>Natura Bissé</t>
        </is>
      </c>
      <c r="E19086" t="n">
        <v>63.61</v>
      </c>
      <c r="F19086" t="n">
        <v>1</v>
      </c>
      <c r="G19086" t="n">
        <v>3</v>
      </c>
      <c r="H19086" s="5">
        <f>HYPERLINK("https://api.qogita.com/variants/link/8436002991282/", "View Product")</f>
        <v/>
      </c>
    </row>
    <row r="19087">
      <c r="A19087" t="inlineStr">
        <is>
          <t>8436002991398</t>
        </is>
      </c>
      <c r="B19087" t="inlineStr">
        <is>
          <t>Natura Biss Cc Vitamin Cream 75ml</t>
        </is>
      </c>
      <c r="C19087" t="inlineStr">
        <is>
          <t>Tinted Day Cream</t>
        </is>
      </c>
      <c r="D19087" t="inlineStr">
        <is>
          <t>Natura Bissé</t>
        </is>
      </c>
      <c r="E19087" t="n">
        <v>87.86</v>
      </c>
      <c r="F19087" t="n">
        <v>1</v>
      </c>
      <c r="G19087" t="n">
        <v>8</v>
      </c>
      <c r="H19087" s="5">
        <f>HYPERLINK("https://api.qogita.com/variants/link/8436002991398/", "View Product")</f>
        <v/>
      </c>
    </row>
    <row r="19088">
      <c r="A19088" t="inlineStr">
        <is>
          <t>8436002994924</t>
        </is>
      </c>
      <c r="B19088" t="inlineStr">
        <is>
          <t>Natura Biss Oxygen Finishing Mask 75ml</t>
        </is>
      </c>
      <c r="C19088" t="inlineStr">
        <is>
          <t>Hydrating Mask</t>
        </is>
      </c>
      <c r="D19088" t="inlineStr">
        <is>
          <t>Natura Bissé</t>
        </is>
      </c>
      <c r="E19088" t="n">
        <v>30.3</v>
      </c>
      <c r="F19088" t="n">
        <v>1</v>
      </c>
      <c r="G19088" t="n">
        <v>5</v>
      </c>
      <c r="H19088" s="5">
        <f>HYPERLINK("https://api.qogita.com/variants/link/8436002994924/", "View Product")</f>
        <v/>
      </c>
    </row>
    <row r="19089">
      <c r="A19089" t="inlineStr">
        <is>
          <t>8436002997109</t>
        </is>
      </c>
      <c r="B19089" t="inlineStr">
        <is>
          <t>Natura Biss Diamond Glyco Extreme Peel 30ml Exfoliant</t>
        </is>
      </c>
      <c r="C19089" t="inlineStr">
        <is>
          <t>Facial Scrub &amp; Peeling</t>
        </is>
      </c>
      <c r="D19089" t="inlineStr">
        <is>
          <t>Natura Bissé</t>
        </is>
      </c>
      <c r="E19089" t="n">
        <v>169.36</v>
      </c>
      <c r="F19089" t="n">
        <v>1</v>
      </c>
      <c r="G19089" t="n">
        <v>5</v>
      </c>
      <c r="H19089" s="5">
        <f>HYPERLINK("https://api.qogita.com/variants/link/8436002997109/", "View Product")</f>
        <v/>
      </c>
    </row>
    <row r="19090">
      <c r="A19090" t="inlineStr">
        <is>
          <t>8436018276212</t>
        </is>
      </c>
      <c r="B19090" t="inlineStr">
        <is>
          <t>Rosendo Mateu Olfactive Expressions Barcelona No 6 Eau De Parfum 100ml</t>
        </is>
      </c>
      <c r="C19090" t="inlineStr">
        <is>
          <t>Eau De Parfum</t>
        </is>
      </c>
      <c r="D19090" t="inlineStr">
        <is>
          <t>Rosendo Mateu</t>
        </is>
      </c>
      <c r="E19090" t="n">
        <v>87.23999999999999</v>
      </c>
      <c r="F19090" t="n">
        <v>1</v>
      </c>
      <c r="G19090" t="n">
        <v>17</v>
      </c>
      <c r="H19090" s="5">
        <f>HYPERLINK("https://api.qogita.com/variants/link/8436018276212/", "View Product")</f>
        <v/>
      </c>
    </row>
    <row r="19091">
      <c r="A19091" t="inlineStr">
        <is>
          <t>8436018276366</t>
        </is>
      </c>
      <c r="B19091" t="inlineStr">
        <is>
          <t>Rosendo Mateu Olfactive Expressions Barcelona Black Collection Fresh Oud Eau De Parfum 100ml</t>
        </is>
      </c>
      <c r="C19091" t="inlineStr">
        <is>
          <t>Eau De Parfum</t>
        </is>
      </c>
      <c r="D19091" t="inlineStr">
        <is>
          <t>Rosendo Mateu</t>
        </is>
      </c>
      <c r="E19091" t="n">
        <v>81.47</v>
      </c>
      <c r="F19091" t="n">
        <v>1</v>
      </c>
      <c r="G19091" t="n">
        <v>5</v>
      </c>
      <c r="H19091" s="5">
        <f>HYPERLINK("https://api.qogita.com/variants/link/8436018276366/", "View Product")</f>
        <v/>
      </c>
    </row>
    <row r="19092">
      <c r="A19092" t="inlineStr">
        <is>
          <t>8436018276373</t>
        </is>
      </c>
      <c r="B19092" t="inlineStr">
        <is>
          <t>Rosendo Mateu Sweet Rose Eau De Parfum 100ml Unisex Spray</t>
        </is>
      </c>
      <c r="C19092" t="inlineStr">
        <is>
          <t>Eau De Parfum</t>
        </is>
      </c>
      <c r="D19092" t="inlineStr">
        <is>
          <t>Rosendo Mateu</t>
        </is>
      </c>
      <c r="E19092" t="n">
        <v>133.07</v>
      </c>
      <c r="F19092" t="n">
        <v>1</v>
      </c>
      <c r="G19092" t="n">
        <v>2</v>
      </c>
      <c r="H19092" s="5">
        <f>HYPERLINK("https://api.qogita.com/variants/link/8436018276373/", "View Product")</f>
        <v/>
      </c>
    </row>
    <row r="19093">
      <c r="A19093" t="inlineStr">
        <is>
          <t>8436038831125</t>
        </is>
      </c>
      <c r="B19093" t="inlineStr">
        <is>
          <t>Tous Baby Eau De Cologne 100ml Spray</t>
        </is>
      </c>
      <c r="C19093" t="inlineStr">
        <is>
          <t>Eau De Cologne</t>
        </is>
      </c>
      <c r="D19093" t="inlineStr">
        <is>
          <t>Tous</t>
        </is>
      </c>
      <c r="E19093" t="n">
        <v>28.57</v>
      </c>
      <c r="F19093" t="n">
        <v>1</v>
      </c>
      <c r="G19093" t="n">
        <v>3</v>
      </c>
      <c r="H19093" s="5">
        <f>HYPERLINK("https://api.qogita.com/variants/link/8436038831125/", "View Product")</f>
        <v/>
      </c>
    </row>
    <row r="19094">
      <c r="A19094" t="inlineStr">
        <is>
          <t>8436038838155</t>
        </is>
      </c>
      <c r="B19094" t="inlineStr">
        <is>
          <t>Tous Kids Girl Eau De Toilette 100ml A Delightful Fragrance For Girls</t>
        </is>
      </c>
      <c r="C19094" t="inlineStr">
        <is>
          <t>Eau De Toilette</t>
        </is>
      </c>
      <c r="D19094" t="inlineStr">
        <is>
          <t>Tous</t>
        </is>
      </c>
      <c r="E19094" t="n">
        <v>24.93</v>
      </c>
      <c r="F19094" t="n">
        <v>1</v>
      </c>
      <c r="G19094" t="n">
        <v>6</v>
      </c>
      <c r="H19094" s="5">
        <f>HYPERLINK("https://api.qogita.com/variants/link/8436038838155/", "View Product")</f>
        <v/>
      </c>
    </row>
    <row r="19095">
      <c r="A19095" t="inlineStr">
        <is>
          <t>8436534710962</t>
        </is>
      </c>
      <c r="B19095" t="inlineStr">
        <is>
          <t>Natura Bissé Eye Recovery Balm 15ml</t>
        </is>
      </c>
      <c r="C19095" t="inlineStr">
        <is>
          <t>Eye Cream</t>
        </is>
      </c>
      <c r="D19095" t="inlineStr">
        <is>
          <t>Natura Bissé</t>
        </is>
      </c>
      <c r="E19095" t="n">
        <v>59.96</v>
      </c>
      <c r="F19095" t="n">
        <v>1</v>
      </c>
      <c r="G19095" t="n">
        <v>3</v>
      </c>
      <c r="H19095" s="5">
        <f>HYPERLINK("https://api.qogita.com/variants/link/8436534710962/", "View Product")</f>
        <v/>
      </c>
    </row>
    <row r="19096">
      <c r="A19096" t="inlineStr">
        <is>
          <t>8436534712034</t>
        </is>
      </c>
      <c r="B19096" t="inlineStr">
        <is>
          <t>Natura Biss Oxygen Fresh Foaming Cleanser 150ml</t>
        </is>
      </c>
      <c r="C19096" t="inlineStr">
        <is>
          <t>Cleansing Foam</t>
        </is>
      </c>
      <c r="D19096" t="inlineStr">
        <is>
          <t>Natura Bissé</t>
        </is>
      </c>
      <c r="E19096" t="n">
        <v>36.35</v>
      </c>
      <c r="F19096" t="n">
        <v>1</v>
      </c>
      <c r="G19096" t="n">
        <v>4</v>
      </c>
      <c r="H19096" s="5">
        <f>HYPERLINK("https://api.qogita.com/variants/link/8436534712034/", "View Product")</f>
        <v/>
      </c>
    </row>
    <row r="19097">
      <c r="A19097" t="inlineStr">
        <is>
          <t>8436534717787</t>
        </is>
      </c>
      <c r="B19097" t="inlineStr">
        <is>
          <t>Natura Biss Diamond Extreme Mask 75ml Antiaging Hydrating Mask</t>
        </is>
      </c>
      <c r="C19097" t="inlineStr">
        <is>
          <t>Anti-Aging Mask</t>
        </is>
      </c>
      <c r="D19097" t="inlineStr">
        <is>
          <t>Natura Bissé</t>
        </is>
      </c>
      <c r="E19097" t="n">
        <v>73.92</v>
      </c>
      <c r="F19097" t="n">
        <v>1</v>
      </c>
      <c r="G19097" t="n">
        <v>3</v>
      </c>
      <c r="H19097" s="5">
        <f>HYPERLINK("https://api.qogita.com/variants/link/8436534717787/", "View Product")</f>
        <v/>
      </c>
    </row>
    <row r="19098">
      <c r="A19098" t="inlineStr">
        <is>
          <t>8436534717794</t>
        </is>
      </c>
      <c r="B19098" t="inlineStr">
        <is>
          <t>Natura Biss Diamond Firming Dry Oil For Face &amp; Neck 30ml A Nourishing Facial Oil</t>
        </is>
      </c>
      <c r="C19098" t="inlineStr">
        <is>
          <t>Facial Oil</t>
        </is>
      </c>
      <c r="D19098" t="inlineStr">
        <is>
          <t>Natura Bissé</t>
        </is>
      </c>
      <c r="E19098" t="n">
        <v>109.06</v>
      </c>
      <c r="F19098" t="n">
        <v>1</v>
      </c>
      <c r="G19098" t="n">
        <v>2</v>
      </c>
      <c r="H19098" s="5">
        <f>HYPERLINK("https://api.qogita.com/variants/link/8436534717794/", "View Product")</f>
        <v/>
      </c>
    </row>
    <row r="19099">
      <c r="A19099" t="inlineStr">
        <is>
          <t>8436534719835</t>
        </is>
      </c>
      <c r="B19099" t="inlineStr">
        <is>
          <t>Natura Biss Diamond Instant Glow Peel Radiance Lift Serum 12 Ampoules Of 3ml Each</t>
        </is>
      </c>
      <c r="C19099" t="inlineStr">
        <is>
          <t>Glow Serum</t>
        </is>
      </c>
      <c r="D19099" t="inlineStr">
        <is>
          <t>Natura Bissé</t>
        </is>
      </c>
      <c r="E19099" t="n">
        <v>57.56</v>
      </c>
      <c r="F19099" t="n">
        <v>1</v>
      </c>
      <c r="G19099" t="n">
        <v>8</v>
      </c>
      <c r="H19099" s="5">
        <f>HYPERLINK("https://api.qogita.com/variants/link/8436534719835/", "View Product")</f>
        <v/>
      </c>
    </row>
    <row r="19100">
      <c r="A19100" t="inlineStr">
        <is>
          <t>8436543920499</t>
        </is>
      </c>
      <c r="B19100" t="inlineStr">
        <is>
          <t>Ramon Monegal Spanish Collection Faisa 50ml</t>
        </is>
      </c>
      <c r="C19100" t="inlineStr">
        <is>
          <t>Eau De Parfum</t>
        </is>
      </c>
      <c r="D19100" t="inlineStr">
        <is>
          <t>Ramon Monegal</t>
        </is>
      </c>
      <c r="E19100" t="n">
        <v>110.75</v>
      </c>
      <c r="F19100" t="n">
        <v>1</v>
      </c>
      <c r="G19100" t="n">
        <v>3</v>
      </c>
      <c r="H19100" s="5">
        <f>HYPERLINK("https://api.qogita.com/variants/link/8436543920499/", "View Product")</f>
        <v/>
      </c>
    </row>
    <row r="19101">
      <c r="A19101" t="inlineStr">
        <is>
          <t>8436550501148</t>
        </is>
      </c>
      <c r="B19101" t="inlineStr">
        <is>
          <t>Tous Tous Floral Touch Eau De Toilette Spray 100ml</t>
        </is>
      </c>
      <c r="C19101" t="inlineStr">
        <is>
          <t>Eau De Toilette</t>
        </is>
      </c>
      <c r="D19101" t="inlineStr">
        <is>
          <t>Tous</t>
        </is>
      </c>
      <c r="E19101" t="n">
        <v>36.42</v>
      </c>
      <c r="F19101" t="n">
        <v>1</v>
      </c>
      <c r="G19101" t="n">
        <v>10</v>
      </c>
      <c r="H19101" s="5">
        <f>HYPERLINK("https://api.qogita.com/variants/link/8436550501148/", "View Product")</f>
        <v/>
      </c>
    </row>
    <row r="19102">
      <c r="A19102" t="inlineStr">
        <is>
          <t>8436550502626</t>
        </is>
      </c>
      <c r="B19102" t="inlineStr">
        <is>
          <t>Tous Les Colonias Concentree Man Eau De Toilette for Men 50ml</t>
        </is>
      </c>
      <c r="C19102" t="inlineStr">
        <is>
          <t>Eau De Toilette</t>
        </is>
      </c>
      <c r="D19102" t="inlineStr">
        <is>
          <t>Tous</t>
        </is>
      </c>
      <c r="E19102" t="n">
        <v>32.8</v>
      </c>
      <c r="F19102" t="n">
        <v>1</v>
      </c>
      <c r="G19102" t="n">
        <v>3</v>
      </c>
      <c r="H19102" s="5">
        <f>HYPERLINK("https://api.qogita.com/variants/link/8436550502626/", "View Product")</f>
        <v/>
      </c>
    </row>
    <row r="19103">
      <c r="A19103" t="inlineStr">
        <is>
          <t>8436550507034</t>
        </is>
      </c>
      <c r="B19103" t="inlineStr">
        <is>
          <t>Tous 1920 The Origin For Men 3.4 Oz EDT Spray</t>
        </is>
      </c>
      <c r="C19103" t="inlineStr">
        <is>
          <t>Eau De Toilette</t>
        </is>
      </c>
      <c r="D19103" t="inlineStr">
        <is>
          <t>Tous</t>
        </is>
      </c>
      <c r="E19103" t="n">
        <v>24.06</v>
      </c>
      <c r="F19103" t="n">
        <v>1</v>
      </c>
      <c r="G19103" t="n">
        <v>15</v>
      </c>
      <c r="H19103" s="5">
        <f>HYPERLINK("https://api.qogita.com/variants/link/8436550507034/", "View Product")</f>
        <v/>
      </c>
    </row>
    <row r="19104">
      <c r="A19104" t="inlineStr">
        <is>
          <t>8436550509847</t>
        </is>
      </c>
      <c r="B19104" t="inlineStr">
        <is>
          <t>Tous Love Me The Silver Eau De Parfum Spray 90 Ml</t>
        </is>
      </c>
      <c r="C19104" t="inlineStr">
        <is>
          <t>Eau De Parfum</t>
        </is>
      </c>
      <c r="D19104" t="inlineStr">
        <is>
          <t>Tous</t>
        </is>
      </c>
      <c r="E19104" t="n">
        <v>53.53</v>
      </c>
      <c r="F19104" t="n">
        <v>1</v>
      </c>
      <c r="G19104" t="n">
        <v>3</v>
      </c>
      <c r="H19104" s="5">
        <f>HYPERLINK("https://api.qogita.com/variants/link/8436550509847/", "View Product")</f>
        <v/>
      </c>
    </row>
    <row r="19105">
      <c r="A19105" t="inlineStr">
        <is>
          <t>8436551809113</t>
        </is>
      </c>
      <c r="B19105" t="inlineStr">
        <is>
          <t>MQ Extreme Caviar Special Hair Loss Shampoo 8.45 fl oz</t>
        </is>
      </c>
      <c r="C19105" t="inlineStr">
        <is>
          <t>Shampoo</t>
        </is>
      </c>
      <c r="D19105" t="inlineStr">
        <is>
          <t>Miriam Quevedo</t>
        </is>
      </c>
      <c r="E19105" t="n">
        <v>37.69</v>
      </c>
      <c r="F19105" t="n">
        <v>1</v>
      </c>
      <c r="G19105" t="n">
        <v>5</v>
      </c>
      <c r="H19105" s="5">
        <f>HYPERLINK("https://api.qogita.com/variants/link/8436551809113/", "View Product")</f>
        <v/>
      </c>
    </row>
    <row r="19106">
      <c r="A19106" t="inlineStr">
        <is>
          <t>8436551809397</t>
        </is>
      </c>
      <c r="B19106" t="inlineStr">
        <is>
          <t>Extreme Caviar Exfoliating Scrub Scalp Masque 8.4 oz 250mL</t>
        </is>
      </c>
      <c r="C19106" t="inlineStr">
        <is>
          <t>Hair Masks</t>
        </is>
      </c>
      <c r="D19106" t="inlineStr">
        <is>
          <t>Miriam Quevedo</t>
        </is>
      </c>
      <c r="E19106" t="n">
        <v>35.85</v>
      </c>
      <c r="F19106" t="n">
        <v>1</v>
      </c>
      <c r="G19106" t="n">
        <v>3</v>
      </c>
      <c r="H19106" s="5">
        <f>HYPERLINK("https://api.qogita.com/variants/link/8436551809397/", "View Product")</f>
        <v/>
      </c>
    </row>
    <row r="19107">
      <c r="A19107" t="inlineStr">
        <is>
          <t>8436551809427</t>
        </is>
      </c>
      <c r="B19107" t="inlineStr">
        <is>
          <t>Miriam Quevedo Extreme Caviar Antidandruff Shampoo 250 Ml</t>
        </is>
      </c>
      <c r="C19107" t="inlineStr">
        <is>
          <t>Shampoo</t>
        </is>
      </c>
      <c r="D19107" t="inlineStr">
        <is>
          <t>Miriam Quevedo</t>
        </is>
      </c>
      <c r="E19107" t="n">
        <v>37.69</v>
      </c>
      <c r="F19107" t="n">
        <v>1</v>
      </c>
      <c r="G19107" t="n">
        <v>2</v>
      </c>
      <c r="H19107" s="5">
        <f>HYPERLINK("https://api.qogita.com/variants/link/8436551809427/", "View Product")</f>
        <v/>
      </c>
    </row>
    <row r="19108">
      <c r="A19108" t="inlineStr">
        <is>
          <t>8436581946260</t>
        </is>
      </c>
      <c r="B19108" t="inlineStr">
        <is>
          <t>Reebok Move Your Spirit Gift Set Men's Perfume Eau De Toilette - Pack of 2</t>
        </is>
      </c>
      <c r="C19108" t="inlineStr">
        <is>
          <t>Fragrance Sets</t>
        </is>
      </c>
      <c r="D19108" t="inlineStr">
        <is>
          <t>Reebok</t>
        </is>
      </c>
      <c r="E19108" t="n">
        <v>10.76</v>
      </c>
      <c r="F19108" t="n">
        <v>1</v>
      </c>
      <c r="G19108" t="n">
        <v>3</v>
      </c>
      <c r="H19108" s="5">
        <f>HYPERLINK("https://api.qogita.com/variants/link/8436581946260/", "View Product")</f>
        <v/>
      </c>
    </row>
    <row r="19109">
      <c r="A19109" t="inlineStr">
        <is>
          <t>8436589051089</t>
        </is>
      </c>
      <c r="B19109" t="inlineStr">
        <is>
          <t>Martiderm Shots Hyaluronic Filler Concentrated Face Serum 20ml</t>
        </is>
      </c>
      <c r="C19109" t="inlineStr">
        <is>
          <t>Hyaluronic Acid Serum</t>
        </is>
      </c>
      <c r="D19109" t="inlineStr">
        <is>
          <t>Martiderm</t>
        </is>
      </c>
      <c r="E19109" t="n">
        <v>17.82</v>
      </c>
      <c r="F19109" t="n">
        <v>1</v>
      </c>
      <c r="G19109" t="n">
        <v>2</v>
      </c>
      <c r="H19109" s="5">
        <f>HYPERLINK("https://api.qogita.com/variants/link/8436589051089/", "View Product")</f>
        <v/>
      </c>
    </row>
    <row r="19110">
      <c r="A19110" t="inlineStr">
        <is>
          <t>8436603331289</t>
        </is>
      </c>
      <c r="B19110" t="inlineStr">
        <is>
          <t>Tous Tous More More Pink Eau De Toilette Spray 90ml</t>
        </is>
      </c>
      <c r="C19110" t="inlineStr">
        <is>
          <t>Eau De Toilette</t>
        </is>
      </c>
      <c r="D19110" t="inlineStr">
        <is>
          <t>Tous</t>
        </is>
      </c>
      <c r="E19110" t="n">
        <v>45.26</v>
      </c>
      <c r="F19110" t="n">
        <v>1</v>
      </c>
      <c r="G19110" t="n">
        <v>12</v>
      </c>
      <c r="H19110" s="5">
        <f>HYPERLINK("https://api.qogita.com/variants/link/8436603331289/", "View Product")</f>
        <v/>
      </c>
    </row>
    <row r="19111">
      <c r="A19111" t="inlineStr">
        <is>
          <t>8436603740180</t>
        </is>
      </c>
      <c r="B19111" t="inlineStr">
        <is>
          <t>Rosendo Mateu 2010 Eau De Parfum Spray 100ml</t>
        </is>
      </c>
      <c r="C19111" t="inlineStr">
        <is>
          <t>Eau De Parfum</t>
        </is>
      </c>
      <c r="D19111" t="inlineStr">
        <is>
          <t>Rosendo Mateu</t>
        </is>
      </c>
      <c r="E19111" t="n">
        <v>100.8</v>
      </c>
      <c r="F19111" t="n">
        <v>1</v>
      </c>
      <c r="G19111" t="n">
        <v>5</v>
      </c>
      <c r="H19111" s="5">
        <f>HYPERLINK("https://api.qogita.com/variants/link/8436603740180/", "View Product")</f>
        <v/>
      </c>
    </row>
    <row r="19112">
      <c r="A19112" t="inlineStr">
        <is>
          <t>8437000435204</t>
        </is>
      </c>
      <c r="B19112" t="inlineStr">
        <is>
          <t>Martiderm Exfoliating Body Cream 200ml</t>
        </is>
      </c>
      <c r="C19112" t="inlineStr">
        <is>
          <t>Body Lotion</t>
        </is>
      </c>
      <c r="D19112" t="inlineStr">
        <is>
          <t>Martiderm</t>
        </is>
      </c>
      <c r="E19112" t="n">
        <v>11.5</v>
      </c>
      <c r="F19112" t="n">
        <v>1</v>
      </c>
      <c r="G19112" t="n">
        <v>3</v>
      </c>
      <c r="H19112" s="5">
        <f>HYPERLINK("https://api.qogita.com/variants/link/8437000435204/", "View Product")</f>
        <v/>
      </c>
    </row>
    <row r="19113">
      <c r="A19113" t="inlineStr">
        <is>
          <t>8437002997014</t>
        </is>
      </c>
      <c r="B19113" t="inlineStr">
        <is>
          <t>Tous Woman Eau De Toilette Spray 90ml</t>
        </is>
      </c>
      <c r="C19113" t="inlineStr">
        <is>
          <t>Eau De Toilette</t>
        </is>
      </c>
      <c r="D19113" t="inlineStr">
        <is>
          <t>Tous</t>
        </is>
      </c>
      <c r="E19113" t="n">
        <v>38.89</v>
      </c>
      <c r="F19113" t="n">
        <v>1</v>
      </c>
      <c r="G19113" t="n">
        <v>3</v>
      </c>
      <c r="H19113" s="5">
        <f>HYPERLINK("https://api.qogita.com/variants/link/8437002997014/", "View Product")</f>
        <v/>
      </c>
    </row>
    <row r="19114">
      <c r="A19114" t="inlineStr">
        <is>
          <t>8437011481023</t>
        </is>
      </c>
      <c r="B19114" t="inlineStr">
        <is>
          <t>Carner Barcelona D600 Unisex Eau De Parfum 50ml</t>
        </is>
      </c>
      <c r="C19114" t="inlineStr">
        <is>
          <t>Eau De Parfum</t>
        </is>
      </c>
      <c r="D19114" t="inlineStr">
        <is>
          <t>Carner Barcelona</t>
        </is>
      </c>
      <c r="E19114" t="n">
        <v>52.29</v>
      </c>
      <c r="F19114" t="n">
        <v>1</v>
      </c>
      <c r="G19114" t="n">
        <v>4</v>
      </c>
      <c r="H19114" s="5">
        <f>HYPERLINK("https://api.qogita.com/variants/link/8437011481023/", "View Product")</f>
        <v/>
      </c>
    </row>
    <row r="19115">
      <c r="A19115" t="inlineStr">
        <is>
          <t>8437011481177</t>
        </is>
      </c>
      <c r="B19115" t="inlineStr">
        <is>
          <t>Carner Barcelona El Born Eau De Parfum 100ml</t>
        </is>
      </c>
      <c r="C19115" t="inlineStr">
        <is>
          <t>Eau De Parfum</t>
        </is>
      </c>
      <c r="D19115" t="inlineStr">
        <is>
          <t>Carner Barcelona</t>
        </is>
      </c>
      <c r="E19115" t="n">
        <v>83.38</v>
      </c>
      <c r="F19115" t="n">
        <v>1</v>
      </c>
      <c r="G19115" t="n">
        <v>4</v>
      </c>
      <c r="H19115" s="5">
        <f>HYPERLINK("https://api.qogita.com/variants/link/8437011481177/", "View Product")</f>
        <v/>
      </c>
    </row>
    <row r="19116">
      <c r="A19116" t="inlineStr">
        <is>
          <t>8437011481214</t>
        </is>
      </c>
      <c r="B19116" t="inlineStr">
        <is>
          <t>Carner Barcelona Palo Santo Unisex Vapo 100ml</t>
        </is>
      </c>
      <c r="C19116" t="inlineStr">
        <is>
          <t>Eau De Parfum</t>
        </is>
      </c>
      <c r="D19116" t="inlineStr">
        <is>
          <t>Carner Barcelona</t>
        </is>
      </c>
      <c r="E19116" t="n">
        <v>83.26000000000001</v>
      </c>
      <c r="F19116" t="n">
        <v>1</v>
      </c>
      <c r="G19116" t="n">
        <v>6</v>
      </c>
      <c r="H19116" s="5">
        <f>HYPERLINK("https://api.qogita.com/variants/link/8437011481214/", "View Product")</f>
        <v/>
      </c>
    </row>
    <row r="19117">
      <c r="A19117" t="inlineStr">
        <is>
          <t>8437011481375</t>
        </is>
      </c>
      <c r="B19117" t="inlineStr">
        <is>
          <t>Carner Barcelona Black Calamus Eau De Parfum 50ml Unisex Spray</t>
        </is>
      </c>
      <c r="C19117" t="inlineStr">
        <is>
          <t>Eau De Parfum</t>
        </is>
      </c>
      <c r="D19117" t="inlineStr">
        <is>
          <t>Carner Barcelona</t>
        </is>
      </c>
      <c r="E19117" t="n">
        <v>70.61</v>
      </c>
      <c r="F19117" t="n">
        <v>1</v>
      </c>
      <c r="G19117" t="n">
        <v>20</v>
      </c>
      <c r="H19117" s="5">
        <f>HYPERLINK("https://api.qogita.com/variants/link/8437011481375/", "View Product")</f>
        <v/>
      </c>
    </row>
    <row r="19118">
      <c r="A19118" t="inlineStr">
        <is>
          <t>8437016160060</t>
        </is>
      </c>
      <c r="B19118" t="inlineStr">
        <is>
          <t>ONDO BEAUTY 36.5 Peptides &amp; Ginseng Neck Treatment TOK-TOK Antiaging Cream 50ml</t>
        </is>
      </c>
      <c r="C19118" t="inlineStr">
        <is>
          <t>Neck &amp; Decollete</t>
        </is>
      </c>
      <c r="D19118" t="inlineStr">
        <is>
          <t>Ondo Beauty</t>
        </is>
      </c>
      <c r="E19118" t="n">
        <v>21.02</v>
      </c>
      <c r="F19118" t="n">
        <v>1</v>
      </c>
      <c r="G19118" t="n">
        <v>2</v>
      </c>
      <c r="H19118" s="5">
        <f>HYPERLINK("https://api.qogita.com/variants/link/8437016160060/", "View Product")</f>
        <v/>
      </c>
    </row>
    <row r="19119">
      <c r="A19119" t="inlineStr">
        <is>
          <t>8437016160121</t>
        </is>
      </c>
      <c r="B19119" t="inlineStr">
        <is>
          <t>Meisani Puri-Tea Acid Cleansing Gel 150ml</t>
        </is>
      </c>
      <c r="C19119" t="inlineStr">
        <is>
          <t>Cleansing Gel</t>
        </is>
      </c>
      <c r="D19119" t="inlineStr">
        <is>
          <t>Meisani</t>
        </is>
      </c>
      <c r="E19119" t="n">
        <v>11.76</v>
      </c>
      <c r="F19119" t="n">
        <v>1</v>
      </c>
      <c r="G19119" t="n">
        <v>2</v>
      </c>
      <c r="H19119" s="5">
        <f>HYPERLINK("https://api.qogita.com/variants/link/8437016160121/", "View Product")</f>
        <v/>
      </c>
    </row>
    <row r="19120">
      <c r="A19120" t="inlineStr">
        <is>
          <t>8437016160268</t>
        </is>
      </c>
      <c r="B19120" t="inlineStr">
        <is>
          <t>Ceramides &amp; Cica Protective Sun Cream</t>
        </is>
      </c>
      <c r="C19120" t="inlineStr">
        <is>
          <t>Face Sun Protection</t>
        </is>
      </c>
      <c r="D19120" t="inlineStr">
        <is>
          <t>Ondo</t>
        </is>
      </c>
      <c r="E19120" t="n">
        <v>15.68</v>
      </c>
      <c r="F19120" t="n">
        <v>1</v>
      </c>
      <c r="G19120" t="n">
        <v>2</v>
      </c>
      <c r="H19120" s="5">
        <f>HYPERLINK("https://api.qogita.com/variants/link/8437016160268/", "View Product")</f>
        <v/>
      </c>
    </row>
    <row r="19121">
      <c r="A19121" t="inlineStr">
        <is>
          <t>8437018063024</t>
        </is>
      </c>
      <c r="B19121" t="inlineStr">
        <is>
          <t>Eight &amp; Bob Annicke 2 Eau De Parfum Spray 100ml</t>
        </is>
      </c>
      <c r="C19121" t="inlineStr">
        <is>
          <t>Eau De Parfum</t>
        </is>
      </c>
      <c r="D19121" t="inlineStr">
        <is>
          <t>Eight &amp; Bob</t>
        </is>
      </c>
      <c r="E19121" t="n">
        <v>81.95999999999999</v>
      </c>
      <c r="F19121" t="n">
        <v>1</v>
      </c>
      <c r="G19121" t="n">
        <v>2</v>
      </c>
      <c r="H19121" s="5">
        <f>HYPERLINK("https://api.qogita.com/variants/link/8437018063024/", "View Product")</f>
        <v/>
      </c>
    </row>
    <row r="19122">
      <c r="A19122" t="inlineStr">
        <is>
          <t>8437018063031</t>
        </is>
      </c>
      <c r="B19122" t="inlineStr">
        <is>
          <t>Eight &amp; Bob Annicke 3 Eau De Parfum Spray 100ml</t>
        </is>
      </c>
      <c r="C19122" t="inlineStr">
        <is>
          <t>Eau De Parfum</t>
        </is>
      </c>
      <c r="D19122" t="inlineStr">
        <is>
          <t>Eight &amp; Bob</t>
        </is>
      </c>
      <c r="E19122" t="n">
        <v>68.15000000000001</v>
      </c>
      <c r="F19122" t="n">
        <v>1</v>
      </c>
      <c r="G19122" t="n">
        <v>2</v>
      </c>
      <c r="H19122" s="5">
        <f>HYPERLINK("https://api.qogita.com/variants/link/8437018063031/", "View Product")</f>
        <v/>
      </c>
    </row>
    <row r="19123">
      <c r="A19123" t="inlineStr">
        <is>
          <t>8437018498437</t>
        </is>
      </c>
      <c r="B19123" t="inlineStr">
        <is>
          <t>Women'secret Kiss Moments Fragrance Brume 250ml</t>
        </is>
      </c>
      <c r="C19123" t="inlineStr">
        <is>
          <t>Eau De Parfum</t>
        </is>
      </c>
      <c r="D19123" t="inlineStr">
        <is>
          <t>Women'secret</t>
        </is>
      </c>
      <c r="E19123" t="n">
        <v>7.4</v>
      </c>
      <c r="F19123" t="n">
        <v>1</v>
      </c>
      <c r="G19123" t="n">
        <v>3</v>
      </c>
      <c r="H19123" s="5">
        <f>HYPERLINK("https://api.qogita.com/variants/link/8437018498437/", "View Product")</f>
        <v/>
      </c>
    </row>
    <row r="19124">
      <c r="A19124" t="inlineStr">
        <is>
          <t>8437019178611</t>
        </is>
      </c>
      <c r="B19124" t="inlineStr">
        <is>
          <t>Martiderm Platinum Lip Supreme Balm 45ml</t>
        </is>
      </c>
      <c r="C19124" t="inlineStr">
        <is>
          <t>Medicated Treatments</t>
        </is>
      </c>
      <c r="D19124" t="inlineStr">
        <is>
          <t>Martiderm</t>
        </is>
      </c>
      <c r="E19124" t="n">
        <v>18.16</v>
      </c>
      <c r="F19124" t="n">
        <v>1</v>
      </c>
      <c r="G19124" t="n">
        <v>2</v>
      </c>
      <c r="H19124" s="5">
        <f>HYPERLINK("https://api.qogita.com/variants/link/8437019178611/", "View Product")</f>
        <v/>
      </c>
    </row>
    <row r="19125">
      <c r="A19125" t="inlineStr">
        <is>
          <t>8437020930222</t>
        </is>
      </c>
      <c r="B19125" t="inlineStr">
        <is>
          <t>Label Olive Wood &amp; Leather EdP Eau de Parfum 50ml</t>
        </is>
      </c>
      <c r="C19125" t="inlineStr">
        <is>
          <t>Eau De Parfum</t>
        </is>
      </c>
      <c r="D19125" t="inlineStr">
        <is>
          <t>L'Occitane</t>
        </is>
      </c>
      <c r="E19125" t="n">
        <v>35.39</v>
      </c>
      <c r="F19125" t="n">
        <v>1</v>
      </c>
      <c r="G19125" t="n">
        <v>6</v>
      </c>
      <c r="H19125" s="5">
        <f>HYPERLINK("https://api.qogita.com/variants/link/8437020930222/", "View Product")</f>
        <v/>
      </c>
    </row>
    <row r="19126">
      <c r="A19126" t="inlineStr">
        <is>
          <t>8437020930468</t>
        </is>
      </c>
      <c r="B19126" t="inlineStr">
        <is>
          <t>Label Cannabis &amp; Tobacco Eau de Parfum Unisex 50ml</t>
        </is>
      </c>
      <c r="C19126" t="inlineStr">
        <is>
          <t>Eau De Parfum</t>
        </is>
      </c>
      <c r="D19126" t="inlineStr">
        <is>
          <t>Label</t>
        </is>
      </c>
      <c r="E19126" t="n">
        <v>51.73</v>
      </c>
      <c r="F19126" t="n">
        <v>1</v>
      </c>
      <c r="G19126" t="n">
        <v>12</v>
      </c>
      <c r="H19126" s="5">
        <f>HYPERLINK("https://api.qogita.com/variants/link/8437020930468/", "View Product")</f>
        <v/>
      </c>
    </row>
    <row r="19127">
      <c r="A19127" t="inlineStr">
        <is>
          <t>8470001575456</t>
        </is>
      </c>
      <c r="B19127" t="inlineStr">
        <is>
          <t>Elancyl Energizing Foaming Scrub For Normal Skin 150 Ml</t>
        </is>
      </c>
      <c r="C19127" t="inlineStr">
        <is>
          <t>Body Scrub &amp; Peeling</t>
        </is>
      </c>
      <c r="D19127" t="inlineStr">
        <is>
          <t>Elancyl</t>
        </is>
      </c>
      <c r="E19127" t="n">
        <v>8.99</v>
      </c>
      <c r="F19127" t="n">
        <v>1</v>
      </c>
      <c r="G19127" t="n">
        <v>3</v>
      </c>
      <c r="H19127" s="5">
        <f>HYPERLINK("https://api.qogita.com/variants/link/8470001575456/", "View Product")</f>
        <v/>
      </c>
    </row>
    <row r="19128">
      <c r="A19128" t="inlineStr">
        <is>
          <t>8470001994189</t>
        </is>
      </c>
      <c r="B19128" t="inlineStr">
        <is>
          <t>Elancyl My Coach Hydrating Shower Gel 200 Ml</t>
        </is>
      </c>
      <c r="C19128" t="inlineStr">
        <is>
          <t>Shower Gel</t>
        </is>
      </c>
      <c r="D19128" t="inlineStr">
        <is>
          <t>Elancyl</t>
        </is>
      </c>
      <c r="E19128" t="n">
        <v>8.92</v>
      </c>
      <c r="F19128" t="n">
        <v>1</v>
      </c>
      <c r="G19128" t="n">
        <v>1</v>
      </c>
      <c r="H19128" s="5">
        <f>HYPERLINK("https://api.qogita.com/variants/link/8470001994189/", "View Product")</f>
        <v/>
      </c>
    </row>
    <row r="19129">
      <c r="A19129" t="inlineStr">
        <is>
          <t>8588007068213</t>
        </is>
      </c>
      <c r="B19129" t="inlineStr">
        <is>
          <t>CUCU Solid Soap with Shea Butter 100g</t>
        </is>
      </c>
      <c r="C19129" t="inlineStr">
        <is>
          <t>Soap</t>
        </is>
      </c>
      <c r="D19129" t="inlineStr">
        <is>
          <t>Two Cosmetics</t>
        </is>
      </c>
      <c r="E19129" t="n">
        <v>4.38</v>
      </c>
      <c r="F19129" t="n">
        <v>1</v>
      </c>
      <c r="G19129" t="n">
        <v>3</v>
      </c>
      <c r="H19129" s="5">
        <f>HYPERLINK("https://api.qogita.com/variants/link/8588007068213/", "View Product")</f>
        <v/>
      </c>
    </row>
    <row r="19130">
      <c r="A19130" t="inlineStr">
        <is>
          <t>8588007068466</t>
        </is>
      </c>
      <c r="B19130" t="inlineStr">
        <is>
          <t>Caring conditioner for problematic scalp with Honey 200 ml</t>
        </is>
      </c>
      <c r="C19130" t="inlineStr">
        <is>
          <t>Conditioner</t>
        </is>
      </c>
      <c r="D19130" t="inlineStr">
        <is>
          <t>Two Cosmetics</t>
        </is>
      </c>
      <c r="E19130" t="n">
        <v>9.35</v>
      </c>
      <c r="F19130" t="n">
        <v>1</v>
      </c>
      <c r="G19130" t="n">
        <v>2</v>
      </c>
      <c r="H19130" s="5">
        <f>HYPERLINK("https://api.qogita.com/variants/link/8588007068466/", "View Product")</f>
        <v/>
      </c>
    </row>
    <row r="19131">
      <c r="A19131" t="inlineStr">
        <is>
          <t>8590031099750</t>
        </is>
      </c>
      <c r="B19131" t="inlineStr">
        <is>
          <t>Dermacol Sweet Jasmine Patchouli Eau De Parfum 50 Ml</t>
        </is>
      </c>
      <c r="C19131" t="inlineStr">
        <is>
          <t>Eau De Parfum</t>
        </is>
      </c>
      <c r="D19131" t="inlineStr">
        <is>
          <t>Dermacol</t>
        </is>
      </c>
      <c r="E19131" t="n">
        <v>14.67</v>
      </c>
      <c r="F19131" t="n">
        <v>1</v>
      </c>
      <c r="G19131" t="n">
        <v>7</v>
      </c>
      <c r="H19131" s="5">
        <f>HYPERLINK("https://api.qogita.com/variants/link/8590031099750/", "View Product")</f>
        <v/>
      </c>
    </row>
    <row r="19132">
      <c r="A19132" t="inlineStr">
        <is>
          <t>8590031101781</t>
        </is>
      </c>
      <c r="B19132" t="inlineStr">
        <is>
          <t>Dermacol Compact Powder With Lace Relief 8 G</t>
        </is>
      </c>
      <c r="C19132" t="inlineStr">
        <is>
          <t>Powder</t>
        </is>
      </c>
      <c r="D19132" t="inlineStr">
        <is>
          <t>Dermacol</t>
        </is>
      </c>
      <c r="E19132" t="n">
        <v>3.69</v>
      </c>
      <c r="F19132" t="n">
        <v>1</v>
      </c>
      <c r="G19132" t="n">
        <v>5</v>
      </c>
      <c r="H19132" s="5">
        <f>HYPERLINK("https://api.qogita.com/variants/link/8590031101781/", "View Product")</f>
        <v/>
      </c>
    </row>
    <row r="19133">
      <c r="A19133" t="inlineStr">
        <is>
          <t>8590031105369</t>
        </is>
      </c>
      <c r="B19133" t="inlineStr">
        <is>
          <t>Dermacol Makeup Sponge Cosmetic Sponge For Makeup</t>
        </is>
      </c>
      <c r="C19133" t="inlineStr">
        <is>
          <t>Makeup Sponges</t>
        </is>
      </c>
      <c r="D19133" t="inlineStr">
        <is>
          <t>Dermacol</t>
        </is>
      </c>
      <c r="E19133" t="n">
        <v>6.33</v>
      </c>
      <c r="F19133" t="n">
        <v>1</v>
      </c>
      <c r="G19133" t="n">
        <v>8</v>
      </c>
      <c r="H19133" s="5">
        <f>HYPERLINK("https://api.qogita.com/variants/link/8590031105369/", "View Product")</f>
        <v/>
      </c>
    </row>
    <row r="19134">
      <c r="A19134" t="inlineStr">
        <is>
          <t>8590031107769</t>
        </is>
      </c>
      <c r="B19134" t="inlineStr">
        <is>
          <t>Dermacol Cosmetic Bristle Brush With Synthetic Bristles</t>
        </is>
      </c>
      <c r="C19134" t="inlineStr">
        <is>
          <t>Brush Sets</t>
        </is>
      </c>
      <c r="D19134" t="inlineStr">
        <is>
          <t>Dermacol</t>
        </is>
      </c>
      <c r="E19134" t="n">
        <v>6.79</v>
      </c>
      <c r="F19134" t="n">
        <v>1</v>
      </c>
      <c r="G19134" t="n">
        <v>4</v>
      </c>
      <c r="H19134" s="5">
        <f>HYPERLINK("https://api.qogita.com/variants/link/8590031107769/", "View Product")</f>
        <v/>
      </c>
    </row>
    <row r="19135">
      <c r="A19135" t="inlineStr">
        <is>
          <t>8590031107820</t>
        </is>
      </c>
      <c r="B19135" t="inlineStr">
        <is>
          <t>Dermacol Synthetic Cosmetic Brush D59 Made Of Synthetic Fibers</t>
        </is>
      </c>
      <c r="C19135" t="inlineStr">
        <is>
          <t>Brush Sets</t>
        </is>
      </c>
      <c r="D19135" t="inlineStr">
        <is>
          <t>Dermacol</t>
        </is>
      </c>
      <c r="E19135" t="n">
        <v>4.97</v>
      </c>
      <c r="F19135" t="n">
        <v>1</v>
      </c>
      <c r="G19135" t="n">
        <v>4</v>
      </c>
      <c r="H19135" s="5">
        <f>HYPERLINK("https://api.qogita.com/variants/link/8590031107820/", "View Product")</f>
        <v/>
      </c>
    </row>
    <row r="19136">
      <c r="A19136" t="inlineStr">
        <is>
          <t>8590129002341</t>
        </is>
      </c>
      <c r="B19136" t="inlineStr">
        <is>
          <t>Winter Protection and Care Set for Lips and Skin</t>
        </is>
      </c>
      <c r="C19136" t="inlineStr">
        <is>
          <t>Facial Care Sets</t>
        </is>
      </c>
      <c r="D19136" t="inlineStr">
        <is>
          <t>‎- Unknown</t>
        </is>
      </c>
      <c r="E19136" t="n">
        <v>12.11</v>
      </c>
      <c r="F19136" t="n">
        <v>1</v>
      </c>
      <c r="G19136" t="n">
        <v>4</v>
      </c>
      <c r="H19136" s="5">
        <f>HYPERLINK("https://api.qogita.com/variants/link/8590129002341/", "View Product")</f>
        <v/>
      </c>
    </row>
    <row r="19137">
      <c r="A19137" t="inlineStr">
        <is>
          <t>8590232000272</t>
        </is>
      </c>
      <c r="B19137" t="inlineStr">
        <is>
          <t>Elmex Whitening Toothpaste Caries Protection Whitening 3 X 75 Ml</t>
        </is>
      </c>
      <c r="C19137" t="inlineStr">
        <is>
          <t>Toothpaste</t>
        </is>
      </c>
      <c r="D19137" t="inlineStr">
        <is>
          <t>Elmex</t>
        </is>
      </c>
      <c r="E19137" t="n">
        <v>11.65</v>
      </c>
      <c r="F19137" t="n">
        <v>1</v>
      </c>
      <c r="G19137" t="n">
        <v>7</v>
      </c>
      <c r="H19137" s="5">
        <f>HYPERLINK("https://api.qogita.com/variants/link/8590232000272/", "View Product")</f>
        <v/>
      </c>
    </row>
    <row r="19138">
      <c r="A19138" t="inlineStr">
        <is>
          <t>8590232000463</t>
        </is>
      </c>
      <c r="B19138" t="inlineStr">
        <is>
          <t>Elmex Sensitive Professional Repair Prevent Trio Toothpaste - 3 X 75 Ml</t>
        </is>
      </c>
      <c r="C19138" t="inlineStr">
        <is>
          <t>Toothpaste</t>
        </is>
      </c>
      <c r="D19138" t="inlineStr">
        <is>
          <t>Elmex</t>
        </is>
      </c>
      <c r="E19138" t="n">
        <v>16.07</v>
      </c>
      <c r="F19138" t="n">
        <v>1</v>
      </c>
      <c r="G19138" t="n">
        <v>7</v>
      </c>
      <c r="H19138" s="5">
        <f>HYPERLINK("https://api.qogita.com/variants/link/8590232000463/", "View Product")</f>
        <v/>
      </c>
    </row>
    <row r="19139">
      <c r="A19139" t="inlineStr">
        <is>
          <t>8590232000494</t>
        </is>
      </c>
      <c r="B19139" t="inlineStr">
        <is>
          <t>Meridol Paradont Expert Toothpaste Against Bleeding Gums And Periodontitis Tripack 3 X 75 Ml</t>
        </is>
      </c>
      <c r="C19139" t="inlineStr">
        <is>
          <t>Toothpaste</t>
        </is>
      </c>
      <c r="D19139" t="inlineStr">
        <is>
          <t>Meridol</t>
        </is>
      </c>
      <c r="E19139" t="n">
        <v>14.73</v>
      </c>
      <c r="F19139" t="n">
        <v>1</v>
      </c>
      <c r="G19139" t="n">
        <v>6</v>
      </c>
      <c r="H19139" s="5">
        <f>HYPERLINK("https://api.qogita.com/variants/link/8590232000494/", "View Product")</f>
        <v/>
      </c>
    </row>
    <row r="19140">
      <c r="A19140" t="inlineStr">
        <is>
          <t>8590232000739</t>
        </is>
      </c>
      <c r="B19140" t="inlineStr">
        <is>
          <t>Colgate Max White Expert Original Whitening Toothpaste 3 X 75 Ml</t>
        </is>
      </c>
      <c r="C19140" t="inlineStr">
        <is>
          <t>Toothpaste</t>
        </is>
      </c>
      <c r="D19140" t="inlineStr">
        <is>
          <t>Colgate</t>
        </is>
      </c>
      <c r="E19140" t="n">
        <v>13.8</v>
      </c>
      <c r="F19140" t="n">
        <v>1</v>
      </c>
      <c r="G19140" t="n">
        <v>5</v>
      </c>
      <c r="H19140" s="5">
        <f>HYPERLINK("https://api.qogita.com/variants/link/8590232000739/", "View Product")</f>
        <v/>
      </c>
    </row>
    <row r="19141">
      <c r="A19141" t="inlineStr">
        <is>
          <t>8590232001132</t>
        </is>
      </c>
      <c r="B19141" t="inlineStr">
        <is>
          <t>Elmex Caries Protection Plus Complete Care Trio Toothpaste 3 X 75 Ml</t>
        </is>
      </c>
      <c r="C19141" t="inlineStr">
        <is>
          <t>Toothpaste</t>
        </is>
      </c>
      <c r="D19141" t="inlineStr">
        <is>
          <t>Elmex</t>
        </is>
      </c>
      <c r="E19141" t="n">
        <v>16.07</v>
      </c>
      <c r="F19141" t="n">
        <v>1</v>
      </c>
      <c r="G19141" t="n">
        <v>5</v>
      </c>
      <c r="H19141" s="5">
        <f>HYPERLINK("https://api.qogita.com/variants/link/8590232001132/", "View Product")</f>
        <v/>
      </c>
    </row>
    <row r="19142">
      <c r="A19142" t="inlineStr">
        <is>
          <t>8590232001156</t>
        </is>
      </c>
      <c r="B19142" t="inlineStr">
        <is>
          <t>Max White Purple Trio Toothpaste</t>
        </is>
      </c>
      <c r="C19142" t="inlineStr">
        <is>
          <t>Toothpaste</t>
        </is>
      </c>
      <c r="D19142" t="inlineStr">
        <is>
          <t>Max White</t>
        </is>
      </c>
      <c r="E19142" t="n">
        <v>9.970000000000001</v>
      </c>
      <c r="F19142" t="n">
        <v>1</v>
      </c>
      <c r="G19142" t="n">
        <v>5</v>
      </c>
      <c r="H19142" s="5">
        <f>HYPERLINK("https://api.qogita.com/variants/link/8590232001156/", "View Product")</f>
        <v/>
      </c>
    </row>
    <row r="19143">
      <c r="A19143" t="inlineStr">
        <is>
          <t>8590232001170</t>
        </is>
      </c>
      <c r="B19143" t="inlineStr">
        <is>
          <t>Elmex Toothpaste Enamel Repair - 3 X 75 Ml</t>
        </is>
      </c>
      <c r="C19143" t="inlineStr">
        <is>
          <t>Toothpaste</t>
        </is>
      </c>
      <c r="D19143" t="inlineStr">
        <is>
          <t>Elmex</t>
        </is>
      </c>
      <c r="E19143" t="n">
        <v>11.65</v>
      </c>
      <c r="F19143" t="n">
        <v>1</v>
      </c>
      <c r="G19143" t="n">
        <v>6</v>
      </c>
      <c r="H19143" s="5">
        <f>HYPERLINK("https://api.qogita.com/variants/link/8590232001170/", "View Product")</f>
        <v/>
      </c>
    </row>
    <row r="19144">
      <c r="A19144" t="inlineStr">
        <is>
          <t>8590232001309</t>
        </is>
      </c>
      <c r="B19144" t="inlineStr">
        <is>
          <t>Elmex Mix Trio Toothpaste Set - 3 X 75 Ml</t>
        </is>
      </c>
      <c r="C19144" t="inlineStr">
        <is>
          <t>Toothpaste</t>
        </is>
      </c>
      <c r="D19144" t="inlineStr">
        <is>
          <t>Elmex</t>
        </is>
      </c>
      <c r="E19144" t="n">
        <v>11.77</v>
      </c>
      <c r="F19144" t="n">
        <v>1</v>
      </c>
      <c r="G19144" t="n">
        <v>7</v>
      </c>
      <c r="H19144" s="5">
        <f>HYPERLINK("https://api.qogita.com/variants/link/8590232001309/", "View Product")</f>
        <v/>
      </c>
    </row>
    <row r="19145">
      <c r="A19145" t="inlineStr">
        <is>
          <t>8590335005129</t>
        </is>
      </c>
      <c r="B19145" t="inlineStr">
        <is>
          <t>Corega Denture Adhesive Cream Flavorless Zinc Free 40g</t>
        </is>
      </c>
      <c r="C19145" t="inlineStr">
        <is>
          <t>Denture Accessories</t>
        </is>
      </c>
      <c r="D19145" t="inlineStr">
        <is>
          <t>Corega</t>
        </is>
      </c>
      <c r="E19145" t="n">
        <v>3.99</v>
      </c>
      <c r="F19145" t="n">
        <v>1</v>
      </c>
      <c r="G19145" t="n">
        <v>17</v>
      </c>
      <c r="H19145" s="5">
        <f>HYPERLINK("https://api.qogita.com/variants/link/8590335005129/", "View Product")</f>
        <v/>
      </c>
    </row>
    <row r="19146">
      <c r="A19146" t="inlineStr">
        <is>
          <t>8590393261079</t>
        </is>
      </c>
      <c r="B19146" t="inlineStr">
        <is>
          <t>ETA Rosalia 1200W Travel Hair Dryer 82dB</t>
        </is>
      </c>
      <c r="C19146" t="inlineStr">
        <is>
          <t>Hair Dryers</t>
        </is>
      </c>
      <c r="D19146" t="inlineStr">
        <is>
          <t>Eta</t>
        </is>
      </c>
      <c r="E19146" t="n">
        <v>13.1</v>
      </c>
      <c r="F19146" t="n">
        <v>1</v>
      </c>
      <c r="G19146" t="n">
        <v>3</v>
      </c>
      <c r="H19146" s="5">
        <f>HYPERLINK("https://api.qogita.com/variants/link/8590393261079/", "View Product")</f>
        <v/>
      </c>
    </row>
    <row r="19147">
      <c r="A19147" t="inlineStr">
        <is>
          <t>8590393321018</t>
        </is>
      </c>
      <c r="B19147" t="inlineStr">
        <is>
          <t>Eta Clean 0353 90000 Cosmetic Ultrasonic Spatula</t>
        </is>
      </c>
      <c r="C19147" t="inlineStr">
        <is>
          <t>Facial Cleansing Tools</t>
        </is>
      </c>
      <c r="D19147" t="inlineStr">
        <is>
          <t>Eta</t>
        </is>
      </c>
      <c r="E19147" t="n">
        <v>47.93</v>
      </c>
      <c r="F19147" t="n">
        <v>1</v>
      </c>
      <c r="G19147" t="n">
        <v>20</v>
      </c>
      <c r="H19147" s="5">
        <f>HYPERLINK("https://api.qogita.com/variants/link/8590393321018/", "View Product")</f>
        <v/>
      </c>
    </row>
    <row r="19148">
      <c r="A19148" t="inlineStr">
        <is>
          <t>8590393324521</t>
        </is>
      </c>
      <c r="B19148" t="inlineStr">
        <is>
          <t>Eta Aquacare Power 2708 90000 Mouthwash</t>
        </is>
      </c>
      <c r="C19148" t="inlineStr">
        <is>
          <t>Mouthwash</t>
        </is>
      </c>
      <c r="D19148" t="inlineStr">
        <is>
          <t>Eta</t>
        </is>
      </c>
      <c r="E19148" t="n">
        <v>42.6</v>
      </c>
      <c r="F19148" t="n">
        <v>1</v>
      </c>
      <c r="G19148" t="n">
        <v>4</v>
      </c>
      <c r="H19148" s="5">
        <f>HYPERLINK("https://api.qogita.com/variants/link/8590393324521/", "View Product")</f>
        <v/>
      </c>
    </row>
    <row r="19149">
      <c r="A19149" t="inlineStr">
        <is>
          <t>8590393325139</t>
        </is>
      </c>
      <c r="B19149" t="inlineStr">
        <is>
          <t>ETA Fenité Hair Dryer Gift Set - Powerful Hair Dryer with Ionization Function in Convenient Bag Complete with Diffuser, Hair Brush, and Clips for Styling</t>
        </is>
      </c>
      <c r="C19149" t="inlineStr">
        <is>
          <t>Hair Dryers</t>
        </is>
      </c>
      <c r="D19149" t="inlineStr">
        <is>
          <t>Eta</t>
        </is>
      </c>
      <c r="E19149" t="n">
        <v>33.51</v>
      </c>
      <c r="F19149" t="n">
        <v>1</v>
      </c>
      <c r="G19149" t="n">
        <v>3</v>
      </c>
      <c r="H19149" s="5">
        <f>HYPERLINK("https://api.qogita.com/variants/link/8590393325139/", "View Product")</f>
        <v/>
      </c>
    </row>
    <row r="19150">
      <c r="A19150" t="inlineStr">
        <is>
          <t>8590669092451</t>
        </is>
      </c>
      <c r="B19150" t="inlineStr">
        <is>
          <t>SENCOR SHD 6600V Hair Dryer Purple</t>
        </is>
      </c>
      <c r="C19150" t="inlineStr">
        <is>
          <t>Hair Dryers</t>
        </is>
      </c>
      <c r="D19150" t="inlineStr">
        <is>
          <t>Sencor</t>
        </is>
      </c>
      <c r="E19150" t="n">
        <v>15.02</v>
      </c>
      <c r="F19150" t="n">
        <v>1</v>
      </c>
      <c r="G19150" t="n">
        <v>2</v>
      </c>
      <c r="H19150" s="5">
        <f>HYPERLINK("https://api.qogita.com/variants/link/8590669092451/", "View Product")</f>
        <v/>
      </c>
    </row>
    <row r="19151">
      <c r="A19151" t="inlineStr">
        <is>
          <t>8590669111275</t>
        </is>
      </c>
      <c r="B19151" t="inlineStr">
        <is>
          <t>SENCOR SHP 320SL Hair and Beard Trimmer Black</t>
        </is>
      </c>
      <c r="C19151" t="inlineStr">
        <is>
          <t>Shaving</t>
        </is>
      </c>
      <c r="D19151" t="inlineStr">
        <is>
          <t>Sencor</t>
        </is>
      </c>
      <c r="E19151" t="n">
        <v>9.82</v>
      </c>
      <c r="F19151" t="n">
        <v>1</v>
      </c>
      <c r="G19151" t="n">
        <v>4</v>
      </c>
      <c r="H19151" s="5">
        <f>HYPERLINK("https://api.qogita.com/variants/link/8590669111275/", "View Product")</f>
        <v/>
      </c>
    </row>
    <row r="19152">
      <c r="A19152" t="inlineStr">
        <is>
          <t>8590669189670</t>
        </is>
      </c>
      <c r="B19152" t="inlineStr">
        <is>
          <t>Sencor SMS 4013RD Electric Shaver</t>
        </is>
      </c>
      <c r="C19152" t="inlineStr">
        <is>
          <t>Shaving</t>
        </is>
      </c>
      <c r="D19152" t="inlineStr">
        <is>
          <t>Sencor</t>
        </is>
      </c>
      <c r="E19152" t="n">
        <v>19.25</v>
      </c>
      <c r="F19152" t="n">
        <v>1</v>
      </c>
      <c r="G19152" t="n">
        <v>4</v>
      </c>
      <c r="H19152" s="5">
        <f>HYPERLINK("https://api.qogita.com/variants/link/8590669189670/", "View Product")</f>
        <v/>
      </c>
    </row>
    <row r="19153">
      <c r="A19153" t="inlineStr">
        <is>
          <t>8590669240630</t>
        </is>
      </c>
      <c r="B19153" t="inlineStr">
        <is>
          <t>SENCOR Men's Electric Clipper Set with Beard and Hair Trimming Settings</t>
        </is>
      </c>
      <c r="C19153" t="inlineStr">
        <is>
          <t>Hair Clippers</t>
        </is>
      </c>
      <c r="D19153" t="inlineStr">
        <is>
          <t>Sencor</t>
        </is>
      </c>
      <c r="E19153" t="n">
        <v>38.54</v>
      </c>
      <c r="F19153" t="n">
        <v>1</v>
      </c>
      <c r="G19153" t="n">
        <v>5</v>
      </c>
      <c r="H19153" s="5">
        <f>HYPERLINK("https://api.qogita.com/variants/link/8590669240630/", "View Product")</f>
        <v/>
      </c>
    </row>
    <row r="19154">
      <c r="A19154" t="inlineStr">
        <is>
          <t>8590669307241</t>
        </is>
      </c>
      <c r="B19154" t="inlineStr">
        <is>
          <t>Sencor SMS 5520BL Men's Electric Razor Shaver Trimmer Battery</t>
        </is>
      </c>
      <c r="C19154" t="inlineStr">
        <is>
          <t>Razors &amp; Hair Removal Tools</t>
        </is>
      </c>
      <c r="D19154" t="inlineStr">
        <is>
          <t>Sencor</t>
        </is>
      </c>
      <c r="E19154" t="n">
        <v>38.54</v>
      </c>
      <c r="F19154" t="n">
        <v>1</v>
      </c>
      <c r="G19154" t="n">
        <v>3</v>
      </c>
      <c r="H19154" s="5">
        <f>HYPERLINK("https://api.qogita.com/variants/link/8590669307241/", "View Product")</f>
        <v/>
      </c>
    </row>
    <row r="19155">
      <c r="A19155" t="inlineStr">
        <is>
          <t>8590669308699</t>
        </is>
      </c>
      <c r="B19155" t="inlineStr">
        <is>
          <t>Air Chaud Bigoudi 400W Black</t>
        </is>
      </c>
      <c r="C19155" t="inlineStr">
        <is>
          <t>Hair Dryers</t>
        </is>
      </c>
      <c r="D19155" t="inlineStr">
        <is>
          <t>Sencor</t>
        </is>
      </c>
      <c r="E19155" t="n">
        <v>15.4</v>
      </c>
      <c r="F19155" t="n">
        <v>1</v>
      </c>
      <c r="G19155" t="n">
        <v>5</v>
      </c>
      <c r="H19155" s="5">
        <f>HYPERLINK("https://api.qogita.com/variants/link/8590669308699/", "View Product")</f>
        <v/>
      </c>
    </row>
    <row r="19156">
      <c r="A19156" t="inlineStr">
        <is>
          <t>8592297002376</t>
        </is>
      </c>
      <c r="B19156" t="inlineStr">
        <is>
          <t>Gentle Eyes Two-Phase Eye and Lip Remover 125 ml</t>
        </is>
      </c>
      <c r="C19156" t="inlineStr">
        <is>
          <t>Makeup Remover</t>
        </is>
      </c>
      <c r="D19156" t="inlineStr">
        <is>
          <t>Astrid</t>
        </is>
      </c>
      <c r="E19156" t="n">
        <v>4.3</v>
      </c>
      <c r="F19156" t="n">
        <v>1</v>
      </c>
      <c r="G19156" t="n">
        <v>11</v>
      </c>
      <c r="H19156" s="5">
        <f>HYPERLINK("https://api.qogita.com/variants/link/8592297002376/", "View Product")</f>
        <v/>
      </c>
    </row>
    <row r="19157">
      <c r="A19157" t="inlineStr">
        <is>
          <t>8592297002611</t>
        </is>
      </c>
      <c r="B19157" t="inlineStr">
        <is>
          <t>PEO Moisturizing Cream 100 milliliters</t>
        </is>
      </c>
      <c r="C19157" t="inlineStr">
        <is>
          <t>Acne</t>
        </is>
      </c>
      <c r="D19157" t="inlineStr">
        <is>
          <t>Astrid</t>
        </is>
      </c>
      <c r="E19157" t="n">
        <v>4.3</v>
      </c>
      <c r="F19157" t="n">
        <v>1</v>
      </c>
      <c r="G19157" t="n">
        <v>2</v>
      </c>
      <c r="H19157" s="5">
        <f>HYPERLINK("https://api.qogita.com/variants/link/8592297002611/", "View Product")</f>
        <v/>
      </c>
    </row>
    <row r="19158">
      <c r="A19158" t="inlineStr">
        <is>
          <t>8592297005827</t>
        </is>
      </c>
      <c r="B19158" t="inlineStr">
        <is>
          <t>Astrid Gentle Sunscreen For Children Spf 30 100 Mineral Filter 100 Ml</t>
        </is>
      </c>
      <c r="C19158" t="inlineStr">
        <is>
          <t>Baby &amp; Child Accessories</t>
        </is>
      </c>
      <c r="D19158" t="inlineStr">
        <is>
          <t>Astrid</t>
        </is>
      </c>
      <c r="E19158" t="n">
        <v>8.640000000000001</v>
      </c>
      <c r="F19158" t="n">
        <v>1</v>
      </c>
      <c r="G19158" t="n">
        <v>18</v>
      </c>
      <c r="H19158" s="5">
        <f>HYPERLINK("https://api.qogita.com/variants/link/8592297005827/", "View Product")</f>
        <v/>
      </c>
    </row>
    <row r="19159">
      <c r="A19159" t="inlineStr">
        <is>
          <t>8592297006831</t>
        </is>
      </c>
      <c r="B19159" t="inlineStr">
        <is>
          <t>Astrid Vitamin C</t>
        </is>
      </c>
      <c r="C19159" t="inlineStr">
        <is>
          <t>Vitamin</t>
        </is>
      </c>
      <c r="D19159" t="inlineStr">
        <is>
          <t>Astrid</t>
        </is>
      </c>
      <c r="E19159" t="n">
        <v>6.36</v>
      </c>
      <c r="F19159" t="n">
        <v>1</v>
      </c>
      <c r="G19159" t="n">
        <v>5</v>
      </c>
      <c r="H19159" s="5">
        <f>HYPERLINK("https://api.qogita.com/variants/link/8592297006831/", "View Product")</f>
        <v/>
      </c>
    </row>
    <row r="19160">
      <c r="A19160" t="inlineStr">
        <is>
          <t>8592297009092</t>
        </is>
      </c>
      <c r="B19160" t="inlineStr">
        <is>
          <t>Micellar Water for Face, Eyes and Lips 3 in 1 with Hyaluronic Acid 400 ml</t>
        </is>
      </c>
      <c r="C19160" t="inlineStr">
        <is>
          <t>Micellar Water</t>
        </is>
      </c>
      <c r="D19160" t="inlineStr">
        <is>
          <t>Astrid</t>
        </is>
      </c>
      <c r="E19160" t="n">
        <v>4.97</v>
      </c>
      <c r="F19160" t="n">
        <v>1</v>
      </c>
      <c r="G19160" t="n">
        <v>5</v>
      </c>
      <c r="H19160" s="5">
        <f>HYPERLINK("https://api.qogita.com/variants/link/8592297009092/", "View Product")</f>
        <v/>
      </c>
    </row>
    <row r="19161">
      <c r="A19161" t="inlineStr">
        <is>
          <t>8592297009382</t>
        </is>
      </c>
      <c r="B19161" t="inlineStr">
        <is>
          <t>C-Thru Luminous Emerald Gift Set Deospray 150 Ml And Shower Gel 250 Ml</t>
        </is>
      </c>
      <c r="C19161" t="inlineStr">
        <is>
          <t>Fragrance</t>
        </is>
      </c>
      <c r="D19161" t="inlineStr">
        <is>
          <t>C-Thru</t>
        </is>
      </c>
      <c r="E19161" t="n">
        <v>7.17</v>
      </c>
      <c r="F19161" t="n">
        <v>1</v>
      </c>
      <c r="G19161" t="n">
        <v>16</v>
      </c>
      <c r="H19161" s="5">
        <f>HYPERLINK("https://api.qogita.com/variants/link/8592297009382/", "View Product")</f>
        <v/>
      </c>
    </row>
    <row r="19162">
      <c r="A19162" t="inlineStr">
        <is>
          <t>8592297009863</t>
        </is>
      </c>
      <c r="B19162" t="inlineStr">
        <is>
          <t>Firming and Filling Serum Rose Premium (Serum) 30 ml</t>
        </is>
      </c>
      <c r="C19162" t="inlineStr">
        <is>
          <t>Anti-Aging Serum</t>
        </is>
      </c>
      <c r="D19162" t="inlineStr">
        <is>
          <t>Astrid</t>
        </is>
      </c>
      <c r="E19162" t="n">
        <v>8.970000000000001</v>
      </c>
      <c r="F19162" t="n">
        <v>1</v>
      </c>
      <c r="G19162" t="n">
        <v>4</v>
      </c>
      <c r="H19162" s="5">
        <f>HYPERLINK("https://api.qogita.com/variants/link/8592297009863/", "View Product")</f>
        <v/>
      </c>
    </row>
    <row r="19163">
      <c r="A19163" t="inlineStr">
        <is>
          <t>8592297010166</t>
        </is>
      </c>
      <c r="B19163" t="inlineStr">
        <is>
          <t>Anti-wrinkle and firming serum Hyaluron 3D 30 ml</t>
        </is>
      </c>
      <c r="C19163" t="inlineStr">
        <is>
          <t>Anti-Aging Serum</t>
        </is>
      </c>
      <c r="D19163" t="inlineStr">
        <is>
          <t>Astrid</t>
        </is>
      </c>
      <c r="E19163" t="n">
        <v>6.61</v>
      </c>
      <c r="F19163" t="n">
        <v>1</v>
      </c>
      <c r="G19163" t="n">
        <v>5</v>
      </c>
      <c r="H19163" s="5">
        <f>HYPERLINK("https://api.qogita.com/variants/link/8592297010166/", "View Product")</f>
        <v/>
      </c>
    </row>
    <row r="19164">
      <c r="A19164" t="inlineStr">
        <is>
          <t>8592297010241</t>
        </is>
      </c>
      <c r="B19164" t="inlineStr">
        <is>
          <t>Micellar Water with Prebiotics for All Skin Types Hydro X-Cell 400 ml</t>
        </is>
      </c>
      <c r="C19164" t="inlineStr">
        <is>
          <t>Micellar Water</t>
        </is>
      </c>
      <c r="D19164" t="inlineStr">
        <is>
          <t>Astrid</t>
        </is>
      </c>
      <c r="E19164" t="n">
        <v>5.91</v>
      </c>
      <c r="F19164" t="n">
        <v>1</v>
      </c>
      <c r="G19164" t="n">
        <v>5</v>
      </c>
      <c r="H19164" s="5">
        <f>HYPERLINK("https://api.qogita.com/variants/link/8592297010241/", "View Product")</f>
        <v/>
      </c>
    </row>
    <row r="19165">
      <c r="A19165" t="inlineStr">
        <is>
          <t>8592297011019</t>
        </is>
      </c>
      <c r="B19165" t="inlineStr">
        <is>
          <t>Astrid Sun Sensitive Face Tanning Cream SPF 50+ Waterproof 50 ml</t>
        </is>
      </c>
      <c r="C19165" t="inlineStr">
        <is>
          <t>Face Sun Protection</t>
        </is>
      </c>
      <c r="D19165" t="inlineStr">
        <is>
          <t>Astrid</t>
        </is>
      </c>
      <c r="E19165" t="n">
        <v>7.57</v>
      </c>
      <c r="F19165" t="n">
        <v>1</v>
      </c>
      <c r="G19165" t="n">
        <v>11</v>
      </c>
      <c r="H19165" s="5">
        <f>HYPERLINK("https://api.qogita.com/variants/link/8592297011019/", "View Product")</f>
        <v/>
      </c>
    </row>
    <row r="19166">
      <c r="A19166" t="inlineStr">
        <is>
          <t>8592297011682</t>
        </is>
      </c>
      <c r="B19166" t="inlineStr">
        <is>
          <t>Astrid Multi Collagen Concentrated Anti-Wrinkle Serum 30 Ml</t>
        </is>
      </c>
      <c r="C19166" t="inlineStr">
        <is>
          <t>Collagen Serum</t>
        </is>
      </c>
      <c r="D19166" t="inlineStr">
        <is>
          <t>Astrid</t>
        </is>
      </c>
      <c r="E19166" t="n">
        <v>8.970000000000001</v>
      </c>
      <c r="F19166" t="n">
        <v>1</v>
      </c>
      <c r="G19166" t="n">
        <v>5</v>
      </c>
      <c r="H19166" s="5">
        <f>HYPERLINK("https://api.qogita.com/variants/link/8592297011682/", "View Product")</f>
        <v/>
      </c>
    </row>
    <row r="19167">
      <c r="A19167" t="inlineStr">
        <is>
          <t>8592297012054</t>
        </is>
      </c>
      <c r="B19167" t="inlineStr">
        <is>
          <t>Astrid Hyaluronic Gold Anti-Wrinkle Eye Serum 15 Ml</t>
        </is>
      </c>
      <c r="C19167" t="inlineStr">
        <is>
          <t>Eye Serum</t>
        </is>
      </c>
      <c r="D19167" t="inlineStr">
        <is>
          <t>Astrid</t>
        </is>
      </c>
      <c r="E19167" t="n">
        <v>8.970000000000001</v>
      </c>
      <c r="F19167" t="n">
        <v>1</v>
      </c>
      <c r="G19167" t="n">
        <v>5</v>
      </c>
      <c r="H19167" s="5">
        <f>HYPERLINK("https://api.qogita.com/variants/link/8592297012054/", "View Product")</f>
        <v/>
      </c>
    </row>
    <row r="19168">
      <c r="A19168" t="inlineStr">
        <is>
          <t>8592297012412</t>
        </is>
      </c>
      <c r="B19168" t="inlineStr">
        <is>
          <t>Astrid Sunscreen Spray Bronz Spf 30 150 Ml</t>
        </is>
      </c>
      <c r="C19168" t="inlineStr">
        <is>
          <t>Body Sun Protection</t>
        </is>
      </c>
      <c r="D19168" t="inlineStr">
        <is>
          <t>Astrid</t>
        </is>
      </c>
      <c r="E19168" t="n">
        <v>9.49</v>
      </c>
      <c r="F19168" t="n">
        <v>1</v>
      </c>
      <c r="G19168" t="n">
        <v>10</v>
      </c>
      <c r="H19168" s="5">
        <f>HYPERLINK("https://api.qogita.com/variants/link/8592297012412/", "View Product")</f>
        <v/>
      </c>
    </row>
    <row r="19169">
      <c r="A19169" t="inlineStr">
        <is>
          <t>8592297012443</t>
        </is>
      </c>
      <c r="B19169" t="inlineStr">
        <is>
          <t>Astrid Oil Gel For Quick Tanning - 150 Ml</t>
        </is>
      </c>
      <c r="C19169" t="inlineStr">
        <is>
          <t>Body Self-Tanner</t>
        </is>
      </c>
      <c r="D19169" t="inlineStr">
        <is>
          <t>Astrid</t>
        </is>
      </c>
      <c r="E19169" t="n">
        <v>6.76</v>
      </c>
      <c r="F19169" t="n">
        <v>1</v>
      </c>
      <c r="G19169" t="n">
        <v>6</v>
      </c>
      <c r="H19169" s="5">
        <f>HYPERLINK("https://api.qogita.com/variants/link/8592297012443/", "View Product")</f>
        <v/>
      </c>
    </row>
    <row r="19170">
      <c r="A19170" t="inlineStr">
        <is>
          <t>8592807455043</t>
        </is>
      </c>
      <c r="B19170" t="inlineStr">
        <is>
          <t>L'Oral Paris Antiwrinkle Cosmetic Set Age Specialist 55 Set Of Day And Night Antiwrinkle 2 X 50 Ml</t>
        </is>
      </c>
      <c r="C19170" t="inlineStr">
        <is>
          <t>Anti-Aging Facial Care</t>
        </is>
      </c>
      <c r="D19170" t="inlineStr">
        <is>
          <t>L'Oréal Paris</t>
        </is>
      </c>
      <c r="E19170" t="n">
        <v>15.74</v>
      </c>
      <c r="F19170" t="n">
        <v>1</v>
      </c>
      <c r="G19170" t="n">
        <v>11</v>
      </c>
      <c r="H19170" s="5">
        <f>HYPERLINK("https://api.qogita.com/variants/link/8592807455043/", "View Product")</f>
        <v/>
      </c>
    </row>
    <row r="19171">
      <c r="A19171" t="inlineStr">
        <is>
          <t>8592807455067</t>
        </is>
      </c>
      <c r="B19171" t="inlineStr">
        <is>
          <t>L'Oréal Paris Age Specialist 45 Day and Night Cream Set SPF20 50ml + 50ml</t>
        </is>
      </c>
      <c r="C19171" t="inlineStr">
        <is>
          <t>Facial Care Sets</t>
        </is>
      </c>
      <c r="D19171" t="inlineStr">
        <is>
          <t>L'Oréal</t>
        </is>
      </c>
      <c r="E19171" t="n">
        <v>15.74</v>
      </c>
      <c r="F19171" t="n">
        <v>1</v>
      </c>
      <c r="G19171" t="n">
        <v>20</v>
      </c>
      <c r="H19171" s="5">
        <f>HYPERLINK("https://api.qogita.com/variants/link/8592807455067/", "View Product")</f>
        <v/>
      </c>
    </row>
    <row r="19172">
      <c r="A19172" t="inlineStr">
        <is>
          <t>8592807469972</t>
        </is>
      </c>
      <c r="B19172" t="inlineStr">
        <is>
          <t>L'Oréal Paris Revitalift Laser Pure Retinol Night Serum 50ml</t>
        </is>
      </c>
      <c r="C19172" t="inlineStr">
        <is>
          <t>Anti-Aging Serum</t>
        </is>
      </c>
      <c r="D19172" t="inlineStr">
        <is>
          <t>L'Oréal</t>
        </is>
      </c>
      <c r="E19172" t="n">
        <v>32.78</v>
      </c>
      <c r="F19172" t="n">
        <v>1</v>
      </c>
      <c r="G19172" t="n">
        <v>9</v>
      </c>
      <c r="H19172" s="5">
        <f>HYPERLINK("https://api.qogita.com/variants/link/8592807469972/", "View Product")</f>
        <v/>
      </c>
    </row>
    <row r="19173">
      <c r="A19173" t="inlineStr">
        <is>
          <t>8592807582282</t>
        </is>
      </c>
      <c r="B19173" t="inlineStr">
        <is>
          <t>L'Oréal Paris Revitalift Filler HA 30ml</t>
        </is>
      </c>
      <c r="C19173" t="inlineStr">
        <is>
          <t>Hyaluronic Acid Serum</t>
        </is>
      </c>
      <c r="D19173" t="inlineStr">
        <is>
          <t>L'Oréal</t>
        </is>
      </c>
      <c r="E19173" t="n">
        <v>33.45</v>
      </c>
      <c r="F19173" t="n">
        <v>1</v>
      </c>
      <c r="G19173" t="n">
        <v>22</v>
      </c>
      <c r="H19173" s="5">
        <f>HYPERLINK("https://api.qogita.com/variants/link/8592807582282/", "View Product")</f>
        <v/>
      </c>
    </row>
    <row r="19174">
      <c r="A19174" t="inlineStr">
        <is>
          <t>8592807632666</t>
        </is>
      </c>
      <c r="B19174" t="inlineStr">
        <is>
          <t>Mixa Hyaluronic Acid + Lactic Acid Anti-Dryness Hydrating Serum</t>
        </is>
      </c>
      <c r="C19174" t="inlineStr">
        <is>
          <t>Hyaluronic Acid Serum</t>
        </is>
      </c>
      <c r="D19174" t="inlineStr">
        <is>
          <t>Mixa</t>
        </is>
      </c>
      <c r="E19174" t="n">
        <v>23.38</v>
      </c>
      <c r="F19174" t="n">
        <v>1</v>
      </c>
      <c r="G19174" t="n">
        <v>15</v>
      </c>
      <c r="H19174" s="5">
        <f>HYPERLINK("https://api.qogita.com/variants/link/8592807632666/", "View Product")</f>
        <v/>
      </c>
    </row>
    <row r="19175">
      <c r="A19175" t="inlineStr">
        <is>
          <t>8594006380928</t>
        </is>
      </c>
      <c r="B19175" t="inlineStr">
        <is>
          <t>Bonfire Leave On Conditioner 250 ml</t>
        </is>
      </c>
      <c r="C19175" t="inlineStr">
        <is>
          <t>Leave-In Conditioner</t>
        </is>
      </c>
      <c r="D19175" t="inlineStr">
        <is>
          <t>Tomas Arsov</t>
        </is>
      </c>
      <c r="E19175" t="n">
        <v>11.44</v>
      </c>
      <c r="F19175" t="n">
        <v>1</v>
      </c>
      <c r="G19175" t="n">
        <v>5</v>
      </c>
      <c r="H19175" s="5">
        <f>HYPERLINK("https://api.qogita.com/variants/link/8594006380928/", "View Product")</f>
        <v/>
      </c>
    </row>
    <row r="19176">
      <c r="A19176" t="inlineStr">
        <is>
          <t>8594007970425</t>
        </is>
      </c>
      <c r="B19176" t="inlineStr">
        <is>
          <t>Ryor Decorative Care Brightening Makeup 8 In 1 30 Ml Light Shade</t>
        </is>
      </c>
      <c r="C19176" t="inlineStr">
        <is>
          <t>Bb Cream &amp; Cc Cream</t>
        </is>
      </c>
      <c r="D19176" t="inlineStr">
        <is>
          <t>Ryor</t>
        </is>
      </c>
      <c r="E19176" t="n">
        <v>9.029999999999999</v>
      </c>
      <c r="F19176" t="n">
        <v>1</v>
      </c>
      <c r="G19176" t="n">
        <v>5</v>
      </c>
      <c r="H19176" s="5">
        <f>HYPERLINK("https://api.qogita.com/variants/link/8594007970425/", "View Product")</f>
        <v/>
      </c>
    </row>
    <row r="19177">
      <c r="A19177" t="inlineStr">
        <is>
          <t>8594007970531</t>
        </is>
      </c>
      <c r="B19177" t="inlineStr">
        <is>
          <t>Ryor Aknestop Herbal Tonic For Problematic Skin</t>
        </is>
      </c>
      <c r="C19177" t="inlineStr">
        <is>
          <t>Face Dermacosmetics Sun Protection</t>
        </is>
      </c>
      <c r="D19177" t="inlineStr">
        <is>
          <t>Ryor</t>
        </is>
      </c>
      <c r="E19177" t="n">
        <v>4.85</v>
      </c>
      <c r="F19177" t="n">
        <v>1</v>
      </c>
      <c r="G19177" t="n">
        <v>9</v>
      </c>
      <c r="H19177" s="5">
        <f>HYPERLINK("https://api.qogita.com/variants/link/8594007970531/", "View Product")</f>
        <v/>
      </c>
    </row>
    <row r="19178">
      <c r="A19178" t="inlineStr">
        <is>
          <t>8594007972733</t>
        </is>
      </c>
      <c r="B19178" t="inlineStr">
        <is>
          <t>Ryor Hair Keratin Spray</t>
        </is>
      </c>
      <c r="C19178" t="inlineStr">
        <is>
          <t>Hair Oil &amp; Hair Serum</t>
        </is>
      </c>
      <c r="D19178" t="inlineStr">
        <is>
          <t>Ryor</t>
        </is>
      </c>
      <c r="E19178" t="n">
        <v>9.300000000000001</v>
      </c>
      <c r="F19178" t="n">
        <v>1</v>
      </c>
      <c r="G19178" t="n">
        <v>7</v>
      </c>
      <c r="H19178" s="5">
        <f>HYPERLINK("https://api.qogita.com/variants/link/8594007972733/", "View Product")</f>
        <v/>
      </c>
    </row>
    <row r="19179">
      <c r="A19179" t="inlineStr">
        <is>
          <t>8594007974164</t>
        </is>
      </c>
      <c r="B19179" t="inlineStr">
        <is>
          <t>Ryor Body Form Ivy Gel Against Cellulite</t>
        </is>
      </c>
      <c r="C19179" t="inlineStr">
        <is>
          <t>Anti-Cellulite</t>
        </is>
      </c>
      <c r="D19179" t="inlineStr">
        <is>
          <t>Ryor</t>
        </is>
      </c>
      <c r="E19179" t="n">
        <v>6.39</v>
      </c>
      <c r="F19179" t="n">
        <v>1</v>
      </c>
      <c r="G19179" t="n">
        <v>8</v>
      </c>
      <c r="H19179" s="5">
        <f>HYPERLINK("https://api.qogita.com/variants/link/8594007974164/", "View Product")</f>
        <v/>
      </c>
    </row>
    <row r="19180">
      <c r="A19180" t="inlineStr">
        <is>
          <t>8594007977127</t>
        </is>
      </c>
      <c r="B19180" t="inlineStr">
        <is>
          <t>Ryor Day Cream with UV Filters</t>
        </is>
      </c>
      <c r="C19180" t="inlineStr">
        <is>
          <t>Day Cream</t>
        </is>
      </c>
      <c r="D19180" t="inlineStr">
        <is>
          <t>Ryor</t>
        </is>
      </c>
      <c r="E19180" t="n">
        <v>6.33</v>
      </c>
      <c r="F19180" t="n">
        <v>1</v>
      </c>
      <c r="G19180" t="n">
        <v>5</v>
      </c>
      <c r="H19180" s="5">
        <f>HYPERLINK("https://api.qogita.com/variants/link/8594007977127/", "View Product")</f>
        <v/>
      </c>
    </row>
    <row r="19181">
      <c r="A19181" t="inlineStr">
        <is>
          <t>8594007977660</t>
        </is>
      </c>
      <c r="B19181" t="inlineStr">
        <is>
          <t>Ryor Self Tanning Lotion</t>
        </is>
      </c>
      <c r="C19181" t="inlineStr">
        <is>
          <t>Body Self-Tanner</t>
        </is>
      </c>
      <c r="D19181" t="inlineStr">
        <is>
          <t>Ryor</t>
        </is>
      </c>
      <c r="E19181" t="n">
        <v>9.41</v>
      </c>
      <c r="F19181" t="n">
        <v>1</v>
      </c>
      <c r="G19181" t="n">
        <v>7</v>
      </c>
      <c r="H19181" s="5">
        <f>HYPERLINK("https://api.qogita.com/variants/link/8594007977660/", "View Product")</f>
        <v/>
      </c>
    </row>
    <row r="19182">
      <c r="A19182" t="inlineStr">
        <is>
          <t>8594007977769</t>
        </is>
      </c>
      <c r="B19182" t="inlineStr">
        <is>
          <t>Ryor Trio Active Cream SPF 30</t>
        </is>
      </c>
      <c r="C19182" t="inlineStr">
        <is>
          <t>Face Sun Protection</t>
        </is>
      </c>
      <c r="D19182" t="inlineStr">
        <is>
          <t>Ryor</t>
        </is>
      </c>
      <c r="E19182" t="n">
        <v>8.050000000000001</v>
      </c>
      <c r="F19182" t="n">
        <v>1</v>
      </c>
      <c r="G19182" t="n">
        <v>11</v>
      </c>
      <c r="H19182" s="5">
        <f>HYPERLINK("https://api.qogita.com/variants/link/8594007977769/", "View Product")</f>
        <v/>
      </c>
    </row>
    <row r="19183">
      <c r="A19183" t="inlineStr">
        <is>
          <t>8594033411565</t>
        </is>
      </c>
      <c r="B19183" t="inlineStr">
        <is>
          <t>Surgana Crocodile Manicure Set 5 Tools</t>
        </is>
      </c>
      <c r="C19183" t="inlineStr">
        <is>
          <t>Manicure Sets</t>
        </is>
      </c>
      <c r="D19183" t="inlineStr">
        <is>
          <t>SurgiCare</t>
        </is>
      </c>
      <c r="E19183" t="n">
        <v>17.62</v>
      </c>
      <c r="F19183" t="n">
        <v>1</v>
      </c>
      <c r="G19183" t="n">
        <v>6</v>
      </c>
      <c r="H19183" s="5">
        <f>HYPERLINK("https://api.qogita.com/variants/link/8594033411565/", "View Product")</f>
        <v/>
      </c>
    </row>
    <row r="19184">
      <c r="A19184" t="inlineStr">
        <is>
          <t>8594033414313</t>
        </is>
      </c>
      <c r="B19184" t="inlineStr">
        <is>
          <t>Men's Sterling Manicure Set - 6 tools</t>
        </is>
      </c>
      <c r="C19184" t="inlineStr">
        <is>
          <t>Manicure Sets</t>
        </is>
      </c>
      <c r="D19184" t="inlineStr">
        <is>
          <t>Surgana</t>
        </is>
      </c>
      <c r="E19184" t="n">
        <v>15.26</v>
      </c>
      <c r="F19184" t="n">
        <v>1</v>
      </c>
      <c r="G19184" t="n">
        <v>4</v>
      </c>
      <c r="H19184" s="5">
        <f>HYPERLINK("https://api.qogita.com/variants/link/8594033414313/", "View Product")</f>
        <v/>
      </c>
    </row>
    <row r="19185">
      <c r="A19185" t="inlineStr">
        <is>
          <t>8594033414559</t>
        </is>
      </c>
      <c r="B19185" t="inlineStr">
        <is>
          <t>Surgana Pedicure Set 10 Tools For Professional Foot Care</t>
        </is>
      </c>
      <c r="C19185" t="inlineStr">
        <is>
          <t>Foot Care Sets</t>
        </is>
      </c>
      <c r="D19185" t="inlineStr">
        <is>
          <t>SurgiCare</t>
        </is>
      </c>
      <c r="E19185" t="n">
        <v>47.89</v>
      </c>
      <c r="F19185" t="n">
        <v>1</v>
      </c>
      <c r="G19185" t="n">
        <v>5</v>
      </c>
      <c r="H19185" s="5">
        <f>HYPERLINK("https://api.qogita.com/variants/link/8594033414559/", "View Product")</f>
        <v/>
      </c>
    </row>
    <row r="19186">
      <c r="A19186" t="inlineStr">
        <is>
          <t>8594040045470</t>
        </is>
      </c>
      <c r="B19186" t="inlineStr">
        <is>
          <t>After Tan Lotion 200ml 200ml</t>
        </is>
      </c>
      <c r="C19186" t="inlineStr">
        <is>
          <t>Aftersun</t>
        </is>
      </c>
      <c r="D19186" t="inlineStr">
        <is>
          <t>Oranjito</t>
        </is>
      </c>
      <c r="E19186" t="n">
        <v>7.69</v>
      </c>
      <c r="F19186" t="n">
        <v>1</v>
      </c>
      <c r="G19186" t="n">
        <v>5</v>
      </c>
      <c r="H19186" s="5">
        <f>HYPERLINK("https://api.qogita.com/variants/link/8594040045470/", "View Product")</f>
        <v/>
      </c>
    </row>
    <row r="19187">
      <c r="A19187" t="inlineStr">
        <is>
          <t>8594040048518</t>
        </is>
      </c>
      <c r="B19187" t="inlineStr">
        <is>
          <t>Oranjito Mexican Bronze Accelerator - 200 Ml</t>
        </is>
      </c>
      <c r="C19187" t="inlineStr">
        <is>
          <t>Body Self-Tanner</t>
        </is>
      </c>
      <c r="D19187" t="inlineStr">
        <is>
          <t>Oranjito</t>
        </is>
      </c>
      <c r="E19187" t="n">
        <v>7.69</v>
      </c>
      <c r="F19187" t="n">
        <v>1</v>
      </c>
      <c r="G19187" t="n">
        <v>5</v>
      </c>
      <c r="H19187" s="5">
        <f>HYPERLINK("https://api.qogita.com/variants/link/8594040048518/", "View Product")</f>
        <v/>
      </c>
    </row>
    <row r="19188">
      <c r="A19188" t="inlineStr">
        <is>
          <t>8594040048686</t>
        </is>
      </c>
      <c r="B19188" t="inlineStr">
        <is>
          <t>Level 3 Hemp Superaccelerator - Two-component tanning spray for solarium</t>
        </is>
      </c>
      <c r="C19188" t="inlineStr">
        <is>
          <t>Body Self-Tanner</t>
        </is>
      </c>
      <c r="D19188" t="inlineStr">
        <is>
          <t>Hemp</t>
        </is>
      </c>
      <c r="E19188" t="n">
        <v>11.67</v>
      </c>
      <c r="F19188" t="n">
        <v>1</v>
      </c>
      <c r="G19188" t="n">
        <v>2</v>
      </c>
      <c r="H19188" s="5">
        <f>HYPERLINK("https://api.qogita.com/variants/link/8594040048686/", "View Product")</f>
        <v/>
      </c>
    </row>
    <row r="19189">
      <c r="A19189" t="inlineStr">
        <is>
          <t>8594057392918</t>
        </is>
      </c>
      <c r="B19189" t="inlineStr">
        <is>
          <t>Sefiros Makesha M7 - Cosmetic Brush</t>
        </is>
      </c>
      <c r="C19189" t="inlineStr">
        <is>
          <t>Brush Sets</t>
        </is>
      </c>
      <c r="D19189" t="inlineStr">
        <is>
          <t>Sefiros</t>
        </is>
      </c>
      <c r="E19189" t="n">
        <v>3.16</v>
      </c>
      <c r="F19189" t="n">
        <v>1</v>
      </c>
      <c r="G19189" t="n">
        <v>65</v>
      </c>
      <c r="H19189" s="5">
        <f>HYPERLINK("https://api.qogita.com/variants/link/8594057392918/", "View Product")</f>
        <v/>
      </c>
    </row>
    <row r="19190">
      <c r="A19190" t="inlineStr">
        <is>
          <t>8594057392932</t>
        </is>
      </c>
      <c r="B19190" t="inlineStr">
        <is>
          <t>Sefiros Makesha M9 - Cosmetic Brush</t>
        </is>
      </c>
      <c r="C19190" t="inlineStr">
        <is>
          <t>Brush Sets</t>
        </is>
      </c>
      <c r="D19190" t="inlineStr">
        <is>
          <t>Sefiros</t>
        </is>
      </c>
      <c r="E19190" t="n">
        <v>3.16</v>
      </c>
      <c r="F19190" t="n">
        <v>1</v>
      </c>
      <c r="G19190" t="n">
        <v>40</v>
      </c>
      <c r="H19190" s="5">
        <f>HYPERLINK("https://api.qogita.com/variants/link/8594057392932/", "View Product")</f>
        <v/>
      </c>
    </row>
    <row r="19191">
      <c r="A19191" t="inlineStr">
        <is>
          <t>8594057393977</t>
        </is>
      </c>
      <c r="B19191" t="inlineStr">
        <is>
          <t>Sefiros Caviar Hair Elixir Hairrenew 100 Ml</t>
        </is>
      </c>
      <c r="C19191" t="inlineStr">
        <is>
          <t>Hair Oil &amp; Hair Serum</t>
        </is>
      </c>
      <c r="D19191" t="inlineStr">
        <is>
          <t>Sefiros</t>
        </is>
      </c>
      <c r="E19191" t="n">
        <v>8.42</v>
      </c>
      <c r="F19191" t="n">
        <v>1</v>
      </c>
      <c r="G19191" t="n">
        <v>772</v>
      </c>
      <c r="H19191" s="5">
        <f>HYPERLINK("https://api.qogita.com/variants/link/8594057393977/", "View Product")</f>
        <v/>
      </c>
    </row>
    <row r="19192">
      <c r="A19192" t="inlineStr">
        <is>
          <t>8594069331110</t>
        </is>
      </c>
      <c r="B19192" t="inlineStr">
        <is>
          <t>4P1 White Pearl Smile Teeth Care Kit</t>
        </is>
      </c>
      <c r="C19192" t="inlineStr">
        <is>
          <t>Teeth Whiteners</t>
        </is>
      </c>
      <c r="D19192" t="inlineStr">
        <is>
          <t>Vitalcare</t>
        </is>
      </c>
      <c r="E19192" t="n">
        <v>5.91</v>
      </c>
      <c r="F19192" t="n">
        <v>1</v>
      </c>
      <c r="G19192" t="n">
        <v>4</v>
      </c>
      <c r="H19192" s="5">
        <f>HYPERLINK("https://api.qogita.com/variants/link/8594069331110/", "View Product")</f>
        <v/>
      </c>
    </row>
    <row r="19193">
      <c r="A19193" t="inlineStr">
        <is>
          <t>8594069332049</t>
        </is>
      </c>
      <c r="B19193" t="inlineStr">
        <is>
          <t>VitalCare Hello Kitty Children's Toothbrush with Travel Case</t>
        </is>
      </c>
      <c r="C19193" t="inlineStr">
        <is>
          <t>Dental Care For Children</t>
        </is>
      </c>
      <c r="D19193" t="inlineStr">
        <is>
          <t>Vitalcare</t>
        </is>
      </c>
      <c r="E19193" t="n">
        <v>3.68</v>
      </c>
      <c r="F19193" t="n">
        <v>1</v>
      </c>
      <c r="G19193" t="n">
        <v>10</v>
      </c>
      <c r="H19193" s="5">
        <f>HYPERLINK("https://api.qogita.com/variants/link/8594069332049/", "View Product")</f>
        <v/>
      </c>
    </row>
    <row r="19194">
      <c r="A19194" t="inlineStr">
        <is>
          <t>8594162056798</t>
        </is>
      </c>
      <c r="B19194" t="inlineStr">
        <is>
          <t>Vivaco Vivapharm Goat's Milk Nutritious Face Cream 50ml</t>
        </is>
      </c>
      <c r="C19194" t="inlineStr">
        <is>
          <t>Face Cream</t>
        </is>
      </c>
      <c r="D19194" t="inlineStr">
        <is>
          <t>Vivaco</t>
        </is>
      </c>
      <c r="E19194" t="n">
        <v>5.01</v>
      </c>
      <c r="F19194" t="n">
        <v>1</v>
      </c>
      <c r="G19194" t="n">
        <v>2</v>
      </c>
      <c r="H19194" s="5">
        <f>HYPERLINK("https://api.qogita.com/variants/link/8594162056798/", "View Product")</f>
        <v/>
      </c>
    </row>
    <row r="19195">
      <c r="A19195" t="inlineStr">
        <is>
          <t>8594162801329</t>
        </is>
      </c>
      <c r="B19195" t="inlineStr">
        <is>
          <t>Palmperfect Women's Shaver Blue</t>
        </is>
      </c>
      <c r="C19195" t="inlineStr">
        <is>
          <t>Razors &amp; Hair Removal Tools</t>
        </is>
      </c>
      <c r="D19195" t="inlineStr">
        <is>
          <t>Palmperfect</t>
        </is>
      </c>
      <c r="E19195" t="n">
        <v>14.98</v>
      </c>
      <c r="F19195" t="n">
        <v>1</v>
      </c>
      <c r="G19195" t="n">
        <v>2</v>
      </c>
      <c r="H19195" s="5">
        <f>HYPERLINK("https://api.qogita.com/variants/link/8594162801329/", "View Product")</f>
        <v/>
      </c>
    </row>
    <row r="19196">
      <c r="A19196" t="inlineStr">
        <is>
          <t>8594166116764</t>
        </is>
      </c>
      <c r="B19196" t="inlineStr">
        <is>
          <t>BeautyRelax Multicare Multifunctional Cosmetic Device</t>
        </is>
      </c>
      <c r="C19196" t="inlineStr">
        <is>
          <t>Facial Cleansing Tools</t>
        </is>
      </c>
      <c r="D19196" t="inlineStr">
        <is>
          <t>Beautyrelax</t>
        </is>
      </c>
      <c r="E19196" t="n">
        <v>140.43</v>
      </c>
      <c r="F19196" t="n">
        <v>1</v>
      </c>
      <c r="G19196" t="n">
        <v>3</v>
      </c>
      <c r="H19196" s="5">
        <f>HYPERLINK("https://api.qogita.com/variants/link/8594166116764/", "View Product")</f>
        <v/>
      </c>
    </row>
    <row r="19197">
      <c r="A19197" t="inlineStr">
        <is>
          <t>8594166116771</t>
        </is>
      </c>
      <c r="B19197" t="inlineStr">
        <is>
          <t>Beautyrelax Multicare Br1380 Cosmetic Device</t>
        </is>
      </c>
      <c r="C19197" t="inlineStr">
        <is>
          <t>Facial Massage</t>
        </is>
      </c>
      <c r="D19197" t="inlineStr">
        <is>
          <t>Beautyrelax</t>
        </is>
      </c>
      <c r="E19197" t="n">
        <v>140.43</v>
      </c>
      <c r="F19197" t="n">
        <v>1</v>
      </c>
      <c r="G19197" t="n">
        <v>2</v>
      </c>
      <c r="H19197" s="5">
        <f>HYPERLINK("https://api.qogita.com/variants/link/8594166116771/", "View Product")</f>
        <v/>
      </c>
    </row>
    <row r="19198">
      <c r="A19198" t="inlineStr">
        <is>
          <t>8594166116900</t>
        </is>
      </c>
      <c r="B19198" t="inlineStr">
        <is>
          <t>Beautyrelax Br1480 Peellift Smart Ultrasound Spatula</t>
        </is>
      </c>
      <c r="C19198" t="inlineStr">
        <is>
          <t>Facial Cleansing Tools</t>
        </is>
      </c>
      <c r="D19198" t="inlineStr">
        <is>
          <t>Beautyrelax</t>
        </is>
      </c>
      <c r="E19198" t="n">
        <v>56.69</v>
      </c>
      <c r="F19198" t="n">
        <v>1</v>
      </c>
      <c r="G19198" t="n">
        <v>5</v>
      </c>
      <c r="H19198" s="5">
        <f>HYPERLINK("https://api.qogita.com/variants/link/8594166116900/", "View Product")</f>
        <v/>
      </c>
    </row>
    <row r="19199">
      <c r="A19199" t="inlineStr">
        <is>
          <t>8594166116948</t>
        </is>
      </c>
      <c r="B19199" t="inlineStr">
        <is>
          <t>IPL Smart Epilator BR-1520</t>
        </is>
      </c>
      <c r="C19199" t="inlineStr">
        <is>
          <t>Razors &amp; Hair Removal Tools</t>
        </is>
      </c>
      <c r="D19199" t="inlineStr">
        <is>
          <t>Beautyrelax</t>
        </is>
      </c>
      <c r="E19199" t="n">
        <v>94.75</v>
      </c>
      <c r="F19199" t="n">
        <v>1</v>
      </c>
      <c r="G19199" t="n">
        <v>2</v>
      </c>
      <c r="H19199" s="5">
        <f>HYPERLINK("https://api.qogita.com/variants/link/8594166116948/", "View Product")</f>
        <v/>
      </c>
    </row>
    <row r="19200">
      <c r="A19200" t="inlineStr">
        <is>
          <t>8594166118669</t>
        </is>
      </c>
      <c r="B19200" t="inlineStr">
        <is>
          <t>Beautyrelax Premium Massage Device</t>
        </is>
      </c>
      <c r="C19200" t="inlineStr">
        <is>
          <t>Massage</t>
        </is>
      </c>
      <c r="D19200" t="inlineStr">
        <is>
          <t>Beautyrelax</t>
        </is>
      </c>
      <c r="E19200" t="n">
        <v>56.69</v>
      </c>
      <c r="F19200" t="n">
        <v>1</v>
      </c>
      <c r="G19200" t="n">
        <v>8</v>
      </c>
      <c r="H19200" s="5">
        <f>HYPERLINK("https://api.qogita.com/variants/link/8594166118669/", "View Product")</f>
        <v/>
      </c>
    </row>
    <row r="19201">
      <c r="A19201" t="inlineStr">
        <is>
          <t>8594166118683</t>
        </is>
      </c>
      <c r="B19201" t="inlineStr">
        <is>
          <t>Celluform Smart Body Shaping Massage Device</t>
        </is>
      </c>
      <c r="C19201" t="inlineStr">
        <is>
          <t>Anti-Cellulite</t>
        </is>
      </c>
      <c r="D19201" t="inlineStr">
        <is>
          <t>Beautyrelax</t>
        </is>
      </c>
      <c r="E19201" t="n">
        <v>113.79</v>
      </c>
      <c r="F19201" t="n">
        <v>1</v>
      </c>
      <c r="G19201" t="n">
        <v>3</v>
      </c>
      <c r="H19201" s="5">
        <f>HYPERLINK("https://api.qogita.com/variants/link/8594166118683/", "View Product")</f>
        <v/>
      </c>
    </row>
    <row r="19202">
      <c r="A19202" t="inlineStr">
        <is>
          <t>8594166118744</t>
        </is>
      </c>
      <c r="B19202" t="inlineStr">
        <is>
          <t>Vibraskin Prestige Cosmetic Device</t>
        </is>
      </c>
      <c r="C19202" t="inlineStr">
        <is>
          <t>Facial Massage</t>
        </is>
      </c>
      <c r="D19202" t="inlineStr">
        <is>
          <t>Beautyrelax</t>
        </is>
      </c>
      <c r="E19202" t="n">
        <v>37.65</v>
      </c>
      <c r="F19202" t="n">
        <v>1</v>
      </c>
      <c r="G19202" t="n">
        <v>2</v>
      </c>
      <c r="H19202" s="5">
        <f>HYPERLINK("https://api.qogita.com/variants/link/8594166118744/", "View Product")</f>
        <v/>
      </c>
    </row>
    <row r="19203">
      <c r="A19203" t="inlineStr">
        <is>
          <t>8594166118805</t>
        </is>
      </c>
      <c r="B19203" t="inlineStr">
        <is>
          <t>Creambooster Galvanic Iron</t>
        </is>
      </c>
      <c r="C19203" t="inlineStr">
        <is>
          <t>Facial Massage</t>
        </is>
      </c>
      <c r="D19203" t="inlineStr">
        <is>
          <t>Beautyrelax</t>
        </is>
      </c>
      <c r="E19203" t="n">
        <v>37.65</v>
      </c>
      <c r="F19203" t="n">
        <v>1</v>
      </c>
      <c r="G19203" t="n">
        <v>3</v>
      </c>
      <c r="H19203" s="5">
        <f>HYPERLINK("https://api.qogita.com/variants/link/8594166118805/", "View Product")</f>
        <v/>
      </c>
    </row>
    <row r="19204">
      <c r="A19204" t="inlineStr">
        <is>
          <t>8594166119499</t>
        </is>
      </c>
      <c r="B19204" t="inlineStr">
        <is>
          <t>Emslift Smart Cosmetic Device for Skin Elasticity</t>
        </is>
      </c>
      <c r="C19204" t="inlineStr">
        <is>
          <t>Facial Massage</t>
        </is>
      </c>
      <c r="D19204" t="inlineStr">
        <is>
          <t>Beautyrelax</t>
        </is>
      </c>
      <c r="E19204" t="n">
        <v>49.08</v>
      </c>
      <c r="F19204" t="n">
        <v>1</v>
      </c>
      <c r="G19204" t="n">
        <v>2</v>
      </c>
      <c r="H19204" s="5">
        <f>HYPERLINK("https://api.qogita.com/variants/link/8594166119499/", "View Product")</f>
        <v/>
      </c>
    </row>
    <row r="19205">
      <c r="A19205" t="inlineStr">
        <is>
          <t>8594176573564</t>
        </is>
      </c>
      <c r="B19205" t="inlineStr">
        <is>
          <t>Mesaverde Disposable Face Mask 10 Pieces</t>
        </is>
      </c>
      <c r="C19205" t="inlineStr">
        <is>
          <t>Sheet Mask</t>
        </is>
      </c>
      <c r="D19205" t="inlineStr">
        <is>
          <t>Mesaverde</t>
        </is>
      </c>
      <c r="E19205" t="n">
        <v>2.26</v>
      </c>
      <c r="F19205" t="n">
        <v>1</v>
      </c>
      <c r="G19205" t="n">
        <v>28</v>
      </c>
      <c r="H19205" s="5">
        <f>HYPERLINK("https://api.qogita.com/variants/link/8594176573564/", "View Product")</f>
        <v/>
      </c>
    </row>
    <row r="19206">
      <c r="A19206" t="inlineStr">
        <is>
          <t>8594187810238</t>
        </is>
      </c>
      <c r="B19206" t="inlineStr">
        <is>
          <t>Original Series Jojoba Oil 100ml</t>
        </is>
      </c>
      <c r="C19206" t="inlineStr">
        <is>
          <t>Body Oil</t>
        </is>
      </c>
      <c r="D19206" t="inlineStr">
        <is>
          <t>Renovality</t>
        </is>
      </c>
      <c r="E19206" t="n">
        <v>9.369999999999999</v>
      </c>
      <c r="F19206" t="n">
        <v>1</v>
      </c>
      <c r="G19206" t="n">
        <v>2</v>
      </c>
      <c r="H19206" s="5">
        <f>HYPERLINK("https://api.qogita.com/variants/link/8594187810238/", "View Product")</f>
        <v/>
      </c>
    </row>
    <row r="19207">
      <c r="A19207" t="inlineStr">
        <is>
          <t>8594187810832</t>
        </is>
      </c>
      <c r="B19207" t="inlineStr">
        <is>
          <t>Makeup Remover Serum 200ml with Spray Renovality Made in Czech Republic</t>
        </is>
      </c>
      <c r="C19207" t="inlineStr">
        <is>
          <t>Makeup Remover</t>
        </is>
      </c>
      <c r="D19207" t="inlineStr">
        <is>
          <t>Renovality</t>
        </is>
      </c>
      <c r="E19207" t="n">
        <v>12.44</v>
      </c>
      <c r="F19207" t="n">
        <v>1</v>
      </c>
      <c r="G19207" t="n">
        <v>5</v>
      </c>
      <c r="H19207" s="5">
        <f>HYPERLINK("https://api.qogita.com/variants/link/8594187810832/", "View Product")</f>
        <v/>
      </c>
    </row>
    <row r="19208">
      <c r="A19208" t="inlineStr">
        <is>
          <t>8594187810900</t>
        </is>
      </c>
      <c r="B19208" t="inlineStr">
        <is>
          <t>Rosenwasser 100ml Renovalität - Made in the Czech Republic</t>
        </is>
      </c>
      <c r="C19208" t="inlineStr">
        <is>
          <t>Facial Spray</t>
        </is>
      </c>
      <c r="D19208" t="inlineStr">
        <is>
          <t>Renovality</t>
        </is>
      </c>
      <c r="E19208" t="n">
        <v>6.14</v>
      </c>
      <c r="F19208" t="n">
        <v>1</v>
      </c>
      <c r="G19208" t="n">
        <v>5</v>
      </c>
      <c r="H19208" s="5">
        <f>HYPERLINK("https://api.qogita.com/variants/link/8594187810900/", "View Product")</f>
        <v/>
      </c>
    </row>
    <row r="19209">
      <c r="A19209" t="inlineStr">
        <is>
          <t>8594187813543</t>
        </is>
      </c>
      <c r="B19209" t="inlineStr">
        <is>
          <t>Renovality Original Series Tremella Vitaq10 Facial Serum Against Aging</t>
        </is>
      </c>
      <c r="C19209" t="inlineStr">
        <is>
          <t>Anti-Aging Serum</t>
        </is>
      </c>
      <c r="D19209" t="inlineStr">
        <is>
          <t>Renovality</t>
        </is>
      </c>
      <c r="E19209" t="n">
        <v>14.25</v>
      </c>
      <c r="F19209" t="n">
        <v>1</v>
      </c>
      <c r="G19209" t="n">
        <v>4</v>
      </c>
      <c r="H19209" s="5">
        <f>HYPERLINK("https://api.qogita.com/variants/link/8594187813543/", "View Product")</f>
        <v/>
      </c>
    </row>
    <row r="19210">
      <c r="A19210" t="inlineStr">
        <is>
          <t>8594187813550</t>
        </is>
      </c>
      <c r="B19210" t="inlineStr">
        <is>
          <t>Renovality Original Series Tremella Vitab3 Facial Serum For Reducing Hyperpigmentation</t>
        </is>
      </c>
      <c r="C19210" t="inlineStr">
        <is>
          <t>Vitamin Serum</t>
        </is>
      </c>
      <c r="D19210" t="inlineStr">
        <is>
          <t>Renovality</t>
        </is>
      </c>
      <c r="E19210" t="n">
        <v>11.35</v>
      </c>
      <c r="F19210" t="n">
        <v>1</v>
      </c>
      <c r="G19210" t="n">
        <v>10</v>
      </c>
      <c r="H19210" s="5">
        <f>HYPERLINK("https://api.qogita.com/variants/link/8594187813550/", "View Product")</f>
        <v/>
      </c>
    </row>
    <row r="19211">
      <c r="A19211" t="inlineStr">
        <is>
          <t>8594191206010</t>
        </is>
      </c>
      <c r="B19211" t="inlineStr">
        <is>
          <t>Steve's No Bullshit Beard Boosting Set</t>
        </is>
      </c>
      <c r="C19211" t="inlineStr">
        <is>
          <t>Beard Care Sets</t>
        </is>
      </c>
      <c r="D19211" t="inlineStr">
        <is>
          <t>Steve's No Bullshit</t>
        </is>
      </c>
      <c r="E19211" t="n">
        <v>25.37</v>
      </c>
      <c r="F19211" t="n">
        <v>1</v>
      </c>
      <c r="G19211" t="n">
        <v>2</v>
      </c>
      <c r="H19211" s="5">
        <f>HYPERLINK("https://api.qogita.com/variants/link/8594191206010/", "View Product")</f>
        <v/>
      </c>
    </row>
    <row r="19212">
      <c r="A19212" t="inlineStr">
        <is>
          <t>8594191206256</t>
        </is>
      </c>
      <c r="B19212" t="inlineStr">
        <is>
          <t>Beard Oil Short 30ml</t>
        </is>
      </c>
      <c r="C19212" t="inlineStr">
        <is>
          <t>Beard Care Accessories</t>
        </is>
      </c>
      <c r="D19212" t="inlineStr">
        <is>
          <t>Steve's</t>
        </is>
      </c>
      <c r="E19212" t="n">
        <v>12.35</v>
      </c>
      <c r="F19212" t="n">
        <v>1</v>
      </c>
      <c r="G19212" t="n">
        <v>3</v>
      </c>
      <c r="H19212" s="5">
        <f>HYPERLINK("https://api.qogita.com/variants/link/8594191206256/", "View Product")</f>
        <v/>
      </c>
    </row>
    <row r="19213">
      <c r="A19213" t="inlineStr">
        <is>
          <t>8594191206355</t>
        </is>
      </c>
      <c r="B19213" t="inlineStr">
        <is>
          <t>Steve's No Bullt Steve's Face Wash 100 Ml</t>
        </is>
      </c>
      <c r="C19213" t="inlineStr">
        <is>
          <t>Facial Soap</t>
        </is>
      </c>
      <c r="D19213" t="inlineStr">
        <is>
          <t>Steve's No Bull</t>
        </is>
      </c>
      <c r="E19213" t="n">
        <v>8.460000000000001</v>
      </c>
      <c r="F19213" t="n">
        <v>1</v>
      </c>
      <c r="G19213" t="n">
        <v>2</v>
      </c>
      <c r="H19213" s="5">
        <f>HYPERLINK("https://api.qogita.com/variants/link/8594191206355/", "View Product")</f>
        <v/>
      </c>
    </row>
    <row r="19214">
      <c r="A19214" t="inlineStr">
        <is>
          <t>8594199040074</t>
        </is>
      </c>
      <c r="B19214" t="inlineStr">
        <is>
          <t>Tomas Arsov Sage Seaweed Salt Shower Gel</t>
        </is>
      </c>
      <c r="C19214" t="inlineStr">
        <is>
          <t>Shower Gel</t>
        </is>
      </c>
      <c r="D19214" t="inlineStr">
        <is>
          <t>Tomas Arsov</t>
        </is>
      </c>
      <c r="E19214" t="n">
        <v>6.75</v>
      </c>
      <c r="F19214" t="n">
        <v>1</v>
      </c>
      <c r="G19214" t="n">
        <v>5</v>
      </c>
      <c r="H19214" s="5">
        <f>HYPERLINK("https://api.qogita.com/variants/link/8594199040074/", "View Product")</f>
        <v/>
      </c>
    </row>
    <row r="19215">
      <c r="A19215" t="inlineStr">
        <is>
          <t>8594199040128</t>
        </is>
      </c>
      <c r="B19215" t="inlineStr">
        <is>
          <t>Body Balm (Body Balm) 200 ml</t>
        </is>
      </c>
      <c r="C19215" t="inlineStr">
        <is>
          <t>Body Butter</t>
        </is>
      </c>
      <c r="D19215" t="inlineStr">
        <is>
          <t>Procter Gamble</t>
        </is>
      </c>
      <c r="E19215" t="n">
        <v>8.19</v>
      </c>
      <c r="F19215" t="n">
        <v>1</v>
      </c>
      <c r="G19215" t="n">
        <v>5</v>
      </c>
      <c r="H19215" s="5">
        <f>HYPERLINK("https://api.qogita.com/variants/link/8594199040128/", "View Product")</f>
        <v/>
      </c>
    </row>
    <row r="19216">
      <c r="A19216" t="inlineStr">
        <is>
          <t>8594199040227</t>
        </is>
      </c>
      <c r="B19216" t="inlineStr">
        <is>
          <t>Saffron Jasmine Amber Shower Gel 200 ml</t>
        </is>
      </c>
      <c r="C19216" t="inlineStr">
        <is>
          <t>Shower Gel</t>
        </is>
      </c>
      <c r="D19216" t="inlineStr">
        <is>
          <t>Tomas Arsov</t>
        </is>
      </c>
      <c r="E19216" t="n">
        <v>6.75</v>
      </c>
      <c r="F19216" t="n">
        <v>1</v>
      </c>
      <c r="G19216" t="n">
        <v>3</v>
      </c>
      <c r="H19216" s="5">
        <f>HYPERLINK("https://api.qogita.com/variants/link/8594199040227/", "View Product")</f>
        <v/>
      </c>
    </row>
    <row r="19217">
      <c r="A19217" t="inlineStr">
        <is>
          <t>8594199040364</t>
        </is>
      </c>
      <c r="B19217" t="inlineStr">
        <is>
          <t>Architekt Restorative Hair Mask 250 ml</t>
        </is>
      </c>
      <c r="C19217" t="inlineStr">
        <is>
          <t>Hair Masks</t>
        </is>
      </c>
      <c r="D19217" t="inlineStr">
        <is>
          <t>Tomas Arsov</t>
        </is>
      </c>
      <c r="E19217" t="n">
        <v>26.21</v>
      </c>
      <c r="F19217" t="n">
        <v>1</v>
      </c>
      <c r="G19217" t="n">
        <v>2</v>
      </c>
      <c r="H19217" s="5">
        <f>HYPERLINK("https://api.qogita.com/variants/link/8594199040364/", "View Product")</f>
        <v/>
      </c>
    </row>
    <row r="19218">
      <c r="A19218" t="inlineStr">
        <is>
          <t>8594199040791</t>
        </is>
      </c>
      <c r="B19218" t="inlineStr">
        <is>
          <t>Tomas Arsov Sandalwood Violet Leather Shower Gel</t>
        </is>
      </c>
      <c r="C19218" t="inlineStr">
        <is>
          <t>Shower Gel</t>
        </is>
      </c>
      <c r="D19218" t="inlineStr">
        <is>
          <t>Tomas Arsov</t>
        </is>
      </c>
      <c r="E19218" t="n">
        <v>6.75</v>
      </c>
      <c r="F19218" t="n">
        <v>1</v>
      </c>
      <c r="G19218" t="n">
        <v>2</v>
      </c>
      <c r="H19218" s="5">
        <f>HYPERLINK("https://api.qogita.com/variants/link/8594199040791/", "View Product")</f>
        <v/>
      </c>
    </row>
    <row r="19219">
      <c r="A19219" t="inlineStr">
        <is>
          <t>8594209100286</t>
        </is>
      </c>
      <c r="B19219" t="inlineStr">
        <is>
          <t>Palsar 7 Single Microneedle Roller Golden Handle</t>
        </is>
      </c>
      <c r="C19219" t="inlineStr">
        <is>
          <t>Micro Needle Rollers</t>
        </is>
      </c>
      <c r="D19219" t="inlineStr">
        <is>
          <t>Palsar 7</t>
        </is>
      </c>
      <c r="E19219" t="n">
        <v>18.67</v>
      </c>
      <c r="F19219" t="n">
        <v>1</v>
      </c>
      <c r="G19219" t="n">
        <v>32</v>
      </c>
      <c r="H19219" s="5">
        <f>HYPERLINK("https://api.qogita.com/variants/link/8594209100286/", "View Product")</f>
        <v/>
      </c>
    </row>
    <row r="19220">
      <c r="A19220" t="inlineStr">
        <is>
          <t>8594209100347</t>
        </is>
      </c>
      <c r="B19220" t="inlineStr">
        <is>
          <t>Flat Silicone Skin Cleansing Brush (black)</t>
        </is>
      </c>
      <c r="C19220" t="inlineStr">
        <is>
          <t>Facial Cleansing Brushes</t>
        </is>
      </c>
      <c r="D19220" t="inlineStr">
        <is>
          <t>Palsar 7</t>
        </is>
      </c>
      <c r="E19220" t="n">
        <v>24.11</v>
      </c>
      <c r="F19220" t="n">
        <v>1</v>
      </c>
      <c r="G19220" t="n">
        <v>3</v>
      </c>
      <c r="H19220" s="5">
        <f>HYPERLINK("https://api.qogita.com/variants/link/8594209100347/", "View Product")</f>
        <v/>
      </c>
    </row>
    <row r="19221">
      <c r="A19221" t="inlineStr">
        <is>
          <t>8595003102926</t>
        </is>
      </c>
      <c r="B19221" t="inlineStr">
        <is>
          <t>Dermacol Natural Almond Hand Cream</t>
        </is>
      </c>
      <c r="C19221" t="inlineStr">
        <is>
          <t>Hand Cream</t>
        </is>
      </c>
      <c r="D19221" t="inlineStr">
        <is>
          <t>Dermacol</t>
        </is>
      </c>
      <c r="E19221" t="n">
        <v>3.39</v>
      </c>
      <c r="F19221" t="n">
        <v>1</v>
      </c>
      <c r="G19221" t="n">
        <v>9</v>
      </c>
      <c r="H19221" s="5">
        <f>HYPERLINK("https://api.qogita.com/variants/link/8595003102926/", "View Product")</f>
        <v/>
      </c>
    </row>
    <row r="19222">
      <c r="A19222" t="inlineStr">
        <is>
          <t>8595003104197</t>
        </is>
      </c>
      <c r="B19222" t="inlineStr">
        <is>
          <t>Aroma Ritual Stress Relief Hand Cream Grape &amp; Lime 100ml</t>
        </is>
      </c>
      <c r="C19222" t="inlineStr">
        <is>
          <t>Hand Cream</t>
        </is>
      </c>
      <c r="D19222" t="inlineStr">
        <is>
          <t>Aroma Ritual</t>
        </is>
      </c>
      <c r="E19222" t="n">
        <v>2.51</v>
      </c>
      <c r="F19222" t="n">
        <v>1</v>
      </c>
      <c r="G19222" t="n">
        <v>9</v>
      </c>
      <c r="H19222" s="5">
        <f>HYPERLINK("https://api.qogita.com/variants/link/8595003104197/", "View Product")</f>
        <v/>
      </c>
    </row>
    <row r="19223">
      <c r="A19223" t="inlineStr">
        <is>
          <t>8595003104210</t>
        </is>
      </c>
      <c r="B19223" t="inlineStr">
        <is>
          <t>Dermacol Soft Heel Balm</t>
        </is>
      </c>
      <c r="C19223" t="inlineStr">
        <is>
          <t>Foot Cream</t>
        </is>
      </c>
      <c r="D19223" t="inlineStr">
        <is>
          <t>Dermacol</t>
        </is>
      </c>
      <c r="E19223" t="n">
        <v>3.2</v>
      </c>
      <c r="F19223" t="n">
        <v>1</v>
      </c>
      <c r="G19223" t="n">
        <v>14</v>
      </c>
      <c r="H19223" s="5">
        <f>HYPERLINK("https://api.qogita.com/variants/link/8595003104210/", "View Product")</f>
        <v/>
      </c>
    </row>
    <row r="19224">
      <c r="A19224" t="inlineStr">
        <is>
          <t>8595003108379</t>
        </is>
      </c>
      <c r="B19224" t="inlineStr">
        <is>
          <t>Dermacol Hyaluron Therapy 3D Day Cream 50ml</t>
        </is>
      </c>
      <c r="C19224" t="inlineStr">
        <is>
          <t>Day Cream</t>
        </is>
      </c>
      <c r="D19224" t="inlineStr">
        <is>
          <t>Dermacol</t>
        </is>
      </c>
      <c r="E19224" t="n">
        <v>8.99</v>
      </c>
      <c r="F19224" t="n">
        <v>1</v>
      </c>
      <c r="G19224" t="n">
        <v>11</v>
      </c>
      <c r="H19224" s="5">
        <f>HYPERLINK("https://api.qogita.com/variants/link/8595003108379/", "View Product")</f>
        <v/>
      </c>
    </row>
    <row r="19225">
      <c r="A19225" t="inlineStr">
        <is>
          <t>8595003109802</t>
        </is>
      </c>
      <c r="B19225" t="inlineStr">
        <is>
          <t>Dermacol Acneclear Jojoba Facial Peeling 150 Ml Exfoliating Face Peeling</t>
        </is>
      </c>
      <c r="C19225" t="inlineStr">
        <is>
          <t>Facial Scrub &amp; Peeling</t>
        </is>
      </c>
      <c r="D19225" t="inlineStr">
        <is>
          <t>Dermacol</t>
        </is>
      </c>
      <c r="E19225" t="n">
        <v>4.5</v>
      </c>
      <c r="F19225" t="n">
        <v>1</v>
      </c>
      <c r="G19225" t="n">
        <v>5</v>
      </c>
      <c r="H19225" s="5">
        <f>HYPERLINK("https://api.qogita.com/variants/link/8595003109802/", "View Product")</f>
        <v/>
      </c>
    </row>
    <row r="19226">
      <c r="A19226" t="inlineStr">
        <is>
          <t>8595003110006</t>
        </is>
      </c>
      <c r="B19226" t="inlineStr">
        <is>
          <t>Dermacol Sleeping Beauty Mask</t>
        </is>
      </c>
      <c r="C19226" t="inlineStr">
        <is>
          <t>Hydrating Mask</t>
        </is>
      </c>
      <c r="D19226" t="inlineStr">
        <is>
          <t>Dermacol</t>
        </is>
      </c>
      <c r="E19226" t="n">
        <v>4.34</v>
      </c>
      <c r="F19226" t="n">
        <v>1</v>
      </c>
      <c r="G19226" t="n">
        <v>5</v>
      </c>
      <c r="H19226" s="5">
        <f>HYPERLINK("https://api.qogita.com/variants/link/8595003110006/", "View Product")</f>
        <v/>
      </c>
    </row>
    <row r="19227">
      <c r="A19227" t="inlineStr">
        <is>
          <t>8595003110310</t>
        </is>
      </c>
      <c r="B19227" t="inlineStr">
        <is>
          <t>Dermacol Collagen Intensive Rejuvenating Day Cream</t>
        </is>
      </c>
      <c r="C19227" t="inlineStr">
        <is>
          <t>Day Cream</t>
        </is>
      </c>
      <c r="D19227" t="inlineStr">
        <is>
          <t>Dermacol</t>
        </is>
      </c>
      <c r="E19227" t="n">
        <v>7.41</v>
      </c>
      <c r="F19227" t="n">
        <v>1</v>
      </c>
      <c r="G19227" t="n">
        <v>14</v>
      </c>
      <c r="H19227" s="5">
        <f>HYPERLINK("https://api.qogita.com/variants/link/8595003110310/", "View Product")</f>
        <v/>
      </c>
    </row>
    <row r="19228">
      <c r="A19228" t="inlineStr">
        <is>
          <t>8595003113786</t>
        </is>
      </c>
      <c r="B19228" t="inlineStr">
        <is>
          <t>Dermacol Slim My Body Slimming &amp; Reshaping Body Gel 150ml</t>
        </is>
      </c>
      <c r="C19228" t="inlineStr">
        <is>
          <t>Anti-Cellulite</t>
        </is>
      </c>
      <c r="D19228" t="inlineStr">
        <is>
          <t>Dermacol</t>
        </is>
      </c>
      <c r="E19228" t="n">
        <v>7.8</v>
      </c>
      <c r="F19228" t="n">
        <v>1</v>
      </c>
      <c r="G19228" t="n">
        <v>14</v>
      </c>
      <c r="H19228" s="5">
        <f>HYPERLINK("https://api.qogita.com/variants/link/8595003113786/", "View Product")</f>
        <v/>
      </c>
    </row>
    <row r="19229">
      <c r="A19229" t="inlineStr">
        <is>
          <t>8595003114691</t>
        </is>
      </c>
      <c r="B19229" t="inlineStr">
        <is>
          <t>Dermacol Matt Control Blotting Papers 100 Sheets</t>
        </is>
      </c>
      <c r="C19229" t="inlineStr">
        <is>
          <t>Blotting Papers</t>
        </is>
      </c>
      <c r="D19229" t="inlineStr">
        <is>
          <t>Dermacol</t>
        </is>
      </c>
      <c r="E19229" t="n">
        <v>4.85</v>
      </c>
      <c r="F19229" t="n">
        <v>1</v>
      </c>
      <c r="G19229" t="n">
        <v>10</v>
      </c>
      <c r="H19229" s="5">
        <f>HYPERLINK("https://api.qogita.com/variants/link/8595003114691/", "View Product")</f>
        <v/>
      </c>
    </row>
    <row r="19230">
      <c r="A19230" t="inlineStr">
        <is>
          <t>8595003114714</t>
        </is>
      </c>
      <c r="B19230" t="inlineStr">
        <is>
          <t>Dermacol Black Magic Deep Detoxifying Mask 15 Ml</t>
        </is>
      </c>
      <c r="C19230" t="inlineStr">
        <is>
          <t>Charcoal Mask</t>
        </is>
      </c>
      <c r="D19230" t="inlineStr">
        <is>
          <t>Dermacol</t>
        </is>
      </c>
      <c r="E19230" t="n">
        <v>2.42</v>
      </c>
      <c r="F19230" t="n">
        <v>1</v>
      </c>
      <c r="G19230" t="n">
        <v>7</v>
      </c>
      <c r="H19230" s="5">
        <f>HYPERLINK("https://api.qogita.com/variants/link/8595003114714/", "View Product")</f>
        <v/>
      </c>
    </row>
    <row r="19231">
      <c r="A19231" t="inlineStr">
        <is>
          <t>8595003117159</t>
        </is>
      </c>
      <c r="B19231" t="inlineStr">
        <is>
          <t>Dermacol Blackcurrant And Praline Eau De Parfum 50 Ml Fragrance Of Black Currant And Sweet Pralines</t>
        </is>
      </c>
      <c r="C19231" t="inlineStr">
        <is>
          <t>Eau De Parfum</t>
        </is>
      </c>
      <c r="D19231" t="inlineStr">
        <is>
          <t>Dermacol</t>
        </is>
      </c>
      <c r="E19231" t="n">
        <v>14.7</v>
      </c>
      <c r="F19231" t="n">
        <v>1</v>
      </c>
      <c r="G19231" t="n">
        <v>9</v>
      </c>
      <c r="H19231" s="5">
        <f>HYPERLINK("https://api.qogita.com/variants/link/8595003117159/", "View Product")</f>
        <v/>
      </c>
    </row>
    <row r="19232">
      <c r="A19232" t="inlineStr">
        <is>
          <t>8595003117494</t>
        </is>
      </c>
      <c r="B19232" t="inlineStr">
        <is>
          <t>Self Tan Lotion Body Lotion 200ml</t>
        </is>
      </c>
      <c r="C19232" t="inlineStr">
        <is>
          <t>Body Self-Tanner</t>
        </is>
      </c>
      <c r="D19232" t="inlineStr">
        <is>
          <t>Dermacol</t>
        </is>
      </c>
      <c r="E19232" t="n">
        <v>8.68</v>
      </c>
      <c r="F19232" t="n">
        <v>1</v>
      </c>
      <c r="G19232" t="n">
        <v>42</v>
      </c>
      <c r="H19232" s="5">
        <f>HYPERLINK("https://api.qogita.com/variants/link/8595003117494/", "View Product")</f>
        <v/>
      </c>
    </row>
    <row r="19233">
      <c r="A19233" t="inlineStr">
        <is>
          <t>8595003117807</t>
        </is>
      </c>
      <c r="B19233" t="inlineStr">
        <is>
          <t>Dermacol Collagen Face Serum 12ml - Hydrating And Anti-Aging</t>
        </is>
      </c>
      <c r="C19233" t="inlineStr">
        <is>
          <t>Collagen Serum</t>
        </is>
      </c>
      <c r="D19233" t="inlineStr">
        <is>
          <t>Dermacol</t>
        </is>
      </c>
      <c r="E19233" t="n">
        <v>5.33</v>
      </c>
      <c r="F19233" t="n">
        <v>1</v>
      </c>
      <c r="G19233" t="n">
        <v>15</v>
      </c>
      <c r="H19233" s="5">
        <f>HYPERLINK("https://api.qogita.com/variants/link/8595003117807/", "View Product")</f>
        <v/>
      </c>
    </row>
    <row r="19234">
      <c r="A19234" t="inlineStr">
        <is>
          <t>8595003119498</t>
        </is>
      </c>
      <c r="B19234" t="inlineStr">
        <is>
          <t>Dermacol Flower Care Hand Cream Magnolia Enchanting Hand Cream</t>
        </is>
      </c>
      <c r="C19234" t="inlineStr">
        <is>
          <t>Hand Cream</t>
        </is>
      </c>
      <c r="D19234" t="inlineStr">
        <is>
          <t>Dermacol</t>
        </is>
      </c>
      <c r="E19234" t="n">
        <v>2.78</v>
      </c>
      <c r="F19234" t="n">
        <v>1</v>
      </c>
      <c r="G19234" t="n">
        <v>7</v>
      </c>
      <c r="H19234" s="5">
        <f>HYPERLINK("https://api.qogita.com/variants/link/8595003119498/", "View Product")</f>
        <v/>
      </c>
    </row>
    <row r="19235">
      <c r="A19235" t="inlineStr">
        <is>
          <t>8595003119993</t>
        </is>
      </c>
      <c r="B19235" t="inlineStr">
        <is>
          <t>Dermacol Relaxing Liquid Soap Aroma Ritual Brazilian Coconut 250 Ml</t>
        </is>
      </c>
      <c r="C19235" t="inlineStr">
        <is>
          <t>Soap</t>
        </is>
      </c>
      <c r="D19235" t="inlineStr">
        <is>
          <t>Dermacol</t>
        </is>
      </c>
      <c r="E19235" t="n">
        <v>3.21</v>
      </c>
      <c r="F19235" t="n">
        <v>1</v>
      </c>
      <c r="G19235" t="n">
        <v>3</v>
      </c>
      <c r="H19235" s="5">
        <f>HYPERLINK("https://api.qogita.com/variants/link/8595003119993/", "View Product")</f>
        <v/>
      </c>
    </row>
    <row r="19236">
      <c r="A19236" t="inlineStr">
        <is>
          <t>8595003121835</t>
        </is>
      </c>
      <c r="B19236" t="inlineStr">
        <is>
          <t>Dermacol Flower Care Set Lilac - Gift Set</t>
        </is>
      </c>
      <c r="C19236" t="inlineStr">
        <is>
          <t>Facial Care Sets</t>
        </is>
      </c>
      <c r="D19236" t="inlineStr">
        <is>
          <t>Dermacol</t>
        </is>
      </c>
      <c r="E19236" t="n">
        <v>6.33</v>
      </c>
      <c r="F19236" t="n">
        <v>1</v>
      </c>
      <c r="G19236" t="n">
        <v>28</v>
      </c>
      <c r="H19236" s="5">
        <f>HYPERLINK("https://api.qogita.com/variants/link/8595003121835/", "View Product")</f>
        <v/>
      </c>
    </row>
    <row r="19237">
      <c r="A19237" t="inlineStr">
        <is>
          <t>8595003122696</t>
        </is>
      </c>
      <c r="B19237" t="inlineStr">
        <is>
          <t>Hair Ritual Weightless &amp; Volume Conditioner 200ml</t>
        </is>
      </c>
      <c r="C19237" t="inlineStr">
        <is>
          <t>Conditioner</t>
        </is>
      </c>
      <c r="D19237" t="inlineStr">
        <is>
          <t>Rituals</t>
        </is>
      </c>
      <c r="E19237" t="n">
        <v>4.8</v>
      </c>
      <c r="F19237" t="n">
        <v>1</v>
      </c>
      <c r="G19237" t="n">
        <v>8</v>
      </c>
      <c r="H19237" s="5">
        <f>HYPERLINK("https://api.qogita.com/variants/link/8595003122696/", "View Product")</f>
        <v/>
      </c>
    </row>
    <row r="19238">
      <c r="A19238" t="inlineStr">
        <is>
          <t>8595003124034</t>
        </is>
      </c>
      <c r="B19238" t="inlineStr">
        <is>
          <t>Dermacol Flower Care Creamy Hand Soap Rose 250ml</t>
        </is>
      </c>
      <c r="C19238" t="inlineStr">
        <is>
          <t>Hand Soap</t>
        </is>
      </c>
      <c r="D19238" t="inlineStr">
        <is>
          <t>Dermacol</t>
        </is>
      </c>
      <c r="E19238" t="n">
        <v>4.85</v>
      </c>
      <c r="F19238" t="n">
        <v>1</v>
      </c>
      <c r="G19238" t="n">
        <v>8</v>
      </c>
      <c r="H19238" s="5">
        <f>HYPERLINK("https://api.qogita.com/variants/link/8595003124034/", "View Product")</f>
        <v/>
      </c>
    </row>
    <row r="19239">
      <c r="A19239" t="inlineStr">
        <is>
          <t>8595003127073</t>
        </is>
      </c>
      <c r="B19239" t="inlineStr">
        <is>
          <t>Dermacol Cosmetic Brush For Powder And Blush With Case Rose Gold D56</t>
        </is>
      </c>
      <c r="C19239" t="inlineStr">
        <is>
          <t>Powder Brushes</t>
        </is>
      </c>
      <c r="D19239" t="inlineStr">
        <is>
          <t>Dermacol</t>
        </is>
      </c>
      <c r="E19239" t="n">
        <v>14.39</v>
      </c>
      <c r="F19239" t="n">
        <v>1</v>
      </c>
      <c r="G19239" t="n">
        <v>3</v>
      </c>
      <c r="H19239" s="5">
        <f>HYPERLINK("https://api.qogita.com/variants/link/8595003127073/", "View Product")</f>
        <v/>
      </c>
    </row>
    <row r="19240">
      <c r="A19240" t="inlineStr">
        <is>
          <t>8595003127097</t>
        </is>
      </c>
      <c r="B19240" t="inlineStr">
        <is>
          <t>Dermacol Rose Gold D57 Brush Cosmetic Contouring Brush</t>
        </is>
      </c>
      <c r="C19240" t="inlineStr">
        <is>
          <t>Foundation Brushes</t>
        </is>
      </c>
      <c r="D19240" t="inlineStr">
        <is>
          <t>Dermacol</t>
        </is>
      </c>
      <c r="E19240" t="n">
        <v>10.87</v>
      </c>
      <c r="F19240" t="n">
        <v>1</v>
      </c>
      <c r="G19240" t="n">
        <v>5</v>
      </c>
      <c r="H19240" s="5">
        <f>HYPERLINK("https://api.qogita.com/variants/link/8595003127097/", "View Product")</f>
        <v/>
      </c>
    </row>
    <row r="19241">
      <c r="A19241" t="inlineStr">
        <is>
          <t>8595003127325</t>
        </is>
      </c>
      <c r="B19241" t="inlineStr">
        <is>
          <t>Dermacol Rose Gold Brush Set D51 D55 D81 D82 D83 Cosmetic Brush Set</t>
        </is>
      </c>
      <c r="C19241" t="inlineStr">
        <is>
          <t>Brush Sets</t>
        </is>
      </c>
      <c r="D19241" t="inlineStr">
        <is>
          <t>Dermacol</t>
        </is>
      </c>
      <c r="E19241" t="n">
        <v>25.27</v>
      </c>
      <c r="F19241" t="n">
        <v>1</v>
      </c>
      <c r="G19241" t="n">
        <v>2</v>
      </c>
      <c r="H19241" s="5">
        <f>HYPERLINK("https://api.qogita.com/variants/link/8595003127325/", "View Product")</f>
        <v/>
      </c>
    </row>
    <row r="19242">
      <c r="A19242" t="inlineStr">
        <is>
          <t>8595003128759</t>
        </is>
      </c>
      <c r="B19242" t="inlineStr">
        <is>
          <t>Hydra Gel-Cream Aqua Aqua (Moisturizing Gel-Cream) 50 ml</t>
        </is>
      </c>
      <c r="C19242" t="inlineStr">
        <is>
          <t>Face Cream</t>
        </is>
      </c>
      <c r="D19242" t="inlineStr">
        <is>
          <t>Dermacol</t>
        </is>
      </c>
      <c r="E19242" t="n">
        <v>5.18</v>
      </c>
      <c r="F19242" t="n">
        <v>1</v>
      </c>
      <c r="G19242" t="n">
        <v>12</v>
      </c>
      <c r="H19242" s="5">
        <f>HYPERLINK("https://api.qogita.com/variants/link/8595003128759/", "View Product")</f>
        <v/>
      </c>
    </row>
    <row r="19243">
      <c r="A19243" t="inlineStr">
        <is>
          <t>8595003128810</t>
        </is>
      </c>
      <c r="B19243" t="inlineStr">
        <is>
          <t>Aqua Moisturising Cream Mask</t>
        </is>
      </c>
      <c r="C19243" t="inlineStr">
        <is>
          <t>Hydrating Mask</t>
        </is>
      </c>
      <c r="D19243" t="inlineStr">
        <is>
          <t>Aqua</t>
        </is>
      </c>
      <c r="E19243" t="n">
        <v>2.78</v>
      </c>
      <c r="F19243" t="n">
        <v>1</v>
      </c>
      <c r="G19243" t="n">
        <v>8</v>
      </c>
      <c r="H19243" s="5">
        <f>HYPERLINK("https://api.qogita.com/variants/link/8595003128810/", "View Product")</f>
        <v/>
      </c>
    </row>
    <row r="19244">
      <c r="A19244" t="inlineStr">
        <is>
          <t>8595003129619</t>
        </is>
      </c>
      <c r="B19244" t="inlineStr">
        <is>
          <t>Dermacol Men Agent Shower Gel 3 In 1 Eternal Victory 250 Ml</t>
        </is>
      </c>
      <c r="C19244" t="inlineStr">
        <is>
          <t>Shower Gel</t>
        </is>
      </c>
      <c r="D19244" t="inlineStr">
        <is>
          <t>Dermacol</t>
        </is>
      </c>
      <c r="E19244" t="n">
        <v>3.57</v>
      </c>
      <c r="F19244" t="n">
        <v>1</v>
      </c>
      <c r="G19244" t="n">
        <v>12</v>
      </c>
      <c r="H19244" s="5">
        <f>HYPERLINK("https://api.qogita.com/variants/link/8595003129619/", "View Product")</f>
        <v/>
      </c>
    </row>
    <row r="19245">
      <c r="A19245" t="inlineStr">
        <is>
          <t>8595003130301</t>
        </is>
      </c>
      <c r="B19245" t="inlineStr">
        <is>
          <t>Dermacol Hair Ritual Blonde Set Gift Set Of Hair Care For Blonde Hair</t>
        </is>
      </c>
      <c r="C19245" t="inlineStr">
        <is>
          <t>Hair Care Sets</t>
        </is>
      </c>
      <c r="D19245" t="inlineStr">
        <is>
          <t>Dermacol</t>
        </is>
      </c>
      <c r="E19245" t="n">
        <v>10.87</v>
      </c>
      <c r="F19245" t="n">
        <v>1</v>
      </c>
      <c r="G19245" t="n">
        <v>10</v>
      </c>
      <c r="H19245" s="5">
        <f>HYPERLINK("https://api.qogita.com/variants/link/8595003130301/", "View Product")</f>
        <v/>
      </c>
    </row>
    <row r="19246">
      <c r="A19246" t="inlineStr">
        <is>
          <t>8595003132008</t>
        </is>
      </c>
      <c r="B19246" t="inlineStr">
        <is>
          <t>Dermacol Infinity Makeup and Corrector Super Coverage Photo-Friendly Waterproof Touc Proof SPF 15 02 Beige</t>
        </is>
      </c>
      <c r="C19246" t="inlineStr">
        <is>
          <t>Foundation</t>
        </is>
      </c>
      <c r="D19246" t="inlineStr">
        <is>
          <t>Dermacol</t>
        </is>
      </c>
      <c r="E19246" t="n">
        <v>9.130000000000001</v>
      </c>
      <c r="F19246" t="n">
        <v>1</v>
      </c>
      <c r="G19246" t="n">
        <v>25</v>
      </c>
      <c r="H19246" s="5">
        <f>HYPERLINK("https://api.qogita.com/variants/link/8595003132008/", "View Product")</f>
        <v/>
      </c>
    </row>
    <row r="19247">
      <c r="A19247" t="inlineStr">
        <is>
          <t>8595003132404</t>
        </is>
      </c>
      <c r="B19247" t="inlineStr">
        <is>
          <t>Dermacol Sun Water Resistant Face Sunscreen Cream 50ml</t>
        </is>
      </c>
      <c r="C19247" t="inlineStr">
        <is>
          <t>Face Sun Protection</t>
        </is>
      </c>
      <c r="D19247" t="inlineStr">
        <is>
          <t>Dermacol</t>
        </is>
      </c>
      <c r="E19247" t="n">
        <v>7.13</v>
      </c>
      <c r="F19247" t="n">
        <v>1</v>
      </c>
      <c r="G19247" t="n">
        <v>25</v>
      </c>
      <c r="H19247" s="5">
        <f>HYPERLINK("https://api.qogita.com/variants/link/8595003132404/", "View Product")</f>
        <v/>
      </c>
    </row>
    <row r="19248">
      <c r="A19248" t="inlineStr">
        <is>
          <t>8595003132541</t>
        </is>
      </c>
      <c r="B19248" t="inlineStr">
        <is>
          <t>Dermacol Sun Water Resistant Cream For Pigment Spots Spf 50+ 50ml</t>
        </is>
      </c>
      <c r="C19248" t="inlineStr">
        <is>
          <t>Face Sun Protection</t>
        </is>
      </c>
      <c r="D19248" t="inlineStr">
        <is>
          <t>Dermacol</t>
        </is>
      </c>
      <c r="E19248" t="n">
        <v>11.9</v>
      </c>
      <c r="F19248" t="n">
        <v>1</v>
      </c>
      <c r="G19248" t="n">
        <v>41</v>
      </c>
      <c r="H19248" s="5">
        <f>HYPERLINK("https://api.qogita.com/variants/link/8595003132541/", "View Product")</f>
        <v/>
      </c>
    </row>
    <row r="19249">
      <c r="A19249" t="inlineStr">
        <is>
          <t>8595003132602</t>
        </is>
      </c>
      <c r="B19249" t="inlineStr">
        <is>
          <t>Dermacol Sun Protecting Sun Lip Balm Spf 30 - 6 G</t>
        </is>
      </c>
      <c r="C19249" t="inlineStr">
        <is>
          <t>Lip Balm</t>
        </is>
      </c>
      <c r="D19249" t="inlineStr">
        <is>
          <t>Dermacol</t>
        </is>
      </c>
      <c r="E19249" t="n">
        <v>4.85</v>
      </c>
      <c r="F19249" t="n">
        <v>1</v>
      </c>
      <c r="G19249" t="n">
        <v>7</v>
      </c>
      <c r="H19249" s="5">
        <f>HYPERLINK("https://api.qogita.com/variants/link/8595003132602/", "View Product")</f>
        <v/>
      </c>
    </row>
    <row r="19250">
      <c r="A19250" t="inlineStr">
        <is>
          <t>8595003132763</t>
        </is>
      </c>
      <c r="B19250" t="inlineStr">
        <is>
          <t>Dermacol Aroma Moment Plummy Monster Shower Gel 250ml</t>
        </is>
      </c>
      <c r="C19250" t="inlineStr">
        <is>
          <t>Shower Gel</t>
        </is>
      </c>
      <c r="D19250" t="inlineStr">
        <is>
          <t>Dermacol</t>
        </is>
      </c>
      <c r="E19250" t="n">
        <v>3.26</v>
      </c>
      <c r="F19250" t="n">
        <v>1</v>
      </c>
      <c r="G19250" t="n">
        <v>4</v>
      </c>
      <c r="H19250" s="5">
        <f>HYPERLINK("https://api.qogita.com/variants/link/8595003132763/", "View Product")</f>
        <v/>
      </c>
    </row>
    <row r="19251">
      <c r="A19251" t="inlineStr">
        <is>
          <t>8595003132787</t>
        </is>
      </c>
      <c r="B19251" t="inlineStr">
        <is>
          <t>Aroma Moment Mysterious Bath Foam Plummy Monster 500ml</t>
        </is>
      </c>
      <c r="C19251" t="inlineStr">
        <is>
          <t>Bath Foam</t>
        </is>
      </c>
      <c r="D19251" t="inlineStr">
        <is>
          <t>Aroma Moment</t>
        </is>
      </c>
      <c r="E19251" t="n">
        <v>3.85</v>
      </c>
      <c r="F19251" t="n">
        <v>1</v>
      </c>
      <c r="G19251" t="n">
        <v>3</v>
      </c>
      <c r="H19251" s="5">
        <f>HYPERLINK("https://api.qogita.com/variants/link/8595003132787/", "View Product")</f>
        <v/>
      </c>
    </row>
    <row r="19252">
      <c r="A19252" t="inlineStr">
        <is>
          <t>8595003132978</t>
        </is>
      </c>
      <c r="B19252" t="inlineStr">
        <is>
          <t>Dermacol 5 Days Stay Nail Polish Set 3 X 11 Ml</t>
        </is>
      </c>
      <c r="C19252" t="inlineStr">
        <is>
          <t>Nail Sets</t>
        </is>
      </c>
      <c r="D19252" t="inlineStr">
        <is>
          <t>Dermacol</t>
        </is>
      </c>
      <c r="E19252" t="n">
        <v>10.08</v>
      </c>
      <c r="F19252" t="n">
        <v>1</v>
      </c>
      <c r="G19252" t="n">
        <v>8</v>
      </c>
      <c r="H19252" s="5">
        <f>HYPERLINK("https://api.qogita.com/variants/link/8595003132978/", "View Product")</f>
        <v/>
      </c>
    </row>
    <row r="19253">
      <c r="A19253" t="inlineStr">
        <is>
          <t>8595003133036</t>
        </is>
      </c>
      <c r="B19253" t="inlineStr">
        <is>
          <t>Dermacol Twophase Makeup Remover Aqua Aqua 200 Ml</t>
        </is>
      </c>
      <c r="C19253" t="inlineStr">
        <is>
          <t>Makeup Remover</t>
        </is>
      </c>
      <c r="D19253" t="inlineStr">
        <is>
          <t>Dermacol</t>
        </is>
      </c>
      <c r="E19253" t="n">
        <v>5.18</v>
      </c>
      <c r="F19253" t="n">
        <v>1</v>
      </c>
      <c r="G19253" t="n">
        <v>6</v>
      </c>
      <c r="H19253" s="5">
        <f>HYPERLINK("https://api.qogita.com/variants/link/8595003133036/", "View Product")</f>
        <v/>
      </c>
    </row>
    <row r="19254">
      <c r="A19254" t="inlineStr">
        <is>
          <t>8595003133487</t>
        </is>
      </c>
      <c r="B19254" t="inlineStr">
        <is>
          <t>Dermacol Aroma Moment Macadamia Truffle Delicious Body Lotion 200 Ml</t>
        </is>
      </c>
      <c r="C19254" t="inlineStr">
        <is>
          <t>Body Lotion</t>
        </is>
      </c>
      <c r="D19254" t="inlineStr">
        <is>
          <t>Dermacol</t>
        </is>
      </c>
      <c r="E19254" t="n">
        <v>3.26</v>
      </c>
      <c r="F19254" t="n">
        <v>1</v>
      </c>
      <c r="G19254" t="n">
        <v>9</v>
      </c>
      <c r="H19254" s="5">
        <f>HYPERLINK("https://api.qogita.com/variants/link/8595003133487/", "View Product")</f>
        <v/>
      </c>
    </row>
    <row r="19255">
      <c r="A19255" t="inlineStr">
        <is>
          <t>8595003133609</t>
        </is>
      </c>
      <c r="B19255" t="inlineStr">
        <is>
          <t>Dermacol Bio Retinol Serum Intensive Anti-Spot Treatment</t>
        </is>
      </c>
      <c r="C19255" t="inlineStr">
        <is>
          <t>Anti-Aging Serum</t>
        </is>
      </c>
      <c r="D19255" t="inlineStr">
        <is>
          <t>Dermacol</t>
        </is>
      </c>
      <c r="E19255" t="n">
        <v>6.16</v>
      </c>
      <c r="F19255" t="n">
        <v>1</v>
      </c>
      <c r="G19255" t="n">
        <v>16</v>
      </c>
      <c r="H19255" s="5">
        <f>HYPERLINK("https://api.qogita.com/variants/link/8595003133609/", "View Product")</f>
        <v/>
      </c>
    </row>
    <row r="19256">
      <c r="A19256" t="inlineStr">
        <is>
          <t>8595003133920</t>
        </is>
      </c>
      <c r="B19256" t="inlineStr">
        <is>
          <t>Dermacol Aroma Moment Be Sweet Set - Gift Set Of Shower Gels</t>
        </is>
      </c>
      <c r="C19256" t="inlineStr">
        <is>
          <t>Shower &amp; Bath Sets</t>
        </is>
      </c>
      <c r="D19256" t="inlineStr">
        <is>
          <t>Dermacol</t>
        </is>
      </c>
      <c r="E19256" t="n">
        <v>8.390000000000001</v>
      </c>
      <c r="F19256" t="n">
        <v>1</v>
      </c>
      <c r="G19256" t="n">
        <v>52</v>
      </c>
      <c r="H19256" s="5">
        <f>HYPERLINK("https://api.qogita.com/variants/link/8595003133920/", "View Product")</f>
        <v/>
      </c>
    </row>
    <row r="19257">
      <c r="A19257" t="inlineStr">
        <is>
          <t>8595003134200</t>
        </is>
      </c>
      <c r="B19257" t="inlineStr">
        <is>
          <t>Dermacol Imperial Rose - Colour Cosmetics Set</t>
        </is>
      </c>
      <c r="C19257" t="inlineStr">
        <is>
          <t>Complexion Sets &amp; Pallets</t>
        </is>
      </c>
      <c r="D19257" t="inlineStr">
        <is>
          <t>Dermacol</t>
        </is>
      </c>
      <c r="E19257" t="n">
        <v>12.64</v>
      </c>
      <c r="F19257" t="n">
        <v>1</v>
      </c>
      <c r="G19257" t="n">
        <v>6</v>
      </c>
      <c r="H19257" s="5">
        <f>HYPERLINK("https://api.qogita.com/variants/link/8595003134200/", "View Product")</f>
        <v/>
      </c>
    </row>
    <row r="19258">
      <c r="A19258" t="inlineStr">
        <is>
          <t>8595003134446</t>
        </is>
      </c>
      <c r="B19258" t="inlineStr">
        <is>
          <t>Dermacol Men Agent All In One Cream - Hydrating Facial Cream</t>
        </is>
      </c>
      <c r="C19258" t="inlineStr">
        <is>
          <t>Face Cream</t>
        </is>
      </c>
      <c r="D19258" t="inlineStr">
        <is>
          <t>Dermacol</t>
        </is>
      </c>
      <c r="E19258" t="n">
        <v>6.16</v>
      </c>
      <c r="F19258" t="n">
        <v>1</v>
      </c>
      <c r="G19258" t="n">
        <v>8</v>
      </c>
      <c r="H19258" s="5">
        <f>HYPERLINK("https://api.qogita.com/variants/link/8595003134446/", "View Product")</f>
        <v/>
      </c>
    </row>
    <row r="19259">
      <c r="A19259" t="inlineStr">
        <is>
          <t>8595003136112</t>
        </is>
      </c>
      <c r="B19259" t="inlineStr">
        <is>
          <t>Dermacol Infinity Lip Ink</t>
        </is>
      </c>
      <c r="C19259" t="inlineStr">
        <is>
          <t>Lipstick</t>
        </is>
      </c>
      <c r="D19259" t="inlineStr">
        <is>
          <t>Dermacol</t>
        </is>
      </c>
      <c r="E19259" t="n">
        <v>8.539999999999999</v>
      </c>
      <c r="F19259" t="n">
        <v>1</v>
      </c>
      <c r="G19259" t="n">
        <v>2</v>
      </c>
      <c r="H19259" s="5">
        <f>HYPERLINK("https://api.qogita.com/variants/link/8595003136112/", "View Product")</f>
        <v/>
      </c>
    </row>
    <row r="19260">
      <c r="A19260" t="inlineStr">
        <is>
          <t>8595003136297</t>
        </is>
      </c>
      <c r="B19260" t="inlineStr">
        <is>
          <t>Dermacol Bio Retinol Intensive Eye Serum - 15 Ml</t>
        </is>
      </c>
      <c r="C19260" t="inlineStr">
        <is>
          <t>Eye Serum</t>
        </is>
      </c>
      <c r="D19260" t="inlineStr">
        <is>
          <t>Dermacol</t>
        </is>
      </c>
      <c r="E19260" t="n">
        <v>7.15</v>
      </c>
      <c r="F19260" t="n">
        <v>1</v>
      </c>
      <c r="G19260" t="n">
        <v>14</v>
      </c>
      <c r="H19260" s="5">
        <f>HYPERLINK("https://api.qogita.com/variants/link/8595003136297/", "View Product")</f>
        <v/>
      </c>
    </row>
    <row r="19261">
      <c r="A19261" t="inlineStr">
        <is>
          <t>8595003136983</t>
        </is>
      </c>
      <c r="B19261" t="inlineStr">
        <is>
          <t>Dermacol Aroma Moment Bubble Monster Shower Gel - 250 Ml</t>
        </is>
      </c>
      <c r="C19261" t="inlineStr">
        <is>
          <t>Shower Gel</t>
        </is>
      </c>
      <c r="D19261" t="inlineStr">
        <is>
          <t>Dermacol</t>
        </is>
      </c>
      <c r="E19261" t="n">
        <v>3.05</v>
      </c>
      <c r="F19261" t="n">
        <v>1</v>
      </c>
      <c r="G19261" t="n">
        <v>2</v>
      </c>
      <c r="H19261" s="5">
        <f>HYPERLINK("https://api.qogita.com/variants/link/8595003136983/", "View Product")</f>
        <v/>
      </c>
    </row>
    <row r="19262">
      <c r="A19262" t="inlineStr">
        <is>
          <t>8595003913577</t>
        </is>
      </c>
      <c r="B19262" t="inlineStr">
        <is>
          <t>Dermacol Daily Antiwrinkle Cream 50 Ml For Dry Skin</t>
        </is>
      </c>
      <c r="C19262" t="inlineStr">
        <is>
          <t>Day Cream</t>
        </is>
      </c>
      <c r="D19262" t="inlineStr">
        <is>
          <t>Dermacol</t>
        </is>
      </c>
      <c r="E19262" t="n">
        <v>6.05</v>
      </c>
      <c r="F19262" t="n">
        <v>1</v>
      </c>
      <c r="G19262" t="n">
        <v>5</v>
      </c>
      <c r="H19262" s="5">
        <f>HYPERLINK("https://api.qogita.com/variants/link/8595003913577/", "View Product")</f>
        <v/>
      </c>
    </row>
    <row r="19263">
      <c r="A19263" t="inlineStr">
        <is>
          <t>8595003919029</t>
        </is>
      </c>
      <c r="B19263" t="inlineStr">
        <is>
          <t>Dermacol Obsesion Volume &amp; Length Mascara 12 Ml 01 Black</t>
        </is>
      </c>
      <c r="C19263" t="inlineStr">
        <is>
          <t>Mascara</t>
        </is>
      </c>
      <c r="D19263" t="inlineStr">
        <is>
          <t>Dermacol</t>
        </is>
      </c>
      <c r="E19263" t="n">
        <v>5.33</v>
      </c>
      <c r="F19263" t="n">
        <v>1</v>
      </c>
      <c r="G19263" t="n">
        <v>4</v>
      </c>
      <c r="H19263" s="5">
        <f>HYPERLINK("https://api.qogita.com/variants/link/8595003919029/", "View Product")</f>
        <v/>
      </c>
    </row>
    <row r="19264">
      <c r="A19264" t="inlineStr">
        <is>
          <t>8595003933735</t>
        </is>
      </c>
      <c r="B19264" t="inlineStr">
        <is>
          <t>Dermacol Mattifying Powder For Problematic Skin Acnecover 11 G Porcelain</t>
        </is>
      </c>
      <c r="C19264" t="inlineStr">
        <is>
          <t>Face Dermacosmetics Sun Protection</t>
        </is>
      </c>
      <c r="D19264" t="inlineStr">
        <is>
          <t>Dermacol</t>
        </is>
      </c>
      <c r="E19264" t="n">
        <v>4.43</v>
      </c>
      <c r="F19264" t="n">
        <v>1</v>
      </c>
      <c r="G19264" t="n">
        <v>31</v>
      </c>
      <c r="H19264" s="5">
        <f>HYPERLINK("https://api.qogita.com/variants/link/8595003933735/", "View Product")</f>
        <v/>
      </c>
    </row>
    <row r="19265">
      <c r="A19265" t="inlineStr">
        <is>
          <t>8595003933766</t>
        </is>
      </c>
      <c r="B19265" t="inlineStr">
        <is>
          <t>Dermacol Acnecover Mattifying Powder Compact 04 Honey 11g</t>
        </is>
      </c>
      <c r="C19265" t="inlineStr">
        <is>
          <t>Powder</t>
        </is>
      </c>
      <c r="D19265" t="inlineStr">
        <is>
          <t>Dermacol</t>
        </is>
      </c>
      <c r="E19265" t="n">
        <v>4.54</v>
      </c>
      <c r="F19265" t="n">
        <v>1</v>
      </c>
      <c r="G19265" t="n">
        <v>5</v>
      </c>
      <c r="H19265" s="5">
        <f>HYPERLINK("https://api.qogita.com/variants/link/8595003933766/", "View Product")</f>
        <v/>
      </c>
    </row>
    <row r="19266">
      <c r="A19266" t="inlineStr">
        <is>
          <t>8595017900358</t>
        </is>
      </c>
      <c r="B19266" t="inlineStr">
        <is>
          <t>Gabriella Salvete Tools Hair Tie Cosmetic Headband</t>
        </is>
      </c>
      <c r="C19266" t="inlineStr">
        <is>
          <t>Headbands</t>
        </is>
      </c>
      <c r="D19266" t="inlineStr">
        <is>
          <t>Gabriella Salvete</t>
        </is>
      </c>
      <c r="E19266" t="n">
        <v>3.27</v>
      </c>
      <c r="F19266" t="n">
        <v>1</v>
      </c>
      <c r="G19266" t="n">
        <v>5</v>
      </c>
      <c r="H19266" s="5">
        <f>HYPERLINK("https://api.qogita.com/variants/link/8595017900358/", "View Product")</f>
        <v/>
      </c>
    </row>
    <row r="19267">
      <c r="A19267" t="inlineStr">
        <is>
          <t>8595017998232</t>
        </is>
      </c>
      <c r="B19267" t="inlineStr">
        <is>
          <t>Gabriella Salvete Uv Led Nail Polish 8 Ml 15 Rings</t>
        </is>
      </c>
      <c r="C19267" t="inlineStr">
        <is>
          <t>Nail Polish</t>
        </is>
      </c>
      <c r="D19267" t="inlineStr">
        <is>
          <t>Gabriella Salvete</t>
        </is>
      </c>
      <c r="E19267" t="n">
        <v>9.56</v>
      </c>
      <c r="F19267" t="n">
        <v>1</v>
      </c>
      <c r="G19267" t="n">
        <v>10</v>
      </c>
      <c r="H19267" s="5">
        <f>HYPERLINK("https://api.qogita.com/variants/link/8595017998232/", "View Product")</f>
        <v/>
      </c>
    </row>
    <row r="19268">
      <c r="A19268" t="inlineStr">
        <is>
          <t>8595017998256</t>
        </is>
      </c>
      <c r="B19268" t="inlineStr">
        <is>
          <t>Gabriella Salvete Uv Led Nail Polish 8 Ml</t>
        </is>
      </c>
      <c r="C19268" t="inlineStr">
        <is>
          <t>Gel Polish</t>
        </is>
      </c>
      <c r="D19268" t="inlineStr">
        <is>
          <t>Gabriella Salvete</t>
        </is>
      </c>
      <c r="E19268" t="n">
        <v>10.63</v>
      </c>
      <c r="F19268" t="n">
        <v>1</v>
      </c>
      <c r="G19268" t="n">
        <v>6</v>
      </c>
      <c r="H19268" s="5">
        <f>HYPERLINK("https://api.qogita.com/variants/link/8595017998256/", "View Product")</f>
        <v/>
      </c>
    </row>
    <row r="19269">
      <c r="A19269" t="inlineStr">
        <is>
          <t>8595018000194</t>
        </is>
      </c>
      <c r="B19269" t="inlineStr">
        <is>
          <t>Gabriella Salvete Festival Glitters Gel For Body, Face, And Hair 30 Ml Silver</t>
        </is>
      </c>
      <c r="C19269" t="inlineStr">
        <is>
          <t>Body Makeup</t>
        </is>
      </c>
      <c r="D19269" t="inlineStr">
        <is>
          <t>Gabriella Salvete</t>
        </is>
      </c>
      <c r="E19269" t="n">
        <v>5.98</v>
      </c>
      <c r="F19269" t="n">
        <v>1</v>
      </c>
      <c r="G19269" t="n">
        <v>3</v>
      </c>
      <c r="H19269" s="5">
        <f>HYPERLINK("https://api.qogita.com/variants/link/8595018000194/", "View Product")</f>
        <v/>
      </c>
    </row>
    <row r="19270">
      <c r="A19270" t="inlineStr">
        <is>
          <t>8595162103628</t>
        </is>
      </c>
      <c r="B19270" t="inlineStr">
        <is>
          <t>Dukas Manicure Set With Round Flap 6 Pieces Premium Line Pl 214r</t>
        </is>
      </c>
      <c r="C19270" t="inlineStr">
        <is>
          <t>Manicure Sets</t>
        </is>
      </c>
      <c r="D19270" t="inlineStr">
        <is>
          <t>Ducal</t>
        </is>
      </c>
      <c r="E19270" t="n">
        <v>31.03</v>
      </c>
      <c r="F19270" t="n">
        <v>1</v>
      </c>
      <c r="G19270" t="n">
        <v>2</v>
      </c>
      <c r="H19270" s="5">
        <f>HYPERLINK("https://api.qogita.com/variants/link/8595162103628/", "View Product")</f>
        <v/>
      </c>
    </row>
    <row r="19271">
      <c r="A19271" t="inlineStr">
        <is>
          <t>8595162103819</t>
        </is>
      </c>
      <c r="B19271" t="inlineStr">
        <is>
          <t>Dukas Manicure Set 6 Pieces Pl 126fcp</t>
        </is>
      </c>
      <c r="C19271" t="inlineStr">
        <is>
          <t>Manicure Sets</t>
        </is>
      </c>
      <c r="D19271" t="inlineStr">
        <is>
          <t>Ducal</t>
        </is>
      </c>
      <c r="E19271" t="n">
        <v>36.63</v>
      </c>
      <c r="F19271" t="n">
        <v>1</v>
      </c>
      <c r="G19271" t="n">
        <v>6</v>
      </c>
      <c r="H19271" s="5">
        <f>HYPERLINK("https://api.qogita.com/variants/link/8595162103819/", "View Product")</f>
        <v/>
      </c>
    </row>
    <row r="19272">
      <c r="A19272" t="inlineStr">
        <is>
          <t>8595162104120</t>
        </is>
      </c>
      <c r="B19272" t="inlineStr">
        <is>
          <t>Family Manicure Set 10 Pieces PL 252CNH</t>
        </is>
      </c>
      <c r="C19272" t="inlineStr">
        <is>
          <t>Manicure Sets</t>
        </is>
      </c>
      <c r="D19272" t="inlineStr">
        <is>
          <t>Dukas</t>
        </is>
      </c>
      <c r="E19272" t="n">
        <v>49.19</v>
      </c>
      <c r="F19272" t="n">
        <v>1</v>
      </c>
      <c r="G19272" t="n">
        <v>3</v>
      </c>
      <c r="H19272" s="5">
        <f>HYPERLINK("https://api.qogita.com/variants/link/8595162104120/", "View Product")</f>
        <v/>
      </c>
    </row>
    <row r="19273">
      <c r="A19273" t="inlineStr">
        <is>
          <t>8595162104144</t>
        </is>
      </c>
      <c r="B19273" t="inlineStr">
        <is>
          <t>Dukas Pl 876 - Travel Manicure Set 3 Pieces</t>
        </is>
      </c>
      <c r="C19273" t="inlineStr">
        <is>
          <t>Manicure Sets</t>
        </is>
      </c>
      <c r="D19273" t="inlineStr">
        <is>
          <t>Ducal</t>
        </is>
      </c>
      <c r="E19273" t="n">
        <v>14.5</v>
      </c>
      <c r="F19273" t="n">
        <v>1</v>
      </c>
      <c r="G19273" t="n">
        <v>5</v>
      </c>
      <c r="H19273" s="5">
        <f>HYPERLINK("https://api.qogita.com/variants/link/8595162104144/", "View Product")</f>
        <v/>
      </c>
    </row>
    <row r="19274">
      <c r="A19274" t="inlineStr">
        <is>
          <t>8595162104298</t>
        </is>
      </c>
      <c r="B19274" t="inlineStr">
        <is>
          <t>Dukas Family Manicure Set 10 Pieces Pl 252mf</t>
        </is>
      </c>
      <c r="C19274" t="inlineStr">
        <is>
          <t>Manicure Sets</t>
        </is>
      </c>
      <c r="D19274" t="inlineStr">
        <is>
          <t>Ducal</t>
        </is>
      </c>
      <c r="E19274" t="n">
        <v>58.69</v>
      </c>
      <c r="F19274" t="n">
        <v>1</v>
      </c>
      <c r="G19274" t="n">
        <v>3</v>
      </c>
      <c r="H19274" s="5">
        <f>HYPERLINK("https://api.qogita.com/variants/link/8595162104298/", "View Product")</f>
        <v/>
      </c>
    </row>
    <row r="19275">
      <c r="A19275" t="inlineStr">
        <is>
          <t>8595572900367</t>
        </is>
      </c>
      <c r="B19275" t="inlineStr">
        <is>
          <t>Purity Vision Depilatory Sugar Paste 400ml</t>
        </is>
      </c>
      <c r="C19275" t="inlineStr">
        <is>
          <t>Razors &amp; Hair Removal Tools</t>
        </is>
      </c>
      <c r="D19275" t="inlineStr">
        <is>
          <t>Purity Vision</t>
        </is>
      </c>
      <c r="E19275" t="n">
        <v>11.56</v>
      </c>
      <c r="F19275" t="n">
        <v>1</v>
      </c>
      <c r="G19275" t="n">
        <v>32</v>
      </c>
      <c r="H19275" s="5">
        <f>HYPERLINK("https://api.qogita.com/variants/link/8595572900367/", "View Product")</f>
        <v/>
      </c>
    </row>
    <row r="19276">
      <c r="A19276" t="inlineStr">
        <is>
          <t>8595572900381</t>
        </is>
      </c>
      <c r="B19276" t="inlineStr">
        <is>
          <t>Purity Vision Mineral Crystal Deodorant 24 Hours</t>
        </is>
      </c>
      <c r="C19276" t="inlineStr">
        <is>
          <t>Deodorant &amp; Anti-Perspirant</t>
        </is>
      </c>
      <c r="D19276" t="inlineStr">
        <is>
          <t>Purity Vision</t>
        </is>
      </c>
      <c r="E19276" t="n">
        <v>5.3</v>
      </c>
      <c r="F19276" t="n">
        <v>1</v>
      </c>
      <c r="G19276" t="n">
        <v>11</v>
      </c>
      <c r="H19276" s="5">
        <f>HYPERLINK("https://api.qogita.com/variants/link/8595572900381/", "View Product")</f>
        <v/>
      </c>
    </row>
    <row r="19277">
      <c r="A19277" t="inlineStr">
        <is>
          <t>8595572900800</t>
        </is>
      </c>
      <c r="B19277" t="inlineStr">
        <is>
          <t>Purity Vision Massage and Relaxation Oil for Women</t>
        </is>
      </c>
      <c r="C19277" t="inlineStr">
        <is>
          <t>Body Oil</t>
        </is>
      </c>
      <c r="D19277" t="inlineStr">
        <is>
          <t>Purity Vision</t>
        </is>
      </c>
      <c r="E19277" t="n">
        <v>3.69</v>
      </c>
      <c r="F19277" t="n">
        <v>1</v>
      </c>
      <c r="G19277" t="n">
        <v>8</v>
      </c>
      <c r="H19277" s="5">
        <f>HYPERLINK("https://api.qogita.com/variants/link/8595572900800/", "View Product")</f>
        <v/>
      </c>
    </row>
    <row r="19278">
      <c r="A19278" t="inlineStr">
        <is>
          <t>8595572900985</t>
        </is>
      </c>
      <c r="B19278" t="inlineStr">
        <is>
          <t>Reinheit Vision Rhassoul Moroccan Clay 200g</t>
        </is>
      </c>
      <c r="C19278" t="inlineStr">
        <is>
          <t>Clay Mask</t>
        </is>
      </c>
      <c r="D19278" t="inlineStr">
        <is>
          <t>Purity Vision</t>
        </is>
      </c>
      <c r="E19278" t="n">
        <v>8.619999999999999</v>
      </c>
      <c r="F19278" t="n">
        <v>1</v>
      </c>
      <c r="G19278" t="n">
        <v>11</v>
      </c>
      <c r="H19278" s="5">
        <f>HYPERLINK("https://api.qogita.com/variants/link/8595572900985/", "View Product")</f>
        <v/>
      </c>
    </row>
    <row r="19279">
      <c r="A19279" t="inlineStr">
        <is>
          <t>8595572901302</t>
        </is>
      </c>
      <c r="B19279" t="inlineStr">
        <is>
          <t>Reinheit Vision Bio Rosa Deodorant 50ml</t>
        </is>
      </c>
      <c r="C19279" t="inlineStr">
        <is>
          <t>Deodorant &amp; Anti-Perspirant</t>
        </is>
      </c>
      <c r="D19279" t="inlineStr">
        <is>
          <t>Purity Vision</t>
        </is>
      </c>
      <c r="E19279" t="n">
        <v>6.27</v>
      </c>
      <c r="F19279" t="n">
        <v>1</v>
      </c>
      <c r="G19279" t="n">
        <v>3</v>
      </c>
      <c r="H19279" s="5">
        <f>HYPERLINK("https://api.qogita.com/variants/link/8595572901302/", "View Product")</f>
        <v/>
      </c>
    </row>
    <row r="19280">
      <c r="A19280" t="inlineStr">
        <is>
          <t>8595572901326</t>
        </is>
      </c>
      <c r="B19280" t="inlineStr">
        <is>
          <t>Purity Vision Bio-Flower Water for Babies 100ml</t>
        </is>
      </c>
      <c r="C19280" t="inlineStr">
        <is>
          <t>Baby &amp; Child Accessories</t>
        </is>
      </c>
      <c r="D19280" t="inlineStr">
        <is>
          <t>Purity Vision</t>
        </is>
      </c>
      <c r="E19280" t="n">
        <v>7.64</v>
      </c>
      <c r="F19280" t="n">
        <v>1</v>
      </c>
      <c r="G19280" t="n">
        <v>5</v>
      </c>
      <c r="H19280" s="5">
        <f>HYPERLINK("https://api.qogita.com/variants/link/8595572901326/", "View Product")</f>
        <v/>
      </c>
    </row>
    <row r="19281">
      <c r="A19281" t="inlineStr">
        <is>
          <t>8595572901920</t>
        </is>
      </c>
      <c r="B19281" t="inlineStr">
        <is>
          <t>Purity Vision Bio Rose Water Natural Hydrating Toner</t>
        </is>
      </c>
      <c r="C19281" t="inlineStr">
        <is>
          <t>Facial Spray</t>
        </is>
      </c>
      <c r="D19281" t="inlineStr">
        <is>
          <t>Purity Vision</t>
        </is>
      </c>
      <c r="E19281" t="n">
        <v>26.62</v>
      </c>
      <c r="F19281" t="n">
        <v>1</v>
      </c>
      <c r="G19281" t="n">
        <v>13</v>
      </c>
      <c r="H19281" s="5">
        <f>HYPERLINK("https://api.qogita.com/variants/link/8595572901920/", "View Product")</f>
        <v/>
      </c>
    </row>
    <row r="19282">
      <c r="A19282" t="inlineStr">
        <is>
          <t>8595572901982</t>
        </is>
      </c>
      <c r="B19282" t="inlineStr">
        <is>
          <t>Reinheit Vision Organic Calendula Oil 100ml</t>
        </is>
      </c>
      <c r="C19282" t="inlineStr">
        <is>
          <t>Inflammations</t>
        </is>
      </c>
      <c r="D19282" t="inlineStr">
        <is>
          <t>Purity Vision</t>
        </is>
      </c>
      <c r="E19282" t="n">
        <v>9.710000000000001</v>
      </c>
      <c r="F19282" t="n">
        <v>1</v>
      </c>
      <c r="G19282" t="n">
        <v>7</v>
      </c>
      <c r="H19282" s="5">
        <f>HYPERLINK("https://api.qogita.com/variants/link/8595572901982/", "View Product")</f>
        <v/>
      </c>
    </row>
    <row r="19283">
      <c r="A19283" t="inlineStr">
        <is>
          <t>8595572902057</t>
        </is>
      </c>
      <c r="B19283" t="inlineStr">
        <is>
          <t>Reinheit Vision Bio Lavender Butter 120ml</t>
        </is>
      </c>
      <c r="C19283" t="inlineStr">
        <is>
          <t>Body Butter</t>
        </is>
      </c>
      <c r="D19283" t="inlineStr">
        <is>
          <t>Purity Vision</t>
        </is>
      </c>
      <c r="E19283" t="n">
        <v>8.67</v>
      </c>
      <c r="F19283" t="n">
        <v>1</v>
      </c>
      <c r="G19283" t="n">
        <v>4</v>
      </c>
      <c r="H19283" s="5">
        <f>HYPERLINK("https://api.qogita.com/variants/link/8595572902057/", "View Product")</f>
        <v/>
      </c>
    </row>
    <row r="19284">
      <c r="A19284" t="inlineStr">
        <is>
          <t>8595572902514</t>
        </is>
      </c>
      <c r="B19284" t="inlineStr">
        <is>
          <t>Bio Rose Butter for Dry and Mature Skin Volume 70 ml</t>
        </is>
      </c>
      <c r="C19284" t="inlineStr">
        <is>
          <t>Face Cream</t>
        </is>
      </c>
      <c r="D19284" t="inlineStr">
        <is>
          <t>Purity Vision</t>
        </is>
      </c>
      <c r="E19284" t="n">
        <v>7.97</v>
      </c>
      <c r="F19284" t="n">
        <v>1</v>
      </c>
      <c r="G19284" t="n">
        <v>5</v>
      </c>
      <c r="H19284" s="5">
        <f>HYPERLINK("https://api.qogita.com/variants/link/8595572902514/", "View Product")</f>
        <v/>
      </c>
    </row>
    <row r="19285">
      <c r="A19285" t="inlineStr">
        <is>
          <t>8595572902583</t>
        </is>
      </c>
      <c r="B19285" t="inlineStr">
        <is>
          <t>Organic Vanilla Oil for Dry and Mature Skin Volume 45 ml</t>
        </is>
      </c>
      <c r="C19285" t="inlineStr">
        <is>
          <t>Facial Oil</t>
        </is>
      </c>
      <c r="D19285" t="inlineStr">
        <is>
          <t>Purity Vision</t>
        </is>
      </c>
      <c r="E19285" t="n">
        <v>8.93</v>
      </c>
      <c r="F19285" t="n">
        <v>1</v>
      </c>
      <c r="G19285" t="n">
        <v>7</v>
      </c>
      <c r="H19285" s="5">
        <f>HYPERLINK("https://api.qogita.com/variants/link/8595572902583/", "View Product")</f>
        <v/>
      </c>
    </row>
    <row r="19286">
      <c r="A19286" t="inlineStr">
        <is>
          <t>8595572903283</t>
        </is>
      </c>
      <c r="B19286" t="inlineStr">
        <is>
          <t>Organic Amber Deep Regenerating Face Oil Volume 45 ml</t>
        </is>
      </c>
      <c r="C19286" t="inlineStr">
        <is>
          <t>Facial Oil</t>
        </is>
      </c>
      <c r="D19286" t="inlineStr">
        <is>
          <t>Purity Vision</t>
        </is>
      </c>
      <c r="E19286" t="n">
        <v>11.69</v>
      </c>
      <c r="F19286" t="n">
        <v>1</v>
      </c>
      <c r="G19286" t="n">
        <v>8</v>
      </c>
      <c r="H19286" s="5">
        <f>HYPERLINK("https://api.qogita.com/variants/link/8595572903283/", "View Product")</f>
        <v/>
      </c>
    </row>
    <row r="19287">
      <c r="A19287" t="inlineStr">
        <is>
          <t>8595572903481</t>
        </is>
      </c>
      <c r="B19287" t="inlineStr">
        <is>
          <t>Purity Vision Bio Lavender Cleansing Gel with Almond, Chamomile, and Vit. E 100ml</t>
        </is>
      </c>
      <c r="C19287" t="inlineStr">
        <is>
          <t>Cleansing Gel</t>
        </is>
      </c>
      <c r="D19287" t="inlineStr">
        <is>
          <t>Purity Vision</t>
        </is>
      </c>
      <c r="E19287" t="n">
        <v>12.11</v>
      </c>
      <c r="F19287" t="n">
        <v>1</v>
      </c>
      <c r="G19287" t="n">
        <v>3</v>
      </c>
      <c r="H19287" s="5">
        <f>HYPERLINK("https://api.qogita.com/variants/link/8595572903481/", "View Product")</f>
        <v/>
      </c>
    </row>
    <row r="19288">
      <c r="A19288" t="inlineStr">
        <is>
          <t>8595572903566</t>
        </is>
      </c>
      <c r="B19288" t="inlineStr">
        <is>
          <t>Purity Vision Bath Salt for Women</t>
        </is>
      </c>
      <c r="C19288" t="inlineStr">
        <is>
          <t>Bath Salts &amp; Bath Bombs</t>
        </is>
      </c>
      <c r="D19288" t="inlineStr">
        <is>
          <t>Purity Vision</t>
        </is>
      </c>
      <c r="E19288" t="n">
        <v>8.98</v>
      </c>
      <c r="F19288" t="n">
        <v>1</v>
      </c>
      <c r="G19288" t="n">
        <v>3</v>
      </c>
      <c r="H19288" s="5">
        <f>HYPERLINK("https://api.qogita.com/variants/link/8595572903566/", "View Product")</f>
        <v/>
      </c>
    </row>
    <row r="19289">
      <c r="A19289" t="inlineStr">
        <is>
          <t>8595572903580</t>
        </is>
      </c>
      <c r="B19289" t="inlineStr">
        <is>
          <t>Bio Lavender Bath Salt Purity Vision 400g</t>
        </is>
      </c>
      <c r="C19289" t="inlineStr">
        <is>
          <t>Bath Salts &amp; Bath Bombs</t>
        </is>
      </c>
      <c r="D19289" t="inlineStr">
        <is>
          <t>Purity Vision</t>
        </is>
      </c>
      <c r="E19289" t="n">
        <v>7.44</v>
      </c>
      <c r="F19289" t="n">
        <v>1</v>
      </c>
      <c r="G19289" t="n">
        <v>2</v>
      </c>
      <c r="H19289" s="5">
        <f>HYPERLINK("https://api.qogita.com/variants/link/8595572903580/", "View Product")</f>
        <v/>
      </c>
    </row>
    <row r="19290">
      <c r="A19290" t="inlineStr">
        <is>
          <t>8595572905560</t>
        </is>
      </c>
      <c r="B19290" t="inlineStr">
        <is>
          <t>Bio Niacinamide Serum 30 ml</t>
        </is>
      </c>
      <c r="C19290" t="inlineStr">
        <is>
          <t>Vitamin Serum</t>
        </is>
      </c>
      <c r="D19290" t="inlineStr">
        <is>
          <t>Purity Vision</t>
        </is>
      </c>
      <c r="E19290" t="n">
        <v>10.04</v>
      </c>
      <c r="F19290" t="n">
        <v>1</v>
      </c>
      <c r="G19290" t="n">
        <v>7</v>
      </c>
      <c r="H19290" s="5">
        <f>HYPERLINK("https://api.qogita.com/variants/link/8595572905560/", "View Product")</f>
        <v/>
      </c>
    </row>
    <row r="19291">
      <c r="A19291" t="inlineStr">
        <is>
          <t>8595605202277</t>
        </is>
      </c>
      <c r="B19291" t="inlineStr">
        <is>
          <t>Alpa Essential Edt</t>
        </is>
      </c>
      <c r="C19291" t="inlineStr">
        <is>
          <t>Eau De Toilette</t>
        </is>
      </c>
      <c r="D19291" t="inlineStr">
        <is>
          <t>Alpa</t>
        </is>
      </c>
      <c r="E19291" t="n">
        <v>4.24</v>
      </c>
      <c r="F19291" t="n">
        <v>1</v>
      </c>
      <c r="G19291" t="n">
        <v>13</v>
      </c>
      <c r="H19291" s="5">
        <f>HYPERLINK("https://api.qogita.com/variants/link/8595605202277/", "View Product")</f>
        <v/>
      </c>
    </row>
    <row r="19292">
      <c r="A19292" t="inlineStr">
        <is>
          <t>8595615780154</t>
        </is>
      </c>
      <c r="B19292" t="inlineStr">
        <is>
          <t>Hair Brush with Red Lip / Eye Handle</t>
        </is>
      </c>
      <c r="C19292" t="inlineStr">
        <is>
          <t>Flat &amp; Paddle Brushes</t>
        </is>
      </c>
      <c r="D19292" t="inlineStr">
        <is>
          <t>Dtangler</t>
        </is>
      </c>
      <c r="E19292" t="n">
        <v>6.33</v>
      </c>
      <c r="F19292" t="n">
        <v>1</v>
      </c>
      <c r="G19292" t="n">
        <v>3</v>
      </c>
      <c r="H19292" s="5">
        <f>HYPERLINK("https://api.qogita.com/variants/link/8595615780154/", "View Product")</f>
        <v/>
      </c>
    </row>
    <row r="19293">
      <c r="A19293" t="inlineStr">
        <is>
          <t>8595615780253</t>
        </is>
      </c>
      <c r="B19293" t="inlineStr">
        <is>
          <t>Hair Brush with Silver Handle</t>
        </is>
      </c>
      <c r="C19293" t="inlineStr">
        <is>
          <t>Flat &amp; Paddle Brushes</t>
        </is>
      </c>
      <c r="D19293" t="inlineStr">
        <is>
          <t>Dtangler</t>
        </is>
      </c>
      <c r="E19293" t="n">
        <v>6.33</v>
      </c>
      <c r="F19293" t="n">
        <v>1</v>
      </c>
      <c r="G19293" t="n">
        <v>8</v>
      </c>
      <c r="H19293" s="5">
        <f>HYPERLINK("https://api.qogita.com/variants/link/8595615780253/", "View Product")</f>
        <v/>
      </c>
    </row>
    <row r="19294">
      <c r="A19294" t="inlineStr">
        <is>
          <t>8595615780284</t>
        </is>
      </c>
      <c r="B19294" t="inlineStr">
        <is>
          <t>Dtangler Ladies Comb</t>
        </is>
      </c>
      <c r="C19294" t="inlineStr">
        <is>
          <t>Combs</t>
        </is>
      </c>
      <c r="D19294" t="inlineStr">
        <is>
          <t>Dtangler</t>
        </is>
      </c>
      <c r="E19294" t="n">
        <v>6.33</v>
      </c>
      <c r="F19294" t="n">
        <v>1</v>
      </c>
      <c r="G19294" t="n">
        <v>2</v>
      </c>
      <c r="H19294" s="5">
        <f>HYPERLINK("https://api.qogita.com/variants/link/8595615780284/", "View Product")</f>
        <v/>
      </c>
    </row>
    <row r="19295">
      <c r="A19295" t="inlineStr">
        <is>
          <t>8595615780345</t>
        </is>
      </c>
      <c r="B19295" t="inlineStr">
        <is>
          <t>Hair Brush with Red Point Handle</t>
        </is>
      </c>
      <c r="C19295" t="inlineStr">
        <is>
          <t>Flat &amp; Paddle Brushes</t>
        </is>
      </c>
      <c r="D19295" t="inlineStr">
        <is>
          <t>Dtangler</t>
        </is>
      </c>
      <c r="E19295" t="n">
        <v>6.33</v>
      </c>
      <c r="F19295" t="n">
        <v>1</v>
      </c>
      <c r="G19295" t="n">
        <v>3</v>
      </c>
      <c r="H19295" s="5">
        <f>HYPERLINK("https://api.qogita.com/variants/link/8595615780345/", "View Product")</f>
        <v/>
      </c>
    </row>
    <row r="19296">
      <c r="A19296" t="inlineStr">
        <is>
          <t>8595615780413</t>
        </is>
      </c>
      <c r="B19296" t="inlineStr">
        <is>
          <t>Dtangler Red Scarlett Hair Brush</t>
        </is>
      </c>
      <c r="C19296" t="inlineStr">
        <is>
          <t>Detanglers</t>
        </is>
      </c>
      <c r="D19296" t="inlineStr">
        <is>
          <t>Dtangler</t>
        </is>
      </c>
      <c r="E19296" t="n">
        <v>7.54</v>
      </c>
      <c r="F19296" t="n">
        <v>1</v>
      </c>
      <c r="G19296" t="n">
        <v>10</v>
      </c>
      <c r="H19296" s="5">
        <f>HYPERLINK("https://api.qogita.com/variants/link/8595615780413/", "View Product")</f>
        <v/>
      </c>
    </row>
    <row r="19297">
      <c r="A19297" t="inlineStr">
        <is>
          <t>8595631009185</t>
        </is>
      </c>
      <c r="B19297" t="inlineStr">
        <is>
          <t>Concept Sonic Toothbrush With Uv Sterilizer Zk4040</t>
        </is>
      </c>
      <c r="C19297" t="inlineStr">
        <is>
          <t>Electric Toothbrushes</t>
        </is>
      </c>
      <c r="D19297" t="inlineStr">
        <is>
          <t>Concept</t>
        </is>
      </c>
      <c r="E19297" t="n">
        <v>54.29</v>
      </c>
      <c r="F19297" t="n">
        <v>1</v>
      </c>
      <c r="G19297" t="n">
        <v>2</v>
      </c>
      <c r="H19297" s="5">
        <f>HYPERLINK("https://api.qogita.com/variants/link/8595631009185/", "View Product")</f>
        <v/>
      </c>
    </row>
    <row r="19298">
      <c r="A19298" t="inlineStr">
        <is>
          <t>8595631010303</t>
        </is>
      </c>
      <c r="B19298" t="inlineStr">
        <is>
          <t>Concept Home Appliances PO2000 Perfect Skin Electric Sonic Facial Brush 3 Speeds Face Cleansing Brush Face Massager Waterproof: IPX6 USB Rechargeable</t>
        </is>
      </c>
      <c r="C19298" t="inlineStr">
        <is>
          <t>Facial Cleansing Brushes</t>
        </is>
      </c>
      <c r="D19298" t="inlineStr">
        <is>
          <t>Concept</t>
        </is>
      </c>
      <c r="E19298" t="n">
        <v>45.89</v>
      </c>
      <c r="F19298" t="n">
        <v>1</v>
      </c>
      <c r="G19298" t="n">
        <v>2</v>
      </c>
      <c r="H19298" s="5">
        <f>HYPERLINK("https://api.qogita.com/variants/link/8595631010303/", "View Product")</f>
        <v/>
      </c>
    </row>
    <row r="19299">
      <c r="A19299" t="inlineStr">
        <is>
          <t>8595631010334</t>
        </is>
      </c>
      <c r="B19299" t="inlineStr">
        <is>
          <t>Concept Perfect Skin Po2030 Cosmetic Ultrasonic Spatula</t>
        </is>
      </c>
      <c r="C19299" t="inlineStr">
        <is>
          <t>Facial Cleansing Tools</t>
        </is>
      </c>
      <c r="D19299" t="inlineStr">
        <is>
          <t>Concept</t>
        </is>
      </c>
      <c r="E19299" t="n">
        <v>39.61</v>
      </c>
      <c r="F19299" t="n">
        <v>1</v>
      </c>
      <c r="G19299" t="n">
        <v>7</v>
      </c>
      <c r="H19299" s="5">
        <f>HYPERLINK("https://api.qogita.com/variants/link/8595631010334/", "View Product")</f>
        <v/>
      </c>
    </row>
    <row r="19300">
      <c r="A19300" t="inlineStr">
        <is>
          <t>8595631011201</t>
        </is>
      </c>
      <c r="B19300" t="inlineStr">
        <is>
          <t>CONCEPT Household Appliances IL3020 IPL Hair Removal Device with 2 Modes and 5 Levels, 2 Attachments, 300,000 Pulse Lamp Life, LCD Display, Storage Bag</t>
        </is>
      </c>
      <c r="C19300" t="inlineStr">
        <is>
          <t>Razors &amp; Hair Removal Tools</t>
        </is>
      </c>
      <c r="D19300" t="inlineStr">
        <is>
          <t>Concept</t>
        </is>
      </c>
      <c r="E19300" t="n">
        <v>180.87</v>
      </c>
      <c r="F19300" t="n">
        <v>1</v>
      </c>
      <c r="G19300" t="n">
        <v>5</v>
      </c>
      <c r="H19300" s="5">
        <f>HYPERLINK("https://api.qogita.com/variants/link/8595631011201/", "View Product")</f>
        <v/>
      </c>
    </row>
    <row r="19301">
      <c r="A19301" t="inlineStr">
        <is>
          <t>8595631012772</t>
        </is>
      </c>
      <c r="B19301" t="inlineStr">
        <is>
          <t>Concept Dv7430 Heated Pad</t>
        </is>
      </c>
      <c r="C19301" t="inlineStr">
        <is>
          <t>Sporting Tension</t>
        </is>
      </c>
      <c r="D19301" t="inlineStr">
        <is>
          <t>Concept</t>
        </is>
      </c>
      <c r="E19301" t="n">
        <v>32.62</v>
      </c>
      <c r="F19301" t="n">
        <v>1</v>
      </c>
      <c r="G19301" t="n">
        <v>4</v>
      </c>
      <c r="H19301" s="5">
        <f>HYPERLINK("https://api.qogita.com/variants/link/8595631012772/", "View Product")</f>
        <v/>
      </c>
    </row>
    <row r="19302">
      <c r="A19302" t="inlineStr">
        <is>
          <t>8595631015889</t>
        </is>
      </c>
      <c r="B19302" t="inlineStr">
        <is>
          <t>Concept Household ZK0051 Daily Clean Replacement Brush Heads for Daily Care - Black</t>
        </is>
      </c>
      <c r="C19302" t="inlineStr">
        <is>
          <t>Toothbrushes &amp; Tongue Cleaners</t>
        </is>
      </c>
      <c r="D19302" t="inlineStr">
        <is>
          <t>Concept</t>
        </is>
      </c>
      <c r="E19302" t="n">
        <v>17.01</v>
      </c>
      <c r="F19302" t="n">
        <v>1</v>
      </c>
      <c r="G19302" t="n">
        <v>2</v>
      </c>
      <c r="H19302" s="5">
        <f>HYPERLINK("https://api.qogita.com/variants/link/8595631015889/", "View Product")</f>
        <v/>
      </c>
    </row>
    <row r="19303">
      <c r="A19303" t="inlineStr">
        <is>
          <t>8595631020517</t>
        </is>
      </c>
      <c r="B19303" t="inlineStr">
        <is>
          <t>Concept Cosmetic Ultrasonic Spatula Perfect Skin Po2031</t>
        </is>
      </c>
      <c r="C19303" t="inlineStr">
        <is>
          <t>Facial Cleansing Tools</t>
        </is>
      </c>
      <c r="D19303" t="inlineStr">
        <is>
          <t>Concept</t>
        </is>
      </c>
      <c r="E19303" t="n">
        <v>39.62</v>
      </c>
      <c r="F19303" t="n">
        <v>1</v>
      </c>
      <c r="G19303" t="n">
        <v>9</v>
      </c>
      <c r="H19303" s="5">
        <f>HYPERLINK("https://api.qogita.com/variants/link/8595631020517/", "View Product")</f>
        <v/>
      </c>
    </row>
    <row r="19304">
      <c r="A19304" t="inlineStr">
        <is>
          <t>8595631035993</t>
        </is>
      </c>
      <c r="B19304" t="inlineStr">
        <is>
          <t>Electric Heel File PN3020</t>
        </is>
      </c>
      <c r="C19304" t="inlineStr">
        <is>
          <t>Callus Remover</t>
        </is>
      </c>
      <c r="D19304" t="inlineStr">
        <is>
          <t>Concept</t>
        </is>
      </c>
      <c r="E19304" t="n">
        <v>28.84</v>
      </c>
      <c r="F19304" t="n">
        <v>1</v>
      </c>
      <c r="G19304" t="n">
        <v>11</v>
      </c>
      <c r="H19304" s="5">
        <f>HYPERLINK("https://api.qogita.com/variants/link/8595631035993/", "View Product")</f>
        <v/>
      </c>
    </row>
    <row r="19305">
      <c r="A19305" t="inlineStr">
        <is>
          <t>8595631065402</t>
        </is>
      </c>
      <c r="B19305" t="inlineStr">
        <is>
          <t>Concept Sonivibe Sonic Skin Cleansing Brush</t>
        </is>
      </c>
      <c r="C19305" t="inlineStr">
        <is>
          <t>Facial Cleansing Brushes</t>
        </is>
      </c>
      <c r="D19305" t="inlineStr">
        <is>
          <t>Concept</t>
        </is>
      </c>
      <c r="E19305" t="n">
        <v>22.2</v>
      </c>
      <c r="F19305" t="n">
        <v>1</v>
      </c>
      <c r="G19305" t="n">
        <v>5</v>
      </c>
      <c r="H19305" s="5">
        <f>HYPERLINK("https://api.qogita.com/variants/link/8595631065402/", "View Product")</f>
        <v/>
      </c>
    </row>
    <row r="19306">
      <c r="A19306" t="inlineStr">
        <is>
          <t>8595631074893</t>
        </is>
      </c>
      <c r="B19306" t="inlineStr">
        <is>
          <t>Concept Sonic Children's Toothbrush 5-9 Years Pink Zk6010</t>
        </is>
      </c>
      <c r="C19306" t="inlineStr">
        <is>
          <t>Electric Toothbrushes</t>
        </is>
      </c>
      <c r="D19306" t="inlineStr">
        <is>
          <t>Concept</t>
        </is>
      </c>
      <c r="E19306" t="n">
        <v>22.38</v>
      </c>
      <c r="F19306" t="n">
        <v>1</v>
      </c>
      <c r="G19306" t="n">
        <v>5</v>
      </c>
      <c r="H19306" s="5">
        <f>HYPERLINK("https://api.qogita.com/variants/link/8595631074893/", "View Product")</f>
        <v/>
      </c>
    </row>
    <row r="19307">
      <c r="A19307" t="inlineStr">
        <is>
          <t>8595635200205</t>
        </is>
      </c>
      <c r="B19307" t="inlineStr">
        <is>
          <t>Sun Argan Bronz Suntan Lotion SPF 10 with Argan Oil 200ml</t>
        </is>
      </c>
      <c r="C19307" t="inlineStr">
        <is>
          <t>Body Sun Protection</t>
        </is>
      </c>
      <c r="D19307" t="inlineStr">
        <is>
          <t>Vivaco</t>
        </is>
      </c>
      <c r="E19307" t="n">
        <v>4.63</v>
      </c>
      <c r="F19307" t="n">
        <v>1</v>
      </c>
      <c r="G19307" t="n">
        <v>5</v>
      </c>
      <c r="H19307" s="5">
        <f>HYPERLINK("https://api.qogita.com/variants/link/8595635200205/", "View Product")</f>
        <v/>
      </c>
    </row>
    <row r="19308">
      <c r="A19308" t="inlineStr">
        <is>
          <t>8595635200236</t>
        </is>
      </c>
      <c r="B19308" t="inlineStr">
        <is>
          <t>Sonne Opalovaci Olej S Arganovym Olejem Spf 10</t>
        </is>
      </c>
      <c r="C19308" t="inlineStr">
        <is>
          <t>Body Sun Protection</t>
        </is>
      </c>
      <c r="D19308" t="inlineStr">
        <is>
          <t>Vivaco</t>
        </is>
      </c>
      <c r="E19308" t="n">
        <v>4.96</v>
      </c>
      <c r="F19308" t="n">
        <v>1</v>
      </c>
      <c r="G19308" t="n">
        <v>5</v>
      </c>
      <c r="H19308" s="5">
        <f>HYPERLINK("https://api.qogita.com/variants/link/8595635200236/", "View Product")</f>
        <v/>
      </c>
    </row>
    <row r="19309">
      <c r="A19309" t="inlineStr">
        <is>
          <t>8595635200243</t>
        </is>
      </c>
      <c r="B19309" t="inlineStr">
        <is>
          <t>Sun Argan Oil Sunscreen SPF 20 200ml</t>
        </is>
      </c>
      <c r="C19309" t="inlineStr">
        <is>
          <t>Body Sun Protection</t>
        </is>
      </c>
      <c r="D19309" t="inlineStr">
        <is>
          <t>Vivaco</t>
        </is>
      </c>
      <c r="E19309" t="n">
        <v>6.43</v>
      </c>
      <c r="F19309" t="n">
        <v>1</v>
      </c>
      <c r="G19309" t="n">
        <v>15</v>
      </c>
      <c r="H19309" s="5">
        <f>HYPERLINK("https://api.qogita.com/variants/link/8595635200243/", "View Product")</f>
        <v/>
      </c>
    </row>
    <row r="19310">
      <c r="A19310" t="inlineStr">
        <is>
          <t>8595635203657</t>
        </is>
      </c>
      <c r="B19310" t="inlineStr">
        <is>
          <t>Vivapharm Depigma Derm Cream 50 Ml</t>
        </is>
      </c>
      <c r="C19310" t="inlineStr">
        <is>
          <t>Neurodermatitis</t>
        </is>
      </c>
      <c r="D19310" t="inlineStr">
        <is>
          <t>Vivapharm®</t>
        </is>
      </c>
      <c r="E19310" t="n">
        <v>9.199999999999999</v>
      </c>
      <c r="F19310" t="n">
        <v>1</v>
      </c>
      <c r="G19310" t="n">
        <v>7</v>
      </c>
      <c r="H19310" s="5">
        <f>HYPERLINK("https://api.qogita.com/variants/link/8595635203657/", "View Product")</f>
        <v/>
      </c>
    </row>
    <row r="19311">
      <c r="A19311" t="inlineStr">
        <is>
          <t>8595673310140</t>
        </is>
      </c>
      <c r="B19311" t="inlineStr">
        <is>
          <t>Pola Cosmetics Hd Makeup Perfect Look Foundation 30 Ml Fully Opaque</t>
        </is>
      </c>
      <c r="C19311" t="inlineStr">
        <is>
          <t>Foundation</t>
        </is>
      </c>
      <c r="D19311" t="inlineStr">
        <is>
          <t>Pola Cosmetics</t>
        </is>
      </c>
      <c r="E19311" t="n">
        <v>26.04</v>
      </c>
      <c r="F19311" t="n">
        <v>1</v>
      </c>
      <c r="G19311" t="n">
        <v>2</v>
      </c>
      <c r="H19311" s="5">
        <f>HYPERLINK("https://api.qogita.com/variants/link/8595673310140/", "View Product")</f>
        <v/>
      </c>
    </row>
    <row r="19312">
      <c r="A19312" t="inlineStr">
        <is>
          <t>8595673310157</t>
        </is>
      </c>
      <c r="B19312" t="inlineStr">
        <is>
          <t>Pola Cosmetics Hd Makeup Perfect Look Foundation 30 Ml</t>
        </is>
      </c>
      <c r="C19312" t="inlineStr">
        <is>
          <t>Foundation</t>
        </is>
      </c>
      <c r="D19312" t="inlineStr">
        <is>
          <t>Pola Cosmetics</t>
        </is>
      </c>
      <c r="E19312" t="n">
        <v>26.01</v>
      </c>
      <c r="F19312" t="n">
        <v>1</v>
      </c>
      <c r="G19312" t="n">
        <v>3</v>
      </c>
      <c r="H19312" s="5">
        <f>HYPERLINK("https://api.qogita.com/variants/link/8595673310157/", "View Product")</f>
        <v/>
      </c>
    </row>
    <row r="19313">
      <c r="A19313" t="inlineStr">
        <is>
          <t>8595673310393</t>
        </is>
      </c>
      <c r="B19313" t="inlineStr">
        <is>
          <t>Pola Cosmetics Moisturizing Lipstick Sappy Lips 38 G</t>
        </is>
      </c>
      <c r="C19313" t="inlineStr">
        <is>
          <t>Lipstick</t>
        </is>
      </c>
      <c r="D19313" t="inlineStr">
        <is>
          <t>Pola Cosmetics</t>
        </is>
      </c>
      <c r="E19313" t="n">
        <v>12.95</v>
      </c>
      <c r="F19313" t="n">
        <v>1</v>
      </c>
      <c r="G19313" t="n">
        <v>5</v>
      </c>
      <c r="H19313" s="5">
        <f>HYPERLINK("https://api.qogita.com/variants/link/8595673310393/", "View Product")</f>
        <v/>
      </c>
    </row>
    <row r="19314">
      <c r="A19314" t="inlineStr">
        <is>
          <t>8595673310416</t>
        </is>
      </c>
      <c r="B19314" t="inlineStr">
        <is>
          <t>Moisturizing lipstick Sappy Lips 3.8 g Shade 118</t>
        </is>
      </c>
      <c r="C19314" t="inlineStr">
        <is>
          <t>Lipstick</t>
        </is>
      </c>
      <c r="D19314" t="inlineStr">
        <is>
          <t>Pola Cosmetics</t>
        </is>
      </c>
      <c r="E19314" t="n">
        <v>12.6</v>
      </c>
      <c r="F19314" t="n">
        <v>1</v>
      </c>
      <c r="G19314" t="n">
        <v>4</v>
      </c>
      <c r="H19314" s="5">
        <f>HYPERLINK("https://api.qogita.com/variants/link/8595673310416/", "View Product")</f>
        <v/>
      </c>
    </row>
    <row r="19315">
      <c r="A19315" t="inlineStr">
        <is>
          <t>8595673310621</t>
        </is>
      </c>
      <c r="B19315" t="inlineStr">
        <is>
          <t>Make-up removers with carbon fibers 10 pieces</t>
        </is>
      </c>
      <c r="C19315" t="inlineStr">
        <is>
          <t>Makeup Remover</t>
        </is>
      </c>
      <c r="D19315" t="inlineStr">
        <is>
          <t>Pola Cosmetics</t>
        </is>
      </c>
      <c r="E19315" t="n">
        <v>15.26</v>
      </c>
      <c r="F19315" t="n">
        <v>1</v>
      </c>
      <c r="G19315" t="n">
        <v>4</v>
      </c>
      <c r="H19315" s="5">
        <f>HYPERLINK("https://api.qogita.com/variants/link/8595673310621/", "View Product")</f>
        <v/>
      </c>
    </row>
    <row r="19316">
      <c r="A19316" t="inlineStr">
        <is>
          <t>8595673310669</t>
        </is>
      </c>
      <c r="B19316" t="inlineStr">
        <is>
          <t>Pola Cosmetics Extension Mascara 10 Ml Black</t>
        </is>
      </c>
      <c r="C19316" t="inlineStr">
        <is>
          <t>Mascara</t>
        </is>
      </c>
      <c r="D19316" t="inlineStr">
        <is>
          <t>Pola Cosmetics</t>
        </is>
      </c>
      <c r="E19316" t="n">
        <v>15.56</v>
      </c>
      <c r="F19316" t="n">
        <v>1</v>
      </c>
      <c r="G19316" t="n">
        <v>10</v>
      </c>
      <c r="H19316" s="5">
        <f>HYPERLINK("https://api.qogita.com/variants/link/8595673310669/", "View Product")</f>
        <v/>
      </c>
    </row>
    <row r="19317">
      <c r="A19317" t="inlineStr">
        <is>
          <t>8595673310676</t>
        </is>
      </c>
      <c r="B19317" t="inlineStr">
        <is>
          <t>Eyebrow Pencil with Precise Style Brush 5 ml Shade P1</t>
        </is>
      </c>
      <c r="C19317" t="inlineStr">
        <is>
          <t>Eyebrow Pencil</t>
        </is>
      </c>
      <c r="D19317" t="inlineStr">
        <is>
          <t>Pola Cosmetics</t>
        </is>
      </c>
      <c r="E19317" t="n">
        <v>10.53</v>
      </c>
      <c r="F19317" t="n">
        <v>1</v>
      </c>
      <c r="G19317" t="n">
        <v>2</v>
      </c>
      <c r="H19317" s="5">
        <f>HYPERLINK("https://api.qogita.com/variants/link/8595673310676/", "View Product")</f>
        <v/>
      </c>
    </row>
    <row r="19318">
      <c r="A19318" t="inlineStr">
        <is>
          <t>8595673310720</t>
        </is>
      </c>
      <c r="B19318" t="inlineStr">
        <is>
          <t>Pola Cosmetics Precise Brow Styler 5 Ml Eyebrow Pencil With Precise Style Brush</t>
        </is>
      </c>
      <c r="C19318" t="inlineStr">
        <is>
          <t>Eyebrow Pencil</t>
        </is>
      </c>
      <c r="D19318" t="inlineStr">
        <is>
          <t>Pola Cosmetics</t>
        </is>
      </c>
      <c r="E19318" t="n">
        <v>10.53</v>
      </c>
      <c r="F19318" t="n">
        <v>1</v>
      </c>
      <c r="G19318" t="n">
        <v>4</v>
      </c>
      <c r="H19318" s="5">
        <f>HYPERLINK("https://api.qogita.com/variants/link/8595673310720/", "View Product")</f>
        <v/>
      </c>
    </row>
    <row r="19319">
      <c r="A19319" t="inlineStr">
        <is>
          <t>8595693510490</t>
        </is>
      </c>
      <c r="B19319" t="inlineStr">
        <is>
          <t>Smili Deluxe Bleaching Set - Professional Hair Bleaching Solution</t>
        </is>
      </c>
      <c r="C19319" t="inlineStr">
        <is>
          <t>Bleaching</t>
        </is>
      </c>
      <c r="D19319" t="inlineStr">
        <is>
          <t>Smili</t>
        </is>
      </c>
      <c r="E19319" t="n">
        <v>79.08</v>
      </c>
      <c r="F19319" t="n">
        <v>1</v>
      </c>
      <c r="G19319" t="n">
        <v>5</v>
      </c>
      <c r="H19319" s="5">
        <f>HYPERLINK("https://api.qogita.com/variants/link/8595693510490/", "View Product")</f>
        <v/>
      </c>
    </row>
    <row r="19320">
      <c r="A19320" t="inlineStr">
        <is>
          <t>8595713600095</t>
        </is>
      </c>
      <c r="B19320" t="inlineStr">
        <is>
          <t>Body Care Box gift set</t>
        </is>
      </c>
      <c r="C19320" t="inlineStr">
        <is>
          <t>Body Care Sets</t>
        </is>
      </c>
      <c r="D19320" t="inlineStr">
        <is>
          <t>Steve´S</t>
        </is>
      </c>
      <c r="E19320" t="n">
        <v>29.24</v>
      </c>
      <c r="F19320" t="n">
        <v>1</v>
      </c>
      <c r="G19320" t="n">
        <v>2</v>
      </c>
      <c r="H19320" s="5">
        <f>HYPERLINK("https://api.qogita.com/variants/link/8595713600095/", "View Product")</f>
        <v/>
      </c>
    </row>
    <row r="19321">
      <c r="A19321" t="inlineStr">
        <is>
          <t>8595713600125</t>
        </is>
      </c>
      <c r="B19321" t="inlineStr">
        <is>
          <t>Gift Set Shaving Box Blue Velvet</t>
        </is>
      </c>
      <c r="C19321" t="inlineStr">
        <is>
          <t>Beard Care Sets</t>
        </is>
      </c>
      <c r="D19321" t="inlineStr">
        <is>
          <t>Steve´S</t>
        </is>
      </c>
      <c r="E19321" t="n">
        <v>53.66</v>
      </c>
      <c r="F19321" t="n">
        <v>1</v>
      </c>
      <c r="G19321" t="n">
        <v>2</v>
      </c>
      <c r="H19321" s="5">
        <f>HYPERLINK("https://api.qogita.com/variants/link/8595713600125/", "View Product")</f>
        <v/>
      </c>
    </row>
    <row r="19322">
      <c r="A19322" t="inlineStr">
        <is>
          <t>8595713600156</t>
        </is>
      </c>
      <c r="B19322" t="inlineStr">
        <is>
          <t>Old School Shaving Box Gift Set</t>
        </is>
      </c>
      <c r="C19322" t="inlineStr">
        <is>
          <t>Beard Care Sets</t>
        </is>
      </c>
      <c r="D19322" t="inlineStr">
        <is>
          <t>Steve's</t>
        </is>
      </c>
      <c r="E19322" t="n">
        <v>41.43</v>
      </c>
      <c r="F19322" t="n">
        <v>1</v>
      </c>
      <c r="G19322" t="n">
        <v>5</v>
      </c>
      <c r="H19322" s="5">
        <f>HYPERLINK("https://api.qogita.com/variants/link/8595713600156/", "View Product")</f>
        <v/>
      </c>
    </row>
    <row r="19323">
      <c r="A19323" t="inlineStr">
        <is>
          <t>8595713604024</t>
        </is>
      </c>
      <c r="B19323" t="inlineStr">
        <is>
          <t>Steve's Elixir of Youth (Anti-Age Elixir) 50 ml</t>
        </is>
      </c>
      <c r="C19323" t="inlineStr">
        <is>
          <t>Anti-Aging Serum</t>
        </is>
      </c>
      <c r="D19323" t="inlineStr">
        <is>
          <t>Steve´S</t>
        </is>
      </c>
      <c r="E19323" t="n">
        <v>17.65</v>
      </c>
      <c r="F19323" t="n">
        <v>1</v>
      </c>
      <c r="G19323" t="n">
        <v>2</v>
      </c>
      <c r="H19323" s="5">
        <f>HYPERLINK("https://api.qogita.com/variants/link/8595713604024/", "View Product")</f>
        <v/>
      </c>
    </row>
    <row r="19324">
      <c r="A19324" t="inlineStr">
        <is>
          <t>8595713605014</t>
        </is>
      </c>
      <c r="B19324" t="inlineStr">
        <is>
          <t>Nostalgia Aftershave Cologne (Eau de Cologne) 100 ml</t>
        </is>
      </c>
      <c r="C19324" t="inlineStr">
        <is>
          <t>Aftershave</t>
        </is>
      </c>
      <c r="D19324" t="inlineStr">
        <is>
          <t>Steve´S</t>
        </is>
      </c>
      <c r="E19324" t="n">
        <v>24.08</v>
      </c>
      <c r="F19324" t="n">
        <v>1</v>
      </c>
      <c r="G19324" t="n">
        <v>2</v>
      </c>
      <c r="H19324" s="5">
        <f>HYPERLINK("https://api.qogita.com/variants/link/8595713605014/", "View Product")</f>
        <v/>
      </c>
    </row>
    <row r="19325">
      <c r="A19325" t="inlineStr">
        <is>
          <t>8595713605069</t>
        </is>
      </c>
      <c r="B19325" t="inlineStr">
        <is>
          <t>Blue Velvet After Shave Water 100 ml</t>
        </is>
      </c>
      <c r="C19325" t="inlineStr">
        <is>
          <t>Aftershave</t>
        </is>
      </c>
      <c r="D19325" t="inlineStr">
        <is>
          <t>Steve´S</t>
        </is>
      </c>
      <c r="E19325" t="n">
        <v>27.29</v>
      </c>
      <c r="F19325" t="n">
        <v>1</v>
      </c>
      <c r="G19325" t="n">
        <v>3</v>
      </c>
      <c r="H19325" s="5">
        <f>HYPERLINK("https://api.qogita.com/variants/link/8595713605069/", "View Product")</f>
        <v/>
      </c>
    </row>
    <row r="19326">
      <c r="A19326" t="inlineStr">
        <is>
          <t>8595713605090</t>
        </is>
      </c>
      <c r="B19326" t="inlineStr">
        <is>
          <t>Liberty 142 Eau de Parfum 50 milliliters</t>
        </is>
      </c>
      <c r="C19326" t="inlineStr">
        <is>
          <t>Eau De Parfum</t>
        </is>
      </c>
      <c r="D19326" t="inlineStr">
        <is>
          <t>Steve's</t>
        </is>
      </c>
      <c r="E19326" t="n">
        <v>61.06</v>
      </c>
      <c r="F19326" t="n">
        <v>1</v>
      </c>
      <c r="G19326" t="n">
        <v>3</v>
      </c>
      <c r="H19326" s="5">
        <f>HYPERLINK("https://api.qogita.com/variants/link/8595713605090/", "View Product")</f>
        <v/>
      </c>
    </row>
    <row r="19327">
      <c r="A19327" t="inlineStr">
        <is>
          <t>8681008055012</t>
        </is>
      </c>
      <c r="B19327" t="inlineStr">
        <is>
          <t>Vain &amp; Naive by Nishane Unisex Extrait de Parfum 50ml 1.7fl oz</t>
        </is>
      </c>
      <c r="C19327" t="inlineStr">
        <is>
          <t>Extrait De Parfum</t>
        </is>
      </c>
      <c r="D19327" t="inlineStr">
        <is>
          <t>Nishane</t>
        </is>
      </c>
      <c r="E19327" t="n">
        <v>94.84999999999999</v>
      </c>
      <c r="F19327" t="n">
        <v>1</v>
      </c>
      <c r="G19327" t="n">
        <v>4</v>
      </c>
      <c r="H19327" s="5">
        <f>HYPERLINK("https://api.qogita.com/variants/link/8681008055012/", "View Product")</f>
        <v/>
      </c>
    </row>
    <row r="19328">
      <c r="A19328" t="inlineStr">
        <is>
          <t>8681008055951</t>
        </is>
      </c>
      <c r="B19328" t="inlineStr">
        <is>
          <t>Nishane Shem Extrait De Parfum Spray 50ml</t>
        </is>
      </c>
      <c r="C19328" t="inlineStr">
        <is>
          <t>Extrait De Parfum</t>
        </is>
      </c>
      <c r="D19328" t="inlineStr">
        <is>
          <t>Nishane</t>
        </is>
      </c>
      <c r="E19328" t="n">
        <v>221.27</v>
      </c>
      <c r="F19328" t="n">
        <v>1</v>
      </c>
      <c r="G19328" t="n">
        <v>5</v>
      </c>
      <c r="H19328" s="5">
        <f>HYPERLINK("https://api.qogita.com/variants/link/8681008055951/", "View Product")</f>
        <v/>
      </c>
    </row>
    <row r="19329">
      <c r="A19329" t="inlineStr">
        <is>
          <t>8683608070525</t>
        </is>
      </c>
      <c r="B19329" t="inlineStr">
        <is>
          <t>Nishane Tempfluo Extrait De Parfum 50ml</t>
        </is>
      </c>
      <c r="C19329" t="inlineStr">
        <is>
          <t>Extrait De Parfum</t>
        </is>
      </c>
      <c r="D19329" t="inlineStr">
        <is>
          <t>Nishane</t>
        </is>
      </c>
      <c r="E19329" t="n">
        <v>99.66</v>
      </c>
      <c r="F19329" t="n">
        <v>1</v>
      </c>
      <c r="G19329" t="n">
        <v>2</v>
      </c>
      <c r="H19329" s="5">
        <f>HYPERLINK("https://api.qogita.com/variants/link/8683608070525/", "View Product")</f>
        <v/>
      </c>
    </row>
    <row r="19330">
      <c r="A19330" t="inlineStr">
        <is>
          <t>8683608070594</t>
        </is>
      </c>
      <c r="B19330" t="inlineStr">
        <is>
          <t>Nishane Kredo Extrait - Woody and Bright Fragrance</t>
        </is>
      </c>
      <c r="C19330" t="inlineStr">
        <is>
          <t>Extrait De Parfum</t>
        </is>
      </c>
      <c r="D19330" t="inlineStr">
        <is>
          <t>Nishane</t>
        </is>
      </c>
      <c r="E19330" t="n">
        <v>161.11</v>
      </c>
      <c r="F19330" t="n">
        <v>1</v>
      </c>
      <c r="G19330" t="n">
        <v>2</v>
      </c>
      <c r="H19330" s="5">
        <f>HYPERLINK("https://api.qogita.com/variants/link/8683608070594/", "View Product")</f>
        <v/>
      </c>
    </row>
    <row r="19331">
      <c r="A19331" t="inlineStr">
        <is>
          <t>8683608070914</t>
        </is>
      </c>
      <c r="B19331" t="inlineStr">
        <is>
          <t>Nishane Hacivat Oud Extrait De Parfum Spray 50ml</t>
        </is>
      </c>
      <c r="C19331" t="inlineStr">
        <is>
          <t>Extrait De Parfum</t>
        </is>
      </c>
      <c r="D19331" t="inlineStr">
        <is>
          <t>Nishane</t>
        </is>
      </c>
      <c r="E19331" t="n">
        <v>249.26</v>
      </c>
      <c r="F19331" t="n">
        <v>1</v>
      </c>
      <c r="G19331" t="n">
        <v>3</v>
      </c>
      <c r="H19331" s="5">
        <f>HYPERLINK("https://api.qogita.com/variants/link/8683608070914/", "View Product")</f>
        <v/>
      </c>
    </row>
    <row r="19332">
      <c r="A19332" t="inlineStr">
        <is>
          <t>8683608071003</t>
        </is>
      </c>
      <c r="B19332" t="inlineStr">
        <is>
          <t>Nishane Wülóng Chá X Extrait de Parfum 100 ml Unisex</t>
        </is>
      </c>
      <c r="C19332" t="inlineStr">
        <is>
          <t>Extrait De Parfum</t>
        </is>
      </c>
      <c r="D19332" t="inlineStr">
        <is>
          <t>Nishane</t>
        </is>
      </c>
      <c r="E19332" t="n">
        <v>169.77</v>
      </c>
      <c r="F19332" t="n">
        <v>1</v>
      </c>
      <c r="G19332" t="n">
        <v>10</v>
      </c>
      <c r="H19332" s="5">
        <f>HYPERLINK("https://api.qogita.com/variants/link/8683608071003/", "View Product")</f>
        <v/>
      </c>
    </row>
    <row r="19333">
      <c r="A19333" t="inlineStr">
        <is>
          <t>8683608071201</t>
        </is>
      </c>
      <c r="B19333" t="inlineStr">
        <is>
          <t>Nishane Hacivat Extrait De Parfum 50ml</t>
        </is>
      </c>
      <c r="C19333" t="inlineStr">
        <is>
          <t>Extrait De Parfum</t>
        </is>
      </c>
      <c r="D19333" t="inlineStr">
        <is>
          <t>Nishane</t>
        </is>
      </c>
      <c r="E19333" t="n">
        <v>95.22</v>
      </c>
      <c r="F19333" t="n">
        <v>1</v>
      </c>
      <c r="G19333" t="n">
        <v>235</v>
      </c>
      <c r="H19333" s="5">
        <f>HYPERLINK("https://api.qogita.com/variants/link/8683608071201/", "View Product")</f>
        <v/>
      </c>
    </row>
    <row r="19334">
      <c r="A19334" t="inlineStr">
        <is>
          <t>8683608071621</t>
        </is>
      </c>
      <c r="B19334" t="inlineStr">
        <is>
          <t>Nishane Favonius London Eau De Extrait 100ml</t>
        </is>
      </c>
      <c r="C19334" t="inlineStr">
        <is>
          <t>Extrait De Parfum</t>
        </is>
      </c>
      <c r="D19334" t="inlineStr">
        <is>
          <t>Nishane</t>
        </is>
      </c>
      <c r="E19334" t="n">
        <v>154.08</v>
      </c>
      <c r="F19334" t="n">
        <v>1</v>
      </c>
      <c r="G19334" t="n">
        <v>6</v>
      </c>
      <c r="H19334" s="5">
        <f>HYPERLINK("https://api.qogita.com/variants/link/8683608071621/", "View Product")</f>
        <v/>
      </c>
    </row>
    <row r="19335">
      <c r="A19335" t="inlineStr">
        <is>
          <t>8700216011365</t>
        </is>
      </c>
      <c r="B19335" t="inlineStr">
        <is>
          <t>Old Spice Deep Sea Shower Gel Refreshing Body Wash</t>
        </is>
      </c>
      <c r="C19335" t="inlineStr">
        <is>
          <t>Shower Gel</t>
        </is>
      </c>
      <c r="D19335" t="inlineStr">
        <is>
          <t>Old Spice</t>
        </is>
      </c>
      <c r="E19335" t="n">
        <v>8.31</v>
      </c>
      <c r="F19335" t="n">
        <v>1</v>
      </c>
      <c r="G19335" t="n">
        <v>16</v>
      </c>
      <c r="H19335" s="5">
        <f>HYPERLINK("https://api.qogita.com/variants/link/8700216011365/", "View Product")</f>
        <v/>
      </c>
    </row>
    <row r="19336">
      <c r="A19336" t="inlineStr">
        <is>
          <t>8700216011419</t>
        </is>
      </c>
      <c r="B19336" t="inlineStr">
        <is>
          <t>Oralb Electric Toothbrush Series Io 6 Pink</t>
        </is>
      </c>
      <c r="C19336" t="inlineStr">
        <is>
          <t>Electric Toothbrushes</t>
        </is>
      </c>
      <c r="D19336" t="inlineStr">
        <is>
          <t>Oral-B</t>
        </is>
      </c>
      <c r="E19336" t="n">
        <v>138.45</v>
      </c>
      <c r="F19336" t="n">
        <v>1</v>
      </c>
      <c r="G19336" t="n">
        <v>3</v>
      </c>
      <c r="H19336" s="5">
        <f>HYPERLINK("https://api.qogita.com/variants/link/8700216011419/", "View Product")</f>
        <v/>
      </c>
    </row>
    <row r="19337">
      <c r="A19337" t="inlineStr">
        <is>
          <t>8700216013420</t>
        </is>
      </c>
      <c r="B19337" t="inlineStr">
        <is>
          <t>Oral-B Io Series 9 Electric Toothbrush Rose Quartz Pink with 7 Modes</t>
        </is>
      </c>
      <c r="C19337" t="inlineStr">
        <is>
          <t>Electric Toothbrushes</t>
        </is>
      </c>
      <c r="D19337" t="inlineStr">
        <is>
          <t>Oral-B</t>
        </is>
      </c>
      <c r="E19337" t="n">
        <v>242.36</v>
      </c>
      <c r="F19337" t="n">
        <v>1</v>
      </c>
      <c r="G19337" t="n">
        <v>2</v>
      </c>
      <c r="H19337" s="5">
        <f>HYPERLINK("https://api.qogita.com/variants/link/8700216013420/", "View Product")</f>
        <v/>
      </c>
    </row>
    <row r="19338">
      <c r="A19338" t="inlineStr">
        <is>
          <t>8700216062770</t>
        </is>
      </c>
      <c r="B19338" t="inlineStr">
        <is>
          <t>Mach3 Charcoal Replacement Head Variant 5 ks</t>
        </is>
      </c>
      <c r="C19338" t="inlineStr">
        <is>
          <t>Razors &amp; Hair Removal Tools</t>
        </is>
      </c>
      <c r="D19338" t="inlineStr">
        <is>
          <t>Gillette</t>
        </is>
      </c>
      <c r="E19338" t="n">
        <v>17.65</v>
      </c>
      <c r="F19338" t="n">
        <v>1</v>
      </c>
      <c r="G19338" t="n">
        <v>4</v>
      </c>
      <c r="H19338" s="5">
        <f>HYPERLINK("https://api.qogita.com/variants/link/8700216062770/", "View Product")</f>
        <v/>
      </c>
    </row>
    <row r="19339">
      <c r="A19339" t="inlineStr">
        <is>
          <t>8700216131599</t>
        </is>
      </c>
      <c r="B19339" t="inlineStr">
        <is>
          <t>Old Spice For The Legend Footballer gift set for men</t>
        </is>
      </c>
      <c r="C19339" t="inlineStr">
        <is>
          <t>Fragrance Sets</t>
        </is>
      </c>
      <c r="D19339" t="inlineStr">
        <is>
          <t>Old Spice</t>
        </is>
      </c>
      <c r="E19339" t="n">
        <v>10.8</v>
      </c>
      <c r="F19339" t="n">
        <v>1</v>
      </c>
      <c r="G19339" t="n">
        <v>3</v>
      </c>
      <c r="H19339" s="5">
        <f>HYPERLINK("https://api.qogita.com/variants/link/8700216131599/", "View Product")</f>
        <v/>
      </c>
    </row>
    <row r="19340">
      <c r="A19340" t="inlineStr">
        <is>
          <t>8700216169936</t>
        </is>
      </c>
      <c r="B19340" t="inlineStr">
        <is>
          <t>Old Spice Booster Spray Deodorant Body Spray 150 Ml</t>
        </is>
      </c>
      <c r="C19340" t="inlineStr">
        <is>
          <t>Deodorant &amp; Anti-Perspirant</t>
        </is>
      </c>
      <c r="D19340" t="inlineStr">
        <is>
          <t>Old Spice</t>
        </is>
      </c>
      <c r="E19340" t="n">
        <v>5.73</v>
      </c>
      <c r="F19340" t="n">
        <v>1</v>
      </c>
      <c r="G19340" t="n">
        <v>4</v>
      </c>
      <c r="H19340" s="5">
        <f>HYPERLINK("https://api.qogita.com/variants/link/8700216169936/", "View Product")</f>
        <v/>
      </c>
    </row>
    <row r="19341">
      <c r="A19341" t="inlineStr">
        <is>
          <t>8700216199438</t>
        </is>
      </c>
      <c r="B19341" t="inlineStr">
        <is>
          <t>Oral B Io Gentle Care Brush Heads - 4 Pieces</t>
        </is>
      </c>
      <c r="C19341" t="inlineStr">
        <is>
          <t>Electric Toothbrushes</t>
        </is>
      </c>
      <c r="D19341" t="inlineStr">
        <is>
          <t>Oral-B</t>
        </is>
      </c>
      <c r="E19341" t="n">
        <v>34.6</v>
      </c>
      <c r="F19341" t="n">
        <v>1</v>
      </c>
      <c r="G19341" t="n">
        <v>3</v>
      </c>
      <c r="H19341" s="5">
        <f>HYPERLINK("https://api.qogita.com/variants/link/8700216199438/", "View Product")</f>
        <v/>
      </c>
    </row>
    <row r="19342">
      <c r="A19342" t="inlineStr">
        <is>
          <t>8700216304856</t>
        </is>
      </c>
      <c r="B19342" t="inlineStr">
        <is>
          <t>Head &amp; Shoulders Smooth &amp; Silky Shampoo 2 in 1 - 330 ml</t>
        </is>
      </c>
      <c r="C19342" t="inlineStr">
        <is>
          <t>Shampoo</t>
        </is>
      </c>
      <c r="D19342" t="inlineStr">
        <is>
          <t>Head And Shoulders</t>
        </is>
      </c>
      <c r="E19342" t="n">
        <v>6.4</v>
      </c>
      <c r="F19342" t="n">
        <v>1</v>
      </c>
      <c r="G19342" t="n">
        <v>5</v>
      </c>
      <c r="H19342" s="5">
        <f>HYPERLINK("https://api.qogita.com/variants/link/8700216304856/", "View Product")</f>
        <v/>
      </c>
    </row>
    <row r="19343">
      <c r="A19343" t="inlineStr">
        <is>
          <t>8700216452588</t>
        </is>
      </c>
      <c r="B19343" t="inlineStr">
        <is>
          <t>Old Spice Wolf Thorn Shower Gel 1000 Ml</t>
        </is>
      </c>
      <c r="C19343" t="inlineStr">
        <is>
          <t>Shower Gel</t>
        </is>
      </c>
      <c r="D19343" t="inlineStr">
        <is>
          <t>Old Spice</t>
        </is>
      </c>
      <c r="E19343" t="n">
        <v>11.39</v>
      </c>
      <c r="F19343" t="n">
        <v>1</v>
      </c>
      <c r="G19343" t="n">
        <v>21</v>
      </c>
      <c r="H19343" s="5">
        <f>HYPERLINK("https://api.qogita.com/variants/link/8700216452588/", "View Product")</f>
        <v/>
      </c>
    </row>
    <row r="19344">
      <c r="A19344" t="inlineStr">
        <is>
          <t>8700216497039</t>
        </is>
      </c>
      <c r="B19344" t="inlineStr">
        <is>
          <t>Gillette Classic Sensitive Shaving Cream 400 Ml</t>
        </is>
      </c>
      <c r="C19344" t="inlineStr">
        <is>
          <t>Shaving</t>
        </is>
      </c>
      <c r="D19344" t="inlineStr">
        <is>
          <t>Gillette</t>
        </is>
      </c>
      <c r="E19344" t="n">
        <v>5.72</v>
      </c>
      <c r="F19344" t="n">
        <v>1</v>
      </c>
      <c r="G19344" t="n">
        <v>4</v>
      </c>
      <c r="H19344" s="5">
        <f>HYPERLINK("https://api.qogita.com/variants/link/8700216497039/", "View Product")</f>
        <v/>
      </c>
    </row>
    <row r="19345">
      <c r="A19345" t="inlineStr">
        <is>
          <t>8700216592895</t>
        </is>
      </c>
      <c r="B19345" t="inlineStr">
        <is>
          <t>Gillette Cosmetic Set Sensor 3</t>
        </is>
      </c>
      <c r="C19345" t="inlineStr">
        <is>
          <t>Shaving</t>
        </is>
      </c>
      <c r="D19345" t="inlineStr">
        <is>
          <t>Gillette</t>
        </is>
      </c>
      <c r="E19345" t="n">
        <v>10.95</v>
      </c>
      <c r="F19345" t="n">
        <v>1</v>
      </c>
      <c r="G19345" t="n">
        <v>16</v>
      </c>
      <c r="H19345" s="5">
        <f>HYPERLINK("https://api.qogita.com/variants/link/8700216592895/", "View Product")</f>
        <v/>
      </c>
    </row>
    <row r="19346">
      <c r="A19346" t="inlineStr">
        <is>
          <t>8700216617581</t>
        </is>
      </c>
      <c r="B19346" t="inlineStr">
        <is>
          <t>Gillette Venus Comfortglide Gift Set</t>
        </is>
      </c>
      <c r="C19346" t="inlineStr">
        <is>
          <t>Shaving Kits</t>
        </is>
      </c>
      <c r="D19346" t="inlineStr">
        <is>
          <t>Gillette</t>
        </is>
      </c>
      <c r="E19346" t="n">
        <v>17.65</v>
      </c>
      <c r="F19346" t="n">
        <v>1</v>
      </c>
      <c r="G19346" t="n">
        <v>34</v>
      </c>
      <c r="H19346" s="5">
        <f>HYPERLINK("https://api.qogita.com/variants/link/8700216617581/", "View Product")</f>
        <v/>
      </c>
    </row>
    <row r="19347">
      <c r="A19347" t="inlineStr">
        <is>
          <t>8700216631204</t>
        </is>
      </c>
      <c r="B19347" t="inlineStr">
        <is>
          <t>Gillette I5 Body &amp; Intimate Trimmer</t>
        </is>
      </c>
      <c r="C19347" t="inlineStr">
        <is>
          <t>Razors &amp; Hair Removal Tools</t>
        </is>
      </c>
      <c r="D19347" t="inlineStr">
        <is>
          <t>Gillette</t>
        </is>
      </c>
      <c r="E19347" t="n">
        <v>51.64</v>
      </c>
      <c r="F19347" t="n">
        <v>1</v>
      </c>
      <c r="G19347" t="n">
        <v>14</v>
      </c>
      <c r="H19347" s="5">
        <f>HYPERLINK("https://api.qogita.com/variants/link/8700216631204/", "View Product")</f>
        <v/>
      </c>
    </row>
    <row r="19348">
      <c r="A19348" t="inlineStr">
        <is>
          <t>8700216639262</t>
        </is>
      </c>
      <c r="B19348" t="inlineStr">
        <is>
          <t>Old Spice Power Start Antiperspirant Spray 150 Ml</t>
        </is>
      </c>
      <c r="C19348" t="inlineStr">
        <is>
          <t>Deodorant &amp; Anti-Perspirant</t>
        </is>
      </c>
      <c r="D19348" t="inlineStr">
        <is>
          <t>Old Spice</t>
        </is>
      </c>
      <c r="E19348" t="n">
        <v>6.58</v>
      </c>
      <c r="F19348" t="n">
        <v>1</v>
      </c>
      <c r="G19348" t="n">
        <v>8</v>
      </c>
      <c r="H19348" s="5">
        <f>HYPERLINK("https://api.qogita.com/variants/link/8700216639262/", "View Product")</f>
        <v/>
      </c>
    </row>
    <row r="19349">
      <c r="A19349" t="inlineStr">
        <is>
          <t>8700216674195</t>
        </is>
      </c>
      <c r="B19349" t="inlineStr">
        <is>
          <t>Gillette Venus Miami 6x Green + 1 Adapter + Hanger - Women's Razor</t>
        </is>
      </c>
      <c r="C19349" t="inlineStr">
        <is>
          <t>Razors &amp; Hair Removal Tools</t>
        </is>
      </c>
      <c r="D19349" t="inlineStr">
        <is>
          <t>Gillette</t>
        </is>
      </c>
      <c r="E19349" t="n">
        <v>11.06</v>
      </c>
      <c r="F19349" t="n">
        <v>1</v>
      </c>
      <c r="G19349" t="n">
        <v>18</v>
      </c>
      <c r="H19349" s="5">
        <f>HYPERLINK("https://api.qogita.com/variants/link/8700216674195/", "View Product")</f>
        <v/>
      </c>
    </row>
    <row r="19350">
      <c r="A19350" t="inlineStr">
        <is>
          <t>8700216756884</t>
        </is>
      </c>
      <c r="B19350" t="inlineStr">
        <is>
          <t>Venus Gill. Venus Miami Vibes - 6 Count</t>
        </is>
      </c>
      <c r="C19350" t="inlineStr">
        <is>
          <t>Body Care Sets</t>
        </is>
      </c>
      <c r="D19350" t="inlineStr">
        <is>
          <t>Venus</t>
        </is>
      </c>
      <c r="E19350" t="n">
        <v>8.029999999999999</v>
      </c>
      <c r="F19350" t="n">
        <v>1</v>
      </c>
      <c r="G19350" t="n">
        <v>6</v>
      </c>
      <c r="H19350" s="5">
        <f>HYPERLINK("https://api.qogita.com/variants/link/8700216756884/", "View Product")</f>
        <v/>
      </c>
    </row>
    <row r="19351">
      <c r="A19351" t="inlineStr">
        <is>
          <t>8700216756907</t>
        </is>
      </c>
      <c r="B19351" t="inlineStr">
        <is>
          <t>Gillette Venus Smooth Miami Disposable Razors - 6 Pieces</t>
        </is>
      </c>
      <c r="C19351" t="inlineStr">
        <is>
          <t>Razors &amp; Hair Removal Tools</t>
        </is>
      </c>
      <c r="D19351" t="inlineStr">
        <is>
          <t>Gillette</t>
        </is>
      </c>
      <c r="E19351" t="n">
        <v>9.74</v>
      </c>
      <c r="F19351" t="n">
        <v>1</v>
      </c>
      <c r="G19351" t="n">
        <v>11</v>
      </c>
      <c r="H19351" s="5">
        <f>HYPERLINK("https://api.qogita.com/variants/link/8700216756907/", "View Product")</f>
        <v/>
      </c>
    </row>
    <row r="19352">
      <c r="A19352" t="inlineStr">
        <is>
          <t>8710447171356</t>
        </is>
      </c>
      <c r="B19352" t="inlineStr">
        <is>
          <t>Rexona Active Protection Invisible Antiperspirant Spray For Men 150 Ml</t>
        </is>
      </c>
      <c r="C19352" t="inlineStr">
        <is>
          <t>Deodorant &amp; Anti-Perspirant</t>
        </is>
      </c>
      <c r="D19352" t="inlineStr">
        <is>
          <t>Rexona</t>
        </is>
      </c>
      <c r="E19352" t="n">
        <v>3.95</v>
      </c>
      <c r="F19352" t="n">
        <v>1</v>
      </c>
      <c r="G19352" t="n">
        <v>5</v>
      </c>
      <c r="H19352" s="5">
        <f>HYPERLINK("https://api.qogita.com/variants/link/8710447171356/", "View Product")</f>
        <v/>
      </c>
    </row>
    <row r="19353">
      <c r="A19353" t="inlineStr">
        <is>
          <t>8710447275313</t>
        </is>
      </c>
      <c r="B19353" t="inlineStr">
        <is>
          <t>Nourishing Secrets Restoring Ritual Hand Cream With Coconut Oil &amp; Almond Milk, 75ml</t>
        </is>
      </c>
      <c r="C19353" t="inlineStr">
        <is>
          <t>Hand Cream</t>
        </is>
      </c>
      <c r="D19353" t="inlineStr">
        <is>
          <t>Nourishing Secrets</t>
        </is>
      </c>
      <c r="E19353" t="n">
        <v>3.73</v>
      </c>
      <c r="F19353" t="n">
        <v>1</v>
      </c>
      <c r="G19353" t="n">
        <v>3</v>
      </c>
      <c r="H19353" s="5">
        <f>HYPERLINK("https://api.qogita.com/variants/link/8710447275313/", "View Product")</f>
        <v/>
      </c>
    </row>
    <row r="19354">
      <c r="A19354" t="inlineStr">
        <is>
          <t>8710522323120</t>
        </is>
      </c>
      <c r="B19354" t="inlineStr">
        <is>
          <t>Tresemm Biotin Repair7 Shampoo Shampoo With Biotin For Hair Protection And Renewal</t>
        </is>
      </c>
      <c r="C19354" t="inlineStr">
        <is>
          <t>Shampoo</t>
        </is>
      </c>
      <c r="D19354" t="inlineStr">
        <is>
          <t>TRESemmé</t>
        </is>
      </c>
      <c r="E19354" t="n">
        <v>6.2</v>
      </c>
      <c r="F19354" t="n">
        <v>1</v>
      </c>
      <c r="G19354" t="n">
        <v>5</v>
      </c>
      <c r="H19354" s="5">
        <f>HYPERLINK("https://api.qogita.com/variants/link/8710522323120/", "View Product")</f>
        <v/>
      </c>
    </row>
    <row r="19355">
      <c r="A19355" t="inlineStr">
        <is>
          <t>8710522323144</t>
        </is>
      </c>
      <c r="B19355" t="inlineStr">
        <is>
          <t>TRESemmé Biotin + Repair 7 Conditioner 400ml</t>
        </is>
      </c>
      <c r="C19355" t="inlineStr">
        <is>
          <t>Conditioner</t>
        </is>
      </c>
      <c r="D19355" t="inlineStr">
        <is>
          <t>TRESemmé</t>
        </is>
      </c>
      <c r="E19355" t="n">
        <v>6.2</v>
      </c>
      <c r="F19355" t="n">
        <v>1</v>
      </c>
      <c r="G19355" t="n">
        <v>5</v>
      </c>
      <c r="H19355" s="5">
        <f>HYPERLINK("https://api.qogita.com/variants/link/8710522323144/", "View Product")</f>
        <v/>
      </c>
    </row>
    <row r="19356">
      <c r="A19356" t="inlineStr">
        <is>
          <t>8710847974427</t>
        </is>
      </c>
      <c r="B19356" t="inlineStr">
        <is>
          <t>Tresemme Purify Hydrating Shampoo with Hyaluronic Acid and White Clay 400ml for Oily Hair</t>
        </is>
      </c>
      <c r="C19356" t="inlineStr">
        <is>
          <t>Shampoo</t>
        </is>
      </c>
      <c r="D19356" t="inlineStr">
        <is>
          <t>TRESemmé</t>
        </is>
      </c>
      <c r="E19356" t="n">
        <v>6.76</v>
      </c>
      <c r="F19356" t="n">
        <v>1</v>
      </c>
      <c r="G19356" t="n">
        <v>5</v>
      </c>
      <c r="H19356" s="5">
        <f>HYPERLINK("https://api.qogita.com/variants/link/8710847974427/", "View Product")</f>
        <v/>
      </c>
    </row>
    <row r="19357">
      <c r="A19357" t="inlineStr">
        <is>
          <t>8710847974441</t>
        </is>
      </c>
      <c r="B19357" t="inlineStr">
        <is>
          <t>Tresemme Purify &amp; Hydrate Conditioner 400ml</t>
        </is>
      </c>
      <c r="C19357" t="inlineStr">
        <is>
          <t>Conditioner</t>
        </is>
      </c>
      <c r="D19357" t="inlineStr">
        <is>
          <t>TRESemmé</t>
        </is>
      </c>
      <c r="E19357" t="n">
        <v>6.76</v>
      </c>
      <c r="F19357" t="n">
        <v>1</v>
      </c>
      <c r="G19357" t="n">
        <v>5</v>
      </c>
      <c r="H19357" s="5">
        <f>HYPERLINK("https://api.qogita.com/variants/link/8710847974441/", "View Product")</f>
        <v/>
      </c>
    </row>
    <row r="19358">
      <c r="A19358" t="inlineStr">
        <is>
          <t>8711700841252</t>
        </is>
      </c>
      <c r="B19358" t="inlineStr">
        <is>
          <t>Dove Purely Pampering Nourishing Lotion With Fragrance Of Shea Butter And Vanilla 400 Ml</t>
        </is>
      </c>
      <c r="C19358" t="inlineStr">
        <is>
          <t>Body Lotion</t>
        </is>
      </c>
      <c r="D19358" t="inlineStr">
        <is>
          <t>Dove</t>
        </is>
      </c>
      <c r="E19358" t="n">
        <v>6.17</v>
      </c>
      <c r="F19358" t="n">
        <v>1</v>
      </c>
      <c r="G19358" t="n">
        <v>8</v>
      </c>
      <c r="H19358" s="5">
        <f>HYPERLINK("https://api.qogita.com/variants/link/8711700841252/", "View Product")</f>
        <v/>
      </c>
    </row>
    <row r="19359">
      <c r="A19359" t="inlineStr">
        <is>
          <t>8711776640100</t>
        </is>
      </c>
      <c r="B19359" t="inlineStr">
        <is>
          <t>Weleda Calendula Body Spray 30ml</t>
        </is>
      </c>
      <c r="C19359" t="inlineStr">
        <is>
          <t>Body Mist</t>
        </is>
      </c>
      <c r="D19359" t="inlineStr">
        <is>
          <t>Weleda</t>
        </is>
      </c>
      <c r="E19359" t="n">
        <v>9.710000000000001</v>
      </c>
      <c r="F19359" t="n">
        <v>1</v>
      </c>
      <c r="G19359" t="n">
        <v>6</v>
      </c>
      <c r="H19359" s="5">
        <f>HYPERLINK("https://api.qogita.com/variants/link/8711776640100/", "View Product")</f>
        <v/>
      </c>
    </row>
    <row r="19360">
      <c r="A19360" t="inlineStr">
        <is>
          <t>8712561252843</t>
        </is>
      </c>
      <c r="B19360" t="inlineStr">
        <is>
          <t>Axe Deodorant Spray 150 Ml Musk Fresh And Longlasting Fragrance</t>
        </is>
      </c>
      <c r="C19360" t="inlineStr">
        <is>
          <t>Deodorant &amp; Anti-Perspirant</t>
        </is>
      </c>
      <c r="D19360" t="inlineStr">
        <is>
          <t>Axe</t>
        </is>
      </c>
      <c r="E19360" t="n">
        <v>3.18</v>
      </c>
      <c r="F19360" t="n">
        <v>1</v>
      </c>
      <c r="G19360" t="n">
        <v>5</v>
      </c>
      <c r="H19360" s="5">
        <f>HYPERLINK("https://api.qogita.com/variants/link/8712561252843/", "View Product")</f>
        <v/>
      </c>
    </row>
    <row r="19361">
      <c r="A19361" t="inlineStr">
        <is>
          <t>8712561319409</t>
        </is>
      </c>
      <c r="B19361" t="inlineStr">
        <is>
          <t>Rexona Motionsense Invisible Blackwhite Antiperspirant Antiperspirant In Spray</t>
        </is>
      </c>
      <c r="C19361" t="inlineStr">
        <is>
          <t>Deodorant &amp; Anti-Perspirant</t>
        </is>
      </c>
      <c r="D19361" t="inlineStr">
        <is>
          <t>Rexona</t>
        </is>
      </c>
      <c r="E19361" t="n">
        <v>3.95</v>
      </c>
      <c r="F19361" t="n">
        <v>1</v>
      </c>
      <c r="G19361" t="n">
        <v>5</v>
      </c>
      <c r="H19361" s="5">
        <f>HYPERLINK("https://api.qogita.com/variants/link/8712561319409/", "View Product")</f>
        <v/>
      </c>
    </row>
    <row r="19362">
      <c r="A19362" t="inlineStr">
        <is>
          <t>8712856053636</t>
        </is>
      </c>
      <c r="B19362" t="inlineStr">
        <is>
          <t>Silk'n Micropedi Wetanddry Hard Skin Remover</t>
        </is>
      </c>
      <c r="C19362" t="inlineStr">
        <is>
          <t>Callus Remover</t>
        </is>
      </c>
      <c r="D19362" t="inlineStr">
        <is>
          <t>Silk'n</t>
        </is>
      </c>
      <c r="E19362" t="n">
        <v>40.28</v>
      </c>
      <c r="F19362" t="n">
        <v>1</v>
      </c>
      <c r="G19362" t="n">
        <v>3</v>
      </c>
      <c r="H19362" s="5">
        <f>HYPERLINK("https://api.qogita.com/variants/link/8712856053636/", "View Product")</f>
        <v/>
      </c>
    </row>
    <row r="19363">
      <c r="A19363" t="inlineStr">
        <is>
          <t>8712856053957</t>
        </is>
      </c>
      <c r="B19363" t="inlineStr">
        <is>
          <t>Silk'n MicroPedi Refill Waterproof Rollers Medium and Coarse Removes Calluses in Seconds</t>
        </is>
      </c>
      <c r="C19363" t="inlineStr">
        <is>
          <t>Callus Remover</t>
        </is>
      </c>
      <c r="D19363" t="inlineStr">
        <is>
          <t>Silk'n</t>
        </is>
      </c>
      <c r="E19363" t="n">
        <v>11.15</v>
      </c>
      <c r="F19363" t="n">
        <v>1</v>
      </c>
      <c r="G19363" t="n">
        <v>2</v>
      </c>
      <c r="H19363" s="5">
        <f>HYPERLINK("https://api.qogita.com/variants/link/8712856053957/", "View Product")</f>
        <v/>
      </c>
    </row>
    <row r="19364">
      <c r="A19364" t="inlineStr">
        <is>
          <t>8712856064168</t>
        </is>
      </c>
      <c r="B19364" t="inlineStr">
        <is>
          <t>Silk'n Vacupedi Hardened Skin Remover With Suction</t>
        </is>
      </c>
      <c r="C19364" t="inlineStr">
        <is>
          <t>Callus Remover</t>
        </is>
      </c>
      <c r="D19364" t="inlineStr">
        <is>
          <t>Silk'n</t>
        </is>
      </c>
      <c r="E19364" t="n">
        <v>70.14</v>
      </c>
      <c r="F19364" t="n">
        <v>1</v>
      </c>
      <c r="G19364" t="n">
        <v>10</v>
      </c>
      <c r="H19364" s="5">
        <f>HYPERLINK("https://api.qogita.com/variants/link/8712856064168/", "View Product")</f>
        <v/>
      </c>
    </row>
    <row r="19365">
      <c r="A19365" t="inlineStr">
        <is>
          <t>8712856068388</t>
        </is>
      </c>
      <c r="B19365" t="inlineStr">
        <is>
          <t>Silk'n FreshPedi Callus Remover with Suction Function Pedicure Display</t>
        </is>
      </c>
      <c r="C19365" t="inlineStr">
        <is>
          <t>Callus Remover</t>
        </is>
      </c>
      <c r="D19365" t="inlineStr">
        <is>
          <t>Silk'n</t>
        </is>
      </c>
      <c r="E19365" t="n">
        <v>44.49</v>
      </c>
      <c r="F19365" t="n">
        <v>1</v>
      </c>
      <c r="G19365" t="n">
        <v>10</v>
      </c>
      <c r="H19365" s="5">
        <f>HYPERLINK("https://api.qogita.com/variants/link/8712856068388/", "View Product")</f>
        <v/>
      </c>
    </row>
    <row r="19366">
      <c r="A19366" t="inlineStr">
        <is>
          <t>8712856068548</t>
        </is>
      </c>
      <c r="B19366" t="inlineStr">
        <is>
          <t>Silk'n Vacupedi Rose Gold Hard Skin Remover With Suction</t>
        </is>
      </c>
      <c r="C19366" t="inlineStr">
        <is>
          <t>Callus Remover</t>
        </is>
      </c>
      <c r="D19366" t="inlineStr">
        <is>
          <t>Silk'n</t>
        </is>
      </c>
      <c r="E19366" t="n">
        <v>68.61</v>
      </c>
      <c r="F19366" t="n">
        <v>1</v>
      </c>
      <c r="G19366" t="n">
        <v>6</v>
      </c>
      <c r="H19366" s="5">
        <f>HYPERLINK("https://api.qogita.com/variants/link/8712856068548/", "View Product")</f>
        <v/>
      </c>
    </row>
    <row r="19367">
      <c r="A19367" t="inlineStr">
        <is>
          <t>8717163638941</t>
        </is>
      </c>
      <c r="B19367" t="inlineStr">
        <is>
          <t>Tresemme Botanique Nourish Air Dry Curl Cream 200ml</t>
        </is>
      </c>
      <c r="C19367" t="inlineStr">
        <is>
          <t>Styling Creams</t>
        </is>
      </c>
      <c r="D19367" t="inlineStr">
        <is>
          <t>TRESemmé</t>
        </is>
      </c>
      <c r="E19367" t="n">
        <v>6.32</v>
      </c>
      <c r="F19367" t="n">
        <v>1</v>
      </c>
      <c r="G19367" t="n">
        <v>5</v>
      </c>
      <c r="H19367" s="5">
        <f>HYPERLINK("https://api.qogita.com/variants/link/8717163638941/", "View Product")</f>
        <v/>
      </c>
    </row>
    <row r="19368">
      <c r="A19368" t="inlineStr">
        <is>
          <t>8717524072353</t>
        </is>
      </c>
      <c r="B19368" t="inlineStr">
        <is>
          <t>Purol Zalf Onquent Skin Cream 30ml</t>
        </is>
      </c>
      <c r="C19368" t="inlineStr">
        <is>
          <t>Neurodermatitis</t>
        </is>
      </c>
      <c r="D19368" t="inlineStr">
        <is>
          <t>Purol</t>
        </is>
      </c>
      <c r="E19368" t="n">
        <v>4.47</v>
      </c>
      <c r="F19368" t="n">
        <v>1</v>
      </c>
      <c r="G19368" t="n">
        <v>28</v>
      </c>
      <c r="H19368" s="5">
        <f>HYPERLINK("https://api.qogita.com/variants/link/8717524072353/", "View Product")</f>
        <v/>
      </c>
    </row>
    <row r="19369">
      <c r="A19369" t="inlineStr">
        <is>
          <t>8717524074937</t>
        </is>
      </c>
      <c r="B19369" t="inlineStr">
        <is>
          <t>HATTRIC CLASSIC Deodorant Spray 150ml</t>
        </is>
      </c>
      <c r="C19369" t="inlineStr">
        <is>
          <t>Deodorant &amp; Anti-Perspirant</t>
        </is>
      </c>
      <c r="D19369" t="inlineStr">
        <is>
          <t>Hattric</t>
        </is>
      </c>
      <c r="E19369" t="n">
        <v>3.18</v>
      </c>
      <c r="F19369" t="n">
        <v>1</v>
      </c>
      <c r="G19369" t="n">
        <v>1529</v>
      </c>
      <c r="H19369" s="5">
        <f>HYPERLINK("https://api.qogita.com/variants/link/8717524074937/", "View Product")</f>
        <v/>
      </c>
    </row>
    <row r="19370">
      <c r="A19370" t="inlineStr">
        <is>
          <t>8717524074951</t>
        </is>
      </c>
      <c r="B19370" t="inlineStr">
        <is>
          <t>9 Piece Bac Classic Shower Gel for Skin &amp; Hair Bac Classic Men De</t>
        </is>
      </c>
      <c r="C19370" t="inlineStr">
        <is>
          <t>Shower Gel</t>
        </is>
      </c>
      <c r="D19370" t="inlineStr">
        <is>
          <t>Bac</t>
        </is>
      </c>
      <c r="E19370" t="n">
        <v>2.22</v>
      </c>
      <c r="F19370" t="n">
        <v>1</v>
      </c>
      <c r="G19370" t="n">
        <v>16</v>
      </c>
      <c r="H19370" s="5">
        <f>HYPERLINK("https://api.qogita.com/variants/link/8717524074951/", "View Product")</f>
        <v/>
      </c>
    </row>
    <row r="19371">
      <c r="A19371" t="inlineStr">
        <is>
          <t>8717524074968</t>
        </is>
      </c>
      <c r="B19371" t="inlineStr">
        <is>
          <t>Bac Cool Energy Men 24h Deospray - Deodorant For Men</t>
        </is>
      </c>
      <c r="C19371" t="inlineStr">
        <is>
          <t>Deodorant &amp; Anti-Perspirant</t>
        </is>
      </c>
      <c r="D19371" t="inlineStr">
        <is>
          <t>Bac</t>
        </is>
      </c>
      <c r="E19371" t="n">
        <v>2.52</v>
      </c>
      <c r="F19371" t="n">
        <v>1</v>
      </c>
      <c r="G19371" t="n">
        <v>110</v>
      </c>
      <c r="H19371" s="5">
        <f>HYPERLINK("https://api.qogita.com/variants/link/8717524074968/", "View Product")</f>
        <v/>
      </c>
    </row>
    <row r="19372">
      <c r="A19372" t="inlineStr">
        <is>
          <t>8717524075293</t>
        </is>
      </c>
      <c r="B19372" t="inlineStr">
        <is>
          <t>Aok Pure Balance Tonic Problematic Skin With Enlarged Pores</t>
        </is>
      </c>
      <c r="C19372" t="inlineStr">
        <is>
          <t>Enlarged Pores</t>
        </is>
      </c>
      <c r="D19372" t="inlineStr">
        <is>
          <t>Aok</t>
        </is>
      </c>
      <c r="E19372" t="n">
        <v>3.56</v>
      </c>
      <c r="F19372" t="n">
        <v>1</v>
      </c>
      <c r="G19372" t="n">
        <v>22</v>
      </c>
      <c r="H19372" s="5">
        <f>HYPERLINK("https://api.qogita.com/variants/link/8717524075293/", "View Product")</f>
        <v/>
      </c>
    </row>
    <row r="19373">
      <c r="A19373" t="inlineStr">
        <is>
          <t>8717644585337</t>
        </is>
      </c>
      <c r="B19373" t="inlineStr">
        <is>
          <t>Rexona Motionsense Sexy Bouquet Antiperspirant Spray</t>
        </is>
      </c>
      <c r="C19373" t="inlineStr">
        <is>
          <t>Deodorant &amp; Anti-Perspirant</t>
        </is>
      </c>
      <c r="D19373" t="inlineStr">
        <is>
          <t>Rexona</t>
        </is>
      </c>
      <c r="E19373" t="n">
        <v>3.95</v>
      </c>
      <c r="F19373" t="n">
        <v>1</v>
      </c>
      <c r="G19373" t="n">
        <v>5</v>
      </c>
      <c r="H19373" s="5">
        <f>HYPERLINK("https://api.qogita.com/variants/link/8717644585337/", "View Product")</f>
        <v/>
      </c>
    </row>
    <row r="19374">
      <c r="A19374" t="inlineStr">
        <is>
          <t>8717774840047</t>
        </is>
      </c>
      <c r="B19374" t="inlineStr">
        <is>
          <t>Nasomatto Absinth Extrait De Parfum Spray 30ml</t>
        </is>
      </c>
      <c r="C19374" t="inlineStr">
        <is>
          <t>Extrait De Parfum</t>
        </is>
      </c>
      <c r="D19374" t="inlineStr">
        <is>
          <t>Nasomatto</t>
        </is>
      </c>
      <c r="E19374" t="n">
        <v>78.75</v>
      </c>
      <c r="F19374" t="n">
        <v>1</v>
      </c>
      <c r="G19374" t="n">
        <v>2</v>
      </c>
      <c r="H19374" s="5">
        <f>HYPERLINK("https://api.qogita.com/variants/link/8717774840047/", "View Product")</f>
        <v/>
      </c>
    </row>
    <row r="19375">
      <c r="A19375" t="inlineStr">
        <is>
          <t>8717774840061</t>
        </is>
      </c>
      <c r="B19375" t="inlineStr">
        <is>
          <t>Nasomatto Black Afgano Extrait De Parfum Spray 30ml</t>
        </is>
      </c>
      <c r="C19375" t="inlineStr">
        <is>
          <t>Extrait De Parfum</t>
        </is>
      </c>
      <c r="D19375" t="inlineStr">
        <is>
          <t>Nasomatto</t>
        </is>
      </c>
      <c r="E19375" t="n">
        <v>112.24</v>
      </c>
      <c r="F19375" t="n">
        <v>1</v>
      </c>
      <c r="G19375" t="n">
        <v>5</v>
      </c>
      <c r="H19375" s="5">
        <f>HYPERLINK("https://api.qogita.com/variants/link/8717774840061/", "View Product")</f>
        <v/>
      </c>
    </row>
    <row r="19376">
      <c r="A19376" t="inlineStr">
        <is>
          <t>8717774840825</t>
        </is>
      </c>
      <c r="B19376" t="inlineStr">
        <is>
          <t>Orto Parisi Eau De Parfum Spray Viride 1.7 Fl Oz</t>
        </is>
      </c>
      <c r="C19376" t="inlineStr">
        <is>
          <t>Eau De Parfum</t>
        </is>
      </c>
      <c r="D19376" t="inlineStr">
        <is>
          <t>Orto Parisi</t>
        </is>
      </c>
      <c r="E19376" t="n">
        <v>117.19</v>
      </c>
      <c r="F19376" t="n">
        <v>1</v>
      </c>
      <c r="G19376" t="n">
        <v>3</v>
      </c>
      <c r="H19376" s="5">
        <f>HYPERLINK("https://api.qogita.com/variants/link/8717774840825/", "View Product")</f>
        <v/>
      </c>
    </row>
    <row r="19377">
      <c r="A19377" t="inlineStr">
        <is>
          <t>8717774840832</t>
        </is>
      </c>
      <c r="B19377" t="inlineStr">
        <is>
          <t>Orto Parisi Brutus Parfum 50ml</t>
        </is>
      </c>
      <c r="C19377" t="inlineStr">
        <is>
          <t>Eau De Parfum</t>
        </is>
      </c>
      <c r="D19377" t="inlineStr">
        <is>
          <t>Orto Parisi</t>
        </is>
      </c>
      <c r="E19377" t="n">
        <v>102.42</v>
      </c>
      <c r="F19377" t="n">
        <v>1</v>
      </c>
      <c r="G19377" t="n">
        <v>9</v>
      </c>
      <c r="H19377" s="5">
        <f>HYPERLINK("https://api.qogita.com/variants/link/8717774840832/", "View Product")</f>
        <v/>
      </c>
    </row>
    <row r="19378">
      <c r="A19378" t="inlineStr">
        <is>
          <t>8717953117304</t>
        </is>
      </c>
      <c r="B19378" t="inlineStr">
        <is>
          <t>Naïf Nourishing Shampoo for Baby &amp; Child Cleans Hair and Sensitive Scalp 200ml</t>
        </is>
      </c>
      <c r="C19378" t="inlineStr">
        <is>
          <t>Baby Bath</t>
        </is>
      </c>
      <c r="D19378" t="inlineStr">
        <is>
          <t>Naïf</t>
        </is>
      </c>
      <c r="E19378" t="n">
        <v>11.4</v>
      </c>
      <c r="F19378" t="n">
        <v>1</v>
      </c>
      <c r="G19378" t="n">
        <v>6</v>
      </c>
      <c r="H19378" s="5">
        <f>HYPERLINK("https://api.qogita.com/variants/link/8717953117304/", "View Product")</f>
        <v/>
      </c>
    </row>
    <row r="19379">
      <c r="A19379" t="inlineStr">
        <is>
          <t>8717953117311</t>
        </is>
      </c>
      <c r="B19379" t="inlineStr">
        <is>
          <t>Naïf Baby &amp; Kids Cleansing Wash Gel 200ml</t>
        </is>
      </c>
      <c r="C19379" t="inlineStr">
        <is>
          <t>Baby Shower Gel &amp; Soap</t>
        </is>
      </c>
      <c r="D19379" t="inlineStr">
        <is>
          <t>Naïf</t>
        </is>
      </c>
      <c r="E19379" t="n">
        <v>11.4</v>
      </c>
      <c r="F19379" t="n">
        <v>1</v>
      </c>
      <c r="G19379" t="n">
        <v>5</v>
      </c>
      <c r="H19379" s="5">
        <f>HYPERLINK("https://api.qogita.com/variants/link/8717953117311/", "View Product")</f>
        <v/>
      </c>
    </row>
    <row r="19380">
      <c r="A19380" t="inlineStr">
        <is>
          <t>8718951132771</t>
        </is>
      </c>
      <c r="B19380" t="inlineStr">
        <is>
          <t>Meridol Paradont Expert Toothpaste Against Bleeding Gums And Periodontitis 75 Ml</t>
        </is>
      </c>
      <c r="C19380" t="inlineStr">
        <is>
          <t>Toothpaste</t>
        </is>
      </c>
      <c r="D19380" t="inlineStr">
        <is>
          <t>Meridol</t>
        </is>
      </c>
      <c r="E19380" t="n">
        <v>6.48</v>
      </c>
      <c r="F19380" t="n">
        <v>1</v>
      </c>
      <c r="G19380" t="n">
        <v>6</v>
      </c>
      <c r="H19380" s="5">
        <f>HYPERLINK("https://api.qogita.com/variants/link/8718951132771/", "View Product")</f>
        <v/>
      </c>
    </row>
    <row r="19381">
      <c r="A19381" t="inlineStr">
        <is>
          <t>8718951279551</t>
        </is>
      </c>
      <c r="B19381" t="inlineStr">
        <is>
          <t>Elmex Anticaries Protection Professional Toothpaste 75 Ml</t>
        </is>
      </c>
      <c r="C19381" t="inlineStr">
        <is>
          <t>Toothpaste</t>
        </is>
      </c>
      <c r="D19381" t="inlineStr">
        <is>
          <t>Elmex</t>
        </is>
      </c>
      <c r="E19381" t="n">
        <v>6.57</v>
      </c>
      <c r="F19381" t="n">
        <v>1</v>
      </c>
      <c r="G19381" t="n">
        <v>9</v>
      </c>
      <c r="H19381" s="5">
        <f>HYPERLINK("https://api.qogita.com/variants/link/8718951279551/", "View Product")</f>
        <v/>
      </c>
    </row>
    <row r="19382">
      <c r="A19382" t="inlineStr">
        <is>
          <t>8718951387386</t>
        </is>
      </c>
      <c r="B19382" t="inlineStr">
        <is>
          <t>Interdental Brush Mix 8 Pieces</t>
        </is>
      </c>
      <c r="C19382" t="inlineStr">
        <is>
          <t>Mouth &amp; Gum Care</t>
        </is>
      </c>
      <c r="D19382" t="inlineStr">
        <is>
          <t>Elmex</t>
        </is>
      </c>
      <c r="E19382" t="n">
        <v>7.41</v>
      </c>
      <c r="F19382" t="n">
        <v>1</v>
      </c>
      <c r="G19382" t="n">
        <v>8</v>
      </c>
      <c r="H19382" s="5">
        <f>HYPERLINK("https://api.qogita.com/variants/link/8718951387386/", "View Product")</f>
        <v/>
      </c>
    </row>
    <row r="19383">
      <c r="A19383" t="inlineStr">
        <is>
          <t>8718951432802</t>
        </is>
      </c>
      <c r="B19383" t="inlineStr">
        <is>
          <t>Elmex Children Duopack Toothbrush For Ages 36 Years 2 Pieces</t>
        </is>
      </c>
      <c r="C19383" t="inlineStr">
        <is>
          <t>Dental Care For Children</t>
        </is>
      </c>
      <c r="D19383" t="inlineStr">
        <is>
          <t>Elmex</t>
        </is>
      </c>
      <c r="E19383" t="n">
        <v>6.58</v>
      </c>
      <c r="F19383" t="n">
        <v>1</v>
      </c>
      <c r="G19383" t="n">
        <v>9</v>
      </c>
      <c r="H19383" s="5">
        <f>HYPERLINK("https://api.qogita.com/variants/link/8718951432802/", "View Product")</f>
        <v/>
      </c>
    </row>
    <row r="19384">
      <c r="A19384" t="inlineStr">
        <is>
          <t>8718951435094</t>
        </is>
      </c>
      <c r="B19384" t="inlineStr">
        <is>
          <t>Elmex Super Soft Toothbrush 1 Piece</t>
        </is>
      </c>
      <c r="C19384" t="inlineStr">
        <is>
          <t>Toothbrushes &amp; Tongue Cleaners</t>
        </is>
      </c>
      <c r="D19384" t="inlineStr">
        <is>
          <t>Elmex</t>
        </is>
      </c>
      <c r="E19384" t="n">
        <v>5.42</v>
      </c>
      <c r="F19384" t="n">
        <v>1</v>
      </c>
      <c r="G19384" t="n">
        <v>3</v>
      </c>
      <c r="H19384" s="5">
        <f>HYPERLINK("https://api.qogita.com/variants/link/8718951435094/", "View Product")</f>
        <v/>
      </c>
    </row>
    <row r="19385">
      <c r="A19385" t="inlineStr">
        <is>
          <t>8718951536289</t>
        </is>
      </c>
      <c r="B19385" t="inlineStr">
        <is>
          <t>Elmex Whitening Toothpaste Caries Protection Whitening 75 Ml</t>
        </is>
      </c>
      <c r="C19385" t="inlineStr">
        <is>
          <t>Toothpaste</t>
        </is>
      </c>
      <c r="D19385" t="inlineStr">
        <is>
          <t>Elmex</t>
        </is>
      </c>
      <c r="E19385" t="n">
        <v>5.42</v>
      </c>
      <c r="F19385" t="n">
        <v>1</v>
      </c>
      <c r="G19385" t="n">
        <v>7</v>
      </c>
      <c r="H19385" s="5">
        <f>HYPERLINK("https://api.qogita.com/variants/link/8718951536289/", "View Product")</f>
        <v/>
      </c>
    </row>
    <row r="19386">
      <c r="A19386" t="inlineStr">
        <is>
          <t>8718951573345</t>
        </is>
      </c>
      <c r="B19386" t="inlineStr">
        <is>
          <t>Anti-Cavity Professional Junior Toothpaste 75 ml</t>
        </is>
      </c>
      <c r="C19386" t="inlineStr">
        <is>
          <t>Dental Care For Children</t>
        </is>
      </c>
      <c r="D19386" t="inlineStr">
        <is>
          <t>Elmex</t>
        </is>
      </c>
      <c r="E19386" t="n">
        <v>5.08</v>
      </c>
      <c r="F19386" t="n">
        <v>1</v>
      </c>
      <c r="G19386" t="n">
        <v>8</v>
      </c>
      <c r="H19386" s="5">
        <f>HYPERLINK("https://api.qogita.com/variants/link/8718951573345/", "View Product")</f>
        <v/>
      </c>
    </row>
    <row r="19387">
      <c r="A19387" t="inlineStr">
        <is>
          <t>8718951652217</t>
        </is>
      </c>
      <c r="B19387" t="inlineStr">
        <is>
          <t>Elmex Junior Duopack Toothpaste - 2x 75 Ml</t>
        </is>
      </c>
      <c r="C19387" t="inlineStr">
        <is>
          <t>Dental Care For Children</t>
        </is>
      </c>
      <c r="D19387" t="inlineStr">
        <is>
          <t>Elmex</t>
        </is>
      </c>
      <c r="E19387" t="n">
        <v>6.9</v>
      </c>
      <c r="F19387" t="n">
        <v>1</v>
      </c>
      <c r="G19387" t="n">
        <v>5</v>
      </c>
      <c r="H19387" s="5">
        <f>HYPERLINK("https://api.qogita.com/variants/link/8718951652217/", "View Product")</f>
        <v/>
      </c>
    </row>
    <row r="19388">
      <c r="A19388" t="inlineStr">
        <is>
          <t>8719134143324</t>
        </is>
      </c>
      <c r="B19388" t="inlineStr">
        <is>
          <t>Rituals The Ritual Of Sakura Hand Cream</t>
        </is>
      </c>
      <c r="C19388" t="inlineStr">
        <is>
          <t>Hand Cream</t>
        </is>
      </c>
      <c r="D19388" t="inlineStr">
        <is>
          <t>Rituals</t>
        </is>
      </c>
      <c r="E19388" t="n">
        <v>9.630000000000001</v>
      </c>
      <c r="F19388" t="n">
        <v>1</v>
      </c>
      <c r="G19388" t="n">
        <v>14</v>
      </c>
      <c r="H19388" s="5">
        <f>HYPERLINK("https://api.qogita.com/variants/link/8719134143324/", "View Product")</f>
        <v/>
      </c>
    </row>
    <row r="19389">
      <c r="A19389" t="inlineStr">
        <is>
          <t>8719134143348</t>
        </is>
      </c>
      <c r="B19389" t="inlineStr">
        <is>
          <t>Rituals The Ritual Of Ayurveda Recovery Hand Balm 70ml</t>
        </is>
      </c>
      <c r="C19389" t="inlineStr">
        <is>
          <t>Hand Cream</t>
        </is>
      </c>
      <c r="D19389" t="inlineStr">
        <is>
          <t>Rituals</t>
        </is>
      </c>
      <c r="E19389" t="n">
        <v>8.48</v>
      </c>
      <c r="F19389" t="n">
        <v>1</v>
      </c>
      <c r="G19389" t="n">
        <v>6</v>
      </c>
      <c r="H19389" s="5">
        <f>HYPERLINK("https://api.qogita.com/variants/link/8719134143348/", "View Product")</f>
        <v/>
      </c>
    </row>
    <row r="19390">
      <c r="A19390" t="inlineStr">
        <is>
          <t>8719134152487</t>
        </is>
      </c>
      <c r="B19390" t="inlineStr">
        <is>
          <t>Rituals The Ritual Of Karma Spray Lotion Spf50 200ml</t>
        </is>
      </c>
      <c r="C19390" t="inlineStr">
        <is>
          <t>Body Sun Protection</t>
        </is>
      </c>
      <c r="D19390" t="inlineStr">
        <is>
          <t>Rituals</t>
        </is>
      </c>
      <c r="E19390" t="n">
        <v>14.92</v>
      </c>
      <c r="F19390" t="n">
        <v>1</v>
      </c>
      <c r="G19390" t="n">
        <v>3</v>
      </c>
      <c r="H19390" s="5">
        <f>HYPERLINK("https://api.qogita.com/variants/link/8719134152487/", "View Product")</f>
        <v/>
      </c>
    </row>
    <row r="19391">
      <c r="A19391" t="inlineStr">
        <is>
          <t>8719134152562</t>
        </is>
      </c>
      <c r="B19391" t="inlineStr">
        <is>
          <t>Rituals The Ritual Of Karma Hair &amp; Body Mist 50ml</t>
        </is>
      </c>
      <c r="C19391" t="inlineStr">
        <is>
          <t>Body Mist</t>
        </is>
      </c>
      <c r="D19391" t="inlineStr">
        <is>
          <t>Rituals</t>
        </is>
      </c>
      <c r="E19391" t="n">
        <v>16.41</v>
      </c>
      <c r="F19391" t="n">
        <v>1</v>
      </c>
      <c r="G19391" t="n">
        <v>84</v>
      </c>
      <c r="H19391" s="5">
        <f>HYPERLINK("https://api.qogita.com/variants/link/8719134152562/", "View Product")</f>
        <v/>
      </c>
    </row>
    <row r="19392">
      <c r="A19392" t="inlineStr">
        <is>
          <t>8719134152593</t>
        </is>
      </c>
      <c r="B19392" t="inlineStr">
        <is>
          <t>Rituals The Ritual Of Karma Sun Protection Face Cream Spf 30 50ml</t>
        </is>
      </c>
      <c r="C19392" t="inlineStr">
        <is>
          <t>Face Sun Protection</t>
        </is>
      </c>
      <c r="D19392" t="inlineStr">
        <is>
          <t>Rituals</t>
        </is>
      </c>
      <c r="E19392" t="n">
        <v>11.55</v>
      </c>
      <c r="F19392" t="n">
        <v>1</v>
      </c>
      <c r="G19392" t="n">
        <v>70</v>
      </c>
      <c r="H19392" s="5">
        <f>HYPERLINK("https://api.qogita.com/variants/link/8719134152593/", "View Product")</f>
        <v/>
      </c>
    </row>
    <row r="19393">
      <c r="A19393" t="inlineStr">
        <is>
          <t>8719134152777</t>
        </is>
      </c>
      <c r="B19393" t="inlineStr">
        <is>
          <t>Rituals Karma Sun Protection Face Cream SPF50+</t>
        </is>
      </c>
      <c r="C19393" t="inlineStr">
        <is>
          <t>Face Sun Protection</t>
        </is>
      </c>
      <c r="D19393" t="inlineStr">
        <is>
          <t>Rituals</t>
        </is>
      </c>
      <c r="E19393" t="n">
        <v>12.69</v>
      </c>
      <c r="F19393" t="n">
        <v>1</v>
      </c>
      <c r="G19393" t="n">
        <v>3</v>
      </c>
      <c r="H19393" s="5">
        <f>HYPERLINK("https://api.qogita.com/variants/link/8719134152777/", "View Product")</f>
        <v/>
      </c>
    </row>
    <row r="19394">
      <c r="A19394" t="inlineStr">
        <is>
          <t>8719134155303</t>
        </is>
      </c>
      <c r="B19394" t="inlineStr">
        <is>
          <t>Rituals The Ritual Of Karma Sun Care Set 130 Ml</t>
        </is>
      </c>
      <c r="C19394" t="inlineStr">
        <is>
          <t>Sun Protection Sets</t>
        </is>
      </c>
      <c r="D19394" t="inlineStr">
        <is>
          <t>Rituals</t>
        </is>
      </c>
      <c r="E19394" t="n">
        <v>23.9</v>
      </c>
      <c r="F19394" t="n">
        <v>1</v>
      </c>
      <c r="G19394" t="n">
        <v>2</v>
      </c>
      <c r="H19394" s="5">
        <f>HYPERLINK("https://api.qogita.com/variants/link/8719134155303/", "View Product")</f>
        <v/>
      </c>
    </row>
    <row r="19395">
      <c r="A19395" t="inlineStr">
        <is>
          <t>8719134155686</t>
        </is>
      </c>
      <c r="B19395" t="inlineStr">
        <is>
          <t>The Sport Shower Foam 6.7 Oz 200ml</t>
        </is>
      </c>
      <c r="C19395" t="inlineStr">
        <is>
          <t>Shower Foam</t>
        </is>
      </c>
      <c r="D19395" t="inlineStr">
        <is>
          <t>Rituals</t>
        </is>
      </c>
      <c r="E19395" t="n">
        <v>9.83</v>
      </c>
      <c r="F19395" t="n">
        <v>1</v>
      </c>
      <c r="G19395" t="n">
        <v>59</v>
      </c>
      <c r="H19395" s="5">
        <f>HYPERLINK("https://api.qogita.com/variants/link/8719134155686/", "View Product")</f>
        <v/>
      </c>
    </row>
    <row r="19396">
      <c r="A19396" t="inlineStr">
        <is>
          <t>8719134161083</t>
        </is>
      </c>
      <c r="B19396" t="inlineStr">
        <is>
          <t>Rituals Homme Shave Foam 200ml By Rituals</t>
        </is>
      </c>
      <c r="C19396" t="inlineStr">
        <is>
          <t>Shaving</t>
        </is>
      </c>
      <c r="D19396" t="inlineStr">
        <is>
          <t>Rituals</t>
        </is>
      </c>
      <c r="E19396" t="n">
        <v>8.08</v>
      </c>
      <c r="F19396" t="n">
        <v>1</v>
      </c>
      <c r="G19396" t="n">
        <v>5</v>
      </c>
      <c r="H19396" s="5">
        <f>HYPERLINK("https://api.qogita.com/variants/link/8719134161083/", "View Product")</f>
        <v/>
      </c>
    </row>
    <row r="19397">
      <c r="A19397" t="inlineStr">
        <is>
          <t>8719134161120</t>
        </is>
      </c>
      <c r="B19397" t="inlineStr">
        <is>
          <t>RITUALS Foaming Shower Gel from The Ritual of Jing 200ml with Sacred Lotus and Jujube Relaxing and Calming Properties</t>
        </is>
      </c>
      <c r="C19397" t="inlineStr">
        <is>
          <t>Shower Foam</t>
        </is>
      </c>
      <c r="D19397" t="inlineStr">
        <is>
          <t>Rituals</t>
        </is>
      </c>
      <c r="E19397" t="n">
        <v>9.06</v>
      </c>
      <c r="F19397" t="n">
        <v>1</v>
      </c>
      <c r="G19397" t="n">
        <v>79</v>
      </c>
      <c r="H19397" s="5">
        <f>HYPERLINK("https://api.qogita.com/variants/link/8719134161120/", "View Product")</f>
        <v/>
      </c>
    </row>
    <row r="19398">
      <c r="A19398" t="inlineStr">
        <is>
          <t>8719134161328</t>
        </is>
      </c>
      <c r="B19398" t="inlineStr">
        <is>
          <t>Rituals The Ritual Of Sakura Body Scrub 250g</t>
        </is>
      </c>
      <c r="C19398" t="inlineStr">
        <is>
          <t>Body Scrub &amp; Peeling</t>
        </is>
      </c>
      <c r="D19398" t="inlineStr">
        <is>
          <t>Rituals</t>
        </is>
      </c>
      <c r="E19398" t="n">
        <v>11.85</v>
      </c>
      <c r="F19398" t="n">
        <v>1</v>
      </c>
      <c r="G19398" t="n">
        <v>8</v>
      </c>
      <c r="H19398" s="5">
        <f>HYPERLINK("https://api.qogita.com/variants/link/8719134161328/", "View Product")</f>
        <v/>
      </c>
    </row>
    <row r="19399">
      <c r="A19399" t="inlineStr">
        <is>
          <t>8719134163018</t>
        </is>
      </c>
      <c r="B19399" t="inlineStr">
        <is>
          <t>Rituals Homme Face Cleansing Foam 150ml</t>
        </is>
      </c>
      <c r="C19399" t="inlineStr">
        <is>
          <t>Cleansing Foam</t>
        </is>
      </c>
      <c r="D19399" t="inlineStr">
        <is>
          <t>Rituals</t>
        </is>
      </c>
      <c r="E19399" t="n">
        <v>10.95</v>
      </c>
      <c r="F19399" t="n">
        <v>1</v>
      </c>
      <c r="G19399" t="n">
        <v>14</v>
      </c>
      <c r="H19399" s="5">
        <f>HYPERLINK("https://api.qogita.com/variants/link/8719134163018/", "View Product")</f>
        <v/>
      </c>
    </row>
    <row r="19400">
      <c r="A19400" t="inlineStr">
        <is>
          <t>8719134180688</t>
        </is>
      </c>
      <c r="B19400" t="inlineStr">
        <is>
          <t>Rituals Karma Fragrance Sticks 250ml</t>
        </is>
      </c>
      <c r="C19400" t="inlineStr">
        <is>
          <t>Diffusers</t>
        </is>
      </c>
      <c r="D19400" t="inlineStr">
        <is>
          <t>Rituals</t>
        </is>
      </c>
      <c r="E19400" t="n">
        <v>24.83</v>
      </c>
      <c r="F19400" t="n">
        <v>1</v>
      </c>
      <c r="G19400" t="n">
        <v>13</v>
      </c>
      <c r="H19400" s="5">
        <f>HYPERLINK("https://api.qogita.com/variants/link/8719134180688/", "View Product")</f>
        <v/>
      </c>
    </row>
    <row r="19401">
      <c r="A19401" t="inlineStr">
        <is>
          <t>8719326035178</t>
        </is>
      </c>
      <c r="B19401" t="inlineStr">
        <is>
          <t>Lost In Heaven Extrait De Parfum</t>
        </is>
      </c>
      <c r="C19401" t="inlineStr">
        <is>
          <t>Extrait De Parfum</t>
        </is>
      </c>
      <c r="D19401" t="inlineStr">
        <is>
          <t>Francesca Bianchi</t>
        </is>
      </c>
      <c r="E19401" t="n">
        <v>72.45999999999999</v>
      </c>
      <c r="F19401" t="n">
        <v>1</v>
      </c>
      <c r="G19401" t="n">
        <v>7</v>
      </c>
      <c r="H19401" s="5">
        <f>HYPERLINK("https://api.qogita.com/variants/link/8719326035178/", "View Product")</f>
        <v/>
      </c>
    </row>
    <row r="19402">
      <c r="A19402" t="inlineStr">
        <is>
          <t>8719327731758</t>
        </is>
      </c>
      <c r="B19402" t="inlineStr">
        <is>
          <t>Francesca Bianchi Spray Samples 2ml - Choose Your Fragrance</t>
        </is>
      </c>
      <c r="C19402" t="inlineStr">
        <is>
          <t>Fragrance Sets</t>
        </is>
      </c>
      <c r="D19402" t="inlineStr">
        <is>
          <t>Francesca Bianchi</t>
        </is>
      </c>
      <c r="E19402" t="n">
        <v>121.89</v>
      </c>
      <c r="F19402" t="n">
        <v>1</v>
      </c>
      <c r="G19402" t="n">
        <v>18</v>
      </c>
      <c r="H19402" s="5">
        <f>HYPERLINK("https://api.qogita.com/variants/link/8719327731758/", "View Product")</f>
        <v/>
      </c>
    </row>
    <row r="19403">
      <c r="A19403" t="inlineStr">
        <is>
          <t>8720181049552</t>
        </is>
      </c>
      <c r="B19403" t="inlineStr">
        <is>
          <t>Men+Care Sport Care Shower Gel 400ml</t>
        </is>
      </c>
      <c r="C19403" t="inlineStr">
        <is>
          <t>Shower Gel</t>
        </is>
      </c>
      <c r="D19403" t="inlineStr">
        <is>
          <t>Men+Care</t>
        </is>
      </c>
      <c r="E19403" t="n">
        <v>4.3</v>
      </c>
      <c r="F19403" t="n">
        <v>1</v>
      </c>
      <c r="G19403" t="n">
        <v>8</v>
      </c>
      <c r="H19403" s="5">
        <f>HYPERLINK("https://api.qogita.com/variants/link/8720181049552/", "View Product")</f>
        <v/>
      </c>
    </row>
    <row r="19404">
      <c r="A19404" t="inlineStr">
        <is>
          <t>8720181061707</t>
        </is>
      </c>
      <c r="B19404" t="inlineStr">
        <is>
          <t>Vaseline Original Lip Balm 10g</t>
        </is>
      </c>
      <c r="C19404" t="inlineStr">
        <is>
          <t>Lip Balm</t>
        </is>
      </c>
      <c r="D19404" t="inlineStr">
        <is>
          <t>Vaseline</t>
        </is>
      </c>
      <c r="E19404" t="n">
        <v>4.45</v>
      </c>
      <c r="F19404" t="n">
        <v>1</v>
      </c>
      <c r="G19404" t="n">
        <v>10</v>
      </c>
      <c r="H19404" s="5">
        <f>HYPERLINK("https://api.qogita.com/variants/link/8720181061707/", "View Product")</f>
        <v/>
      </c>
    </row>
    <row r="19405">
      <c r="A19405" t="inlineStr">
        <is>
          <t>8720181291562</t>
        </is>
      </c>
      <c r="B19405" t="inlineStr">
        <is>
          <t>Dove Advanced Care Invisible Care Antiperspirant Spray 150 Ml</t>
        </is>
      </c>
      <c r="C19405" t="inlineStr">
        <is>
          <t>Deodorant &amp; Anti-Perspirant</t>
        </is>
      </c>
      <c r="D19405" t="inlineStr">
        <is>
          <t>Dove</t>
        </is>
      </c>
      <c r="E19405" t="n">
        <v>4.33</v>
      </c>
      <c r="F19405" t="n">
        <v>1</v>
      </c>
      <c r="G19405" t="n">
        <v>8</v>
      </c>
      <c r="H19405" s="5">
        <f>HYPERLINK("https://api.qogita.com/variants/link/8720181291562/", "View Product")</f>
        <v/>
      </c>
    </row>
    <row r="19406">
      <c r="A19406" t="inlineStr">
        <is>
          <t>8720181291654</t>
        </is>
      </c>
      <c r="B19406" t="inlineStr">
        <is>
          <t>Dove Antiperspirant Spray Matcha Green Tea &amp; Sakura Blossom 150 Ml</t>
        </is>
      </c>
      <c r="C19406" t="inlineStr">
        <is>
          <t>Deodorant &amp; Anti-Perspirant</t>
        </is>
      </c>
      <c r="D19406" t="inlineStr">
        <is>
          <t>Dove</t>
        </is>
      </c>
      <c r="E19406" t="n">
        <v>4.33</v>
      </c>
      <c r="F19406" t="n">
        <v>1</v>
      </c>
      <c r="G19406" t="n">
        <v>15</v>
      </c>
      <c r="H19406" s="5">
        <f>HYPERLINK("https://api.qogita.com/variants/link/8720181291654/", "View Product")</f>
        <v/>
      </c>
    </row>
    <row r="19407">
      <c r="A19407" t="inlineStr">
        <is>
          <t>8720181296437</t>
        </is>
      </c>
      <c r="B19407" t="inlineStr">
        <is>
          <t>Dove Bath Therapy Renew Bath And Shower Gel 400 Ml</t>
        </is>
      </c>
      <c r="C19407" t="inlineStr">
        <is>
          <t>Shower Gel</t>
        </is>
      </c>
      <c r="D19407" t="inlineStr">
        <is>
          <t>Dove</t>
        </is>
      </c>
      <c r="E19407" t="n">
        <v>5.37</v>
      </c>
      <c r="F19407" t="n">
        <v>1</v>
      </c>
      <c r="G19407" t="n">
        <v>13</v>
      </c>
      <c r="H19407" s="5">
        <f>HYPERLINK("https://api.qogita.com/variants/link/8720181296437/", "View Product")</f>
        <v/>
      </c>
    </row>
    <row r="19408">
      <c r="A19408" t="inlineStr">
        <is>
          <t>8720181339936</t>
        </is>
      </c>
      <c r="B19408" t="inlineStr">
        <is>
          <t>Dove Advanced Care Antiperspirant Spray Cucumber &amp; Green Tea - 150 Ml</t>
        </is>
      </c>
      <c r="C19408" t="inlineStr">
        <is>
          <t>Deodorant &amp; Anti-Perspirant</t>
        </is>
      </c>
      <c r="D19408" t="inlineStr">
        <is>
          <t>Dove</t>
        </is>
      </c>
      <c r="E19408" t="n">
        <v>4.33</v>
      </c>
      <c r="F19408" t="n">
        <v>1</v>
      </c>
      <c r="G19408" t="n">
        <v>2</v>
      </c>
      <c r="H19408" s="5">
        <f>HYPERLINK("https://api.qogita.com/variants/link/8720181339936/", "View Product")</f>
        <v/>
      </c>
    </row>
    <row r="19409">
      <c r="A19409" t="inlineStr">
        <is>
          <t>8720181444678</t>
        </is>
      </c>
      <c r="B19409" t="inlineStr">
        <is>
          <t>Dove Men Care Cool Fresh 3 In 1 Shower Gel For Body, Face, And Hair - 400 Ml</t>
        </is>
      </c>
      <c r="C19409" t="inlineStr">
        <is>
          <t>Shower Gel</t>
        </is>
      </c>
      <c r="D19409" t="inlineStr">
        <is>
          <t>Dove</t>
        </is>
      </c>
      <c r="E19409" t="n">
        <v>4.3</v>
      </c>
      <c r="F19409" t="n">
        <v>1</v>
      </c>
      <c r="G19409" t="n">
        <v>6</v>
      </c>
      <c r="H19409" s="5">
        <f>HYPERLINK("https://api.qogita.com/variants/link/8720181444678/", "View Product")</f>
        <v/>
      </c>
    </row>
    <row r="19410">
      <c r="A19410" t="inlineStr">
        <is>
          <t>8720181457449</t>
        </is>
      </c>
      <c r="B19410" t="inlineStr">
        <is>
          <t>Dove Nourishing Cream Oil Shower Gel 400ml</t>
        </is>
      </c>
      <c r="C19410" t="inlineStr">
        <is>
          <t>Shower Gel</t>
        </is>
      </c>
      <c r="D19410" t="inlineStr">
        <is>
          <t>Dove</t>
        </is>
      </c>
      <c r="E19410" t="n">
        <v>5.54</v>
      </c>
      <c r="F19410" t="n">
        <v>1</v>
      </c>
      <c r="G19410" t="n">
        <v>7</v>
      </c>
      <c r="H19410" s="5">
        <f>HYPERLINK("https://api.qogita.com/variants/link/8720181457449/", "View Product")</f>
        <v/>
      </c>
    </row>
    <row r="19411">
      <c r="A19411" t="inlineStr">
        <is>
          <t>8720181459979</t>
        </is>
      </c>
      <c r="B19411" t="inlineStr">
        <is>
          <t>Dove Advanced Care Hypoallergenic Shower Gel - 400 Ml</t>
        </is>
      </c>
      <c r="C19411" t="inlineStr">
        <is>
          <t>Shower Gel</t>
        </is>
      </c>
      <c r="D19411" t="inlineStr">
        <is>
          <t>Dove</t>
        </is>
      </c>
      <c r="E19411" t="n">
        <v>5.54</v>
      </c>
      <c r="F19411" t="n">
        <v>1</v>
      </c>
      <c r="G19411" t="n">
        <v>2</v>
      </c>
      <c r="H19411" s="5">
        <f>HYPERLINK("https://api.qogita.com/variants/link/8720181459979/", "View Product")</f>
        <v/>
      </c>
    </row>
    <row r="19412">
      <c r="A19412" t="inlineStr">
        <is>
          <t>8720181465925</t>
        </is>
      </c>
      <c r="B19412" t="inlineStr">
        <is>
          <t>Dove Advanced Care Pro Age Shower Gel Body Wash 400 Ml</t>
        </is>
      </c>
      <c r="C19412" t="inlineStr">
        <is>
          <t>Shower Gel</t>
        </is>
      </c>
      <c r="D19412" t="inlineStr">
        <is>
          <t>Dove</t>
        </is>
      </c>
      <c r="E19412" t="n">
        <v>5.54</v>
      </c>
      <c r="F19412" t="n">
        <v>1</v>
      </c>
      <c r="G19412" t="n">
        <v>5</v>
      </c>
      <c r="H19412" s="5">
        <f>HYPERLINK("https://api.qogita.com/variants/link/8720181465925/", "View Product")</f>
        <v/>
      </c>
    </row>
    <row r="19413">
      <c r="A19413" t="inlineStr">
        <is>
          <t>8720181566707</t>
        </is>
      </c>
      <c r="B19413" t="inlineStr">
        <is>
          <t>Dove Fresh Care Antiperspirant Spray 150 Ml</t>
        </is>
      </c>
      <c r="C19413" t="inlineStr">
        <is>
          <t>Deodorant &amp; Anti-Perspirant</t>
        </is>
      </c>
      <c r="D19413" t="inlineStr">
        <is>
          <t>Dove</t>
        </is>
      </c>
      <c r="E19413" t="n">
        <v>4.14</v>
      </c>
      <c r="F19413" t="n">
        <v>1</v>
      </c>
      <c r="G19413" t="n">
        <v>5</v>
      </c>
      <c r="H19413" s="5">
        <f>HYPERLINK("https://api.qogita.com/variants/link/8720181566707/", "View Product")</f>
        <v/>
      </c>
    </row>
    <row r="19414">
      <c r="A19414" t="inlineStr">
        <is>
          <t>8720181566868</t>
        </is>
      </c>
      <c r="B19414" t="inlineStr">
        <is>
          <t>Dove Invisible Fresh Antiperspirant Spray 150 Ml</t>
        </is>
      </c>
      <c r="C19414" t="inlineStr">
        <is>
          <t>Deodorant &amp; Anti-Perspirant</t>
        </is>
      </c>
      <c r="D19414" t="inlineStr">
        <is>
          <t>Dove</t>
        </is>
      </c>
      <c r="E19414" t="n">
        <v>4.14</v>
      </c>
      <c r="F19414" t="n">
        <v>1</v>
      </c>
      <c r="G19414" t="n">
        <v>7</v>
      </c>
      <c r="H19414" s="5">
        <f>HYPERLINK("https://api.qogita.com/variants/link/8720181566868/", "View Product")</f>
        <v/>
      </c>
    </row>
    <row r="19415">
      <c r="A19415" t="inlineStr">
        <is>
          <t>8720181608315</t>
        </is>
      </c>
      <c r="B19415" t="inlineStr">
        <is>
          <t>Dove Advanced Care Replenishing Shower Gel</t>
        </is>
      </c>
      <c r="C19415" t="inlineStr">
        <is>
          <t>Shower Gel</t>
        </is>
      </c>
      <c r="D19415" t="inlineStr">
        <is>
          <t>Dove</t>
        </is>
      </c>
      <c r="E19415" t="n">
        <v>5.54</v>
      </c>
      <c r="F19415" t="n">
        <v>1</v>
      </c>
      <c r="G19415" t="n">
        <v>9</v>
      </c>
      <c r="H19415" s="5">
        <f>HYPERLINK("https://api.qogita.com/variants/link/8720181608315/", "View Product")</f>
        <v/>
      </c>
    </row>
    <row r="19416">
      <c r="A19416" t="inlineStr">
        <is>
          <t>8720182258137</t>
        </is>
      </c>
      <c r="B19416" t="inlineStr">
        <is>
          <t>Dove Purely Pampering Cream Bar Coconut Milk And Jasmine</t>
        </is>
      </c>
      <c r="C19416" t="inlineStr">
        <is>
          <t>Body Care Sets</t>
        </is>
      </c>
      <c r="D19416" t="inlineStr">
        <is>
          <t>Dove</t>
        </is>
      </c>
      <c r="E19416" t="n">
        <v>2.95</v>
      </c>
      <c r="F19416" t="n">
        <v>1</v>
      </c>
      <c r="G19416" t="n">
        <v>26</v>
      </c>
      <c r="H19416" s="5">
        <f>HYPERLINK("https://api.qogita.com/variants/link/8720182258137/", "View Product")</f>
        <v/>
      </c>
    </row>
    <row r="19417">
      <c r="A19417" t="inlineStr">
        <is>
          <t>8720182834713</t>
        </is>
      </c>
      <c r="B19417" t="inlineStr">
        <is>
          <t>Dove Discover Essentials Body Care Gift Set</t>
        </is>
      </c>
      <c r="C19417" t="inlineStr">
        <is>
          <t>Body Care Sets</t>
        </is>
      </c>
      <c r="D19417" t="inlineStr">
        <is>
          <t>Dove</t>
        </is>
      </c>
      <c r="E19417" t="n">
        <v>8.949999999999999</v>
      </c>
      <c r="F19417" t="n">
        <v>1</v>
      </c>
      <c r="G19417" t="n">
        <v>9</v>
      </c>
      <c r="H19417" s="5">
        <f>HYPERLINK("https://api.qogita.com/variants/link/8720182834713/", "View Product")</f>
        <v/>
      </c>
    </row>
    <row r="19418">
      <c r="A19418" t="inlineStr">
        <is>
          <t>8720182834751</t>
        </is>
      </c>
      <c r="B19418" t="inlineStr">
        <is>
          <t>Dove Unwind Body Care Gift Set</t>
        </is>
      </c>
      <c r="C19418" t="inlineStr">
        <is>
          <t>Body Care Sets</t>
        </is>
      </c>
      <c r="D19418" t="inlineStr">
        <is>
          <t>Dove</t>
        </is>
      </c>
      <c r="E19418" t="n">
        <v>11.42</v>
      </c>
      <c r="F19418" t="n">
        <v>1</v>
      </c>
      <c r="G19418" t="n">
        <v>6</v>
      </c>
      <c r="H19418" s="5">
        <f>HYPERLINK("https://api.qogita.com/variants/link/8720182834751/", "View Product")</f>
        <v/>
      </c>
    </row>
    <row r="19419">
      <c r="A19419" t="inlineStr">
        <is>
          <t>8720182834942</t>
        </is>
      </c>
      <c r="B19419" t="inlineStr">
        <is>
          <t>Dove Mencare Restore Collection Body Care Gift Set</t>
        </is>
      </c>
      <c r="C19419" t="inlineStr">
        <is>
          <t>Body Care Sets</t>
        </is>
      </c>
      <c r="D19419" t="inlineStr">
        <is>
          <t>Dove</t>
        </is>
      </c>
      <c r="E19419" t="n">
        <v>21.51</v>
      </c>
      <c r="F19419" t="n">
        <v>1</v>
      </c>
      <c r="G19419" t="n">
        <v>9</v>
      </c>
      <c r="H19419" s="5">
        <f>HYPERLINK("https://api.qogita.com/variants/link/8720182834942/", "View Product")</f>
        <v/>
      </c>
    </row>
    <row r="19420">
      <c r="A19420" t="inlineStr">
        <is>
          <t>8720182852106</t>
        </is>
      </c>
      <c r="B19420" t="inlineStr">
        <is>
          <t>Dove Body Care Gift Set With Glow Cosmetic Bag</t>
        </is>
      </c>
      <c r="C19420" t="inlineStr">
        <is>
          <t>Body Care Sets</t>
        </is>
      </c>
      <c r="D19420" t="inlineStr">
        <is>
          <t>Dove</t>
        </is>
      </c>
      <c r="E19420" t="n">
        <v>18.6</v>
      </c>
      <c r="F19420" t="n">
        <v>1</v>
      </c>
      <c r="G19420" t="n">
        <v>5</v>
      </c>
      <c r="H19420" s="5">
        <f>HYPERLINK("https://api.qogita.com/variants/link/8720182852106/", "View Product")</f>
        <v/>
      </c>
    </row>
    <row r="19421">
      <c r="A19421" t="inlineStr">
        <is>
          <t>8720254710907</t>
        </is>
      </c>
      <c r="B19421" t="inlineStr">
        <is>
          <t>Naïf Kids Shampoo 200ml for Children with Natural Ingredients No Microplastics</t>
        </is>
      </c>
      <c r="C19421" t="inlineStr">
        <is>
          <t>Children's Hair Cleaning</t>
        </is>
      </c>
      <c r="D19421" t="inlineStr">
        <is>
          <t>Naïf</t>
        </is>
      </c>
      <c r="E19421" t="n">
        <v>11.4</v>
      </c>
      <c r="F19421" t="n">
        <v>1</v>
      </c>
      <c r="G19421" t="n">
        <v>7</v>
      </c>
      <c r="H19421" s="5">
        <f>HYPERLINK("https://api.qogita.com/variants/link/8720254710907/", "View Product")</f>
        <v/>
      </c>
    </row>
    <row r="19422">
      <c r="A19422" t="inlineStr">
        <is>
          <t>8720254710969</t>
        </is>
      </c>
      <c r="B19422" t="inlineStr">
        <is>
          <t>Naif Baby Kids 2in1 Shampoo Conditioner 200 Ml For Easy Combing</t>
        </is>
      </c>
      <c r="C19422" t="inlineStr">
        <is>
          <t>Shampoo</t>
        </is>
      </c>
      <c r="D19422" t="inlineStr">
        <is>
          <t>Naïf</t>
        </is>
      </c>
      <c r="E19422" t="n">
        <v>11.4</v>
      </c>
      <c r="F19422" t="n">
        <v>1</v>
      </c>
      <c r="G19422" t="n">
        <v>8</v>
      </c>
      <c r="H19422" s="5">
        <f>HYPERLINK("https://api.qogita.com/variants/link/8720254710969/", "View Product")</f>
        <v/>
      </c>
    </row>
    <row r="19423">
      <c r="A19423" t="inlineStr">
        <is>
          <t>8720865194202</t>
        </is>
      </c>
      <c r="B19423" t="inlineStr">
        <is>
          <t>Francesca Bianchi Luxe Calme Volupte Extrait De Parfum Spray 100ml</t>
        </is>
      </c>
      <c r="C19423" t="inlineStr">
        <is>
          <t>Extrait De Parfum</t>
        </is>
      </c>
      <c r="D19423" t="inlineStr">
        <is>
          <t>Francesca Bianchi</t>
        </is>
      </c>
      <c r="E19423" t="n">
        <v>119.23</v>
      </c>
      <c r="F19423" t="n">
        <v>1</v>
      </c>
      <c r="G19423" t="n">
        <v>3</v>
      </c>
      <c r="H19423" s="5">
        <f>HYPERLINK("https://api.qogita.com/variants/link/8720865194202/", "View Product")</f>
        <v/>
      </c>
    </row>
    <row r="19424">
      <c r="A19424" t="inlineStr">
        <is>
          <t>8720938341175</t>
        </is>
      </c>
      <c r="B19424" t="inlineStr">
        <is>
          <t>Gift set of cosmetics for newborns - Baby &amp; Kids</t>
        </is>
      </c>
      <c r="C19424" t="inlineStr">
        <is>
          <t>Baby &amp; Child Accessories</t>
        </is>
      </c>
      <c r="D19424" t="inlineStr">
        <is>
          <t>Naïf</t>
        </is>
      </c>
      <c r="E19424" t="n">
        <v>35.26</v>
      </c>
      <c r="F19424" t="n">
        <v>1</v>
      </c>
      <c r="G19424" t="n">
        <v>3</v>
      </c>
      <c r="H19424" s="5">
        <f>HYPERLINK("https://api.qogita.com/variants/link/8720938341175/", "View Product")</f>
        <v/>
      </c>
    </row>
    <row r="19425">
      <c r="A19425" t="inlineStr">
        <is>
          <t>8721008611099</t>
        </is>
      </c>
      <c r="B19425" t="inlineStr">
        <is>
          <t>Naif Baby Kids Mineral Sunscreen Spf 50 - 100 Ml</t>
        </is>
      </c>
      <c r="C19425" t="inlineStr">
        <is>
          <t>Baby &amp; Child</t>
        </is>
      </c>
      <c r="D19425" t="inlineStr">
        <is>
          <t>Naïf</t>
        </is>
      </c>
      <c r="E19425" t="n">
        <v>22.45</v>
      </c>
      <c r="F19425" t="n">
        <v>1</v>
      </c>
      <c r="G19425" t="n">
        <v>9</v>
      </c>
      <c r="H19425" s="5">
        <f>HYPERLINK("https://api.qogita.com/variants/link/8721008611099/", "View Product")</f>
        <v/>
      </c>
    </row>
    <row r="19426">
      <c r="A19426" t="inlineStr">
        <is>
          <t>8721082818230</t>
        </is>
      </c>
      <c r="B19426" t="inlineStr">
        <is>
          <t>Naif Relaxing Bath Salt Mom Magnesium Bath Salt 500 G</t>
        </is>
      </c>
      <c r="C19426" t="inlineStr">
        <is>
          <t>Bath Salts &amp; Bath Bombs</t>
        </is>
      </c>
      <c r="D19426" t="inlineStr">
        <is>
          <t>Naïf</t>
        </is>
      </c>
      <c r="E19426" t="n">
        <v>9.23</v>
      </c>
      <c r="F19426" t="n">
        <v>1</v>
      </c>
      <c r="G19426" t="n">
        <v>5</v>
      </c>
      <c r="H19426" s="5">
        <f>HYPERLINK("https://api.qogita.com/variants/link/8721082818230/", "View Product")</f>
        <v/>
      </c>
    </row>
    <row r="19427">
      <c r="A19427" t="inlineStr">
        <is>
          <t>8800256109661</t>
        </is>
      </c>
      <c r="B19427" t="inlineStr">
        <is>
          <t>Medicube Deep Vita C Pad - 150 Grams</t>
        </is>
      </c>
      <c r="C19427" t="inlineStr">
        <is>
          <t>Vitamin Serum</t>
        </is>
      </c>
      <c r="D19427" t="inlineStr">
        <is>
          <t>Medicube</t>
        </is>
      </c>
      <c r="E19427" t="n">
        <v>30.97</v>
      </c>
      <c r="F19427" t="n">
        <v>1</v>
      </c>
      <c r="G19427" t="n">
        <v>5</v>
      </c>
      <c r="H19427" s="5">
        <f>HYPERLINK("https://api.qogita.com/variants/link/8800256109661/", "View Product")</f>
        <v/>
      </c>
    </row>
    <row r="19428">
      <c r="A19428" t="inlineStr">
        <is>
          <t>8803463003500</t>
        </is>
      </c>
      <c r="B19428" t="inlineStr">
        <is>
          <t>Vt Cosmetics Reedle Shot 1000 - 15ml</t>
        </is>
      </c>
      <c r="C19428" t="inlineStr">
        <is>
          <t>Face Serum</t>
        </is>
      </c>
      <c r="D19428" t="inlineStr">
        <is>
          <t>Vt Cosmetics</t>
        </is>
      </c>
      <c r="E19428" t="n">
        <v>38.37</v>
      </c>
      <c r="F19428" t="n">
        <v>1</v>
      </c>
      <c r="G19428" t="n">
        <v>21</v>
      </c>
      <c r="H19428" s="5">
        <f>HYPERLINK("https://api.qogita.com/variants/link/8803463003500/", "View Product")</f>
        <v/>
      </c>
    </row>
    <row r="19429">
      <c r="A19429" t="inlineStr">
        <is>
          <t>8803463007379</t>
        </is>
      </c>
      <c r="B19429" t="inlineStr">
        <is>
          <t>Vt 100 2step Hydrogel Mask - 1 Piece - 100 Hydrop Reedle Shot</t>
        </is>
      </c>
      <c r="C19429" t="inlineStr">
        <is>
          <t>Hydrating Mask</t>
        </is>
      </c>
      <c r="D19429" t="inlineStr">
        <is>
          <t>Vt</t>
        </is>
      </c>
      <c r="E19429" t="n">
        <v>4.17</v>
      </c>
      <c r="F19429" t="n">
        <v>1</v>
      </c>
      <c r="G19429" t="n">
        <v>27</v>
      </c>
      <c r="H19429" s="5">
        <f>HYPERLINK("https://api.qogita.com/variants/link/8803463007379/", "View Product")</f>
        <v/>
      </c>
    </row>
    <row r="19430">
      <c r="A19430" t="inlineStr">
        <is>
          <t>8803463007546</t>
        </is>
      </c>
      <c r="B19430" t="inlineStr">
        <is>
          <t>Vt Cosmetics Hydrop Needle Shot 100ml Hyaluronic Acid Microneedling Serum</t>
        </is>
      </c>
      <c r="C19430" t="inlineStr">
        <is>
          <t>Hyaluronic Acid Serum</t>
        </is>
      </c>
      <c r="D19430" t="inlineStr">
        <is>
          <t>Vt Cosmetics</t>
        </is>
      </c>
      <c r="E19430" t="n">
        <v>20.13</v>
      </c>
      <c r="F19430" t="n">
        <v>1</v>
      </c>
      <c r="G19430" t="n">
        <v>10</v>
      </c>
      <c r="H19430" s="5">
        <f>HYPERLINK("https://api.qogita.com/variants/link/8803463007546/", "View Product")</f>
        <v/>
      </c>
    </row>
    <row r="19431">
      <c r="A19431" t="inlineStr">
        <is>
          <t>8806133613627</t>
        </is>
      </c>
      <c r="B19431" t="inlineStr">
        <is>
          <t>Dr.Ceuracle Pure VC Mellight Ampoule Vitamin C Powder 10% Serum for Face</t>
        </is>
      </c>
      <c r="C19431" t="inlineStr">
        <is>
          <t>Vitamin Serum</t>
        </is>
      </c>
      <c r="D19431" t="inlineStr">
        <is>
          <t>Dr. Ceuracle</t>
        </is>
      </c>
      <c r="E19431" t="n">
        <v>64.78</v>
      </c>
      <c r="F19431" t="n">
        <v>1</v>
      </c>
      <c r="G19431" t="n">
        <v>5</v>
      </c>
      <c r="H19431" s="5">
        <f>HYPERLINK("https://api.qogita.com/variants/link/8806133613627/", "View Product")</f>
        <v/>
      </c>
    </row>
    <row r="19432">
      <c r="A19432" t="inlineStr">
        <is>
          <t>8806133613689</t>
        </is>
      </c>
      <c r="B19432" t="inlineStr">
        <is>
          <t>Dr.Ceuracle Refreshing Cleansing Gel 5a Control Melting Cleansing Gel - 150 Ml</t>
        </is>
      </c>
      <c r="C19432" t="inlineStr">
        <is>
          <t>Cleansing Gel</t>
        </is>
      </c>
      <c r="D19432" t="inlineStr">
        <is>
          <t>Dr.Ceuracle</t>
        </is>
      </c>
      <c r="E19432" t="n">
        <v>20.21</v>
      </c>
      <c r="F19432" t="n">
        <v>1</v>
      </c>
      <c r="G19432" t="n">
        <v>14</v>
      </c>
      <c r="H19432" s="5">
        <f>HYPERLINK("https://api.qogita.com/variants/link/8806133613689/", "View Product")</f>
        <v/>
      </c>
    </row>
    <row r="19433">
      <c r="A19433" t="inlineStr">
        <is>
          <t>8806133614693</t>
        </is>
      </c>
      <c r="B19433" t="inlineStr">
        <is>
          <t>Dr.Ceuracle Hyal Reyouth Hydrating Lifting Mask</t>
        </is>
      </c>
      <c r="C19433" t="inlineStr">
        <is>
          <t>Hydrating Mask</t>
        </is>
      </c>
      <c r="D19433" t="inlineStr">
        <is>
          <t>Dr.Ceuracle</t>
        </is>
      </c>
      <c r="E19433" t="n">
        <v>4.41</v>
      </c>
      <c r="F19433" t="n">
        <v>1</v>
      </c>
      <c r="G19433" t="n">
        <v>5</v>
      </c>
      <c r="H19433" s="5">
        <f>HYPERLINK("https://api.qogita.com/variants/link/8806133614693/", "View Product")</f>
        <v/>
      </c>
    </row>
    <row r="19434">
      <c r="A19434" t="inlineStr">
        <is>
          <t>8806133614860</t>
        </is>
      </c>
      <c r="B19434" t="inlineStr">
        <is>
          <t>Dr Ceuracle 5 Control No-Sebum Sun Lotion Spf50 Pa - 50 G</t>
        </is>
      </c>
      <c r="C19434" t="inlineStr">
        <is>
          <t>Face Sun Protection</t>
        </is>
      </c>
      <c r="D19434" t="inlineStr">
        <is>
          <t>Dr. Ceuracle</t>
        </is>
      </c>
      <c r="E19434" t="n">
        <v>25.08</v>
      </c>
      <c r="F19434" t="n">
        <v>1</v>
      </c>
      <c r="G19434" t="n">
        <v>7</v>
      </c>
      <c r="H19434" s="5">
        <f>HYPERLINK("https://api.qogita.com/variants/link/8806133614860/", "View Product")</f>
        <v/>
      </c>
    </row>
    <row r="19435">
      <c r="A19435" t="inlineStr">
        <is>
          <t>8806133615201</t>
        </is>
      </c>
      <c r="B19435" t="inlineStr">
        <is>
          <t>Dr.Ceuracle Vegan Kombucha Tea Lip Balm 3.7g</t>
        </is>
      </c>
      <c r="C19435" t="inlineStr">
        <is>
          <t>Lip Balm</t>
        </is>
      </c>
      <c r="D19435" t="inlineStr">
        <is>
          <t>Dr. Ceuracle</t>
        </is>
      </c>
      <c r="E19435" t="n">
        <v>10.78</v>
      </c>
      <c r="F19435" t="n">
        <v>1</v>
      </c>
      <c r="G19435" t="n">
        <v>6</v>
      </c>
      <c r="H19435" s="5">
        <f>HYPERLINK("https://api.qogita.com/variants/link/8806133615201/", "View Product")</f>
        <v/>
      </c>
    </row>
    <row r="19436">
      <c r="A19436" t="inlineStr">
        <is>
          <t>8806135244911</t>
        </is>
      </c>
      <c r="B19436" t="inlineStr">
        <is>
          <t>Isntree Tw-Real Eye Cream 30ml 1.01 Fl Oz - Korean Eye Cream for Dark Circles</t>
        </is>
      </c>
      <c r="C19436" t="inlineStr">
        <is>
          <t>Eye Cream</t>
        </is>
      </c>
      <c r="D19436" t="inlineStr">
        <is>
          <t>Isntree</t>
        </is>
      </c>
      <c r="E19436" t="n">
        <v>11.63</v>
      </c>
      <c r="F19436" t="n">
        <v>1</v>
      </c>
      <c r="G19436" t="n">
        <v>4</v>
      </c>
      <c r="H19436" s="5">
        <f>HYPERLINK("https://api.qogita.com/variants/link/8806135244911/", "View Product")</f>
        <v/>
      </c>
    </row>
    <row r="19437">
      <c r="A19437" t="inlineStr">
        <is>
          <t>8806158552574</t>
        </is>
      </c>
      <c r="B19437" t="inlineStr">
        <is>
          <t>Sioris My First Essence 100ml</t>
        </is>
      </c>
      <c r="C19437" t="inlineStr">
        <is>
          <t>Hydrating Serum</t>
        </is>
      </c>
      <c r="D19437" t="inlineStr">
        <is>
          <t>Sioris</t>
        </is>
      </c>
      <c r="E19437" t="n">
        <v>24.57</v>
      </c>
      <c r="F19437" t="n">
        <v>1</v>
      </c>
      <c r="G19437" t="n">
        <v>3</v>
      </c>
      <c r="H19437" s="5">
        <f>HYPERLINK("https://api.qogita.com/variants/link/8806158552574/", "View Product")</f>
        <v/>
      </c>
    </row>
    <row r="19438">
      <c r="A19438" t="inlineStr">
        <is>
          <t>8806185723510</t>
        </is>
      </c>
      <c r="B19438" t="inlineStr">
        <is>
          <t>Missha Hydrating Face Mask With Snail Extract Snail 3d Sheet Mask 23 G</t>
        </is>
      </c>
      <c r="C19438" t="inlineStr">
        <is>
          <t>Sheet Mask</t>
        </is>
      </c>
      <c r="D19438" t="inlineStr">
        <is>
          <t>Missha</t>
        </is>
      </c>
      <c r="E19438" t="n">
        <v>2.47</v>
      </c>
      <c r="F19438" t="n">
        <v>1</v>
      </c>
      <c r="G19438" t="n">
        <v>445</v>
      </c>
      <c r="H19438" s="5">
        <f>HYPERLINK("https://api.qogita.com/variants/link/8806185723510/", "View Product")</f>
        <v/>
      </c>
    </row>
    <row r="19439">
      <c r="A19439" t="inlineStr">
        <is>
          <t>8806194059440</t>
        </is>
      </c>
      <c r="B19439" t="inlineStr">
        <is>
          <t>Tony Moly Intense Care Homme Gold 24k Snail Skin Gel - 130 Ml</t>
        </is>
      </c>
      <c r="C19439" t="inlineStr">
        <is>
          <t>Anti-Aging Facial Care</t>
        </is>
      </c>
      <c r="D19439" t="inlineStr">
        <is>
          <t>Tony Moly</t>
        </is>
      </c>
      <c r="E19439" t="n">
        <v>25.62</v>
      </c>
      <c r="F19439" t="n">
        <v>1</v>
      </c>
      <c r="G19439" t="n">
        <v>5</v>
      </c>
      <c r="H19439" s="5">
        <f>HYPERLINK("https://api.qogita.com/variants/link/8806194059440/", "View Product")</f>
        <v/>
      </c>
    </row>
    <row r="19440">
      <c r="A19440" t="inlineStr">
        <is>
          <t>8806194059778</t>
        </is>
      </c>
      <c r="B19440" t="inlineStr">
        <is>
          <t>Tony Moly Fragrance Garden Flower Bouquet Body Lotion 300 Ml</t>
        </is>
      </c>
      <c r="C19440" t="inlineStr">
        <is>
          <t>Body Lotion</t>
        </is>
      </c>
      <c r="D19440" t="inlineStr">
        <is>
          <t>Tony Moly</t>
        </is>
      </c>
      <c r="E19440" t="n">
        <v>13.46</v>
      </c>
      <c r="F19440" t="n">
        <v>1</v>
      </c>
      <c r="G19440" t="n">
        <v>2</v>
      </c>
      <c r="H19440" s="5">
        <f>HYPERLINK("https://api.qogita.com/variants/link/8806194059778/", "View Product")</f>
        <v/>
      </c>
    </row>
    <row r="19441">
      <c r="A19441" t="inlineStr">
        <is>
          <t>8806194061832</t>
        </is>
      </c>
      <c r="B19441" t="inlineStr">
        <is>
          <t>Tony Moly Liquid Makeup Spf 30 Bcdation Ultra Fix Foundation - 34 G</t>
        </is>
      </c>
      <c r="C19441" t="inlineStr">
        <is>
          <t>Foundation</t>
        </is>
      </c>
      <c r="D19441" t="inlineStr">
        <is>
          <t>Tony Moly</t>
        </is>
      </c>
      <c r="E19441" t="n">
        <v>16.14</v>
      </c>
      <c r="F19441" t="n">
        <v>1</v>
      </c>
      <c r="G19441" t="n">
        <v>3</v>
      </c>
      <c r="H19441" s="5">
        <f>HYPERLINK("https://api.qogita.com/variants/link/8806194061832/", "View Product")</f>
        <v/>
      </c>
    </row>
    <row r="19442">
      <c r="A19442" t="inlineStr">
        <is>
          <t>8806194063263</t>
        </is>
      </c>
      <c r="B19442" t="inlineStr">
        <is>
          <t>Tony Moly Uv Master Face &amp; Body Sun Cream - 80 Ml</t>
        </is>
      </c>
      <c r="C19442" t="inlineStr">
        <is>
          <t>Body Sun Protection</t>
        </is>
      </c>
      <c r="D19442" t="inlineStr">
        <is>
          <t>Tony Moly</t>
        </is>
      </c>
      <c r="E19442" t="n">
        <v>14.3</v>
      </c>
      <c r="F19442" t="n">
        <v>1</v>
      </c>
      <c r="G19442" t="n">
        <v>2</v>
      </c>
      <c r="H19442" s="5">
        <f>HYPERLINK("https://api.qogita.com/variants/link/8806194063263/", "View Product")</f>
        <v/>
      </c>
    </row>
    <row r="19443">
      <c r="A19443" t="inlineStr">
        <is>
          <t>8806194066189</t>
        </is>
      </c>
      <c r="B19443" t="inlineStr">
        <is>
          <t>Tony Moly Calming Skin Tampons Houttuynia Cordata Cica Quick Calming 93 Pad - 70 Pieces</t>
        </is>
      </c>
      <c r="C19443" t="inlineStr">
        <is>
          <t>Facial Care Sets</t>
        </is>
      </c>
      <c r="D19443" t="inlineStr">
        <is>
          <t>Tony Moly</t>
        </is>
      </c>
      <c r="E19443" t="n">
        <v>17.71</v>
      </c>
      <c r="F19443" t="n">
        <v>1</v>
      </c>
      <c r="G19443" t="n">
        <v>8</v>
      </c>
      <c r="H19443" s="5">
        <f>HYPERLINK("https://api.qogita.com/variants/link/8806194066189/", "View Product")</f>
        <v/>
      </c>
    </row>
    <row r="19444">
      <c r="A19444" t="inlineStr">
        <is>
          <t>8807779000376</t>
        </is>
      </c>
      <c r="B19444" t="inlineStr">
        <is>
          <t>Daeng Gi Meo Ri Honey Therapy Plus Hair Pack - 150 Ml</t>
        </is>
      </c>
      <c r="C19444" t="inlineStr">
        <is>
          <t>Hair Masks</t>
        </is>
      </c>
      <c r="D19444" t="inlineStr">
        <is>
          <t>Daeng Gi Meo Ri</t>
        </is>
      </c>
      <c r="E19444" t="n">
        <v>9.35</v>
      </c>
      <c r="F19444" t="n">
        <v>1</v>
      </c>
      <c r="G19444" t="n">
        <v>4</v>
      </c>
      <c r="H19444" s="5">
        <f>HYPERLINK("https://api.qogita.com/variants/link/8807779000376/", "View Product")</f>
        <v/>
      </c>
    </row>
    <row r="19445">
      <c r="A19445" t="inlineStr">
        <is>
          <t>8809080826232</t>
        </is>
      </c>
      <c r="B19445" t="inlineStr">
        <is>
          <t>Coxir Ultra Hyaluronic Ampoule 50ml</t>
        </is>
      </c>
      <c r="C19445" t="inlineStr">
        <is>
          <t>Hyaluronic Acid Serum</t>
        </is>
      </c>
      <c r="D19445" t="inlineStr">
        <is>
          <t>Coxir</t>
        </is>
      </c>
      <c r="E19445" t="n">
        <v>11.17</v>
      </c>
      <c r="F19445" t="n">
        <v>1</v>
      </c>
      <c r="G19445" t="n">
        <v>2</v>
      </c>
      <c r="H19445" s="5">
        <f>HYPERLINK("https://api.qogita.com/variants/link/8809080826232/", "View Product")</f>
        <v/>
      </c>
    </row>
    <row r="19446">
      <c r="A19446" t="inlineStr">
        <is>
          <t>8809080826249</t>
        </is>
      </c>
      <c r="B19446" t="inlineStr">
        <is>
          <t>Coxir Ultra Hyaluronic Cream 50ml</t>
        </is>
      </c>
      <c r="C19446" t="inlineStr">
        <is>
          <t>Face Cream</t>
        </is>
      </c>
      <c r="D19446" t="inlineStr">
        <is>
          <t>Coxir</t>
        </is>
      </c>
      <c r="E19446" t="n">
        <v>13.74</v>
      </c>
      <c r="F19446" t="n">
        <v>1</v>
      </c>
      <c r="G19446" t="n">
        <v>4</v>
      </c>
      <c r="H19446" s="5">
        <f>HYPERLINK("https://api.qogita.com/variants/link/8809080826249/", "View Product")</f>
        <v/>
      </c>
    </row>
    <row r="19447">
      <c r="A19447" t="inlineStr">
        <is>
          <t>8809080826348</t>
        </is>
      </c>
      <c r="B19447" t="inlineStr">
        <is>
          <t>COXIR Ultra-Hyaluronic Cleansing Oil 150ml 5.07 fl.oz. No Parabens A Step Make Up Remover for Deep Cleaning and Deep Hydration</t>
        </is>
      </c>
      <c r="C19447" t="inlineStr">
        <is>
          <t>Cleansing Oil</t>
        </is>
      </c>
      <c r="D19447" t="inlineStr">
        <is>
          <t>Coxir</t>
        </is>
      </c>
      <c r="E19447" t="n">
        <v>11.77</v>
      </c>
      <c r="F19447" t="n">
        <v>1</v>
      </c>
      <c r="G19447" t="n">
        <v>5</v>
      </c>
      <c r="H19447" s="5">
        <f>HYPERLINK("https://api.qogita.com/variants/link/8809080826348/", "View Product")</f>
        <v/>
      </c>
    </row>
    <row r="19448">
      <c r="A19448" t="inlineStr">
        <is>
          <t>8809115025937</t>
        </is>
      </c>
      <c r="B19448" t="inlineStr">
        <is>
          <t>Klairs Gentle Black Deep Cleansing Oil - 150ml</t>
        </is>
      </c>
      <c r="C19448" t="inlineStr">
        <is>
          <t>Cleansing Oil</t>
        </is>
      </c>
      <c r="D19448" t="inlineStr">
        <is>
          <t>Klairs</t>
        </is>
      </c>
      <c r="E19448" t="n">
        <v>18.66</v>
      </c>
      <c r="F19448" t="n">
        <v>1</v>
      </c>
      <c r="G19448" t="n">
        <v>5</v>
      </c>
      <c r="H19448" s="5">
        <f>HYPERLINK("https://api.qogita.com/variants/link/8809115025937/", "View Product")</f>
        <v/>
      </c>
    </row>
    <row r="19449">
      <c r="A19449" t="inlineStr">
        <is>
          <t>8809132968941</t>
        </is>
      </c>
      <c r="B19449" t="inlineStr">
        <is>
          <t>Mizon My Relaxing Time Delicious Blueberry Shower Gel 800 Ml</t>
        </is>
      </c>
      <c r="C19449" t="inlineStr">
        <is>
          <t>Shower Gel</t>
        </is>
      </c>
      <c r="D19449" t="inlineStr">
        <is>
          <t>Mizon</t>
        </is>
      </c>
      <c r="E19449" t="n">
        <v>11.84</v>
      </c>
      <c r="F19449" t="n">
        <v>1</v>
      </c>
      <c r="G19449" t="n">
        <v>5</v>
      </c>
      <c r="H19449" s="5">
        <f>HYPERLINK("https://api.qogita.com/variants/link/8809132968941/", "View Product")</f>
        <v/>
      </c>
    </row>
    <row r="19450">
      <c r="A19450" t="inlineStr">
        <is>
          <t>8809211654635</t>
        </is>
      </c>
      <c r="B19450" t="inlineStr">
        <is>
          <t>G9 Skin Self Aesthetic Rose Hydrogel Lip Patch - 3 Grams</t>
        </is>
      </c>
      <c r="C19450" t="inlineStr">
        <is>
          <t>Lip Mask</t>
        </is>
      </c>
      <c r="D19450" t="inlineStr">
        <is>
          <t>G9 Skin</t>
        </is>
      </c>
      <c r="E19450" t="n">
        <v>2.97</v>
      </c>
      <c r="F19450" t="n">
        <v>1</v>
      </c>
      <c r="G19450" t="n">
        <v>5</v>
      </c>
      <c r="H19450" s="5">
        <f>HYPERLINK("https://api.qogita.com/variants/link/8809211654635/", "View Product")</f>
        <v/>
      </c>
    </row>
    <row r="19451">
      <c r="A19451" t="inlineStr">
        <is>
          <t>8809240318508</t>
        </is>
      </c>
      <c r="B19451" t="inlineStr">
        <is>
          <t>Vitamin C Serum 30ml Ascorbic Acid 15% with Panthenol</t>
        </is>
      </c>
      <c r="C19451" t="inlineStr">
        <is>
          <t>Vitamin Serum</t>
        </is>
      </c>
      <c r="D19451" t="inlineStr">
        <is>
          <t>Cos De Baha</t>
        </is>
      </c>
      <c r="E19451" t="n">
        <v>13.53</v>
      </c>
      <c r="F19451" t="n">
        <v>1</v>
      </c>
      <c r="G19451" t="n">
        <v>8</v>
      </c>
      <c r="H19451" s="5">
        <f>HYPERLINK("https://api.qogita.com/variants/link/8809240318508/", "View Product")</f>
        <v/>
      </c>
    </row>
    <row r="19452">
      <c r="A19452" t="inlineStr">
        <is>
          <t>8809255783858</t>
        </is>
      </c>
      <c r="B19452" t="inlineStr">
        <is>
          <t>Cleaning Water</t>
        </is>
      </c>
      <c r="C19452" t="inlineStr">
        <is>
          <t>Soap</t>
        </is>
      </c>
      <c r="D19452" t="inlineStr">
        <is>
          <t>Erborian</t>
        </is>
      </c>
      <c r="E19452" t="n">
        <v>19.46</v>
      </c>
      <c r="F19452" t="n">
        <v>1</v>
      </c>
      <c r="G19452" t="n">
        <v>6</v>
      </c>
      <c r="H19452" s="5">
        <f>HYPERLINK("https://api.qogita.com/variants/link/8809255783858/", "View Product")</f>
        <v/>
      </c>
    </row>
    <row r="19453">
      <c r="A19453" t="inlineStr">
        <is>
          <t>8809255785609</t>
        </is>
      </c>
      <c r="B19453" t="inlineStr">
        <is>
          <t>Erborian Pink Primer &amp; Care Skin Perfecting Radiance Primer for Refined Skin</t>
        </is>
      </c>
      <c r="C19453" t="inlineStr">
        <is>
          <t>Face Cream</t>
        </is>
      </c>
      <c r="D19453" t="inlineStr">
        <is>
          <t>Erborian</t>
        </is>
      </c>
      <c r="E19453" t="n">
        <v>30.52</v>
      </c>
      <c r="F19453" t="n">
        <v>1</v>
      </c>
      <c r="G19453" t="n">
        <v>3</v>
      </c>
      <c r="H19453" s="5">
        <f>HYPERLINK("https://api.qogita.com/variants/link/8809255785609/", "View Product")</f>
        <v/>
      </c>
    </row>
    <row r="19454">
      <c r="A19454" t="inlineStr">
        <is>
          <t>8809255785777</t>
        </is>
      </c>
      <c r="B19454" t="inlineStr">
        <is>
          <t>Erborian Centella Cleansing Oil 180ml</t>
        </is>
      </c>
      <c r="C19454" t="inlineStr">
        <is>
          <t>Cleansing Oil</t>
        </is>
      </c>
      <c r="D19454" t="inlineStr">
        <is>
          <t>Erborian</t>
        </is>
      </c>
      <c r="E19454" t="n">
        <v>21.05</v>
      </c>
      <c r="F19454" t="n">
        <v>1</v>
      </c>
      <c r="G19454" t="n">
        <v>9</v>
      </c>
      <c r="H19454" s="5">
        <f>HYPERLINK("https://api.qogita.com/variants/link/8809255785777/", "View Product")</f>
        <v/>
      </c>
    </row>
    <row r="19455">
      <c r="A19455" t="inlineStr">
        <is>
          <t>8809255785784</t>
        </is>
      </c>
      <c r="B19455" t="inlineStr">
        <is>
          <t>Erborian Centella Cleansing Oil 30ml</t>
        </is>
      </c>
      <c r="C19455" t="inlineStr">
        <is>
          <t>Cleansing Oil</t>
        </is>
      </c>
      <c r="D19455" t="inlineStr">
        <is>
          <t>Erborian</t>
        </is>
      </c>
      <c r="E19455" t="n">
        <v>8.77</v>
      </c>
      <c r="F19455" t="n">
        <v>1</v>
      </c>
      <c r="G19455" t="n">
        <v>4</v>
      </c>
      <c r="H19455" s="5">
        <f>HYPERLINK("https://api.qogita.com/variants/link/8809255785784/", "View Product")</f>
        <v/>
      </c>
    </row>
    <row r="19456">
      <c r="A19456" t="inlineStr">
        <is>
          <t>8809255785791</t>
        </is>
      </c>
      <c r="B19456" t="inlineStr">
        <is>
          <t>Erborian Milk and Peel Shot Mask 15g</t>
        </is>
      </c>
      <c r="C19456" t="inlineStr">
        <is>
          <t>Glow Mask</t>
        </is>
      </c>
      <c r="D19456" t="inlineStr">
        <is>
          <t>Erborian</t>
        </is>
      </c>
      <c r="E19456" t="n">
        <v>6.74</v>
      </c>
      <c r="F19456" t="n">
        <v>1</v>
      </c>
      <c r="G19456" t="n">
        <v>9</v>
      </c>
      <c r="H19456" s="5">
        <f>HYPERLINK("https://api.qogita.com/variants/link/8809255785791/", "View Product")</f>
        <v/>
      </c>
    </row>
    <row r="19457">
      <c r="A19457" t="inlineStr">
        <is>
          <t>8809255786118</t>
        </is>
      </c>
      <c r="B19457" t="inlineStr">
        <is>
          <t>Erborian Cc Water Fresh Complexion Gel 40 Ml</t>
        </is>
      </c>
      <c r="C19457" t="inlineStr">
        <is>
          <t>Tinted Day Cream</t>
        </is>
      </c>
      <c r="D19457" t="inlineStr">
        <is>
          <t>Erborian</t>
        </is>
      </c>
      <c r="E19457" t="n">
        <v>32.12</v>
      </c>
      <c r="F19457" t="n">
        <v>1</v>
      </c>
      <c r="G19457" t="n">
        <v>5</v>
      </c>
      <c r="H19457" s="5">
        <f>HYPERLINK("https://api.qogita.com/variants/link/8809255786118/", "View Product")</f>
        <v/>
      </c>
    </row>
    <row r="19458">
      <c r="A19458" t="inlineStr">
        <is>
          <t>8809255786996</t>
        </is>
      </c>
      <c r="B19458" t="inlineStr">
        <is>
          <t>Erborian BB Cream With Ginseng Complexion Cream Baby Skin Effect Korean Cosmetic Treatment 40ml</t>
        </is>
      </c>
      <c r="C19458" t="inlineStr">
        <is>
          <t>Tinted Day Cream</t>
        </is>
      </c>
      <c r="D19458" t="inlineStr">
        <is>
          <t>Erborian</t>
        </is>
      </c>
      <c r="E19458" t="n">
        <v>26.52</v>
      </c>
      <c r="F19458" t="n">
        <v>1</v>
      </c>
      <c r="G19458" t="n">
        <v>9</v>
      </c>
      <c r="H19458" s="5">
        <f>HYPERLINK("https://api.qogita.com/variants/link/8809255786996/", "View Product")</f>
        <v/>
      </c>
    </row>
    <row r="19459">
      <c r="A19459" t="inlineStr">
        <is>
          <t>8809255787085</t>
        </is>
      </c>
      <c r="B19459" t="inlineStr">
        <is>
          <t>Erborian Super Bb Clair 15ml Covering Carecream Spf 20</t>
        </is>
      </c>
      <c r="C19459" t="inlineStr">
        <is>
          <t>Tinted Day Cream</t>
        </is>
      </c>
      <c r="D19459" t="inlineStr">
        <is>
          <t>Erborian</t>
        </is>
      </c>
      <c r="E19459" t="n">
        <v>16.81</v>
      </c>
      <c r="F19459" t="n">
        <v>1</v>
      </c>
      <c r="G19459" t="n">
        <v>14</v>
      </c>
      <c r="H19459" s="5">
        <f>HYPERLINK("https://api.qogita.com/variants/link/8809255787085/", "View Product")</f>
        <v/>
      </c>
    </row>
    <row r="19460">
      <c r="A19460" t="inlineStr">
        <is>
          <t>8809255787207</t>
        </is>
      </c>
      <c r="B19460" t="inlineStr">
        <is>
          <t>Erborian Super BB Caramel 15ml</t>
        </is>
      </c>
      <c r="C19460" t="inlineStr">
        <is>
          <t>Tinted Day Cream</t>
        </is>
      </c>
      <c r="D19460" t="inlineStr">
        <is>
          <t>Erborian</t>
        </is>
      </c>
      <c r="E19460" t="n">
        <v>14.79</v>
      </c>
      <c r="F19460" t="n">
        <v>1</v>
      </c>
      <c r="G19460" t="n">
        <v>8</v>
      </c>
      <c r="H19460" s="5">
        <f>HYPERLINK("https://api.qogita.com/variants/link/8809255787207/", "View Product")</f>
        <v/>
      </c>
    </row>
    <row r="19461">
      <c r="A19461" t="inlineStr">
        <is>
          <t>8809255787481</t>
        </is>
      </c>
      <c r="B19461" t="inlineStr">
        <is>
          <t>Erborian Centella Sos Patch Gel 9ml Local Care For Problematic Skin</t>
        </is>
      </c>
      <c r="C19461" t="inlineStr">
        <is>
          <t>Face Dermacosmetics Sun Protection</t>
        </is>
      </c>
      <c r="D19461" t="inlineStr">
        <is>
          <t>Erborian</t>
        </is>
      </c>
      <c r="E19461" t="n">
        <v>17.35</v>
      </c>
      <c r="F19461" t="n">
        <v>1</v>
      </c>
      <c r="G19461" t="n">
        <v>2</v>
      </c>
      <c r="H19461" s="5">
        <f>HYPERLINK("https://api.qogita.com/variants/link/8809255787481/", "View Product")</f>
        <v/>
      </c>
    </row>
    <row r="19462">
      <c r="A19462" t="inlineStr">
        <is>
          <t>8809255787832</t>
        </is>
      </c>
      <c r="B19462" t="inlineStr">
        <is>
          <t>Erborian Skin Therapy Multi-Perfecting Face Oil Serum - Reduces Signs of Aging</t>
        </is>
      </c>
      <c r="C19462" t="inlineStr">
        <is>
          <t>Glow Serum</t>
        </is>
      </c>
      <c r="D19462" t="inlineStr">
        <is>
          <t>Erborian</t>
        </is>
      </c>
      <c r="E19462" t="n">
        <v>14.52</v>
      </c>
      <c r="F19462" t="n">
        <v>1</v>
      </c>
      <c r="G19462" t="n">
        <v>46</v>
      </c>
      <c r="H19462" s="5">
        <f>HYPERLINK("https://api.qogita.com/variants/link/8809255787832/", "View Product")</f>
        <v/>
      </c>
    </row>
    <row r="19463">
      <c r="A19463" t="inlineStr">
        <is>
          <t>8809255788105</t>
        </is>
      </c>
      <c r="B19463" t="inlineStr">
        <is>
          <t>Erborian Skin Hero Glow Non-Tinted Skin Perfector 40ml</t>
        </is>
      </c>
      <c r="C19463" t="inlineStr">
        <is>
          <t>Face Cream</t>
        </is>
      </c>
      <c r="D19463" t="inlineStr">
        <is>
          <t>Erborian</t>
        </is>
      </c>
      <c r="E19463" t="n">
        <v>32.12</v>
      </c>
      <c r="F19463" t="n">
        <v>1</v>
      </c>
      <c r="G19463" t="n">
        <v>3</v>
      </c>
      <c r="H19463" s="5">
        <f>HYPERLINK("https://api.qogita.com/variants/link/8809255788105/", "View Product")</f>
        <v/>
      </c>
    </row>
    <row r="19464">
      <c r="A19464" t="inlineStr">
        <is>
          <t>8809292443197</t>
        </is>
      </c>
      <c r="B19464" t="inlineStr">
        <is>
          <t>Abib Jericho Rose Bifida Serum Firming Drop - Visibly Smooths Textured Skin</t>
        </is>
      </c>
      <c r="C19464" t="inlineStr">
        <is>
          <t>Anti-Aging Serum</t>
        </is>
      </c>
      <c r="D19464" t="inlineStr">
        <is>
          <t>Abib</t>
        </is>
      </c>
      <c r="E19464" t="n">
        <v>16.54</v>
      </c>
      <c r="F19464" t="n">
        <v>1</v>
      </c>
      <c r="G19464" t="n">
        <v>13</v>
      </c>
      <c r="H19464" s="5">
        <f>HYPERLINK("https://api.qogita.com/variants/link/8809292443197/", "View Product")</f>
        <v/>
      </c>
    </row>
    <row r="19465">
      <c r="A19465" t="inlineStr">
        <is>
          <t>8809393400051</t>
        </is>
      </c>
      <c r="B19465" t="inlineStr">
        <is>
          <t>Skin79 Angry Cat Calming and Soothing Animal Mask Sheet Korean Mask</t>
        </is>
      </c>
      <c r="C19465" t="inlineStr">
        <is>
          <t>Sheet Mask</t>
        </is>
      </c>
      <c r="D19465" t="inlineStr">
        <is>
          <t>Skin79</t>
        </is>
      </c>
      <c r="E19465" t="n">
        <v>11.21</v>
      </c>
      <c r="F19465" t="n">
        <v>1</v>
      </c>
      <c r="G19465" t="n">
        <v>5</v>
      </c>
      <c r="H19465" s="5">
        <f>HYPERLINK("https://api.qogita.com/variants/link/8809393400051/", "View Product")</f>
        <v/>
      </c>
    </row>
    <row r="19466">
      <c r="A19466" t="inlineStr">
        <is>
          <t>8809393403335</t>
        </is>
      </c>
      <c r="B19466" t="inlineStr">
        <is>
          <t>Skin79 Pink BB Cream 40ml</t>
        </is>
      </c>
      <c r="C19466" t="inlineStr">
        <is>
          <t>Tinted Day Cream</t>
        </is>
      </c>
      <c r="D19466" t="inlineStr">
        <is>
          <t>Skin79</t>
        </is>
      </c>
      <c r="E19466" t="n">
        <v>11.21</v>
      </c>
      <c r="F19466" t="n">
        <v>1</v>
      </c>
      <c r="G19466" t="n">
        <v>5</v>
      </c>
      <c r="H19466" s="5">
        <f>HYPERLINK("https://api.qogita.com/variants/link/8809393403335/", "View Product")</f>
        <v/>
      </c>
    </row>
    <row r="19467">
      <c r="A19467" t="inlineStr">
        <is>
          <t>8809393403816</t>
        </is>
      </c>
      <c r="B19467" t="inlineStr">
        <is>
          <t>Skin79 Seoul Girls Beauty Secret Mask Vitality Mask 20 G</t>
        </is>
      </c>
      <c r="C19467" t="inlineStr">
        <is>
          <t>Sheet Mask</t>
        </is>
      </c>
      <c r="D19467" t="inlineStr">
        <is>
          <t>Skin79</t>
        </is>
      </c>
      <c r="E19467" t="n">
        <v>3.49</v>
      </c>
      <c r="F19467" t="n">
        <v>1</v>
      </c>
      <c r="G19467" t="n">
        <v>72</v>
      </c>
      <c r="H19467" s="5">
        <f>HYPERLINK("https://api.qogita.com/variants/link/8809393403816/", "View Product")</f>
        <v/>
      </c>
    </row>
    <row r="19468">
      <c r="A19468" t="inlineStr">
        <is>
          <t>8809416470245</t>
        </is>
      </c>
      <c r="B19468" t="inlineStr">
        <is>
          <t>Cosrx Acne Pimple Master Patch - 24 Pieces</t>
        </is>
      </c>
      <c r="C19468" t="inlineStr">
        <is>
          <t>Pimple &amp; Blackhead Treatments</t>
        </is>
      </c>
      <c r="D19468" t="inlineStr">
        <is>
          <t>Cosrx</t>
        </is>
      </c>
      <c r="E19468" t="n">
        <v>3.26</v>
      </c>
      <c r="F19468" t="n">
        <v>1</v>
      </c>
      <c r="G19468" t="n">
        <v>19</v>
      </c>
      <c r="H19468" s="5">
        <f>HYPERLINK("https://api.qogita.com/variants/link/8809416470245/", "View Product")</f>
        <v/>
      </c>
    </row>
    <row r="19469">
      <c r="A19469" t="inlineStr">
        <is>
          <t>8809416470368</t>
        </is>
      </c>
      <c r="B19469" t="inlineStr">
        <is>
          <t>Cosrx Centella Blemish Cream - 30ml</t>
        </is>
      </c>
      <c r="C19469" t="inlineStr">
        <is>
          <t>Pimple &amp; Blackhead Treatments</t>
        </is>
      </c>
      <c r="D19469" t="inlineStr">
        <is>
          <t>Cosrx</t>
        </is>
      </c>
      <c r="E19469" t="n">
        <v>12.4</v>
      </c>
      <c r="F19469" t="n">
        <v>1</v>
      </c>
      <c r="G19469" t="n">
        <v>82</v>
      </c>
      <c r="H19469" s="5">
        <f>HYPERLINK("https://api.qogita.com/variants/link/8809416470368/", "View Product")</f>
        <v/>
      </c>
    </row>
    <row r="19470">
      <c r="A19470" t="inlineStr">
        <is>
          <t>8809416470726</t>
        </is>
      </c>
      <c r="B19470" t="inlineStr">
        <is>
          <t>Cosrx Ultimate Nourishing Rice Overnight Spa Mask 3 In 1 60ml</t>
        </is>
      </c>
      <c r="C19470" t="inlineStr">
        <is>
          <t>Hydrating Mask</t>
        </is>
      </c>
      <c r="D19470" t="inlineStr">
        <is>
          <t>Cosrx</t>
        </is>
      </c>
      <c r="E19470" t="n">
        <v>13.92</v>
      </c>
      <c r="F19470" t="n">
        <v>1</v>
      </c>
      <c r="G19470" t="n">
        <v>16</v>
      </c>
      <c r="H19470" s="5">
        <f>HYPERLINK("https://api.qogita.com/variants/link/8809416470726/", "View Product")</f>
        <v/>
      </c>
    </row>
    <row r="19471">
      <c r="A19471" t="inlineStr">
        <is>
          <t>8809416471655</t>
        </is>
      </c>
      <c r="B19471" t="inlineStr">
        <is>
          <t>Cosrx Two In One Poreless Power Liquid Cooling Essence For Face 100ml</t>
        </is>
      </c>
      <c r="C19471" t="inlineStr">
        <is>
          <t>Hydrating Serum</t>
        </is>
      </c>
      <c r="D19471" t="inlineStr">
        <is>
          <t>Cosrx</t>
        </is>
      </c>
      <c r="E19471" t="n">
        <v>14.72</v>
      </c>
      <c r="F19471" t="n">
        <v>1</v>
      </c>
      <c r="G19471" t="n">
        <v>3</v>
      </c>
      <c r="H19471" s="5">
        <f>HYPERLINK("https://api.qogita.com/variants/link/8809416471655/", "View Product")</f>
        <v/>
      </c>
    </row>
    <row r="19472">
      <c r="A19472" t="inlineStr">
        <is>
          <t>8809447254708</t>
        </is>
      </c>
      <c r="B19472" t="inlineStr">
        <is>
          <t>Dr. Althea Green Relief Amino Gel Cleanser - Lightweight Hydrating Gel</t>
        </is>
      </c>
      <c r="C19472" t="inlineStr">
        <is>
          <t>Cleansing Gel</t>
        </is>
      </c>
      <c r="D19472" t="inlineStr">
        <is>
          <t>Dr.Althea</t>
        </is>
      </c>
      <c r="E19472" t="n">
        <v>12.14</v>
      </c>
      <c r="F19472" t="n">
        <v>1</v>
      </c>
      <c r="G19472" t="n">
        <v>2</v>
      </c>
      <c r="H19472" s="5">
        <f>HYPERLINK("https://api.qogita.com/variants/link/8809447254708/", "View Product")</f>
        <v/>
      </c>
    </row>
    <row r="19473">
      <c r="A19473" t="inlineStr">
        <is>
          <t>8809455420973</t>
        </is>
      </c>
      <c r="B19473" t="inlineStr">
        <is>
          <t>NEEDLY All-in-one Mild Cleansing Balm with Fermented Camellia Seed Oil for Improved Whitehead</t>
        </is>
      </c>
      <c r="C19473" t="inlineStr">
        <is>
          <t>Cleansing Cream</t>
        </is>
      </c>
      <c r="D19473" t="inlineStr">
        <is>
          <t>Needly</t>
        </is>
      </c>
      <c r="E19473" t="n">
        <v>20.88</v>
      </c>
      <c r="F19473" t="n">
        <v>1</v>
      </c>
      <c r="G19473" t="n">
        <v>26</v>
      </c>
      <c r="H19473" s="5">
        <f>HYPERLINK("https://api.qogita.com/variants/link/8809455420973/", "View Product")</f>
        <v/>
      </c>
    </row>
    <row r="19474">
      <c r="A19474" t="inlineStr">
        <is>
          <t>8809455421703</t>
        </is>
      </c>
      <c r="B19474" t="inlineStr">
        <is>
          <t>Cicachid Facial Pads (Chilling Pad) 70 pieces</t>
        </is>
      </c>
      <c r="C19474" t="inlineStr">
        <is>
          <t>Facial Cleansing Sets</t>
        </is>
      </c>
      <c r="D19474" t="inlineStr">
        <is>
          <t>Needly</t>
        </is>
      </c>
      <c r="E19474" t="n">
        <v>21.03</v>
      </c>
      <c r="F19474" t="n">
        <v>1</v>
      </c>
      <c r="G19474" t="n">
        <v>75</v>
      </c>
      <c r="H19474" s="5">
        <f>HYPERLINK("https://api.qogita.com/variants/link/8809455421703/", "View Product")</f>
        <v/>
      </c>
    </row>
    <row r="19475">
      <c r="A19475" t="inlineStr">
        <is>
          <t>8809479166437</t>
        </is>
      </c>
      <c r="B19475" t="inlineStr">
        <is>
          <t>Mizon Joyful Time Essence Cucumber 23g</t>
        </is>
      </c>
      <c r="C19475" t="inlineStr">
        <is>
          <t>Hydrating Serum</t>
        </is>
      </c>
      <c r="D19475" t="inlineStr">
        <is>
          <t>Mizon</t>
        </is>
      </c>
      <c r="E19475" t="n">
        <v>3.13</v>
      </c>
      <c r="F19475" t="n">
        <v>1</v>
      </c>
      <c r="G19475" t="n">
        <v>8</v>
      </c>
      <c r="H19475" s="5">
        <f>HYPERLINK("https://api.qogita.com/variants/link/8809479166437/", "View Product")</f>
        <v/>
      </c>
    </row>
    <row r="19476">
      <c r="A19476" t="inlineStr">
        <is>
          <t>8809479166444</t>
        </is>
      </c>
      <c r="B19476" t="inlineStr">
        <is>
          <t>Mizon Joyful Snail Gelée Royale Face Sheet Mask</t>
        </is>
      </c>
      <c r="C19476" t="inlineStr">
        <is>
          <t>Sheet Mask</t>
        </is>
      </c>
      <c r="D19476" t="inlineStr">
        <is>
          <t>Mizon</t>
        </is>
      </c>
      <c r="E19476" t="n">
        <v>3.13</v>
      </c>
      <c r="F19476" t="n">
        <v>1</v>
      </c>
      <c r="G19476" t="n">
        <v>5</v>
      </c>
      <c r="H19476" s="5">
        <f>HYPERLINK("https://api.qogita.com/variants/link/8809479166444/", "View Product")</f>
        <v/>
      </c>
    </row>
    <row r="19477">
      <c r="A19477" t="inlineStr">
        <is>
          <t>8809486680056</t>
        </is>
      </c>
      <c r="B19477" t="inlineStr">
        <is>
          <t>Pyunkang Yul Essence Toner for Deep Hydration Highly Concentrated Essence</t>
        </is>
      </c>
      <c r="C19477" t="inlineStr">
        <is>
          <t>Hydrating Serum</t>
        </is>
      </c>
      <c r="D19477" t="inlineStr">
        <is>
          <t>Pyunkang Yul</t>
        </is>
      </c>
      <c r="E19477" t="n">
        <v>16.48</v>
      </c>
      <c r="F19477" t="n">
        <v>1</v>
      </c>
      <c r="G19477" t="n">
        <v>5</v>
      </c>
      <c r="H19477" s="5">
        <f>HYPERLINK("https://api.qogita.com/variants/link/8809486680056/", "View Product")</f>
        <v/>
      </c>
    </row>
    <row r="19478">
      <c r="A19478" t="inlineStr">
        <is>
          <t>8809486680070</t>
        </is>
      </c>
      <c r="B19478" t="inlineStr">
        <is>
          <t>Pyunkang Yul Balancing Gel Daily Face Moisturizer for Women 3.3 Fl Oz</t>
        </is>
      </c>
      <c r="C19478" t="inlineStr">
        <is>
          <t>Day Cream</t>
        </is>
      </c>
      <c r="D19478" t="inlineStr">
        <is>
          <t>Pyunkang Yul</t>
        </is>
      </c>
      <c r="E19478" t="n">
        <v>17.91</v>
      </c>
      <c r="F19478" t="n">
        <v>1</v>
      </c>
      <c r="G19478" t="n">
        <v>2</v>
      </c>
      <c r="H19478" s="5">
        <f>HYPERLINK("https://api.qogita.com/variants/link/8809486680070/", "View Product")</f>
        <v/>
      </c>
    </row>
    <row r="19479">
      <c r="A19479" t="inlineStr">
        <is>
          <t>8809486681664</t>
        </is>
      </c>
      <c r="B19479" t="inlineStr">
        <is>
          <t>PYUNKANG YUL Calming Low pH Foaming Cleanser with Natural Ingredients 150ml 5.07 Fl.Oz.</t>
        </is>
      </c>
      <c r="C19479" t="inlineStr">
        <is>
          <t>Cleansing Foam</t>
        </is>
      </c>
      <c r="D19479" t="inlineStr">
        <is>
          <t>Pyunkang Yul</t>
        </is>
      </c>
      <c r="E19479" t="n">
        <v>10.85</v>
      </c>
      <c r="F19479" t="n">
        <v>1</v>
      </c>
      <c r="G19479" t="n">
        <v>14</v>
      </c>
      <c r="H19479" s="5">
        <f>HYPERLINK("https://api.qogita.com/variants/link/8809486681664/", "View Product")</f>
        <v/>
      </c>
    </row>
    <row r="19480">
      <c r="A19480" t="inlineStr">
        <is>
          <t>8809525249565</t>
        </is>
      </c>
      <c r="B19480" t="inlineStr">
        <is>
          <t>Beauty Of Joseon Dynasty Cream 50 Ml Hydrating Cream</t>
        </is>
      </c>
      <c r="C19480" t="inlineStr">
        <is>
          <t>Face Cream</t>
        </is>
      </c>
      <c r="D19480" t="inlineStr">
        <is>
          <t>Beauty Of Joseon</t>
        </is>
      </c>
      <c r="E19480" t="n">
        <v>16.12</v>
      </c>
      <c r="F19480" t="n">
        <v>1</v>
      </c>
      <c r="G19480" t="n">
        <v>5</v>
      </c>
      <c r="H19480" s="5">
        <f>HYPERLINK("https://api.qogita.com/variants/link/8809525249565/", "View Product")</f>
        <v/>
      </c>
    </row>
    <row r="19481">
      <c r="A19481" t="inlineStr">
        <is>
          <t>8809530064955</t>
        </is>
      </c>
      <c r="B19481" t="inlineStr">
        <is>
          <t>Missha Perfect Cover No25 Warm Beige Bb Cream Spf42 50ml</t>
        </is>
      </c>
      <c r="C19481" t="inlineStr">
        <is>
          <t>Bb Cream &amp; Cc Cream</t>
        </is>
      </c>
      <c r="D19481" t="inlineStr">
        <is>
          <t>Missha</t>
        </is>
      </c>
      <c r="E19481" t="n">
        <v>11.66</v>
      </c>
      <c r="F19481" t="n">
        <v>1</v>
      </c>
      <c r="G19481" t="n">
        <v>5</v>
      </c>
      <c r="H19481" s="5">
        <f>HYPERLINK("https://api.qogita.com/variants/link/8809530064955/", "View Product")</f>
        <v/>
      </c>
    </row>
    <row r="19482">
      <c r="A19482" t="inlineStr">
        <is>
          <t>8809532220908</t>
        </is>
      </c>
      <c r="B19482" t="inlineStr">
        <is>
          <t>Haruharu Wonder Black Rice Hyaluronic Anti-Wrinkle Serum 1.6 fl. oz / 50 ml</t>
        </is>
      </c>
      <c r="C19482" t="inlineStr">
        <is>
          <t>Hyaluronic Acid Serum</t>
        </is>
      </c>
      <c r="D19482" t="inlineStr">
        <is>
          <t>Haruharu Wonder</t>
        </is>
      </c>
      <c r="E19482" t="n">
        <v>17.86</v>
      </c>
      <c r="F19482" t="n">
        <v>1</v>
      </c>
      <c r="G19482" t="n">
        <v>7</v>
      </c>
      <c r="H19482" s="5">
        <f>HYPERLINK("https://api.qogita.com/variants/link/8809532220908/", "View Product")</f>
        <v/>
      </c>
    </row>
    <row r="19483">
      <c r="A19483" t="inlineStr">
        <is>
          <t>8809541190421</t>
        </is>
      </c>
      <c r="B19483" t="inlineStr">
        <is>
          <t>Isntree Green Tea Fresh Toner 200ml</t>
        </is>
      </c>
      <c r="C19483" t="inlineStr">
        <is>
          <t>Facial Spray</t>
        </is>
      </c>
      <c r="D19483" t="inlineStr">
        <is>
          <t>Isntree</t>
        </is>
      </c>
      <c r="E19483" t="n">
        <v>9.73</v>
      </c>
      <c r="F19483" t="n">
        <v>1</v>
      </c>
      <c r="G19483" t="n">
        <v>5</v>
      </c>
      <c r="H19483" s="5">
        <f>HYPERLINK("https://api.qogita.com/variants/link/8809541190421/", "View Product")</f>
        <v/>
      </c>
    </row>
    <row r="19484">
      <c r="A19484" t="inlineStr">
        <is>
          <t>8809541190438</t>
        </is>
      </c>
      <c r="B19484" t="inlineStr">
        <is>
          <t>Isntree Aloe Soothing Toner - 200ml</t>
        </is>
      </c>
      <c r="C19484" t="inlineStr">
        <is>
          <t>Facial Spray</t>
        </is>
      </c>
      <c r="D19484" t="inlineStr">
        <is>
          <t>Isntree</t>
        </is>
      </c>
      <c r="E19484" t="n">
        <v>9.44</v>
      </c>
      <c r="F19484" t="n">
        <v>1</v>
      </c>
      <c r="G19484" t="n">
        <v>6</v>
      </c>
      <c r="H19484" s="5">
        <f>HYPERLINK("https://api.qogita.com/variants/link/8809541190438/", "View Product")</f>
        <v/>
      </c>
    </row>
    <row r="19485">
      <c r="A19485" t="inlineStr">
        <is>
          <t>8809541199868</t>
        </is>
      </c>
      <c r="B19485" t="inlineStr">
        <is>
          <t>Mizon Hyaluronic Acid Deep Cleansing Foam Daily Facial Cleansing Foam 150 G</t>
        </is>
      </c>
      <c r="C19485" t="inlineStr">
        <is>
          <t>Cleansing Foam</t>
        </is>
      </c>
      <c r="D19485" t="inlineStr">
        <is>
          <t>Mizon</t>
        </is>
      </c>
      <c r="E19485" t="n">
        <v>11.23</v>
      </c>
      <c r="F19485" t="n">
        <v>1</v>
      </c>
      <c r="G19485" t="n">
        <v>7</v>
      </c>
      <c r="H19485" s="5">
        <f>HYPERLINK("https://api.qogita.com/variants/link/8809541199868/", "View Product")</f>
        <v/>
      </c>
    </row>
    <row r="19486">
      <c r="A19486" t="inlineStr">
        <is>
          <t>8809562559993</t>
        </is>
      </c>
      <c r="B19486" t="inlineStr">
        <is>
          <t>Abib Jericho Rose Mist Serum Glow Spray 338 Fl Oz Hydrating Essential Face</t>
        </is>
      </c>
      <c r="C19486" t="inlineStr">
        <is>
          <t>Glow Serum</t>
        </is>
      </c>
      <c r="D19486" t="inlineStr">
        <is>
          <t>Abib</t>
        </is>
      </c>
      <c r="E19486" t="n">
        <v>19.69</v>
      </c>
      <c r="F19486" t="n">
        <v>1</v>
      </c>
      <c r="G19486" t="n">
        <v>8</v>
      </c>
      <c r="H19486" s="5">
        <f>HYPERLINK("https://api.qogita.com/variants/link/8809562559993/", "View Product")</f>
        <v/>
      </c>
    </row>
    <row r="19487">
      <c r="A19487" t="inlineStr">
        <is>
          <t>8809563065448</t>
        </is>
      </c>
      <c r="B19487" t="inlineStr">
        <is>
          <t>D'Alba Italian White Truffle Double Layer Revitalizing Serum 100hr Hydration</t>
        </is>
      </c>
      <c r="C19487" t="inlineStr">
        <is>
          <t>Anti-Aging Serum</t>
        </is>
      </c>
      <c r="D19487" t="inlineStr">
        <is>
          <t>D'Alba</t>
        </is>
      </c>
      <c r="E19487" t="n">
        <v>31.02</v>
      </c>
      <c r="F19487" t="n">
        <v>1</v>
      </c>
      <c r="G19487" t="n">
        <v>2</v>
      </c>
      <c r="H19487" s="5">
        <f>HYPERLINK("https://api.qogita.com/variants/link/8809563065448/", "View Product")</f>
        <v/>
      </c>
    </row>
    <row r="19488">
      <c r="A19488" t="inlineStr">
        <is>
          <t>8809563067732</t>
        </is>
      </c>
      <c r="B19488" t="inlineStr">
        <is>
          <t>D'Alba Italian White Truffle First Aromatic Vegan Hydrating Toner</t>
        </is>
      </c>
      <c r="C19488" t="inlineStr">
        <is>
          <t>Facial Spray</t>
        </is>
      </c>
      <c r="D19488" t="inlineStr">
        <is>
          <t>D'Alba</t>
        </is>
      </c>
      <c r="E19488" t="n">
        <v>20.5</v>
      </c>
      <c r="F19488" t="n">
        <v>1</v>
      </c>
      <c r="G19488" t="n">
        <v>9</v>
      </c>
      <c r="H19488" s="5">
        <f>HYPERLINK("https://api.qogita.com/variants/link/8809563067732/", "View Product")</f>
        <v/>
      </c>
    </row>
    <row r="19489">
      <c r="A19489" t="inlineStr">
        <is>
          <t>8809563100385</t>
        </is>
      </c>
      <c r="B19489" t="inlineStr">
        <is>
          <t>Purito Deep Sea Cream Hydration Lightweight for All Skin Types Daily Face</t>
        </is>
      </c>
      <c r="C19489" t="inlineStr">
        <is>
          <t>Day Cream</t>
        </is>
      </c>
      <c r="D19489" t="inlineStr">
        <is>
          <t>Purito</t>
        </is>
      </c>
      <c r="E19489" t="n">
        <v>18.85</v>
      </c>
      <c r="F19489" t="n">
        <v>1</v>
      </c>
      <c r="G19489" t="n">
        <v>4</v>
      </c>
      <c r="H19489" s="5">
        <f>HYPERLINK("https://api.qogita.com/variants/link/8809563100385/", "View Product")</f>
        <v/>
      </c>
    </row>
    <row r="19490">
      <c r="A19490" t="inlineStr">
        <is>
          <t>8809563100989</t>
        </is>
      </c>
      <c r="B19490" t="inlineStr">
        <is>
          <t>Purito Inner Green Reusable Cotton Rounds 10 Pieces</t>
        </is>
      </c>
      <c r="C19490" t="inlineStr">
        <is>
          <t>Facial Cleansing Tools</t>
        </is>
      </c>
      <c r="D19490" t="inlineStr">
        <is>
          <t>Purito</t>
        </is>
      </c>
      <c r="E19490" t="n">
        <v>10.73</v>
      </c>
      <c r="F19490" t="n">
        <v>1</v>
      </c>
      <c r="G19490" t="n">
        <v>22</v>
      </c>
      <c r="H19490" s="5">
        <f>HYPERLINK("https://api.qogita.com/variants/link/8809563100989/", "View Product")</f>
        <v/>
      </c>
    </row>
    <row r="19491">
      <c r="A19491" t="inlineStr">
        <is>
          <t>8809563101009</t>
        </is>
      </c>
      <c r="B19491" t="inlineStr">
        <is>
          <t>Purito Centella Green Level Calming Toner - 200ml</t>
        </is>
      </c>
      <c r="C19491" t="inlineStr">
        <is>
          <t>Facial Spray</t>
        </is>
      </c>
      <c r="D19491" t="inlineStr">
        <is>
          <t>Purito</t>
        </is>
      </c>
      <c r="E19491" t="n">
        <v>16.76</v>
      </c>
      <c r="F19491" t="n">
        <v>1</v>
      </c>
      <c r="G19491" t="n">
        <v>3</v>
      </c>
      <c r="H19491" s="5">
        <f>HYPERLINK("https://api.qogita.com/variants/link/8809563101009/", "View Product")</f>
        <v/>
      </c>
    </row>
    <row r="19492">
      <c r="A19492" t="inlineStr">
        <is>
          <t>8809563102655</t>
        </is>
      </c>
      <c r="B19492" t="inlineStr">
        <is>
          <t>Purito Seoul Deep Sea Droplet Serum - 30 Ml</t>
        </is>
      </c>
      <c r="C19492" t="inlineStr">
        <is>
          <t>Hydrating Serum</t>
        </is>
      </c>
      <c r="D19492" t="inlineStr">
        <is>
          <t>Seoul</t>
        </is>
      </c>
      <c r="E19492" t="n">
        <v>20.81</v>
      </c>
      <c r="F19492" t="n">
        <v>1</v>
      </c>
      <c r="G19492" t="n">
        <v>14</v>
      </c>
      <c r="H19492" s="5">
        <f>HYPERLINK("https://api.qogita.com/variants/link/8809563102655/", "View Product")</f>
        <v/>
      </c>
    </row>
    <row r="19493">
      <c r="A19493" t="inlineStr">
        <is>
          <t>8809563102761</t>
        </is>
      </c>
      <c r="B19493" t="inlineStr">
        <is>
          <t>PURITO Clear Code Superfruit Cleanser with Noni Fruit Extract and Salicylic Acid</t>
        </is>
      </c>
      <c r="C19493" t="inlineStr">
        <is>
          <t>Cleansing Gel</t>
        </is>
      </c>
      <c r="D19493" t="inlineStr">
        <is>
          <t>Purito Seoul</t>
        </is>
      </c>
      <c r="E19493" t="n">
        <v>19.7</v>
      </c>
      <c r="F19493" t="n">
        <v>1</v>
      </c>
      <c r="G19493" t="n">
        <v>29</v>
      </c>
      <c r="H19493" s="5">
        <f>HYPERLINK("https://api.qogita.com/variants/link/8809563102761/", "View Product")</f>
        <v/>
      </c>
    </row>
    <row r="19494">
      <c r="A19494" t="inlineStr">
        <is>
          <t>8809563103089</t>
        </is>
      </c>
      <c r="B19494" t="inlineStr">
        <is>
          <t>Purito Seoul Wonder Releaf Centella Daily Sun Lotion - 15 Ml</t>
        </is>
      </c>
      <c r="C19494" t="inlineStr">
        <is>
          <t>Face Sun Protection</t>
        </is>
      </c>
      <c r="D19494" t="inlineStr">
        <is>
          <t>Seoul</t>
        </is>
      </c>
      <c r="E19494" t="n">
        <v>7.74</v>
      </c>
      <c r="F19494" t="n">
        <v>1</v>
      </c>
      <c r="G19494" t="n">
        <v>3</v>
      </c>
      <c r="H19494" s="5">
        <f>HYPERLINK("https://api.qogita.com/variants/link/8809563103089/", "View Product")</f>
        <v/>
      </c>
    </row>
    <row r="19495">
      <c r="A19495" t="inlineStr">
        <is>
          <t>8809563103379</t>
        </is>
      </c>
      <c r="B19495" t="inlineStr">
        <is>
          <t>Purito Seoul Wonder Releaf Centella Bb Cushion - Light Beige</t>
        </is>
      </c>
      <c r="C19495" t="inlineStr">
        <is>
          <t>Bb Cream &amp; Cc Cream</t>
        </is>
      </c>
      <c r="D19495" t="inlineStr">
        <is>
          <t>Purito Seoul</t>
        </is>
      </c>
      <c r="E19495" t="n">
        <v>29.75</v>
      </c>
      <c r="F19495" t="n">
        <v>1</v>
      </c>
      <c r="G19495" t="n">
        <v>14</v>
      </c>
      <c r="H19495" s="5">
        <f>HYPERLINK("https://api.qogita.com/variants/link/8809563103379/", "View Product")</f>
        <v/>
      </c>
    </row>
    <row r="19496">
      <c r="A19496" t="inlineStr">
        <is>
          <t>8809566990464</t>
        </is>
      </c>
      <c r="B19496" t="inlineStr">
        <is>
          <t>BENTON Aloe Hyaluron Cream 41x41x121mm</t>
        </is>
      </c>
      <c r="C19496" t="inlineStr">
        <is>
          <t>Face Cream</t>
        </is>
      </c>
      <c r="D19496" t="inlineStr">
        <is>
          <t>Benton</t>
        </is>
      </c>
      <c r="E19496" t="n">
        <v>15.99</v>
      </c>
      <c r="F19496" t="n">
        <v>1</v>
      </c>
      <c r="G19496" t="n">
        <v>3</v>
      </c>
      <c r="H19496" s="5">
        <f>HYPERLINK("https://api.qogita.com/variants/link/8809566990464/", "View Product")</f>
        <v/>
      </c>
    </row>
    <row r="19497">
      <c r="A19497" t="inlineStr">
        <is>
          <t>8809566990563</t>
        </is>
      </c>
      <c r="B19497" t="inlineStr">
        <is>
          <t>BENTON Goodbye Redness Centella Spot Cream 23x23x123mm</t>
        </is>
      </c>
      <c r="C19497" t="inlineStr">
        <is>
          <t>Pimple &amp; Blackhead Treatments</t>
        </is>
      </c>
      <c r="D19497" t="inlineStr">
        <is>
          <t>Benton</t>
        </is>
      </c>
      <c r="E19497" t="n">
        <v>12.73</v>
      </c>
      <c r="F19497" t="n">
        <v>1</v>
      </c>
      <c r="G19497" t="n">
        <v>2</v>
      </c>
      <c r="H19497" s="5">
        <f>HYPERLINK("https://api.qogita.com/variants/link/8809566990563/", "View Product")</f>
        <v/>
      </c>
    </row>
    <row r="19498">
      <c r="A19498" t="inlineStr">
        <is>
          <t>8809566990631</t>
        </is>
      </c>
      <c r="B19498" t="inlineStr">
        <is>
          <t>Fermentation Mask Pack Wrinkle Care Premium Boosting Mask Pack - Box of 10</t>
        </is>
      </c>
      <c r="C19498" t="inlineStr">
        <is>
          <t>Anti-Aging Mask</t>
        </is>
      </c>
      <c r="D19498" t="inlineStr">
        <is>
          <t>Benton</t>
        </is>
      </c>
      <c r="E19498" t="n">
        <v>2.51</v>
      </c>
      <c r="F19498" t="n">
        <v>1</v>
      </c>
      <c r="G19498" t="n">
        <v>2</v>
      </c>
      <c r="H19498" s="5">
        <f>HYPERLINK("https://api.qogita.com/variants/link/8809566990631/", "View Product")</f>
        <v/>
      </c>
    </row>
    <row r="19499">
      <c r="A19499" t="inlineStr">
        <is>
          <t>8809566991874</t>
        </is>
      </c>
      <c r="B19499" t="inlineStr">
        <is>
          <t>AC BHA Foam Cleansing 120 gr</t>
        </is>
      </c>
      <c r="C19499" t="inlineStr">
        <is>
          <t>Cleansing Foam</t>
        </is>
      </c>
      <c r="D19499" t="inlineStr">
        <is>
          <t>Ac</t>
        </is>
      </c>
      <c r="E19499" t="n">
        <v>14.53</v>
      </c>
      <c r="F19499" t="n">
        <v>1</v>
      </c>
      <c r="G19499" t="n">
        <v>2</v>
      </c>
      <c r="H19499" s="5">
        <f>HYPERLINK("https://api.qogita.com/variants/link/8809566991874/", "View Product")</f>
        <v/>
      </c>
    </row>
    <row r="19500">
      <c r="A19500" t="inlineStr">
        <is>
          <t>8809572891236</t>
        </is>
      </c>
      <c r="B19500" t="inlineStr">
        <is>
          <t>DearKlairs Gentle Black Fresh Cleansing Oil 1.01 Fl Oz</t>
        </is>
      </c>
      <c r="C19500" t="inlineStr">
        <is>
          <t>Cleansing Oil</t>
        </is>
      </c>
      <c r="D19500" t="inlineStr">
        <is>
          <t>Dear Klairs</t>
        </is>
      </c>
      <c r="E19500" t="n">
        <v>7.09</v>
      </c>
      <c r="F19500" t="n">
        <v>1</v>
      </c>
      <c r="G19500" t="n">
        <v>2</v>
      </c>
      <c r="H19500" s="5">
        <f>HYPERLINK("https://api.qogita.com/variants/link/8809572891236/", "View Product")</f>
        <v/>
      </c>
    </row>
    <row r="19501">
      <c r="A19501" t="inlineStr">
        <is>
          <t>8809576260502</t>
        </is>
      </c>
      <c r="B19501" t="inlineStr">
        <is>
          <t>SKIN1004 Madagascar Centella Watergel Sheet Ampoule Mask 25ml - Pack of 5</t>
        </is>
      </c>
      <c r="C19501" t="inlineStr">
        <is>
          <t>Sheet Mask</t>
        </is>
      </c>
      <c r="D19501" t="inlineStr">
        <is>
          <t>Skin1004</t>
        </is>
      </c>
      <c r="E19501" t="n">
        <v>7.95</v>
      </c>
      <c r="F19501" t="n">
        <v>1</v>
      </c>
      <c r="G19501" t="n">
        <v>39</v>
      </c>
      <c r="H19501" s="5">
        <f>HYPERLINK("https://api.qogita.com/variants/link/8809576260502/", "View Product")</f>
        <v/>
      </c>
    </row>
    <row r="19502">
      <c r="A19502" t="inlineStr">
        <is>
          <t>8809576260557</t>
        </is>
      </c>
      <c r="B19502" t="inlineStr">
        <is>
          <t>Skin1004 Zombie Beauty Antiaging Face Mask Gift Set 44 G</t>
        </is>
      </c>
      <c r="C19502" t="inlineStr">
        <is>
          <t>Anti-Aging Mask</t>
        </is>
      </c>
      <c r="D19502" t="inlineStr">
        <is>
          <t>Skin1004</t>
        </is>
      </c>
      <c r="E19502" t="n">
        <v>23.07</v>
      </c>
      <c r="F19502" t="n">
        <v>1</v>
      </c>
      <c r="G19502" t="n">
        <v>2</v>
      </c>
      <c r="H19502" s="5">
        <f>HYPERLINK("https://api.qogita.com/variants/link/8809576260557/", "View Product")</f>
        <v/>
      </c>
    </row>
    <row r="19503">
      <c r="A19503" t="inlineStr">
        <is>
          <t>8809576260601</t>
        </is>
      </c>
      <c r="B19503" t="inlineStr">
        <is>
          <t>Skin1004 Madagascar Centella Ampoule 55ml</t>
        </is>
      </c>
      <c r="C19503" t="inlineStr">
        <is>
          <t>Ampoules</t>
        </is>
      </c>
      <c r="D19503" t="inlineStr">
        <is>
          <t>Skin1004</t>
        </is>
      </c>
      <c r="E19503" t="n">
        <v>11.44</v>
      </c>
      <c r="F19503" t="n">
        <v>1</v>
      </c>
      <c r="G19503" t="n">
        <v>13</v>
      </c>
      <c r="H19503" s="5">
        <f>HYPERLINK("https://api.qogita.com/variants/link/8809576260601/", "View Product")</f>
        <v/>
      </c>
    </row>
    <row r="19504">
      <c r="A19504" t="inlineStr">
        <is>
          <t>8809576260823</t>
        </is>
      </c>
      <c r="B19504" t="inlineStr">
        <is>
          <t>Skin1004 Zombie Beauty Cocoon Soap Mask For Oily Skin 85 G</t>
        </is>
      </c>
      <c r="C19504" t="inlineStr">
        <is>
          <t>Purifying Mask</t>
        </is>
      </c>
      <c r="D19504" t="inlineStr">
        <is>
          <t>Skin1004</t>
        </is>
      </c>
      <c r="E19504" t="n">
        <v>5.95</v>
      </c>
      <c r="F19504" t="n">
        <v>1</v>
      </c>
      <c r="G19504" t="n">
        <v>59</v>
      </c>
      <c r="H19504" s="5">
        <f>HYPERLINK("https://api.qogita.com/variants/link/8809576260823/", "View Product")</f>
        <v/>
      </c>
    </row>
    <row r="19505">
      <c r="A19505" t="inlineStr">
        <is>
          <t>8809576261127</t>
        </is>
      </c>
      <c r="B19505" t="inlineStr">
        <is>
          <t>Skin1004 Madagascar Centella Ampoule Foam Cleanser 125ml</t>
        </is>
      </c>
      <c r="C19505" t="inlineStr">
        <is>
          <t>Cleansing Foam</t>
        </is>
      </c>
      <c r="D19505" t="inlineStr">
        <is>
          <t>Skin1004</t>
        </is>
      </c>
      <c r="E19505" t="n">
        <v>14.53</v>
      </c>
      <c r="F19505" t="n">
        <v>1</v>
      </c>
      <c r="G19505" t="n">
        <v>11</v>
      </c>
      <c r="H19505" s="5">
        <f>HYPERLINK("https://api.qogita.com/variants/link/8809576261127/", "View Product")</f>
        <v/>
      </c>
    </row>
    <row r="19506">
      <c r="A19506" t="inlineStr">
        <is>
          <t>8809576261189</t>
        </is>
      </c>
      <c r="B19506" t="inlineStr">
        <is>
          <t>Skin1004 Madagascar Centella Tone Brightening Cleansing Gel Foam 125ml</t>
        </is>
      </c>
      <c r="C19506" t="inlineStr">
        <is>
          <t>Cleansing Gel</t>
        </is>
      </c>
      <c r="D19506" t="inlineStr">
        <is>
          <t>Skin1004</t>
        </is>
      </c>
      <c r="E19506" t="n">
        <v>9.56</v>
      </c>
      <c r="F19506" t="n">
        <v>1</v>
      </c>
      <c r="G19506" t="n">
        <v>20</v>
      </c>
      <c r="H19506" s="5">
        <f>HYPERLINK("https://api.qogita.com/variants/link/8809576261189/", "View Product")</f>
        <v/>
      </c>
    </row>
    <row r="19507">
      <c r="A19507" t="inlineStr">
        <is>
          <t>8809576261202</t>
        </is>
      </c>
      <c r="B19507" t="inlineStr">
        <is>
          <t>Skin1004 Madagascar Centella Soothing Cream 30 Ml Soothing Cream For Sensitive Skin And Against Redness</t>
        </is>
      </c>
      <c r="C19507" t="inlineStr">
        <is>
          <t>Face Cream</t>
        </is>
      </c>
      <c r="D19507" t="inlineStr">
        <is>
          <t>Skin1004</t>
        </is>
      </c>
      <c r="E19507" t="n">
        <v>5.61</v>
      </c>
      <c r="F19507" t="n">
        <v>1</v>
      </c>
      <c r="G19507" t="n">
        <v>80</v>
      </c>
      <c r="H19507" s="5">
        <f>HYPERLINK("https://api.qogita.com/variants/link/8809576261202/", "View Product")</f>
        <v/>
      </c>
    </row>
    <row r="19508">
      <c r="A19508" t="inlineStr">
        <is>
          <t>8809576261592</t>
        </is>
      </c>
      <c r="B19508" t="inlineStr">
        <is>
          <t>SKIN1004 Madagascar Centella Hyalu-Cica Water-Fit Sun Serum SPF50+ PA++++ 50ml</t>
        </is>
      </c>
      <c r="C19508" t="inlineStr">
        <is>
          <t>Face Sun Protection</t>
        </is>
      </c>
      <c r="D19508" t="inlineStr">
        <is>
          <t>Skin1004</t>
        </is>
      </c>
      <c r="E19508" t="n">
        <v>14.9</v>
      </c>
      <c r="F19508" t="n">
        <v>1</v>
      </c>
      <c r="G19508" t="n">
        <v>3</v>
      </c>
      <c r="H19508" s="5">
        <f>HYPERLINK("https://api.qogita.com/variants/link/8809576261592/", "View Product")</f>
        <v/>
      </c>
    </row>
    <row r="19509">
      <c r="A19509" t="inlineStr">
        <is>
          <t>8809576261714</t>
        </is>
      </c>
      <c r="B19509" t="inlineStr">
        <is>
          <t>SKIN1004 Madagascar Centella Tea-Trica BHA Foam 4.22 fl.oz 125ml Professional Cleansing Care and Relief for Acne-Prone Skin</t>
        </is>
      </c>
      <c r="C19509" t="inlineStr">
        <is>
          <t>Cleansing Foam</t>
        </is>
      </c>
      <c r="D19509" t="inlineStr">
        <is>
          <t>Skin1004</t>
        </is>
      </c>
      <c r="E19509" t="n">
        <v>11.44</v>
      </c>
      <c r="F19509" t="n">
        <v>1</v>
      </c>
      <c r="G19509" t="n">
        <v>14</v>
      </c>
      <c r="H19509" s="5">
        <f>HYPERLINK("https://api.qogita.com/variants/link/8809576261714/", "View Product")</f>
        <v/>
      </c>
    </row>
    <row r="19510">
      <c r="A19510" t="inlineStr">
        <is>
          <t>8809576261752</t>
        </is>
      </c>
      <c r="B19510" t="inlineStr">
        <is>
          <t>SKIN1004 Madagascar Centella Asiatica Ampoule Facial Serum 100% Centella Asiatica Extract for Soothing Sensitive and Acne-Prone Skin Probio-Cica Ampoule</t>
        </is>
      </c>
      <c r="C19510" t="inlineStr">
        <is>
          <t>Ampoules</t>
        </is>
      </c>
      <c r="D19510" t="inlineStr">
        <is>
          <t>Skin1004</t>
        </is>
      </c>
      <c r="E19510" t="n">
        <v>21.77</v>
      </c>
      <c r="F19510" t="n">
        <v>1</v>
      </c>
      <c r="G19510" t="n">
        <v>22</v>
      </c>
      <c r="H19510" s="5">
        <f>HYPERLINK("https://api.qogita.com/variants/link/8809576261752/", "View Product")</f>
        <v/>
      </c>
    </row>
    <row r="19511">
      <c r="A19511" t="inlineStr">
        <is>
          <t>8809581452329</t>
        </is>
      </c>
      <c r="B19511" t="inlineStr">
        <is>
          <t>Missha Essence Sun Milk Cream Screen SPF 50+ All Around Safe Block 70ml</t>
        </is>
      </c>
      <c r="C19511" t="inlineStr">
        <is>
          <t>Face Sun Protection</t>
        </is>
      </c>
      <c r="D19511" t="inlineStr">
        <is>
          <t>Missha</t>
        </is>
      </c>
      <c r="E19511" t="n">
        <v>16.33</v>
      </c>
      <c r="F19511" t="n">
        <v>1</v>
      </c>
      <c r="G19511" t="n">
        <v>41</v>
      </c>
      <c r="H19511" s="5">
        <f>HYPERLINK("https://api.qogita.com/variants/link/8809581452329/", "View Product")</f>
        <v/>
      </c>
    </row>
    <row r="19512">
      <c r="A19512" t="inlineStr">
        <is>
          <t>8809581452343</t>
        </is>
      </c>
      <c r="B19512" t="inlineStr">
        <is>
          <t>Missha All Around Safe Block Waterproof Sun Milk Spf 50 70 Ml</t>
        </is>
      </c>
      <c r="C19512" t="inlineStr">
        <is>
          <t>Face Sun Protection</t>
        </is>
      </c>
      <c r="D19512" t="inlineStr">
        <is>
          <t>Missha</t>
        </is>
      </c>
      <c r="E19512" t="n">
        <v>16.75</v>
      </c>
      <c r="F19512" t="n">
        <v>1</v>
      </c>
      <c r="G19512" t="n">
        <v>12</v>
      </c>
      <c r="H19512" s="5">
        <f>HYPERLINK("https://api.qogita.com/variants/link/8809581452343/", "View Product")</f>
        <v/>
      </c>
    </row>
    <row r="19513">
      <c r="A19513" t="inlineStr">
        <is>
          <t>8809581465916</t>
        </is>
      </c>
      <c r="B19513" t="inlineStr">
        <is>
          <t>[MISSHA] Superfood Lip Oil 5.2g - Free Gift</t>
        </is>
      </c>
      <c r="C19513" t="inlineStr">
        <is>
          <t>Lip Gloss</t>
        </is>
      </c>
      <c r="D19513" t="inlineStr">
        <is>
          <t>Missha</t>
        </is>
      </c>
      <c r="E19513" t="n">
        <v>7.62</v>
      </c>
      <c r="F19513" t="n">
        <v>1</v>
      </c>
      <c r="G19513" t="n">
        <v>5</v>
      </c>
      <c r="H19513" s="5">
        <f>HYPERLINK("https://api.qogita.com/variants/link/8809581465916/", "View Product")</f>
        <v/>
      </c>
    </row>
    <row r="19514">
      <c r="A19514" t="inlineStr">
        <is>
          <t>8809581471382</t>
        </is>
      </c>
      <c r="B19514" t="inlineStr">
        <is>
          <t>Missha Dare Rouge Velvet Matte Lipstick - 3.5 G</t>
        </is>
      </c>
      <c r="C19514" t="inlineStr">
        <is>
          <t>Lipstick</t>
        </is>
      </c>
      <c r="D19514" t="inlineStr">
        <is>
          <t>Missha</t>
        </is>
      </c>
      <c r="E19514" t="n">
        <v>13.88</v>
      </c>
      <c r="F19514" t="n">
        <v>1</v>
      </c>
      <c r="G19514" t="n">
        <v>5</v>
      </c>
      <c r="H19514" s="5">
        <f>HYPERLINK("https://api.qogita.com/variants/link/8809581471382/", "View Product")</f>
        <v/>
      </c>
    </row>
    <row r="19515">
      <c r="A19515" t="inlineStr">
        <is>
          <t>8809595050603</t>
        </is>
      </c>
      <c r="B19515" t="inlineStr">
        <is>
          <t>I'm From Mugwort Mask 110g K-Beauty</t>
        </is>
      </c>
      <c r="C19515" t="inlineStr">
        <is>
          <t>Purifying Mask</t>
        </is>
      </c>
      <c r="D19515" t="inlineStr">
        <is>
          <t>I'M From</t>
        </is>
      </c>
      <c r="E19515" t="n">
        <v>29.75</v>
      </c>
      <c r="F19515" t="n">
        <v>1</v>
      </c>
      <c r="G19515" t="n">
        <v>4</v>
      </c>
      <c r="H19515" s="5">
        <f>HYPERLINK("https://api.qogita.com/variants/link/8809595050603/", "View Product")</f>
        <v/>
      </c>
    </row>
    <row r="19516">
      <c r="A19516" t="inlineStr">
        <is>
          <t>8809595052546</t>
        </is>
      </c>
      <c r="B19516" t="inlineStr">
        <is>
          <t>I'M From Mugwort Cream for All Skin Types 1.69 Fl Oz - Moisturizer with 73.55</t>
        </is>
      </c>
      <c r="C19516" t="inlineStr">
        <is>
          <t>Face Cream</t>
        </is>
      </c>
      <c r="D19516" t="inlineStr">
        <is>
          <t>I'M From</t>
        </is>
      </c>
      <c r="E19516" t="n">
        <v>26.45</v>
      </c>
      <c r="F19516" t="n">
        <v>1</v>
      </c>
      <c r="G19516" t="n">
        <v>4</v>
      </c>
      <c r="H19516" s="5">
        <f>HYPERLINK("https://api.qogita.com/variants/link/8809595052546/", "View Product")</f>
        <v/>
      </c>
    </row>
    <row r="19517">
      <c r="A19517" t="inlineStr">
        <is>
          <t>8809598450165</t>
        </is>
      </c>
      <c r="B19517" t="inlineStr">
        <is>
          <t>Cosrx Pimple Cream Ac Collection Ultimate 20 Spot Cream 30 G</t>
        </is>
      </c>
      <c r="C19517" t="inlineStr">
        <is>
          <t>Pimple &amp; Blackhead Treatments</t>
        </is>
      </c>
      <c r="D19517" t="inlineStr">
        <is>
          <t>Cosrx</t>
        </is>
      </c>
      <c r="E19517" t="n">
        <v>15.71</v>
      </c>
      <c r="F19517" t="n">
        <v>1</v>
      </c>
      <c r="G19517" t="n">
        <v>3</v>
      </c>
      <c r="H19517" s="5">
        <f>HYPERLINK("https://api.qogita.com/variants/link/8809598450165/", "View Product")</f>
        <v/>
      </c>
    </row>
    <row r="19518">
      <c r="A19518" t="inlineStr">
        <is>
          <t>8809598450653</t>
        </is>
      </c>
      <c r="B19518" t="inlineStr">
        <is>
          <t>Cosrx Hydrium Triple Hyaluronic Moisture Ampoule 40 Ml Hydrating Skin Serum</t>
        </is>
      </c>
      <c r="C19518" t="inlineStr">
        <is>
          <t>Hyaluronic Acid Serum</t>
        </is>
      </c>
      <c r="D19518" t="inlineStr">
        <is>
          <t>Cosrx</t>
        </is>
      </c>
      <c r="E19518" t="n">
        <v>18.76</v>
      </c>
      <c r="F19518" t="n">
        <v>1</v>
      </c>
      <c r="G19518" t="n">
        <v>12</v>
      </c>
      <c r="H19518" s="5">
        <f>HYPERLINK("https://api.qogita.com/variants/link/8809598450653/", "View Product")</f>
        <v/>
      </c>
    </row>
    <row r="19519">
      <c r="A19519" t="inlineStr">
        <is>
          <t>8809598451032</t>
        </is>
      </c>
      <c r="B19519" t="inlineStr">
        <is>
          <t>COSRX Propolis Cream Hydrating Lightweight Face Moisturizer with 64.5% Propolis Extract 2.19 fl.oz / 65ml Korean Skincare</t>
        </is>
      </c>
      <c r="C19519" t="inlineStr">
        <is>
          <t>Face Cream</t>
        </is>
      </c>
      <c r="D19519" t="inlineStr">
        <is>
          <t>Cosrx</t>
        </is>
      </c>
      <c r="E19519" t="n">
        <v>21.83</v>
      </c>
      <c r="F19519" t="n">
        <v>1</v>
      </c>
      <c r="G19519" t="n">
        <v>3</v>
      </c>
      <c r="H19519" s="5">
        <f>HYPERLINK("https://api.qogita.com/variants/link/8809598451032/", "View Product")</f>
        <v/>
      </c>
    </row>
    <row r="19520">
      <c r="A19520" t="inlineStr">
        <is>
          <t>8809598451445</t>
        </is>
      </c>
      <c r="B19520" t="inlineStr">
        <is>
          <t>Cosrx Balancium Comfort Ceramide Cream 2.82 Oz 80g with 50% Centella Asiatica</t>
        </is>
      </c>
      <c r="C19520" t="inlineStr">
        <is>
          <t>Face Cream</t>
        </is>
      </c>
      <c r="D19520" t="inlineStr">
        <is>
          <t>Cosrx</t>
        </is>
      </c>
      <c r="E19520" t="n">
        <v>21.01</v>
      </c>
      <c r="F19520" t="n">
        <v>1</v>
      </c>
      <c r="G19520" t="n">
        <v>32</v>
      </c>
      <c r="H19520" s="5">
        <f>HYPERLINK("https://api.qogita.com/variants/link/8809598451445/", "View Product")</f>
        <v/>
      </c>
    </row>
    <row r="19521">
      <c r="A19521" t="inlineStr">
        <is>
          <t>8809598453586</t>
        </is>
      </c>
      <c r="B19521" t="inlineStr">
        <is>
          <t>Cosrx Ac Collection Lightweight Soothing Moisturizer, 80ml | Aloe Vera Leaves</t>
        </is>
      </c>
      <c r="C19521" t="inlineStr">
        <is>
          <t>Face Cream</t>
        </is>
      </c>
      <c r="D19521" t="inlineStr">
        <is>
          <t>Cosrx</t>
        </is>
      </c>
      <c r="E19521" t="n">
        <v>16.64</v>
      </c>
      <c r="F19521" t="n">
        <v>1</v>
      </c>
      <c r="G19521" t="n">
        <v>17</v>
      </c>
      <c r="H19521" s="5">
        <f>HYPERLINK("https://api.qogita.com/variants/link/8809598453586/", "View Product")</f>
        <v/>
      </c>
    </row>
    <row r="19522">
      <c r="A19522" t="inlineStr">
        <is>
          <t>8809598453678</t>
        </is>
      </c>
      <c r="B19522" t="inlineStr">
        <is>
          <t>COSRX Hydrium Triple Hyaluronic Acid Foam 50ml</t>
        </is>
      </c>
      <c r="C19522" t="inlineStr">
        <is>
          <t>Cleansing Foam</t>
        </is>
      </c>
      <c r="D19522" t="inlineStr">
        <is>
          <t>Cosrx</t>
        </is>
      </c>
      <c r="E19522" t="n">
        <v>6.75</v>
      </c>
      <c r="F19522" t="n">
        <v>1</v>
      </c>
      <c r="G19522" t="n">
        <v>25</v>
      </c>
      <c r="H19522" s="5">
        <f>HYPERLINK("https://api.qogita.com/variants/link/8809598453678/", "View Product")</f>
        <v/>
      </c>
    </row>
    <row r="19523">
      <c r="A19523" t="inlineStr">
        <is>
          <t>8809598454118</t>
        </is>
      </c>
      <c r="B19523" t="inlineStr">
        <is>
          <t>Cosrx Master Patch Set 90 Acne Pimple Patches</t>
        </is>
      </c>
      <c r="C19523" t="inlineStr">
        <is>
          <t>Pimple &amp; Blackhead Treatments</t>
        </is>
      </c>
      <c r="D19523" t="inlineStr">
        <is>
          <t>Cosrx</t>
        </is>
      </c>
      <c r="E19523" t="n">
        <v>14.89</v>
      </c>
      <c r="F19523" t="n">
        <v>1</v>
      </c>
      <c r="G19523" t="n">
        <v>87</v>
      </c>
      <c r="H19523" s="5">
        <f>HYPERLINK("https://api.qogita.com/variants/link/8809598454118/", "View Product")</f>
        <v/>
      </c>
    </row>
    <row r="19524">
      <c r="A19524" t="inlineStr">
        <is>
          <t>8809598454316</t>
        </is>
      </c>
      <c r="B19524" t="inlineStr">
        <is>
          <t>Cosrx Full Fit Propolis Light Ampoule 30 Ml Skin Serum Against Skin Imperfections</t>
        </is>
      </c>
      <c r="C19524" t="inlineStr">
        <is>
          <t>Ampoules</t>
        </is>
      </c>
      <c r="D19524" t="inlineStr">
        <is>
          <t>Cosrx</t>
        </is>
      </c>
      <c r="E19524" t="n">
        <v>19.94</v>
      </c>
      <c r="F19524" t="n">
        <v>1</v>
      </c>
      <c r="G19524" t="n">
        <v>2</v>
      </c>
      <c r="H19524" s="5">
        <f>HYPERLINK("https://api.qogita.com/variants/link/8809598454316/", "View Product")</f>
        <v/>
      </c>
    </row>
    <row r="19525">
      <c r="A19525" t="inlineStr">
        <is>
          <t>8809598455290</t>
        </is>
      </c>
      <c r="B19525" t="inlineStr">
        <is>
          <t>Cosrx Advanced Snail 92 All In One Face Cream 50 G</t>
        </is>
      </c>
      <c r="C19525" t="inlineStr">
        <is>
          <t>Face Cream</t>
        </is>
      </c>
      <c r="D19525" t="inlineStr">
        <is>
          <t>Cosrx</t>
        </is>
      </c>
      <c r="E19525" t="n">
        <v>8.31</v>
      </c>
      <c r="F19525" t="n">
        <v>1</v>
      </c>
      <c r="G19525" t="n">
        <v>3</v>
      </c>
      <c r="H19525" s="5">
        <f>HYPERLINK("https://api.qogita.com/variants/link/8809598455290/", "View Product")</f>
        <v/>
      </c>
    </row>
    <row r="19526">
      <c r="A19526" t="inlineStr">
        <is>
          <t>8809598455801</t>
        </is>
      </c>
      <c r="B19526" t="inlineStr">
        <is>
          <t>Cosrx Advanced Snail Mucin Power Gel Cleanser</t>
        </is>
      </c>
      <c r="C19526" t="inlineStr">
        <is>
          <t>Cleansing Gel</t>
        </is>
      </c>
      <c r="D19526" t="inlineStr">
        <is>
          <t>Cosrx</t>
        </is>
      </c>
      <c r="E19526" t="n">
        <v>11.26</v>
      </c>
      <c r="F19526" t="n">
        <v>1</v>
      </c>
      <c r="G19526" t="n">
        <v>8</v>
      </c>
      <c r="H19526" s="5">
        <f>HYPERLINK("https://api.qogita.com/variants/link/8809598455801/", "View Product")</f>
        <v/>
      </c>
    </row>
    <row r="19527">
      <c r="A19527" t="inlineStr">
        <is>
          <t>8809606850345</t>
        </is>
      </c>
      <c r="B19527" t="inlineStr">
        <is>
          <t>Mizon Cicaluronic Cleansing Balm 80 Ml Natural Makeup Remover</t>
        </is>
      </c>
      <c r="C19527" t="inlineStr">
        <is>
          <t>Makeup Remover</t>
        </is>
      </c>
      <c r="D19527" t="inlineStr">
        <is>
          <t>Mizon</t>
        </is>
      </c>
      <c r="E19527" t="n">
        <v>22.23</v>
      </c>
      <c r="F19527" t="n">
        <v>1</v>
      </c>
      <c r="G19527" t="n">
        <v>3</v>
      </c>
      <c r="H19527" s="5">
        <f>HYPERLINK("https://api.qogita.com/variants/link/8809606850345/", "View Product")</f>
        <v/>
      </c>
    </row>
    <row r="19528">
      <c r="A19528" t="inlineStr">
        <is>
          <t>8809606851663</t>
        </is>
      </c>
      <c r="B19528" t="inlineStr">
        <is>
          <t>Beauty Of Joseon Radiance Cleansing Balm 100ml 3.38 Fl.Oz</t>
        </is>
      </c>
      <c r="C19528" t="inlineStr">
        <is>
          <t>Cleansing Cream</t>
        </is>
      </c>
      <c r="D19528" t="inlineStr">
        <is>
          <t>Beauty Of Joseon</t>
        </is>
      </c>
      <c r="E19528" t="n">
        <v>13.36</v>
      </c>
      <c r="F19528" t="n">
        <v>1</v>
      </c>
      <c r="G19528" t="n">
        <v>49</v>
      </c>
      <c r="H19528" s="5">
        <f>HYPERLINK("https://api.qogita.com/variants/link/8809606851663/", "View Product")</f>
        <v/>
      </c>
    </row>
    <row r="19529">
      <c r="A19529" t="inlineStr">
        <is>
          <t>8809611861688</t>
        </is>
      </c>
      <c r="B19529" t="inlineStr">
        <is>
          <t>Laka Fruity Glam Tint - Hydrating Lip Gloss 45 G 103 Humming</t>
        </is>
      </c>
      <c r="C19529" t="inlineStr">
        <is>
          <t>Lip Gloss</t>
        </is>
      </c>
      <c r="D19529" t="inlineStr">
        <is>
          <t>L.A. Girl</t>
        </is>
      </c>
      <c r="E19529" t="n">
        <v>12.39</v>
      </c>
      <c r="F19529" t="n">
        <v>1</v>
      </c>
      <c r="G19529" t="n">
        <v>2</v>
      </c>
      <c r="H19529" s="5">
        <f>HYPERLINK("https://api.qogita.com/variants/link/8809611861688/", "View Product")</f>
        <v/>
      </c>
    </row>
    <row r="19530">
      <c r="A19530" t="inlineStr">
        <is>
          <t>8809611862104</t>
        </is>
      </c>
      <c r="B19530" t="inlineStr">
        <is>
          <t>Laka Love Silk Blush - 57 G 704 Nunnu</t>
        </is>
      </c>
      <c r="C19530" t="inlineStr">
        <is>
          <t>Blush</t>
        </is>
      </c>
      <c r="D19530" t="inlineStr">
        <is>
          <t>L.A. Girl</t>
        </is>
      </c>
      <c r="E19530" t="n">
        <v>11.65</v>
      </c>
      <c r="F19530" t="n">
        <v>1</v>
      </c>
      <c r="G19530" t="n">
        <v>5</v>
      </c>
      <c r="H19530" s="5">
        <f>HYPERLINK("https://api.qogita.com/variants/link/8809611862104/", "View Product")</f>
        <v/>
      </c>
    </row>
    <row r="19531">
      <c r="A19531" t="inlineStr">
        <is>
          <t>8809611862609</t>
        </is>
      </c>
      <c r="B19531" t="inlineStr">
        <is>
          <t>Laka Forever6 Eye Palette - 01 Beginning, 7 Grams</t>
        </is>
      </c>
      <c r="C19531" t="inlineStr">
        <is>
          <t>Eye Sets &amp; Pallets</t>
        </is>
      </c>
      <c r="D19531" t="inlineStr">
        <is>
          <t>L.A. Girl</t>
        </is>
      </c>
      <c r="E19531" t="n">
        <v>18.73</v>
      </c>
      <c r="F19531" t="n">
        <v>1</v>
      </c>
      <c r="G19531" t="n">
        <v>3</v>
      </c>
      <c r="H19531" s="5">
        <f>HYPERLINK("https://api.qogita.com/variants/link/8809611862609/", "View Product")</f>
        <v/>
      </c>
    </row>
    <row r="19532">
      <c r="A19532" t="inlineStr">
        <is>
          <t>8809624727353</t>
        </is>
      </c>
      <c r="B19532" t="inlineStr">
        <is>
          <t>Abib Heartleaf Essence Calming Pump 1.69 Fl Oz 50ml</t>
        </is>
      </c>
      <c r="C19532" t="inlineStr">
        <is>
          <t>Hydrating Serum</t>
        </is>
      </c>
      <c r="D19532" t="inlineStr">
        <is>
          <t>Abib</t>
        </is>
      </c>
      <c r="E19532" t="n">
        <v>14.22</v>
      </c>
      <c r="F19532" t="n">
        <v>1</v>
      </c>
      <c r="G19532" t="n">
        <v>6</v>
      </c>
      <c r="H19532" s="5">
        <f>HYPERLINK("https://api.qogita.com/variants/link/8809624727353/", "View Product")</f>
        <v/>
      </c>
    </row>
    <row r="19533">
      <c r="A19533" t="inlineStr">
        <is>
          <t>8809625240288</t>
        </is>
      </c>
      <c r="B19533" t="inlineStr">
        <is>
          <t>Rom&amp;Nd Juicy Lasting Tint Highly Pigmented Lip Gloss 07 Jujube 5.5g</t>
        </is>
      </c>
      <c r="C19533" t="inlineStr">
        <is>
          <t>Lip Gloss</t>
        </is>
      </c>
      <c r="D19533" t="inlineStr">
        <is>
          <t>Rom&amp;Nd</t>
        </is>
      </c>
      <c r="E19533" t="n">
        <v>8.19</v>
      </c>
      <c r="F19533" t="n">
        <v>1</v>
      </c>
      <c r="G19533" t="n">
        <v>5</v>
      </c>
      <c r="H19533" s="5">
        <f>HYPERLINK("https://api.qogita.com/variants/link/8809625240288/", "View Product")</f>
        <v/>
      </c>
    </row>
    <row r="19534">
      <c r="A19534" t="inlineStr">
        <is>
          <t>8809625242121</t>
        </is>
      </c>
      <c r="B19534" t="inlineStr">
        <is>
          <t>Rom&amp;Nd Zero Matte Lipstick 07 Envy Me - 3g</t>
        </is>
      </c>
      <c r="C19534" t="inlineStr">
        <is>
          <t>Lipstick</t>
        </is>
      </c>
      <c r="D19534" t="inlineStr">
        <is>
          <t>Rom&amp;Nd</t>
        </is>
      </c>
      <c r="E19534" t="n">
        <v>8.08</v>
      </c>
      <c r="F19534" t="n">
        <v>1</v>
      </c>
      <c r="G19534" t="n">
        <v>3</v>
      </c>
      <c r="H19534" s="5">
        <f>HYPERLINK("https://api.qogita.com/variants/link/8809625242121/", "View Product")</f>
        <v/>
      </c>
    </row>
    <row r="19535">
      <c r="A19535" t="inlineStr">
        <is>
          <t>8809625242145</t>
        </is>
      </c>
      <c r="B19535" t="inlineStr">
        <is>
          <t>Rom&amp;Nd Zero Matte Lipstick 09 Shell Nude - 3g</t>
        </is>
      </c>
      <c r="C19535" t="inlineStr">
        <is>
          <t>Lipstick</t>
        </is>
      </c>
      <c r="D19535" t="inlineStr">
        <is>
          <t>Rom&amp;Nd</t>
        </is>
      </c>
      <c r="E19535" t="n">
        <v>8.08</v>
      </c>
      <c r="F19535" t="n">
        <v>1</v>
      </c>
      <c r="G19535" t="n">
        <v>3</v>
      </c>
      <c r="H19535" s="5">
        <f>HYPERLINK("https://api.qogita.com/variants/link/8809625242145/", "View Product")</f>
        <v/>
      </c>
    </row>
    <row r="19536">
      <c r="A19536" t="inlineStr">
        <is>
          <t>8809625242923</t>
        </is>
      </c>
      <c r="B19536" t="inlineStr">
        <is>
          <t>Rom&amp;Nd See Through Veillighter Face Highlighter 01 Sunkissed Veil 5.5g</t>
        </is>
      </c>
      <c r="C19536" t="inlineStr">
        <is>
          <t>Highlighter</t>
        </is>
      </c>
      <c r="D19536" t="inlineStr">
        <is>
          <t>Rom&amp;Nd</t>
        </is>
      </c>
      <c r="E19536" t="n">
        <v>7.45</v>
      </c>
      <c r="F19536" t="n">
        <v>1</v>
      </c>
      <c r="G19536" t="n">
        <v>3</v>
      </c>
      <c r="H19536" s="5">
        <f>HYPERLINK("https://api.qogita.com/variants/link/8809625242923/", "View Product")</f>
        <v/>
      </c>
    </row>
    <row r="19537">
      <c r="A19537" t="inlineStr">
        <is>
          <t>8809625243098</t>
        </is>
      </c>
      <c r="B19537" t="inlineStr">
        <is>
          <t>Rom&amp;Nd Better Than Palette Eyeshadow Palette 01 Pampas Garden - 7.5g</t>
        </is>
      </c>
      <c r="C19537" t="inlineStr">
        <is>
          <t>Eye Sets &amp; Pallets</t>
        </is>
      </c>
      <c r="D19537" t="inlineStr">
        <is>
          <t>Rom&amp;Nd</t>
        </is>
      </c>
      <c r="E19537" t="n">
        <v>20.63</v>
      </c>
      <c r="F19537" t="n">
        <v>1</v>
      </c>
      <c r="G19537" t="n">
        <v>3</v>
      </c>
      <c r="H19537" s="5">
        <f>HYPERLINK("https://api.qogita.com/variants/link/8809625243098/", "View Product")</f>
        <v/>
      </c>
    </row>
    <row r="19538">
      <c r="A19538" t="inlineStr">
        <is>
          <t>8809625243142</t>
        </is>
      </c>
      <c r="B19538" t="inlineStr">
        <is>
          <t>Han All Fix Mascara - Volume Black, 7g</t>
        </is>
      </c>
      <c r="C19538" t="inlineStr">
        <is>
          <t>Mascara</t>
        </is>
      </c>
      <c r="D19538" t="inlineStr">
        <is>
          <t>Han</t>
        </is>
      </c>
      <c r="E19538" t="n">
        <v>10.8</v>
      </c>
      <c r="F19538" t="n">
        <v>1</v>
      </c>
      <c r="G19538" t="n">
        <v>7</v>
      </c>
      <c r="H19538" s="5">
        <f>HYPERLINK("https://api.qogita.com/variants/link/8809625243142/", "View Product")</f>
        <v/>
      </c>
    </row>
    <row r="19539">
      <c r="A19539" t="inlineStr">
        <is>
          <t>8809625243722</t>
        </is>
      </c>
      <c r="B19539" t="inlineStr">
        <is>
          <t>Rom&amp;Nd Juicy Lasting Tint 5.5g 4 Colors #Bare Juicy 25 Bare Grape</t>
        </is>
      </c>
      <c r="C19539" t="inlineStr">
        <is>
          <t>Lipstick</t>
        </is>
      </c>
      <c r="D19539" t="inlineStr">
        <is>
          <t>Rom&amp;Nd</t>
        </is>
      </c>
      <c r="E19539" t="n">
        <v>8.19</v>
      </c>
      <c r="F19539" t="n">
        <v>1</v>
      </c>
      <c r="G19539" t="n">
        <v>5</v>
      </c>
      <c r="H19539" s="5">
        <f>HYPERLINK("https://api.qogita.com/variants/link/8809625243722/", "View Product")</f>
        <v/>
      </c>
    </row>
    <row r="19540">
      <c r="A19540" t="inlineStr">
        <is>
          <t>8809625244002</t>
        </is>
      </c>
      <c r="B19540" t="inlineStr">
        <is>
          <t>Rom&amp;Nd Zero Sun Clean Sunscreen For Face Spf50+ Pa++++ 01 Fresh 50ml</t>
        </is>
      </c>
      <c r="C19540" t="inlineStr">
        <is>
          <t>Face Sun Protection</t>
        </is>
      </c>
      <c r="D19540" t="inlineStr">
        <is>
          <t>Rom&amp;Nd</t>
        </is>
      </c>
      <c r="E19540" t="n">
        <v>9.16</v>
      </c>
      <c r="F19540" t="n">
        <v>1</v>
      </c>
      <c r="G19540" t="n">
        <v>11</v>
      </c>
      <c r="H19540" s="5">
        <f>HYPERLINK("https://api.qogita.com/variants/link/8809625244002/", "View Product")</f>
        <v/>
      </c>
    </row>
    <row r="19541">
      <c r="A19541" t="inlineStr">
        <is>
          <t>8809625244170</t>
        </is>
      </c>
      <c r="B19541" t="inlineStr">
        <is>
          <t>Rom&amp;Nd Dewy-Full Water Tint Lip Tint 04 Chili Up 5g</t>
        </is>
      </c>
      <c r="C19541" t="inlineStr">
        <is>
          <t>Lipstick</t>
        </is>
      </c>
      <c r="D19541" t="inlineStr">
        <is>
          <t>Rom&amp;Nd</t>
        </is>
      </c>
      <c r="E19541" t="n">
        <v>8.19</v>
      </c>
      <c r="F19541" t="n">
        <v>1</v>
      </c>
      <c r="G19541" t="n">
        <v>4</v>
      </c>
      <c r="H19541" s="5">
        <f>HYPERLINK("https://api.qogita.com/variants/link/8809625244170/", "View Product")</f>
        <v/>
      </c>
    </row>
    <row r="19542">
      <c r="A19542" t="inlineStr">
        <is>
          <t>8809625244194</t>
        </is>
      </c>
      <c r="B19542" t="inlineStr">
        <is>
          <t>Rom&amp;Nd Dewy-Full Water Lip Tint 06 Thulian 5g</t>
        </is>
      </c>
      <c r="C19542" t="inlineStr">
        <is>
          <t>Lip Gloss</t>
        </is>
      </c>
      <c r="D19542" t="inlineStr">
        <is>
          <t>Rom&amp;Nd</t>
        </is>
      </c>
      <c r="E19542" t="n">
        <v>8.19</v>
      </c>
      <c r="F19542" t="n">
        <v>1</v>
      </c>
      <c r="G19542" t="n">
        <v>2</v>
      </c>
      <c r="H19542" s="5">
        <f>HYPERLINK("https://api.qogita.com/variants/link/8809625244194/", "View Product")</f>
        <v/>
      </c>
    </row>
    <row r="19543">
      <c r="A19543" t="inlineStr">
        <is>
          <t>8809625244507</t>
        </is>
      </c>
      <c r="B19543" t="inlineStr">
        <is>
          <t>Rom&amp;Nd Blur Fudge Tint Lip Tint 06 Mauvish 5g</t>
        </is>
      </c>
      <c r="C19543" t="inlineStr">
        <is>
          <t>Lipstick</t>
        </is>
      </c>
      <c r="D19543" t="inlineStr">
        <is>
          <t>Rom&amp;Nd</t>
        </is>
      </c>
      <c r="E19543" t="n">
        <v>8.19</v>
      </c>
      <c r="F19543" t="n">
        <v>1</v>
      </c>
      <c r="G19543" t="n">
        <v>2</v>
      </c>
      <c r="H19543" s="5">
        <f>HYPERLINK("https://api.qogita.com/variants/link/8809625244507/", "View Product")</f>
        <v/>
      </c>
    </row>
    <row r="19544">
      <c r="A19544" t="inlineStr">
        <is>
          <t>8809640732799</t>
        </is>
      </c>
      <c r="B19544" t="inlineStr">
        <is>
          <t>ANUA Heartleaf 70 Daily Lotion 200ml</t>
        </is>
      </c>
      <c r="C19544" t="inlineStr">
        <is>
          <t>Day Cream</t>
        </is>
      </c>
      <c r="D19544" t="inlineStr">
        <is>
          <t>Anua</t>
        </is>
      </c>
      <c r="E19544" t="n">
        <v>17.64</v>
      </c>
      <c r="F19544" t="n">
        <v>1</v>
      </c>
      <c r="G19544" t="n">
        <v>10</v>
      </c>
      <c r="H19544" s="5">
        <f>HYPERLINK("https://api.qogita.com/variants/link/8809640732799/", "View Product")</f>
        <v/>
      </c>
    </row>
    <row r="19545">
      <c r="A19545" t="inlineStr">
        <is>
          <t>8809640734373</t>
        </is>
      </c>
      <c r="B19545" t="inlineStr">
        <is>
          <t>Anua Peach 77% Niacin Enriched Cream - 50 ml</t>
        </is>
      </c>
      <c r="C19545" t="inlineStr">
        <is>
          <t>Face Cream</t>
        </is>
      </c>
      <c r="D19545" t="inlineStr">
        <is>
          <t>Anua</t>
        </is>
      </c>
      <c r="E19545" t="n">
        <v>20.11</v>
      </c>
      <c r="F19545" t="n">
        <v>1</v>
      </c>
      <c r="G19545" t="n">
        <v>3</v>
      </c>
      <c r="H19545" s="5">
        <f>HYPERLINK("https://api.qogita.com/variants/link/8809640734373/", "View Product")</f>
        <v/>
      </c>
    </row>
    <row r="19546">
      <c r="A19546" t="inlineStr">
        <is>
          <t>8809640735622</t>
        </is>
      </c>
      <c r="B19546" t="inlineStr">
        <is>
          <t>Anua Heartleaf Quercetinol Pore Deep Cleansing Foam 150ml 5.07 Fl.Oz</t>
        </is>
      </c>
      <c r="C19546" t="inlineStr">
        <is>
          <t>Cleansing Foam</t>
        </is>
      </c>
      <c r="D19546" t="inlineStr">
        <is>
          <t>Anua</t>
        </is>
      </c>
      <c r="E19546" t="n">
        <v>7.34</v>
      </c>
      <c r="F19546" t="n">
        <v>1</v>
      </c>
      <c r="G19546" t="n">
        <v>2</v>
      </c>
      <c r="H19546" s="5">
        <f>HYPERLINK("https://api.qogita.com/variants/link/8809640735622/", "View Product")</f>
        <v/>
      </c>
    </row>
    <row r="19547">
      <c r="A19547" t="inlineStr">
        <is>
          <t>8809640736148</t>
        </is>
      </c>
      <c r="B19547" t="inlineStr">
        <is>
          <t>Anua Rice Enzyme Brightening Cleansing Powder - 40 G</t>
        </is>
      </c>
      <c r="C19547" t="inlineStr">
        <is>
          <t>Facial Scrub &amp; Peeling</t>
        </is>
      </c>
      <c r="D19547" t="inlineStr">
        <is>
          <t>Anua</t>
        </is>
      </c>
      <c r="E19547" t="n">
        <v>20.2</v>
      </c>
      <c r="F19547" t="n">
        <v>1</v>
      </c>
      <c r="G19547" t="n">
        <v>8</v>
      </c>
      <c r="H19547" s="5">
        <f>HYPERLINK("https://api.qogita.com/variants/link/8809640736148/", "View Product")</f>
        <v/>
      </c>
    </row>
    <row r="19548">
      <c r="A19548" t="inlineStr">
        <is>
          <t>8809642714519</t>
        </is>
      </c>
      <c r="B19548" t="inlineStr">
        <is>
          <t>Dr. Jart+ Cryo Rubber with Brightening Vitamin C</t>
        </is>
      </c>
      <c r="C19548" t="inlineStr">
        <is>
          <t>Glow Mask</t>
        </is>
      </c>
      <c r="D19548" t="inlineStr">
        <is>
          <t>Dr. Jart</t>
        </is>
      </c>
      <c r="E19548" t="n">
        <v>12.62</v>
      </c>
      <c r="F19548" t="n">
        <v>1</v>
      </c>
      <c r="G19548" t="n">
        <v>34</v>
      </c>
      <c r="H19548" s="5">
        <f>HYPERLINK("https://api.qogita.com/variants/link/8809642714519/", "View Product")</f>
        <v/>
      </c>
    </row>
    <row r="19549">
      <c r="A19549" t="inlineStr">
        <is>
          <t>8809643524261</t>
        </is>
      </c>
      <c r="B19549" t="inlineStr">
        <is>
          <t>Missha Dare Rouge Sheer Slick - Hydrating Lipstick 35g 05 Gentle Young Boss</t>
        </is>
      </c>
      <c r="C19549" t="inlineStr">
        <is>
          <t>Lipstick</t>
        </is>
      </c>
      <c r="D19549" t="inlineStr">
        <is>
          <t>Missha</t>
        </is>
      </c>
      <c r="E19549" t="n">
        <v>12.76</v>
      </c>
      <c r="F19549" t="n">
        <v>1</v>
      </c>
      <c r="G19549" t="n">
        <v>4</v>
      </c>
      <c r="H19549" s="5">
        <f>HYPERLINK("https://api.qogita.com/variants/link/8809643524261/", "View Product")</f>
        <v/>
      </c>
    </row>
    <row r="19550">
      <c r="A19550" t="inlineStr">
        <is>
          <t>8809643524308</t>
        </is>
      </c>
      <c r="B19550" t="inlineStr">
        <is>
          <t>Missha Dare Rouge Sheer Slick - Hydrating Lipstick 35 G 02 Warning Sign</t>
        </is>
      </c>
      <c r="C19550" t="inlineStr">
        <is>
          <t>Lipstick</t>
        </is>
      </c>
      <c r="D19550" t="inlineStr">
        <is>
          <t>Missha</t>
        </is>
      </c>
      <c r="E19550" t="n">
        <v>12.76</v>
      </c>
      <c r="F19550" t="n">
        <v>1</v>
      </c>
      <c r="G19550" t="n">
        <v>2</v>
      </c>
      <c r="H19550" s="5">
        <f>HYPERLINK("https://api.qogita.com/variants/link/8809643524308/", "View Product")</f>
        <v/>
      </c>
    </row>
    <row r="19551">
      <c r="A19551" t="inlineStr">
        <is>
          <t>8809643530521</t>
        </is>
      </c>
      <c r="B19551" t="inlineStr">
        <is>
          <t>A'PIEU Apieu Super Air Fit Mild Sunscreen Daily SPF50+ PA++ 50ml</t>
        </is>
      </c>
      <c r="C19551" t="inlineStr">
        <is>
          <t>Face Sun Protection</t>
        </is>
      </c>
      <c r="D19551" t="inlineStr">
        <is>
          <t>A'pieu</t>
        </is>
      </c>
      <c r="E19551" t="n">
        <v>15.29</v>
      </c>
      <c r="F19551" t="n">
        <v>1</v>
      </c>
      <c r="G19551" t="n">
        <v>4</v>
      </c>
      <c r="H19551" s="5">
        <f>HYPERLINK("https://api.qogita.com/variants/link/8809643530521/", "View Product")</f>
        <v/>
      </c>
    </row>
    <row r="19552">
      <c r="A19552" t="inlineStr">
        <is>
          <t>8809643533737</t>
        </is>
      </c>
      <c r="B19552" t="inlineStr">
        <is>
          <t>Talks Vegan Squeeze Sheet Mask - Skin Fitness, 27g</t>
        </is>
      </c>
      <c r="C19552" t="inlineStr">
        <is>
          <t>Sheet Mask</t>
        </is>
      </c>
      <c r="D19552" t="inlineStr">
        <is>
          <t>Talks</t>
        </is>
      </c>
      <c r="E19552" t="n">
        <v>3.55</v>
      </c>
      <c r="F19552" t="n">
        <v>1</v>
      </c>
      <c r="G19552" t="n">
        <v>6</v>
      </c>
      <c r="H19552" s="5">
        <f>HYPERLINK("https://api.qogita.com/variants/link/8809643533737/", "View Product")</f>
        <v/>
      </c>
    </row>
    <row r="19553">
      <c r="A19553" t="inlineStr">
        <is>
          <t>8809643533751</t>
        </is>
      </c>
      <c r="B19553" t="inlineStr">
        <is>
          <t>Talks Vegan Squeeze Sheet Mask Nourishing And Brightening Mask For Dull Skin Super Energizer 27g</t>
        </is>
      </c>
      <c r="C19553" t="inlineStr">
        <is>
          <t>Sheet Mask</t>
        </is>
      </c>
      <c r="D19553" t="inlineStr">
        <is>
          <t>TALK</t>
        </is>
      </c>
      <c r="E19553" t="n">
        <v>3.55</v>
      </c>
      <c r="F19553" t="n">
        <v>1</v>
      </c>
      <c r="G19553" t="n">
        <v>3</v>
      </c>
      <c r="H19553" s="5">
        <f>HYPERLINK("https://api.qogita.com/variants/link/8809643533751/", "View Product")</f>
        <v/>
      </c>
    </row>
    <row r="19554">
      <c r="A19554" t="inlineStr">
        <is>
          <t>8809643533768</t>
        </is>
      </c>
      <c r="B19554" t="inlineStr">
        <is>
          <t>Talks Vegan Squeeze Sheet Mask Sos Relaxer - 27g</t>
        </is>
      </c>
      <c r="C19554" t="inlineStr">
        <is>
          <t>Sheet Mask</t>
        </is>
      </c>
      <c r="D19554" t="inlineStr">
        <is>
          <t>Talks</t>
        </is>
      </c>
      <c r="E19554" t="n">
        <v>3.55</v>
      </c>
      <c r="F19554" t="n">
        <v>1</v>
      </c>
      <c r="G19554" t="n">
        <v>2</v>
      </c>
      <c r="H19554" s="5">
        <f>HYPERLINK("https://api.qogita.com/variants/link/8809643533768/", "View Product")</f>
        <v/>
      </c>
    </row>
    <row r="19555">
      <c r="A19555" t="inlineStr">
        <is>
          <t>8809643533782</t>
        </is>
      </c>
      <c r="B19555" t="inlineStr">
        <is>
          <t>Talks Vegan Squeeze Sheet Mask Mega Nutritious For Dry Skin - 27g</t>
        </is>
      </c>
      <c r="C19555" t="inlineStr">
        <is>
          <t>Sheet Mask</t>
        </is>
      </c>
      <c r="D19555" t="inlineStr">
        <is>
          <t>Talks</t>
        </is>
      </c>
      <c r="E19555" t="n">
        <v>3.55</v>
      </c>
      <c r="F19555" t="n">
        <v>1</v>
      </c>
      <c r="G19555" t="n">
        <v>2</v>
      </c>
      <c r="H19555" s="5">
        <f>HYPERLINK("https://api.qogita.com/variants/link/8809643533782/", "View Product")</f>
        <v/>
      </c>
    </row>
    <row r="19556">
      <c r="A19556" t="inlineStr">
        <is>
          <t>8809643541626</t>
        </is>
      </c>
      <c r="B19556" t="inlineStr">
        <is>
          <t>MISSHA Cicadin Serum for Imperfections, Cleanses and Treats Acne and Spots, Bright and Radiant Skin 1g</t>
        </is>
      </c>
      <c r="C19556" t="inlineStr">
        <is>
          <t>Glow Serum</t>
        </is>
      </c>
      <c r="D19556" t="inlineStr">
        <is>
          <t>Missha</t>
        </is>
      </c>
      <c r="E19556" t="n">
        <v>17.71</v>
      </c>
      <c r="F19556" t="n">
        <v>1</v>
      </c>
      <c r="G19556" t="n">
        <v>4</v>
      </c>
      <c r="H19556" s="5">
        <f>HYPERLINK("https://api.qogita.com/variants/link/8809643541626/", "View Product")</f>
        <v/>
      </c>
    </row>
    <row r="19557">
      <c r="A19557" t="inlineStr">
        <is>
          <t>8809643546591</t>
        </is>
      </c>
      <c r="B19557" t="inlineStr">
        <is>
          <t>Missha Dare Body Seoul Forest Moisturizing Hand Cream - 30 Ml</t>
        </is>
      </c>
      <c r="C19557" t="inlineStr">
        <is>
          <t>Hand Cream</t>
        </is>
      </c>
      <c r="D19557" t="inlineStr">
        <is>
          <t>Missha</t>
        </is>
      </c>
      <c r="E19557" t="n">
        <v>4.08</v>
      </c>
      <c r="F19557" t="n">
        <v>1</v>
      </c>
      <c r="G19557" t="n">
        <v>7</v>
      </c>
      <c r="H19557" s="5">
        <f>HYPERLINK("https://api.qogita.com/variants/link/8809643546591/", "View Product")</f>
        <v/>
      </c>
    </row>
    <row r="19558">
      <c r="A19558" t="inlineStr">
        <is>
          <t>8809643546744</t>
        </is>
      </c>
      <c r="B19558" t="inlineStr">
        <is>
          <t>MISSHA Super Off Cleansing Oil Dust Off</t>
        </is>
      </c>
      <c r="C19558" t="inlineStr">
        <is>
          <t>Cleansing Oil</t>
        </is>
      </c>
      <c r="D19558" t="inlineStr">
        <is>
          <t>Missha</t>
        </is>
      </c>
      <c r="E19558" t="n">
        <v>17.96</v>
      </c>
      <c r="F19558" t="n">
        <v>1</v>
      </c>
      <c r="G19558" t="n">
        <v>7</v>
      </c>
      <c r="H19558" s="5">
        <f>HYPERLINK("https://api.qogita.com/variants/link/8809643546744/", "View Product")</f>
        <v/>
      </c>
    </row>
    <row r="19559">
      <c r="A19559" t="inlineStr">
        <is>
          <t>8809647391104</t>
        </is>
      </c>
      <c r="B19559" t="inlineStr">
        <is>
          <t>SOME BY MI Cica Peptide Anti Hair Loss Derma Scalp Tonic 150ml</t>
        </is>
      </c>
      <c r="C19559" t="inlineStr">
        <is>
          <t>Hair Tonic</t>
        </is>
      </c>
      <c r="D19559" t="inlineStr">
        <is>
          <t>Some By Mi</t>
        </is>
      </c>
      <c r="E19559" t="n">
        <v>11.23</v>
      </c>
      <c r="F19559" t="n">
        <v>1</v>
      </c>
      <c r="G19559" t="n">
        <v>13</v>
      </c>
      <c r="H19559" s="5">
        <f>HYPERLINK("https://api.qogita.com/variants/link/8809647391104/", "View Product")</f>
        <v/>
      </c>
    </row>
    <row r="19560">
      <c r="A19560" t="inlineStr">
        <is>
          <t>8809647391326</t>
        </is>
      </c>
      <c r="B19560" t="inlineStr">
        <is>
          <t>SOME BY MI Super Matcha Pore Care Starter Kit</t>
        </is>
      </c>
      <c r="C19560" t="inlineStr">
        <is>
          <t>Facial Care Sets</t>
        </is>
      </c>
      <c r="D19560" t="inlineStr">
        <is>
          <t>Some By Mi</t>
        </is>
      </c>
      <c r="E19560" t="n">
        <v>17.58</v>
      </c>
      <c r="F19560" t="n">
        <v>1</v>
      </c>
      <c r="G19560" t="n">
        <v>2</v>
      </c>
      <c r="H19560" s="5">
        <f>HYPERLINK("https://api.qogita.com/variants/link/8809647391326/", "View Product")</f>
        <v/>
      </c>
    </row>
    <row r="19561">
      <c r="A19561" t="inlineStr">
        <is>
          <t>8809647391951</t>
        </is>
      </c>
      <c r="B19561" t="inlineStr">
        <is>
          <t>Some By Mi Truecica Aqua Calming Sun Cream</t>
        </is>
      </c>
      <c r="C19561" t="inlineStr">
        <is>
          <t>Face Sun Protection</t>
        </is>
      </c>
      <c r="D19561" t="inlineStr">
        <is>
          <t>Some By Mi</t>
        </is>
      </c>
      <c r="E19561" t="n">
        <v>14.75</v>
      </c>
      <c r="F19561" t="n">
        <v>1</v>
      </c>
      <c r="G19561" t="n">
        <v>4</v>
      </c>
      <c r="H19561" s="5">
        <f>HYPERLINK("https://api.qogita.com/variants/link/8809647391951/", "View Product")</f>
        <v/>
      </c>
    </row>
    <row r="19562">
      <c r="A19562" t="inlineStr">
        <is>
          <t>8809647392859</t>
        </is>
      </c>
      <c r="B19562" t="inlineStr">
        <is>
          <t>Some By Mi V10 Hyal Hydra Capsule Sunscreen SPF50+ 40ml</t>
        </is>
      </c>
      <c r="C19562" t="inlineStr">
        <is>
          <t>Face Sun Protection</t>
        </is>
      </c>
      <c r="D19562" t="inlineStr">
        <is>
          <t>Some By Mi</t>
        </is>
      </c>
      <c r="E19562" t="n">
        <v>15.65</v>
      </c>
      <c r="F19562" t="n">
        <v>1</v>
      </c>
      <c r="G19562" t="n">
        <v>5</v>
      </c>
      <c r="H19562" s="5">
        <f>HYPERLINK("https://api.qogita.com/variants/link/8809647392859/", "View Product")</f>
        <v/>
      </c>
    </row>
    <row r="19563">
      <c r="A19563" t="inlineStr">
        <is>
          <t>8809647393092</t>
        </is>
      </c>
      <c r="B19563" t="inlineStr">
        <is>
          <t>SOME BY MI Yuja Niacin Brightening All in One Cleanser 100ml</t>
        </is>
      </c>
      <c r="C19563" t="inlineStr">
        <is>
          <t>Cleansing Foam</t>
        </is>
      </c>
      <c r="D19563" t="inlineStr">
        <is>
          <t>Some By Mi</t>
        </is>
      </c>
      <c r="E19563" t="n">
        <v>12.92</v>
      </c>
      <c r="F19563" t="n">
        <v>1</v>
      </c>
      <c r="G19563" t="n">
        <v>5</v>
      </c>
      <c r="H19563" s="5">
        <f>HYPERLINK("https://api.qogita.com/variants/link/8809647393092/", "View Product")</f>
        <v/>
      </c>
    </row>
    <row r="19564">
      <c r="A19564" t="inlineStr">
        <is>
          <t>8809647394129</t>
        </is>
      </c>
      <c r="B19564" t="inlineStr">
        <is>
          <t>Some By Mi Snail Truecica Miracle Repair Toner 150ml</t>
        </is>
      </c>
      <c r="C19564" t="inlineStr">
        <is>
          <t>Facial Spray</t>
        </is>
      </c>
      <c r="D19564" t="inlineStr">
        <is>
          <t>Some By Mi</t>
        </is>
      </c>
      <c r="E19564" t="n">
        <v>23.97</v>
      </c>
      <c r="F19564" t="n">
        <v>1</v>
      </c>
      <c r="G19564" t="n">
        <v>4</v>
      </c>
      <c r="H19564" s="5">
        <f>HYPERLINK("https://api.qogita.com/variants/link/8809647394129/", "View Product")</f>
        <v/>
      </c>
    </row>
    <row r="19565">
      <c r="A19565" t="inlineStr">
        <is>
          <t>8809647394181</t>
        </is>
      </c>
      <c r="B19565" t="inlineStr">
        <is>
          <t>Some By Mi Micro Pin Spot Patch - Acne Treatment for Problematic Skin (9 patches)</t>
        </is>
      </c>
      <c r="C19565" t="inlineStr">
        <is>
          <t>Pimple &amp; Blackhead Treatments</t>
        </is>
      </c>
      <c r="D19565" t="inlineStr">
        <is>
          <t>Some By Mi</t>
        </is>
      </c>
      <c r="E19565" t="n">
        <v>6.16</v>
      </c>
      <c r="F19565" t="n">
        <v>1</v>
      </c>
      <c r="G19565" t="n">
        <v>6</v>
      </c>
      <c r="H19565" s="5">
        <f>HYPERLINK("https://api.qogita.com/variants/link/8809647394181/", "View Product")</f>
        <v/>
      </c>
    </row>
    <row r="19566">
      <c r="A19566" t="inlineStr">
        <is>
          <t>8809647395454</t>
        </is>
      </c>
      <c r="B19566" t="inlineStr">
        <is>
          <t>Some By Mi Pdrn Spirulina Soothing Repair Serum 50ml Korean Vegan</t>
        </is>
      </c>
      <c r="C19566" t="inlineStr">
        <is>
          <t>Hydrating Serum</t>
        </is>
      </c>
      <c r="D19566" t="inlineStr">
        <is>
          <t>Some By Mi</t>
        </is>
      </c>
      <c r="E19566" t="n">
        <v>11.07</v>
      </c>
      <c r="F19566" t="n">
        <v>1</v>
      </c>
      <c r="G19566" t="n">
        <v>2</v>
      </c>
      <c r="H19566" s="5">
        <f>HYPERLINK("https://api.qogita.com/variants/link/8809647395454/", "View Product")</f>
        <v/>
      </c>
    </row>
    <row r="19567">
      <c r="A19567" t="inlineStr">
        <is>
          <t>8809652580128</t>
        </is>
      </c>
      <c r="B19567" t="inlineStr">
        <is>
          <t>Numbuzin No.3 Super Glowing Essence Toner - 200ml</t>
        </is>
      </c>
      <c r="C19567" t="inlineStr">
        <is>
          <t>Facial Spray</t>
        </is>
      </c>
      <c r="D19567" t="inlineStr">
        <is>
          <t>Numbuzin</t>
        </is>
      </c>
      <c r="E19567" t="n">
        <v>12.33</v>
      </c>
      <c r="F19567" t="n">
        <v>1</v>
      </c>
      <c r="G19567" t="n">
        <v>4</v>
      </c>
      <c r="H19567" s="5">
        <f>HYPERLINK("https://api.qogita.com/variants/link/8809652580128/", "View Product")</f>
        <v/>
      </c>
    </row>
    <row r="19568">
      <c r="A19568" t="inlineStr">
        <is>
          <t>8809652581255</t>
        </is>
      </c>
      <c r="B19568" t="inlineStr">
        <is>
          <t>numbuzin No.3 Velvet Beauty Cream Facial Makeup Primer with Niacinamide 2.02 fl oz</t>
        </is>
      </c>
      <c r="C19568" t="inlineStr">
        <is>
          <t>Primer</t>
        </is>
      </c>
      <c r="D19568" t="inlineStr">
        <is>
          <t>Numbuzin</t>
        </is>
      </c>
      <c r="E19568" t="n">
        <v>17.39</v>
      </c>
      <c r="F19568" t="n">
        <v>1</v>
      </c>
      <c r="G19568" t="n">
        <v>7</v>
      </c>
      <c r="H19568" s="5">
        <f>HYPERLINK("https://api.qogita.com/variants/link/8809652581255/", "View Product")</f>
        <v/>
      </c>
    </row>
    <row r="19569">
      <c r="A19569" t="inlineStr">
        <is>
          <t>8809653233337</t>
        </is>
      </c>
      <c r="B19569" t="inlineStr">
        <is>
          <t>Hanskin Vitamin C Glow Serum with Ascorbic Acid Dark Spot Remover for Face</t>
        </is>
      </c>
      <c r="C19569" t="inlineStr">
        <is>
          <t>Glow Serum</t>
        </is>
      </c>
      <c r="D19569" t="inlineStr">
        <is>
          <t>Hanskin</t>
        </is>
      </c>
      <c r="E19569" t="n">
        <v>24.48</v>
      </c>
      <c r="F19569" t="n">
        <v>1</v>
      </c>
      <c r="G19569" t="n">
        <v>3</v>
      </c>
      <c r="H19569" s="5">
        <f>HYPERLINK("https://api.qogita.com/variants/link/8809653233337/", "View Product")</f>
        <v/>
      </c>
    </row>
    <row r="19570">
      <c r="A19570" t="inlineStr">
        <is>
          <t>8809663751661</t>
        </is>
      </c>
      <c r="B19570" t="inlineStr">
        <is>
          <t>Mizon Collagen Power Firming Enriched Cream 50 Ml With 54 Marine Collagen</t>
        </is>
      </c>
      <c r="C19570" t="inlineStr">
        <is>
          <t>Face Cream</t>
        </is>
      </c>
      <c r="D19570" t="inlineStr">
        <is>
          <t>Mizon</t>
        </is>
      </c>
      <c r="E19570" t="n">
        <v>21.51</v>
      </c>
      <c r="F19570" t="n">
        <v>1</v>
      </c>
      <c r="G19570" t="n">
        <v>32</v>
      </c>
      <c r="H19570" s="5">
        <f>HYPERLINK("https://api.qogita.com/variants/link/8809663751661/", "View Product")</f>
        <v/>
      </c>
    </row>
    <row r="19571">
      <c r="A19571" t="inlineStr">
        <is>
          <t>8809663751692</t>
        </is>
      </c>
      <c r="B19571" t="inlineStr">
        <is>
          <t>Mizon Snail Repairing Foam Cleanser</t>
        </is>
      </c>
      <c r="C19571" t="inlineStr">
        <is>
          <t>Cleansing Foam</t>
        </is>
      </c>
      <c r="D19571" t="inlineStr">
        <is>
          <t>Mizon</t>
        </is>
      </c>
      <c r="E19571" t="n">
        <v>8.68</v>
      </c>
      <c r="F19571" t="n">
        <v>1</v>
      </c>
      <c r="G19571" t="n">
        <v>6</v>
      </c>
      <c r="H19571" s="5">
        <f>HYPERLINK("https://api.qogita.com/variants/link/8809663751692/", "View Product")</f>
        <v/>
      </c>
    </row>
    <row r="19572">
      <c r="A19572" t="inlineStr">
        <is>
          <t>8809663753405</t>
        </is>
      </c>
      <c r="B19572" t="inlineStr">
        <is>
          <t>Mizon Niacinamide Smoothing Body Lotion 300 Ml</t>
        </is>
      </c>
      <c r="C19572" t="inlineStr">
        <is>
          <t>Body Lotion</t>
        </is>
      </c>
      <c r="D19572" t="inlineStr">
        <is>
          <t>Mizon</t>
        </is>
      </c>
      <c r="E19572" t="n">
        <v>22.23</v>
      </c>
      <c r="F19572" t="n">
        <v>1</v>
      </c>
      <c r="G19572" t="n">
        <v>15</v>
      </c>
      <c r="H19572" s="5">
        <f>HYPERLINK("https://api.qogita.com/variants/link/8809663753405/", "View Product")</f>
        <v/>
      </c>
    </row>
    <row r="19573">
      <c r="A19573" t="inlineStr">
        <is>
          <t>8809663753795</t>
        </is>
      </c>
      <c r="B19573" t="inlineStr">
        <is>
          <t>MIZON Cicaluronic Low pH Cleanser with BHA 120ml/4.05fl oz</t>
        </is>
      </c>
      <c r="C19573" t="inlineStr">
        <is>
          <t>Cleansing Gel</t>
        </is>
      </c>
      <c r="D19573" t="inlineStr">
        <is>
          <t>Mizon</t>
        </is>
      </c>
      <c r="E19573" t="n">
        <v>13.93</v>
      </c>
      <c r="F19573" t="n">
        <v>1</v>
      </c>
      <c r="G19573" t="n">
        <v>3</v>
      </c>
      <c r="H19573" s="5">
        <f>HYPERLINK("https://api.qogita.com/variants/link/8809663753795/", "View Product")</f>
        <v/>
      </c>
    </row>
    <row r="19574">
      <c r="A19574" t="inlineStr">
        <is>
          <t>8809670680862</t>
        </is>
      </c>
      <c r="B19574" t="inlineStr">
        <is>
          <t>Mary&amp;May Sensitive Soothing Gel Blemish Cream 70g</t>
        </is>
      </c>
      <c r="C19574" t="inlineStr">
        <is>
          <t>Pimple &amp; Blackhead Treatments</t>
        </is>
      </c>
      <c r="D19574" t="inlineStr">
        <is>
          <t>Mary&amp;May</t>
        </is>
      </c>
      <c r="E19574" t="n">
        <v>17.46</v>
      </c>
      <c r="F19574" t="n">
        <v>1</v>
      </c>
      <c r="G19574" t="n">
        <v>11</v>
      </c>
      <c r="H19574" s="5">
        <f>HYPERLINK("https://api.qogita.com/variants/link/8809670680862/", "View Product")</f>
        <v/>
      </c>
    </row>
    <row r="19575">
      <c r="A19575" t="inlineStr">
        <is>
          <t>8809670680992</t>
        </is>
      </c>
      <c r="B19575" t="inlineStr">
        <is>
          <t>Mary&amp;May Gluconolactone Pha + Betula Alba Juice Cleansing Pad - 70 Pieces</t>
        </is>
      </c>
      <c r="C19575" t="inlineStr">
        <is>
          <t>Makeup Remover</t>
        </is>
      </c>
      <c r="D19575" t="inlineStr">
        <is>
          <t>Mary&amp;May</t>
        </is>
      </c>
      <c r="E19575" t="n">
        <v>15.02</v>
      </c>
      <c r="F19575" t="n">
        <v>1</v>
      </c>
      <c r="G19575" t="n">
        <v>4</v>
      </c>
      <c r="H19575" s="5">
        <f>HYPERLINK("https://api.qogita.com/variants/link/8809670680992/", "View Product")</f>
        <v/>
      </c>
    </row>
    <row r="19576">
      <c r="A19576" t="inlineStr">
        <is>
          <t>8809670681111</t>
        </is>
      </c>
      <c r="B19576" t="inlineStr">
        <is>
          <t>Mary&amp;May Collagen Booster Lotion 120ml</t>
        </is>
      </c>
      <c r="C19576" t="inlineStr">
        <is>
          <t>Collagen Serum</t>
        </is>
      </c>
      <c r="D19576" t="inlineStr">
        <is>
          <t>Mary&amp;May</t>
        </is>
      </c>
      <c r="E19576" t="n">
        <v>13.69</v>
      </c>
      <c r="F19576" t="n">
        <v>1</v>
      </c>
      <c r="G19576" t="n">
        <v>5</v>
      </c>
      <c r="H19576" s="5">
        <f>HYPERLINK("https://api.qogita.com/variants/link/8809670681111/", "View Product")</f>
        <v/>
      </c>
    </row>
    <row r="19577">
      <c r="A19577" t="inlineStr">
        <is>
          <t>8809670681128</t>
        </is>
      </c>
      <c r="B19577" t="inlineStr">
        <is>
          <t>Mary&amp;May Vitamin C + Bifida Lotion 30,000ppm Fermentation with 1,000ppm Vitamin C for Brightening and Moisturization 4.05 fl oz</t>
        </is>
      </c>
      <c r="C19577" t="inlineStr">
        <is>
          <t>Face Cream</t>
        </is>
      </c>
      <c r="D19577" t="inlineStr">
        <is>
          <t>Mary&amp;May</t>
        </is>
      </c>
      <c r="E19577" t="n">
        <v>12.84</v>
      </c>
      <c r="F19577" t="n">
        <v>1</v>
      </c>
      <c r="G19577" t="n">
        <v>7</v>
      </c>
      <c r="H19577" s="5">
        <f>HYPERLINK("https://api.qogita.com/variants/link/8809670681128/", "View Product")</f>
        <v/>
      </c>
    </row>
    <row r="19578">
      <c r="A19578" t="inlineStr">
        <is>
          <t>8809685797173</t>
        </is>
      </c>
      <c r="B19578" t="inlineStr">
        <is>
          <t>Laneige Lip Sleeping Mask Berry 20g Nourishing Overnight Lip Treatment</t>
        </is>
      </c>
      <c r="C19578" t="inlineStr">
        <is>
          <t>Lip Mask</t>
        </is>
      </c>
      <c r="D19578" t="inlineStr">
        <is>
          <t>Laneige</t>
        </is>
      </c>
      <c r="E19578" t="n">
        <v>16.64</v>
      </c>
      <c r="F19578" t="n">
        <v>1</v>
      </c>
      <c r="G19578" t="n">
        <v>10</v>
      </c>
      <c r="H19578" s="5">
        <f>HYPERLINK("https://api.qogita.com/variants/link/8809685797173/", "View Product")</f>
        <v/>
      </c>
    </row>
    <row r="19579">
      <c r="A19579" t="inlineStr">
        <is>
          <t>8809695670640</t>
        </is>
      </c>
      <c r="B19579" t="inlineStr">
        <is>
          <t>Cica Hyalon Soft Toner Pad with 0.5% Salicylic Acid - Soothing Repair and Anti-Acne</t>
        </is>
      </c>
      <c r="C19579" t="inlineStr">
        <is>
          <t>Pimple &amp; Blackhead Treatments</t>
        </is>
      </c>
      <c r="D19579" t="inlineStr">
        <is>
          <t>Vt Cosmetics</t>
        </is>
      </c>
      <c r="E19579" t="n">
        <v>11.07</v>
      </c>
      <c r="F19579" t="n">
        <v>1</v>
      </c>
      <c r="G19579" t="n">
        <v>7</v>
      </c>
      <c r="H19579" s="5">
        <f>HYPERLINK("https://api.qogita.com/variants/link/8809695670640/", "View Product")</f>
        <v/>
      </c>
    </row>
    <row r="19580">
      <c r="A19580" t="inlineStr">
        <is>
          <t>8809695678363</t>
        </is>
      </c>
      <c r="B19580" t="inlineStr">
        <is>
          <t>Vt Cosmetics Reedle Shot 100 Booster For Deep Improvement Of Skin Texture 50ml</t>
        </is>
      </c>
      <c r="C19580" t="inlineStr">
        <is>
          <t>Ampoules</t>
        </is>
      </c>
      <c r="D19580" t="inlineStr">
        <is>
          <t>Vt Cosmetics</t>
        </is>
      </c>
      <c r="E19580" t="n">
        <v>19.36</v>
      </c>
      <c r="F19580" t="n">
        <v>1</v>
      </c>
      <c r="G19580" t="n">
        <v>53</v>
      </c>
      <c r="H19580" s="5">
        <f>HYPERLINK("https://api.qogita.com/variants/link/8809695678363/", "View Product")</f>
        <v/>
      </c>
    </row>
    <row r="19581">
      <c r="A19581" t="inlineStr">
        <is>
          <t>8809724475956</t>
        </is>
      </c>
      <c r="B19581" t="inlineStr">
        <is>
          <t>Dr. Jart+ Every Sun Day Mild Sun SPF43/PA+++ 30ml</t>
        </is>
      </c>
      <c r="C19581" t="inlineStr">
        <is>
          <t>Face Sun Protection</t>
        </is>
      </c>
      <c r="D19581" t="inlineStr">
        <is>
          <t>Dr. Jart</t>
        </is>
      </c>
      <c r="E19581" t="n">
        <v>16.17</v>
      </c>
      <c r="F19581" t="n">
        <v>1</v>
      </c>
      <c r="G19581" t="n">
        <v>20</v>
      </c>
      <c r="H19581" s="5">
        <f>HYPERLINK("https://api.qogita.com/variants/link/8809724475956/", "View Product")</f>
        <v/>
      </c>
    </row>
    <row r="19582">
      <c r="A19582" t="inlineStr">
        <is>
          <t>8809724476946</t>
        </is>
      </c>
      <c r="B19582" t="inlineStr">
        <is>
          <t>Dr. Jart+ Every Sun Day Tone-up Sun Fluid Screen SPF50+ PA++++ 30ml</t>
        </is>
      </c>
      <c r="C19582" t="inlineStr">
        <is>
          <t>Face Sun Protection</t>
        </is>
      </c>
      <c r="D19582" t="inlineStr">
        <is>
          <t>Dr. Jart</t>
        </is>
      </c>
      <c r="E19582" t="n">
        <v>18.79</v>
      </c>
      <c r="F19582" t="n">
        <v>1</v>
      </c>
      <c r="G19582" t="n">
        <v>15</v>
      </c>
      <c r="H19582" s="5">
        <f>HYPERLINK("https://api.qogita.com/variants/link/8809724476946/", "View Product")</f>
        <v/>
      </c>
    </row>
    <row r="19583">
      <c r="A19583" t="inlineStr">
        <is>
          <t>8809724479855</t>
        </is>
      </c>
      <c r="B19583" t="inlineStr">
        <is>
          <t>DrJart Cicapair Tiger Grass Color Correcting Treatment 30ml Face Cream</t>
        </is>
      </c>
      <c r="C19583" t="inlineStr">
        <is>
          <t>Face Cream</t>
        </is>
      </c>
      <c r="D19583" t="inlineStr">
        <is>
          <t>Dr. Jart</t>
        </is>
      </c>
      <c r="E19583" t="n">
        <v>18.81</v>
      </c>
      <c r="F19583" t="n">
        <v>1</v>
      </c>
      <c r="G19583" t="n">
        <v>2</v>
      </c>
      <c r="H19583" s="5">
        <f>HYPERLINK("https://api.qogita.com/variants/link/8809724479855/", "View Product")</f>
        <v/>
      </c>
    </row>
    <row r="19584">
      <c r="A19584" t="inlineStr">
        <is>
          <t>8809738316146</t>
        </is>
      </c>
      <c r="B19584" t="inlineStr">
        <is>
          <t>Beauty Of Joseon Ginseng Retinal Revive Eye Serum 30 Ml</t>
        </is>
      </c>
      <c r="C19584" t="inlineStr">
        <is>
          <t>Eye Serum</t>
        </is>
      </c>
      <c r="D19584" t="inlineStr">
        <is>
          <t>Beauty Of Joseon</t>
        </is>
      </c>
      <c r="E19584" t="n">
        <v>11.8</v>
      </c>
      <c r="F19584" t="n">
        <v>1</v>
      </c>
      <c r="G19584" t="n">
        <v>6</v>
      </c>
      <c r="H19584" s="5">
        <f>HYPERLINK("https://api.qogita.com/variants/link/8809738316146/", "View Product")</f>
        <v/>
      </c>
    </row>
    <row r="19585">
      <c r="A19585" t="inlineStr">
        <is>
          <t>8809738601860</t>
        </is>
      </c>
      <c r="B19585" t="inlineStr">
        <is>
          <t>Mizon CICALURONIC NON-NANO SUNBLOCK SPF 50+ PA+++ - US Seller</t>
        </is>
      </c>
      <c r="C19585" t="inlineStr">
        <is>
          <t>Face Sun Protection</t>
        </is>
      </c>
      <c r="D19585" t="inlineStr">
        <is>
          <t>Mizon</t>
        </is>
      </c>
      <c r="E19585" t="n">
        <v>19.26</v>
      </c>
      <c r="F19585" t="n">
        <v>1</v>
      </c>
      <c r="G19585" t="n">
        <v>23</v>
      </c>
      <c r="H19585" s="5">
        <f>HYPERLINK("https://api.qogita.com/variants/link/8809738601860/", "View Product")</f>
        <v/>
      </c>
    </row>
    <row r="19586">
      <c r="A19586" t="inlineStr">
        <is>
          <t>8809743540420</t>
        </is>
      </c>
      <c r="B19586" t="inlineStr">
        <is>
          <t>Mizon Hyaluronic Acid 100 Serum Pure Hyaluronic Acid for Deep Hydration</t>
        </is>
      </c>
      <c r="C19586" t="inlineStr">
        <is>
          <t>Hyaluronic Acid Serum</t>
        </is>
      </c>
      <c r="D19586" t="inlineStr">
        <is>
          <t>Mizon</t>
        </is>
      </c>
      <c r="E19586" t="n">
        <v>20.75</v>
      </c>
      <c r="F19586" t="n">
        <v>1</v>
      </c>
      <c r="G19586" t="n">
        <v>5</v>
      </c>
      <c r="H19586" s="5">
        <f>HYPERLINK("https://api.qogita.com/variants/link/8809743540420/", "View Product")</f>
        <v/>
      </c>
    </row>
    <row r="19587">
      <c r="A19587" t="inlineStr">
        <is>
          <t>8809744060088</t>
        </is>
      </c>
      <c r="B19587" t="inlineStr">
        <is>
          <t>[MASIL] 8 Second Salon Super Mild Hair Mask 200ml - Free Gift</t>
        </is>
      </c>
      <c r="C19587" t="inlineStr">
        <is>
          <t>Hair Masks</t>
        </is>
      </c>
      <c r="D19587" t="inlineStr">
        <is>
          <t>Masil</t>
        </is>
      </c>
      <c r="E19587" t="n">
        <v>15.13</v>
      </c>
      <c r="F19587" t="n">
        <v>1</v>
      </c>
      <c r="G19587" t="n">
        <v>7</v>
      </c>
      <c r="H19587" s="5">
        <f>HYPERLINK("https://api.qogita.com/variants/link/8809744060088/", "View Product")</f>
        <v/>
      </c>
    </row>
    <row r="19588">
      <c r="A19588" t="inlineStr">
        <is>
          <t>8809744060378</t>
        </is>
      </c>
      <c r="B19588" t="inlineStr">
        <is>
          <t>Masil Wood Paddle Hair Brush for Dry, Curly Hair with Scalp Massage and Detangling</t>
        </is>
      </c>
      <c r="C19588" t="inlineStr">
        <is>
          <t>Flat &amp; Paddle Brushes</t>
        </is>
      </c>
      <c r="D19588" t="inlineStr">
        <is>
          <t>Masil</t>
        </is>
      </c>
      <c r="E19588" t="n">
        <v>7.36</v>
      </c>
      <c r="F19588" t="n">
        <v>1</v>
      </c>
      <c r="G19588" t="n">
        <v>5</v>
      </c>
      <c r="H19588" s="5">
        <f>HYPERLINK("https://api.qogita.com/variants/link/8809744060378/", "View Product")</f>
        <v/>
      </c>
    </row>
    <row r="19589">
      <c r="A19589" t="inlineStr">
        <is>
          <t>8809744060552</t>
        </is>
      </c>
      <c r="B19589" t="inlineStr">
        <is>
          <t>Masil Regenerating Hair Shampoo 3 Salon Hair Cmc Shampoo</t>
        </is>
      </c>
      <c r="C19589" t="inlineStr">
        <is>
          <t>Shampoo</t>
        </is>
      </c>
      <c r="D19589" t="inlineStr">
        <is>
          <t>Masil</t>
        </is>
      </c>
      <c r="E19589" t="n">
        <v>8.5</v>
      </c>
      <c r="F19589" t="n">
        <v>1</v>
      </c>
      <c r="G19589" t="n">
        <v>5</v>
      </c>
      <c r="H19589" s="5">
        <f>HYPERLINK("https://api.qogita.com/variants/link/8809744060552/", "View Product")</f>
        <v/>
      </c>
    </row>
    <row r="19590">
      <c r="A19590" t="inlineStr">
        <is>
          <t>8809744061511</t>
        </is>
      </c>
      <c r="B19590" t="inlineStr">
        <is>
          <t>Masil White Musk 7 Perfumed Shower Gel - Ceramide Infused</t>
        </is>
      </c>
      <c r="C19590" t="inlineStr">
        <is>
          <t>Shower Gel</t>
        </is>
      </c>
      <c r="D19590" t="inlineStr">
        <is>
          <t>Masil</t>
        </is>
      </c>
      <c r="E19590" t="n">
        <v>13.49</v>
      </c>
      <c r="F19590" t="n">
        <v>1</v>
      </c>
      <c r="G19590" t="n">
        <v>2</v>
      </c>
      <c r="H19590" s="5">
        <f>HYPERLINK("https://api.qogita.com/variants/link/8809744061511/", "View Product")</f>
        <v/>
      </c>
    </row>
    <row r="19591">
      <c r="A19591" t="inlineStr">
        <is>
          <t>8809744061535</t>
        </is>
      </c>
      <c r="B19591" t="inlineStr">
        <is>
          <t>Masil Perfumed Shower Gel Baby Powder 7 - Ceramide Perfume Shower Gel</t>
        </is>
      </c>
      <c r="C19591" t="inlineStr">
        <is>
          <t>Baby Shower Gel &amp; Soap</t>
        </is>
      </c>
      <c r="D19591" t="inlineStr">
        <is>
          <t>Masil</t>
        </is>
      </c>
      <c r="E19591" t="n">
        <v>13.49</v>
      </c>
      <c r="F19591" t="n">
        <v>1</v>
      </c>
      <c r="G19591" t="n">
        <v>4</v>
      </c>
      <c r="H19591" s="5">
        <f>HYPERLINK("https://api.qogita.com/variants/link/8809744061535/", "View Product")</f>
        <v/>
      </c>
    </row>
    <row r="19592">
      <c r="A19592" t="inlineStr">
        <is>
          <t>8809744061542</t>
        </is>
      </c>
      <c r="B19592" t="inlineStr">
        <is>
          <t>Masil Cherry Blossom 7 Perfumed Shower Gel Ceramide Perfume Shower Gel</t>
        </is>
      </c>
      <c r="C19592" t="inlineStr">
        <is>
          <t>Shower Gel</t>
        </is>
      </c>
      <c r="D19592" t="inlineStr">
        <is>
          <t>Masil</t>
        </is>
      </c>
      <c r="E19592" t="n">
        <v>10.19</v>
      </c>
      <c r="F19592" t="n">
        <v>1</v>
      </c>
      <c r="G19592" t="n">
        <v>5</v>
      </c>
      <c r="H19592" s="5">
        <f>HYPERLINK("https://api.qogita.com/variants/link/8809744061542/", "View Product")</f>
        <v/>
      </c>
    </row>
    <row r="19593">
      <c r="A19593" t="inlineStr">
        <is>
          <t>8809747928729</t>
        </is>
      </c>
      <c r="B19593" t="inlineStr">
        <is>
          <t>Super Aqua Ampoule 47ml</t>
        </is>
      </c>
      <c r="C19593" t="inlineStr">
        <is>
          <t>Ampoules</t>
        </is>
      </c>
      <c r="D19593" t="inlineStr">
        <is>
          <t>Missha</t>
        </is>
      </c>
      <c r="E19593" t="n">
        <v>16.47</v>
      </c>
      <c r="F19593" t="n">
        <v>1</v>
      </c>
      <c r="G19593" t="n">
        <v>12</v>
      </c>
      <c r="H19593" s="5">
        <f>HYPERLINK("https://api.qogita.com/variants/link/8809747928729/", "View Product")</f>
        <v/>
      </c>
    </row>
    <row r="19594">
      <c r="A19594" t="inlineStr">
        <is>
          <t>8809747928736</t>
        </is>
      </c>
      <c r="B19594" t="inlineStr">
        <is>
          <t>Missha Super Aqua Ultra Hyalron Skin Essence Toner 200ml</t>
        </is>
      </c>
      <c r="C19594" t="inlineStr">
        <is>
          <t>Facial Spray</t>
        </is>
      </c>
      <c r="D19594" t="inlineStr">
        <is>
          <t>Missha</t>
        </is>
      </c>
      <c r="E19594" t="n">
        <v>15.2</v>
      </c>
      <c r="F19594" t="n">
        <v>1</v>
      </c>
      <c r="G19594" t="n">
        <v>14</v>
      </c>
      <c r="H19594" s="5">
        <f>HYPERLINK("https://api.qogita.com/variants/link/8809747928736/", "View Product")</f>
        <v/>
      </c>
    </row>
    <row r="19595">
      <c r="A19595" t="inlineStr">
        <is>
          <t>8809747932535</t>
        </is>
      </c>
      <c r="B19595" t="inlineStr">
        <is>
          <t>MISSHA Time Revolution Immortal Youth Essence 2X 50ml</t>
        </is>
      </c>
      <c r="C19595" t="inlineStr">
        <is>
          <t>Anti-Aging Serum</t>
        </is>
      </c>
      <c r="D19595" t="inlineStr">
        <is>
          <t>Missha</t>
        </is>
      </c>
      <c r="E19595" t="n">
        <v>29.2</v>
      </c>
      <c r="F19595" t="n">
        <v>1</v>
      </c>
      <c r="G19595" t="n">
        <v>8</v>
      </c>
      <c r="H19595" s="5">
        <f>HYPERLINK("https://api.qogita.com/variants/link/8809747932535/", "View Product")</f>
        <v/>
      </c>
    </row>
    <row r="19596">
      <c r="A19596" t="inlineStr">
        <is>
          <t>8809747940011</t>
        </is>
      </c>
      <c r="B19596" t="inlineStr">
        <is>
          <t>MISSHA Chogongjin Sosaeng Eye Cream</t>
        </is>
      </c>
      <c r="C19596" t="inlineStr">
        <is>
          <t>Eye Cream</t>
        </is>
      </c>
      <c r="D19596" t="inlineStr">
        <is>
          <t>Missha</t>
        </is>
      </c>
      <c r="E19596" t="n">
        <v>30.41</v>
      </c>
      <c r="F19596" t="n">
        <v>1</v>
      </c>
      <c r="G19596" t="n">
        <v>3</v>
      </c>
      <c r="H19596" s="5">
        <f>HYPERLINK("https://api.qogita.com/variants/link/8809747940011/", "View Product")</f>
        <v/>
      </c>
    </row>
    <row r="19597">
      <c r="A19597" t="inlineStr">
        <is>
          <t>8809747941858</t>
        </is>
      </c>
      <c r="B19597" t="inlineStr">
        <is>
          <t>Missha Chogongjin Geumsul Emulsion 120ml</t>
        </is>
      </c>
      <c r="C19597" t="inlineStr">
        <is>
          <t>Face Cream</t>
        </is>
      </c>
      <c r="D19597" t="inlineStr">
        <is>
          <t>Missha</t>
        </is>
      </c>
      <c r="E19597" t="n">
        <v>28.33</v>
      </c>
      <c r="F19597" t="n">
        <v>1</v>
      </c>
      <c r="G19597" t="n">
        <v>2</v>
      </c>
      <c r="H19597" s="5">
        <f>HYPERLINK("https://api.qogita.com/variants/link/8809747941858/", "View Product")</f>
        <v/>
      </c>
    </row>
    <row r="19598">
      <c r="A19598" t="inlineStr">
        <is>
          <t>8809747941919</t>
        </is>
      </c>
      <c r="B19598" t="inlineStr">
        <is>
          <t>MISSHA CHOGONGJIN GEUMSUL JIN EYE CREAM 30ml/60ml K-BEAUTY</t>
        </is>
      </c>
      <c r="C19598" t="inlineStr">
        <is>
          <t>Eye Cream</t>
        </is>
      </c>
      <c r="D19598" t="inlineStr">
        <is>
          <t>Missha</t>
        </is>
      </c>
      <c r="E19598" t="n">
        <v>24.08</v>
      </c>
      <c r="F19598" t="n">
        <v>1</v>
      </c>
      <c r="G19598" t="n">
        <v>5</v>
      </c>
      <c r="H19598" s="5">
        <f>HYPERLINK("https://api.qogita.com/variants/link/8809747941919/", "View Product")</f>
        <v/>
      </c>
    </row>
    <row r="19599">
      <c r="A19599" t="inlineStr">
        <is>
          <t>8809747944002</t>
        </is>
      </c>
      <c r="B19599" t="inlineStr">
        <is>
          <t>MISSHA Time Revolution The First Essence Toner Pads 75 Pads Exfoliating Enhanced with AHA Moisturizing Larger Size Advanced Ferment Absorption Essence Pads 1 Count</t>
        </is>
      </c>
      <c r="C19599" t="inlineStr">
        <is>
          <t>Facial Care Sets</t>
        </is>
      </c>
      <c r="D19599" t="inlineStr">
        <is>
          <t>Missha</t>
        </is>
      </c>
      <c r="E19599" t="n">
        <v>21.03</v>
      </c>
      <c r="F19599" t="n">
        <v>1</v>
      </c>
      <c r="G19599" t="n">
        <v>5</v>
      </c>
      <c r="H19599" s="5">
        <f>HYPERLINK("https://api.qogita.com/variants/link/8809747944002/", "View Product")</f>
        <v/>
      </c>
    </row>
    <row r="19600">
      <c r="A19600" t="inlineStr">
        <is>
          <t>8809747944040</t>
        </is>
      </c>
      <c r="B19600" t="inlineStr">
        <is>
          <t>Missha Brightening Face Mask With Vitamin C Vita C Plus Ampoule Mask 27 G</t>
        </is>
      </c>
      <c r="C19600" t="inlineStr">
        <is>
          <t>Sheet Mask</t>
        </is>
      </c>
      <c r="D19600" t="inlineStr">
        <is>
          <t>Missha</t>
        </is>
      </c>
      <c r="E19600" t="n">
        <v>4.21</v>
      </c>
      <c r="F19600" t="n">
        <v>1</v>
      </c>
      <c r="G19600" t="n">
        <v>8</v>
      </c>
      <c r="H19600" s="5">
        <f>HYPERLINK("https://api.qogita.com/variants/link/8809747944040/", "View Product")</f>
        <v/>
      </c>
    </row>
    <row r="19601">
      <c r="A19601" t="inlineStr">
        <is>
          <t>8809783322635</t>
        </is>
      </c>
      <c r="B19601" t="inlineStr">
        <is>
          <t>Isntree Onion Newpair Gel Cream - 50ml</t>
        </is>
      </c>
      <c r="C19601" t="inlineStr">
        <is>
          <t>Face Cream</t>
        </is>
      </c>
      <c r="D19601" t="inlineStr">
        <is>
          <t>Isntree</t>
        </is>
      </c>
      <c r="E19601" t="n">
        <v>24.24</v>
      </c>
      <c r="F19601" t="n">
        <v>1</v>
      </c>
      <c r="G19601" t="n">
        <v>5</v>
      </c>
      <c r="H19601" s="5">
        <f>HYPERLINK("https://api.qogita.com/variants/link/8809783322635/", "View Product")</f>
        <v/>
      </c>
    </row>
    <row r="19602">
      <c r="A19602" t="inlineStr">
        <is>
          <t>8809789570085</t>
        </is>
      </c>
      <c r="B19602" t="inlineStr">
        <is>
          <t>Skybottle Hair Perfume &amp; Body Mist Spray with Fig Fruit Scent</t>
        </is>
      </c>
      <c r="C19602" t="inlineStr">
        <is>
          <t>Eau De Toilette</t>
        </is>
      </c>
      <c r="D19602" t="inlineStr">
        <is>
          <t>Skybottle</t>
        </is>
      </c>
      <c r="E19602" t="n">
        <v>13.57</v>
      </c>
      <c r="F19602" t="n">
        <v>1</v>
      </c>
      <c r="G19602" t="n">
        <v>4</v>
      </c>
      <c r="H19602" s="5">
        <f>HYPERLINK("https://api.qogita.com/variants/link/8809789570085/", "View Product")</f>
        <v/>
      </c>
    </row>
    <row r="19603">
      <c r="A19603" t="inlineStr">
        <is>
          <t>8809789570634</t>
        </is>
      </c>
      <c r="B19603" t="inlineStr">
        <is>
          <t>Skybottle Refreshing Body Wash Gentle Exfoliating and Cleansing with AHA</t>
        </is>
      </c>
      <c r="C19603" t="inlineStr">
        <is>
          <t>Shower Gel</t>
        </is>
      </c>
      <c r="D19603" t="inlineStr">
        <is>
          <t>Skybottle</t>
        </is>
      </c>
      <c r="E19603" t="n">
        <v>17.55</v>
      </c>
      <c r="F19603" t="n">
        <v>1</v>
      </c>
      <c r="G19603" t="n">
        <v>3</v>
      </c>
      <c r="H19603" s="5">
        <f>HYPERLINK("https://api.qogita.com/variants/link/8809789570634/", "View Product")</f>
        <v/>
      </c>
    </row>
    <row r="19604">
      <c r="A19604" t="inlineStr">
        <is>
          <t>8809800940712</t>
        </is>
      </c>
      <c r="B19604" t="inlineStr">
        <is>
          <t>Isntree Onion Newpair B5 Ampoule - 50 Ml</t>
        </is>
      </c>
      <c r="C19604" t="inlineStr">
        <is>
          <t>Ampoules</t>
        </is>
      </c>
      <c r="D19604" t="inlineStr">
        <is>
          <t>Isntree</t>
        </is>
      </c>
      <c r="E19604" t="n">
        <v>16.23</v>
      </c>
      <c r="F19604" t="n">
        <v>1</v>
      </c>
      <c r="G19604" t="n">
        <v>5</v>
      </c>
      <c r="H19604" s="5">
        <f>HYPERLINK("https://api.qogita.com/variants/link/8809800940712/", "View Product")</f>
        <v/>
      </c>
    </row>
    <row r="19605">
      <c r="A19605" t="inlineStr">
        <is>
          <t>8809800940880</t>
        </is>
      </c>
      <c r="B19605" t="inlineStr">
        <is>
          <t>Isntree Hyper Acid 4 Aha Bha Pha Lha 30 Serum - 20ml</t>
        </is>
      </c>
      <c r="C19605" t="inlineStr">
        <is>
          <t>Glow Serum</t>
        </is>
      </c>
      <c r="D19605" t="inlineStr">
        <is>
          <t>Isntree</t>
        </is>
      </c>
      <c r="E19605" t="n">
        <v>11.65</v>
      </c>
      <c r="F19605" t="n">
        <v>1</v>
      </c>
      <c r="G19605" t="n">
        <v>9</v>
      </c>
      <c r="H19605" s="5">
        <f>HYPERLINK("https://api.qogita.com/variants/link/8809800940880/", "View Product")</f>
        <v/>
      </c>
    </row>
    <row r="19606">
      <c r="A19606" t="inlineStr">
        <is>
          <t>8809844996553</t>
        </is>
      </c>
      <c r="B19606" t="inlineStr">
        <is>
          <t>Dr.Jart+ Cicapair Intensive Soothing Repair Gel Cream with Cica 2 Complex 50ml/1.69 fl. oz.</t>
        </is>
      </c>
      <c r="C19606" t="inlineStr">
        <is>
          <t>Face Cream</t>
        </is>
      </c>
      <c r="D19606" t="inlineStr">
        <is>
          <t>Dr. Jart</t>
        </is>
      </c>
      <c r="E19606" t="n">
        <v>32.08</v>
      </c>
      <c r="F19606" t="n">
        <v>1</v>
      </c>
      <c r="G19606" t="n">
        <v>7</v>
      </c>
      <c r="H19606" s="5">
        <f>HYPERLINK("https://api.qogita.com/variants/link/8809844996553/", "View Product")</f>
        <v/>
      </c>
    </row>
    <row r="19607">
      <c r="A19607" t="inlineStr">
        <is>
          <t>8809844996591</t>
        </is>
      </c>
      <c r="B19607" t="inlineStr">
        <is>
          <t>Dr. Jart+ Cicapair Intensive Soothing Repair Serum - 30 ml</t>
        </is>
      </c>
      <c r="C19607" t="inlineStr">
        <is>
          <t>Hydrating Serum</t>
        </is>
      </c>
      <c r="D19607" t="inlineStr">
        <is>
          <t>Dr. Jart</t>
        </is>
      </c>
      <c r="E19607" t="n">
        <v>36.42</v>
      </c>
      <c r="F19607" t="n">
        <v>1</v>
      </c>
      <c r="G19607" t="n">
        <v>13</v>
      </c>
      <c r="H19607" s="5">
        <f>HYPERLINK("https://api.qogita.com/variants/link/8809844996591/", "View Product")</f>
        <v/>
      </c>
    </row>
    <row r="19608">
      <c r="A19608" t="inlineStr">
        <is>
          <t>8809844996638</t>
        </is>
      </c>
      <c r="B19608" t="inlineStr">
        <is>
          <t>Dr Jart Cicapair Intensive Repairing Tissue Mask Serum 25g</t>
        </is>
      </c>
      <c r="C19608" t="inlineStr">
        <is>
          <t>Sheet Mask</t>
        </is>
      </c>
      <c r="D19608" t="inlineStr">
        <is>
          <t>Dr. Jart</t>
        </is>
      </c>
      <c r="E19608" t="n">
        <v>5.67</v>
      </c>
      <c r="F19608" t="n">
        <v>1</v>
      </c>
      <c r="G19608" t="n">
        <v>11</v>
      </c>
      <c r="H19608" s="5">
        <f>HYPERLINK("https://api.qogita.com/variants/link/8809844996638/", "View Product")</f>
        <v/>
      </c>
    </row>
    <row r="19609">
      <c r="A19609" t="inlineStr">
        <is>
          <t>8809849803641</t>
        </is>
      </c>
      <c r="B19609" t="inlineStr">
        <is>
          <t>Abib Jericho Rose Collagen Pad Firming Touch 60 Pads - Toner Pads with Collagen</t>
        </is>
      </c>
      <c r="C19609" t="inlineStr">
        <is>
          <t>Anti-Aging Facial Care</t>
        </is>
      </c>
      <c r="D19609" t="inlineStr">
        <is>
          <t>Abib</t>
        </is>
      </c>
      <c r="E19609" t="n">
        <v>17.52</v>
      </c>
      <c r="F19609" t="n">
        <v>1</v>
      </c>
      <c r="G19609" t="n">
        <v>6</v>
      </c>
      <c r="H19609" s="5">
        <f>HYPERLINK("https://api.qogita.com/variants/link/8809849803641/", "View Product")</f>
        <v/>
      </c>
    </row>
    <row r="19610">
      <c r="A19610" t="inlineStr">
        <is>
          <t>8809864762398</t>
        </is>
      </c>
      <c r="B19610" t="inlineStr">
        <is>
          <t>Abib Heartleaf Spot Pad Calming Touch Soothing Facial Pads 150ml 80 Pads</t>
        </is>
      </c>
      <c r="C19610" t="inlineStr">
        <is>
          <t>Pimple &amp; Blackhead Treatments</t>
        </is>
      </c>
      <c r="D19610" t="inlineStr">
        <is>
          <t>Abib</t>
        </is>
      </c>
      <c r="E19610" t="n">
        <v>14.56</v>
      </c>
      <c r="F19610" t="n">
        <v>1</v>
      </c>
      <c r="G19610" t="n">
        <v>11</v>
      </c>
      <c r="H19610" s="5">
        <f>HYPERLINK("https://api.qogita.com/variants/link/8809864762398/", "View Product")</f>
        <v/>
      </c>
    </row>
    <row r="19611">
      <c r="A19611" t="inlineStr">
        <is>
          <t>8809864762503</t>
        </is>
      </c>
      <c r="B19611" t="inlineStr">
        <is>
          <t>Abib Heartleaf Calming Cream 2.53 Fl Oz</t>
        </is>
      </c>
      <c r="C19611" t="inlineStr">
        <is>
          <t>Face Cream</t>
        </is>
      </c>
      <c r="D19611" t="inlineStr">
        <is>
          <t>Abib</t>
        </is>
      </c>
      <c r="E19611" t="n">
        <v>19.65</v>
      </c>
      <c r="F19611" t="n">
        <v>1</v>
      </c>
      <c r="G19611" t="n">
        <v>14</v>
      </c>
      <c r="H19611" s="5">
        <f>HYPERLINK("https://api.qogita.com/variants/link/8809864762503/", "View Product")</f>
        <v/>
      </c>
    </row>
    <row r="19612">
      <c r="A19612" t="inlineStr">
        <is>
          <t>8809864766884</t>
        </is>
      </c>
      <c r="B19612" t="inlineStr">
        <is>
          <t>Beauty Of Joseon Matte Sun Stick Mugwort Camelia 18 G Spf 50</t>
        </is>
      </c>
      <c r="C19612" t="inlineStr">
        <is>
          <t>Face Sun Protection</t>
        </is>
      </c>
      <c r="D19612" t="inlineStr">
        <is>
          <t>Beauty Of Joseon</t>
        </is>
      </c>
      <c r="E19612" t="n">
        <v>12.05</v>
      </c>
      <c r="F19612" t="n">
        <v>1</v>
      </c>
      <c r="G19612" t="n">
        <v>43</v>
      </c>
      <c r="H19612" s="5">
        <f>HYPERLINK("https://api.qogita.com/variants/link/8809864766884/", "View Product")</f>
        <v/>
      </c>
    </row>
    <row r="19613">
      <c r="A19613" t="inlineStr">
        <is>
          <t>8809874682679</t>
        </is>
      </c>
      <c r="B19613" t="inlineStr">
        <is>
          <t>Aplb Glutathione Niacinamide Ampoule Serum Lipo Gluta Niac 31.3% 1.35</t>
        </is>
      </c>
      <c r="C19613" t="inlineStr">
        <is>
          <t>Ampoules</t>
        </is>
      </c>
      <c r="D19613" t="inlineStr">
        <is>
          <t>Aplb</t>
        </is>
      </c>
      <c r="E19613" t="n">
        <v>6.95</v>
      </c>
      <c r="F19613" t="n">
        <v>1</v>
      </c>
      <c r="G19613" t="n">
        <v>9</v>
      </c>
      <c r="H19613" s="5">
        <f>HYPERLINK("https://api.qogita.com/variants/link/8809874682679/", "View Product")</f>
        <v/>
      </c>
    </row>
    <row r="19614">
      <c r="A19614" t="inlineStr">
        <is>
          <t>8809874682723</t>
        </is>
      </c>
      <c r="B19614" t="inlineStr">
        <is>
          <t>Aplb Glutathione Niacinamide Facial Cleanser Lipo Gluta Niac 8.6% 2.71</t>
        </is>
      </c>
      <c r="C19614" t="inlineStr">
        <is>
          <t>Facial Cleansing</t>
        </is>
      </c>
      <c r="D19614" t="inlineStr">
        <is>
          <t>Aplb</t>
        </is>
      </c>
      <c r="E19614" t="n">
        <v>8.199999999999999</v>
      </c>
      <c r="F19614" t="n">
        <v>1</v>
      </c>
      <c r="G19614" t="n">
        <v>5</v>
      </c>
      <c r="H19614" s="5">
        <f>HYPERLINK("https://api.qogita.com/variants/link/8809874682723/", "View Product")</f>
        <v/>
      </c>
    </row>
    <row r="19615">
      <c r="A19615" t="inlineStr">
        <is>
          <t>8809874684017</t>
        </is>
      </c>
      <c r="B19615" t="inlineStr">
        <is>
          <t>Aplb Glutathione Niacinamide Toner Pad 60 Pads</t>
        </is>
      </c>
      <c r="C19615" t="inlineStr">
        <is>
          <t>Makeup Remover</t>
        </is>
      </c>
      <c r="D19615" t="inlineStr">
        <is>
          <t>Aplb</t>
        </is>
      </c>
      <c r="E19615" t="n">
        <v>8.210000000000001</v>
      </c>
      <c r="F19615" t="n">
        <v>1</v>
      </c>
      <c r="G19615" t="n">
        <v>7</v>
      </c>
      <c r="H19615" s="5">
        <f>HYPERLINK("https://api.qogita.com/variants/link/8809874684017/", "View Product")</f>
        <v/>
      </c>
    </row>
    <row r="19616">
      <c r="A19616" t="inlineStr">
        <is>
          <t>8809874685267</t>
        </is>
      </c>
      <c r="B19616" t="inlineStr">
        <is>
          <t>Spicule Vitamin C Shot 220 Serum 1.35 Fl Oz 40ml</t>
        </is>
      </c>
      <c r="C19616" t="inlineStr">
        <is>
          <t>Vitamin Serum</t>
        </is>
      </c>
      <c r="D19616" t="inlineStr">
        <is>
          <t>Aplb</t>
        </is>
      </c>
      <c r="E19616" t="n">
        <v>8.109999999999999</v>
      </c>
      <c r="F19616" t="n">
        <v>1</v>
      </c>
      <c r="G19616" t="n">
        <v>2</v>
      </c>
      <c r="H19616" s="5">
        <f>HYPERLINK("https://api.qogita.com/variants/link/8809874685267/", "View Product")</f>
        <v/>
      </c>
    </row>
    <row r="19617">
      <c r="A19617" t="inlineStr">
        <is>
          <t>8809913831181</t>
        </is>
      </c>
      <c r="B19617" t="inlineStr">
        <is>
          <t>Skin1004 Madagascar Centella Cream Moisturizing Cream With Centella Asiatica 30 Ml</t>
        </is>
      </c>
      <c r="C19617" t="inlineStr">
        <is>
          <t>Face Cream</t>
        </is>
      </c>
      <c r="D19617" t="inlineStr">
        <is>
          <t>Skin1004</t>
        </is>
      </c>
      <c r="E19617" t="n">
        <v>6.92</v>
      </c>
      <c r="F19617" t="n">
        <v>1</v>
      </c>
      <c r="G19617" t="n">
        <v>32</v>
      </c>
      <c r="H19617" s="5">
        <f>HYPERLINK("https://api.qogita.com/variants/link/8809913831181/", "View Product")</f>
        <v/>
      </c>
    </row>
    <row r="19618">
      <c r="A19618" t="inlineStr">
        <is>
          <t>8809913831204</t>
        </is>
      </c>
      <c r="B19618" t="inlineStr">
        <is>
          <t>Skin1004 Madagascar Centella Air-Fit Suncream Light 50ml</t>
        </is>
      </c>
      <c r="C19618" t="inlineStr">
        <is>
          <t>Face Sun Protection</t>
        </is>
      </c>
      <c r="D19618" t="inlineStr">
        <is>
          <t>Skin1004</t>
        </is>
      </c>
      <c r="E19618" t="n">
        <v>11.6</v>
      </c>
      <c r="F19618" t="n">
        <v>1</v>
      </c>
      <c r="G19618" t="n">
        <v>6</v>
      </c>
      <c r="H19618" s="5">
        <f>HYPERLINK("https://api.qogita.com/variants/link/8809913831204/", "View Product")</f>
        <v/>
      </c>
    </row>
    <row r="19619">
      <c r="A19619" t="inlineStr">
        <is>
          <t>8809913831235</t>
        </is>
      </c>
      <c r="B19619" t="inlineStr">
        <is>
          <t>Skin1004 Madagascar Centella Poremizing Deep Cleansing Foam 125 Ml</t>
        </is>
      </c>
      <c r="C19619" t="inlineStr">
        <is>
          <t>Cleansing Foam</t>
        </is>
      </c>
      <c r="D19619" t="inlineStr">
        <is>
          <t>Skin1004</t>
        </is>
      </c>
      <c r="E19619" t="n">
        <v>9.130000000000001</v>
      </c>
      <c r="F19619" t="n">
        <v>1</v>
      </c>
      <c r="G19619" t="n">
        <v>36</v>
      </c>
      <c r="H19619" s="5">
        <f>HYPERLINK("https://api.qogita.com/variants/link/8809913831235/", "View Product")</f>
        <v/>
      </c>
    </row>
    <row r="19620">
      <c r="A19620" t="inlineStr">
        <is>
          <t>8809913831242</t>
        </is>
      </c>
      <c r="B19620" t="inlineStr">
        <is>
          <t>Skin1004 Madagascar Centella Poremizing Clear Toner 210ml</t>
        </is>
      </c>
      <c r="C19620" t="inlineStr">
        <is>
          <t>Face Lotion</t>
        </is>
      </c>
      <c r="D19620" t="inlineStr">
        <is>
          <t>Skin1004</t>
        </is>
      </c>
      <c r="E19620" t="n">
        <v>12.1</v>
      </c>
      <c r="F19620" t="n">
        <v>1</v>
      </c>
      <c r="G19620" t="n">
        <v>8</v>
      </c>
      <c r="H19620" s="5">
        <f>HYPERLINK("https://api.qogita.com/variants/link/8809913831242/", "View Product")</f>
        <v/>
      </c>
    </row>
    <row r="19621">
      <c r="A19621" t="inlineStr">
        <is>
          <t>8809928132006</t>
        </is>
      </c>
      <c r="B19621" t="inlineStr">
        <is>
          <t>Tirtir My Glow Mint Lip Oil 0.19 Fl.Oz</t>
        </is>
      </c>
      <c r="C19621" t="inlineStr">
        <is>
          <t>Lip Oil</t>
        </is>
      </c>
      <c r="D19621" t="inlineStr">
        <is>
          <t>Tirtir</t>
        </is>
      </c>
      <c r="E19621" t="n">
        <v>9.859999999999999</v>
      </c>
      <c r="F19621" t="n">
        <v>1</v>
      </c>
      <c r="G19621" t="n">
        <v>5</v>
      </c>
      <c r="H19621" s="5">
        <f>HYPERLINK("https://api.qogita.com/variants/link/8809928132006/", "View Product")</f>
        <v/>
      </c>
    </row>
    <row r="19622">
      <c r="A19622" t="inlineStr">
        <is>
          <t>8809928133249</t>
        </is>
      </c>
      <c r="B19622" t="inlineStr">
        <is>
          <t>Tirtir Mask Fit Red Cushion Long-Lasting Foundation In Cushion 24n Latte 18g</t>
        </is>
      </c>
      <c r="C19622" t="inlineStr">
        <is>
          <t>Foundation</t>
        </is>
      </c>
      <c r="D19622" t="inlineStr">
        <is>
          <t>Tirtir</t>
        </is>
      </c>
      <c r="E19622" t="n">
        <v>18.82</v>
      </c>
      <c r="F19622" t="n">
        <v>1</v>
      </c>
      <c r="G19622" t="n">
        <v>7</v>
      </c>
      <c r="H19622" s="5">
        <f>HYPERLINK("https://api.qogita.com/variants/link/8809928133249/", "View Product")</f>
        <v/>
      </c>
    </row>
    <row r="19623">
      <c r="A19623" t="inlineStr">
        <is>
          <t>8809928133263</t>
        </is>
      </c>
      <c r="B19623" t="inlineStr">
        <is>
          <t>Tirtir Mask Fit Red Cushion Foundation - Japan's No.1 Choice for Glass Skin</t>
        </is>
      </c>
      <c r="C19623" t="inlineStr">
        <is>
          <t>Foundation</t>
        </is>
      </c>
      <c r="D19623" t="inlineStr">
        <is>
          <t>Tirtir</t>
        </is>
      </c>
      <c r="E19623" t="n">
        <v>21.35</v>
      </c>
      <c r="F19623" t="n">
        <v>1</v>
      </c>
      <c r="G19623" t="n">
        <v>5</v>
      </c>
      <c r="H19623" s="5">
        <f>HYPERLINK("https://api.qogita.com/variants/link/8809928133263/", "View Product")</f>
        <v/>
      </c>
    </row>
    <row r="19624">
      <c r="A19624" t="inlineStr">
        <is>
          <t>8809928134871</t>
        </is>
      </c>
      <c r="B19624" t="inlineStr">
        <is>
          <t>Tirtir Mask Fit Red Cushion Long-Lasting Foundation In Cushion 17w French Vanilla 18g</t>
        </is>
      </c>
      <c r="C19624" t="inlineStr">
        <is>
          <t>Foundation</t>
        </is>
      </c>
      <c r="D19624" t="inlineStr">
        <is>
          <t>Tirtir</t>
        </is>
      </c>
      <c r="E19624" t="n">
        <v>21.35</v>
      </c>
      <c r="F19624" t="n">
        <v>1</v>
      </c>
      <c r="G19624" t="n">
        <v>5</v>
      </c>
      <c r="H19624" s="5">
        <f>HYPERLINK("https://api.qogita.com/variants/link/8809928134871/", "View Product")</f>
        <v/>
      </c>
    </row>
    <row r="19625">
      <c r="A19625" t="inlineStr">
        <is>
          <t>8809937360483</t>
        </is>
      </c>
      <c r="B19625" t="inlineStr">
        <is>
          <t>Biodanc Micro Dual Serum Toner 150ml - Two-Phase Facial Toner</t>
        </is>
      </c>
      <c r="C19625" t="inlineStr">
        <is>
          <t>Facial Spray</t>
        </is>
      </c>
      <c r="D19625" t="inlineStr">
        <is>
          <t>Biodance</t>
        </is>
      </c>
      <c r="E19625" t="n">
        <v>16.92</v>
      </c>
      <c r="F19625" t="n">
        <v>1</v>
      </c>
      <c r="G19625" t="n">
        <v>22</v>
      </c>
      <c r="H19625" s="5">
        <f>HYPERLINK("https://api.qogita.com/variants/link/8809937360483/", "View Product")</f>
        <v/>
      </c>
    </row>
    <row r="19626">
      <c r="A19626" t="inlineStr">
        <is>
          <t>8809937361671</t>
        </is>
      </c>
      <c r="B19626" t="inlineStr">
        <is>
          <t>Biodance Pore Tightening Anti-Aging Serum Collagen Ampoule - 50 Ml</t>
        </is>
      </c>
      <c r="C19626" t="inlineStr">
        <is>
          <t>Anti-Aging Serum</t>
        </is>
      </c>
      <c r="D19626" t="inlineStr">
        <is>
          <t>Biodance</t>
        </is>
      </c>
      <c r="E19626" t="n">
        <v>41.6</v>
      </c>
      <c r="F19626" t="n">
        <v>1</v>
      </c>
      <c r="G19626" t="n">
        <v>18</v>
      </c>
      <c r="H19626" s="5">
        <f>HYPERLINK("https://api.qogita.com/variants/link/8809937361671/", "View Product")</f>
        <v/>
      </c>
    </row>
    <row r="19627">
      <c r="A19627" t="inlineStr">
        <is>
          <t>8809968130246</t>
        </is>
      </c>
      <c r="B19627" t="inlineStr">
        <is>
          <t>Beauty Of Joseon Ground Rice And Honey Glow Mask 150ml</t>
        </is>
      </c>
      <c r="C19627" t="inlineStr">
        <is>
          <t>Glow Mask</t>
        </is>
      </c>
      <c r="D19627" t="inlineStr">
        <is>
          <t>Beauty Of Joseon</t>
        </is>
      </c>
      <c r="E19627" t="n">
        <v>13.36</v>
      </c>
      <c r="F19627" t="n">
        <v>1</v>
      </c>
      <c r="G19627" t="n">
        <v>42</v>
      </c>
      <c r="H19627" s="5">
        <f>HYPERLINK("https://api.qogita.com/variants/link/8809968130246/", "View Product")</f>
        <v/>
      </c>
    </row>
    <row r="19628">
      <c r="A19628" t="inlineStr">
        <is>
          <t>8809968130277</t>
        </is>
      </c>
      <c r="B19628" t="inlineStr">
        <is>
          <t>Beauty Of Joseon Relief Sun Aqua-Fresh Rice + B5 Sunscreen - 50ml</t>
        </is>
      </c>
      <c r="C19628" t="inlineStr">
        <is>
          <t>Face Sun Protection</t>
        </is>
      </c>
      <c r="D19628" t="inlineStr">
        <is>
          <t>Beauty Of Joseon</t>
        </is>
      </c>
      <c r="E19628" t="n">
        <v>12.47</v>
      </c>
      <c r="F19628" t="n">
        <v>1</v>
      </c>
      <c r="G19628" t="n">
        <v>30</v>
      </c>
      <c r="H19628" s="5">
        <f>HYPERLINK("https://api.qogita.com/variants/link/8809968130277/", "View Product")</f>
        <v/>
      </c>
    </row>
    <row r="19629">
      <c r="A19629" t="inlineStr">
        <is>
          <t>8809990007417</t>
        </is>
      </c>
      <c r="B19629" t="inlineStr">
        <is>
          <t>Skybottle Perfume Hand Cream Spring Fever</t>
        </is>
      </c>
      <c r="C19629" t="inlineStr">
        <is>
          <t>Hand Cream</t>
        </is>
      </c>
      <c r="D19629" t="inlineStr">
        <is>
          <t>Skybottle</t>
        </is>
      </c>
      <c r="E19629" t="n">
        <v>8.84</v>
      </c>
      <c r="F19629" t="n">
        <v>1</v>
      </c>
      <c r="G19629" t="n">
        <v>4</v>
      </c>
      <c r="H19629" s="5">
        <f>HYPERLINK("https://api.qogita.com/variants/link/8809990007417/", "View Product")</f>
        <v/>
      </c>
    </row>
    <row r="19630">
      <c r="A19630" t="inlineStr">
        <is>
          <t>9003877057215</t>
        </is>
      </c>
      <c r="B19630" t="inlineStr">
        <is>
          <t>Refectocil Eyelash Tint For Fair Lashes 21 Deep Blue 15 Ml</t>
        </is>
      </c>
      <c r="C19630" t="inlineStr">
        <is>
          <t>Eyebrow Dye</t>
        </is>
      </c>
      <c r="D19630" t="inlineStr">
        <is>
          <t>Refectocil</t>
        </is>
      </c>
      <c r="E19630" t="n">
        <v>4.04</v>
      </c>
      <c r="F19630" t="n">
        <v>1</v>
      </c>
      <c r="G19630" t="n">
        <v>2</v>
      </c>
      <c r="H19630" s="5">
        <f>HYPERLINK("https://api.qogita.com/variants/link/9003877057215/", "View Product")</f>
        <v/>
      </c>
    </row>
    <row r="19631">
      <c r="A19631" t="inlineStr">
        <is>
          <t>9003877057406</t>
        </is>
      </c>
      <c r="B19631" t="inlineStr">
        <is>
          <t>Refectocil Eyelash and Eyebrow Tint 4.1 Red 15ml</t>
        </is>
      </c>
      <c r="C19631" t="inlineStr">
        <is>
          <t>Eyebrow Dye</t>
        </is>
      </c>
      <c r="D19631" t="inlineStr">
        <is>
          <t>Refectocil</t>
        </is>
      </c>
      <c r="E19631" t="n">
        <v>5.27</v>
      </c>
      <c r="F19631" t="n">
        <v>1</v>
      </c>
      <c r="G19631" t="n">
        <v>8</v>
      </c>
      <c r="H19631" s="5">
        <f>HYPERLINK("https://api.qogita.com/variants/link/9003877057406/", "View Product")</f>
        <v/>
      </c>
    </row>
    <row r="19632">
      <c r="A19632" t="inlineStr">
        <is>
          <t>9003877057413</t>
        </is>
      </c>
      <c r="B19632" t="inlineStr">
        <is>
          <t>Refectocil Eyelash And Eyebrow Tint 4 Chestnut 15ml</t>
        </is>
      </c>
      <c r="C19632" t="inlineStr">
        <is>
          <t>Eyebrow Dye</t>
        </is>
      </c>
      <c r="D19632" t="inlineStr">
        <is>
          <t>Refectocil</t>
        </is>
      </c>
      <c r="E19632" t="n">
        <v>4.9</v>
      </c>
      <c r="F19632" t="n">
        <v>1</v>
      </c>
      <c r="G19632" t="n">
        <v>4</v>
      </c>
      <c r="H19632" s="5">
        <f>HYPERLINK("https://api.qogita.com/variants/link/9003877057413/", "View Product")</f>
        <v/>
      </c>
    </row>
    <row r="19633">
      <c r="A19633" t="inlineStr">
        <is>
          <t>9003877057987</t>
        </is>
      </c>
      <c r="B19633" t="inlineStr">
        <is>
          <t>Refectocil 5 Piece Makeup Brush Set</t>
        </is>
      </c>
      <c r="C19633" t="inlineStr">
        <is>
          <t>Brush Sets</t>
        </is>
      </c>
      <c r="D19633" t="inlineStr">
        <is>
          <t>Refectocil</t>
        </is>
      </c>
      <c r="E19633" t="n">
        <v>3.56</v>
      </c>
      <c r="F19633" t="n">
        <v>1</v>
      </c>
      <c r="G19633" t="n">
        <v>31</v>
      </c>
      <c r="H19633" s="5">
        <f>HYPERLINK("https://api.qogita.com/variants/link/9003877057987/", "View Product")</f>
        <v/>
      </c>
    </row>
    <row r="19634">
      <c r="A19634" t="inlineStr">
        <is>
          <t>9003877901150</t>
        </is>
      </c>
      <c r="B19634" t="inlineStr">
        <is>
          <t>Refectocil Saline Solution 150ml</t>
        </is>
      </c>
      <c r="C19634" t="inlineStr">
        <is>
          <t>Eye Cream</t>
        </is>
      </c>
      <c r="D19634" t="inlineStr">
        <is>
          <t>Refectocil</t>
        </is>
      </c>
      <c r="E19634" t="n">
        <v>5.58</v>
      </c>
      <c r="F19634" t="n">
        <v>1</v>
      </c>
      <c r="G19634" t="n">
        <v>2</v>
      </c>
      <c r="H19634" s="5">
        <f>HYPERLINK("https://api.qogita.com/variants/link/9003877901150/", "View Product")</f>
        <v/>
      </c>
    </row>
    <row r="19635">
      <c r="A19635" t="inlineStr">
        <is>
          <t>9003877901174</t>
        </is>
      </c>
      <c r="B19635" t="inlineStr">
        <is>
          <t>Refectocil Oxidant Liquid 3% 10 Vol 100ml - Hair Color Developer</t>
        </is>
      </c>
      <c r="C19635" t="inlineStr">
        <is>
          <t>Hair Dye</t>
        </is>
      </c>
      <c r="D19635" t="inlineStr">
        <is>
          <t>Refectocil</t>
        </is>
      </c>
      <c r="E19635" t="n">
        <v>4.17</v>
      </c>
      <c r="F19635" t="n">
        <v>1</v>
      </c>
      <c r="G19635" t="n">
        <v>11</v>
      </c>
      <c r="H19635" s="5">
        <f>HYPERLINK("https://api.qogita.com/variants/link/9003877901174/", "View Product")</f>
        <v/>
      </c>
    </row>
    <row r="19636">
      <c r="A19636" t="inlineStr">
        <is>
          <t>9003877905141</t>
        </is>
      </c>
      <c r="B19636" t="inlineStr">
        <is>
          <t>Refectocil Full Brow Liner Automatic Eyebrow Pencil 01 6g</t>
        </is>
      </c>
      <c r="C19636" t="inlineStr">
        <is>
          <t>Eyebrow Pencil</t>
        </is>
      </c>
      <c r="D19636" t="inlineStr">
        <is>
          <t>Refectocil</t>
        </is>
      </c>
      <c r="E19636" t="n">
        <v>14.96</v>
      </c>
      <c r="F19636" t="n">
        <v>1</v>
      </c>
      <c r="G19636" t="n">
        <v>6</v>
      </c>
      <c r="H19636" s="5">
        <f>HYPERLINK("https://api.qogita.com/variants/link/9003877905141/", "View Product")</f>
        <v/>
      </c>
    </row>
    <row r="19637">
      <c r="A19637" t="inlineStr">
        <is>
          <t>9003877906971</t>
        </is>
      </c>
      <c r="B19637" t="inlineStr">
        <is>
          <t>Refectocil Colour For Eyelashes And Eyebrows - 15 Ml</t>
        </is>
      </c>
      <c r="C19637" t="inlineStr">
        <is>
          <t>Eyebrow Dye</t>
        </is>
      </c>
      <c r="D19637" t="inlineStr">
        <is>
          <t>Refectocil</t>
        </is>
      </c>
      <c r="E19637" t="n">
        <v>4.71</v>
      </c>
      <c r="F19637" t="n">
        <v>1</v>
      </c>
      <c r="G19637" t="n">
        <v>10</v>
      </c>
      <c r="H19637" s="5">
        <f>HYPERLINK("https://api.qogita.com/variants/link/9003877906971/", "View Product")</f>
        <v/>
      </c>
    </row>
    <row r="19638">
      <c r="A19638" t="inlineStr">
        <is>
          <t>9003877908227</t>
        </is>
      </c>
      <c r="B19638" t="inlineStr">
        <is>
          <t>RefectoCil Starter Kit Basic</t>
        </is>
      </c>
      <c r="C19638" t="inlineStr">
        <is>
          <t>Hair Dye</t>
        </is>
      </c>
      <c r="D19638" t="inlineStr">
        <is>
          <t>Refectocil</t>
        </is>
      </c>
      <c r="E19638" t="n">
        <v>47.81</v>
      </c>
      <c r="F19638" t="n">
        <v>1</v>
      </c>
      <c r="G19638" t="n">
        <v>2</v>
      </c>
      <c r="H19638" s="5">
        <f>HYPERLINK("https://api.qogita.com/variants/link/9003877908227/", "View Product")</f>
        <v/>
      </c>
    </row>
    <row r="19639">
      <c r="A19639" t="inlineStr">
        <is>
          <t>9004432830335</t>
        </is>
      </c>
      <c r="B19639" t="inlineStr">
        <is>
          <t>Aroma Derm Contour Cream 150ml</t>
        </is>
      </c>
      <c r="C19639" t="inlineStr">
        <is>
          <t>Face Cream</t>
        </is>
      </c>
      <c r="D19639" t="inlineStr">
        <is>
          <t>Styx</t>
        </is>
      </c>
      <c r="E19639" t="n">
        <v>26.69</v>
      </c>
      <c r="F19639" t="n">
        <v>1</v>
      </c>
      <c r="G19639" t="n">
        <v>45</v>
      </c>
      <c r="H19639" s="5">
        <f>HYPERLINK("https://api.qogita.com/variants/link/9004432830335/", "View Product")</f>
        <v/>
      </c>
    </row>
    <row r="19640">
      <c r="A19640" t="inlineStr">
        <is>
          <t>9005800218540</t>
        </is>
      </c>
      <c r="B19640" t="inlineStr">
        <is>
          <t>Nivea Creme Soft Care Shower Gel 750ml</t>
        </is>
      </c>
      <c r="C19640" t="inlineStr">
        <is>
          <t>Shower Gel</t>
        </is>
      </c>
      <c r="D19640" t="inlineStr">
        <is>
          <t>Nivea</t>
        </is>
      </c>
      <c r="E19640" t="n">
        <v>6.52</v>
      </c>
      <c r="F19640" t="n">
        <v>1</v>
      </c>
      <c r="G19640" t="n">
        <v>8</v>
      </c>
      <c r="H19640" s="5">
        <f>HYPERLINK("https://api.qogita.com/variants/link/9005800218540/", "View Product")</f>
        <v/>
      </c>
    </row>
    <row r="19641">
      <c r="A19641" t="inlineStr">
        <is>
          <t>9005800222868</t>
        </is>
      </c>
      <c r="B19641" t="inlineStr">
        <is>
          <t>Nivea Diamond Touch Shower Gel</t>
        </is>
      </c>
      <c r="C19641" t="inlineStr">
        <is>
          <t>Shower Gel</t>
        </is>
      </c>
      <c r="D19641" t="inlineStr">
        <is>
          <t>Nivea</t>
        </is>
      </c>
      <c r="E19641" t="n">
        <v>2.89</v>
      </c>
      <c r="F19641" t="n">
        <v>1</v>
      </c>
      <c r="G19641" t="n">
        <v>5</v>
      </c>
      <c r="H19641" s="5">
        <f>HYPERLINK("https://api.qogita.com/variants/link/9005800222868/", "View Product")</f>
        <v/>
      </c>
    </row>
    <row r="19642">
      <c r="A19642" t="inlineStr">
        <is>
          <t>9005800222943</t>
        </is>
      </c>
      <c r="B19642" t="inlineStr">
        <is>
          <t>Nivea Hawaii Flower &amp; Oil Shower Gel 250ml</t>
        </is>
      </c>
      <c r="C19642" t="inlineStr">
        <is>
          <t>Shower Gel</t>
        </is>
      </c>
      <c r="D19642" t="inlineStr">
        <is>
          <t>Nivea</t>
        </is>
      </c>
      <c r="E19642" t="n">
        <v>2.89</v>
      </c>
      <c r="F19642" t="n">
        <v>1</v>
      </c>
      <c r="G19642" t="n">
        <v>2</v>
      </c>
      <c r="H19642" s="5">
        <f>HYPERLINK("https://api.qogita.com/variants/link/9005800222943/", "View Product")</f>
        <v/>
      </c>
    </row>
    <row r="19643">
      <c r="A19643" t="inlineStr">
        <is>
          <t>9005800222967</t>
        </is>
      </c>
      <c r="B19643" t="inlineStr">
        <is>
          <t>Nivea Lemongrass Oil Shower Gel 250 Ml</t>
        </is>
      </c>
      <c r="C19643" t="inlineStr">
        <is>
          <t>Shower Gel</t>
        </is>
      </c>
      <c r="D19643" t="inlineStr">
        <is>
          <t>Nivea</t>
        </is>
      </c>
      <c r="E19643" t="n">
        <v>2.89</v>
      </c>
      <c r="F19643" t="n">
        <v>1</v>
      </c>
      <c r="G19643" t="n">
        <v>5</v>
      </c>
      <c r="H19643" s="5">
        <f>HYPERLINK("https://api.qogita.com/variants/link/9005800222967/", "View Product")</f>
        <v/>
      </c>
    </row>
    <row r="19644">
      <c r="A19644" t="inlineStr">
        <is>
          <t>9005800224473</t>
        </is>
      </c>
      <c r="B19644" t="inlineStr">
        <is>
          <t>Nivea Men Protect &amp; Care Shower Gel 500ml</t>
        </is>
      </c>
      <c r="C19644" t="inlineStr">
        <is>
          <t>Shower Gel</t>
        </is>
      </c>
      <c r="D19644" t="inlineStr">
        <is>
          <t>Nivea</t>
        </is>
      </c>
      <c r="E19644" t="n">
        <v>6</v>
      </c>
      <c r="F19644" t="n">
        <v>1</v>
      </c>
      <c r="G19644" t="n">
        <v>5</v>
      </c>
      <c r="H19644" s="5">
        <f>HYPERLINK("https://api.qogita.com/variants/link/9005800224473/", "View Product")</f>
        <v/>
      </c>
    </row>
    <row r="19645">
      <c r="A19645" t="inlineStr">
        <is>
          <t>9005800244631</t>
        </is>
      </c>
      <c r="B19645" t="inlineStr">
        <is>
          <t>Nivea Men After Shave Balm Sensitive Cool - 100ml</t>
        </is>
      </c>
      <c r="C19645" t="inlineStr">
        <is>
          <t>Aftershave</t>
        </is>
      </c>
      <c r="D19645" t="inlineStr">
        <is>
          <t>Nivea</t>
        </is>
      </c>
      <c r="E19645" t="n">
        <v>6.71</v>
      </c>
      <c r="F19645" t="n">
        <v>1</v>
      </c>
      <c r="G19645" t="n">
        <v>5</v>
      </c>
      <c r="H19645" s="5">
        <f>HYPERLINK("https://api.qogita.com/variants/link/9005800244631/", "View Product")</f>
        <v/>
      </c>
    </row>
    <row r="19646">
      <c r="A19646" t="inlineStr">
        <is>
          <t>9005800282503</t>
        </is>
      </c>
      <c r="B19646" t="inlineStr">
        <is>
          <t>Nivea Creme Soft Care Shower Gel 500ml</t>
        </is>
      </c>
      <c r="C19646" t="inlineStr">
        <is>
          <t>Shower Gel</t>
        </is>
      </c>
      <c r="D19646" t="inlineStr">
        <is>
          <t>Nivea</t>
        </is>
      </c>
      <c r="E19646" t="n">
        <v>5.91</v>
      </c>
      <c r="F19646" t="n">
        <v>1</v>
      </c>
      <c r="G19646" t="n">
        <v>7</v>
      </c>
      <c r="H19646" s="5">
        <f>HYPERLINK("https://api.qogita.com/variants/link/9005800282503/", "View Product")</f>
        <v/>
      </c>
    </row>
    <row r="19647">
      <c r="A19647" t="inlineStr">
        <is>
          <t>9005800282695</t>
        </is>
      </c>
      <c r="B19647" t="inlineStr">
        <is>
          <t>Nivea Black &amp; White Original Antiperspirant For Men 200 Ml</t>
        </is>
      </c>
      <c r="C19647" t="inlineStr">
        <is>
          <t>Deodorant &amp; Anti-Perspirant</t>
        </is>
      </c>
      <c r="D19647" t="inlineStr">
        <is>
          <t>Nivea</t>
        </is>
      </c>
      <c r="E19647" t="n">
        <v>5.86</v>
      </c>
      <c r="F19647" t="n">
        <v>1</v>
      </c>
      <c r="G19647" t="n">
        <v>5</v>
      </c>
      <c r="H19647" s="5">
        <f>HYPERLINK("https://api.qogita.com/variants/link/9005800282695/", "View Product")</f>
        <v/>
      </c>
    </row>
    <row r="19648">
      <c r="A19648" t="inlineStr">
        <is>
          <t>9005800283685</t>
        </is>
      </c>
      <c r="B19648" t="inlineStr">
        <is>
          <t>Nivea Regenerating Hair Care &amp; Hold Hairspray 250 Ml</t>
        </is>
      </c>
      <c r="C19648" t="inlineStr">
        <is>
          <t>Hairspray</t>
        </is>
      </c>
      <c r="D19648" t="inlineStr">
        <is>
          <t>Nivea</t>
        </is>
      </c>
      <c r="E19648" t="n">
        <v>5.9</v>
      </c>
      <c r="F19648" t="n">
        <v>1</v>
      </c>
      <c r="G19648" t="n">
        <v>18</v>
      </c>
      <c r="H19648" s="5">
        <f>HYPERLINK("https://api.qogita.com/variants/link/9005800283685/", "View Product")</f>
        <v/>
      </c>
    </row>
    <row r="19649">
      <c r="A19649" t="inlineStr">
        <is>
          <t>9005800286785</t>
        </is>
      </c>
      <c r="B19649" t="inlineStr">
        <is>
          <t>Nivea Regenerating Lotion Repair &amp; Care</t>
        </is>
      </c>
      <c r="C19649" t="inlineStr">
        <is>
          <t>Body Lotion</t>
        </is>
      </c>
      <c r="D19649" t="inlineStr">
        <is>
          <t>Nivea</t>
        </is>
      </c>
      <c r="E19649" t="n">
        <v>8.34</v>
      </c>
      <c r="F19649" t="n">
        <v>1</v>
      </c>
      <c r="G19649" t="n">
        <v>2</v>
      </c>
      <c r="H19649" s="5">
        <f>HYPERLINK("https://api.qogita.com/variants/link/9005800286785/", "View Product")</f>
        <v/>
      </c>
    </row>
    <row r="19650">
      <c r="A19650" t="inlineStr">
        <is>
          <t>9005800299914</t>
        </is>
      </c>
      <c r="B19650" t="inlineStr">
        <is>
          <t>Nivea Micellair Micellar Water 3in1 400 Ml For Dry And Sensitive Skin</t>
        </is>
      </c>
      <c r="C19650" t="inlineStr">
        <is>
          <t>Micellar Water</t>
        </is>
      </c>
      <c r="D19650" t="inlineStr">
        <is>
          <t>Nivea</t>
        </is>
      </c>
      <c r="E19650" t="n">
        <v>8.33</v>
      </c>
      <c r="F19650" t="n">
        <v>1</v>
      </c>
      <c r="G19650" t="n">
        <v>7</v>
      </c>
      <c r="H19650" s="5">
        <f>HYPERLINK("https://api.qogita.com/variants/link/9005800299914/", "View Product")</f>
        <v/>
      </c>
    </row>
    <row r="19651">
      <c r="A19651" t="inlineStr">
        <is>
          <t>9005800301556</t>
        </is>
      </c>
      <c r="B19651" t="inlineStr">
        <is>
          <t>Nivea Fresh Revive Dry Shampoo For Dark Hair Shades 200ml</t>
        </is>
      </c>
      <c r="C19651" t="inlineStr">
        <is>
          <t>Dry Shampoo</t>
        </is>
      </c>
      <c r="D19651" t="inlineStr">
        <is>
          <t>Nivea</t>
        </is>
      </c>
      <c r="E19651" t="n">
        <v>6.64</v>
      </c>
      <c r="F19651" t="n">
        <v>1</v>
      </c>
      <c r="G19651" t="n">
        <v>7</v>
      </c>
      <c r="H19651" s="5">
        <f>HYPERLINK("https://api.qogita.com/variants/link/9005800301556/", "View Product")</f>
        <v/>
      </c>
    </row>
    <row r="19652">
      <c r="A19652" t="inlineStr">
        <is>
          <t>9005800302997</t>
        </is>
      </c>
      <c r="B19652" t="inlineStr">
        <is>
          <t>Nivea Q10 Plus Spf 30 Day Cream Firming Antiwrinkle Day Cream 50 Ml</t>
        </is>
      </c>
      <c r="C19652" t="inlineStr">
        <is>
          <t>Day Cream</t>
        </is>
      </c>
      <c r="D19652" t="inlineStr">
        <is>
          <t>Nivea</t>
        </is>
      </c>
      <c r="E19652" t="n">
        <v>7.6</v>
      </c>
      <c r="F19652" t="n">
        <v>1</v>
      </c>
      <c r="G19652" t="n">
        <v>11</v>
      </c>
      <c r="H19652" s="5">
        <f>HYPERLINK("https://api.qogita.com/variants/link/9005800302997/", "View Product")</f>
        <v/>
      </c>
    </row>
    <row r="19653">
      <c r="A19653" t="inlineStr">
        <is>
          <t>9005800304540</t>
        </is>
      </c>
      <c r="B19653" t="inlineStr">
        <is>
          <t>Nivea - Two Phase Micellar Water With Rose Water Micellar Rose Water 400 Ml</t>
        </is>
      </c>
      <c r="C19653" t="inlineStr">
        <is>
          <t>Micellar Water</t>
        </is>
      </c>
      <c r="D19653" t="inlineStr">
        <is>
          <t>Nivea</t>
        </is>
      </c>
      <c r="E19653" t="n">
        <v>9.16</v>
      </c>
      <c r="F19653" t="n">
        <v>1</v>
      </c>
      <c r="G19653" t="n">
        <v>5</v>
      </c>
      <c r="H19653" s="5">
        <f>HYPERLINK("https://api.qogita.com/variants/link/9005800304540/", "View Product")</f>
        <v/>
      </c>
    </row>
    <row r="19654">
      <c r="A19654" t="inlineStr">
        <is>
          <t>9005800318332</t>
        </is>
      </c>
      <c r="B19654" t="inlineStr">
        <is>
          <t>Nivea Men Craft Stylers Defining Semimatt Hair Gel 150 Ml</t>
        </is>
      </c>
      <c r="C19654" t="inlineStr">
        <is>
          <t>Gel</t>
        </is>
      </c>
      <c r="D19654" t="inlineStr">
        <is>
          <t>Nivea</t>
        </is>
      </c>
      <c r="E19654" t="n">
        <v>6</v>
      </c>
      <c r="F19654" t="n">
        <v>1</v>
      </c>
      <c r="G19654" t="n">
        <v>5</v>
      </c>
      <c r="H19654" s="5">
        <f>HYPERLINK("https://api.qogita.com/variants/link/9005800318332/", "View Product")</f>
        <v/>
      </c>
    </row>
    <row r="19655">
      <c r="A19655" t="inlineStr">
        <is>
          <t>9005800326696</t>
        </is>
      </c>
      <c r="B19655" t="inlineStr">
        <is>
          <t>Nivea Q10 Firming + Bronze Body Lotion With Bronzing Effect 400ml</t>
        </is>
      </c>
      <c r="C19655" t="inlineStr">
        <is>
          <t>Body Lotion</t>
        </is>
      </c>
      <c r="D19655" t="inlineStr">
        <is>
          <t>Nivea</t>
        </is>
      </c>
      <c r="E19655" t="n">
        <v>12.14</v>
      </c>
      <c r="F19655" t="n">
        <v>1</v>
      </c>
      <c r="G19655" t="n">
        <v>8</v>
      </c>
      <c r="H19655" s="5">
        <f>HYPERLINK("https://api.qogita.com/variants/link/9005800326696/", "View Product")</f>
        <v/>
      </c>
    </row>
    <row r="19656">
      <c r="A19656" t="inlineStr">
        <is>
          <t>9005800326788</t>
        </is>
      </c>
      <c r="B19656" t="inlineStr">
        <is>
          <t>Nivea After Sun Bronze Lotion Aloe Vera 200 Ml Moisturizing After Sun Lotion</t>
        </is>
      </c>
      <c r="C19656" t="inlineStr">
        <is>
          <t>Aftersun</t>
        </is>
      </c>
      <c r="D19656" t="inlineStr">
        <is>
          <t>Nivea</t>
        </is>
      </c>
      <c r="E19656" t="n">
        <v>9.779999999999999</v>
      </c>
      <c r="F19656" t="n">
        <v>1</v>
      </c>
      <c r="G19656" t="n">
        <v>10</v>
      </c>
      <c r="H19656" s="5">
        <f>HYPERLINK("https://api.qogita.com/variants/link/9005800326788/", "View Product")</f>
        <v/>
      </c>
    </row>
    <row r="19657">
      <c r="A19657" t="inlineStr">
        <is>
          <t>9005800333601</t>
        </is>
      </c>
      <c r="B19657" t="inlineStr">
        <is>
          <t>Nivea Fresh Citrus Antiperspirant Spray 150 Ml 48h Protection</t>
        </is>
      </c>
      <c r="C19657" t="inlineStr">
        <is>
          <t>Deodorant &amp; Anti-Perspirant</t>
        </is>
      </c>
      <c r="D19657" t="inlineStr">
        <is>
          <t>Nivea</t>
        </is>
      </c>
      <c r="E19657" t="n">
        <v>5.23</v>
      </c>
      <c r="F19657" t="n">
        <v>1</v>
      </c>
      <c r="G19657" t="n">
        <v>12</v>
      </c>
      <c r="H19657" s="5">
        <f>HYPERLINK("https://api.qogita.com/variants/link/9005800333601/", "View Product")</f>
        <v/>
      </c>
    </row>
    <row r="19658">
      <c r="A19658" t="inlineStr">
        <is>
          <t>9005800341637</t>
        </is>
      </c>
      <c r="B19658" t="inlineStr">
        <is>
          <t>Nivea Men Active Energy Shower Gel</t>
        </is>
      </c>
      <c r="C19658" t="inlineStr">
        <is>
          <t>Shower Gel</t>
        </is>
      </c>
      <c r="D19658" t="inlineStr">
        <is>
          <t>Nivea</t>
        </is>
      </c>
      <c r="E19658" t="n">
        <v>4.73</v>
      </c>
      <c r="F19658" t="n">
        <v>1</v>
      </c>
      <c r="G19658" t="n">
        <v>6</v>
      </c>
      <c r="H19658" s="5">
        <f>HYPERLINK("https://api.qogita.com/variants/link/9005800341637/", "View Product")</f>
        <v/>
      </c>
    </row>
    <row r="19659">
      <c r="A19659" t="inlineStr">
        <is>
          <t>9005800352305</t>
        </is>
      </c>
      <c r="B19659" t="inlineStr">
        <is>
          <t>Nivea Fresh Natural Deodorant 50 Ml</t>
        </is>
      </c>
      <c r="C19659" t="inlineStr">
        <is>
          <t>Deodorant &amp; Anti-Perspirant</t>
        </is>
      </c>
      <c r="D19659" t="inlineStr">
        <is>
          <t>Nivea</t>
        </is>
      </c>
      <c r="E19659" t="n">
        <v>5.23</v>
      </c>
      <c r="F19659" t="n">
        <v>1</v>
      </c>
      <c r="G19659" t="n">
        <v>5</v>
      </c>
      <c r="H19659" s="5">
        <f>HYPERLINK("https://api.qogita.com/variants/link/9005800352305/", "View Product")</f>
        <v/>
      </c>
    </row>
    <row r="19660">
      <c r="A19660" t="inlineStr">
        <is>
          <t>9005800352329</t>
        </is>
      </c>
      <c r="B19660" t="inlineStr">
        <is>
          <t>Nivea Black &amp; White Invisible Silky Smooth Antiperspirant 50 Ml For Sensitive Skin</t>
        </is>
      </c>
      <c r="C19660" t="inlineStr">
        <is>
          <t>Deodorant &amp; Anti-Perspirant</t>
        </is>
      </c>
      <c r="D19660" t="inlineStr">
        <is>
          <t>Nivea</t>
        </is>
      </c>
      <c r="E19660" t="n">
        <v>4.04</v>
      </c>
      <c r="F19660" t="n">
        <v>1</v>
      </c>
      <c r="G19660" t="n">
        <v>2</v>
      </c>
      <c r="H19660" s="5">
        <f>HYPERLINK("https://api.qogita.com/variants/link/9005800352329/", "View Product")</f>
        <v/>
      </c>
    </row>
    <row r="19661">
      <c r="A19661" t="inlineStr">
        <is>
          <t>9005800352992</t>
        </is>
      </c>
      <c r="B19661" t="inlineStr">
        <is>
          <t>Nivea Men Anti Grease Shampoo 400 Ml</t>
        </is>
      </c>
      <c r="C19661" t="inlineStr">
        <is>
          <t>Shampoo</t>
        </is>
      </c>
      <c r="D19661" t="inlineStr">
        <is>
          <t>Nivea</t>
        </is>
      </c>
      <c r="E19661" t="n">
        <v>3.39</v>
      </c>
      <c r="F19661" t="n">
        <v>1</v>
      </c>
      <c r="G19661" t="n">
        <v>5</v>
      </c>
      <c r="H19661" s="5">
        <f>HYPERLINK("https://api.qogita.com/variants/link/9005800352992/", "View Product")</f>
        <v/>
      </c>
    </row>
    <row r="19662">
      <c r="A19662" t="inlineStr">
        <is>
          <t>9005800355719</t>
        </is>
      </c>
      <c r="B19662" t="inlineStr">
        <is>
          <t>Nivea Creme Protect Care Shower Gel</t>
        </is>
      </c>
      <c r="C19662" t="inlineStr">
        <is>
          <t>Shower Gel</t>
        </is>
      </c>
      <c r="D19662" t="inlineStr">
        <is>
          <t>Nivea</t>
        </is>
      </c>
      <c r="E19662" t="n">
        <v>3.58</v>
      </c>
      <c r="F19662" t="n">
        <v>1</v>
      </c>
      <c r="G19662" t="n">
        <v>2</v>
      </c>
      <c r="H19662" s="5">
        <f>HYPERLINK("https://api.qogita.com/variants/link/9005800355719/", "View Product")</f>
        <v/>
      </c>
    </row>
    <row r="19663">
      <c r="A19663" t="inlineStr">
        <is>
          <t>9005800361536</t>
        </is>
      </c>
      <c r="B19663" t="inlineStr">
        <is>
          <t>Nivea Derma Skin Clear Toner 200 Ml</t>
        </is>
      </c>
      <c r="C19663" t="inlineStr">
        <is>
          <t>Cleansing Milk</t>
        </is>
      </c>
      <c r="D19663" t="inlineStr">
        <is>
          <t>Nivea</t>
        </is>
      </c>
      <c r="E19663" t="n">
        <v>6.84</v>
      </c>
      <c r="F19663" t="n">
        <v>1</v>
      </c>
      <c r="G19663" t="n">
        <v>18</v>
      </c>
      <c r="H19663" s="5">
        <f>HYPERLINK("https://api.qogita.com/variants/link/9005800361536/", "View Product")</f>
        <v/>
      </c>
    </row>
    <row r="19664">
      <c r="A19664" t="inlineStr">
        <is>
          <t>9005800367071</t>
        </is>
      </c>
      <c r="B19664" t="inlineStr">
        <is>
          <t>Nivea Cellular Expert Lift Face Serum 30ml</t>
        </is>
      </c>
      <c r="C19664" t="inlineStr">
        <is>
          <t>Anti-Aging Serum</t>
        </is>
      </c>
      <c r="D19664" t="inlineStr">
        <is>
          <t>Nivea</t>
        </is>
      </c>
      <c r="E19664" t="n">
        <v>17.23</v>
      </c>
      <c r="F19664" t="n">
        <v>1</v>
      </c>
      <c r="G19664" t="n">
        <v>6</v>
      </c>
      <c r="H19664" s="5">
        <f>HYPERLINK("https://api.qogita.com/variants/link/9005800367071/", "View Product")</f>
        <v/>
      </c>
    </row>
    <row r="19665">
      <c r="A19665" t="inlineStr">
        <is>
          <t>9005800369082</t>
        </is>
      </c>
      <c r="B19665" t="inlineStr">
        <is>
          <t>Nivea Baby Mild Shampoo Extra Gentle Shampoo For Children</t>
        </is>
      </c>
      <c r="C19665" t="inlineStr">
        <is>
          <t>Children's Hair Cleaning</t>
        </is>
      </c>
      <c r="D19665" t="inlineStr">
        <is>
          <t>Nivea</t>
        </is>
      </c>
      <c r="E19665" t="n">
        <v>4.07</v>
      </c>
      <c r="F19665" t="n">
        <v>1</v>
      </c>
      <c r="G19665" t="n">
        <v>11</v>
      </c>
      <c r="H19665" s="5">
        <f>HYPERLINK("https://api.qogita.com/variants/link/9005800369082/", "View Product")</f>
        <v/>
      </c>
    </row>
    <row r="19666">
      <c r="A19666" t="inlineStr">
        <is>
          <t>9005800369778</t>
        </is>
      </c>
      <c r="B19666" t="inlineStr">
        <is>
          <t>Nivea Derma Dry Control Solid Antiperspirant 50 Ml</t>
        </is>
      </c>
      <c r="C19666" t="inlineStr">
        <is>
          <t>Deodorant &amp; Anti-Perspirant</t>
        </is>
      </c>
      <c r="D19666" t="inlineStr">
        <is>
          <t>Nivea</t>
        </is>
      </c>
      <c r="E19666" t="n">
        <v>5.69</v>
      </c>
      <c r="F19666" t="n">
        <v>1</v>
      </c>
      <c r="G19666" t="n">
        <v>3</v>
      </c>
      <c r="H19666" s="5">
        <f>HYPERLINK("https://api.qogita.com/variants/link/9005800369778/", "View Product")</f>
        <v/>
      </c>
    </row>
    <row r="19667">
      <c r="A19667" t="inlineStr">
        <is>
          <t>9005800371290</t>
        </is>
      </c>
      <c r="B19667" t="inlineStr">
        <is>
          <t>NIVEA BABY multifunctional cream for face and body - 75 ml</t>
        </is>
      </c>
      <c r="C19667" t="inlineStr">
        <is>
          <t>Baby &amp; Child</t>
        </is>
      </c>
      <c r="D19667" t="inlineStr">
        <is>
          <t>Nivea</t>
        </is>
      </c>
      <c r="E19667" t="n">
        <v>4.02</v>
      </c>
      <c r="F19667" t="n">
        <v>1</v>
      </c>
      <c r="G19667" t="n">
        <v>15</v>
      </c>
      <c r="H19667" s="5">
        <f>HYPERLINK("https://api.qogita.com/variants/link/9005800371290/", "View Product")</f>
        <v/>
      </c>
    </row>
    <row r="19668">
      <c r="A19668" t="inlineStr">
        <is>
          <t>9005800377711</t>
        </is>
      </c>
      <c r="B19668" t="inlineStr">
        <is>
          <t>Nivea Brightening Micellar Water With Serum Content 400 Ml</t>
        </is>
      </c>
      <c r="C19668" t="inlineStr">
        <is>
          <t>Micellar Water</t>
        </is>
      </c>
      <c r="D19668" t="inlineStr">
        <is>
          <t>Nivea</t>
        </is>
      </c>
      <c r="E19668" t="n">
        <v>8.84</v>
      </c>
      <c r="F19668" t="n">
        <v>1</v>
      </c>
      <c r="G19668" t="n">
        <v>5</v>
      </c>
      <c r="H19668" s="5">
        <f>HYPERLINK("https://api.qogita.com/variants/link/9005800377711/", "View Product")</f>
        <v/>
      </c>
    </row>
    <row r="19669">
      <c r="A19669" t="inlineStr">
        <is>
          <t>9005800377735</t>
        </is>
      </c>
      <c r="B19669" t="inlineStr">
        <is>
          <t>Nivea Regenerating Micellar Water 400 Ml</t>
        </is>
      </c>
      <c r="C19669" t="inlineStr">
        <is>
          <t>Micellar Water</t>
        </is>
      </c>
      <c r="D19669" t="inlineStr">
        <is>
          <t>Nivea</t>
        </is>
      </c>
      <c r="E19669" t="n">
        <v>8.619999999999999</v>
      </c>
      <c r="F19669" t="n">
        <v>1</v>
      </c>
      <c r="G19669" t="n">
        <v>2</v>
      </c>
      <c r="H19669" s="5">
        <f>HYPERLINK("https://api.qogita.com/variants/link/9005800377735/", "View Product")</f>
        <v/>
      </c>
    </row>
    <row r="19670">
      <c r="A19670" t="inlineStr">
        <is>
          <t>9005800378800</t>
        </is>
      </c>
      <c r="B19670" t="inlineStr">
        <is>
          <t>Nivea Fresh Care Shower Gel Blooming Garden 250ml</t>
        </is>
      </c>
      <c r="C19670" t="inlineStr">
        <is>
          <t>Shower Gel</t>
        </is>
      </c>
      <c r="D19670" t="inlineStr">
        <is>
          <t>Nivea</t>
        </is>
      </c>
      <c r="E19670" t="n">
        <v>4.62</v>
      </c>
      <c r="F19670" t="n">
        <v>1</v>
      </c>
      <c r="G19670" t="n">
        <v>5</v>
      </c>
      <c r="H19670" s="5">
        <f>HYPERLINK("https://api.qogita.com/variants/link/9005800378800/", "View Product")</f>
        <v/>
      </c>
    </row>
    <row r="19671">
      <c r="A19671" t="inlineStr">
        <is>
          <t>9005800379098</t>
        </is>
      </c>
      <c r="B19671" t="inlineStr">
        <is>
          <t>Nivea Invisible Antiperspirant For Black &amp; White Clear, 50 Ml</t>
        </is>
      </c>
      <c r="C19671" t="inlineStr">
        <is>
          <t>Deodorant &amp; Anti-Perspirant</t>
        </is>
      </c>
      <c r="D19671" t="inlineStr">
        <is>
          <t>Nivea</t>
        </is>
      </c>
      <c r="E19671" t="n">
        <v>5.23</v>
      </c>
      <c r="F19671" t="n">
        <v>1</v>
      </c>
      <c r="G19671" t="n">
        <v>17</v>
      </c>
      <c r="H19671" s="5">
        <f>HYPERLINK("https://api.qogita.com/variants/link/9005800379098/", "View Product")</f>
        <v/>
      </c>
    </row>
    <row r="19672">
      <c r="A19672" t="inlineStr">
        <is>
          <t>9005800379722</t>
        </is>
      </c>
      <c r="B19672" t="inlineStr">
        <is>
          <t>Nivea Energizing Night Cream Against Wrinkles Q10 Energy Cream 50 Ml</t>
        </is>
      </c>
      <c r="C19672" t="inlineStr">
        <is>
          <t>Night Cream</t>
        </is>
      </c>
      <c r="D19672" t="inlineStr">
        <is>
          <t>Nivea</t>
        </is>
      </c>
      <c r="E19672" t="n">
        <v>12.32</v>
      </c>
      <c r="F19672" t="n">
        <v>1</v>
      </c>
      <c r="G19672" t="n">
        <v>5</v>
      </c>
      <c r="H19672" s="5">
        <f>HYPERLINK("https://api.qogita.com/variants/link/9005800379722/", "View Product")</f>
        <v/>
      </c>
    </row>
    <row r="19673">
      <c r="A19673" t="inlineStr">
        <is>
          <t>9005800379760</t>
        </is>
      </c>
      <c r="B19673" t="inlineStr">
        <is>
          <t>Nivea Sensitive Face Cream - Hydrating Cream For Men</t>
        </is>
      </c>
      <c r="C19673" t="inlineStr">
        <is>
          <t>Face Cream</t>
        </is>
      </c>
      <c r="D19673" t="inlineStr">
        <is>
          <t>Nivea</t>
        </is>
      </c>
      <c r="E19673" t="n">
        <v>8.529999999999999</v>
      </c>
      <c r="F19673" t="n">
        <v>1</v>
      </c>
      <c r="G19673" t="n">
        <v>5</v>
      </c>
      <c r="H19673" s="5">
        <f>HYPERLINK("https://api.qogita.com/variants/link/9005800379760/", "View Product")</f>
        <v/>
      </c>
    </row>
    <row r="19674">
      <c r="A19674" t="inlineStr">
        <is>
          <t>9005800380551</t>
        </is>
      </c>
      <c r="B19674" t="inlineStr">
        <is>
          <t>Nivea Repair &amp; Care Sensitive Moisturizing Protective Cream 400ml</t>
        </is>
      </c>
      <c r="C19674" t="inlineStr">
        <is>
          <t>Face Cream</t>
        </is>
      </c>
      <c r="D19674" t="inlineStr">
        <is>
          <t>Nivea</t>
        </is>
      </c>
      <c r="E19674" t="n">
        <v>9.390000000000001</v>
      </c>
      <c r="F19674" t="n">
        <v>1</v>
      </c>
      <c r="G19674" t="n">
        <v>5</v>
      </c>
      <c r="H19674" s="5">
        <f>HYPERLINK("https://api.qogita.com/variants/link/9005800380551/", "View Product")</f>
        <v/>
      </c>
    </row>
    <row r="19675">
      <c r="A19675" t="inlineStr">
        <is>
          <t>9005800381367</t>
        </is>
      </c>
      <c r="B19675" t="inlineStr">
        <is>
          <t>Nivea Q10 Anti-Wrinkle Power Skin Care Gift Set</t>
        </is>
      </c>
      <c r="C19675" t="inlineStr">
        <is>
          <t>Facial Care Sets</t>
        </is>
      </c>
      <c r="D19675" t="inlineStr">
        <is>
          <t>Nivea</t>
        </is>
      </c>
      <c r="E19675" t="n">
        <v>20.73</v>
      </c>
      <c r="F19675" t="n">
        <v>1</v>
      </c>
      <c r="G19675" t="n">
        <v>4</v>
      </c>
      <c r="H19675" s="5">
        <f>HYPERLINK("https://api.qogita.com/variants/link/9005800381367/", "View Product")</f>
        <v/>
      </c>
    </row>
    <row r="19676">
      <c r="A19676" t="inlineStr">
        <is>
          <t>9005800382357</t>
        </is>
      </c>
      <c r="B19676" t="inlineStr">
        <is>
          <t>Niveaset Moment Of Care Cream Care Shower Gel 250ml Rich Nourishing Body Milk 250ml</t>
        </is>
      </c>
      <c r="C19676" t="inlineStr">
        <is>
          <t>Shower Gel</t>
        </is>
      </c>
      <c r="D19676" t="inlineStr">
        <is>
          <t>Nivea</t>
        </is>
      </c>
      <c r="E19676" t="n">
        <v>9.69</v>
      </c>
      <c r="F19676" t="n">
        <v>1</v>
      </c>
      <c r="G19676" t="n">
        <v>22</v>
      </c>
      <c r="H19676" s="5">
        <f>HYPERLINK("https://api.qogita.com/variants/link/9005800382357/", "View Product")</f>
        <v/>
      </c>
    </row>
    <row r="19677">
      <c r="A19677" t="inlineStr">
        <is>
          <t>9005800383545</t>
        </is>
      </c>
      <c r="B19677" t="inlineStr">
        <is>
          <t>Nivea Golden Care Skin Care Set</t>
        </is>
      </c>
      <c r="C19677" t="inlineStr">
        <is>
          <t>Facial Care Sets</t>
        </is>
      </c>
      <c r="D19677" t="inlineStr">
        <is>
          <t>Nivea</t>
        </is>
      </c>
      <c r="E19677" t="n">
        <v>26.83</v>
      </c>
      <c r="F19677" t="n">
        <v>1</v>
      </c>
      <c r="G19677" t="n">
        <v>14</v>
      </c>
      <c r="H19677" s="5">
        <f>HYPERLINK("https://api.qogita.com/variants/link/9005800383545/", "View Product")</f>
        <v/>
      </c>
    </row>
    <row r="19678">
      <c r="A19678" t="inlineStr">
        <is>
          <t>9005800383729</t>
        </is>
      </c>
      <c r="B19678" t="inlineStr">
        <is>
          <t>Nivea Sensitive Gift Set</t>
        </is>
      </c>
      <c r="C19678" t="inlineStr">
        <is>
          <t>Facial Care Sets</t>
        </is>
      </c>
      <c r="D19678" t="inlineStr">
        <is>
          <t>Nivea</t>
        </is>
      </c>
      <c r="E19678" t="n">
        <v>33.1</v>
      </c>
      <c r="F19678" t="n">
        <v>1</v>
      </c>
      <c r="G19678" t="n">
        <v>5</v>
      </c>
      <c r="H19678" s="5">
        <f>HYPERLINK("https://api.qogita.com/variants/link/9005800383729/", "View Product")</f>
        <v/>
      </c>
    </row>
    <row r="19679">
      <c r="A19679" t="inlineStr">
        <is>
          <t>9005800384269</t>
        </is>
      </c>
      <c r="B19679" t="inlineStr">
        <is>
          <t>Nivea Anti-Age Hyaluron Gift Set</t>
        </is>
      </c>
      <c r="C19679" t="inlineStr">
        <is>
          <t>Facial Care Sets</t>
        </is>
      </c>
      <c r="D19679" t="inlineStr">
        <is>
          <t>Nivea</t>
        </is>
      </c>
      <c r="E19679" t="n">
        <v>27.66</v>
      </c>
      <c r="F19679" t="n">
        <v>1</v>
      </c>
      <c r="G19679" t="n">
        <v>11</v>
      </c>
      <c r="H19679" s="5">
        <f>HYPERLINK("https://api.qogita.com/variants/link/9005800384269/", "View Product")</f>
        <v/>
      </c>
    </row>
    <row r="19680">
      <c r="A19680" t="inlineStr">
        <is>
          <t>9005800387321</t>
        </is>
      </c>
      <c r="B19680" t="inlineStr">
        <is>
          <t>Nivea Cellular Luminous Spot Serum 30 Ml</t>
        </is>
      </c>
      <c r="C19680" t="inlineStr">
        <is>
          <t>Glow Serum</t>
        </is>
      </c>
      <c r="D19680" t="inlineStr">
        <is>
          <t>Nivea</t>
        </is>
      </c>
      <c r="E19680" t="n">
        <v>24.48</v>
      </c>
      <c r="F19680" t="n">
        <v>1</v>
      </c>
      <c r="G19680" t="n">
        <v>5</v>
      </c>
      <c r="H19680" s="5">
        <f>HYPERLINK("https://api.qogita.com/variants/link/9005800387321/", "View Product")</f>
        <v/>
      </c>
    </row>
    <row r="19681">
      <c r="A19681" t="inlineStr">
        <is>
          <t>9005800388533</t>
        </is>
      </c>
      <c r="B19681" t="inlineStr">
        <is>
          <t>Nivea Cellular Expert Filler Hyaluron Replumping Serum 30 Ml</t>
        </is>
      </c>
      <c r="C19681" t="inlineStr">
        <is>
          <t>Hyaluronic Acid Serum</t>
        </is>
      </c>
      <c r="D19681" t="inlineStr">
        <is>
          <t>Nivea</t>
        </is>
      </c>
      <c r="E19681" t="n">
        <v>14.92</v>
      </c>
      <c r="F19681" t="n">
        <v>1</v>
      </c>
      <c r="G19681" t="n">
        <v>8</v>
      </c>
      <c r="H19681" s="5">
        <f>HYPERLINK("https://api.qogita.com/variants/link/9005800388533/", "View Product")</f>
        <v/>
      </c>
    </row>
    <row r="19682">
      <c r="A19682" t="inlineStr">
        <is>
          <t>9005800388908</t>
        </is>
      </c>
      <c r="B19682" t="inlineStr">
        <is>
          <t>Nivea Men Strong Power Shampoo For Men 500ml</t>
        </is>
      </c>
      <c r="C19682" t="inlineStr">
        <is>
          <t>Shampoo</t>
        </is>
      </c>
      <c r="D19682" t="inlineStr">
        <is>
          <t>Nivea</t>
        </is>
      </c>
      <c r="E19682" t="n">
        <v>5.73</v>
      </c>
      <c r="F19682" t="n">
        <v>1</v>
      </c>
      <c r="G19682" t="n">
        <v>3</v>
      </c>
      <c r="H19682" s="5">
        <f>HYPERLINK("https://api.qogita.com/variants/link/9005800388908/", "View Product")</f>
        <v/>
      </c>
    </row>
    <row r="19683">
      <c r="A19683" t="inlineStr">
        <is>
          <t>9005800389295</t>
        </is>
      </c>
      <c r="B19683" t="inlineStr">
        <is>
          <t>Nivea Moisturizing Day Cream For Men Spf 30 - 50 Ml</t>
        </is>
      </c>
      <c r="C19683" t="inlineStr">
        <is>
          <t>Day Cream</t>
        </is>
      </c>
      <c r="D19683" t="inlineStr">
        <is>
          <t>Nivea</t>
        </is>
      </c>
      <c r="E19683" t="n">
        <v>10.31</v>
      </c>
      <c r="F19683" t="n">
        <v>1</v>
      </c>
      <c r="G19683" t="n">
        <v>8</v>
      </c>
      <c r="H19683" s="5">
        <f>HYPERLINK("https://api.qogita.com/variants/link/9005800389295/", "View Product")</f>
        <v/>
      </c>
    </row>
    <row r="19684">
      <c r="A19684" t="inlineStr">
        <is>
          <t>9005800389967</t>
        </is>
      </c>
      <c r="B19684" t="inlineStr">
        <is>
          <t>Nivea Derma Control Restore Shower Gel 500ml</t>
        </is>
      </c>
      <c r="C19684" t="inlineStr">
        <is>
          <t>Shower Gel</t>
        </is>
      </c>
      <c r="D19684" t="inlineStr">
        <is>
          <t>Nivea</t>
        </is>
      </c>
      <c r="E19684" t="n">
        <v>5.91</v>
      </c>
      <c r="F19684" t="n">
        <v>1</v>
      </c>
      <c r="G19684" t="n">
        <v>10</v>
      </c>
      <c r="H19684" s="5">
        <f>HYPERLINK("https://api.qogita.com/variants/link/9005800389967/", "View Product")</f>
        <v/>
      </c>
    </row>
    <row r="19685">
      <c r="A19685" t="inlineStr">
        <is>
          <t>9005800390154</t>
        </is>
      </c>
      <c r="B19685" t="inlineStr">
        <is>
          <t>Nivea Luminous Skin Glow Serum</t>
        </is>
      </c>
      <c r="C19685" t="inlineStr">
        <is>
          <t>Glow Serum</t>
        </is>
      </c>
      <c r="D19685" t="inlineStr">
        <is>
          <t>Nivea</t>
        </is>
      </c>
      <c r="E19685" t="n">
        <v>12.76</v>
      </c>
      <c r="F19685" t="n">
        <v>1</v>
      </c>
      <c r="G19685" t="n">
        <v>5</v>
      </c>
      <c r="H19685" s="5">
        <f>HYPERLINK("https://api.qogita.com/variants/link/9005800390154/", "View Product")</f>
        <v/>
      </c>
    </row>
    <row r="19686">
      <c r="A19686" t="inlineStr">
        <is>
          <t>9005800392783</t>
        </is>
      </c>
      <c r="B19686" t="inlineStr">
        <is>
          <t>Nivea Length Wonder Strengthening Conditioner With Niacinamide And Shea Butter 200ml</t>
        </is>
      </c>
      <c r="C19686" t="inlineStr">
        <is>
          <t>Conditioner</t>
        </is>
      </c>
      <c r="D19686" t="inlineStr">
        <is>
          <t>Nivea</t>
        </is>
      </c>
      <c r="E19686" t="n">
        <v>4.82</v>
      </c>
      <c r="F19686" t="n">
        <v>1</v>
      </c>
      <c r="G19686" t="n">
        <v>10</v>
      </c>
      <c r="H19686" s="5">
        <f>HYPERLINK("https://api.qogita.com/variants/link/9005800392783/", "View Product")</f>
        <v/>
      </c>
    </row>
    <row r="19687">
      <c r="A19687" t="inlineStr">
        <is>
          <t>9007867005125</t>
        </is>
      </c>
      <c r="B19687" t="inlineStr">
        <is>
          <t>Declaré Declare Gentle Cleansing Milk 400ml</t>
        </is>
      </c>
      <c r="C19687" t="inlineStr">
        <is>
          <t>Cleansing Milk</t>
        </is>
      </c>
      <c r="D19687" t="inlineStr">
        <is>
          <t>Declare</t>
        </is>
      </c>
      <c r="E19687" t="n">
        <v>19.85</v>
      </c>
      <c r="F19687" t="n">
        <v>1</v>
      </c>
      <c r="G19687" t="n">
        <v>5</v>
      </c>
      <c r="H19687" s="5">
        <f>HYPERLINK("https://api.qogita.com/variants/link/9007867005125/", "View Product")</f>
        <v/>
      </c>
    </row>
    <row r="19688">
      <c r="A19688" t="inlineStr">
        <is>
          <t>9007867005415</t>
        </is>
      </c>
      <c r="B19688" t="inlineStr">
        <is>
          <t>Declare Stress Balance Effect Ampoule</t>
        </is>
      </c>
      <c r="C19688" t="inlineStr">
        <is>
          <t>Ampoules</t>
        </is>
      </c>
      <c r="D19688" t="inlineStr">
        <is>
          <t>Declare</t>
        </is>
      </c>
      <c r="E19688" t="n">
        <v>20.21</v>
      </c>
      <c r="F19688" t="n">
        <v>1</v>
      </c>
      <c r="G19688" t="n">
        <v>2</v>
      </c>
      <c r="H19688" s="5">
        <f>HYPERLINK("https://api.qogita.com/variants/link/9007867005415/", "View Product")</f>
        <v/>
      </c>
    </row>
    <row r="19689">
      <c r="A19689" t="inlineStr">
        <is>
          <t>9007867005477</t>
        </is>
      </c>
      <c r="B19689" t="inlineStr">
        <is>
          <t>Declare Age Control Cellular Action Ampoule - Pack of 7</t>
        </is>
      </c>
      <c r="C19689" t="inlineStr">
        <is>
          <t>Ampoules</t>
        </is>
      </c>
      <c r="D19689" t="inlineStr">
        <is>
          <t>Declare</t>
        </is>
      </c>
      <c r="E19689" t="n">
        <v>21.29</v>
      </c>
      <c r="F19689" t="n">
        <v>1</v>
      </c>
      <c r="G19689" t="n">
        <v>4</v>
      </c>
      <c r="H19689" s="5">
        <f>HYPERLINK("https://api.qogita.com/variants/link/9007867005477/", "View Product")</f>
        <v/>
      </c>
    </row>
    <row r="19690">
      <c r="A19690" t="inlineStr">
        <is>
          <t>9007867005705</t>
        </is>
      </c>
      <c r="B19690" t="inlineStr">
        <is>
          <t>Declaré Stress Balance Skin Soothing Cream Extra Rich 100g</t>
        </is>
      </c>
      <c r="C19690" t="inlineStr">
        <is>
          <t>Face Cream</t>
        </is>
      </c>
      <c r="D19690" t="inlineStr">
        <is>
          <t>Declare</t>
        </is>
      </c>
      <c r="E19690" t="n">
        <v>29.49</v>
      </c>
      <c r="F19690" t="n">
        <v>1</v>
      </c>
      <c r="G19690" t="n">
        <v>3</v>
      </c>
      <c r="H19690" s="5">
        <f>HYPERLINK("https://api.qogita.com/variants/link/9007867005705/", "View Product")</f>
        <v/>
      </c>
    </row>
    <row r="19691">
      <c r="A19691" t="inlineStr">
        <is>
          <t>9007867006665</t>
        </is>
      </c>
      <c r="B19691" t="inlineStr">
        <is>
          <t>Declare Youth Supreme Cream</t>
        </is>
      </c>
      <c r="C19691" t="inlineStr">
        <is>
          <t>Anti-Aging Facial Care</t>
        </is>
      </c>
      <c r="D19691" t="inlineStr">
        <is>
          <t>Declare</t>
        </is>
      </c>
      <c r="E19691" t="n">
        <v>32.77</v>
      </c>
      <c r="F19691" t="n">
        <v>1</v>
      </c>
      <c r="G19691" t="n">
        <v>3</v>
      </c>
      <c r="H19691" s="5">
        <f>HYPERLINK("https://api.qogita.com/variants/link/9007867006665/", "View Product")</f>
        <v/>
      </c>
    </row>
    <row r="19692">
      <c r="A19692" t="inlineStr">
        <is>
          <t>9007867007082</t>
        </is>
      </c>
      <c r="B19692" t="inlineStr">
        <is>
          <t>Declaré Caviar Perfection Extra-Nourishing Luxury Anti-Wrinkle Cream 50g</t>
        </is>
      </c>
      <c r="C19692" t="inlineStr">
        <is>
          <t>Anti-Aging Facial Care</t>
        </is>
      </c>
      <c r="D19692" t="inlineStr">
        <is>
          <t>Declare</t>
        </is>
      </c>
      <c r="E19692" t="n">
        <v>75.42</v>
      </c>
      <c r="F19692" t="n">
        <v>1</v>
      </c>
      <c r="G19692" t="n">
        <v>3</v>
      </c>
      <c r="H19692" s="5">
        <f>HYPERLINK("https://api.qogita.com/variants/link/9007867007082/", "View Product")</f>
        <v/>
      </c>
    </row>
    <row r="19693">
      <c r="A19693" t="inlineStr">
        <is>
          <t>9007867007693</t>
        </is>
      </c>
      <c r="B19693" t="inlineStr">
        <is>
          <t>Dec Probio Firm Anti Wrinkle Concentrate 50ml</t>
        </is>
      </c>
      <c r="C19693" t="inlineStr">
        <is>
          <t>Anti-Aging Serum</t>
        </is>
      </c>
      <c r="D19693" t="inlineStr">
        <is>
          <t>Declare</t>
        </is>
      </c>
      <c r="E19693" t="n">
        <v>45.73</v>
      </c>
      <c r="F19693" t="n">
        <v>1</v>
      </c>
      <c r="G19693" t="n">
        <v>2</v>
      </c>
      <c r="H19693" s="5">
        <f>HYPERLINK("https://api.qogita.com/variants/link/9007867007693/", "View Product")</f>
        <v/>
      </c>
    </row>
    <row r="19694">
      <c r="A19694" t="inlineStr">
        <is>
          <t>9007867118160</t>
        </is>
      </c>
      <c r="B19694" t="inlineStr">
        <is>
          <t>Declaré Sunsensitive Hyaluron Boost Sun Spray SPF30 200ml</t>
        </is>
      </c>
      <c r="C19694" t="inlineStr">
        <is>
          <t>Body Sun Protection</t>
        </is>
      </c>
      <c r="D19694" t="inlineStr">
        <is>
          <t>Declare</t>
        </is>
      </c>
      <c r="E19694" t="n">
        <v>40.39</v>
      </c>
      <c r="F19694" t="n">
        <v>1</v>
      </c>
      <c r="G19694" t="n">
        <v>3</v>
      </c>
      <c r="H19694" s="5">
        <f>HYPERLINK("https://api.qogita.com/variants/link/9007867118160/", "View Product")</f>
        <v/>
      </c>
    </row>
    <row r="19695">
      <c r="A19695" t="inlineStr">
        <is>
          <t>9007867118917</t>
        </is>
      </c>
      <c r="B19695" t="inlineStr">
        <is>
          <t>Declare Men Purifying Cooling Shower Gel &amp; Shampoo 200ml</t>
        </is>
      </c>
      <c r="C19695" t="inlineStr">
        <is>
          <t>Shower Gel</t>
        </is>
      </c>
      <c r="D19695" t="inlineStr">
        <is>
          <t>Declare</t>
        </is>
      </c>
      <c r="E19695" t="n">
        <v>16.37</v>
      </c>
      <c r="F19695" t="n">
        <v>1</v>
      </c>
      <c r="G19695" t="n">
        <v>2</v>
      </c>
      <c r="H19695" s="5">
        <f>HYPERLINK("https://api.qogita.com/variants/link/9007867118917/", "View Product")</f>
        <v/>
      </c>
    </row>
    <row r="19696">
      <c r="A19696" t="inlineStr">
        <is>
          <t>9007867215036</t>
        </is>
      </c>
      <c r="B19696" t="inlineStr">
        <is>
          <t>MMÖ Vegan Pure Beauty Conditioner 150ml</t>
        </is>
      </c>
      <c r="C19696" t="inlineStr">
        <is>
          <t>Conditioner</t>
        </is>
      </c>
      <c r="D19696" t="inlineStr">
        <is>
          <t>Marlies Möller</t>
        </is>
      </c>
      <c r="E19696" t="n">
        <v>17.24</v>
      </c>
      <c r="F19696" t="n">
        <v>1</v>
      </c>
      <c r="G19696" t="n">
        <v>7</v>
      </c>
      <c r="H19696" s="5">
        <f>HYPERLINK("https://api.qogita.com/variants/link/9007867215036/", "View Product")</f>
        <v/>
      </c>
    </row>
    <row r="19697">
      <c r="A19697" t="inlineStr">
        <is>
          <t>9007867760031</t>
        </is>
      </c>
      <c r="B19697" t="inlineStr">
        <is>
          <t>Juvena Skin Energy Moisture Cream Rich 50ml Day And Night Moisturizer For Dry To Very Dry Skin</t>
        </is>
      </c>
      <c r="C19697" t="inlineStr">
        <is>
          <t>Face Cream</t>
        </is>
      </c>
      <c r="D19697" t="inlineStr">
        <is>
          <t>Juvena</t>
        </is>
      </c>
      <c r="E19697" t="n">
        <v>32.15</v>
      </c>
      <c r="F19697" t="n">
        <v>1</v>
      </c>
      <c r="G19697" t="n">
        <v>7</v>
      </c>
      <c r="H19697" s="5">
        <f>HYPERLINK("https://api.qogita.com/variants/link/9007867760031/", "View Product")</f>
        <v/>
      </c>
    </row>
    <row r="19698">
      <c r="A19698" t="inlineStr">
        <is>
          <t>9007867760918</t>
        </is>
      </c>
      <c r="B19698" t="inlineStr">
        <is>
          <t>Juvena Skin Specialists Miracle Serum Firm &amp; Hydrate 30 Ml</t>
        </is>
      </c>
      <c r="C19698" t="inlineStr">
        <is>
          <t>Hydrating Serum</t>
        </is>
      </c>
      <c r="D19698" t="inlineStr">
        <is>
          <t>Juvena</t>
        </is>
      </c>
      <c r="E19698" t="n">
        <v>50.6</v>
      </c>
      <c r="F19698" t="n">
        <v>1</v>
      </c>
      <c r="G19698" t="n">
        <v>19</v>
      </c>
      <c r="H19698" s="5">
        <f>HYPERLINK("https://api.qogita.com/variants/link/9007867760918/", "View Product")</f>
        <v/>
      </c>
    </row>
    <row r="19699">
      <c r="A19699" t="inlineStr">
        <is>
          <t>9007867761144</t>
        </is>
      </c>
      <c r="B19699" t="inlineStr">
        <is>
          <t>Juvena Skin Specialist Nova SC Eye Serum 15ml</t>
        </is>
      </c>
      <c r="C19699" t="inlineStr">
        <is>
          <t>Eye Serum</t>
        </is>
      </c>
      <c r="D19699" t="inlineStr">
        <is>
          <t>Juvena</t>
        </is>
      </c>
      <c r="E19699" t="n">
        <v>44.13</v>
      </c>
      <c r="F19699" t="n">
        <v>1</v>
      </c>
      <c r="G19699" t="n">
        <v>5</v>
      </c>
      <c r="H19699" s="5">
        <f>HYPERLINK("https://api.qogita.com/variants/link/9007867761144/", "View Product")</f>
        <v/>
      </c>
    </row>
    <row r="19700">
      <c r="A19700" t="inlineStr">
        <is>
          <t>9007867761601</t>
        </is>
      </c>
      <c r="B19700" t="inlineStr">
        <is>
          <t>Juvena Mastercare Firming and Smoothing Bio-Fleece Mask 20ml</t>
        </is>
      </c>
      <c r="C19700" t="inlineStr">
        <is>
          <t>Anti-Aging Mask</t>
        </is>
      </c>
      <c r="D19700" t="inlineStr">
        <is>
          <t>Juvena</t>
        </is>
      </c>
      <c r="E19700" t="n">
        <v>59.79</v>
      </c>
      <c r="F19700" t="n">
        <v>1</v>
      </c>
      <c r="G19700" t="n">
        <v>11</v>
      </c>
      <c r="H19700" s="5">
        <f>HYPERLINK("https://api.qogita.com/variants/link/9007867761601/", "View Product")</f>
        <v/>
      </c>
    </row>
    <row r="19701">
      <c r="A19701" t="inlineStr">
        <is>
          <t>9007867763322</t>
        </is>
      </c>
      <c r="B19701" t="inlineStr">
        <is>
          <t>Juvena Sunsation Superior Antiaging Cream Spf 50 75 Ml</t>
        </is>
      </c>
      <c r="C19701" t="inlineStr">
        <is>
          <t>Face Sun Protection</t>
        </is>
      </c>
      <c r="D19701" t="inlineStr">
        <is>
          <t>Juvena</t>
        </is>
      </c>
      <c r="E19701" t="n">
        <v>35.91</v>
      </c>
      <c r="F19701" t="n">
        <v>1</v>
      </c>
      <c r="G19701" t="n">
        <v>17</v>
      </c>
      <c r="H19701" s="5">
        <f>HYPERLINK("https://api.qogita.com/variants/link/9007867763322/", "View Product")</f>
        <v/>
      </c>
    </row>
    <row r="19702">
      <c r="A19702" t="inlineStr">
        <is>
          <t>9007867763575</t>
        </is>
      </c>
      <c r="B19702" t="inlineStr">
        <is>
          <t>Juvena Sunsation Superior Anti-Age Self Tan Cream - 150 Ml</t>
        </is>
      </c>
      <c r="C19702" t="inlineStr">
        <is>
          <t>Body Self-Tanner</t>
        </is>
      </c>
      <c r="D19702" t="inlineStr">
        <is>
          <t>Juvena</t>
        </is>
      </c>
      <c r="E19702" t="n">
        <v>34.71</v>
      </c>
      <c r="F19702" t="n">
        <v>1</v>
      </c>
      <c r="G19702" t="n">
        <v>22</v>
      </c>
      <c r="H19702" s="5">
        <f>HYPERLINK("https://api.qogita.com/variants/link/9007867763575/", "View Product")</f>
        <v/>
      </c>
    </row>
    <row r="19703">
      <c r="A19703" t="inlineStr">
        <is>
          <t>9007867765050</t>
        </is>
      </c>
      <c r="B19703" t="inlineStr">
        <is>
          <t>Juvena Miracle Eye Cream 20 Ml</t>
        </is>
      </c>
      <c r="C19703" t="inlineStr">
        <is>
          <t>Eye Cream</t>
        </is>
      </c>
      <c r="D19703" t="inlineStr">
        <is>
          <t>Juvena</t>
        </is>
      </c>
      <c r="E19703" t="n">
        <v>34.9</v>
      </c>
      <c r="F19703" t="n">
        <v>1</v>
      </c>
      <c r="G19703" t="n">
        <v>14</v>
      </c>
      <c r="H19703" s="5">
        <f>HYPERLINK("https://api.qogita.com/variants/link/9007867765050/", "View Product")</f>
        <v/>
      </c>
    </row>
    <row r="19704">
      <c r="A19704" t="inlineStr">
        <is>
          <t>9007867765135</t>
        </is>
      </c>
      <c r="B19704" t="inlineStr">
        <is>
          <t>Juv Spec Retin &amp; Hyal Cell Fluid 50ml</t>
        </is>
      </c>
      <c r="C19704" t="inlineStr">
        <is>
          <t>Anti-Aging Serum</t>
        </is>
      </c>
      <c r="D19704" t="inlineStr">
        <is>
          <t>Juvena</t>
        </is>
      </c>
      <c r="E19704" t="n">
        <v>63.71</v>
      </c>
      <c r="F19704" t="n">
        <v>1</v>
      </c>
      <c r="G19704" t="n">
        <v>29</v>
      </c>
      <c r="H19704" s="5">
        <f>HYPERLINK("https://api.qogita.com/variants/link/9007867765135/", "View Product")</f>
        <v/>
      </c>
    </row>
    <row r="19705">
      <c r="A19705" t="inlineStr">
        <is>
          <t>9007867765234</t>
        </is>
      </c>
      <c r="B19705" t="inlineStr">
        <is>
          <t>Juvena Miracle Anti Dark Spot Hyaluron Hand Cream 100ml Antidark Spot Hand Cream With Hyaluronic Acid</t>
        </is>
      </c>
      <c r="C19705" t="inlineStr">
        <is>
          <t>Hand Cream</t>
        </is>
      </c>
      <c r="D19705" t="inlineStr">
        <is>
          <t>Juvena</t>
        </is>
      </c>
      <c r="E19705" t="n">
        <v>21.23</v>
      </c>
      <c r="F19705" t="n">
        <v>1</v>
      </c>
      <c r="G19705" t="n">
        <v>5</v>
      </c>
      <c r="H19705" s="5">
        <f>HYPERLINK("https://api.qogita.com/variants/link/9007867765234/", "View Product")</f>
        <v/>
      </c>
    </row>
    <row r="19706">
      <c r="A19706" t="inlineStr">
        <is>
          <t>9007867768358</t>
        </is>
      </c>
      <c r="B19706" t="inlineStr">
        <is>
          <t>Juvena Men Global Anti-Age Eye Cream 15ml</t>
        </is>
      </c>
      <c r="C19706" t="inlineStr">
        <is>
          <t>Eye Cream</t>
        </is>
      </c>
      <c r="D19706" t="inlineStr">
        <is>
          <t>Juvena</t>
        </is>
      </c>
      <c r="E19706" t="n">
        <v>25.2</v>
      </c>
      <c r="F19706" t="n">
        <v>1</v>
      </c>
      <c r="G19706" t="n">
        <v>2</v>
      </c>
      <c r="H19706" s="5">
        <f>HYPERLINK("https://api.qogita.com/variants/link/9007867768358/", "View Product")</f>
        <v/>
      </c>
    </row>
    <row r="19707">
      <c r="A19707" t="inlineStr">
        <is>
          <t>9120037353823</t>
        </is>
      </c>
      <c r="B19707" t="inlineStr">
        <is>
          <t>Susanne Kaufmann Glow Masque</t>
        </is>
      </c>
      <c r="C19707" t="inlineStr">
        <is>
          <t>Glow Mask</t>
        </is>
      </c>
      <c r="D19707" t="inlineStr">
        <is>
          <t>Susanne Kaufmann</t>
        </is>
      </c>
      <c r="E19707" t="n">
        <v>60.68</v>
      </c>
      <c r="F19707" t="n">
        <v>1</v>
      </c>
      <c r="G19707" t="n">
        <v>3</v>
      </c>
      <c r="H19707" s="5">
        <f>HYPERLINK("https://api.qogita.com/variants/link/9120037353823/", "View Product")</f>
        <v/>
      </c>
    </row>
    <row r="19708">
      <c r="A19708" t="inlineStr">
        <is>
          <t>9120037355537</t>
        </is>
      </c>
      <c r="B19708" t="inlineStr">
        <is>
          <t>Susanne Kaufmann Ectoin Repair Serum 30 Ml</t>
        </is>
      </c>
      <c r="C19708" t="inlineStr">
        <is>
          <t>Hydrating Serum</t>
        </is>
      </c>
      <c r="D19708" t="inlineStr">
        <is>
          <t>Susanne Kaufmann</t>
        </is>
      </c>
      <c r="E19708" t="n">
        <v>110.89</v>
      </c>
      <c r="F19708" t="n">
        <v>1</v>
      </c>
      <c r="G19708" t="n">
        <v>2</v>
      </c>
      <c r="H19708" s="5">
        <f>HYPERLINK("https://api.qogita.com/variants/link/9120037355537/", "View Product")</f>
        <v/>
      </c>
    </row>
    <row r="19709">
      <c r="A19709" t="inlineStr">
        <is>
          <t>9339341003991</t>
        </is>
      </c>
      <c r="B19709" t="inlineStr">
        <is>
          <t>Kevin Murphy Stimulateme Rinse Stimulating And Refreshing Conditioner 1000ml</t>
        </is>
      </c>
      <c r="C19709" t="inlineStr">
        <is>
          <t>Conditioner</t>
        </is>
      </c>
      <c r="D19709" t="inlineStr">
        <is>
          <t>Kevin Murphy</t>
        </is>
      </c>
      <c r="E19709" t="n">
        <v>58.41</v>
      </c>
      <c r="F19709" t="n">
        <v>1</v>
      </c>
      <c r="G19709" t="n">
        <v>5</v>
      </c>
      <c r="H19709" s="5">
        <f>HYPERLINK("https://api.qogita.com/variants/link/9339341003991/", "View Product")</f>
        <v/>
      </c>
    </row>
    <row r="19710">
      <c r="A19710" t="inlineStr">
        <is>
          <t>9339341005193</t>
        </is>
      </c>
      <c r="B19710" t="inlineStr">
        <is>
          <t>Kevin Murphy Smooth Again Wash Shampoo 40ml</t>
        </is>
      </c>
      <c r="C19710" t="inlineStr">
        <is>
          <t>Shampoo</t>
        </is>
      </c>
      <c r="D19710" t="inlineStr">
        <is>
          <t>Kevin Murphy</t>
        </is>
      </c>
      <c r="E19710" t="n">
        <v>7.97</v>
      </c>
      <c r="F19710" t="n">
        <v>1</v>
      </c>
      <c r="G19710" t="n">
        <v>3</v>
      </c>
      <c r="H19710" s="5">
        <f>HYPERLINK("https://api.qogita.com/variants/link/9339341005193/", "View Product")</f>
        <v/>
      </c>
    </row>
    <row r="19711">
      <c r="A19711" t="inlineStr">
        <is>
          <t>9339341016779</t>
        </is>
      </c>
      <c r="B19711" t="inlineStr">
        <is>
          <t>Kevin Murphy Repair Me Rinse 33.8 oz</t>
        </is>
      </c>
      <c r="C19711" t="inlineStr">
        <is>
          <t>Conditioner</t>
        </is>
      </c>
      <c r="D19711" t="inlineStr">
        <is>
          <t>Kevin Murphy</t>
        </is>
      </c>
      <c r="E19711" t="n">
        <v>65.2</v>
      </c>
      <c r="F19711" t="n">
        <v>1</v>
      </c>
      <c r="G19711" t="n">
        <v>5</v>
      </c>
      <c r="H19711" s="5">
        <f>HYPERLINK("https://api.qogita.com/variants/link/9339341016779/", "View Product")</f>
        <v/>
      </c>
    </row>
    <row r="19712">
      <c r="A19712" t="inlineStr">
        <is>
          <t>9339341016861</t>
        </is>
      </c>
      <c r="B19712" t="inlineStr">
        <is>
          <t>Kevin Murphy Stimulateme Rinse Stimulating And Refreshing Conditioner 250ml</t>
        </is>
      </c>
      <c r="C19712" t="inlineStr">
        <is>
          <t>Conditioner</t>
        </is>
      </c>
      <c r="D19712" t="inlineStr">
        <is>
          <t>Kevin Murphy</t>
        </is>
      </c>
      <c r="E19712" t="n">
        <v>22.53</v>
      </c>
      <c r="F19712" t="n">
        <v>1</v>
      </c>
      <c r="G19712" t="n">
        <v>8</v>
      </c>
      <c r="H19712" s="5">
        <f>HYPERLINK("https://api.qogita.com/variants/link/9339341016861/", "View Product")</f>
        <v/>
      </c>
    </row>
    <row r="19713">
      <c r="A19713" t="inlineStr">
        <is>
          <t>9339341016915</t>
        </is>
      </c>
      <c r="B19713" t="inlineStr">
        <is>
          <t>Kevin Murphy Angelmasque Strengthening Mask For Fine And Colored Hair 1000ml</t>
        </is>
      </c>
      <c r="C19713" t="inlineStr">
        <is>
          <t>Hair Masks</t>
        </is>
      </c>
      <c r="D19713" t="inlineStr">
        <is>
          <t>Kevin Murphy</t>
        </is>
      </c>
      <c r="E19713" t="n">
        <v>79.19</v>
      </c>
      <c r="F19713" t="n">
        <v>1</v>
      </c>
      <c r="G19713" t="n">
        <v>5</v>
      </c>
      <c r="H19713" s="5">
        <f>HYPERLINK("https://api.qogita.com/variants/link/9339341016915/", "View Product")</f>
        <v/>
      </c>
    </row>
    <row r="19714">
      <c r="A19714" t="inlineStr">
        <is>
          <t>9339341016991</t>
        </is>
      </c>
      <c r="B19714" t="inlineStr">
        <is>
          <t>Kevin Murphy Kevin Murphy Angel Rinse For Fine Coloured Hair 40ml</t>
        </is>
      </c>
      <c r="C19714" t="inlineStr">
        <is>
          <t>Conditioner</t>
        </is>
      </c>
      <c r="D19714" t="inlineStr">
        <is>
          <t>Kevin Murphy</t>
        </is>
      </c>
      <c r="E19714" t="n">
        <v>7.74</v>
      </c>
      <c r="F19714" t="n">
        <v>1</v>
      </c>
      <c r="G19714" t="n">
        <v>5</v>
      </c>
      <c r="H19714" s="5">
        <f>HYPERLINK("https://api.qogita.com/variants/link/9339341016991/", "View Product")</f>
        <v/>
      </c>
    </row>
    <row r="19715">
      <c r="A19715" t="inlineStr">
        <is>
          <t>9339341017004</t>
        </is>
      </c>
      <c r="B19715" t="inlineStr">
        <is>
          <t>Kevin Murphy Angel Wash Hair Volumizing Shampoo 40ml</t>
        </is>
      </c>
      <c r="C19715" t="inlineStr">
        <is>
          <t>Shampoo</t>
        </is>
      </c>
      <c r="D19715" t="inlineStr">
        <is>
          <t>Kevin.Murphy</t>
        </is>
      </c>
      <c r="E19715" t="n">
        <v>6.87</v>
      </c>
      <c r="F19715" t="n">
        <v>1</v>
      </c>
      <c r="G19715" t="n">
        <v>13</v>
      </c>
      <c r="H19715" s="5">
        <f>HYPERLINK("https://api.qogita.com/variants/link/9339341017004/", "View Product")</f>
        <v/>
      </c>
    </row>
    <row r="19716">
      <c r="A19716" t="inlineStr">
        <is>
          <t>9339341017080</t>
        </is>
      </c>
      <c r="B19716" t="inlineStr">
        <is>
          <t>Kevin Murphy Angel Wash Shampoo - Regenerating Shampoo For Delicate And Colored Hair, 250ml</t>
        </is>
      </c>
      <c r="C19716" t="inlineStr">
        <is>
          <t>Shampoo</t>
        </is>
      </c>
      <c r="D19716" t="inlineStr">
        <is>
          <t>Kevin Murphy</t>
        </is>
      </c>
      <c r="E19716" t="n">
        <v>22.07</v>
      </c>
      <c r="F19716" t="n">
        <v>1</v>
      </c>
      <c r="G19716" t="n">
        <v>2</v>
      </c>
      <c r="H19716" s="5">
        <f>HYPERLINK("https://api.qogita.com/variants/link/9339341017080/", "View Product")</f>
        <v/>
      </c>
    </row>
    <row r="19717">
      <c r="A19717" t="inlineStr">
        <is>
          <t>9339341017219</t>
        </is>
      </c>
      <c r="B19717" t="inlineStr">
        <is>
          <t>Cool.Angel Cooling Treatment For Hair Color 250ml</t>
        </is>
      </c>
      <c r="C19717" t="inlineStr">
        <is>
          <t>Hair Masks</t>
        </is>
      </c>
      <c r="D19717" t="inlineStr">
        <is>
          <t>Cool.Angel</t>
        </is>
      </c>
      <c r="E19717" t="n">
        <v>27.27</v>
      </c>
      <c r="F19717" t="n">
        <v>1</v>
      </c>
      <c r="G19717" t="n">
        <v>20</v>
      </c>
      <c r="H19717" s="5">
        <f>HYPERLINK("https://api.qogita.com/variants/link/9339341017219/", "View Product")</f>
        <v/>
      </c>
    </row>
    <row r="19718">
      <c r="A19718" t="inlineStr">
        <is>
          <t>9339341017455</t>
        </is>
      </c>
      <c r="B19718" t="inlineStr">
        <is>
          <t>Kevin Murphy Anti Gravity Spray Volume 150ml Hair Spray For Volume And Shine</t>
        </is>
      </c>
      <c r="C19718" t="inlineStr">
        <is>
          <t>Hairspray</t>
        </is>
      </c>
      <c r="D19718" t="inlineStr">
        <is>
          <t>Kevin Murphy</t>
        </is>
      </c>
      <c r="E19718" t="n">
        <v>22.88</v>
      </c>
      <c r="F19718" t="n">
        <v>1</v>
      </c>
      <c r="G19718" t="n">
        <v>18</v>
      </c>
      <c r="H19718" s="5">
        <f>HYPERLINK("https://api.qogita.com/variants/link/9339341017455/", "View Product")</f>
        <v/>
      </c>
    </row>
    <row r="19719">
      <c r="A19719" t="inlineStr">
        <is>
          <t>9339341017554</t>
        </is>
      </c>
      <c r="B19719" t="inlineStr">
        <is>
          <t>Kevin Murphy Hydrateme Wash Shampoo 250 Ml</t>
        </is>
      </c>
      <c r="C19719" t="inlineStr">
        <is>
          <t>Shampoo</t>
        </is>
      </c>
      <c r="D19719" t="inlineStr">
        <is>
          <t>Kevin Murphy</t>
        </is>
      </c>
      <c r="E19719" t="n">
        <v>22.07</v>
      </c>
      <c r="F19719" t="n">
        <v>1</v>
      </c>
      <c r="G19719" t="n">
        <v>23</v>
      </c>
      <c r="H19719" s="5">
        <f>HYPERLINK("https://api.qogita.com/variants/link/9339341017554/", "View Product")</f>
        <v/>
      </c>
    </row>
    <row r="19720">
      <c r="A19720" t="inlineStr">
        <is>
          <t>9339341017578</t>
        </is>
      </c>
      <c r="B19720" t="inlineStr">
        <is>
          <t>Kevin Murphy Plumping Wash Hair Shampoo 40ml</t>
        </is>
      </c>
      <c r="C19720" t="inlineStr">
        <is>
          <t>Shampoo</t>
        </is>
      </c>
      <c r="D19720" t="inlineStr">
        <is>
          <t>Kevin Murphy</t>
        </is>
      </c>
      <c r="E19720" t="n">
        <v>7.47</v>
      </c>
      <c r="F19720" t="n">
        <v>1</v>
      </c>
      <c r="G19720" t="n">
        <v>3</v>
      </c>
      <c r="H19720" s="5">
        <f>HYPERLINK("https://api.qogita.com/variants/link/9339341017578/", "View Product")</f>
        <v/>
      </c>
    </row>
    <row r="19721">
      <c r="A19721" t="inlineStr">
        <is>
          <t>9339341017592</t>
        </is>
      </c>
      <c r="B19721" t="inlineStr">
        <is>
          <t>KEVIN MURPHY Hydrate-Me.Rinse 40ml 1.4oz</t>
        </is>
      </c>
      <c r="C19721" t="inlineStr">
        <is>
          <t>Conditioner</t>
        </is>
      </c>
      <c r="D19721" t="inlineStr">
        <is>
          <t>Kevin Murphy</t>
        </is>
      </c>
      <c r="E19721" t="n">
        <v>5.07</v>
      </c>
      <c r="F19721" t="n">
        <v>1</v>
      </c>
      <c r="G19721" t="n">
        <v>7</v>
      </c>
      <c r="H19721" s="5">
        <f>HYPERLINK("https://api.qogita.com/variants/link/9339341017592/", "View Product")</f>
        <v/>
      </c>
    </row>
    <row r="19722">
      <c r="A19722" t="inlineStr">
        <is>
          <t>9339341018292</t>
        </is>
      </c>
      <c r="B19722" t="inlineStr">
        <is>
          <t>Kevin Murphy Young Again Rinse Regenerating And Shining Conditioner For Hair 40ml</t>
        </is>
      </c>
      <c r="C19722" t="inlineStr">
        <is>
          <t>Conditioner</t>
        </is>
      </c>
      <c r="D19722" t="inlineStr">
        <is>
          <t>Kevin Murphy</t>
        </is>
      </c>
      <c r="E19722" t="n">
        <v>6.6</v>
      </c>
      <c r="F19722" t="n">
        <v>1</v>
      </c>
      <c r="G19722" t="n">
        <v>3</v>
      </c>
      <c r="H19722" s="5">
        <f>HYPERLINK("https://api.qogita.com/variants/link/9339341018292/", "View Product")</f>
        <v/>
      </c>
    </row>
    <row r="19723">
      <c r="A19723" t="inlineStr">
        <is>
          <t>9339341018599</t>
        </is>
      </c>
      <c r="B19723" t="inlineStr">
        <is>
          <t>Kevin Murphy Young Again Rinse Regenerating And Shining Conditioner For Hair 1000ml</t>
        </is>
      </c>
      <c r="C19723" t="inlineStr">
        <is>
          <t>Conditioner</t>
        </is>
      </c>
      <c r="D19723" t="inlineStr">
        <is>
          <t>Kevin Murphy</t>
        </is>
      </c>
      <c r="E19723" t="n">
        <v>65.95</v>
      </c>
      <c r="F19723" t="n">
        <v>1</v>
      </c>
      <c r="G19723" t="n">
        <v>10</v>
      </c>
      <c r="H19723" s="5">
        <f>HYPERLINK("https://api.qogita.com/variants/link/9339341018599/", "View Product")</f>
        <v/>
      </c>
    </row>
    <row r="19724">
      <c r="A19724" t="inlineStr">
        <is>
          <t>9339341018605</t>
        </is>
      </c>
      <c r="B19724" t="inlineStr">
        <is>
          <t>Kevin Murphy Young Again Wash Shampoo 1000ml</t>
        </is>
      </c>
      <c r="C19724" t="inlineStr">
        <is>
          <t>Shampoo</t>
        </is>
      </c>
      <c r="D19724" t="inlineStr">
        <is>
          <t>Kevin Murphy</t>
        </is>
      </c>
      <c r="E19724" t="n">
        <v>60.82</v>
      </c>
      <c r="F19724" t="n">
        <v>1</v>
      </c>
      <c r="G19724" t="n">
        <v>38</v>
      </c>
      <c r="H19724" s="5">
        <f>HYPERLINK("https://api.qogita.com/variants/link/9339341018605/", "View Product")</f>
        <v/>
      </c>
    </row>
    <row r="19725">
      <c r="A19725" t="inlineStr">
        <is>
          <t>9339341019503</t>
        </is>
      </c>
      <c r="B19725" t="inlineStr">
        <is>
          <t>Kevin Murphy Hydrateme Masque 200ml Moisturising And Smoothing Hair Mask For Dry And Damaged Hair</t>
        </is>
      </c>
      <c r="C19725" t="inlineStr">
        <is>
          <t>Hair Masks</t>
        </is>
      </c>
      <c r="D19725" t="inlineStr">
        <is>
          <t>Kevin Murphy</t>
        </is>
      </c>
      <c r="E19725" t="n">
        <v>26.53</v>
      </c>
      <c r="F19725" t="n">
        <v>1</v>
      </c>
      <c r="G19725" t="n">
        <v>4</v>
      </c>
      <c r="H19725" s="5">
        <f>HYPERLINK("https://api.qogita.com/variants/link/9339341019503/", "View Product")</f>
        <v/>
      </c>
    </row>
    <row r="19726">
      <c r="A19726" t="inlineStr">
        <is>
          <t>9339341019602</t>
        </is>
      </c>
      <c r="B19726" t="inlineStr">
        <is>
          <t>Kevin Murphy Plumping Rinse Conditioner For Thin And Falling Hair 250ml</t>
        </is>
      </c>
      <c r="C19726" t="inlineStr">
        <is>
          <t>Conditioner</t>
        </is>
      </c>
      <c r="D19726" t="inlineStr">
        <is>
          <t>Kevin Murphy</t>
        </is>
      </c>
      <c r="E19726" t="n">
        <v>24.74</v>
      </c>
      <c r="F19726" t="n">
        <v>1</v>
      </c>
      <c r="G19726" t="n">
        <v>5</v>
      </c>
      <c r="H19726" s="5">
        <f>HYPERLINK("https://api.qogita.com/variants/link/9339341019602/", "View Product")</f>
        <v/>
      </c>
    </row>
    <row r="19727">
      <c r="A19727" t="inlineStr">
        <is>
          <t>9339341020066</t>
        </is>
      </c>
      <c r="B19727" t="inlineStr">
        <is>
          <t>Kevin Murphy Young Again Rinse Antiaging Conditioner 250 Ml</t>
        </is>
      </c>
      <c r="C19727" t="inlineStr">
        <is>
          <t>Conditioner</t>
        </is>
      </c>
      <c r="D19727" t="inlineStr">
        <is>
          <t>Kevin Murphy</t>
        </is>
      </c>
      <c r="E19727" t="n">
        <v>28.04</v>
      </c>
      <c r="F19727" t="n">
        <v>1</v>
      </c>
      <c r="G19727" t="n">
        <v>2</v>
      </c>
      <c r="H19727" s="5">
        <f>HYPERLINK("https://api.qogita.com/variants/link/9339341020066/", "View Product")</f>
        <v/>
      </c>
    </row>
    <row r="19728">
      <c r="A19728" t="inlineStr">
        <is>
          <t>9339341020141</t>
        </is>
      </c>
      <c r="B19728" t="inlineStr">
        <is>
          <t>Kevin Murphy Repair Me Rinse Strengthening Conditioner 250ml</t>
        </is>
      </c>
      <c r="C19728" t="inlineStr">
        <is>
          <t>Conditioner</t>
        </is>
      </c>
      <c r="D19728" t="inlineStr">
        <is>
          <t>Kevin Murphy</t>
        </is>
      </c>
      <c r="E19728" t="n">
        <v>25.76</v>
      </c>
      <c r="F19728" t="n">
        <v>1</v>
      </c>
      <c r="G19728" t="n">
        <v>14</v>
      </c>
      <c r="H19728" s="5">
        <f>HYPERLINK("https://api.qogita.com/variants/link/9339341020141/", "View Product")</f>
        <v/>
      </c>
    </row>
    <row r="19729">
      <c r="A19729" t="inlineStr">
        <is>
          <t>9339341022060</t>
        </is>
      </c>
      <c r="B19729" t="inlineStr">
        <is>
          <t>Kevin Murphy Bedroom Hair Spray - 250ml</t>
        </is>
      </c>
      <c r="C19729" t="inlineStr">
        <is>
          <t>Hairspray</t>
        </is>
      </c>
      <c r="D19729" t="inlineStr">
        <is>
          <t>Kevin Murphy</t>
        </is>
      </c>
      <c r="E19729" t="n">
        <v>24.52</v>
      </c>
      <c r="F19729" t="n">
        <v>1</v>
      </c>
      <c r="G19729" t="n">
        <v>5</v>
      </c>
      <c r="H19729" s="5">
        <f>HYPERLINK("https://api.qogita.com/variants/link/9339341022060/", "View Product")</f>
        <v/>
      </c>
    </row>
    <row r="19730">
      <c r="A19730" t="inlineStr">
        <is>
          <t>9339341022565</t>
        </is>
      </c>
      <c r="B19730" t="inlineStr">
        <is>
          <t>Kevin Murphy Blow Dry Ever Smooth Spray 150ml</t>
        </is>
      </c>
      <c r="C19730" t="inlineStr">
        <is>
          <t>Styling Sprays</t>
        </is>
      </c>
      <c r="D19730" t="inlineStr">
        <is>
          <t>Kevin Murphy</t>
        </is>
      </c>
      <c r="E19730" t="n">
        <v>30.16</v>
      </c>
      <c r="F19730" t="n">
        <v>1</v>
      </c>
      <c r="G19730" t="n">
        <v>20</v>
      </c>
      <c r="H19730" s="5">
        <f>HYPERLINK("https://api.qogita.com/variants/link/9339341022565/", "View Product")</f>
        <v/>
      </c>
    </row>
    <row r="19731">
      <c r="A19731" t="inlineStr">
        <is>
          <t>9339341033684</t>
        </is>
      </c>
      <c r="B19731" t="inlineStr">
        <is>
          <t>Kevin Murphy Unverheddert 1.4 Ounce and Anti-Gravity Spray 1.4</t>
        </is>
      </c>
      <c r="C19731" t="inlineStr">
        <is>
          <t>Hairspray</t>
        </is>
      </c>
      <c r="D19731" t="inlineStr">
        <is>
          <t>Kevin Murphy</t>
        </is>
      </c>
      <c r="E19731" t="n">
        <v>7.58</v>
      </c>
      <c r="F19731" t="n">
        <v>1</v>
      </c>
      <c r="G19731" t="n">
        <v>17</v>
      </c>
      <c r="H19731" s="5">
        <f>HYPERLINK("https://api.qogita.com/variants/link/9339341033684/", "View Product")</f>
        <v/>
      </c>
    </row>
    <row r="19732">
      <c r="A19732" t="inlineStr">
        <is>
          <t>9339341034902</t>
        </is>
      </c>
      <c r="B19732" t="inlineStr">
        <is>
          <t>Kevin Murphy Everlasting Colour Leavein Spray 150ml Colour Protective Treatment</t>
        </is>
      </c>
      <c r="C19732" t="inlineStr">
        <is>
          <t>Leave-In Conditioner</t>
        </is>
      </c>
      <c r="D19732" t="inlineStr">
        <is>
          <t>Kevin Murphy</t>
        </is>
      </c>
      <c r="E19732" t="n">
        <v>26.93</v>
      </c>
      <c r="F19732" t="n">
        <v>1</v>
      </c>
      <c r="G19732" t="n">
        <v>8</v>
      </c>
      <c r="H19732" s="5">
        <f>HYPERLINK("https://api.qogita.com/variants/link/9339341034902/", "View Product")</f>
        <v/>
      </c>
    </row>
    <row r="19733">
      <c r="A19733" t="inlineStr">
        <is>
          <t>9339341035381</t>
        </is>
      </c>
      <c r="B19733" t="inlineStr">
        <is>
          <t>KEVIN MURPHY Everlasting Color Wash Shampoo 1 Liter 33.8oz</t>
        </is>
      </c>
      <c r="C19733" t="inlineStr">
        <is>
          <t>Shampoo</t>
        </is>
      </c>
      <c r="D19733" t="inlineStr">
        <is>
          <t>Kevin Murphy</t>
        </is>
      </c>
      <c r="E19733" t="n">
        <v>60.76</v>
      </c>
      <c r="F19733" t="n">
        <v>1</v>
      </c>
      <c r="G19733" t="n">
        <v>10</v>
      </c>
      <c r="H19733" s="5">
        <f>HYPERLINK("https://api.qogita.com/variants/link/9339341035381/", "View Product")</f>
        <v/>
      </c>
    </row>
    <row r="19734">
      <c r="A19734" t="inlineStr">
        <is>
          <t>9339341035398</t>
        </is>
      </c>
      <c r="B19734" t="inlineStr">
        <is>
          <t>Kevin Murphy Everlasting Colour Rinse Colour Protect Conditioner</t>
        </is>
      </c>
      <c r="C19734" t="inlineStr">
        <is>
          <t>Conditioner</t>
        </is>
      </c>
      <c r="D19734" t="inlineStr">
        <is>
          <t>Kevin Murphy</t>
        </is>
      </c>
      <c r="E19734" t="n">
        <v>62.09</v>
      </c>
      <c r="F19734" t="n">
        <v>1</v>
      </c>
      <c r="G19734" t="n">
        <v>13</v>
      </c>
      <c r="H19734" s="5">
        <f>HYPERLINK("https://api.qogita.com/variants/link/9339341035398/", "View Product")</f>
        <v/>
      </c>
    </row>
    <row r="19735">
      <c r="A19735" t="inlineStr">
        <is>
          <t>9339341035992</t>
        </is>
      </c>
      <c r="B19735" t="inlineStr">
        <is>
          <t>Kevin Murphy Blow Dry Rinse Repairing Conditioner 250ml</t>
        </is>
      </c>
      <c r="C19735" t="inlineStr">
        <is>
          <t>Conditioner</t>
        </is>
      </c>
      <c r="D19735" t="inlineStr">
        <is>
          <t>Kevin Murphy</t>
        </is>
      </c>
      <c r="E19735" t="n">
        <v>23.63</v>
      </c>
      <c r="F19735" t="n">
        <v>1</v>
      </c>
      <c r="G19735" t="n">
        <v>21</v>
      </c>
      <c r="H19735" s="5">
        <f>HYPERLINK("https://api.qogita.com/variants/link/9339341035992/", "View Product")</f>
        <v/>
      </c>
    </row>
    <row r="19736">
      <c r="A19736" t="inlineStr">
        <is>
          <t>9339341036920</t>
        </is>
      </c>
      <c r="B19736" t="inlineStr">
        <is>
          <t>Kevin Murphy Everlasting Rinse 40ml</t>
        </is>
      </c>
      <c r="C19736" t="inlineStr">
        <is>
          <t>Conditioner</t>
        </is>
      </c>
      <c r="D19736" t="inlineStr">
        <is>
          <t>Kevin Murphy</t>
        </is>
      </c>
      <c r="E19736" t="n">
        <v>7.23</v>
      </c>
      <c r="F19736" t="n">
        <v>1</v>
      </c>
      <c r="G19736" t="n">
        <v>2</v>
      </c>
      <c r="H19736" s="5">
        <f>HYPERLINK("https://api.qogita.com/variants/link/9339341036920/", "View Product")</f>
        <v/>
      </c>
    </row>
    <row r="19737">
      <c r="A19737" t="inlineStr">
        <is>
          <t>9339341036937</t>
        </is>
      </c>
      <c r="B19737" t="inlineStr">
        <is>
          <t>Kevin Murphy Everlasting Color Wash Colour Protect Shampoo</t>
        </is>
      </c>
      <c r="C19737" t="inlineStr">
        <is>
          <t>Shampoo</t>
        </is>
      </c>
      <c r="D19737" t="inlineStr">
        <is>
          <t>Kevin Murphy</t>
        </is>
      </c>
      <c r="E19737" t="n">
        <v>7.58</v>
      </c>
      <c r="F19737" t="n">
        <v>1</v>
      </c>
      <c r="G19737" t="n">
        <v>20</v>
      </c>
      <c r="H19737" s="5">
        <f>HYPERLINK("https://api.qogita.com/variants/link/9339341036937/", "View Product")</f>
        <v/>
      </c>
    </row>
    <row r="19738">
      <c r="A19738" t="inlineStr">
        <is>
          <t>9339341036982</t>
        </is>
      </c>
      <c r="B19738" t="inlineStr">
        <is>
          <t>Kevin Murphy AngelWash 500 ml Shampoo</t>
        </is>
      </c>
      <c r="C19738" t="inlineStr">
        <is>
          <t>Shampoo</t>
        </is>
      </c>
      <c r="D19738" t="inlineStr">
        <is>
          <t>Procter Gamble</t>
        </is>
      </c>
      <c r="E19738" t="n">
        <v>28.64</v>
      </c>
      <c r="F19738" t="n">
        <v>1</v>
      </c>
      <c r="G19738" t="n">
        <v>33</v>
      </c>
      <c r="H19738" s="5">
        <f>HYPERLINK("https://api.qogita.com/variants/link/9339341036982/", "View Product")</f>
        <v/>
      </c>
    </row>
    <row r="19739">
      <c r="A19739" t="inlineStr">
        <is>
          <t>9339341037538</t>
        </is>
      </c>
      <c r="B19739" t="inlineStr">
        <is>
          <t>Kevin Murphy Killer Curls Wash Shampoo For Curly Hair 250ml</t>
        </is>
      </c>
      <c r="C19739" t="inlineStr">
        <is>
          <t>Shampoo</t>
        </is>
      </c>
      <c r="D19739" t="inlineStr">
        <is>
          <t>Kevin Murphy</t>
        </is>
      </c>
      <c r="E19739" t="n">
        <v>26.39</v>
      </c>
      <c r="F19739" t="n">
        <v>1</v>
      </c>
      <c r="G19739" t="n">
        <v>12</v>
      </c>
      <c r="H19739" s="5">
        <f>HYPERLINK("https://api.qogita.com/variants/link/9339341037538/", "View Product")</f>
        <v/>
      </c>
    </row>
    <row r="19740">
      <c r="A19740" t="inlineStr">
        <is>
          <t>9339341060031</t>
        </is>
      </c>
      <c r="B19740" t="inlineStr">
        <is>
          <t>Kevin Murphy Smooth Again Rinse Smoothing Conditioner 250ml For Thick And Coarse Hair</t>
        </is>
      </c>
      <c r="C19740" t="inlineStr">
        <is>
          <t>Conditioner</t>
        </is>
      </c>
      <c r="D19740" t="inlineStr">
        <is>
          <t>Kevin Murphy</t>
        </is>
      </c>
      <c r="E19740" t="n">
        <v>21.11</v>
      </c>
      <c r="F19740" t="n">
        <v>1</v>
      </c>
      <c r="G19740" t="n">
        <v>10</v>
      </c>
      <c r="H19740" s="5">
        <f>HYPERLINK("https://api.qogita.com/variants/link/9339341060031/", "View Product")</f>
        <v/>
      </c>
    </row>
    <row r="19741">
      <c r="A19741" t="inlineStr">
        <is>
          <t>9339341062066</t>
        </is>
      </c>
      <c r="B19741" t="inlineStr">
        <is>
          <t>Kevin Murphy Body .Mass Leave-In Plumping Treatment For Thinning Hair - 100 Ml</t>
        </is>
      </c>
      <c r="C19741" t="inlineStr">
        <is>
          <t>Leave-In Conditioner</t>
        </is>
      </c>
      <c r="D19741" t="inlineStr">
        <is>
          <t>Kevin Murphy</t>
        </is>
      </c>
      <c r="E19741" t="n">
        <v>33.39</v>
      </c>
      <c r="F19741" t="n">
        <v>1</v>
      </c>
      <c r="G19741" t="n">
        <v>16</v>
      </c>
      <c r="H19741" s="5">
        <f>HYPERLINK("https://api.qogita.com/variants/link/9339341062066/", "View Product")</f>
        <v/>
      </c>
    </row>
    <row r="19742">
      <c r="A19742" t="inlineStr">
        <is>
          <t>9421900569076</t>
        </is>
      </c>
      <c r="B19742" t="inlineStr">
        <is>
          <t>Antipodes Aura Manuka Honey Mask 75ml</t>
        </is>
      </c>
      <c r="C19742" t="inlineStr">
        <is>
          <t>Glow Mask</t>
        </is>
      </c>
      <c r="D19742" t="inlineStr">
        <is>
          <t>Antipodes</t>
        </is>
      </c>
      <c r="E19742" t="n">
        <v>31.16</v>
      </c>
      <c r="F19742" t="n">
        <v>1</v>
      </c>
      <c r="G19742" t="n">
        <v>5</v>
      </c>
      <c r="H19742" s="5">
        <f>HYPERLINK("https://api.qogita.com/variants/link/9421900569076/", "View Product")</f>
        <v/>
      </c>
    </row>
    <row r="19743">
      <c r="A19743" t="inlineStr">
        <is>
          <t>9421900569250</t>
        </is>
      </c>
      <c r="B19743" t="inlineStr">
        <is>
          <t>Antipodes Grapeseed Butter Cleanser</t>
        </is>
      </c>
      <c r="C19743" t="inlineStr">
        <is>
          <t>Cleansing Cream</t>
        </is>
      </c>
      <c r="D19743" t="inlineStr">
        <is>
          <t>Antipodes</t>
        </is>
      </c>
      <c r="E19743" t="n">
        <v>32.83</v>
      </c>
      <c r="F19743" t="n">
        <v>1</v>
      </c>
      <c r="G19743" t="n">
        <v>3</v>
      </c>
      <c r="H19743" s="5">
        <f>HYPERLINK("https://api.qogita.com/variants/link/9421900569250/", "View Product")</f>
        <v/>
      </c>
    </row>
    <row r="19744">
      <c r="A19744" t="inlineStr">
        <is>
          <t>9421904521384</t>
        </is>
      </c>
      <c r="B19744" t="inlineStr">
        <is>
          <t>Antipodes Gospel Vitamin C Skin-Glow Gel Cleanser 200ml</t>
        </is>
      </c>
      <c r="C19744" t="inlineStr">
        <is>
          <t>Cleansing Gel</t>
        </is>
      </c>
      <c r="D19744" t="inlineStr">
        <is>
          <t>Antipodes</t>
        </is>
      </c>
      <c r="E19744" t="n">
        <v>29.89</v>
      </c>
      <c r="F19744" t="n">
        <v>1</v>
      </c>
      <c r="G19744" t="n">
        <v>4</v>
      </c>
      <c r="H19744" s="5">
        <f>HYPERLINK("https://api.qogita.com/variants/link/9421904521384/", "View Product")</f>
        <v/>
      </c>
    </row>
    <row r="19745">
      <c r="A19745" t="inlineStr">
        <is>
          <t>9421905119498</t>
        </is>
      </c>
      <c r="B19745" t="inlineStr">
        <is>
          <t>Antipodes Baptise H2O Ultra Moisturising Water Gel 60ml</t>
        </is>
      </c>
      <c r="C19745" t="inlineStr">
        <is>
          <t>Face Cream</t>
        </is>
      </c>
      <c r="D19745" t="inlineStr">
        <is>
          <t>Antipodes</t>
        </is>
      </c>
      <c r="E19745" t="n">
        <v>32.81</v>
      </c>
      <c r="F19745" t="n">
        <v>1</v>
      </c>
      <c r="G19745" t="n">
        <v>5</v>
      </c>
      <c r="H19745" s="5">
        <f>HYPERLINK("https://api.qogita.com/variants/link/9421905119498/", "View Product")</f>
        <v/>
      </c>
    </row>
    <row r="19746">
      <c r="A19746" t="inlineStr">
        <is>
          <t>9421907387024</t>
        </is>
      </c>
      <c r="B19746" t="inlineStr">
        <is>
          <t>Lime Caviar Collagen-Rich Firming Day Cream with Sepilift DPHP Peptide and Lime Caviar Extract 60ml</t>
        </is>
      </c>
      <c r="C19746" t="inlineStr">
        <is>
          <t>Day Cream</t>
        </is>
      </c>
      <c r="D19746" t="inlineStr">
        <is>
          <t>Antipodes</t>
        </is>
      </c>
      <c r="E19746" t="n">
        <v>37.06</v>
      </c>
      <c r="F19746" t="n">
        <v>1</v>
      </c>
      <c r="G19746" t="n">
        <v>2</v>
      </c>
      <c r="H19746" s="5">
        <f>HYPERLINK("https://api.qogita.com/variants/link/9421907387024/", "View Product")</f>
        <v/>
      </c>
    </row>
    <row r="19747">
      <c r="A19747" t="inlineStr">
        <is>
          <t>9421907387833</t>
        </is>
      </c>
      <c r="B19747" t="inlineStr">
        <is>
          <t>Supernatural SPF50 Sunscreen Face Cream - Pot 60 ml</t>
        </is>
      </c>
      <c r="C19747" t="inlineStr">
        <is>
          <t>Face Sun Protection</t>
        </is>
      </c>
      <c r="D19747" t="inlineStr">
        <is>
          <t>Super.Natural</t>
        </is>
      </c>
      <c r="E19747" t="n">
        <v>35.39</v>
      </c>
      <c r="F19747" t="n">
        <v>1</v>
      </c>
      <c r="G19747" t="n">
        <v>2</v>
      </c>
      <c r="H19747" s="5">
        <f>HYPERLINK("https://api.qogita.com/variants/link/9421907387833/", "View Product")</f>
        <v/>
      </c>
    </row>
    <row r="19748">
      <c r="A19748" t="inlineStr">
        <is>
          <t>0000085959156</t>
        </is>
      </c>
      <c r="B19748" t="inlineStr">
        <is>
          <t>Dermacol 12h True Colour Eyeliner No.7 Grey</t>
        </is>
      </c>
      <c r="C19748" t="inlineStr">
        <is>
          <t>Eyeliner</t>
        </is>
      </c>
      <c r="D19748" t="inlineStr">
        <is>
          <t>Dermacol</t>
        </is>
      </c>
      <c r="E19748" t="n">
        <v>4.85</v>
      </c>
      <c r="F19748" t="n">
        <v>1</v>
      </c>
      <c r="G19748" t="n">
        <v>2</v>
      </c>
      <c r="H19748" s="5">
        <f>HYPERLINK("https://api.qogita.com/variants/link/0000085959156/", "View Product")</f>
        <v/>
      </c>
    </row>
    <row r="19749">
      <c r="A19749" t="inlineStr">
        <is>
          <t>0000085960152</t>
        </is>
      </c>
      <c r="B19749" t="inlineStr">
        <is>
          <t>Dermacol Full Coverage Foundation Liquid Makeup Matte Foundation with SPF 30 Waterproof Foundation for Oily Skin Acne &amp; Under Eye Bags Long-Lasting Makeup Products 30g Shade 225</t>
        </is>
      </c>
      <c r="C19749" t="inlineStr">
        <is>
          <t>Foundation</t>
        </is>
      </c>
      <c r="D19749" t="inlineStr">
        <is>
          <t>Dermacol</t>
        </is>
      </c>
      <c r="E19749" t="n">
        <v>8.300000000000001</v>
      </c>
      <c r="F19749" t="n">
        <v>1</v>
      </c>
      <c r="G19749" t="n">
        <v>11</v>
      </c>
      <c r="H19749" s="5">
        <f>HYPERLINK("https://api.qogita.com/variants/link/0000085960152/", "View Product")</f>
        <v/>
      </c>
    </row>
    <row r="19750">
      <c r="A19750" t="inlineStr">
        <is>
          <t>0000085960169</t>
        </is>
      </c>
      <c r="B19750" t="inlineStr">
        <is>
          <t>Dermacol Opaque Make-Up Cover for Face and Neck Waterproof Foundation with SPF 30 30g</t>
        </is>
      </c>
      <c r="C19750" t="inlineStr">
        <is>
          <t>Foundation</t>
        </is>
      </c>
      <c r="D19750" t="inlineStr">
        <is>
          <t>Dermacol</t>
        </is>
      </c>
      <c r="E19750" t="n">
        <v>8.25</v>
      </c>
      <c r="F19750" t="n">
        <v>1</v>
      </c>
      <c r="G19750" t="n">
        <v>41</v>
      </c>
      <c r="H19750" s="5">
        <f>HYPERLINK("https://api.qogita.com/variants/link/0000085960169/", "View Product")</f>
        <v/>
      </c>
    </row>
    <row r="19751">
      <c r="A19751" t="inlineStr">
        <is>
          <t>0000085960435</t>
        </is>
      </c>
      <c r="B19751" t="inlineStr">
        <is>
          <t>Dermacol - Lip Color - Matte Mania - Shade 51</t>
        </is>
      </c>
      <c r="C19751" t="inlineStr">
        <is>
          <t>Lipstick</t>
        </is>
      </c>
      <c r="D19751" t="inlineStr">
        <is>
          <t>Dermacol</t>
        </is>
      </c>
      <c r="E19751" t="n">
        <v>5.29</v>
      </c>
      <c r="F19751" t="n">
        <v>1</v>
      </c>
      <c r="G19751" t="n">
        <v>3</v>
      </c>
      <c r="H19751" s="5">
        <f>HYPERLINK("https://api.qogita.com/variants/link/0000085960435/", "View Product")</f>
        <v/>
      </c>
    </row>
    <row r="19752">
      <c r="A19752" t="inlineStr">
        <is>
          <t>0000085963436</t>
        </is>
      </c>
      <c r="B19752" t="inlineStr">
        <is>
          <t>Dermacol Beauty Powder Pearls Toning</t>
        </is>
      </c>
      <c r="C19752" t="inlineStr">
        <is>
          <t>Powder</t>
        </is>
      </c>
      <c r="D19752" t="inlineStr">
        <is>
          <t>Dermacol</t>
        </is>
      </c>
      <c r="E19752" t="n">
        <v>10.87</v>
      </c>
      <c r="F19752" t="n">
        <v>1</v>
      </c>
      <c r="G19752" t="n">
        <v>3</v>
      </c>
      <c r="H19752" s="5">
        <f>HYPERLINK("https://api.qogita.com/variants/link/0000085963436/", "View Product")</f>
        <v/>
      </c>
    </row>
    <row r="19753">
      <c r="A19753" t="inlineStr">
        <is>
          <t>0000085963849</t>
        </is>
      </c>
      <c r="B19753" t="inlineStr">
        <is>
          <t>Dermacol Pearl Energy Makeup Base</t>
        </is>
      </c>
      <c r="C19753" t="inlineStr">
        <is>
          <t>Primer</t>
        </is>
      </c>
      <c r="D19753" t="inlineStr">
        <is>
          <t>Dermacol</t>
        </is>
      </c>
      <c r="E19753" t="n">
        <v>10.87</v>
      </c>
      <c r="F19753" t="n">
        <v>1</v>
      </c>
      <c r="G19753" t="n">
        <v>3</v>
      </c>
      <c r="H19753" s="5">
        <f>HYPERLINK("https://api.qogita.com/variants/link/0000085963849/", "View Product")</f>
        <v/>
      </c>
    </row>
    <row r="19754">
      <c r="A19754" t="inlineStr">
        <is>
          <t>0000085963856</t>
        </is>
      </c>
      <c r="B19754" t="inlineStr">
        <is>
          <t>Dermacol Gold Anti-Wrinkle</t>
        </is>
      </c>
      <c r="C19754" t="inlineStr">
        <is>
          <t>Anti-Aging Facial Care</t>
        </is>
      </c>
      <c r="D19754" t="inlineStr">
        <is>
          <t>Dermacol</t>
        </is>
      </c>
      <c r="E19754" t="n">
        <v>7.89</v>
      </c>
      <c r="F19754" t="n">
        <v>1</v>
      </c>
      <c r="G19754" t="n">
        <v>2</v>
      </c>
      <c r="H19754" s="5">
        <f>HYPERLINK("https://api.qogita.com/variants/link/0000085963856/", "View Product")</f>
        <v/>
      </c>
    </row>
    <row r="19755">
      <c r="A19755" t="inlineStr">
        <is>
          <t>0000085966482</t>
        </is>
      </c>
      <c r="B19755" t="inlineStr">
        <is>
          <t>Dermacol Longlasting Intense Colour Eye Liner Shadow 16g</t>
        </is>
      </c>
      <c r="C19755" t="inlineStr">
        <is>
          <t>Eyeliner</t>
        </is>
      </c>
      <c r="D19755" t="inlineStr">
        <is>
          <t>Dermacol</t>
        </is>
      </c>
      <c r="E19755" t="n">
        <v>4.43</v>
      </c>
      <c r="F19755" t="n">
        <v>1</v>
      </c>
      <c r="G19755" t="n">
        <v>11</v>
      </c>
      <c r="H19755" s="5">
        <f>HYPERLINK("https://api.qogita.com/variants/link/0000085966482/", "View Product")</f>
        <v/>
      </c>
    </row>
    <row r="19756">
      <c r="A19756" t="inlineStr">
        <is>
          <t>0000085967014</t>
        </is>
      </c>
      <c r="B19756" t="inlineStr">
        <is>
          <t>Dermacol 12h True Colour Eyeliner No.9 Army Green</t>
        </is>
      </c>
      <c r="C19756" t="inlineStr">
        <is>
          <t>Eyeliner</t>
        </is>
      </c>
      <c r="D19756" t="inlineStr">
        <is>
          <t>Dermacol</t>
        </is>
      </c>
      <c r="E19756" t="n">
        <v>3.18</v>
      </c>
      <c r="F19756" t="n">
        <v>1</v>
      </c>
      <c r="G19756" t="n">
        <v>7</v>
      </c>
      <c r="H19756" s="5">
        <f>HYPERLINK("https://api.qogita.com/variants/link/0000085967014/", "View Product")</f>
        <v/>
      </c>
    </row>
    <row r="19757">
      <c r="A19757" t="inlineStr">
        <is>
          <t>0000085967021</t>
        </is>
      </c>
      <c r="B19757" t="inlineStr">
        <is>
          <t>Dermacol 12h True Colour Eyeliner n.10 Dark Mauve</t>
        </is>
      </c>
      <c r="C19757" t="inlineStr">
        <is>
          <t>Eyeliner</t>
        </is>
      </c>
      <c r="D19757" t="inlineStr">
        <is>
          <t>Dermacol</t>
        </is>
      </c>
      <c r="E19757" t="n">
        <v>3.18</v>
      </c>
      <c r="F19757" t="n">
        <v>1</v>
      </c>
      <c r="G19757" t="n">
        <v>2</v>
      </c>
      <c r="H19757" s="5">
        <f>HYPERLINK("https://api.qogita.com/variants/link/0000085967021/", "View Product")</f>
        <v/>
      </c>
    </row>
    <row r="19758">
      <c r="A19758" t="inlineStr">
        <is>
          <t>0000085971332</t>
        </is>
      </c>
      <c r="B19758" t="inlineStr">
        <is>
          <t>Dermacol Highlighter Palette</t>
        </is>
      </c>
      <c r="C19758" t="inlineStr">
        <is>
          <t>Highlighter</t>
        </is>
      </c>
      <c r="D19758" t="inlineStr">
        <is>
          <t>Dermacol</t>
        </is>
      </c>
      <c r="E19758" t="n">
        <v>18.03</v>
      </c>
      <c r="F19758" t="n">
        <v>1</v>
      </c>
      <c r="G19758" t="n">
        <v>2</v>
      </c>
      <c r="H19758" s="5">
        <f>HYPERLINK("https://api.qogita.com/variants/link/0000085971332/", "View Product")</f>
        <v/>
      </c>
    </row>
    <row r="19759">
      <c r="A19759" t="inlineStr">
        <is>
          <t>0000085972537</t>
        </is>
      </c>
      <c r="B19759" t="inlineStr">
        <is>
          <t>16H Microblade Eyebrow Tattoo Pen No. 1</t>
        </is>
      </c>
      <c r="C19759" t="inlineStr">
        <is>
          <t>Eyebrow Pencil</t>
        </is>
      </c>
      <c r="D19759" t="inlineStr">
        <is>
          <t>Dermacol</t>
        </is>
      </c>
      <c r="E19759" t="n">
        <v>4.93</v>
      </c>
      <c r="F19759" t="n">
        <v>1</v>
      </c>
      <c r="G19759" t="n">
        <v>2</v>
      </c>
      <c r="H19759" s="5">
        <f>HYPERLINK("https://api.qogita.com/variants/link/0000085972537/", "View Product")</f>
        <v/>
      </c>
    </row>
    <row r="19760">
      <c r="A19760" t="inlineStr">
        <is>
          <t>0000085972773</t>
        </is>
      </c>
      <c r="B19760" t="inlineStr">
        <is>
          <t>3D Mono Eyeshadows 2g Shade 06 Metal Creme Brulée</t>
        </is>
      </c>
      <c r="C19760" t="inlineStr">
        <is>
          <t>Eyeshadow</t>
        </is>
      </c>
      <c r="D19760" t="inlineStr">
        <is>
          <t>Dermacol</t>
        </is>
      </c>
      <c r="E19760" t="n">
        <v>6.33</v>
      </c>
      <c r="F19760" t="n">
        <v>1</v>
      </c>
      <c r="G19760" t="n">
        <v>6</v>
      </c>
      <c r="H19760" s="5">
        <f>HYPERLINK("https://api.qogita.com/variants/link/0000085972773/", "View Product")</f>
        <v/>
      </c>
    </row>
    <row r="19761">
      <c r="A19761" t="inlineStr">
        <is>
          <t>0000085972872</t>
        </is>
      </c>
      <c r="B19761" t="inlineStr">
        <is>
          <t>Dermacol Crystal Look 24h Waterproof Eyeliner 2 Violet</t>
        </is>
      </c>
      <c r="C19761" t="inlineStr">
        <is>
          <t>Eyeliner</t>
        </is>
      </c>
      <c r="D19761" t="inlineStr">
        <is>
          <t>Dermacol</t>
        </is>
      </c>
      <c r="E19761" t="n">
        <v>3.85</v>
      </c>
      <c r="F19761" t="n">
        <v>1</v>
      </c>
      <c r="G19761" t="n">
        <v>4</v>
      </c>
      <c r="H19761" s="5">
        <f>HYPERLINK("https://api.qogita.com/variants/link/0000085972872/", "View Product")</f>
        <v/>
      </c>
    </row>
    <row r="19762">
      <c r="A19762" t="inlineStr">
        <is>
          <t>0000085972933</t>
        </is>
      </c>
      <c r="B19762" t="inlineStr">
        <is>
          <t>Dermacol Collagen Make-up Fair 2.0 20ml</t>
        </is>
      </c>
      <c r="C19762" t="inlineStr">
        <is>
          <t>Foundation</t>
        </is>
      </c>
      <c r="D19762" t="inlineStr">
        <is>
          <t>Dermacol</t>
        </is>
      </c>
      <c r="E19762" t="n">
        <v>7.07</v>
      </c>
      <c r="F19762" t="n">
        <v>1</v>
      </c>
      <c r="G19762" t="n">
        <v>14</v>
      </c>
      <c r="H19762" s="5">
        <f>HYPERLINK("https://api.qogita.com/variants/link/0000085972933/", "View Product")</f>
        <v/>
      </c>
    </row>
    <row r="19763">
      <c r="A19763" t="inlineStr">
        <is>
          <t>0000085972988</t>
        </is>
      </c>
      <c r="B19763" t="inlineStr">
        <is>
          <t>Dermacol Corrector 2 G 60 Dark Chocolate</t>
        </is>
      </c>
      <c r="C19763" t="inlineStr">
        <is>
          <t>Concealer</t>
        </is>
      </c>
      <c r="D19763" t="inlineStr">
        <is>
          <t>Dermacol</t>
        </is>
      </c>
      <c r="E19763" t="n">
        <v>3.63</v>
      </c>
      <c r="F19763" t="n">
        <v>1</v>
      </c>
      <c r="G19763" t="n">
        <v>5</v>
      </c>
      <c r="H19763" s="5">
        <f>HYPERLINK("https://api.qogita.com/variants/link/0000085972988/", "View Product")</f>
        <v/>
      </c>
    </row>
    <row r="19764">
      <c r="A19764" t="inlineStr">
        <is>
          <t>0000085973152</t>
        </is>
      </c>
      <c r="B19764" t="inlineStr">
        <is>
          <t>Extreme Cover Corrector No. 5 221</t>
        </is>
      </c>
      <c r="C19764" t="inlineStr">
        <is>
          <t>Color Corrector</t>
        </is>
      </c>
      <c r="D19764" t="inlineStr">
        <is>
          <t>Dermacol</t>
        </is>
      </c>
      <c r="E19764" t="n">
        <v>9.199999999999999</v>
      </c>
      <c r="F19764" t="n">
        <v>1</v>
      </c>
      <c r="G19764" t="n">
        <v>3</v>
      </c>
      <c r="H19764" s="5">
        <f>HYPERLINK("https://api.qogita.com/variants/link/0000085973152/", "View Product")</f>
        <v/>
      </c>
    </row>
    <row r="19765">
      <c r="A19765" t="inlineStr">
        <is>
          <t>0000085974081</t>
        </is>
      </c>
      <c r="B19765" t="inlineStr">
        <is>
          <t>Mineral Compact Powder 8.5 grams Shade 01</t>
        </is>
      </c>
      <c r="C19765" t="inlineStr">
        <is>
          <t>Powder</t>
        </is>
      </c>
      <c r="D19765" t="inlineStr">
        <is>
          <t>Dermacol</t>
        </is>
      </c>
      <c r="E19765" t="n">
        <v>7.8</v>
      </c>
      <c r="F19765" t="n">
        <v>1</v>
      </c>
      <c r="G19765" t="n">
        <v>6</v>
      </c>
      <c r="H19765" s="5">
        <f>HYPERLINK("https://api.qogita.com/variants/link/0000085974081/", "View Product")</f>
        <v/>
      </c>
    </row>
    <row r="19766">
      <c r="A19766" t="inlineStr">
        <is>
          <t>0000085974395</t>
        </is>
      </c>
      <c r="B19766" t="inlineStr">
        <is>
          <t>Natural Powder Blush 5g Shade 01</t>
        </is>
      </c>
      <c r="C19766" t="inlineStr">
        <is>
          <t>Blush</t>
        </is>
      </c>
      <c r="D19766" t="inlineStr">
        <is>
          <t>Dermacol</t>
        </is>
      </c>
      <c r="E19766" t="n">
        <v>7.8</v>
      </c>
      <c r="F19766" t="n">
        <v>1</v>
      </c>
      <c r="G19766" t="n">
        <v>4</v>
      </c>
      <c r="H19766" s="5">
        <f>HYPERLINK("https://api.qogita.com/variants/link/0000085974395/", "View Product")</f>
        <v/>
      </c>
    </row>
    <row r="19767">
      <c r="A19767" t="inlineStr">
        <is>
          <t>0000085974425</t>
        </is>
      </c>
      <c r="B19767" t="inlineStr">
        <is>
          <t>Dermacol Natural Powder Blush 04 5g</t>
        </is>
      </c>
      <c r="C19767" t="inlineStr">
        <is>
          <t>Blush</t>
        </is>
      </c>
      <c r="D19767" t="inlineStr">
        <is>
          <t>Dermacol</t>
        </is>
      </c>
      <c r="E19767" t="n">
        <v>5.18</v>
      </c>
      <c r="F19767" t="n">
        <v>1</v>
      </c>
      <c r="G19767" t="n">
        <v>7</v>
      </c>
      <c r="H19767" s="5">
        <f>HYPERLINK("https://api.qogita.com/variants/link/0000085974425/", "View Product")</f>
        <v/>
      </c>
    </row>
    <row r="19768">
      <c r="A19768" t="inlineStr">
        <is>
          <t>0000085974609</t>
        </is>
      </c>
      <c r="B19768" t="inlineStr">
        <is>
          <t>Dermacol Cbd Magic Colour Changing Lipstick 35g - Shade 03</t>
        </is>
      </c>
      <c r="C19768" t="inlineStr">
        <is>
          <t>Lipstick</t>
        </is>
      </c>
      <c r="D19768" t="inlineStr">
        <is>
          <t>Dermacol</t>
        </is>
      </c>
      <c r="E19768" t="n">
        <v>7.8</v>
      </c>
      <c r="F19768" t="n">
        <v>1</v>
      </c>
      <c r="G19768" t="n">
        <v>10</v>
      </c>
      <c r="H19768" s="5">
        <f>HYPERLINK("https://api.qogita.com/variants/link/0000085974609/", "View Product")</f>
        <v/>
      </c>
    </row>
    <row r="19769">
      <c r="A19769" t="inlineStr">
        <is>
          <t>0000085974692</t>
        </is>
      </c>
      <c r="B19769" t="inlineStr">
        <is>
          <t>Dermacol Automatic Eyebrow Pencil Micro Styler Color No. 03</t>
        </is>
      </c>
      <c r="C19769" t="inlineStr">
        <is>
          <t>Eyebrow Pencil</t>
        </is>
      </c>
      <c r="D19769" t="inlineStr">
        <is>
          <t>Dermacol</t>
        </is>
      </c>
      <c r="E19769" t="n">
        <v>4.7</v>
      </c>
      <c r="F19769" t="n">
        <v>1</v>
      </c>
      <c r="G19769" t="n">
        <v>11</v>
      </c>
      <c r="H19769" s="5">
        <f>HYPERLINK("https://api.qogita.com/variants/link/0000085974692/", "View Product")</f>
        <v/>
      </c>
    </row>
    <row r="19770">
      <c r="A19770" t="inlineStr">
        <is>
          <t>0000085974838</t>
        </is>
      </c>
      <c r="B19770" t="inlineStr">
        <is>
          <t>Long-lasting Intense Colour Eyeliner and Shadow 1.6g Shade 11</t>
        </is>
      </c>
      <c r="C19770" t="inlineStr">
        <is>
          <t>Eyeliner</t>
        </is>
      </c>
      <c r="D19770" t="inlineStr">
        <is>
          <t>Dermacol</t>
        </is>
      </c>
      <c r="E19770" t="n">
        <v>4.37</v>
      </c>
      <c r="F19770" t="n">
        <v>1</v>
      </c>
      <c r="G19770" t="n">
        <v>3</v>
      </c>
      <c r="H19770" s="5">
        <f>HYPERLINK("https://api.qogita.com/variants/link/0000085974838/", "View Product")</f>
        <v/>
      </c>
    </row>
    <row r="19771">
      <c r="A19771" t="inlineStr">
        <is>
          <t>0000085974913</t>
        </is>
      </c>
      <c r="B19771" t="inlineStr">
        <is>
          <t>Hydrating Lipstick Dolce Vita 3g Shade 06</t>
        </is>
      </c>
      <c r="C19771" t="inlineStr">
        <is>
          <t>Lipstick</t>
        </is>
      </c>
      <c r="D19771" t="inlineStr">
        <is>
          <t>Dermacol</t>
        </is>
      </c>
      <c r="E19771" t="n">
        <v>5.18</v>
      </c>
      <c r="F19771" t="n">
        <v>1</v>
      </c>
      <c r="G19771" t="n">
        <v>15</v>
      </c>
      <c r="H19771" s="5">
        <f>HYPERLINK("https://api.qogita.com/variants/link/0000085974913/", "View Product")</f>
        <v/>
      </c>
    </row>
    <row r="19772">
      <c r="A19772" t="inlineStr">
        <is>
          <t>0000085974937</t>
        </is>
      </c>
      <c r="B19772" t="inlineStr">
        <is>
          <t>Hydrating Lipstick Dolce Vita 3g Shade 08</t>
        </is>
      </c>
      <c r="C19772" t="inlineStr">
        <is>
          <t>Lipstick</t>
        </is>
      </c>
      <c r="D19772" t="inlineStr">
        <is>
          <t>Dermacol</t>
        </is>
      </c>
      <c r="E19772" t="n">
        <v>5.18</v>
      </c>
      <c r="F19772" t="n">
        <v>1</v>
      </c>
      <c r="G19772" t="n">
        <v>12</v>
      </c>
      <c r="H19772" s="5">
        <f>HYPERLINK("https://api.qogita.com/variants/link/0000085974937/", "View Product")</f>
        <v/>
      </c>
    </row>
    <row r="19773">
      <c r="A19773" t="inlineStr">
        <is>
          <t>0000085975088</t>
        </is>
      </c>
      <c r="B19773" t="inlineStr">
        <is>
          <t>Imperial Rose Nail Polish 11 ml with Rose Scent Shade 03</t>
        </is>
      </c>
      <c r="C19773" t="inlineStr">
        <is>
          <t>Nail Polish</t>
        </is>
      </c>
      <c r="D19773" t="inlineStr">
        <is>
          <t>Dermacol</t>
        </is>
      </c>
      <c r="E19773" t="n">
        <v>4.85</v>
      </c>
      <c r="F19773" t="n">
        <v>1</v>
      </c>
      <c r="G19773" t="n">
        <v>4</v>
      </c>
      <c r="H19773" s="5">
        <f>HYPERLINK("https://api.qogita.com/variants/link/0000085975088/", "View Product")</f>
        <v/>
      </c>
    </row>
    <row r="19774">
      <c r="A19774" t="inlineStr">
        <is>
          <t>0000085975118</t>
        </is>
      </c>
      <c r="B19774" t="inlineStr">
        <is>
          <t>Imperial Rose Lip Oil (Lip Oil) 7.5 ml Shade 03</t>
        </is>
      </c>
      <c r="C19774" t="inlineStr">
        <is>
          <t>Lip Gloss</t>
        </is>
      </c>
      <c r="D19774" t="inlineStr">
        <is>
          <t>Dermacol</t>
        </is>
      </c>
      <c r="E19774" t="n">
        <v>5.29</v>
      </c>
      <c r="F19774" t="n">
        <v>1</v>
      </c>
      <c r="G19774" t="n">
        <v>3</v>
      </c>
      <c r="H19774" s="5">
        <f>HYPERLINK("https://api.qogita.com/variants/link/0000085975118/", "View Product")</f>
        <v/>
      </c>
    </row>
    <row r="19775">
      <c r="A19775" t="inlineStr">
        <is>
          <t>0000085975224</t>
        </is>
      </c>
      <c r="B19775" t="inlineStr">
        <is>
          <t>Matte Liquid Lipstick Hyaluron Hysteria Shade 01</t>
        </is>
      </c>
      <c r="C19775" t="inlineStr">
        <is>
          <t>Lipstick</t>
        </is>
      </c>
      <c r="D19775" t="inlineStr">
        <is>
          <t>Dermacol</t>
        </is>
      </c>
      <c r="E19775" t="n">
        <v>5.18</v>
      </c>
      <c r="F19775" t="n">
        <v>1</v>
      </c>
      <c r="G19775" t="n">
        <v>3</v>
      </c>
      <c r="H19775" s="5">
        <f>HYPERLINK("https://api.qogita.com/variants/link/0000085975224/", "View Product")</f>
        <v/>
      </c>
    </row>
    <row r="19776">
      <c r="A19776" t="inlineStr">
        <is>
          <t>0000085975248</t>
        </is>
      </c>
      <c r="B19776" t="inlineStr">
        <is>
          <t>Matte Liquid Lipstick Hyaluron Hysteria Shade 03</t>
        </is>
      </c>
      <c r="C19776" t="inlineStr">
        <is>
          <t>Lipstick</t>
        </is>
      </c>
      <c r="D19776" t="inlineStr">
        <is>
          <t>Dermacol</t>
        </is>
      </c>
      <c r="E19776" t="n">
        <v>5.18</v>
      </c>
      <c r="F19776" t="n">
        <v>1</v>
      </c>
      <c r="G19776" t="n">
        <v>5</v>
      </c>
      <c r="H19776" s="5">
        <f>HYPERLINK("https://api.qogita.com/variants/link/0000085975248/", "View Product")</f>
        <v/>
      </c>
    </row>
    <row r="19777">
      <c r="A19777" t="inlineStr">
        <is>
          <t>0000085975323</t>
        </is>
      </c>
      <c r="B19777" t="inlineStr">
        <is>
          <t>Dermacol 5 Day Stay Nail Polish 58 Incognito 11ml</t>
        </is>
      </c>
      <c r="C19777" t="inlineStr">
        <is>
          <t>Nail Polish</t>
        </is>
      </c>
      <c r="D19777" t="inlineStr">
        <is>
          <t>Incognito</t>
        </is>
      </c>
      <c r="E19777" t="n">
        <v>4.85</v>
      </c>
      <c r="F19777" t="n">
        <v>1</v>
      </c>
      <c r="G19777" t="n">
        <v>2</v>
      </c>
      <c r="H19777" s="5">
        <f>HYPERLINK("https://api.qogita.com/variants/link/0000085975323/", "View Product")</f>
        <v/>
      </c>
    </row>
    <row r="19778">
      <c r="A19778" t="inlineStr">
        <is>
          <t>0000085975392</t>
        </is>
      </c>
      <c r="B19778" t="inlineStr">
        <is>
          <t>Dermacol Mini Full Coverage Foundation 13g Liquid Makeup Matte</t>
        </is>
      </c>
      <c r="C19778" t="inlineStr">
        <is>
          <t>Foundation</t>
        </is>
      </c>
      <c r="D19778" t="inlineStr">
        <is>
          <t>Dermacol</t>
        </is>
      </c>
      <c r="E19778" t="n">
        <v>5.67</v>
      </c>
      <c r="F19778" t="n">
        <v>1</v>
      </c>
      <c r="G19778" t="n">
        <v>4</v>
      </c>
      <c r="H19778" s="5">
        <f>HYPERLINK("https://api.qogita.com/variants/link/0000085975392/", "View Product")</f>
        <v/>
      </c>
    </row>
    <row r="19779">
      <c r="A19779" t="inlineStr">
        <is>
          <t>0000085975408</t>
        </is>
      </c>
      <c r="B19779" t="inlineStr">
        <is>
          <t>Dermacol Make-Up Cover Mini Waterproof Foundation Highly Covering 212, 13 G</t>
        </is>
      </c>
      <c r="C19779" t="inlineStr">
        <is>
          <t>Foundation</t>
        </is>
      </c>
      <c r="D19779" t="inlineStr">
        <is>
          <t>Dermacol</t>
        </is>
      </c>
      <c r="E19779" t="n">
        <v>5.67</v>
      </c>
      <c r="F19779" t="n">
        <v>1</v>
      </c>
      <c r="G19779" t="n">
        <v>9</v>
      </c>
      <c r="H19779" s="5">
        <f>HYPERLINK("https://api.qogita.com/variants/link/0000085975408/", "View Product")</f>
        <v/>
      </c>
    </row>
    <row r="19780">
      <c r="A19780" t="inlineStr">
        <is>
          <t>0000085975545</t>
        </is>
      </c>
      <c r="B19780" t="inlineStr">
        <is>
          <t>Dermacol Imperial Waterproof Mascara Black 13ml Volume &amp; Length</t>
        </is>
      </c>
      <c r="C19780" t="inlineStr">
        <is>
          <t>Mascara</t>
        </is>
      </c>
      <c r="D19780" t="inlineStr">
        <is>
          <t>Dermacol</t>
        </is>
      </c>
      <c r="E19780" t="n">
        <v>6.91</v>
      </c>
      <c r="F19780" t="n">
        <v>1</v>
      </c>
      <c r="G19780" t="n">
        <v>3</v>
      </c>
      <c r="H19780" s="5">
        <f>HYPERLINK("https://api.qogita.com/variants/link/0000085975545/", "View Product")</f>
        <v/>
      </c>
    </row>
    <row r="19781">
      <c r="A19781" t="inlineStr">
        <is>
          <t>0000085975583</t>
        </is>
      </c>
      <c r="B19781" t="inlineStr">
        <is>
          <t>Long-lasting Two-Phase Lip Color and Gloss 16H Lip Color (Extreme Long-Lasting Lipstick) 4 + 4 ml Shade 5</t>
        </is>
      </c>
      <c r="C19781" t="inlineStr">
        <is>
          <t>Lipstick</t>
        </is>
      </c>
      <c r="D19781" t="inlineStr">
        <is>
          <t>Dermacol</t>
        </is>
      </c>
      <c r="E19781" t="n">
        <v>6.2</v>
      </c>
      <c r="F19781" t="n">
        <v>1</v>
      </c>
      <c r="G19781" t="n">
        <v>11</v>
      </c>
      <c r="H19781" s="5">
        <f>HYPERLINK("https://api.qogita.com/variants/link/0000085975583/", "View Product")</f>
        <v/>
      </c>
    </row>
    <row r="19782">
      <c r="A19782" t="inlineStr">
        <is>
          <t>0000085975675</t>
        </is>
      </c>
      <c r="B19782" t="inlineStr">
        <is>
          <t>Long-lasting Two-Phase Lip Color and Gloss 16H Lip Color (Extreme Long-Lasting Lipstick) 4 + 4 ml Shade 23</t>
        </is>
      </c>
      <c r="C19782" t="inlineStr">
        <is>
          <t>Lipstick</t>
        </is>
      </c>
      <c r="D19782" t="inlineStr">
        <is>
          <t>Dermacol</t>
        </is>
      </c>
      <c r="E19782" t="n">
        <v>8.99</v>
      </c>
      <c r="F19782" t="n">
        <v>1</v>
      </c>
      <c r="G19782" t="n">
        <v>2</v>
      </c>
      <c r="H19782" s="5">
        <f>HYPERLINK("https://api.qogita.com/variants/link/0000085975675/", "View Product")</f>
        <v/>
      </c>
    </row>
    <row r="19783">
      <c r="A19783" t="inlineStr">
        <is>
          <t>0000085975705</t>
        </is>
      </c>
      <c r="B19783" t="inlineStr">
        <is>
          <t>Long-lasting Two-Phase Lip Color and Gloss 16H Lip Color (Extreme Long-Lasting Lipstick) 4 + 4 ml Shade 31</t>
        </is>
      </c>
      <c r="C19783" t="inlineStr">
        <is>
          <t>Lipstick</t>
        </is>
      </c>
      <c r="D19783" t="inlineStr">
        <is>
          <t>Dermacol</t>
        </is>
      </c>
      <c r="E19783" t="n">
        <v>9.31</v>
      </c>
      <c r="F19783" t="n">
        <v>1</v>
      </c>
      <c r="G19783" t="n">
        <v>2</v>
      </c>
      <c r="H19783" s="5">
        <f>HYPERLINK("https://api.qogita.com/variants/link/0000085975705/", "View Product")</f>
        <v/>
      </c>
    </row>
    <row r="19784">
      <c r="A19784" t="inlineStr">
        <is>
          <t>0000085977853</t>
        </is>
      </c>
      <c r="B19784" t="inlineStr">
        <is>
          <t>Dermacol Pretty Matte Lipstick - 45 Grams</t>
        </is>
      </c>
      <c r="C19784" t="inlineStr">
        <is>
          <t>Lipstick</t>
        </is>
      </c>
      <c r="D19784" t="inlineStr">
        <is>
          <t>Dermacol</t>
        </is>
      </c>
      <c r="E19784" t="n">
        <v>5.8</v>
      </c>
      <c r="F19784" t="n">
        <v>1</v>
      </c>
      <c r="G19784" t="n">
        <v>8</v>
      </c>
      <c r="H19784" s="5">
        <f>HYPERLINK("https://api.qogita.com/variants/link/0000085977853/", "View Product")</f>
        <v/>
      </c>
    </row>
    <row r="19785">
      <c r="A19785" t="inlineStr">
        <is>
          <t>0000085977884</t>
        </is>
      </c>
      <c r="B19785" t="inlineStr">
        <is>
          <t>Dermacol Pretty Matte Lipstick - 45 Grams</t>
        </is>
      </c>
      <c r="C19785" t="inlineStr">
        <is>
          <t>Lipstick</t>
        </is>
      </c>
      <c r="D19785" t="inlineStr">
        <is>
          <t>Dermacol</t>
        </is>
      </c>
      <c r="E19785" t="n">
        <v>5.8</v>
      </c>
      <c r="F19785" t="n">
        <v>1</v>
      </c>
      <c r="G19785" t="n">
        <v>9</v>
      </c>
      <c r="H19785" s="5">
        <f>HYPERLINK("https://api.qogita.com/variants/link/0000085977884/", "View Product")</f>
        <v/>
      </c>
    </row>
    <row r="19786">
      <c r="A19786" t="inlineStr">
        <is>
          <t>0000085977945</t>
        </is>
      </c>
      <c r="B19786" t="inlineStr">
        <is>
          <t>New Generation Lip Liner (Lip Liner) 1 gram Shade 01</t>
        </is>
      </c>
      <c r="C19786" t="inlineStr">
        <is>
          <t>Lip Liner</t>
        </is>
      </c>
      <c r="D19786" t="inlineStr">
        <is>
          <t>Dermacol</t>
        </is>
      </c>
      <c r="E19786" t="n">
        <v>3.41</v>
      </c>
      <c r="F19786" t="n">
        <v>1</v>
      </c>
      <c r="G19786" t="n">
        <v>2</v>
      </c>
      <c r="H19786" s="5">
        <f>HYPERLINK("https://api.qogita.com/variants/link/0000085977945/", "View Product")</f>
        <v/>
      </c>
    </row>
    <row r="19787">
      <c r="A19787" t="inlineStr">
        <is>
          <t>0000085977952</t>
        </is>
      </c>
      <c r="B19787" t="inlineStr">
        <is>
          <t>New Generation Lip Liner (Lip Liner) 1 gram Shade 02</t>
        </is>
      </c>
      <c r="C19787" t="inlineStr">
        <is>
          <t>Lip Liner</t>
        </is>
      </c>
      <c r="D19787" t="inlineStr">
        <is>
          <t>Dermacol</t>
        </is>
      </c>
      <c r="E19787" t="n">
        <v>3.41</v>
      </c>
      <c r="F19787" t="n">
        <v>1</v>
      </c>
      <c r="G19787" t="n">
        <v>9</v>
      </c>
      <c r="H19787" s="5">
        <f>HYPERLINK("https://api.qogita.com/variants/link/0000085977952/", "View Product")</f>
        <v/>
      </c>
    </row>
    <row r="19788">
      <c r="A19788" t="inlineStr">
        <is>
          <t>0000085978034</t>
        </is>
      </c>
      <c r="B19788" t="inlineStr">
        <is>
          <t>Dermacol Cbd Magic Colour Changing Lipstick 35g - Shade 04</t>
        </is>
      </c>
      <c r="C19788" t="inlineStr">
        <is>
          <t>Lipstick</t>
        </is>
      </c>
      <c r="D19788" t="inlineStr">
        <is>
          <t>Dermacol</t>
        </is>
      </c>
      <c r="E19788" t="n">
        <v>7.8</v>
      </c>
      <c r="F19788" t="n">
        <v>1</v>
      </c>
      <c r="G19788" t="n">
        <v>6</v>
      </c>
      <c r="H19788" s="5">
        <f>HYPERLINK("https://api.qogita.com/variants/link/0000085978034/", "View Product")</f>
        <v/>
      </c>
    </row>
    <row r="19789">
      <c r="A19789" t="inlineStr">
        <is>
          <t>0000085978041</t>
        </is>
      </c>
      <c r="B19789" t="inlineStr">
        <is>
          <t>Dermacol Cbd Magic Colour Changing Lipstick 35g - Shade 05</t>
        </is>
      </c>
      <c r="C19789" t="inlineStr">
        <is>
          <t>Lipstick</t>
        </is>
      </c>
      <c r="D19789" t="inlineStr">
        <is>
          <t>Dermacol</t>
        </is>
      </c>
      <c r="E19789" t="n">
        <v>7.8</v>
      </c>
      <c r="F19789" t="n">
        <v>1</v>
      </c>
      <c r="G19789" t="n">
        <v>3</v>
      </c>
      <c r="H19789" s="5">
        <f>HYPERLINK("https://api.qogita.com/variants/link/0000085978041/", "View Product")</f>
        <v/>
      </c>
    </row>
    <row r="19790">
      <c r="A19790" t="inlineStr">
        <is>
          <t>0000085978270</t>
        </is>
      </c>
      <c r="B19790" t="inlineStr">
        <is>
          <t>Hyaluronic Acid Make-up and Serum 2 in 1 (25g) Shade 01 Pale</t>
        </is>
      </c>
      <c r="C19790" t="inlineStr">
        <is>
          <t>Foundation</t>
        </is>
      </c>
      <c r="D19790" t="inlineStr">
        <is>
          <t>Dermacol</t>
        </is>
      </c>
      <c r="E19790" t="n">
        <v>7.68</v>
      </c>
      <c r="F19790" t="n">
        <v>1</v>
      </c>
      <c r="G19790" t="n">
        <v>10</v>
      </c>
      <c r="H19790" s="5">
        <f>HYPERLINK("https://api.qogita.com/variants/link/0000085978270/", "View Product")</f>
        <v/>
      </c>
    </row>
    <row r="19791">
      <c r="A19791" t="inlineStr">
        <is>
          <t>0000085978300</t>
        </is>
      </c>
      <c r="B19791" t="inlineStr">
        <is>
          <t>Hyaluronic Acid Make-up and Serum 2 in 1 (25g) Shade 04 Tan</t>
        </is>
      </c>
      <c r="C19791" t="inlineStr">
        <is>
          <t>Foundation</t>
        </is>
      </c>
      <c r="D19791" t="inlineStr">
        <is>
          <t>Dermacol</t>
        </is>
      </c>
      <c r="E19791" t="n">
        <v>7.68</v>
      </c>
      <c r="F19791" t="n">
        <v>1</v>
      </c>
      <c r="G19791" t="n">
        <v>5</v>
      </c>
      <c r="H19791" s="5">
        <f>HYPERLINK("https://api.qogita.com/variants/link/0000085978300/", "View Product")</f>
        <v/>
      </c>
    </row>
    <row r="19792">
      <c r="A19792" t="inlineStr">
        <is>
          <t>0000085978348</t>
        </is>
      </c>
      <c r="B19792" t="inlineStr">
        <is>
          <t>Dermacol Eyelash Hair Neon Mascara Blue Lagoon - 10 Ml</t>
        </is>
      </c>
      <c r="C19792" t="inlineStr">
        <is>
          <t>Mascara</t>
        </is>
      </c>
      <c r="D19792" t="inlineStr">
        <is>
          <t>Dermacol</t>
        </is>
      </c>
      <c r="E19792" t="n">
        <v>5.14</v>
      </c>
      <c r="F19792" t="n">
        <v>1</v>
      </c>
      <c r="G19792" t="n">
        <v>5</v>
      </c>
      <c r="H19792" s="5">
        <f>HYPERLINK("https://api.qogita.com/variants/link/0000085978348/", "View Product")</f>
        <v/>
      </c>
    </row>
    <row r="19793">
      <c r="A19793" t="inlineStr">
        <is>
          <t>0000085978515</t>
        </is>
      </c>
      <c r="B19793" t="inlineStr">
        <is>
          <t>Dermacol Just Mascara - Volumizing Mascara 126 Ml Black</t>
        </is>
      </c>
      <c r="C19793" t="inlineStr">
        <is>
          <t>Mascara</t>
        </is>
      </c>
      <c r="D19793" t="inlineStr">
        <is>
          <t>Dermacol</t>
        </is>
      </c>
      <c r="E19793" t="n">
        <v>4.19</v>
      </c>
      <c r="F19793" t="n">
        <v>1</v>
      </c>
      <c r="G19793" t="n">
        <v>7</v>
      </c>
      <c r="H19793" s="5">
        <f>HYPERLINK("https://api.qogita.com/variants/link/0000085978515/", "View Product")</f>
        <v/>
      </c>
    </row>
    <row r="19794">
      <c r="A19794" t="inlineStr">
        <is>
          <t>0000085978553</t>
        </is>
      </c>
      <c r="B19794" t="inlineStr">
        <is>
          <t>Long-lasting Two-Phase Lip Color and Gloss 16H Lip Color (Extreme Long-Lasting Lipstick) 4 + 4 ml Shade 37</t>
        </is>
      </c>
      <c r="C19794" t="inlineStr">
        <is>
          <t>Lipstick</t>
        </is>
      </c>
      <c r="D19794" t="inlineStr">
        <is>
          <t>Dermacol</t>
        </is>
      </c>
      <c r="E19794" t="n">
        <v>6.16</v>
      </c>
      <c r="F19794" t="n">
        <v>1</v>
      </c>
      <c r="G19794" t="n">
        <v>14</v>
      </c>
      <c r="H19794" s="5">
        <f>HYPERLINK("https://api.qogita.com/variants/link/0000085978553/", "View Product")</f>
        <v/>
      </c>
    </row>
    <row r="19795">
      <c r="A19795" t="inlineStr">
        <is>
          <t>0000085978744</t>
        </is>
      </c>
      <c r="B19795" t="inlineStr">
        <is>
          <t>Dermacol Think Pink Lip Oil - Nourishing Lip Oil With Ultra Sparkle, 4 Ml</t>
        </is>
      </c>
      <c r="C19795" t="inlineStr">
        <is>
          <t>Lip Gloss</t>
        </is>
      </c>
      <c r="D19795" t="inlineStr">
        <is>
          <t>Dermacol</t>
        </is>
      </c>
      <c r="E19795" t="n">
        <v>4.54</v>
      </c>
      <c r="F19795" t="n">
        <v>1</v>
      </c>
      <c r="G19795" t="n">
        <v>2</v>
      </c>
      <c r="H19795" s="5">
        <f>HYPERLINK("https://api.qogita.com/variants/link/0000085978744/", "View Product")</f>
        <v/>
      </c>
    </row>
    <row r="19796">
      <c r="A19796" t="inlineStr">
        <is>
          <t>0000085978751</t>
        </is>
      </c>
      <c r="B19796" t="inlineStr">
        <is>
          <t>Dermacol Think Pink Lip Oil - Nourishing Lip Oil With Ultra Sparkle 4 Ml</t>
        </is>
      </c>
      <c r="C19796" t="inlineStr">
        <is>
          <t>Lip Gloss</t>
        </is>
      </c>
      <c r="D19796" t="inlineStr">
        <is>
          <t>Dermacol</t>
        </is>
      </c>
      <c r="E19796" t="n">
        <v>4.54</v>
      </c>
      <c r="F19796" t="n">
        <v>1</v>
      </c>
      <c r="G19796" t="n">
        <v>2</v>
      </c>
      <c r="H19796" s="5">
        <f>HYPERLINK("https://api.qogita.com/variants/link/0000085978751/", "View Product")</f>
        <v/>
      </c>
    </row>
    <row r="19797">
      <c r="A19797" t="inlineStr">
        <is>
          <t>0000085978775</t>
        </is>
      </c>
      <c r="B19797" t="inlineStr">
        <is>
          <t>Dermacol Think Pink Lip Oil - Nourishing Lip Oil With Ultra Sparkle 4 Ml</t>
        </is>
      </c>
      <c r="C19797" t="inlineStr">
        <is>
          <t>Lip Gloss</t>
        </is>
      </c>
      <c r="D19797" t="inlineStr">
        <is>
          <t>Dermacol</t>
        </is>
      </c>
      <c r="E19797" t="n">
        <v>4.19</v>
      </c>
      <c r="F19797" t="n">
        <v>1</v>
      </c>
      <c r="G19797" t="n">
        <v>13</v>
      </c>
      <c r="H19797" s="5">
        <f>HYPERLINK("https://api.qogita.com/variants/link/0000085978775/", "View Product")</f>
        <v/>
      </c>
    </row>
    <row r="19798">
      <c r="A19798" t="inlineStr">
        <is>
          <t>0000085978782</t>
        </is>
      </c>
      <c r="B19798" t="inlineStr">
        <is>
          <t>Dermacol Think Pink Lip Oil - Nourishing Lip Oil With Ultra Sparkle, 4 Ml</t>
        </is>
      </c>
      <c r="C19798" t="inlineStr">
        <is>
          <t>Lip Gloss</t>
        </is>
      </c>
      <c r="D19798" t="inlineStr">
        <is>
          <t>Dermacol</t>
        </is>
      </c>
      <c r="E19798" t="n">
        <v>4.5</v>
      </c>
      <c r="F19798" t="n">
        <v>1</v>
      </c>
      <c r="G19798" t="n">
        <v>6</v>
      </c>
      <c r="H19798" s="5">
        <f>HYPERLINK("https://api.qogita.com/variants/link/0000085978782/", "View Product")</f>
        <v/>
      </c>
    </row>
    <row r="19799">
      <c r="A19799" t="inlineStr">
        <is>
          <t>0000085979383</t>
        </is>
      </c>
      <c r="B19799" t="inlineStr">
        <is>
          <t>Dermacol Magic Glow Cream Highlighter - 3 Ml</t>
        </is>
      </c>
      <c r="C19799" t="inlineStr">
        <is>
          <t>Highlighter</t>
        </is>
      </c>
      <c r="D19799" t="inlineStr">
        <is>
          <t>Dermacol</t>
        </is>
      </c>
      <c r="E19799" t="n">
        <v>6.33</v>
      </c>
      <c r="F19799" t="n">
        <v>1</v>
      </c>
      <c r="G19799" t="n">
        <v>3</v>
      </c>
      <c r="H19799" s="5">
        <f>HYPERLINK("https://api.qogita.com/variants/link/0000085979383/", "View Product")</f>
        <v/>
      </c>
    </row>
    <row r="19800">
      <c r="A19800" t="inlineStr">
        <is>
          <t>0000085979437</t>
        </is>
      </c>
      <c r="B19800" t="inlineStr">
        <is>
          <t>Dermacol Magic Eye Shadows - Waterproof Eye Shadow Palette 42 G 1</t>
        </is>
      </c>
      <c r="C19800" t="inlineStr">
        <is>
          <t>Eye Sets &amp; Pallets</t>
        </is>
      </c>
      <c r="D19800" t="inlineStr">
        <is>
          <t>Dermacol</t>
        </is>
      </c>
      <c r="E19800" t="n">
        <v>4.7</v>
      </c>
      <c r="F19800" t="n">
        <v>1</v>
      </c>
      <c r="G19800" t="n">
        <v>8</v>
      </c>
      <c r="H19800" s="5">
        <f>HYPERLINK("https://api.qogita.com/variants/link/0000085979437/", "View Product")</f>
        <v/>
      </c>
    </row>
    <row r="19801">
      <c r="A19801" t="inlineStr">
        <is>
          <t>0000085979444</t>
        </is>
      </c>
      <c r="B19801" t="inlineStr">
        <is>
          <t>Dermacol Magic Eye Shadow Palette</t>
        </is>
      </c>
      <c r="C19801" t="inlineStr">
        <is>
          <t>Eye Sets &amp; Pallets</t>
        </is>
      </c>
      <c r="D19801" t="inlineStr">
        <is>
          <t>Dermacol</t>
        </is>
      </c>
      <c r="E19801" t="n">
        <v>4.7</v>
      </c>
      <c r="F19801" t="n">
        <v>1</v>
      </c>
      <c r="G19801" t="n">
        <v>5</v>
      </c>
      <c r="H19801" s="5">
        <f>HYPERLINK("https://api.qogita.com/variants/link/0000085979444/", "View Product")</f>
        <v/>
      </c>
    </row>
    <row r="19802">
      <c r="A19802" t="inlineStr">
        <is>
          <t>0000085979833</t>
        </is>
      </c>
      <c r="B19802" t="inlineStr">
        <is>
          <t>Dermacol Lipstick D Lady 4.4 G</t>
        </is>
      </c>
      <c r="C19802" t="inlineStr">
        <is>
          <t>Lipstick</t>
        </is>
      </c>
      <c r="D19802" t="inlineStr">
        <is>
          <t>Dermacol</t>
        </is>
      </c>
      <c r="E19802" t="n">
        <v>5.92</v>
      </c>
      <c r="F19802" t="n">
        <v>1</v>
      </c>
      <c r="G19802" t="n">
        <v>12</v>
      </c>
      <c r="H19802" s="5">
        <f>HYPERLINK("https://api.qogita.com/variants/link/0000085979833/", "View Product")</f>
        <v/>
      </c>
    </row>
    <row r="19803">
      <c r="A19803" t="inlineStr">
        <is>
          <t>0000085979840</t>
        </is>
      </c>
      <c r="B19803" t="inlineStr">
        <is>
          <t>Dermacol Lipstick D Lady 4.4 G</t>
        </is>
      </c>
      <c r="C19803" t="inlineStr">
        <is>
          <t>Lipstick</t>
        </is>
      </c>
      <c r="D19803" t="inlineStr">
        <is>
          <t>Dermacol</t>
        </is>
      </c>
      <c r="E19803" t="n">
        <v>5.92</v>
      </c>
      <c r="F19803" t="n">
        <v>1</v>
      </c>
      <c r="G19803" t="n">
        <v>13</v>
      </c>
      <c r="H19803" s="5">
        <f>HYPERLINK("https://api.qogita.com/variants/link/0000085979840/", "View Product")</f>
        <v/>
      </c>
    </row>
    <row r="19804">
      <c r="A19804" t="inlineStr">
        <is>
          <t>0000085979871</t>
        </is>
      </c>
      <c r="B19804" t="inlineStr">
        <is>
          <t>Dermacol Lipstick D Lady 4.4 G</t>
        </is>
      </c>
      <c r="C19804" t="inlineStr">
        <is>
          <t>Lipstick</t>
        </is>
      </c>
      <c r="D19804" t="inlineStr">
        <is>
          <t>Dermacol</t>
        </is>
      </c>
      <c r="E19804" t="n">
        <v>5.92</v>
      </c>
      <c r="F19804" t="n">
        <v>1</v>
      </c>
      <c r="G19804" t="n">
        <v>13</v>
      </c>
      <c r="H19804" s="5">
        <f>HYPERLINK("https://api.qogita.com/variants/link/0000085979871/", "View Product")</f>
        <v/>
      </c>
    </row>
    <row r="19805">
      <c r="A19805" t="inlineStr">
        <is>
          <t>0000096137222</t>
        </is>
      </c>
      <c r="B19805" t="inlineStr">
        <is>
          <t>Max Factor False Lash Epic Waterproof Mascara Black</t>
        </is>
      </c>
      <c r="C19805" t="inlineStr">
        <is>
          <t>Mascara</t>
        </is>
      </c>
      <c r="D19805" t="inlineStr">
        <is>
          <t>Max Factor</t>
        </is>
      </c>
      <c r="E19805" t="n">
        <v>5.69</v>
      </c>
      <c r="F19805" t="n">
        <v>1</v>
      </c>
      <c r="G19805" t="n">
        <v>13</v>
      </c>
      <c r="H19805" s="5">
        <f>HYPERLINK("https://api.qogita.com/variants/link/0000096137222/", "View Product")</f>
        <v/>
      </c>
    </row>
    <row r="19806">
      <c r="A19806" t="inlineStr">
        <is>
          <t>0000096145722</t>
        </is>
      </c>
      <c r="B19806" t="inlineStr">
        <is>
          <t>Max Factor Brow Shaper Blonde 10 for Perfectly Shaped Eyebrows</t>
        </is>
      </c>
      <c r="C19806" t="inlineStr">
        <is>
          <t>Other</t>
        </is>
      </c>
      <c r="D19806" t="inlineStr">
        <is>
          <t>Max Factor</t>
        </is>
      </c>
      <c r="E19806" t="n">
        <v>6.25</v>
      </c>
      <c r="F19806" t="n">
        <v>1</v>
      </c>
      <c r="G19806" t="n">
        <v>2</v>
      </c>
      <c r="H19806" s="5">
        <f>HYPERLINK("https://api.qogita.com/variants/link/0000096145722/", "View Product")</f>
        <v/>
      </c>
    </row>
    <row r="19807">
      <c r="A19807" t="inlineStr">
        <is>
          <t>0000096190814</t>
        </is>
      </c>
      <c r="B19807" t="inlineStr">
        <is>
          <t>Slick Gorilla Lightwork Water-Based Hair Styling Clay 70g</t>
        </is>
      </c>
      <c r="C19807" t="inlineStr">
        <is>
          <t>Wax</t>
        </is>
      </c>
      <c r="D19807" t="inlineStr">
        <is>
          <t>Slick Gorilla</t>
        </is>
      </c>
      <c r="E19807" t="n">
        <v>12.47</v>
      </c>
      <c r="F19807" t="n">
        <v>1</v>
      </c>
      <c r="G19807" t="n">
        <v>14</v>
      </c>
      <c r="H19807" s="5">
        <f>HYPERLINK("https://api.qogita.com/variants/link/0000096190814/", "View Product")</f>
        <v/>
      </c>
    </row>
    <row r="19808">
      <c r="A19808" t="inlineStr">
        <is>
          <t>0008080099501</t>
        </is>
      </c>
      <c r="B19808" t="inlineStr">
        <is>
          <t>Molton Brown Orange &amp; Bergamot Radiant Body Scrub 275g</t>
        </is>
      </c>
      <c r="C19808" t="inlineStr">
        <is>
          <t>Body Scrub &amp; Peeling</t>
        </is>
      </c>
      <c r="D19808" t="inlineStr">
        <is>
          <t>Molton Brown</t>
        </is>
      </c>
      <c r="E19808" t="n">
        <v>29.18</v>
      </c>
      <c r="F19808" t="n">
        <v>1</v>
      </c>
      <c r="G19808" t="n">
        <v>22</v>
      </c>
      <c r="H19808" s="5">
        <f>HYPERLINK("https://api.qogita.com/variants/link/0008080099501/", "View Product")</f>
        <v/>
      </c>
    </row>
    <row r="19809">
      <c r="A19809" t="inlineStr">
        <is>
          <t>0008482328506</t>
        </is>
      </c>
      <c r="B19809" t="inlineStr">
        <is>
          <t>Dtangler Hair Styling Kit Spray Spray Red Point Crest</t>
        </is>
      </c>
      <c r="C19809" t="inlineStr">
        <is>
          <t>Styling Sprays</t>
        </is>
      </c>
      <c r="D19809" t="inlineStr">
        <is>
          <t>Dtangler</t>
        </is>
      </c>
      <c r="E19809" t="n">
        <v>9.81</v>
      </c>
      <c r="F19809" t="n">
        <v>1</v>
      </c>
      <c r="G19809" t="n">
        <v>11</v>
      </c>
      <c r="H19809" s="5">
        <f>HYPERLINK("https://api.qogita.com/variants/link/0008482328506/", "View Product")</f>
        <v/>
      </c>
    </row>
    <row r="19810">
      <c r="A19810" t="inlineStr">
        <is>
          <t>0008952201100</t>
        </is>
      </c>
      <c r="B19810" t="inlineStr">
        <is>
          <t>Amouroud White Hinoki Eau De Perfume for Unisex 100ml</t>
        </is>
      </c>
      <c r="C19810" t="inlineStr">
        <is>
          <t>Eau De Parfum</t>
        </is>
      </c>
      <c r="D19810" t="inlineStr">
        <is>
          <t>Amouroud</t>
        </is>
      </c>
      <c r="E19810" t="n">
        <v>91.48</v>
      </c>
      <c r="F19810" t="n">
        <v>1</v>
      </c>
      <c r="G19810" t="n">
        <v>4</v>
      </c>
      <c r="H19810" s="5">
        <f>HYPERLINK("https://api.qogita.com/variants/link/0008952201100/", "View Product")</f>
        <v/>
      </c>
    </row>
    <row r="19811">
      <c r="A19811" t="inlineStr">
        <is>
          <t>0017854104877</t>
        </is>
      </c>
      <c r="B19811" t="inlineStr">
        <is>
          <t>Baylis &amp; Hardin Elements Dark Amber &amp; Fig Shower Wash Black Amber And Figs Shower Gel 500ml</t>
        </is>
      </c>
      <c r="C19811" t="inlineStr">
        <is>
          <t>Shower Gel</t>
        </is>
      </c>
      <c r="D19811" t="inlineStr">
        <is>
          <t>Baylis &amp; Harding</t>
        </is>
      </c>
      <c r="E19811" t="n">
        <v>5.59</v>
      </c>
      <c r="F19811" t="n">
        <v>1</v>
      </c>
      <c r="G19811" t="n">
        <v>8</v>
      </c>
      <c r="H19811" s="5">
        <f>HYPERLINK("https://api.qogita.com/variants/link/0017854104877/", "View Product")</f>
        <v/>
      </c>
    </row>
    <row r="19812">
      <c r="A19812" t="inlineStr">
        <is>
          <t>0017854109582</t>
        </is>
      </c>
      <c r="B19812" t="inlineStr">
        <is>
          <t>Baylis &amp; Harding The Fuzzy Duck Winter Wonderland Luxury Dressing Gown Gift Set - Vegan Friendly</t>
        </is>
      </c>
      <c r="C19812" t="inlineStr">
        <is>
          <t>Toiletries Bags</t>
        </is>
      </c>
      <c r="D19812" t="inlineStr">
        <is>
          <t>Baylis &amp; Harding</t>
        </is>
      </c>
      <c r="E19812" t="n">
        <v>52.63</v>
      </c>
      <c r="F19812" t="n">
        <v>1</v>
      </c>
      <c r="G19812" t="n">
        <v>4</v>
      </c>
      <c r="H19812" s="5">
        <f>HYPERLINK("https://api.qogita.com/variants/link/0017854109582/", "View Product")</f>
        <v/>
      </c>
    </row>
    <row r="19813">
      <c r="A19813" t="inlineStr">
        <is>
          <t>0017854113473</t>
        </is>
      </c>
      <c r="B19813" t="inlineStr">
        <is>
          <t>Baylis &amp; Harding The Fuzzy Duck Cotswold Spa Luxury Candlelit Bathing Gift Set</t>
        </is>
      </c>
      <c r="C19813" t="inlineStr">
        <is>
          <t>Candles</t>
        </is>
      </c>
      <c r="D19813" t="inlineStr">
        <is>
          <t>Baylis &amp; Harding</t>
        </is>
      </c>
      <c r="E19813" t="n">
        <v>21.64</v>
      </c>
      <c r="F19813" t="n">
        <v>1</v>
      </c>
      <c r="G19813" t="n">
        <v>14</v>
      </c>
      <c r="H19813" s="5">
        <f>HYPERLINK("https://api.qogita.com/variants/link/0017854113473/", "View Product")</f>
        <v/>
      </c>
    </row>
    <row r="19814">
      <c r="A19814" t="inlineStr">
        <is>
          <t>0017854113961</t>
        </is>
      </c>
      <c r="B19814" t="inlineStr">
        <is>
          <t>Baylis &amp; Harding Jojoba Vanilla Almond Oil Ultimate Bathing Large Gift Set</t>
        </is>
      </c>
      <c r="C19814" t="inlineStr">
        <is>
          <t>Body Care Sets</t>
        </is>
      </c>
      <c r="D19814" t="inlineStr">
        <is>
          <t>Baylis &amp; Harding</t>
        </is>
      </c>
      <c r="E19814" t="n">
        <v>27.64</v>
      </c>
      <c r="F19814" t="n">
        <v>1</v>
      </c>
      <c r="G19814" t="n">
        <v>9</v>
      </c>
      <c r="H19814" s="5">
        <f>HYPERLINK("https://api.qogita.com/variants/link/0017854113961/", "View Product")</f>
        <v/>
      </c>
    </row>
    <row r="19815">
      <c r="A19815" t="inlineStr">
        <is>
          <t>0017854114845</t>
        </is>
      </c>
      <c r="B19815" t="inlineStr">
        <is>
          <t>Gift set Ginger, Lemon &amp; Basil 6 pieces</t>
        </is>
      </c>
      <c r="C19815" t="inlineStr">
        <is>
          <t>Diffusers</t>
        </is>
      </c>
      <c r="D19815" t="inlineStr">
        <is>
          <t>Baylis &amp; Harding</t>
        </is>
      </c>
      <c r="E19815" t="n">
        <v>31.01</v>
      </c>
      <c r="F19815" t="n">
        <v>1</v>
      </c>
      <c r="G19815" t="n">
        <v>7</v>
      </c>
      <c r="H19815" s="5">
        <f>HYPERLINK("https://api.qogita.com/variants/link/0017854114845/", "View Product")</f>
        <v/>
      </c>
    </row>
    <row r="19816">
      <c r="A19816" t="inlineStr">
        <is>
          <t>0017854117341</t>
        </is>
      </c>
      <c r="B19816" t="inlineStr">
        <is>
          <t>Baylis &amp; Harding Body Care Gift Set In Cosmetic Bag - Tangerine And Grapefruit, 3 Pieces</t>
        </is>
      </c>
      <c r="C19816" t="inlineStr">
        <is>
          <t>Body Care Sets</t>
        </is>
      </c>
      <c r="D19816" t="inlineStr">
        <is>
          <t>Baylis &amp; Harding</t>
        </is>
      </c>
      <c r="E19816" t="n">
        <v>17.65</v>
      </c>
      <c r="F19816" t="n">
        <v>1</v>
      </c>
      <c r="G19816" t="n">
        <v>3</v>
      </c>
      <c r="H19816" s="5">
        <f>HYPERLINK("https://api.qogita.com/variants/link/0017854117341/", "View Product")</f>
        <v/>
      </c>
    </row>
    <row r="19817">
      <c r="A19817" t="inlineStr">
        <is>
          <t>0017854117532</t>
        </is>
      </c>
      <c r="B19817" t="inlineStr">
        <is>
          <t>Baylis &amp; Harding Jojoba Vanilla Almond Oil Bath Soak Crystals Signature Collection</t>
        </is>
      </c>
      <c r="C19817" t="inlineStr">
        <is>
          <t>Bath Salts &amp; Bath Bombs</t>
        </is>
      </c>
      <c r="D19817" t="inlineStr">
        <is>
          <t>Baylis &amp; Harding</t>
        </is>
      </c>
      <c r="E19817" t="n">
        <v>8.859999999999999</v>
      </c>
      <c r="F19817" t="n">
        <v>1</v>
      </c>
      <c r="G19817" t="n">
        <v>5</v>
      </c>
      <c r="H19817" s="5">
        <f>HYPERLINK("https://api.qogita.com/variants/link/0017854117532/", "View Product")</f>
        <v/>
      </c>
    </row>
    <row r="19818">
      <c r="A19818" t="inlineStr">
        <is>
          <t>0017854118379</t>
        </is>
      </c>
      <c r="B19818" t="inlineStr">
        <is>
          <t>Baylis &amp; Harding Body Care Gift Set In A Tin Can Grapefruit Ginger Lime 4 Pieces</t>
        </is>
      </c>
      <c r="C19818" t="inlineStr">
        <is>
          <t>Body Care Sets</t>
        </is>
      </c>
      <c r="D19818" t="inlineStr">
        <is>
          <t>Baylis &amp; Harding</t>
        </is>
      </c>
      <c r="E19818" t="n">
        <v>19.45</v>
      </c>
      <c r="F19818" t="n">
        <v>1</v>
      </c>
      <c r="G19818" t="n">
        <v>13</v>
      </c>
      <c r="H19818" s="5">
        <f>HYPERLINK("https://api.qogita.com/variants/link/0017854118379/", "View Product")</f>
        <v/>
      </c>
    </row>
    <row r="19819">
      <c r="A19819" t="inlineStr">
        <is>
          <t>0017854123069</t>
        </is>
      </c>
      <c r="B19819" t="inlineStr">
        <is>
          <t>Baylis &amp; Harding The Edit Cherry Temptation Hand Wash 400ml - Pack of 2</t>
        </is>
      </c>
      <c r="C19819" t="inlineStr">
        <is>
          <t>Hand Care Sets</t>
        </is>
      </c>
      <c r="D19819" t="inlineStr">
        <is>
          <t>Baylis &amp; Harding</t>
        </is>
      </c>
      <c r="E19819" t="n">
        <v>17.35</v>
      </c>
      <c r="F19819" t="n">
        <v>1</v>
      </c>
      <c r="G19819" t="n">
        <v>4</v>
      </c>
      <c r="H19819" s="5">
        <f>HYPERLINK("https://api.qogita.com/variants/link/0017854123069/", "View Product")</f>
        <v/>
      </c>
    </row>
    <row r="19820">
      <c r="A19820" t="inlineStr">
        <is>
          <t>0018084001929</t>
        </is>
      </c>
      <c r="B19820" t="inlineStr">
        <is>
          <t>Aveda Sap Moss Weightless Hydration Shampoo</t>
        </is>
      </c>
      <c r="C19820" t="inlineStr">
        <is>
          <t>Shampoo</t>
        </is>
      </c>
      <c r="D19820" t="inlineStr">
        <is>
          <t>Aveda</t>
        </is>
      </c>
      <c r="E19820" t="n">
        <v>22.63</v>
      </c>
      <c r="F19820" t="n">
        <v>1</v>
      </c>
      <c r="G19820" t="n">
        <v>2</v>
      </c>
      <c r="H19820" s="5">
        <f>HYPERLINK("https://api.qogita.com/variants/link/0018084001929/", "View Product")</f>
        <v/>
      </c>
    </row>
    <row r="19821">
      <c r="A19821" t="inlineStr">
        <is>
          <t>0018084019580</t>
        </is>
      </c>
      <c r="B19821" t="inlineStr">
        <is>
          <t>Aveda Botanical Repair Strengthening Leave-In Treatment 100ml Cranberry</t>
        </is>
      </c>
      <c r="C19821" t="inlineStr">
        <is>
          <t>Leave-In Conditioner</t>
        </is>
      </c>
      <c r="D19821" t="inlineStr">
        <is>
          <t>Aveda</t>
        </is>
      </c>
      <c r="E19821" t="n">
        <v>27.49</v>
      </c>
      <c r="F19821" t="n">
        <v>1</v>
      </c>
      <c r="G19821" t="n">
        <v>35</v>
      </c>
      <c r="H19821" s="5">
        <f>HYPERLINK("https://api.qogita.com/variants/link/0018084019580/", "View Product")</f>
        <v/>
      </c>
    </row>
    <row r="19822">
      <c r="A19822" t="inlineStr">
        <is>
          <t>0018084031070</t>
        </is>
      </c>
      <c r="B19822" t="inlineStr">
        <is>
          <t>Aveda Nutriplenish Curl Gelee 200ml - Curly Definition Cream</t>
        </is>
      </c>
      <c r="C19822" t="inlineStr">
        <is>
          <t>Gel</t>
        </is>
      </c>
      <c r="D19822" t="inlineStr">
        <is>
          <t>Aveda</t>
        </is>
      </c>
      <c r="E19822" t="n">
        <v>27.2</v>
      </c>
      <c r="F19822" t="n">
        <v>1</v>
      </c>
      <c r="G19822" t="n">
        <v>4</v>
      </c>
      <c r="H19822" s="5">
        <f>HYPERLINK("https://api.qogita.com/variants/link/0018084031070/", "View Product")</f>
        <v/>
      </c>
    </row>
    <row r="19823">
      <c r="A19823" t="inlineStr">
        <is>
          <t>0615908431551</t>
        </is>
      </c>
      <c r="B19823" t="inlineStr">
        <is>
          <t>Tigi Head Gimme Grip Texturizing Conditioning Jelly 400ml</t>
        </is>
      </c>
      <c r="C19823" t="inlineStr">
        <is>
          <t>Conditioner</t>
        </is>
      </c>
      <c r="D19823" t="inlineStr">
        <is>
          <t>Tigi</t>
        </is>
      </c>
      <c r="E19823" t="n">
        <v>7.68</v>
      </c>
      <c r="F19823" t="n">
        <v>1</v>
      </c>
      <c r="G19823" t="n">
        <v>4</v>
      </c>
      <c r="H19823" s="5">
        <f>HYPERLINK("https://api.qogita.com/variants/link/0615908431551/", "View Product")</f>
        <v/>
      </c>
    </row>
    <row r="19824">
      <c r="A19824" t="inlineStr">
        <is>
          <t>0615908431599</t>
        </is>
      </c>
      <c r="B19824" t="inlineStr">
        <is>
          <t>Bed Head By Tigi Manipulator Matte Hair Wax Paste Strong Hold Hair Styling</t>
        </is>
      </c>
      <c r="C19824" t="inlineStr">
        <is>
          <t>Wax</t>
        </is>
      </c>
      <c r="D19824" t="inlineStr">
        <is>
          <t>Tigi</t>
        </is>
      </c>
      <c r="E19824" t="n">
        <v>6.19</v>
      </c>
      <c r="F19824" t="n">
        <v>1</v>
      </c>
      <c r="G19824" t="n">
        <v>22</v>
      </c>
      <c r="H19824" s="5">
        <f>HYPERLINK("https://api.qogita.com/variants/link/0615908431599/", "View Product")</f>
        <v/>
      </c>
    </row>
    <row r="19825">
      <c r="A19825" t="inlineStr">
        <is>
          <t>0615908431612</t>
        </is>
      </c>
      <c r="B19825" t="inlineStr">
        <is>
          <t>Styling Cream Tigi Bed Head Back It Up Texturiser (125 ml)</t>
        </is>
      </c>
      <c r="C19825" t="inlineStr">
        <is>
          <t>Styling Creams</t>
        </is>
      </c>
      <c r="D19825" t="inlineStr">
        <is>
          <t>Tigi</t>
        </is>
      </c>
      <c r="E19825" t="n">
        <v>7.26</v>
      </c>
      <c r="F19825" t="n">
        <v>1</v>
      </c>
      <c r="G19825" t="n">
        <v>8</v>
      </c>
      <c r="H19825" s="5">
        <f>HYPERLINK("https://api.qogita.com/variants/link/0615908431612/", "View Product")</f>
        <v/>
      </c>
    </row>
    <row r="19826">
      <c r="A19826" t="inlineStr">
        <is>
          <t>0615908431858</t>
        </is>
      </c>
      <c r="B19826" t="inlineStr">
        <is>
          <t>Tigi Bed Head Keep It Casual Flexible Hold Hair Spray 400ml</t>
        </is>
      </c>
      <c r="C19826" t="inlineStr">
        <is>
          <t>Hairspray</t>
        </is>
      </c>
      <c r="D19826" t="inlineStr">
        <is>
          <t>Tigi</t>
        </is>
      </c>
      <c r="E19826" t="n">
        <v>7.58</v>
      </c>
      <c r="F19826" t="n">
        <v>1</v>
      </c>
      <c r="G19826" t="n">
        <v>8</v>
      </c>
      <c r="H19826" s="5">
        <f>HYPERLINK("https://api.qogita.com/variants/link/0615908431858/", "View Product")</f>
        <v/>
      </c>
    </row>
    <row r="19827">
      <c r="A19827" t="inlineStr">
        <is>
          <t>0615908432039</t>
        </is>
      </c>
      <c r="B19827" t="inlineStr">
        <is>
          <t>Bed Head by Tigi Salty Not Sorry Hair Texturizing Salt Spray for Natural Texture</t>
        </is>
      </c>
      <c r="C19827" t="inlineStr">
        <is>
          <t>Styling Sprays</t>
        </is>
      </c>
      <c r="D19827" t="inlineStr">
        <is>
          <t>Tigi</t>
        </is>
      </c>
      <c r="E19827" t="n">
        <v>7.93</v>
      </c>
      <c r="F19827" t="n">
        <v>1</v>
      </c>
      <c r="G19827" t="n">
        <v>3</v>
      </c>
      <c r="H19827" s="5">
        <f>HYPERLINK("https://api.qogita.com/variants/link/0615908432039/", "View Product")</f>
        <v/>
      </c>
    </row>
    <row r="19828">
      <c r="A19828" t="inlineStr">
        <is>
          <t>0615908432077</t>
        </is>
      </c>
      <c r="B19828" t="inlineStr">
        <is>
          <t>Bed Head Resurrection Super Repair Conditioner 400ml</t>
        </is>
      </c>
      <c r="C19828" t="inlineStr">
        <is>
          <t>Conditioner</t>
        </is>
      </c>
      <c r="D19828" t="inlineStr">
        <is>
          <t>Tigi</t>
        </is>
      </c>
      <c r="E19828" t="n">
        <v>6.77</v>
      </c>
      <c r="F19828" t="n">
        <v>1</v>
      </c>
      <c r="G19828" t="n">
        <v>3</v>
      </c>
      <c r="H19828" s="5">
        <f>HYPERLINK("https://api.qogita.com/variants/link/0615908432077/", "View Product")</f>
        <v/>
      </c>
    </row>
    <row r="19829">
      <c r="A19829" t="inlineStr">
        <is>
          <t>0615908432169</t>
        </is>
      </c>
      <c r="B19829" t="inlineStr">
        <is>
          <t>Bed Head by Tigi Curls Rock Amplifier Curly Hair Cream 43ml</t>
        </is>
      </c>
      <c r="C19829" t="inlineStr">
        <is>
          <t>Styling Creams</t>
        </is>
      </c>
      <c r="D19829" t="inlineStr">
        <is>
          <t>Bed Head By Tigi</t>
        </is>
      </c>
      <c r="E19829" t="n">
        <v>5.17</v>
      </c>
      <c r="F19829" t="n">
        <v>1</v>
      </c>
      <c r="G19829" t="n">
        <v>7</v>
      </c>
      <c r="H19829" s="5">
        <f>HYPERLINK("https://api.qogita.com/variants/link/0615908432169/", "View Product")</f>
        <v/>
      </c>
    </row>
    <row r="19830">
      <c r="A19830" t="inlineStr">
        <is>
          <t>0615908432268</t>
        </is>
      </c>
      <c r="B19830" t="inlineStr">
        <is>
          <t>TIGI Bed Head Serial Blonde Shampoo for Damaged Blonde Hair 600ml</t>
        </is>
      </c>
      <c r="C19830" t="inlineStr">
        <is>
          <t>Shampoo</t>
        </is>
      </c>
      <c r="D19830" t="inlineStr">
        <is>
          <t>Tigi</t>
        </is>
      </c>
      <c r="E19830" t="n">
        <v>8.92</v>
      </c>
      <c r="F19830" t="n">
        <v>1</v>
      </c>
      <c r="G19830" t="n">
        <v>6</v>
      </c>
      <c r="H19830" s="5">
        <f>HYPERLINK("https://api.qogita.com/variants/link/0615908432268/", "View Product")</f>
        <v/>
      </c>
    </row>
    <row r="19831">
      <c r="A19831" t="inlineStr">
        <is>
          <t>0615908432312</t>
        </is>
      </c>
      <c r="B19831" t="inlineStr">
        <is>
          <t>Bed Head Serial Blonde Conditioner by Tigi for Unisex 32.8 Oz</t>
        </is>
      </c>
      <c r="C19831" t="inlineStr">
        <is>
          <t>Conditioner</t>
        </is>
      </c>
      <c r="D19831" t="inlineStr">
        <is>
          <t>Tigi</t>
        </is>
      </c>
      <c r="E19831" t="n">
        <v>14.96</v>
      </c>
      <c r="F19831" t="n">
        <v>1</v>
      </c>
      <c r="G19831" t="n">
        <v>4</v>
      </c>
      <c r="H19831" s="5">
        <f>HYPERLINK("https://api.qogita.com/variants/link/0615908432312/", "View Product")</f>
        <v/>
      </c>
    </row>
    <row r="19832">
      <c r="A19832" t="inlineStr">
        <is>
          <t>0615908432404</t>
        </is>
      </c>
      <c r="B19832" t="inlineStr">
        <is>
          <t>Bed Head by Tigi Colour Goddess Shampoo and Conditioner for Coloured Hair 20.29 fl oz</t>
        </is>
      </c>
      <c r="C19832" t="inlineStr">
        <is>
          <t>Hair Care Sets</t>
        </is>
      </c>
      <c r="D19832" t="inlineStr">
        <is>
          <t>Tigi</t>
        </is>
      </c>
      <c r="E19832" t="n">
        <v>7.87</v>
      </c>
      <c r="F19832" t="n">
        <v>1</v>
      </c>
      <c r="G19832" t="n">
        <v>5</v>
      </c>
      <c r="H19832" s="5">
        <f>HYPERLINK("https://api.qogita.com/variants/link/0615908432404/", "View Product")</f>
        <v/>
      </c>
    </row>
    <row r="19833">
      <c r="A19833" t="inlineStr">
        <is>
          <t>0615908432459</t>
        </is>
      </c>
      <c r="B19833" t="inlineStr">
        <is>
          <t>Bed Head by Tigi Color Goddess Conditioner for Colored Hair 600ml</t>
        </is>
      </c>
      <c r="C19833" t="inlineStr">
        <is>
          <t>Conditioner</t>
        </is>
      </c>
      <c r="D19833" t="inlineStr">
        <is>
          <t>Tigi</t>
        </is>
      </c>
      <c r="E19833" t="n">
        <v>7.07</v>
      </c>
      <c r="F19833" t="n">
        <v>1</v>
      </c>
      <c r="G19833" t="n">
        <v>4</v>
      </c>
      <c r="H19833" s="5">
        <f>HYPERLINK("https://api.qogita.com/variants/link/0615908432459/", "View Product")</f>
        <v/>
      </c>
    </row>
    <row r="19834">
      <c r="A19834" t="inlineStr">
        <is>
          <t>0615908432466</t>
        </is>
      </c>
      <c r="B19834" t="inlineStr">
        <is>
          <t>Bed Head TIGI Shampoo or Conditioner to Repair and Moisturize Damaged Colored or Dry Hair 970ml</t>
        </is>
      </c>
      <c r="C19834" t="inlineStr">
        <is>
          <t>Shampoo</t>
        </is>
      </c>
      <c r="D19834" t="inlineStr">
        <is>
          <t>Tigi</t>
        </is>
      </c>
      <c r="E19834" t="n">
        <v>15.03</v>
      </c>
      <c r="F19834" t="n">
        <v>1</v>
      </c>
      <c r="G19834" t="n">
        <v>8</v>
      </c>
      <c r="H19834" s="5">
        <f>HYPERLINK("https://api.qogita.com/variants/link/0615908432466/", "View Product")</f>
        <v/>
      </c>
    </row>
    <row r="19835">
      <c r="A19835" t="inlineStr">
        <is>
          <t>0615908433364</t>
        </is>
      </c>
      <c r="B19835" t="inlineStr">
        <is>
          <t>Bed Head by TIGI Recovery Moisturizing Conditioner Ideal for Dry Damaged Hair Travel Size 100ml</t>
        </is>
      </c>
      <c r="C19835" t="inlineStr">
        <is>
          <t>Conditioner</t>
        </is>
      </c>
      <c r="D19835" t="inlineStr">
        <is>
          <t>Tigi</t>
        </is>
      </c>
      <c r="E19835" t="n">
        <v>4.04</v>
      </c>
      <c r="F19835" t="n">
        <v>1</v>
      </c>
      <c r="G19835" t="n">
        <v>8</v>
      </c>
      <c r="H19835" s="5">
        <f>HYPERLINK("https://api.qogita.com/variants/link/0615908433364/", "View Product")</f>
        <v/>
      </c>
    </row>
    <row r="19836">
      <c r="A19836" t="inlineStr">
        <is>
          <t>0615908433494</t>
        </is>
      </c>
      <c r="B19836" t="inlineStr">
        <is>
          <t>Tigi Bed Head Moisture Maniac Moisturizing Conditioner 400ml</t>
        </is>
      </c>
      <c r="C19836" t="inlineStr">
        <is>
          <t>Conditioner</t>
        </is>
      </c>
      <c r="D19836" t="inlineStr">
        <is>
          <t>Tigi</t>
        </is>
      </c>
      <c r="E19836" t="n">
        <v>7.63</v>
      </c>
      <c r="F19836" t="n">
        <v>1</v>
      </c>
      <c r="G19836" t="n">
        <v>5</v>
      </c>
      <c r="H19836" s="5">
        <f>HYPERLINK("https://api.qogita.com/variants/link/0615908433494/", "View Product")</f>
        <v/>
      </c>
    </row>
    <row r="19837">
      <c r="A19837" t="inlineStr">
        <is>
          <t>0615908433692</t>
        </is>
      </c>
      <c r="B19837" t="inlineStr">
        <is>
          <t>TIGI Bed Head Masterpiece Extra Strong Hairspray 75ml</t>
        </is>
      </c>
      <c r="C19837" t="inlineStr">
        <is>
          <t>Hairspray</t>
        </is>
      </c>
      <c r="D19837" t="inlineStr">
        <is>
          <t>Tigi</t>
        </is>
      </c>
      <c r="E19837" t="n">
        <v>5.35</v>
      </c>
      <c r="F19837" t="n">
        <v>1</v>
      </c>
      <c r="G19837" t="n">
        <v>158</v>
      </c>
      <c r="H19837" s="5">
        <f>HYPERLINK("https://api.qogita.com/variants/link/0615908433692/", "View Product")</f>
        <v/>
      </c>
    </row>
    <row r="19838">
      <c r="A19838" t="inlineStr">
        <is>
          <t>0619843802704</t>
        </is>
      </c>
      <c r="B19838" t="inlineStr">
        <is>
          <t>D.S. &amp; Durga St. Vetyver Unisex Eau de Parfum Spray 1.7oz</t>
        </is>
      </c>
      <c r="C19838" t="inlineStr">
        <is>
          <t>Eau De Parfum</t>
        </is>
      </c>
      <c r="D19838" t="inlineStr">
        <is>
          <t>D.S. &amp; Durga</t>
        </is>
      </c>
      <c r="E19838" t="n">
        <v>112.54</v>
      </c>
      <c r="F19838" t="n">
        <v>1</v>
      </c>
      <c r="G19838" t="n">
        <v>5</v>
      </c>
      <c r="H19838" s="5">
        <f>HYPERLINK("https://api.qogita.com/variants/link/0619843802704/", "View Product")</f>
        <v/>
      </c>
    </row>
    <row r="19839">
      <c r="A19839" t="inlineStr">
        <is>
          <t>0633911631904</t>
        </is>
      </c>
      <c r="B19839" t="inlineStr">
        <is>
          <t>CHI Silk Infusion 15ml</t>
        </is>
      </c>
      <c r="C19839" t="inlineStr">
        <is>
          <t>Hair Oil &amp; Hair Serum</t>
        </is>
      </c>
      <c r="D19839" t="inlineStr">
        <is>
          <t>Chi</t>
        </is>
      </c>
      <c r="E19839" t="n">
        <v>1.71</v>
      </c>
      <c r="F19839" t="n">
        <v>1</v>
      </c>
      <c r="G19839" t="n">
        <v>31</v>
      </c>
      <c r="H19839" s="5">
        <f>HYPERLINK("https://api.qogita.com/variants/link/0633911631904/", "View Product")</f>
        <v/>
      </c>
    </row>
    <row r="19840">
      <c r="A19840" t="inlineStr">
        <is>
          <t>0633911650080</t>
        </is>
      </c>
      <c r="B19840" t="inlineStr">
        <is>
          <t>CHI Infra Moisture Therapy Shampoo 59ml</t>
        </is>
      </c>
      <c r="C19840" t="inlineStr">
        <is>
          <t>Shampoo</t>
        </is>
      </c>
      <c r="D19840" t="inlineStr">
        <is>
          <t>Chi</t>
        </is>
      </c>
      <c r="E19840" t="n">
        <v>3.41</v>
      </c>
      <c r="F19840" t="n">
        <v>1</v>
      </c>
      <c r="G19840" t="n">
        <v>16</v>
      </c>
      <c r="H19840" s="5">
        <f>HYPERLINK("https://api.qogita.com/variants/link/0633911650080/", "View Product")</f>
        <v/>
      </c>
    </row>
    <row r="19841">
      <c r="A19841" t="inlineStr">
        <is>
          <t>0633911667880</t>
        </is>
      </c>
      <c r="B19841" t="inlineStr">
        <is>
          <t>CHI Molding Clay Texture Paste 74g</t>
        </is>
      </c>
      <c r="C19841" t="inlineStr">
        <is>
          <t>Wax</t>
        </is>
      </c>
      <c r="D19841" t="inlineStr">
        <is>
          <t>Chi</t>
        </is>
      </c>
      <c r="E19841" t="n">
        <v>11.75</v>
      </c>
      <c r="F19841" t="n">
        <v>1</v>
      </c>
      <c r="G19841" t="n">
        <v>2</v>
      </c>
      <c r="H19841" s="5">
        <f>HYPERLINK("https://api.qogita.com/variants/link/0633911667880/", "View Product")</f>
        <v/>
      </c>
    </row>
    <row r="19842">
      <c r="A19842" t="inlineStr">
        <is>
          <t>0633911709955</t>
        </is>
      </c>
      <c r="B19842" t="inlineStr">
        <is>
          <t>Farouk CHI Enviro Smoothing Shampoo</t>
        </is>
      </c>
      <c r="C19842" t="inlineStr">
        <is>
          <t>Shampoo</t>
        </is>
      </c>
      <c r="D19842" t="inlineStr">
        <is>
          <t>Chi</t>
        </is>
      </c>
      <c r="E19842" t="n">
        <v>10.95</v>
      </c>
      <c r="F19842" t="n">
        <v>1</v>
      </c>
      <c r="G19842" t="n">
        <v>3</v>
      </c>
      <c r="H19842" s="5">
        <f>HYPERLINK("https://api.qogita.com/variants/link/0633911709955/", "View Product")</f>
        <v/>
      </c>
    </row>
    <row r="19843">
      <c r="A19843" t="inlineStr">
        <is>
          <t>0633911741535</t>
        </is>
      </c>
      <c r="B19843" t="inlineStr">
        <is>
          <t>BioSilk Hydrating Therapy Conditioner 355ml</t>
        </is>
      </c>
      <c r="C19843" t="inlineStr">
        <is>
          <t>Conditioner</t>
        </is>
      </c>
      <c r="D19843" t="inlineStr">
        <is>
          <t>Biosilk</t>
        </is>
      </c>
      <c r="E19843" t="n">
        <v>8.880000000000001</v>
      </c>
      <c r="F19843" t="n">
        <v>1</v>
      </c>
      <c r="G19843" t="n">
        <v>4</v>
      </c>
      <c r="H19843" s="5">
        <f>HYPERLINK("https://api.qogita.com/variants/link/0633911741535/", "View Product")</f>
        <v/>
      </c>
    </row>
    <row r="19844">
      <c r="A19844" t="inlineStr">
        <is>
          <t>0633911744932</t>
        </is>
      </c>
      <c r="B19844" t="inlineStr">
        <is>
          <t>Biosilk Silk Therapy Cure Silky Serum 15ml - 1 Unit</t>
        </is>
      </c>
      <c r="C19844" t="inlineStr">
        <is>
          <t>Hair Oil &amp; Hair Serum</t>
        </is>
      </c>
      <c r="D19844" t="inlineStr">
        <is>
          <t>Farouk Systems</t>
        </is>
      </c>
      <c r="E19844" t="n">
        <v>1.96</v>
      </c>
      <c r="F19844" t="n">
        <v>1</v>
      </c>
      <c r="G19844" t="n">
        <v>92</v>
      </c>
      <c r="H19844" s="5">
        <f>HYPERLINK("https://api.qogita.com/variants/link/0633911744932/", "View Product")</f>
        <v/>
      </c>
    </row>
    <row r="19845">
      <c r="A19845" t="inlineStr">
        <is>
          <t>0633911749326</t>
        </is>
      </c>
      <c r="B19845" t="inlineStr">
        <is>
          <t>Farouk CHI Argan Plus Hair Oil 15ml</t>
        </is>
      </c>
      <c r="C19845" t="inlineStr">
        <is>
          <t>Hair Oil &amp; Hair Serum</t>
        </is>
      </c>
      <c r="D19845" t="inlineStr">
        <is>
          <t>Farouk Systems</t>
        </is>
      </c>
      <c r="E19845" t="n">
        <v>2.34</v>
      </c>
      <c r="F19845" t="n">
        <v>1</v>
      </c>
      <c r="G19845" t="n">
        <v>14</v>
      </c>
      <c r="H19845" s="5">
        <f>HYPERLINK("https://api.qogita.com/variants/link/0633911749326/", "View Product")</f>
        <v/>
      </c>
    </row>
    <row r="19846">
      <c r="A19846" t="inlineStr">
        <is>
          <t>0633911762790</t>
        </is>
      </c>
      <c r="B19846" t="inlineStr">
        <is>
          <t>Chi Tea Tree Hair Conditioner - 340 ml</t>
        </is>
      </c>
      <c r="C19846" t="inlineStr">
        <is>
          <t>Hair Masks</t>
        </is>
      </c>
      <c r="D19846" t="inlineStr">
        <is>
          <t>Chi</t>
        </is>
      </c>
      <c r="E19846" t="n">
        <v>10.98</v>
      </c>
      <c r="F19846" t="n">
        <v>1</v>
      </c>
      <c r="G19846" t="n">
        <v>9</v>
      </c>
      <c r="H19846" s="5">
        <f>HYPERLINK("https://api.qogita.com/variants/link/0633911762790/", "View Product")</f>
        <v/>
      </c>
    </row>
    <row r="19847">
      <c r="A19847" t="inlineStr">
        <is>
          <t>0633911774069</t>
        </is>
      </c>
      <c r="B19847" t="inlineStr">
        <is>
          <t>CHI Ionic Illuminate Color Coffee Bean Conditioner 251ml</t>
        </is>
      </c>
      <c r="C19847" t="inlineStr">
        <is>
          <t>Conditioner</t>
        </is>
      </c>
      <c r="D19847" t="inlineStr">
        <is>
          <t>Chi</t>
        </is>
      </c>
      <c r="E19847" t="n">
        <v>10.2</v>
      </c>
      <c r="F19847" t="n">
        <v>1</v>
      </c>
      <c r="G19847" t="n">
        <v>3</v>
      </c>
      <c r="H19847" s="5">
        <f>HYPERLINK("https://api.qogita.com/variants/link/0633911774069/", "View Product")</f>
        <v/>
      </c>
    </row>
    <row r="19848">
      <c r="A19848" t="inlineStr">
        <is>
          <t>0633911778722</t>
        </is>
      </c>
      <c r="B19848" t="inlineStr">
        <is>
          <t>CHI DB OLIVE&amp;MONOI Opt. Shampoo 355ml</t>
        </is>
      </c>
      <c r="C19848" t="inlineStr">
        <is>
          <t>Shampoo</t>
        </is>
      </c>
      <c r="D19848" t="inlineStr">
        <is>
          <t>Chi</t>
        </is>
      </c>
      <c r="E19848" t="n">
        <v>8.960000000000001</v>
      </c>
      <c r="F19848" t="n">
        <v>1</v>
      </c>
      <c r="G19848" t="n">
        <v>5</v>
      </c>
      <c r="H19848" s="5">
        <f>HYPERLINK("https://api.qogita.com/variants/link/0633911778722/", "View Product")</f>
        <v/>
      </c>
    </row>
    <row r="19849">
      <c r="A19849" t="inlineStr">
        <is>
          <t>0633911782590</t>
        </is>
      </c>
      <c r="B19849" t="inlineStr">
        <is>
          <t>CHI Ionic Color Illuminate Silver Blonde Color Enhancing Conditioner 251ml</t>
        </is>
      </c>
      <c r="C19849" t="inlineStr">
        <is>
          <t>Conditioner</t>
        </is>
      </c>
      <c r="D19849" t="inlineStr">
        <is>
          <t>Chi</t>
        </is>
      </c>
      <c r="E19849" t="n">
        <v>9.640000000000001</v>
      </c>
      <c r="F19849" t="n">
        <v>1</v>
      </c>
      <c r="G19849" t="n">
        <v>8</v>
      </c>
      <c r="H19849" s="5">
        <f>HYPERLINK("https://api.qogita.com/variants/link/0633911782590/", "View Product")</f>
        <v/>
      </c>
    </row>
    <row r="19850">
      <c r="A19850" t="inlineStr">
        <is>
          <t>0633911783702</t>
        </is>
      </c>
      <c r="B19850" t="inlineStr">
        <is>
          <t>CHI Deep Brilliance Silk Conditioning Relaxer for Unisex 2lb Treatment 908gr</t>
        </is>
      </c>
      <c r="C19850" t="inlineStr">
        <is>
          <t>Conditioner</t>
        </is>
      </c>
      <c r="D19850" t="inlineStr">
        <is>
          <t>Chi</t>
        </is>
      </c>
      <c r="E19850" t="n">
        <v>36.46</v>
      </c>
      <c r="F19850" t="n">
        <v>1</v>
      </c>
      <c r="G19850" t="n">
        <v>2</v>
      </c>
      <c r="H19850" s="5">
        <f>HYPERLINK("https://api.qogita.com/variants/link/0633911783702/", "View Product")</f>
        <v/>
      </c>
    </row>
    <row r="19851">
      <c r="A19851" t="inlineStr">
        <is>
          <t>0633911788189</t>
        </is>
      </c>
      <c r="B19851" t="inlineStr">
        <is>
          <t>CHI Luxury Black Seed Dry Hair Oil 89ml</t>
        </is>
      </c>
      <c r="C19851" t="inlineStr">
        <is>
          <t>Hair Oil &amp; Hair Serum</t>
        </is>
      </c>
      <c r="D19851" t="inlineStr">
        <is>
          <t>Chi</t>
        </is>
      </c>
      <c r="E19851" t="n">
        <v>10.73</v>
      </c>
      <c r="F19851" t="n">
        <v>1</v>
      </c>
      <c r="G19851" t="n">
        <v>14</v>
      </c>
      <c r="H19851" s="5">
        <f>HYPERLINK("https://api.qogita.com/variants/link/0633911788189/", "View Product")</f>
        <v/>
      </c>
    </row>
    <row r="19852">
      <c r="A19852" t="inlineStr">
        <is>
          <t>0633911844182</t>
        </is>
      </c>
      <c r="B19852" t="inlineStr">
        <is>
          <t>BIOSILK Silk Therapy Irresistible Conditioner 207ml</t>
        </is>
      </c>
      <c r="C19852" t="inlineStr">
        <is>
          <t>Conditioner</t>
        </is>
      </c>
      <c r="D19852" t="inlineStr">
        <is>
          <t>Biosilk</t>
        </is>
      </c>
      <c r="E19852" t="n">
        <v>6.96</v>
      </c>
      <c r="F19852" t="n">
        <v>1</v>
      </c>
      <c r="G19852" t="n">
        <v>7</v>
      </c>
      <c r="H19852" s="5">
        <f>HYPERLINK("https://api.qogita.com/variants/link/0633911844182/", "View Product")</f>
        <v/>
      </c>
    </row>
    <row r="19853">
      <c r="A19853" t="inlineStr">
        <is>
          <t>0633911847107</t>
        </is>
      </c>
      <c r="B19853" t="inlineStr">
        <is>
          <t>CHI Naturals Aloe Serum</t>
        </is>
      </c>
      <c r="C19853" t="inlineStr">
        <is>
          <t>Hydrating Serum</t>
        </is>
      </c>
      <c r="D19853" t="inlineStr">
        <is>
          <t>Chi</t>
        </is>
      </c>
      <c r="E19853" t="n">
        <v>9.130000000000001</v>
      </c>
      <c r="F19853" t="n">
        <v>1</v>
      </c>
      <c r="G19853" t="n">
        <v>3</v>
      </c>
      <c r="H19853" s="5">
        <f>HYPERLINK("https://api.qogita.com/variants/link/0633911847107/", "View Product")</f>
        <v/>
      </c>
    </row>
    <row r="19854">
      <c r="A19854" t="inlineStr">
        <is>
          <t>0634114029055</t>
        </is>
      </c>
      <c r="B19854" t="inlineStr">
        <is>
          <t>Carbon Theory Tea Tree Oil and Citric Facial Tonic with Pink Grapefruit 250ml</t>
        </is>
      </c>
      <c r="C19854" t="inlineStr">
        <is>
          <t>Facial Spray</t>
        </is>
      </c>
      <c r="D19854" t="inlineStr">
        <is>
          <t>Carbon Theory</t>
        </is>
      </c>
      <c r="E19854" t="n">
        <v>9.56</v>
      </c>
      <c r="F19854" t="n">
        <v>1</v>
      </c>
      <c r="G19854" t="n">
        <v>13</v>
      </c>
      <c r="H19854" s="5">
        <f>HYPERLINK("https://api.qogita.com/variants/link/0634114029055/", "View Product")</f>
        <v/>
      </c>
    </row>
    <row r="19855">
      <c r="A19855" t="inlineStr">
        <is>
          <t>0634114043761</t>
        </is>
      </c>
      <c r="B19855" t="inlineStr">
        <is>
          <t>Carbon Theory Breakout Control Exfoliating Body Bar 100g</t>
        </is>
      </c>
      <c r="C19855" t="inlineStr">
        <is>
          <t>Soap</t>
        </is>
      </c>
      <c r="D19855" t="inlineStr">
        <is>
          <t>Carbon Theory</t>
        </is>
      </c>
      <c r="E19855" t="n">
        <v>7.15</v>
      </c>
      <c r="F19855" t="n">
        <v>1</v>
      </c>
      <c r="G19855" t="n">
        <v>2</v>
      </c>
      <c r="H19855" s="5">
        <f>HYPERLINK("https://api.qogita.com/variants/link/0634114043761/", "View Product")</f>
        <v/>
      </c>
    </row>
    <row r="19856">
      <c r="A19856" t="inlineStr">
        <is>
          <t>0634114052718</t>
        </is>
      </c>
      <c r="B19856" t="inlineStr">
        <is>
          <t>Carbon Theory Tea Tree Oil &amp; Vitamin A Breakout Control 30ml - New</t>
        </is>
      </c>
      <c r="C19856" t="inlineStr">
        <is>
          <t>Pimple &amp; Blackhead Treatments</t>
        </is>
      </c>
      <c r="D19856" t="inlineStr">
        <is>
          <t>Carbon Theory</t>
        </is>
      </c>
      <c r="E19856" t="n">
        <v>9.56</v>
      </c>
      <c r="F19856" t="n">
        <v>1</v>
      </c>
      <c r="G19856" t="n">
        <v>5</v>
      </c>
      <c r="H19856" s="5">
        <f>HYPERLINK("https://api.qogita.com/variants/link/0634114052718/", "View Product")</f>
        <v/>
      </c>
    </row>
    <row r="19857">
      <c r="A19857" t="inlineStr">
        <is>
          <t>0634114068870</t>
        </is>
      </c>
      <c r="B19857" t="inlineStr">
        <is>
          <t>Carbon Theory Breakout Control Facial Wash Charcoal and Tea Tree 200ml</t>
        </is>
      </c>
      <c r="C19857" t="inlineStr">
        <is>
          <t>Cleansing Gel</t>
        </is>
      </c>
      <c r="D19857" t="inlineStr">
        <is>
          <t>Carbon Theory</t>
        </is>
      </c>
      <c r="E19857" t="n">
        <v>6.64</v>
      </c>
      <c r="F19857" t="n">
        <v>1</v>
      </c>
      <c r="G19857" t="n">
        <v>27</v>
      </c>
      <c r="H19857" s="5">
        <f>HYPERLINK("https://api.qogita.com/variants/link/0634114068870/", "View Product")</f>
        <v/>
      </c>
    </row>
    <row r="19858">
      <c r="A19858" t="inlineStr">
        <is>
          <t>0634114079760</t>
        </is>
      </c>
      <c r="B19858" t="inlineStr">
        <is>
          <t>Day-Lite Salicylic Acid Exfoliating Gel Cleanser 200 ml</t>
        </is>
      </c>
      <c r="C19858" t="inlineStr">
        <is>
          <t>Cleansing Gel</t>
        </is>
      </c>
      <c r="D19858" t="inlineStr">
        <is>
          <t>Carbon Theory</t>
        </is>
      </c>
      <c r="E19858" t="n">
        <v>6.64</v>
      </c>
      <c r="F19858" t="n">
        <v>1</v>
      </c>
      <c r="G19858" t="n">
        <v>18</v>
      </c>
      <c r="H19858" s="5">
        <f>HYPERLINK("https://api.qogita.com/variants/link/0634114079760/", "View Product")</f>
        <v/>
      </c>
    </row>
    <row r="19859">
      <c r="A19859" t="inlineStr">
        <is>
          <t>0634158476280</t>
        </is>
      </c>
      <c r="B19859" t="inlineStr">
        <is>
          <t>Dapper Dan Matt Clay Mens Hair Styling Product 100ml</t>
        </is>
      </c>
      <c r="C19859" t="inlineStr">
        <is>
          <t>Wax</t>
        </is>
      </c>
      <c r="D19859" t="inlineStr">
        <is>
          <t>Dapper Dan</t>
        </is>
      </c>
      <c r="E19859" t="n">
        <v>8.92</v>
      </c>
      <c r="F19859" t="n">
        <v>1</v>
      </c>
      <c r="G19859" t="n">
        <v>4</v>
      </c>
      <c r="H19859" s="5">
        <f>HYPERLINK("https://api.qogita.com/variants/link/0634158476280/", "View Product")</f>
        <v/>
      </c>
    </row>
    <row r="19860">
      <c r="A19860" t="inlineStr">
        <is>
          <t>0634158476297</t>
        </is>
      </c>
      <c r="B19860" t="inlineStr">
        <is>
          <t>Dapper Dan Deluxe Pomade Medium Hold Medium Shine Citrus &amp; Vanilla Fragrance 100ml</t>
        </is>
      </c>
      <c r="C19860" t="inlineStr">
        <is>
          <t>Styling Creams</t>
        </is>
      </c>
      <c r="D19860" t="inlineStr">
        <is>
          <t>Dapper Dan</t>
        </is>
      </c>
      <c r="E19860" t="n">
        <v>8.869999999999999</v>
      </c>
      <c r="F19860" t="n">
        <v>1</v>
      </c>
      <c r="G19860" t="n">
        <v>15</v>
      </c>
      <c r="H19860" s="5">
        <f>HYPERLINK("https://api.qogita.com/variants/link/0634158476297/", "View Product")</f>
        <v/>
      </c>
    </row>
    <row r="19861">
      <c r="A19861" t="inlineStr">
        <is>
          <t>0635494330205</t>
        </is>
      </c>
      <c r="B19861" t="inlineStr">
        <is>
          <t>SkinCeuticals Correct Clarifying Clay Masque 60ml</t>
        </is>
      </c>
      <c r="C19861" t="inlineStr">
        <is>
          <t>Clay Mask</t>
        </is>
      </c>
      <c r="D19861" t="inlineStr">
        <is>
          <t>Skinceuticals</t>
        </is>
      </c>
      <c r="E19861" t="n">
        <v>86.31999999999999</v>
      </c>
      <c r="F19861" t="n">
        <v>1</v>
      </c>
      <c r="G19861" t="n">
        <v>3</v>
      </c>
      <c r="H19861" s="5">
        <f>HYPERLINK("https://api.qogita.com/variants/link/0635494330205/", "View Product")</f>
        <v/>
      </c>
    </row>
    <row r="19862">
      <c r="A19862" t="inlineStr">
        <is>
          <t>0641628608775</t>
        </is>
      </c>
      <c r="B19862" t="inlineStr">
        <is>
          <t>Elemis Cellutox Active Body Oil 100ml</t>
        </is>
      </c>
      <c r="C19862" t="inlineStr">
        <is>
          <t>Body Oil</t>
        </is>
      </c>
      <c r="D19862" t="inlineStr">
        <is>
          <t>Elemis</t>
        </is>
      </c>
      <c r="E19862" t="n">
        <v>45.89</v>
      </c>
      <c r="F19862" t="n">
        <v>1</v>
      </c>
      <c r="G19862" t="n">
        <v>5</v>
      </c>
      <c r="H19862" s="5">
        <f>HYPERLINK("https://api.qogita.com/variants/link/0641628608775/", "View Product")</f>
        <v/>
      </c>
    </row>
    <row r="19863">
      <c r="A19863" t="inlineStr">
        <is>
          <t>0646875422525</t>
        </is>
      </c>
      <c r="B19863" t="inlineStr">
        <is>
          <t>Salvatore Ferragamo Eau De Parfum Spray For Women 100ml</t>
        </is>
      </c>
      <c r="C19863" t="inlineStr">
        <is>
          <t>Eau De Parfum</t>
        </is>
      </c>
      <c r="D19863" t="inlineStr">
        <is>
          <t>Salvatore Ferragamo</t>
        </is>
      </c>
      <c r="E19863" t="n">
        <v>22.95</v>
      </c>
      <c r="F19863" t="n">
        <v>1</v>
      </c>
      <c r="G19863" t="n">
        <v>52</v>
      </c>
      <c r="H19863" s="5">
        <f>HYPERLINK("https://api.qogita.com/variants/link/0646875422525/", "View Product")</f>
        <v/>
      </c>
    </row>
    <row r="19864">
      <c r="A19864" t="inlineStr">
        <is>
          <t>0652012818120</t>
        </is>
      </c>
      <c r="B19864" t="inlineStr">
        <is>
          <t>Renier Perfumes Black Rain EDP 50 ml</t>
        </is>
      </c>
      <c r="C19864" t="inlineStr">
        <is>
          <t>Eau De Parfum</t>
        </is>
      </c>
      <c r="D19864" t="inlineStr">
        <is>
          <t>Renier</t>
        </is>
      </c>
      <c r="E19864" t="n">
        <v>73.69</v>
      </c>
      <c r="F19864" t="n">
        <v>1</v>
      </c>
      <c r="G19864" t="n">
        <v>7</v>
      </c>
      <c r="H19864" s="5">
        <f>HYPERLINK("https://api.qogita.com/variants/link/0652012818120/", "View Product")</f>
        <v/>
      </c>
    </row>
    <row r="19865">
      <c r="A19865" t="inlineStr">
        <is>
          <t>0652012818342</t>
        </is>
      </c>
      <c r="B19865" t="inlineStr">
        <is>
          <t>Renier Perfumes Oudmanthus Extrait De Parfum 50ml Unisex</t>
        </is>
      </c>
      <c r="C19865" t="inlineStr">
        <is>
          <t>Extrait De Parfum</t>
        </is>
      </c>
      <c r="D19865" t="inlineStr">
        <is>
          <t>Renier</t>
        </is>
      </c>
      <c r="E19865" t="n">
        <v>131.18</v>
      </c>
      <c r="F19865" t="n">
        <v>1</v>
      </c>
      <c r="G19865" t="n">
        <v>5</v>
      </c>
      <c r="H19865" s="5">
        <f>HYPERLINK("https://api.qogita.com/variants/link/0652012818342/", "View Product")</f>
        <v/>
      </c>
    </row>
    <row r="19866">
      <c r="A19866" t="inlineStr">
        <is>
          <t>0652638010229</t>
        </is>
      </c>
      <c r="B19866" t="inlineStr">
        <is>
          <t>Clive Christian Woody Leather Masculine EDP 100 ml</t>
        </is>
      </c>
      <c r="C19866" t="inlineStr">
        <is>
          <t>Eau De Parfum</t>
        </is>
      </c>
      <c r="D19866" t="inlineStr">
        <is>
          <t>Clive Christian</t>
        </is>
      </c>
      <c r="E19866" t="n">
        <v>305.47</v>
      </c>
      <c r="F19866" t="n">
        <v>1</v>
      </c>
      <c r="G19866" t="n">
        <v>5</v>
      </c>
      <c r="H19866" s="5">
        <f>HYPERLINK("https://api.qogita.com/variants/link/0652638010229/", "View Product")</f>
        <v/>
      </c>
    </row>
    <row r="19867">
      <c r="A19867" t="inlineStr">
        <is>
          <t>0652638010274</t>
        </is>
      </c>
      <c r="B19867" t="inlineStr">
        <is>
          <t>Clive Christian X Perfume Spray 3.4 Oz - Original Collection</t>
        </is>
      </c>
      <c r="C19867" t="inlineStr">
        <is>
          <t>Eau De Parfum</t>
        </is>
      </c>
      <c r="D19867" t="inlineStr">
        <is>
          <t>Clive Christian</t>
        </is>
      </c>
      <c r="E19867" t="n">
        <v>255.47</v>
      </c>
      <c r="F19867" t="n">
        <v>1</v>
      </c>
      <c r="G19867" t="n">
        <v>2</v>
      </c>
      <c r="H19867" s="5">
        <f>HYPERLINK("https://api.qogita.com/variants/link/0652638010274/", "View Product")</f>
        <v/>
      </c>
    </row>
    <row r="19868">
      <c r="A19868" t="inlineStr">
        <is>
          <t>0652685682035</t>
        </is>
      </c>
      <c r="B19868" t="inlineStr">
        <is>
          <t>ALYSSA ASHLEY Essence de Patchouli EDP Vapo 30ml</t>
        </is>
      </c>
      <c r="C19868" t="inlineStr">
        <is>
          <t>Eau De Parfum</t>
        </is>
      </c>
      <c r="D19868" t="inlineStr">
        <is>
          <t>Alyssa Ashley</t>
        </is>
      </c>
      <c r="E19868" t="n">
        <v>11.86</v>
      </c>
      <c r="F19868" t="n">
        <v>1</v>
      </c>
      <c r="G19868" t="n">
        <v>5</v>
      </c>
      <c r="H19868" s="5">
        <f>HYPERLINK("https://api.qogita.com/variants/link/0652685682035/", "View Product")</f>
        <v/>
      </c>
    </row>
    <row r="19869">
      <c r="A19869" t="inlineStr">
        <is>
          <t>0652685692102</t>
        </is>
      </c>
      <c r="B19869" t="inlineStr">
        <is>
          <t>ALYSSA ASHLEY Ambre Gris EDP Vapo 100ml</t>
        </is>
      </c>
      <c r="C19869" t="inlineStr">
        <is>
          <t>Eau De Parfum</t>
        </is>
      </c>
      <c r="D19869" t="inlineStr">
        <is>
          <t>Alyssa Ashley</t>
        </is>
      </c>
      <c r="E19869" t="n">
        <v>28.75</v>
      </c>
      <c r="F19869" t="n">
        <v>1</v>
      </c>
      <c r="G19869" t="n">
        <v>8</v>
      </c>
      <c r="H19869" s="5">
        <f>HYPERLINK("https://api.qogita.com/variants/link/0652685692102/", "View Product")</f>
        <v/>
      </c>
    </row>
    <row r="19870">
      <c r="A19870" t="inlineStr">
        <is>
          <t>0654050128032</t>
        </is>
      </c>
      <c r="B19870" t="inlineStr">
        <is>
          <t>Ultimate Treatment Step 2 Power Booster Volume</t>
        </is>
      </c>
      <c r="C19870" t="inlineStr">
        <is>
          <t>Hair Care Sets</t>
        </is>
      </c>
      <c r="D19870" t="inlineStr">
        <is>
          <t>L'Anza</t>
        </is>
      </c>
      <c r="E19870" t="n">
        <v>12.91</v>
      </c>
      <c r="F19870" t="n">
        <v>1</v>
      </c>
      <c r="G19870" t="n">
        <v>8</v>
      </c>
      <c r="H19870" s="5">
        <f>HYPERLINK("https://api.qogita.com/variants/link/0654050128032/", "View Product")</f>
        <v/>
      </c>
    </row>
    <row r="19871">
      <c r="A19871" t="inlineStr">
        <is>
          <t>0654050231091</t>
        </is>
      </c>
      <c r="B19871" t="inlineStr">
        <is>
          <t>L'ANZA Keratin Healing Oil Shiny Conditioner for Damaged Hair 250ml - Hair Care Conditioner</t>
        </is>
      </c>
      <c r="C19871" t="inlineStr">
        <is>
          <t>Conditioner</t>
        </is>
      </c>
      <c r="D19871" t="inlineStr">
        <is>
          <t>L'Anza</t>
        </is>
      </c>
      <c r="E19871" t="n">
        <v>19.34</v>
      </c>
      <c r="F19871" t="n">
        <v>1</v>
      </c>
      <c r="G19871" t="n">
        <v>3</v>
      </c>
      <c r="H19871" s="5">
        <f>HYPERLINK("https://api.qogita.com/variants/link/0654050231091/", "View Product")</f>
        <v/>
      </c>
    </row>
    <row r="19872">
      <c r="A19872" t="inlineStr">
        <is>
          <t>0654050281058</t>
        </is>
      </c>
      <c r="B19872" t="inlineStr">
        <is>
          <t>L'ANZA Bond Smoothing Styler Keratin Healing Oil Hair Care Bond Repair Treatment &amp; Hair Styling Cream Phyto IV Complex Hair Repair Treatment Split End Repair Vegan Hair Serum 140ml Coconut</t>
        </is>
      </c>
      <c r="C19872" t="inlineStr">
        <is>
          <t>Hair Oil &amp; Hair Serum</t>
        </is>
      </c>
      <c r="D19872" t="inlineStr">
        <is>
          <t>L'Anza</t>
        </is>
      </c>
      <c r="E19872" t="n">
        <v>16.14</v>
      </c>
      <c r="F19872" t="n">
        <v>1</v>
      </c>
      <c r="G19872" t="n">
        <v>8</v>
      </c>
      <c r="H19872" s="5">
        <f>HYPERLINK("https://api.qogita.com/variants/link/0654050281058/", "View Product")</f>
        <v/>
      </c>
    </row>
    <row r="19873">
      <c r="A19873" t="inlineStr">
        <is>
          <t>0654050700023</t>
        </is>
      </c>
      <c r="B19873" t="inlineStr">
        <is>
          <t>L'ANZA T.R.U.E. Clean Shampoo 2oz 2.43ml</t>
        </is>
      </c>
      <c r="C19873" t="inlineStr">
        <is>
          <t>Shampoo</t>
        </is>
      </c>
      <c r="D19873" t="inlineStr">
        <is>
          <t>L'Anza</t>
        </is>
      </c>
      <c r="E19873" t="n">
        <v>23.46</v>
      </c>
      <c r="F19873" t="n">
        <v>1</v>
      </c>
      <c r="G19873" t="n">
        <v>4</v>
      </c>
      <c r="H19873" s="5">
        <f>HYPERLINK("https://api.qogita.com/variants/link/0654050700023/", "View Product")</f>
        <v/>
      </c>
    </row>
    <row r="19874">
      <c r="A19874" t="inlineStr">
        <is>
          <t>0654050710084</t>
        </is>
      </c>
      <c r="B19874" t="inlineStr">
        <is>
          <t>L'ANZA T.R.U.E. Pure Conditioner 8oz 250ml</t>
        </is>
      </c>
      <c r="C19874" t="inlineStr">
        <is>
          <t>Conditioner</t>
        </is>
      </c>
      <c r="D19874" t="inlineStr">
        <is>
          <t>L'Anza</t>
        </is>
      </c>
      <c r="E19874" t="n">
        <v>23.46</v>
      </c>
      <c r="F19874" t="n">
        <v>1</v>
      </c>
      <c r="G19874" t="n">
        <v>4</v>
      </c>
      <c r="H19874" s="5">
        <f>HYPERLINK("https://api.qogita.com/variants/link/0654050710084/", "View Product")</f>
        <v/>
      </c>
    </row>
    <row r="19875">
      <c r="A19875" t="inlineStr">
        <is>
          <t>0663350065558</t>
        </is>
      </c>
      <c r="B19875" t="inlineStr">
        <is>
          <t>Paw Patrol Eau De Toilette 30ml</t>
        </is>
      </c>
      <c r="C19875" t="inlineStr">
        <is>
          <t>Eau De Toilette</t>
        </is>
      </c>
      <c r="D19875" t="inlineStr">
        <is>
          <t>Air Val</t>
        </is>
      </c>
      <c r="E19875" t="n">
        <v>6.6</v>
      </c>
      <c r="F19875" t="n">
        <v>1</v>
      </c>
      <c r="G19875" t="n">
        <v>22</v>
      </c>
      <c r="H19875" s="5">
        <f>HYPERLINK("https://api.qogita.com/variants/link/0663350065558/", "View Product")</f>
        <v/>
      </c>
    </row>
    <row r="19876">
      <c r="A19876" t="inlineStr">
        <is>
          <t>0666151020832</t>
        </is>
      </c>
      <c r="B19876" t="inlineStr">
        <is>
          <t>Dermalogica Age Smart Antioxidant Hydramist Travel Size 30ml</t>
        </is>
      </c>
      <c r="C19876" t="inlineStr">
        <is>
          <t>Facial Spray</t>
        </is>
      </c>
      <c r="D19876" t="inlineStr">
        <is>
          <t>Dermalogica</t>
        </is>
      </c>
      <c r="E19876" t="n">
        <v>12.3</v>
      </c>
      <c r="F19876" t="n">
        <v>1</v>
      </c>
      <c r="G19876" t="n">
        <v>5</v>
      </c>
      <c r="H19876" s="5">
        <f>HYPERLINK("https://api.qogita.com/variants/link/0666151020832/", "View Product")</f>
        <v/>
      </c>
    </row>
    <row r="19877">
      <c r="A19877" t="inlineStr">
        <is>
          <t>0666151040045</t>
        </is>
      </c>
      <c r="B19877" t="inlineStr">
        <is>
          <t>Dermalogica Sebum Clearing Masque 75ml</t>
        </is>
      </c>
      <c r="C19877" t="inlineStr">
        <is>
          <t>Purifying Mask</t>
        </is>
      </c>
      <c r="D19877" t="inlineStr">
        <is>
          <t>Dermalogica</t>
        </is>
      </c>
      <c r="E19877" t="n">
        <v>44.35</v>
      </c>
      <c r="F19877" t="n">
        <v>1</v>
      </c>
      <c r="G19877" t="n">
        <v>2</v>
      </c>
      <c r="H19877" s="5">
        <f>HYPERLINK("https://api.qogita.com/variants/link/0666151040045/", "View Product")</f>
        <v/>
      </c>
    </row>
    <row r="19878">
      <c r="A19878" t="inlineStr">
        <is>
          <t>0666151112346</t>
        </is>
      </c>
      <c r="B19878" t="inlineStr">
        <is>
          <t>Biolumin C Moisturizing Gel Cream 50ml</t>
        </is>
      </c>
      <c r="C19878" t="inlineStr">
        <is>
          <t>Face Cream</t>
        </is>
      </c>
      <c r="D19878" t="inlineStr">
        <is>
          <t>Dermalogica</t>
        </is>
      </c>
      <c r="E19878" t="n">
        <v>54.69</v>
      </c>
      <c r="F19878" t="n">
        <v>1</v>
      </c>
      <c r="G19878" t="n">
        <v>4</v>
      </c>
      <c r="H19878" s="5">
        <f>HYPERLINK("https://api.qogita.com/variants/link/0666151112346/", "View Product")</f>
        <v/>
      </c>
    </row>
    <row r="19879">
      <c r="A19879" t="inlineStr">
        <is>
          <t>0666151113732</t>
        </is>
      </c>
      <c r="B19879" t="inlineStr">
        <is>
          <t>Dermalogica Biolumin-C Serum - 10 Ml Skin Serum With Vitamin C</t>
        </is>
      </c>
      <c r="C19879" t="inlineStr">
        <is>
          <t>Vitamin Serum</t>
        </is>
      </c>
      <c r="D19879" t="inlineStr">
        <is>
          <t>Dermalogica</t>
        </is>
      </c>
      <c r="E19879" t="n">
        <v>22.03</v>
      </c>
      <c r="F19879" t="n">
        <v>1</v>
      </c>
      <c r="G19879" t="n">
        <v>12</v>
      </c>
      <c r="H19879" s="5">
        <f>HYPERLINK("https://api.qogita.com/variants/link/0666151113732/", "View Product")</f>
        <v/>
      </c>
    </row>
    <row r="19880">
      <c r="A19880" t="inlineStr">
        <is>
          <t>0666151113800</t>
        </is>
      </c>
      <c r="B19880" t="inlineStr">
        <is>
          <t>Dermalogica Pro Collagen Boosting Serum for Face 1 fl oz</t>
        </is>
      </c>
      <c r="C19880" t="inlineStr">
        <is>
          <t>Collagen Serum</t>
        </is>
      </c>
      <c r="D19880" t="inlineStr">
        <is>
          <t>Dermalogica</t>
        </is>
      </c>
      <c r="E19880" t="n">
        <v>71.61</v>
      </c>
      <c r="F19880" t="n">
        <v>1</v>
      </c>
      <c r="G19880" t="n">
        <v>7</v>
      </c>
      <c r="H19880" s="5">
        <f>HYPERLINK("https://api.qogita.com/variants/link/0666151113800/", "View Product")</f>
        <v/>
      </c>
    </row>
    <row r="19881">
      <c r="A19881" t="inlineStr">
        <is>
          <t>0666151750135</t>
        </is>
      </c>
      <c r="B19881" t="inlineStr">
        <is>
          <t>Dermalogica Biolumin-C Serum Anti-Aging Vitamin C Serum For Face 1 Fl Oz</t>
        </is>
      </c>
      <c r="C19881" t="inlineStr">
        <is>
          <t>Anti-Aging Serum</t>
        </is>
      </c>
      <c r="D19881" t="inlineStr">
        <is>
          <t>Dermalogica</t>
        </is>
      </c>
      <c r="E19881" t="n">
        <v>75.86</v>
      </c>
      <c r="F19881" t="n">
        <v>1</v>
      </c>
      <c r="G19881" t="n">
        <v>10</v>
      </c>
      <c r="H19881" s="5">
        <f>HYPERLINK("https://api.qogita.com/variants/link/0666151750135/", "View Product")</f>
        <v/>
      </c>
    </row>
    <row r="19882">
      <c r="A19882" t="inlineStr">
        <is>
          <t>0666151913820</t>
        </is>
      </c>
      <c r="B19882" t="inlineStr">
        <is>
          <t>Dermalogica Biolumin-C Serum Vitamin C Dark Spot Serum for Face with Peptide and AHA Full Size</t>
        </is>
      </c>
      <c r="C19882" t="inlineStr">
        <is>
          <t>Vitamin Serum</t>
        </is>
      </c>
      <c r="D19882" t="inlineStr">
        <is>
          <t>Dermalogica</t>
        </is>
      </c>
      <c r="E19882" t="n">
        <v>109.34</v>
      </c>
      <c r="F19882" t="n">
        <v>1</v>
      </c>
      <c r="G19882" t="n">
        <v>2</v>
      </c>
      <c r="H19882" s="5">
        <f>HYPERLINK("https://api.qogita.com/variants/link/0666151913820/", "View Product")</f>
        <v/>
      </c>
    </row>
    <row r="19883">
      <c r="A19883" t="inlineStr">
        <is>
          <t>0667548996488</t>
        </is>
      </c>
      <c r="B19883" t="inlineStr">
        <is>
          <t>Victoria's Secret Clear Secret Pink Body Mist Fresh &amp; Clean 250ml</t>
        </is>
      </c>
      <c r="C19883" t="inlineStr">
        <is>
          <t>Eau De Toilette</t>
        </is>
      </c>
      <c r="D19883" t="inlineStr">
        <is>
          <t>Victoria's Secret</t>
        </is>
      </c>
      <c r="E19883" t="n">
        <v>16.44</v>
      </c>
      <c r="F19883" t="n">
        <v>1</v>
      </c>
      <c r="G19883" t="n">
        <v>7</v>
      </c>
      <c r="H19883" s="5">
        <f>HYPERLINK("https://api.qogita.com/variants/link/0667548996488/", "View Product")</f>
        <v/>
      </c>
    </row>
    <row r="19884">
      <c r="A19884" t="inlineStr">
        <is>
          <t>0667553169921</t>
        </is>
      </c>
      <c r="B19884" t="inlineStr">
        <is>
          <t>Victoria's Secret Angel Gold 100ml Eau de Parfum</t>
        </is>
      </c>
      <c r="C19884" t="inlineStr">
        <is>
          <t>Eau De Parfum</t>
        </is>
      </c>
      <c r="D19884" t="inlineStr">
        <is>
          <t>Victoria's Secret</t>
        </is>
      </c>
      <c r="E19884" t="n">
        <v>54.07</v>
      </c>
      <c r="F19884" t="n">
        <v>1</v>
      </c>
      <c r="G19884" t="n">
        <v>4</v>
      </c>
      <c r="H19884" s="5">
        <f>HYPERLINK("https://api.qogita.com/variants/link/0667553169921/", "View Product")</f>
        <v/>
      </c>
    </row>
    <row r="19885">
      <c r="A19885" t="inlineStr">
        <is>
          <t>0667554197251</t>
        </is>
      </c>
      <c r="B19885" t="inlineStr">
        <is>
          <t>Victoria's Secret Pink Water Body Mist 250ml</t>
        </is>
      </c>
      <c r="C19885" t="inlineStr">
        <is>
          <t>Eau De Toilette</t>
        </is>
      </c>
      <c r="D19885" t="inlineStr">
        <is>
          <t>Victoria's Secret</t>
        </is>
      </c>
      <c r="E19885" t="n">
        <v>16.15</v>
      </c>
      <c r="F19885" t="n">
        <v>1</v>
      </c>
      <c r="G19885" t="n">
        <v>4</v>
      </c>
      <c r="H19885" s="5">
        <f>HYPERLINK("https://api.qogita.com/variants/link/0667554197251/", "View Product")</f>
        <v/>
      </c>
    </row>
    <row r="19886">
      <c r="A19886" t="inlineStr">
        <is>
          <t>0667554672024</t>
        </is>
      </c>
      <c r="B19886" t="inlineStr">
        <is>
          <t>Victoria's Secret Bombshell 100ml Eau de Parfum</t>
        </is>
      </c>
      <c r="C19886" t="inlineStr">
        <is>
          <t>Eau De Parfum</t>
        </is>
      </c>
      <c r="D19886" t="inlineStr">
        <is>
          <t>Victoria's Secret</t>
        </is>
      </c>
      <c r="E19886" t="n">
        <v>64.19</v>
      </c>
      <c r="F19886" t="n">
        <v>1</v>
      </c>
      <c r="G19886" t="n">
        <v>16</v>
      </c>
      <c r="H19886" s="5">
        <f>HYPERLINK("https://api.qogita.com/variants/link/0667554672024/", "View Product")</f>
        <v/>
      </c>
    </row>
    <row r="19887">
      <c r="A19887" t="inlineStr">
        <is>
          <t>0667555755597</t>
        </is>
      </c>
      <c r="B19887" t="inlineStr">
        <is>
          <t>Victoria's Secret Very Sexy Oasis Fragrance Body Mist Spray for Women 8.4 Oz</t>
        </is>
      </c>
      <c r="C19887" t="inlineStr">
        <is>
          <t>Eau De Toilette</t>
        </is>
      </c>
      <c r="D19887" t="inlineStr">
        <is>
          <t>Victoria's Secret</t>
        </is>
      </c>
      <c r="E19887" t="n">
        <v>15.75</v>
      </c>
      <c r="F19887" t="n">
        <v>1</v>
      </c>
      <c r="G19887" t="n">
        <v>3</v>
      </c>
      <c r="H19887" s="5">
        <f>HYPERLINK("https://api.qogita.com/variants/link/0667555755597/", "View Product")</f>
        <v/>
      </c>
    </row>
    <row r="19888">
      <c r="A19888" t="inlineStr">
        <is>
          <t>0667556407075</t>
        </is>
      </c>
      <c r="B19888" t="inlineStr">
        <is>
          <t>Victoria's Secret Hardcore Rose Eau De Toilette 50ml</t>
        </is>
      </c>
      <c r="C19888" t="inlineStr">
        <is>
          <t>Eau De Toilette</t>
        </is>
      </c>
      <c r="D19888" t="inlineStr">
        <is>
          <t>Victoria's Secret</t>
        </is>
      </c>
      <c r="E19888" t="n">
        <v>30.11</v>
      </c>
      <c r="F19888" t="n">
        <v>1</v>
      </c>
      <c r="G19888" t="n">
        <v>14</v>
      </c>
      <c r="H19888" s="5">
        <f>HYPERLINK("https://api.qogita.com/variants/link/0667556407075/", "View Product")</f>
        <v/>
      </c>
    </row>
    <row r="19889">
      <c r="A19889" t="inlineStr">
        <is>
          <t>0667556407099</t>
        </is>
      </c>
      <c r="B19889" t="inlineStr">
        <is>
          <t>Victoria's Secret Tease Glam Perfume 50ml</t>
        </is>
      </c>
      <c r="C19889" t="inlineStr">
        <is>
          <t>Eau De Parfum</t>
        </is>
      </c>
      <c r="D19889" t="inlineStr">
        <is>
          <t>Victoria's Secret</t>
        </is>
      </c>
      <c r="E19889" t="n">
        <v>29.96</v>
      </c>
      <c r="F19889" t="n">
        <v>1</v>
      </c>
      <c r="G19889" t="n">
        <v>5</v>
      </c>
      <c r="H19889" s="5">
        <f>HYPERLINK("https://api.qogita.com/variants/link/0667556407099/", "View Product")</f>
        <v/>
      </c>
    </row>
    <row r="19890">
      <c r="A19890" t="inlineStr">
        <is>
          <t>0667556489965</t>
        </is>
      </c>
      <c r="B19890" t="inlineStr">
        <is>
          <t>Victoria's Secret LOVE SPELL Fragrance Body Mist 8.4floz /250ml</t>
        </is>
      </c>
      <c r="C19890" t="inlineStr">
        <is>
          <t>Fragrance Sets</t>
        </is>
      </c>
      <c r="D19890" t="inlineStr">
        <is>
          <t>Victoria's Secret</t>
        </is>
      </c>
      <c r="E19890" t="n">
        <v>13.84</v>
      </c>
      <c r="F19890" t="n">
        <v>1</v>
      </c>
      <c r="G19890" t="n">
        <v>87</v>
      </c>
      <c r="H19890" s="5">
        <f>HYPERLINK("https://api.qogita.com/variants/link/0667556489965/", "View Product")</f>
        <v/>
      </c>
    </row>
    <row r="19891">
      <c r="A19891" t="inlineStr">
        <is>
          <t>0667556489972</t>
        </is>
      </c>
      <c r="B19891" t="inlineStr">
        <is>
          <t>Victoria's Secret Pure Seduction Fragrance Mist 250ml</t>
        </is>
      </c>
      <c r="C19891" t="inlineStr">
        <is>
          <t>Eau De Toilette</t>
        </is>
      </c>
      <c r="D19891" t="inlineStr">
        <is>
          <t>Victoria's Secret</t>
        </is>
      </c>
      <c r="E19891" t="n">
        <v>14.82</v>
      </c>
      <c r="F19891" t="n">
        <v>1</v>
      </c>
      <c r="G19891" t="n">
        <v>119</v>
      </c>
      <c r="H19891" s="5">
        <f>HYPERLINK("https://api.qogita.com/variants/link/0667556489972/", "View Product")</f>
        <v/>
      </c>
    </row>
    <row r="19892">
      <c r="A19892" t="inlineStr">
        <is>
          <t>0667556489996</t>
        </is>
      </c>
      <c r="B19892" t="inlineStr">
        <is>
          <t>Victoria's Secret Bare Vanilla Fragrance Mist 250ml</t>
        </is>
      </c>
      <c r="C19892" t="inlineStr">
        <is>
          <t>Fragrance Sets</t>
        </is>
      </c>
      <c r="D19892" t="inlineStr">
        <is>
          <t>Procter Gamble</t>
        </is>
      </c>
      <c r="E19892" t="n">
        <v>15.11</v>
      </c>
      <c r="F19892" t="n">
        <v>1</v>
      </c>
      <c r="G19892" t="n">
        <v>245</v>
      </c>
      <c r="H19892" s="5">
        <f>HYPERLINK("https://api.qogita.com/variants/link/0667556489996/", "View Product")</f>
        <v/>
      </c>
    </row>
    <row r="19893">
      <c r="A19893" t="inlineStr">
        <is>
          <t>0667556605020</t>
        </is>
      </c>
      <c r="B19893" t="inlineStr">
        <is>
          <t>Amber Romance Victoria's Secret Fragrance Mist for Women 8.4 Oz</t>
        </is>
      </c>
      <c r="C19893" t="inlineStr">
        <is>
          <t>Eau De Parfum</t>
        </is>
      </c>
      <c r="D19893" t="inlineStr">
        <is>
          <t>Victoria's Secret</t>
        </is>
      </c>
      <c r="E19893" t="n">
        <v>13.4</v>
      </c>
      <c r="F19893" t="n">
        <v>1</v>
      </c>
      <c r="G19893" t="n">
        <v>102</v>
      </c>
      <c r="H19893" s="5">
        <f>HYPERLINK("https://api.qogita.com/variants/link/0667556605020/", "View Product")</f>
        <v/>
      </c>
    </row>
    <row r="19894">
      <c r="A19894" t="inlineStr">
        <is>
          <t>0667556706857</t>
        </is>
      </c>
      <c r="B19894" t="inlineStr">
        <is>
          <t>Victoria's Secret Amaretto Fizz Fragrance Mist 250ml</t>
        </is>
      </c>
      <c r="C19894" t="inlineStr">
        <is>
          <t>Eau De Toilette</t>
        </is>
      </c>
      <c r="D19894" t="inlineStr">
        <is>
          <t>Victoria's Secret</t>
        </is>
      </c>
      <c r="E19894" t="n">
        <v>16.95</v>
      </c>
      <c r="F19894" t="n">
        <v>1</v>
      </c>
      <c r="G19894" t="n">
        <v>3</v>
      </c>
      <c r="H19894" s="5">
        <f>HYPERLINK("https://api.qogita.com/variants/link/0667556706857/", "View Product")</f>
        <v/>
      </c>
    </row>
    <row r="19895">
      <c r="A19895" t="inlineStr">
        <is>
          <t>0667557180458</t>
        </is>
      </c>
      <c r="B19895" t="inlineStr">
        <is>
          <t>Victoria's Secret Strawberries &amp; Champagne Fragrance Mist Body Spray Strawberry</t>
        </is>
      </c>
      <c r="C19895" t="inlineStr">
        <is>
          <t>Eau De Toilette</t>
        </is>
      </c>
      <c r="D19895" t="inlineStr">
        <is>
          <t>Victoria's Secret</t>
        </is>
      </c>
      <c r="E19895" t="n">
        <v>16.44</v>
      </c>
      <c r="F19895" t="n">
        <v>1</v>
      </c>
      <c r="G19895" t="n">
        <v>132</v>
      </c>
      <c r="H19895" s="5">
        <f>HYPERLINK("https://api.qogita.com/variants/link/0667557180458/", "View Product")</f>
        <v/>
      </c>
    </row>
    <row r="19896">
      <c r="A19896" t="inlineStr">
        <is>
          <t>0667557640914</t>
        </is>
      </c>
      <c r="B19896" t="inlineStr">
        <is>
          <t>Victoria's Secret Pineapple High Fragrance Mist 8.4 fl oz</t>
        </is>
      </c>
      <c r="C19896" t="inlineStr">
        <is>
          <t>Fragrance Sets</t>
        </is>
      </c>
      <c r="D19896" t="inlineStr">
        <is>
          <t>Victoria's Secret</t>
        </is>
      </c>
      <c r="E19896" t="n">
        <v>13.51</v>
      </c>
      <c r="F19896" t="n">
        <v>1</v>
      </c>
      <c r="G19896" t="n">
        <v>16</v>
      </c>
      <c r="H19896" s="5">
        <f>HYPERLINK("https://api.qogita.com/variants/link/0667557640914/", "View Product")</f>
        <v/>
      </c>
    </row>
    <row r="19897">
      <c r="A19897" t="inlineStr">
        <is>
          <t>0667557640945</t>
        </is>
      </c>
      <c r="B19897" t="inlineStr">
        <is>
          <t>Victoria's Secret Mango Smash Tropic Nectar Fragrance Mist 8.4 fl oz</t>
        </is>
      </c>
      <c r="C19897" t="inlineStr">
        <is>
          <t>Fragrance Sets</t>
        </is>
      </c>
      <c r="D19897" t="inlineStr">
        <is>
          <t>Victoria's Secret</t>
        </is>
      </c>
      <c r="E19897" t="n">
        <v>13.46</v>
      </c>
      <c r="F19897" t="n">
        <v>1</v>
      </c>
      <c r="G19897" t="n">
        <v>304</v>
      </c>
      <c r="H19897" s="5">
        <f>HYPERLINK("https://api.qogita.com/variants/link/0667557640945/", "View Product")</f>
        <v/>
      </c>
    </row>
    <row r="19898">
      <c r="A19898" t="inlineStr">
        <is>
          <t>0667557895406</t>
        </is>
      </c>
      <c r="B19898" t="inlineStr">
        <is>
          <t>Victoria's Secret Midnight Bloom Body Lotion 8.4 fl. oz.</t>
        </is>
      </c>
      <c r="C19898" t="inlineStr">
        <is>
          <t>Body Lotion</t>
        </is>
      </c>
      <c r="D19898" t="inlineStr">
        <is>
          <t>Victoria's Secret</t>
        </is>
      </c>
      <c r="E19898" t="n">
        <v>15.57</v>
      </c>
      <c r="F19898" t="n">
        <v>1</v>
      </c>
      <c r="G19898" t="n">
        <v>18</v>
      </c>
      <c r="H19898" s="5">
        <f>HYPERLINK("https://api.qogita.com/variants/link/0667557895406/", "View Product")</f>
        <v/>
      </c>
    </row>
    <row r="19899">
      <c r="A19899" t="inlineStr">
        <is>
          <t>0667558227053</t>
        </is>
      </c>
      <c r="B19899" t="inlineStr">
        <is>
          <t>Victoria's Secret Velvet Cashmere Scent Body Mist Spray 8.4 Ounces</t>
        </is>
      </c>
      <c r="C19899" t="inlineStr">
        <is>
          <t>Eau De Toilette</t>
        </is>
      </c>
      <c r="D19899" t="inlineStr">
        <is>
          <t>Victoria's Secret</t>
        </is>
      </c>
      <c r="E19899" t="n">
        <v>16.06</v>
      </c>
      <c r="F19899" t="n">
        <v>1</v>
      </c>
      <c r="G19899" t="n">
        <v>3</v>
      </c>
      <c r="H19899" s="5">
        <f>HYPERLINK("https://api.qogita.com/variants/link/0667558227053/", "View Product")</f>
        <v/>
      </c>
    </row>
    <row r="19900">
      <c r="A19900" t="inlineStr">
        <is>
          <t>0667558426913</t>
        </is>
      </c>
      <c r="B19900" t="inlineStr">
        <is>
          <t>Victoria's Secret Snowdrift Body Mist 250ml Spray</t>
        </is>
      </c>
      <c r="C19900" t="inlineStr">
        <is>
          <t>Eau De Toilette</t>
        </is>
      </c>
      <c r="D19900" t="inlineStr">
        <is>
          <t>Victoria's Secret</t>
        </is>
      </c>
      <c r="E19900" t="n">
        <v>14.16</v>
      </c>
      <c r="F19900" t="n">
        <v>1</v>
      </c>
      <c r="G19900" t="n">
        <v>4</v>
      </c>
      <c r="H19900" s="5">
        <f>HYPERLINK("https://api.qogita.com/variants/link/0667558426913/", "View Product")</f>
        <v/>
      </c>
    </row>
    <row r="19901">
      <c r="A19901" t="inlineStr">
        <is>
          <t>0667558427132</t>
        </is>
      </c>
      <c r="B19901" t="inlineStr">
        <is>
          <t>Victoria's Secret Pomegranate Sky Fragrance Mist 8.4 fl oz</t>
        </is>
      </c>
      <c r="C19901" t="inlineStr">
        <is>
          <t>Fragrance Sets</t>
        </is>
      </c>
      <c r="D19901" t="inlineStr">
        <is>
          <t>Victoria's Secret</t>
        </is>
      </c>
      <c r="E19901" t="n">
        <v>16.37</v>
      </c>
      <c r="F19901" t="n">
        <v>1</v>
      </c>
      <c r="G19901" t="n">
        <v>3</v>
      </c>
      <c r="H19901" s="5">
        <f>HYPERLINK("https://api.qogita.com/variants/link/0667558427132/", "View Product")</f>
        <v/>
      </c>
    </row>
    <row r="19902">
      <c r="A19902" t="inlineStr">
        <is>
          <t>0667558437339</t>
        </is>
      </c>
      <c r="B19902" t="inlineStr">
        <is>
          <t>Victoria's Secret Santal Berry Silk Fragrance Body Mist 8.4 fl oz</t>
        </is>
      </c>
      <c r="C19902" t="inlineStr">
        <is>
          <t>Fragrance Sets</t>
        </is>
      </c>
      <c r="D19902" t="inlineStr">
        <is>
          <t>Victoria's Secret</t>
        </is>
      </c>
      <c r="E19902" t="n">
        <v>12.36</v>
      </c>
      <c r="F19902" t="n">
        <v>1</v>
      </c>
      <c r="G19902" t="n">
        <v>17</v>
      </c>
      <c r="H19902" s="5">
        <f>HYPERLINK("https://api.qogita.com/variants/link/0667558437339/", "View Product")</f>
        <v/>
      </c>
    </row>
    <row r="19903">
      <c r="A19903" t="inlineStr">
        <is>
          <t>0667558437346</t>
        </is>
      </c>
      <c r="B19903" t="inlineStr">
        <is>
          <t>Victoria's Secret Ginger Apple Jewel Fragrance Spray 250ml</t>
        </is>
      </c>
      <c r="C19903" t="inlineStr">
        <is>
          <t>Eau De Toilette</t>
        </is>
      </c>
      <c r="D19903" t="inlineStr">
        <is>
          <t>Victoria's Secret</t>
        </is>
      </c>
      <c r="E19903" t="n">
        <v>12.36</v>
      </c>
      <c r="F19903" t="n">
        <v>1</v>
      </c>
      <c r="G19903" t="n">
        <v>69</v>
      </c>
      <c r="H19903" s="5">
        <f>HYPERLINK("https://api.qogita.com/variants/link/0667558437346/", "View Product")</f>
        <v/>
      </c>
    </row>
    <row r="19904">
      <c r="A19904" t="inlineStr">
        <is>
          <t>0667558437421</t>
        </is>
      </c>
      <c r="B19904" t="inlineStr">
        <is>
          <t>Victoria's Secret Pure Seduction Candied 250ml</t>
        </is>
      </c>
      <c r="C19904" t="inlineStr">
        <is>
          <t>Eau De Parfum</t>
        </is>
      </c>
      <c r="D19904" t="inlineStr">
        <is>
          <t>Victoria's Secret</t>
        </is>
      </c>
      <c r="E19904" t="n">
        <v>16.44</v>
      </c>
      <c r="F19904" t="n">
        <v>1</v>
      </c>
      <c r="G19904" t="n">
        <v>18</v>
      </c>
      <c r="H19904" s="5">
        <f>HYPERLINK("https://api.qogita.com/variants/link/0667558437421/", "View Product")</f>
        <v/>
      </c>
    </row>
    <row r="19905">
      <c r="A19905" t="inlineStr">
        <is>
          <t>0667558438305</t>
        </is>
      </c>
      <c r="B19905" t="inlineStr">
        <is>
          <t>Victoria's Secret Temptation Shimmer Body Spray</t>
        </is>
      </c>
      <c r="C19905" t="inlineStr">
        <is>
          <t>Fragrance Sets</t>
        </is>
      </c>
      <c r="D19905" t="inlineStr">
        <is>
          <t>Victoria's Secret</t>
        </is>
      </c>
      <c r="E19905" t="n">
        <v>16.8</v>
      </c>
      <c r="F19905" t="n">
        <v>1</v>
      </c>
      <c r="G19905" t="n">
        <v>19</v>
      </c>
      <c r="H19905" s="5">
        <f>HYPERLINK("https://api.qogita.com/variants/link/0667558438305/", "View Product")</f>
        <v/>
      </c>
    </row>
    <row r="19906">
      <c r="A19906" t="inlineStr">
        <is>
          <t>0667558467909</t>
        </is>
      </c>
      <c r="B19906" t="inlineStr">
        <is>
          <t>Victoria's Secret Island Getaway Fragrance Mist 8.4oz</t>
        </is>
      </c>
      <c r="C19906" t="inlineStr">
        <is>
          <t>Fragrance Sets</t>
        </is>
      </c>
      <c r="D19906" t="inlineStr">
        <is>
          <t>Victoria's Secret</t>
        </is>
      </c>
      <c r="E19906" t="n">
        <v>13.42</v>
      </c>
      <c r="F19906" t="n">
        <v>1</v>
      </c>
      <c r="G19906" t="n">
        <v>9</v>
      </c>
      <c r="H19906" s="5">
        <f>HYPERLINK("https://api.qogita.com/variants/link/0667558467909/", "View Product")</f>
        <v/>
      </c>
    </row>
    <row r="19907">
      <c r="A19907" t="inlineStr">
        <is>
          <t>0667558857403</t>
        </is>
      </c>
      <c r="B19907" t="inlineStr">
        <is>
          <t>Pink Light Happy Body Spray</t>
        </is>
      </c>
      <c r="C19907" t="inlineStr">
        <is>
          <t>Eau De Toilette</t>
        </is>
      </c>
      <c r="D19907" t="inlineStr">
        <is>
          <t>Pink</t>
        </is>
      </c>
      <c r="E19907" t="n">
        <v>16.44</v>
      </c>
      <c r="F19907" t="n">
        <v>1</v>
      </c>
      <c r="G19907" t="n">
        <v>13</v>
      </c>
      <c r="H19907" s="5">
        <f>HYPERLINK("https://api.qogita.com/variants/link/0667558857403/", "View Product")</f>
        <v/>
      </c>
    </row>
    <row r="19908">
      <c r="A19908" t="inlineStr">
        <is>
          <t>0667559066316</t>
        </is>
      </c>
      <c r="B19908" t="inlineStr">
        <is>
          <t>Victoria's Secret Vibrant Breeze Body Spray 250ml</t>
        </is>
      </c>
      <c r="C19908" t="inlineStr">
        <is>
          <t>Eau De Toilette</t>
        </is>
      </c>
      <c r="D19908" t="inlineStr">
        <is>
          <t>Victoria's Secret</t>
        </is>
      </c>
      <c r="E19908" t="n">
        <v>13.07</v>
      </c>
      <c r="F19908" t="n">
        <v>1</v>
      </c>
      <c r="G19908" t="n">
        <v>6</v>
      </c>
      <c r="H19908" s="5">
        <f>HYPERLINK("https://api.qogita.com/variants/link/0667559066316/", "View Product")</f>
        <v/>
      </c>
    </row>
    <row r="19909">
      <c r="A19909" t="inlineStr">
        <is>
          <t>0667559066873</t>
        </is>
      </c>
      <c r="B19909" t="inlineStr">
        <is>
          <t>Victoria's Secret Whispering Waves Body Spray</t>
        </is>
      </c>
      <c r="C19909" t="inlineStr">
        <is>
          <t>Eau De Toilette</t>
        </is>
      </c>
      <c r="D19909" t="inlineStr">
        <is>
          <t>Victoria's Secret</t>
        </is>
      </c>
      <c r="E19909" t="n">
        <v>15.02</v>
      </c>
      <c r="F19909" t="n">
        <v>1</v>
      </c>
      <c r="G19909" t="n">
        <v>3</v>
      </c>
      <c r="H19909" s="5">
        <f>HYPERLINK("https://api.qogita.com/variants/link/0667559066873/", "View Product")</f>
        <v/>
      </c>
    </row>
    <row r="19910">
      <c r="A19910" t="inlineStr">
        <is>
          <t>0667559066880</t>
        </is>
      </c>
      <c r="B19910" t="inlineStr">
        <is>
          <t>Victoria's Secret Aquatic Allure Body Mist 250ml</t>
        </is>
      </c>
      <c r="C19910" t="inlineStr">
        <is>
          <t>Eau De Toilette</t>
        </is>
      </c>
      <c r="D19910" t="inlineStr">
        <is>
          <t>Victoria's Secret</t>
        </is>
      </c>
      <c r="E19910" t="n">
        <v>14.34</v>
      </c>
      <c r="F19910" t="n">
        <v>1</v>
      </c>
      <c r="G19910" t="n">
        <v>8</v>
      </c>
      <c r="H19910" s="5">
        <f>HYPERLINK("https://api.qogita.com/variants/link/0667559066880/", "View Product")</f>
        <v/>
      </c>
    </row>
    <row r="19911">
      <c r="A19911" t="inlineStr">
        <is>
          <t>0667559068204</t>
        </is>
      </c>
      <c r="B19911" t="inlineStr">
        <is>
          <t>Victoria's Secret Lush Orchid Amber Bodyspray 250ml</t>
        </is>
      </c>
      <c r="C19911" t="inlineStr">
        <is>
          <t>Eau De Toilette</t>
        </is>
      </c>
      <c r="D19911" t="inlineStr">
        <is>
          <t>Victoria's Secret</t>
        </is>
      </c>
      <c r="E19911" t="n">
        <v>12.36</v>
      </c>
      <c r="F19911" t="n">
        <v>1</v>
      </c>
      <c r="G19911" t="n">
        <v>71</v>
      </c>
      <c r="H19911" s="5">
        <f>HYPERLINK("https://api.qogita.com/variants/link/0667559068204/", "View Product")</f>
        <v/>
      </c>
    </row>
    <row r="19912">
      <c r="A19912" t="inlineStr">
        <is>
          <t>0667559666738</t>
        </is>
      </c>
      <c r="B19912" t="inlineStr">
        <is>
          <t>Victoria's Secret Sugared Petals Body Mist 250ml</t>
        </is>
      </c>
      <c r="C19912" t="inlineStr">
        <is>
          <t>Body Mist</t>
        </is>
      </c>
      <c r="D19912" t="inlineStr">
        <is>
          <t>Victoria's Secret</t>
        </is>
      </c>
      <c r="E19912" t="n">
        <v>16.44</v>
      </c>
      <c r="F19912" t="n">
        <v>1</v>
      </c>
      <c r="G19912" t="n">
        <v>23</v>
      </c>
      <c r="H19912" s="5">
        <f>HYPERLINK("https://api.qogita.com/variants/link/0667559666738/", "View Product")</f>
        <v/>
      </c>
    </row>
    <row r="19913">
      <c r="A19913" t="inlineStr">
        <is>
          <t>0667559666837</t>
        </is>
      </c>
      <c r="B19913" t="inlineStr">
        <is>
          <t>Victoria's Secret Velvet Petals Daydream Body Mist 250ml</t>
        </is>
      </c>
      <c r="C19913" t="inlineStr">
        <is>
          <t>Body Mist</t>
        </is>
      </c>
      <c r="D19913" t="inlineStr">
        <is>
          <t>Victoria's Secret</t>
        </is>
      </c>
      <c r="E19913" t="n">
        <v>16.44</v>
      </c>
      <c r="F19913" t="n">
        <v>1</v>
      </c>
      <c r="G19913" t="n">
        <v>56</v>
      </c>
      <c r="H19913" s="5">
        <f>HYPERLINK("https://api.qogita.com/variants/link/0667559666837/", "View Product")</f>
        <v/>
      </c>
    </row>
    <row r="19914">
      <c r="A19914" t="inlineStr">
        <is>
          <t>0667559669210</t>
        </is>
      </c>
      <c r="B19914" t="inlineStr">
        <is>
          <t>Victoria's Secret Golden Tangerine Saffron Body Mist Spray</t>
        </is>
      </c>
      <c r="C19914" t="inlineStr">
        <is>
          <t>Body Mist</t>
        </is>
      </c>
      <c r="D19914" t="inlineStr">
        <is>
          <t>Victoria's Secret</t>
        </is>
      </c>
      <c r="E19914" t="n">
        <v>11.74</v>
      </c>
      <c r="F19914" t="n">
        <v>1</v>
      </c>
      <c r="G19914" t="n">
        <v>12</v>
      </c>
      <c r="H19914" s="5">
        <f>HYPERLINK("https://api.qogita.com/variants/link/0667559669210/", "View Product")</f>
        <v/>
      </c>
    </row>
    <row r="19915">
      <c r="A19915" t="inlineStr">
        <is>
          <t>0667559817291</t>
        </is>
      </c>
      <c r="B19915" t="inlineStr">
        <is>
          <t>Victoria's Secret Sensuous Cashmere Rose Fine Fragrance Mist Body Spray 8.4</t>
        </is>
      </c>
      <c r="C19915" t="inlineStr">
        <is>
          <t>Fragrance Sets</t>
        </is>
      </c>
      <c r="D19915" t="inlineStr">
        <is>
          <t>Victoria's Secret</t>
        </is>
      </c>
      <c r="E19915" t="n">
        <v>16.44</v>
      </c>
      <c r="F19915" t="n">
        <v>1</v>
      </c>
      <c r="G19915" t="n">
        <v>21</v>
      </c>
      <c r="H19915" s="5">
        <f>HYPERLINK("https://api.qogita.com/variants/link/0667559817291/", "View Product")</f>
        <v/>
      </c>
    </row>
    <row r="19916">
      <c r="A19916" t="inlineStr">
        <is>
          <t>0669259001055</t>
        </is>
      </c>
      <c r="B19916" t="inlineStr">
        <is>
          <t>Little Green Kids All In One Shampoo Body Wash 240ml</t>
        </is>
      </c>
      <c r="C19916" t="inlineStr">
        <is>
          <t>Baby Shampoo</t>
        </is>
      </c>
      <c r="D19916" t="inlineStr">
        <is>
          <t>Little Green</t>
        </is>
      </c>
      <c r="E19916" t="n">
        <v>6.6</v>
      </c>
      <c r="F19916" t="n">
        <v>1</v>
      </c>
      <c r="G19916" t="n">
        <v>16</v>
      </c>
      <c r="H19916" s="5">
        <f>HYPERLINK("https://api.qogita.com/variants/link/0669259001055/", "View Product")</f>
        <v/>
      </c>
    </row>
    <row r="19917">
      <c r="A19917" t="inlineStr">
        <is>
          <t>0669259002328</t>
        </is>
      </c>
      <c r="B19917" t="inlineStr">
        <is>
          <t>Little Green Moisturizing Body Cream 180ml for Babies</t>
        </is>
      </c>
      <c r="C19917" t="inlineStr">
        <is>
          <t>Baby &amp; Child</t>
        </is>
      </c>
      <c r="D19917" t="inlineStr">
        <is>
          <t>Little Green</t>
        </is>
      </c>
      <c r="E19917" t="n">
        <v>6.6</v>
      </c>
      <c r="F19917" t="n">
        <v>1</v>
      </c>
      <c r="G19917" t="n">
        <v>6</v>
      </c>
      <c r="H19917" s="5">
        <f>HYPERLINK("https://api.qogita.com/variants/link/0669259002328/", "View Product")</f>
        <v/>
      </c>
    </row>
    <row r="19918">
      <c r="A19918" t="inlineStr">
        <is>
          <t>0669259003462</t>
        </is>
      </c>
      <c r="B19918" t="inlineStr">
        <is>
          <t>Ecru New York Curl Perfect Hydrating Shampoo 8 Fl Oz</t>
        </is>
      </c>
      <c r="C19918" t="inlineStr">
        <is>
          <t>Shampoo</t>
        </is>
      </c>
      <c r="D19918" t="inlineStr">
        <is>
          <t>Ecru New York</t>
        </is>
      </c>
      <c r="E19918" t="n">
        <v>13.78</v>
      </c>
      <c r="F19918" t="n">
        <v>1</v>
      </c>
      <c r="G19918" t="n">
        <v>18</v>
      </c>
      <c r="H19918" s="5">
        <f>HYPERLINK("https://api.qogita.com/variants/link/0669259003462/", "View Product")</f>
        <v/>
      </c>
    </row>
    <row r="19919">
      <c r="A19919" t="inlineStr">
        <is>
          <t>0669259003509</t>
        </is>
      </c>
      <c r="B19919" t="inlineStr">
        <is>
          <t>Ecru New York Silk Nectar Shine Serum Lightweight Hair Serum</t>
        </is>
      </c>
      <c r="C19919" t="inlineStr">
        <is>
          <t>Hair Oil &amp; Hair Serum</t>
        </is>
      </c>
      <c r="D19919" t="inlineStr">
        <is>
          <t>Ecru New York</t>
        </is>
      </c>
      <c r="E19919" t="n">
        <v>18.91</v>
      </c>
      <c r="F19919" t="n">
        <v>1</v>
      </c>
      <c r="G19919" t="n">
        <v>4</v>
      </c>
      <c r="H19919" s="5">
        <f>HYPERLINK("https://api.qogita.com/variants/link/0669259003509/", "View Product")</f>
        <v/>
      </c>
    </row>
    <row r="19920">
      <c r="A19920" t="inlineStr">
        <is>
          <t>0669259003523</t>
        </is>
      </c>
      <c r="B19920" t="inlineStr">
        <is>
          <t>ECRU NEW YORK Volumizing Silk Mist 5oz</t>
        </is>
      </c>
      <c r="C19920" t="inlineStr">
        <is>
          <t>Hair Oil &amp; Hair Serum</t>
        </is>
      </c>
      <c r="D19920" t="inlineStr">
        <is>
          <t>Ecru New York</t>
        </is>
      </c>
      <c r="E19920" t="n">
        <v>14.75</v>
      </c>
      <c r="F19920" t="n">
        <v>1</v>
      </c>
      <c r="G19920" t="n">
        <v>5</v>
      </c>
      <c r="H19920" s="5">
        <f>HYPERLINK("https://api.qogita.com/variants/link/0669259003523/", "View Product")</f>
        <v/>
      </c>
    </row>
    <row r="19921">
      <c r="A19921" t="inlineStr">
        <is>
          <t>0669259003547</t>
        </is>
      </c>
      <c r="B19921" t="inlineStr">
        <is>
          <t>Ecru New York Sunlight Styling Spray 6.5 Fl Oz</t>
        </is>
      </c>
      <c r="C19921" t="inlineStr">
        <is>
          <t>Styling Sprays</t>
        </is>
      </c>
      <c r="D19921" t="inlineStr">
        <is>
          <t>Ecru New York</t>
        </is>
      </c>
      <c r="E19921" t="n">
        <v>15.12</v>
      </c>
      <c r="F19921" t="n">
        <v>1</v>
      </c>
      <c r="G19921" t="n">
        <v>3</v>
      </c>
      <c r="H19921" s="5">
        <f>HYPERLINK("https://api.qogita.com/variants/link/0669259003547/", "View Product")</f>
        <v/>
      </c>
    </row>
    <row r="19922">
      <c r="A19922" t="inlineStr">
        <is>
          <t>0669259003707</t>
        </is>
      </c>
      <c r="B19922" t="inlineStr">
        <is>
          <t>ECRU New York Hair Setting Spray 5 oz Lightweight Heat &amp; Frizz Protectant with Long Lasting Hold and Shine</t>
        </is>
      </c>
      <c r="C19922" t="inlineStr">
        <is>
          <t>Hairspray</t>
        </is>
      </c>
      <c r="D19922" t="inlineStr">
        <is>
          <t>Ecru New York</t>
        </is>
      </c>
      <c r="E19922" t="n">
        <v>12.98</v>
      </c>
      <c r="F19922" t="n">
        <v>1</v>
      </c>
      <c r="G19922" t="n">
        <v>3</v>
      </c>
      <c r="H19922" s="5">
        <f>HYPERLINK("https://api.qogita.com/variants/link/0669259003707/", "View Product")</f>
        <v/>
      </c>
    </row>
    <row r="19923">
      <c r="A19923" t="inlineStr">
        <is>
          <t>0669316060506</t>
        </is>
      </c>
      <c r="B19923" t="inlineStr">
        <is>
          <t>American Crew Firm Hold Styling Gel 8.4 oz</t>
        </is>
      </c>
      <c r="C19923" t="inlineStr">
        <is>
          <t>Gel</t>
        </is>
      </c>
      <c r="D19923" t="inlineStr">
        <is>
          <t>American Crew</t>
        </is>
      </c>
      <c r="E19923" t="n">
        <v>4.8</v>
      </c>
      <c r="F19923" t="n">
        <v>1</v>
      </c>
      <c r="G19923" t="n">
        <v>17</v>
      </c>
      <c r="H19923" s="5">
        <f>HYPERLINK("https://api.qogita.com/variants/link/0669316060506/", "View Product")</f>
        <v/>
      </c>
    </row>
    <row r="19924">
      <c r="A19924" t="inlineStr">
        <is>
          <t>0669316213292</t>
        </is>
      </c>
      <c r="B19924" t="inlineStr">
        <is>
          <t>D:Fi Matte Clay 150ml Black</t>
        </is>
      </c>
      <c r="C19924" t="inlineStr">
        <is>
          <t>Wax</t>
        </is>
      </c>
      <c r="D19924" t="inlineStr">
        <is>
          <t>D:Fi</t>
        </is>
      </c>
      <c r="E19924" t="n">
        <v>7.58</v>
      </c>
      <c r="F19924" t="n">
        <v>1</v>
      </c>
      <c r="G19924" t="n">
        <v>16</v>
      </c>
      <c r="H19924" s="5">
        <f>HYPERLINK("https://api.qogita.com/variants/link/0669316213292/", "View Product")</f>
        <v/>
      </c>
    </row>
    <row r="19925">
      <c r="A19925" t="inlineStr">
        <is>
          <t>0669316223079</t>
        </is>
      </c>
      <c r="B19925" t="inlineStr">
        <is>
          <t>American Crew 3-in-1 Tea Tree Shampoo Conditioner Body 250ml</t>
        </is>
      </c>
      <c r="C19925" t="inlineStr">
        <is>
          <t>Shampoo</t>
        </is>
      </c>
      <c r="D19925" t="inlineStr">
        <is>
          <t>American Crew</t>
        </is>
      </c>
      <c r="E19925" t="n">
        <v>6.57</v>
      </c>
      <c r="F19925" t="n">
        <v>1</v>
      </c>
      <c r="G19925" t="n">
        <v>9</v>
      </c>
      <c r="H19925" s="5">
        <f>HYPERLINK("https://api.qogita.com/variants/link/0669316223079/", "View Product")</f>
        <v/>
      </c>
    </row>
    <row r="19926">
      <c r="A19926" t="inlineStr">
        <is>
          <t>0669316388327</t>
        </is>
      </c>
      <c r="B19926" t="inlineStr">
        <is>
          <t>American Crew Classic Alternator Finishing Spray 100ml for Men</t>
        </is>
      </c>
      <c r="C19926" t="inlineStr">
        <is>
          <t>Hairspray</t>
        </is>
      </c>
      <c r="D19926" t="inlineStr">
        <is>
          <t>American Crew</t>
        </is>
      </c>
      <c r="E19926" t="n">
        <v>6.39</v>
      </c>
      <c r="F19926" t="n">
        <v>1</v>
      </c>
      <c r="G19926" t="n">
        <v>65</v>
      </c>
      <c r="H19926" s="5">
        <f>HYPERLINK("https://api.qogita.com/variants/link/0669316388327/", "View Product")</f>
        <v/>
      </c>
    </row>
    <row r="19927">
      <c r="A19927" t="inlineStr">
        <is>
          <t>0679602139120</t>
        </is>
      </c>
      <c r="B19927" t="inlineStr">
        <is>
          <t>Police Shock-In-Scent Eau de Parfum 30ml</t>
        </is>
      </c>
      <c r="C19927" t="inlineStr">
        <is>
          <t>Eau De Parfum</t>
        </is>
      </c>
      <c r="D19927" t="inlineStr">
        <is>
          <t>Police</t>
        </is>
      </c>
      <c r="E19927" t="n">
        <v>11.57</v>
      </c>
      <c r="F19927" t="n">
        <v>1</v>
      </c>
      <c r="G19927" t="n">
        <v>2</v>
      </c>
      <c r="H19927" s="5">
        <f>HYPERLINK("https://api.qogita.com/variants/link/0679602139120/", "View Product")</f>
        <v/>
      </c>
    </row>
    <row r="19928">
      <c r="A19928" t="inlineStr">
        <is>
          <t>0679602145107</t>
        </is>
      </c>
      <c r="B19928" t="inlineStr">
        <is>
          <t>Police To Be Green Eau De Toilette 75ml</t>
        </is>
      </c>
      <c r="C19928" t="inlineStr">
        <is>
          <t>Eau De Toilette</t>
        </is>
      </c>
      <c r="D19928" t="inlineStr">
        <is>
          <t>Police</t>
        </is>
      </c>
      <c r="E19928" t="n">
        <v>8.949999999999999</v>
      </c>
      <c r="F19928" t="n">
        <v>1</v>
      </c>
      <c r="G19928" t="n">
        <v>9</v>
      </c>
      <c r="H19928" s="5">
        <f>HYPERLINK("https://api.qogita.com/variants/link/0679602145107/", "View Product")</f>
        <v/>
      </c>
    </row>
    <row r="19929">
      <c r="A19929" t="inlineStr">
        <is>
          <t>0679602152129</t>
        </is>
      </c>
      <c r="B19929" t="inlineStr">
        <is>
          <t>POLICE To Be #FREETODARE Eau de Toilette for Men 40ml</t>
        </is>
      </c>
      <c r="C19929" t="inlineStr">
        <is>
          <t>Eau De Toilette</t>
        </is>
      </c>
      <c r="D19929" t="inlineStr">
        <is>
          <t>Police</t>
        </is>
      </c>
      <c r="E19929" t="n">
        <v>9.039999999999999</v>
      </c>
      <c r="F19929" t="n">
        <v>1</v>
      </c>
      <c r="G19929" t="n">
        <v>7</v>
      </c>
      <c r="H19929" s="5">
        <f>HYPERLINK("https://api.qogita.com/variants/link/0679602152129/", "View Product")</f>
        <v/>
      </c>
    </row>
    <row r="19930">
      <c r="A19930" t="inlineStr">
        <is>
          <t>0679602153126</t>
        </is>
      </c>
      <c r="B19930" t="inlineStr">
        <is>
          <t>Police To Be Freetodare For Women Eau De Parfum 40ml</t>
        </is>
      </c>
      <c r="C19930" t="inlineStr">
        <is>
          <t>Eau De Parfum</t>
        </is>
      </c>
      <c r="D19930" t="inlineStr">
        <is>
          <t>Police</t>
        </is>
      </c>
      <c r="E19930" t="n">
        <v>9.800000000000001</v>
      </c>
      <c r="F19930" t="n">
        <v>1</v>
      </c>
      <c r="G19930" t="n">
        <v>7</v>
      </c>
      <c r="H19930" s="5">
        <f>HYPERLINK("https://api.qogita.com/variants/link/0679602153126/", "View Product")</f>
        <v/>
      </c>
    </row>
    <row r="19931">
      <c r="A19931" t="inlineStr">
        <is>
          <t>0679602158190</t>
        </is>
      </c>
      <c r="B19931" t="inlineStr">
        <is>
          <t>POLICE To Be Born Shine Eau De Toilette 75ml</t>
        </is>
      </c>
      <c r="C19931" t="inlineStr">
        <is>
          <t>Eau De Toilette</t>
        </is>
      </c>
      <c r="D19931" t="inlineStr">
        <is>
          <t>Police</t>
        </is>
      </c>
      <c r="E19931" t="n">
        <v>11.8</v>
      </c>
      <c r="F19931" t="n">
        <v>1</v>
      </c>
      <c r="G19931" t="n">
        <v>5</v>
      </c>
      <c r="H19931" s="5">
        <f>HYPERLINK("https://api.qogita.com/variants/link/0679602158190/", "View Product")</f>
        <v/>
      </c>
    </row>
    <row r="19932">
      <c r="A19932" t="inlineStr">
        <is>
          <t>0679602159128</t>
        </is>
      </c>
      <c r="B19932" t="inlineStr">
        <is>
          <t>To Be Born To Shine Woman Eau De Parfum 125ml</t>
        </is>
      </c>
      <c r="C19932" t="inlineStr">
        <is>
          <t>Eau De Parfum</t>
        </is>
      </c>
      <c r="D19932" t="inlineStr">
        <is>
          <t>Police</t>
        </is>
      </c>
      <c r="E19932" t="n">
        <v>15.55</v>
      </c>
      <c r="F19932" t="n">
        <v>1</v>
      </c>
      <c r="G19932" t="n">
        <v>41</v>
      </c>
      <c r="H19932" s="5">
        <f>HYPERLINK("https://api.qogita.com/variants/link/0679602159128/", "View Product")</f>
        <v/>
      </c>
    </row>
    <row r="19933">
      <c r="A19933" t="inlineStr">
        <is>
          <t>0679602159135</t>
        </is>
      </c>
      <c r="B19933" t="inlineStr">
        <is>
          <t>Police To Be Born To Shine Eau De Parfum 40ml</t>
        </is>
      </c>
      <c r="C19933" t="inlineStr">
        <is>
          <t>Eau De Parfum</t>
        </is>
      </c>
      <c r="D19933" t="inlineStr">
        <is>
          <t>Police</t>
        </is>
      </c>
      <c r="E19933" t="n">
        <v>11.22</v>
      </c>
      <c r="F19933" t="n">
        <v>1</v>
      </c>
      <c r="G19933" t="n">
        <v>2</v>
      </c>
      <c r="H19933" s="5">
        <f>HYPERLINK("https://api.qogita.com/variants/link/0679602159135/", "View Product")</f>
        <v/>
      </c>
    </row>
    <row r="19934">
      <c r="A19934" t="inlineStr">
        <is>
          <t>0679602174121</t>
        </is>
      </c>
      <c r="B19934" t="inlineStr">
        <is>
          <t>Police To Be Exotic Jungle Eau De Parfum 40ml</t>
        </is>
      </c>
      <c r="C19934" t="inlineStr">
        <is>
          <t>Eau De Parfum</t>
        </is>
      </c>
      <c r="D19934" t="inlineStr">
        <is>
          <t>Police</t>
        </is>
      </c>
      <c r="E19934" t="n">
        <v>8.26</v>
      </c>
      <c r="F19934" t="n">
        <v>1</v>
      </c>
      <c r="G19934" t="n">
        <v>15</v>
      </c>
      <c r="H19934" s="5">
        <f>HYPERLINK("https://api.qogita.com/variants/link/0679602174121/", "View Product")</f>
        <v/>
      </c>
    </row>
    <row r="19935">
      <c r="A19935" t="inlineStr">
        <is>
          <t>0679602180122</t>
        </is>
      </c>
      <c r="B19935" t="inlineStr">
        <is>
          <t>Police To Be Bad Guy Eau De Toilette 40ml</t>
        </is>
      </c>
      <c r="C19935" t="inlineStr">
        <is>
          <t>Eau De Toilette</t>
        </is>
      </c>
      <c r="D19935" t="inlineStr">
        <is>
          <t>Police</t>
        </is>
      </c>
      <c r="E19935" t="n">
        <v>8.300000000000001</v>
      </c>
      <c r="F19935" t="n">
        <v>1</v>
      </c>
      <c r="G19935" t="n">
        <v>7</v>
      </c>
      <c r="H19935" s="5">
        <f>HYPERLINK("https://api.qogita.com/variants/link/0679602180122/", "View Product")</f>
        <v/>
      </c>
    </row>
    <row r="19936">
      <c r="A19936" t="inlineStr">
        <is>
          <t>0679602201018</t>
        </is>
      </c>
      <c r="B19936" t="inlineStr">
        <is>
          <t>POLICE Extreme Eau De Toilette 100ml</t>
        </is>
      </c>
      <c r="C19936" t="inlineStr">
        <is>
          <t>Eau De Toilette</t>
        </is>
      </c>
      <c r="D19936" t="inlineStr">
        <is>
          <t>Police</t>
        </is>
      </c>
      <c r="E19936" t="n">
        <v>9.44</v>
      </c>
      <c r="F19936" t="n">
        <v>1</v>
      </c>
      <c r="G19936" t="n">
        <v>10</v>
      </c>
      <c r="H19936" s="5">
        <f>HYPERLINK("https://api.qogita.com/variants/link/0679602201018/", "View Product")</f>
        <v/>
      </c>
    </row>
    <row r="19937">
      <c r="A19937" t="inlineStr">
        <is>
          <t>0679602211222</t>
        </is>
      </c>
      <c r="B19937" t="inlineStr">
        <is>
          <t>Pino silverstre Original Eau de Toilette 125ml</t>
        </is>
      </c>
      <c r="C19937" t="inlineStr">
        <is>
          <t>Eau De Toilette</t>
        </is>
      </c>
      <c r="D19937" t="inlineStr">
        <is>
          <t>Pino Silvestre</t>
        </is>
      </c>
      <c r="E19937" t="n">
        <v>9.73</v>
      </c>
      <c r="F19937" t="n">
        <v>1</v>
      </c>
      <c r="G19937" t="n">
        <v>246</v>
      </c>
      <c r="H19937" s="5">
        <f>HYPERLINK("https://api.qogita.com/variants/link/0679602211222/", "View Product")</f>
        <v/>
      </c>
    </row>
    <row r="19938">
      <c r="A19938" t="inlineStr">
        <is>
          <t>0679602341127</t>
        </is>
      </c>
      <c r="B19938" t="inlineStr">
        <is>
          <t>Police To Be The King Eau de Toilette 125ml</t>
        </is>
      </c>
      <c r="C19938" t="inlineStr">
        <is>
          <t>Eau De Toilette</t>
        </is>
      </c>
      <c r="D19938" t="inlineStr">
        <is>
          <t>Police</t>
        </is>
      </c>
      <c r="E19938" t="n">
        <v>14.76</v>
      </c>
      <c r="F19938" t="n">
        <v>1</v>
      </c>
      <c r="G19938" t="n">
        <v>22</v>
      </c>
      <c r="H19938" s="5">
        <f>HYPERLINK("https://api.qogita.com/variants/link/0679602341127/", "View Product")</f>
        <v/>
      </c>
    </row>
    <row r="19939">
      <c r="A19939" t="inlineStr">
        <is>
          <t>0679602411240</t>
        </is>
      </c>
      <c r="B19939" t="inlineStr">
        <is>
          <t>Merch Venice Flamant Rose 100ml Vapo</t>
        </is>
      </c>
      <c r="C19939" t="inlineStr">
        <is>
          <t>Eau De Toilette</t>
        </is>
      </c>
      <c r="D19939" t="inlineStr">
        <is>
          <t>The Merchant Of Venice</t>
        </is>
      </c>
      <c r="E19939" t="n">
        <v>118.49</v>
      </c>
      <c r="F19939" t="n">
        <v>1</v>
      </c>
      <c r="G19939" t="n">
        <v>13</v>
      </c>
      <c r="H19939" s="5">
        <f>HYPERLINK("https://api.qogita.com/variants/link/0679602411240/", "View Product")</f>
        <v/>
      </c>
    </row>
    <row r="19940">
      <c r="A19940" t="inlineStr">
        <is>
          <t>0679602451017</t>
        </is>
      </c>
      <c r="B19940" t="inlineStr">
        <is>
          <t>Monotheme Black Oud Eau de Toilette for Men 100ml</t>
        </is>
      </c>
      <c r="C19940" t="inlineStr">
        <is>
          <t>Eau De Toilette</t>
        </is>
      </c>
      <c r="D19940" t="inlineStr">
        <is>
          <t>Monotheme</t>
        </is>
      </c>
      <c r="E19940" t="n">
        <v>10.74</v>
      </c>
      <c r="F19940" t="n">
        <v>1</v>
      </c>
      <c r="G19940" t="n">
        <v>10</v>
      </c>
      <c r="H19940" s="5">
        <f>HYPERLINK("https://api.qogita.com/variants/link/0679602451017/", "View Product")</f>
        <v/>
      </c>
    </row>
    <row r="19941">
      <c r="A19941" t="inlineStr">
        <is>
          <t>0679602461108</t>
        </is>
      </c>
      <c r="B19941" t="inlineStr">
        <is>
          <t>Passion Woman by Police Fragrance for Women - Floral and Fruity Accords</t>
        </is>
      </c>
      <c r="C19941" t="inlineStr">
        <is>
          <t>Eau De Parfum</t>
        </is>
      </c>
      <c r="D19941" t="inlineStr">
        <is>
          <t>Police</t>
        </is>
      </c>
      <c r="E19941" t="n">
        <v>8.470000000000001</v>
      </c>
      <c r="F19941" t="n">
        <v>1</v>
      </c>
      <c r="G19941" t="n">
        <v>21</v>
      </c>
      <c r="H19941" s="5">
        <f>HYPERLINK("https://api.qogita.com/variants/link/0679602461108/", "View Product")</f>
        <v/>
      </c>
    </row>
    <row r="19942">
      <c r="A19942" t="inlineStr">
        <is>
          <t>0679602501101</t>
        </is>
      </c>
      <c r="B19942" t="inlineStr">
        <is>
          <t>Police Miss Bouquet Eau De Toilette 100ml Spray</t>
        </is>
      </c>
      <c r="C19942" t="inlineStr">
        <is>
          <t>Eau De Toilette</t>
        </is>
      </c>
      <c r="D19942" t="inlineStr">
        <is>
          <t>Police</t>
        </is>
      </c>
      <c r="E19942" t="n">
        <v>8.56</v>
      </c>
      <c r="F19942" t="n">
        <v>1</v>
      </c>
      <c r="G19942" t="n">
        <v>12</v>
      </c>
      <c r="H19942" s="5">
        <f>HYPERLINK("https://api.qogita.com/variants/link/0679602501101/", "View Product")</f>
        <v/>
      </c>
    </row>
    <row r="19943">
      <c r="A19943" t="inlineStr">
        <is>
          <t>0679602591010</t>
        </is>
      </c>
      <c r="B19943" t="inlineStr">
        <is>
          <t>Police Contemporary Silver Allure For Man Eau de Toilette 100ml Spray</t>
        </is>
      </c>
      <c r="C19943" t="inlineStr">
        <is>
          <t>Eau De Toilette</t>
        </is>
      </c>
      <c r="D19943" t="inlineStr">
        <is>
          <t>Monotheme</t>
        </is>
      </c>
      <c r="E19943" t="n">
        <v>13.09</v>
      </c>
      <c r="F19943" t="n">
        <v>1</v>
      </c>
      <c r="G19943" t="n">
        <v>2</v>
      </c>
      <c r="H19943" s="5">
        <f>HYPERLINK("https://api.qogita.com/variants/link/0679602591010/", "View Product")</f>
        <v/>
      </c>
    </row>
    <row r="19944">
      <c r="A19944" t="inlineStr">
        <is>
          <t>0679602601122</t>
        </is>
      </c>
      <c r="B19944" t="inlineStr">
        <is>
          <t>Police To Be Perfume for Men - Woody Spicy Scent with Grapefruit</t>
        </is>
      </c>
      <c r="C19944" t="inlineStr">
        <is>
          <t>Eau De Toilette</t>
        </is>
      </c>
      <c r="D19944" t="inlineStr">
        <is>
          <t>Police</t>
        </is>
      </c>
      <c r="E19944" t="n">
        <v>14.56</v>
      </c>
      <c r="F19944" t="n">
        <v>1</v>
      </c>
      <c r="G19944" t="n">
        <v>86</v>
      </c>
      <c r="H19944" s="5">
        <f>HYPERLINK("https://api.qogita.com/variants/link/0679602601122/", "View Product")</f>
        <v/>
      </c>
    </row>
    <row r="19945">
      <c r="A19945" t="inlineStr">
        <is>
          <t>0679602611244</t>
        </is>
      </c>
      <c r="B19945" t="inlineStr">
        <is>
          <t>Police To Be Woman Eau De Parfum 40ml</t>
        </is>
      </c>
      <c r="C19945" t="inlineStr">
        <is>
          <t>Eau De Parfum</t>
        </is>
      </c>
      <c r="D19945" t="inlineStr">
        <is>
          <t>Police</t>
        </is>
      </c>
      <c r="E19945" t="n">
        <v>9.94</v>
      </c>
      <c r="F19945" t="n">
        <v>1</v>
      </c>
      <c r="G19945" t="n">
        <v>6</v>
      </c>
      <c r="H19945" s="5">
        <f>HYPERLINK("https://api.qogita.com/variants/link/0679602611244/", "View Product")</f>
        <v/>
      </c>
    </row>
    <row r="19946">
      <c r="A19946" t="inlineStr">
        <is>
          <t>0679602681124</t>
        </is>
      </c>
      <c r="B19946" t="inlineStr">
        <is>
          <t>Monotheme Verde D'Arancia Eau De Toilette 100ml</t>
        </is>
      </c>
      <c r="C19946" t="inlineStr">
        <is>
          <t>Eau De Toilette</t>
        </is>
      </c>
      <c r="D19946" t="inlineStr">
        <is>
          <t>Monotheme</t>
        </is>
      </c>
      <c r="E19946" t="n">
        <v>12.08</v>
      </c>
      <c r="F19946" t="n">
        <v>1</v>
      </c>
      <c r="G19946" t="n">
        <v>10</v>
      </c>
      <c r="H19946" s="5">
        <f>HYPERLINK("https://api.qogita.com/variants/link/0679602681124/", "View Product")</f>
        <v/>
      </c>
    </row>
    <row r="19947">
      <c r="A19947" t="inlineStr">
        <is>
          <t>0679602696494</t>
        </is>
      </c>
      <c r="B19947" t="inlineStr">
        <is>
          <t>Police Passion Eau De Toilette 100ml + Body Lotion 125ml</t>
        </is>
      </c>
      <c r="C19947" t="inlineStr">
        <is>
          <t>Fragrance Sets</t>
        </is>
      </c>
      <c r="D19947" t="inlineStr">
        <is>
          <t>Monotheme</t>
        </is>
      </c>
      <c r="E19947" t="n">
        <v>8.859999999999999</v>
      </c>
      <c r="F19947" t="n">
        <v>1</v>
      </c>
      <c r="G19947" t="n">
        <v>37</v>
      </c>
      <c r="H19947" s="5">
        <f>HYPERLINK("https://api.qogita.com/variants/link/0679602696494/", "View Product")</f>
        <v/>
      </c>
    </row>
    <row r="19948">
      <c r="A19948" t="inlineStr">
        <is>
          <t>0679602841023</t>
        </is>
      </c>
      <c r="B19948" t="inlineStr">
        <is>
          <t>MONOTHEME Natural Honey Eau De Toilette 100ml Vaporizer Natural Spray Vegan OK</t>
        </is>
      </c>
      <c r="C19948" t="inlineStr">
        <is>
          <t>Eau De Toilette</t>
        </is>
      </c>
      <c r="D19948" t="inlineStr">
        <is>
          <t>Monotheme</t>
        </is>
      </c>
      <c r="E19948" t="n">
        <v>11.97</v>
      </c>
      <c r="F19948" t="n">
        <v>1</v>
      </c>
      <c r="G19948" t="n">
        <v>14</v>
      </c>
      <c r="H19948" s="5">
        <f>HYPERLINK("https://api.qogita.com/variants/link/0679602841023/", "View Product")</f>
        <v/>
      </c>
    </row>
    <row r="19949">
      <c r="A19949" t="inlineStr">
        <is>
          <t>0679602861243</t>
        </is>
      </c>
      <c r="B19949" t="inlineStr">
        <is>
          <t>Police To Be Goodvibes Eau De Parfum 40ml</t>
        </is>
      </c>
      <c r="C19949" t="inlineStr">
        <is>
          <t>Eau De Parfum</t>
        </is>
      </c>
      <c r="D19949" t="inlineStr">
        <is>
          <t>Police</t>
        </is>
      </c>
      <c r="E19949" t="n">
        <v>9.41</v>
      </c>
      <c r="F19949" t="n">
        <v>1</v>
      </c>
      <c r="G19949" t="n">
        <v>7</v>
      </c>
      <c r="H19949" s="5">
        <f>HYPERLINK("https://api.qogita.com/variants/link/0679602861243/", "View Product")</f>
        <v/>
      </c>
    </row>
    <row r="19950">
      <c r="A19950" t="inlineStr">
        <is>
          <t>0679602911139</t>
        </is>
      </c>
      <c r="B19950" t="inlineStr">
        <is>
          <t>Vanilla Blossom by Monotheme for Women 3.4 oz EDT Spray</t>
        </is>
      </c>
      <c r="C19950" t="inlineStr">
        <is>
          <t>Eau De Toilette</t>
        </is>
      </c>
      <c r="D19950" t="inlineStr">
        <is>
          <t>Monotheme</t>
        </is>
      </c>
      <c r="E19950" t="n">
        <v>10.79</v>
      </c>
      <c r="F19950" t="n">
        <v>1</v>
      </c>
      <c r="G19950" t="n">
        <v>8</v>
      </c>
      <c r="H19950" s="5">
        <f>HYPERLINK("https://api.qogita.com/variants/link/0679602911139/", "View Product")</f>
        <v/>
      </c>
    </row>
    <row r="19951">
      <c r="A19951" t="inlineStr">
        <is>
          <t>0679602911337</t>
        </is>
      </c>
      <c r="B19951" t="inlineStr">
        <is>
          <t>Monotheme Fine Fragrances Venezia Classic Collection Cherry Blossom 100ml Spray for Women</t>
        </is>
      </c>
      <c r="C19951" t="inlineStr">
        <is>
          <t>Eau De Parfum</t>
        </is>
      </c>
      <c r="D19951" t="inlineStr">
        <is>
          <t>Monotheme</t>
        </is>
      </c>
      <c r="E19951" t="n">
        <v>7.85</v>
      </c>
      <c r="F19951" t="n">
        <v>1</v>
      </c>
      <c r="G19951" t="n">
        <v>13</v>
      </c>
      <c r="H19951" s="5">
        <f>HYPERLINK("https://api.qogita.com/variants/link/0679602911337/", "View Product")</f>
        <v/>
      </c>
    </row>
    <row r="19952">
      <c r="A19952" t="inlineStr">
        <is>
          <t>0679602940610</t>
        </is>
      </c>
      <c r="B19952" t="inlineStr">
        <is>
          <t>Replay Tank For Him Eau De Toilette 50ml</t>
        </is>
      </c>
      <c r="C19952" t="inlineStr">
        <is>
          <t>Eau De Toilette</t>
        </is>
      </c>
      <c r="D19952" t="inlineStr">
        <is>
          <t>Replay</t>
        </is>
      </c>
      <c r="E19952" t="n">
        <v>12.02</v>
      </c>
      <c r="F19952" t="n">
        <v>1</v>
      </c>
      <c r="G19952" t="n">
        <v>6</v>
      </c>
      <c r="H19952" s="5">
        <f>HYPERLINK("https://api.qogita.com/variants/link/0679602940610/", "View Product")</f>
        <v/>
      </c>
    </row>
    <row r="19953">
      <c r="A19953" t="inlineStr">
        <is>
          <t>0679614361410</t>
        </is>
      </c>
      <c r="B19953" t="inlineStr">
        <is>
          <t>Zirh Ikon Oud Eau De Toilette 125ml</t>
        </is>
      </c>
      <c r="C19953" t="inlineStr">
        <is>
          <t>Eau De Toilette</t>
        </is>
      </c>
      <c r="D19953" t="inlineStr">
        <is>
          <t>ZIRH</t>
        </is>
      </c>
      <c r="E19953" t="n">
        <v>7.07</v>
      </c>
      <c r="F19953" t="n">
        <v>1</v>
      </c>
      <c r="G19953" t="n">
        <v>27</v>
      </c>
      <c r="H19953" s="5">
        <f>HYPERLINK("https://api.qogita.com/variants/link/0679614361410/", "View Product")</f>
        <v/>
      </c>
    </row>
    <row r="19954">
      <c r="A19954" t="inlineStr">
        <is>
          <t>0679614361434</t>
        </is>
      </c>
      <c r="B19954" t="inlineStr">
        <is>
          <t>Zirh Ikon Chrome Eau De Toilette 125ml</t>
        </is>
      </c>
      <c r="C19954" t="inlineStr">
        <is>
          <t>Eau De Toilette</t>
        </is>
      </c>
      <c r="D19954" t="inlineStr">
        <is>
          <t>ZIRH</t>
        </is>
      </c>
      <c r="E19954" t="n">
        <v>8.09</v>
      </c>
      <c r="F19954" t="n">
        <v>1</v>
      </c>
      <c r="G19954" t="n">
        <v>15</v>
      </c>
      <c r="H19954" s="5">
        <f>HYPERLINK("https://api.qogita.com/variants/link/0679614361434/", "View Product")</f>
        <v/>
      </c>
    </row>
    <row r="19955">
      <c r="A19955" t="inlineStr">
        <is>
          <t>0685394716784</t>
        </is>
      </c>
      <c r="B19955" t="inlineStr">
        <is>
          <t>Alfred Verne Irish Isle Eau De Parfum 80ml Unisex</t>
        </is>
      </c>
      <c r="C19955" t="inlineStr">
        <is>
          <t>Eau De Parfum</t>
        </is>
      </c>
      <c r="D19955" t="inlineStr">
        <is>
          <t>Alfred Verne</t>
        </is>
      </c>
      <c r="E19955" t="n">
        <v>24.65</v>
      </c>
      <c r="F19955" t="n">
        <v>1</v>
      </c>
      <c r="G19955" t="n">
        <v>5</v>
      </c>
      <c r="H19955" s="5">
        <f>HYPERLINK("https://api.qogita.com/variants/link/0685394716784/", "View Product")</f>
        <v/>
      </c>
    </row>
    <row r="19956">
      <c r="A19956" t="inlineStr">
        <is>
          <t>0685428001022</t>
        </is>
      </c>
      <c r="B19956" t="inlineStr">
        <is>
          <t>Bumble and bumble Shampoos</t>
        </is>
      </c>
      <c r="C19956" t="inlineStr">
        <is>
          <t>Shampoo</t>
        </is>
      </c>
      <c r="D19956" t="inlineStr">
        <is>
          <t>Bumble And Bumble</t>
        </is>
      </c>
      <c r="E19956" t="n">
        <v>18.39</v>
      </c>
      <c r="F19956" t="n">
        <v>1</v>
      </c>
      <c r="G19956" t="n">
        <v>4</v>
      </c>
      <c r="H19956" s="5">
        <f>HYPERLINK("https://api.qogita.com/variants/link/0685428001022/", "View Product")</f>
        <v/>
      </c>
    </row>
    <row r="19957">
      <c r="A19957" t="inlineStr">
        <is>
          <t>0685428002326</t>
        </is>
      </c>
      <c r="B19957" t="inlineStr">
        <is>
          <t>Bumble &amp; Bumble Bond Building Repair Oil Serum 48ml</t>
        </is>
      </c>
      <c r="C19957" t="inlineStr">
        <is>
          <t>Hair Oil &amp; Hair Serum</t>
        </is>
      </c>
      <c r="D19957" t="inlineStr">
        <is>
          <t>Bumble And Bumble</t>
        </is>
      </c>
      <c r="E19957" t="n">
        <v>30.36</v>
      </c>
      <c r="F19957" t="n">
        <v>1</v>
      </c>
      <c r="G19957" t="n">
        <v>2</v>
      </c>
      <c r="H19957" s="5">
        <f>HYPERLINK("https://api.qogita.com/variants/link/0685428002326/", "View Product")</f>
        <v/>
      </c>
    </row>
    <row r="19958">
      <c r="A19958" t="inlineStr">
        <is>
          <t>0685428003972</t>
        </is>
      </c>
      <c r="B19958" t="inlineStr">
        <is>
          <t>Bumble and Bumble Crème de Coco Shampoo 250ml 8 fl.oz.</t>
        </is>
      </c>
      <c r="C19958" t="inlineStr">
        <is>
          <t>Shampoo</t>
        </is>
      </c>
      <c r="D19958" t="inlineStr">
        <is>
          <t>Bumble And Bumble</t>
        </is>
      </c>
      <c r="E19958" t="n">
        <v>18.39</v>
      </c>
      <c r="F19958" t="n">
        <v>1</v>
      </c>
      <c r="G19958" t="n">
        <v>3</v>
      </c>
      <c r="H19958" s="5">
        <f>HYPERLINK("https://api.qogita.com/variants/link/0685428003972/", "View Product")</f>
        <v/>
      </c>
    </row>
    <row r="19959">
      <c r="A19959" t="inlineStr">
        <is>
          <t>0685428004016</t>
        </is>
      </c>
      <c r="B19959" t="inlineStr">
        <is>
          <t>Bumble and bumble Creme de Coco Conditioner 251.4ml</t>
        </is>
      </c>
      <c r="C19959" t="inlineStr">
        <is>
          <t>Conditioner</t>
        </is>
      </c>
      <c r="D19959" t="inlineStr">
        <is>
          <t>Bumble And Bumble</t>
        </is>
      </c>
      <c r="E19959" t="n">
        <v>19.46</v>
      </c>
      <c r="F19959" t="n">
        <v>1</v>
      </c>
      <c r="G19959" t="n">
        <v>3</v>
      </c>
      <c r="H19959" s="5">
        <f>HYPERLINK("https://api.qogita.com/variants/link/0685428004016/", "View Product")</f>
        <v/>
      </c>
    </row>
    <row r="19960">
      <c r="A19960" t="inlineStr">
        <is>
          <t>0685428005020</t>
        </is>
      </c>
      <c r="B19960" t="inlineStr">
        <is>
          <t>Bumble and Bumble Prep Primer 250ml Styling Hair Spray</t>
        </is>
      </c>
      <c r="C19960" t="inlineStr">
        <is>
          <t>Hairspray</t>
        </is>
      </c>
      <c r="D19960" t="inlineStr">
        <is>
          <t>Bumble And Bumble</t>
        </is>
      </c>
      <c r="E19960" t="n">
        <v>19.42</v>
      </c>
      <c r="F19960" t="n">
        <v>1</v>
      </c>
      <c r="G19960" t="n">
        <v>10</v>
      </c>
      <c r="H19960" s="5">
        <f>HYPERLINK("https://api.qogita.com/variants/link/0685428005020/", "View Product")</f>
        <v/>
      </c>
    </row>
    <row r="19961">
      <c r="A19961" t="inlineStr">
        <is>
          <t>0685428007321</t>
        </is>
      </c>
      <c r="B19961" t="inlineStr">
        <is>
          <t>Bumble and Bumble Grooming Creme 150ml 5 fl.oz.</t>
        </is>
      </c>
      <c r="C19961" t="inlineStr">
        <is>
          <t>Styling Creams</t>
        </is>
      </c>
      <c r="D19961" t="inlineStr">
        <is>
          <t>Bumble And Bumble</t>
        </is>
      </c>
      <c r="E19961" t="n">
        <v>22.7</v>
      </c>
      <c r="F19961" t="n">
        <v>1</v>
      </c>
      <c r="G19961" t="n">
        <v>5</v>
      </c>
      <c r="H19961" s="5">
        <f>HYPERLINK("https://api.qogita.com/variants/link/0685428007321/", "View Product")</f>
        <v/>
      </c>
    </row>
    <row r="19962">
      <c r="A19962" t="inlineStr">
        <is>
          <t>0685428007963</t>
        </is>
      </c>
      <c r="B19962" t="inlineStr">
        <is>
          <t>Bumble &amp; Bumble Does it all styling spray 300ml</t>
        </is>
      </c>
      <c r="C19962" t="inlineStr">
        <is>
          <t>Styling Sprays</t>
        </is>
      </c>
      <c r="D19962" t="inlineStr">
        <is>
          <t>Bumble And Bumble</t>
        </is>
      </c>
      <c r="E19962" t="n">
        <v>34.35</v>
      </c>
      <c r="F19962" t="n">
        <v>1</v>
      </c>
      <c r="G19962" t="n">
        <v>3</v>
      </c>
      <c r="H19962" s="5">
        <f>HYPERLINK("https://api.qogita.com/variants/link/0685428007963/", "View Product")</f>
        <v/>
      </c>
    </row>
    <row r="19963">
      <c r="A19963" t="inlineStr">
        <is>
          <t>0685428017580</t>
        </is>
      </c>
      <c r="B19963" t="inlineStr">
        <is>
          <t>Bumble and bumble Hairdresser's Invisible Oil Sulfate Free Shampoo 250ml</t>
        </is>
      </c>
      <c r="C19963" t="inlineStr">
        <is>
          <t>Shampoo</t>
        </is>
      </c>
      <c r="D19963" t="inlineStr">
        <is>
          <t>Bumble And Bumble</t>
        </is>
      </c>
      <c r="E19963" t="n">
        <v>24.94</v>
      </c>
      <c r="F19963" t="n">
        <v>1</v>
      </c>
      <c r="G19963" t="n">
        <v>14</v>
      </c>
      <c r="H19963" s="5">
        <f>HYPERLINK("https://api.qogita.com/variants/link/0685428017580/", "View Product")</f>
        <v/>
      </c>
    </row>
    <row r="19964">
      <c r="A19964" t="inlineStr">
        <is>
          <t>0685428018211</t>
        </is>
      </c>
      <c r="B19964" t="inlineStr">
        <is>
          <t>Bumble and Bumble Full Potential Shampoo 250ml</t>
        </is>
      </c>
      <c r="C19964" t="inlineStr">
        <is>
          <t>Shampoo</t>
        </is>
      </c>
      <c r="D19964" t="inlineStr">
        <is>
          <t>Bumble And Bumble</t>
        </is>
      </c>
      <c r="E19964" t="n">
        <v>21.59</v>
      </c>
      <c r="F19964" t="n">
        <v>1</v>
      </c>
      <c r="G19964" t="n">
        <v>5</v>
      </c>
      <c r="H19964" s="5">
        <f>HYPERLINK("https://api.qogita.com/variants/link/0685428018211/", "View Product")</f>
        <v/>
      </c>
    </row>
    <row r="19965">
      <c r="A19965" t="inlineStr">
        <is>
          <t>0685428019829</t>
        </is>
      </c>
      <c r="B19965" t="inlineStr">
        <is>
          <t>Bumble and Bumble Hairdresser's Invisible Oil Primer 2 Ounce</t>
        </is>
      </c>
      <c r="C19965" t="inlineStr">
        <is>
          <t>Hair Oil &amp; Hair Serum</t>
        </is>
      </c>
      <c r="D19965" t="inlineStr">
        <is>
          <t>Bumble And Bumble</t>
        </is>
      </c>
      <c r="E19965" t="n">
        <v>10.04</v>
      </c>
      <c r="F19965" t="n">
        <v>1</v>
      </c>
      <c r="G19965" t="n">
        <v>6</v>
      </c>
      <c r="H19965" s="5">
        <f>HYPERLINK("https://api.qogita.com/variants/link/0685428019829/", "View Product")</f>
        <v/>
      </c>
    </row>
    <row r="19966">
      <c r="A19966" t="inlineStr">
        <is>
          <t>0685428025738</t>
        </is>
      </c>
      <c r="B19966" t="inlineStr">
        <is>
          <t>Bumble &amp; Bumble Thickening Great Body Blow Dry Creme 150ml</t>
        </is>
      </c>
      <c r="C19966" t="inlineStr">
        <is>
          <t>Styling Creams</t>
        </is>
      </c>
      <c r="D19966" t="inlineStr">
        <is>
          <t>Bumble And Bumble</t>
        </is>
      </c>
      <c r="E19966" t="n">
        <v>25.74</v>
      </c>
      <c r="F19966" t="n">
        <v>1</v>
      </c>
      <c r="G19966" t="n">
        <v>2</v>
      </c>
      <c r="H19966" s="5">
        <f>HYPERLINK("https://api.qogita.com/variants/link/0685428025738/", "View Product")</f>
        <v/>
      </c>
    </row>
    <row r="19967">
      <c r="A19967" t="inlineStr">
        <is>
          <t>0685428027602</t>
        </is>
      </c>
      <c r="B19967" t="inlineStr">
        <is>
          <t>Bumble and bumble PRET-a-Powder Post Workout Dry Shampoo Mist</t>
        </is>
      </c>
      <c r="C19967" t="inlineStr">
        <is>
          <t>Dry Shampoo</t>
        </is>
      </c>
      <c r="D19967" t="inlineStr">
        <is>
          <t>Bumble And Bumble</t>
        </is>
      </c>
      <c r="E19967" t="n">
        <v>27.07</v>
      </c>
      <c r="F19967" t="n">
        <v>1</v>
      </c>
      <c r="G19967" t="n">
        <v>19</v>
      </c>
      <c r="H19967" s="5">
        <f>HYPERLINK("https://api.qogita.com/variants/link/0685428027602/", "View Product")</f>
        <v/>
      </c>
    </row>
    <row r="19968">
      <c r="A19968" t="inlineStr">
        <is>
          <t>0685428027695</t>
        </is>
      </c>
      <c r="B19968" t="inlineStr">
        <is>
          <t>Bumble and Bumble Sumo Liquid Wax and Finishing Spray 150ml</t>
        </is>
      </c>
      <c r="C19968" t="inlineStr">
        <is>
          <t>Wax</t>
        </is>
      </c>
      <c r="D19968" t="inlineStr">
        <is>
          <t>Bumble And Bumble</t>
        </is>
      </c>
      <c r="E19968" t="n">
        <v>25.74</v>
      </c>
      <c r="F19968" t="n">
        <v>1</v>
      </c>
      <c r="G19968" t="n">
        <v>5</v>
      </c>
      <c r="H19968" s="5">
        <f>HYPERLINK("https://api.qogita.com/variants/link/0685428027695/", "View Product")</f>
        <v/>
      </c>
    </row>
    <row r="19969">
      <c r="A19969" t="inlineStr">
        <is>
          <t>0685428027831</t>
        </is>
      </c>
      <c r="B19969" t="inlineStr">
        <is>
          <t>Bumble and Bumble Curl Defining Cream, 250 ml, Floral Dark Blue</t>
        </is>
      </c>
      <c r="C19969" t="inlineStr">
        <is>
          <t>Styling Creams</t>
        </is>
      </c>
      <c r="D19969" t="inlineStr">
        <is>
          <t>Bumble And Bumble</t>
        </is>
      </c>
      <c r="E19969" t="n">
        <v>24.38</v>
      </c>
      <c r="F19969" t="n">
        <v>1</v>
      </c>
      <c r="G19969" t="n">
        <v>30</v>
      </c>
      <c r="H19969" s="5">
        <f>HYPERLINK("https://api.qogita.com/variants/link/0685428027831/", "View Product")</f>
        <v/>
      </c>
    </row>
    <row r="19970">
      <c r="A19970" t="inlineStr">
        <is>
          <t>0685428029675</t>
        </is>
      </c>
      <c r="B19970" t="inlineStr">
        <is>
          <t>Bumble and Bumble Ultra Rich Hyaluronic Treatment Lotion 100ml</t>
        </is>
      </c>
      <c r="C19970" t="inlineStr">
        <is>
          <t>Leave-In Conditioner</t>
        </is>
      </c>
      <c r="D19970" t="inlineStr">
        <is>
          <t>Bumble And Bumble</t>
        </is>
      </c>
      <c r="E19970" t="n">
        <v>31.66</v>
      </c>
      <c r="F19970" t="n">
        <v>1</v>
      </c>
      <c r="G19970" t="n">
        <v>7</v>
      </c>
      <c r="H19970" s="5">
        <f>HYPERLINK("https://api.qogita.com/variants/link/0685428029675/", "View Product")</f>
        <v/>
      </c>
    </row>
    <row r="19971">
      <c r="A19971" t="inlineStr">
        <is>
          <t>0686769002945</t>
        </is>
      </c>
      <c r="B19971" t="inlineStr">
        <is>
          <t>3LAB Perfect Cleansing Balm</t>
        </is>
      </c>
      <c r="C19971" t="inlineStr">
        <is>
          <t>Cleansing Cream</t>
        </is>
      </c>
      <c r="D19971" t="inlineStr">
        <is>
          <t>3lab</t>
        </is>
      </c>
      <c r="E19971" t="n">
        <v>34.39</v>
      </c>
      <c r="F19971" t="n">
        <v>1</v>
      </c>
      <c r="G19971" t="n">
        <v>3</v>
      </c>
      <c r="H19971" s="5">
        <f>HYPERLINK("https://api.qogita.com/variants/link/0686769002945/", "View Product")</f>
        <v/>
      </c>
    </row>
    <row r="19972">
      <c r="A19972" t="inlineStr">
        <is>
          <t>0688575179439</t>
        </is>
      </c>
      <c r="B19972" t="inlineStr">
        <is>
          <t>Vera Wang Princess Eau De Toilette for Women - Fruity &amp; Floral Profile</t>
        </is>
      </c>
      <c r="C19972" t="inlineStr">
        <is>
          <t>Eau De Toilette</t>
        </is>
      </c>
      <c r="D19972" t="inlineStr">
        <is>
          <t>Vera Wang</t>
        </is>
      </c>
      <c r="E19972" t="n">
        <v>11.72</v>
      </c>
      <c r="F19972" t="n">
        <v>1</v>
      </c>
      <c r="G19972" t="n">
        <v>17</v>
      </c>
      <c r="H19972" s="5">
        <f>HYPERLINK("https://api.qogita.com/variants/link/0688575179439/", "View Product")</f>
        <v/>
      </c>
    </row>
    <row r="19973">
      <c r="A19973" t="inlineStr">
        <is>
          <t>0688575179446</t>
        </is>
      </c>
      <c r="B19973" t="inlineStr">
        <is>
          <t>Vera Wang Women's Flower Princess Eau de Toilette 30ml</t>
        </is>
      </c>
      <c r="C19973" t="inlineStr">
        <is>
          <t>Eau De Toilette</t>
        </is>
      </c>
      <c r="D19973" t="inlineStr">
        <is>
          <t>Vera Wang</t>
        </is>
      </c>
      <c r="E19973" t="n">
        <v>10.7</v>
      </c>
      <c r="F19973" t="n">
        <v>1</v>
      </c>
      <c r="G19973" t="n">
        <v>3</v>
      </c>
      <c r="H19973" s="5">
        <f>HYPERLINK("https://api.qogita.com/variants/link/0688575179446/", "View Product")</f>
        <v/>
      </c>
    </row>
    <row r="19974">
      <c r="A19974" t="inlineStr">
        <is>
          <t>0688575201901</t>
        </is>
      </c>
      <c r="B19974" t="inlineStr">
        <is>
          <t>Chloe Eau De Parfum Spray 30ml - A Luxurious Fragrance By Chloe</t>
        </is>
      </c>
      <c r="C19974" t="inlineStr">
        <is>
          <t>Eau De Parfum</t>
        </is>
      </c>
      <c r="D19974" t="inlineStr">
        <is>
          <t>Chloé</t>
        </is>
      </c>
      <c r="E19974" t="n">
        <v>37.78</v>
      </c>
      <c r="F19974" t="n">
        <v>1</v>
      </c>
      <c r="G19974" t="n">
        <v>79</v>
      </c>
      <c r="H19974" s="5">
        <f>HYPERLINK("https://api.qogita.com/variants/link/0688575201901/", "View Product")</f>
        <v/>
      </c>
    </row>
    <row r="19975">
      <c r="A19975" t="inlineStr">
        <is>
          <t>0689076327190</t>
        </is>
      </c>
      <c r="B19975" t="inlineStr">
        <is>
          <t>Oligo DX Cellulite Reducing Gel 150ml</t>
        </is>
      </c>
      <c r="C19975" t="inlineStr">
        <is>
          <t>Anti-Cellulite</t>
        </is>
      </c>
      <c r="D19975" t="inlineStr">
        <is>
          <t>Ds Laboratories</t>
        </is>
      </c>
      <c r="E19975" t="n">
        <v>30.05</v>
      </c>
      <c r="F19975" t="n">
        <v>1</v>
      </c>
      <c r="G19975" t="n">
        <v>3</v>
      </c>
      <c r="H19975" s="5">
        <f>HYPERLINK("https://api.qogita.com/variants/link/0689076327190/", "View Product")</f>
        <v/>
      </c>
    </row>
    <row r="19976">
      <c r="A19976" t="inlineStr">
        <is>
          <t>0689304040419</t>
        </is>
      </c>
      <c r="B19976" t="inlineStr">
        <is>
          <t>Anastasia Beverly Hills Perfect Brow Pencil Granite 1g</t>
        </is>
      </c>
      <c r="C19976" t="inlineStr">
        <is>
          <t>Eyebrow Pencil</t>
        </is>
      </c>
      <c r="D19976" t="inlineStr">
        <is>
          <t>Anastasia Beverly Hills</t>
        </is>
      </c>
      <c r="E19976" t="n">
        <v>23.85</v>
      </c>
      <c r="F19976" t="n">
        <v>1</v>
      </c>
      <c r="G19976" t="n">
        <v>2</v>
      </c>
      <c r="H19976" s="5">
        <f>HYPERLINK("https://api.qogita.com/variants/link/0689304040419/", "View Product")</f>
        <v/>
      </c>
    </row>
    <row r="19977">
      <c r="A19977" t="inlineStr">
        <is>
          <t>0689304044073</t>
        </is>
      </c>
      <c r="B19977" t="inlineStr">
        <is>
          <t>Anastasia Beverly Hills Brow Definer Soft Brown 1 Count</t>
        </is>
      </c>
      <c r="C19977" t="inlineStr">
        <is>
          <t>Eyebrow Pencil</t>
        </is>
      </c>
      <c r="D19977" t="inlineStr">
        <is>
          <t>Anastasia Beverly Hills</t>
        </is>
      </c>
      <c r="E19977" t="n">
        <v>22.73</v>
      </c>
      <c r="F19977" t="n">
        <v>1</v>
      </c>
      <c r="G19977" t="n">
        <v>4</v>
      </c>
      <c r="H19977" s="5">
        <f>HYPERLINK("https://api.qogita.com/variants/link/0689304044073/", "View Product")</f>
        <v/>
      </c>
    </row>
    <row r="19978">
      <c r="A19978" t="inlineStr">
        <is>
          <t>0689304055604</t>
        </is>
      </c>
      <c r="B19978" t="inlineStr">
        <is>
          <t>Anastasia Beverly Hills Tinted Brow Gel Chocolate 9g</t>
        </is>
      </c>
      <c r="C19978" t="inlineStr">
        <is>
          <t>Eyebrow Gel</t>
        </is>
      </c>
      <c r="D19978" t="inlineStr">
        <is>
          <t>Anastasia Beverly Hills</t>
        </is>
      </c>
      <c r="E19978" t="n">
        <v>26.3</v>
      </c>
      <c r="F19978" t="n">
        <v>1</v>
      </c>
      <c r="G19978" t="n">
        <v>2</v>
      </c>
      <c r="H19978" s="5">
        <f>HYPERLINK("https://api.qogita.com/variants/link/0689304055604/", "View Product")</f>
        <v/>
      </c>
    </row>
    <row r="19979">
      <c r="A19979" t="inlineStr">
        <is>
          <t>0689304055772</t>
        </is>
      </c>
      <c r="B19979" t="inlineStr">
        <is>
          <t>Anastasia Beverly Hills Perfect Brow Pencil Soft Brown 1 Count</t>
        </is>
      </c>
      <c r="C19979" t="inlineStr">
        <is>
          <t>Eyebrow Pencil</t>
        </is>
      </c>
      <c r="D19979" t="inlineStr">
        <is>
          <t>Anastasia Beverly Hills</t>
        </is>
      </c>
      <c r="E19979" t="n">
        <v>21.9</v>
      </c>
      <c r="F19979" t="n">
        <v>1</v>
      </c>
      <c r="G19979" t="n">
        <v>3</v>
      </c>
      <c r="H19979" s="5">
        <f>HYPERLINK("https://api.qogita.com/variants/link/0689304055772/", "View Product")</f>
        <v/>
      </c>
    </row>
    <row r="19980">
      <c r="A19980" t="inlineStr">
        <is>
          <t>0689304055833</t>
        </is>
      </c>
      <c r="B19980" t="inlineStr">
        <is>
          <t>Anastasia Beverly Hills Tinted Brow Gel 9g</t>
        </is>
      </c>
      <c r="C19980" t="inlineStr">
        <is>
          <t>Eyebrow Gel</t>
        </is>
      </c>
      <c r="D19980" t="inlineStr">
        <is>
          <t>Anastasia Beverly Hills</t>
        </is>
      </c>
      <c r="E19980" t="n">
        <v>21.29</v>
      </c>
      <c r="F19980" t="n">
        <v>1</v>
      </c>
      <c r="G19980" t="n">
        <v>2</v>
      </c>
      <c r="H19980" s="5">
        <f>HYPERLINK("https://api.qogita.com/variants/link/0689304055833/", "View Product")</f>
        <v/>
      </c>
    </row>
    <row r="19981">
      <c r="A19981" t="inlineStr">
        <is>
          <t>0689304286237</t>
        </is>
      </c>
      <c r="B19981" t="inlineStr">
        <is>
          <t>Anastasia Beverly Hills Brush A23 Highlighter Brush</t>
        </is>
      </c>
      <c r="C19981" t="inlineStr">
        <is>
          <t>Powder Brushes</t>
        </is>
      </c>
      <c r="D19981" t="inlineStr">
        <is>
          <t>Anastasia Beverly Hills</t>
        </is>
      </c>
      <c r="E19981" t="n">
        <v>24.59</v>
      </c>
      <c r="F19981" t="n">
        <v>1</v>
      </c>
      <c r="G19981" t="n">
        <v>4</v>
      </c>
      <c r="H19981" s="5">
        <f>HYPERLINK("https://api.qogita.com/variants/link/0689304286237/", "View Product")</f>
        <v/>
      </c>
    </row>
    <row r="19982">
      <c r="A19982" t="inlineStr">
        <is>
          <t>0689304360067</t>
        </is>
      </c>
      <c r="B19982" t="inlineStr">
        <is>
          <t>Anastasia Beverly Hills Luminous Foundation 300C 30ml</t>
        </is>
      </c>
      <c r="C19982" t="inlineStr">
        <is>
          <t>Foundation</t>
        </is>
      </c>
      <c r="D19982" t="inlineStr">
        <is>
          <t>Anastasia Beverly Hills</t>
        </is>
      </c>
      <c r="E19982" t="n">
        <v>30.23</v>
      </c>
      <c r="F19982" t="n">
        <v>1</v>
      </c>
      <c r="G19982" t="n">
        <v>4</v>
      </c>
      <c r="H19982" s="5">
        <f>HYPERLINK("https://api.qogita.com/variants/link/0689304360067/", "View Product")</f>
        <v/>
      </c>
    </row>
    <row r="19983">
      <c r="A19983" t="inlineStr">
        <is>
          <t>0689304360364</t>
        </is>
      </c>
      <c r="B19983" t="inlineStr">
        <is>
          <t>Anastasia Beverly Hills Luminous Foundation 335W 30ml</t>
        </is>
      </c>
      <c r="C19983" t="inlineStr">
        <is>
          <t>Foundation</t>
        </is>
      </c>
      <c r="D19983" t="inlineStr">
        <is>
          <t>Anastasia Beverly Hills</t>
        </is>
      </c>
      <c r="E19983" t="n">
        <v>32.1</v>
      </c>
      <c r="F19983" t="n">
        <v>1</v>
      </c>
      <c r="G19983" t="n">
        <v>2</v>
      </c>
      <c r="H19983" s="5">
        <f>HYPERLINK("https://api.qogita.com/variants/link/0689304360364/", "View Product")</f>
        <v/>
      </c>
    </row>
    <row r="19984">
      <c r="A19984" t="inlineStr">
        <is>
          <t>0690251000029</t>
        </is>
      </c>
      <c r="B19984" t="inlineStr">
        <is>
          <t>Jo Malone Eau De Toilette for Women 100ml</t>
        </is>
      </c>
      <c r="C19984" t="inlineStr">
        <is>
          <t>Eau De Toilette</t>
        </is>
      </c>
      <c r="D19984" t="inlineStr">
        <is>
          <t>Jo Malone London</t>
        </is>
      </c>
      <c r="E19984" t="n">
        <v>96.87</v>
      </c>
      <c r="F19984" t="n">
        <v>1</v>
      </c>
      <c r="G19984" t="n">
        <v>3</v>
      </c>
      <c r="H19984" s="5">
        <f>HYPERLINK("https://api.qogita.com/variants/link/0690251000029/", "View Product")</f>
        <v/>
      </c>
    </row>
    <row r="19985">
      <c r="A19985" t="inlineStr">
        <is>
          <t>0690251000043</t>
        </is>
      </c>
      <c r="B19985" t="inlineStr">
        <is>
          <t>Jo Malone Lime Basil &amp; Mandarin Cologne Spray Unisex 3.4 Oz</t>
        </is>
      </c>
      <c r="C19985" t="inlineStr">
        <is>
          <t>Eau De Cologne</t>
        </is>
      </c>
      <c r="D19985" t="inlineStr">
        <is>
          <t>Jo Malone London</t>
        </is>
      </c>
      <c r="E19985" t="n">
        <v>94.90000000000001</v>
      </c>
      <c r="F19985" t="n">
        <v>1</v>
      </c>
      <c r="G19985" t="n">
        <v>31</v>
      </c>
      <c r="H19985" s="5">
        <f>HYPERLINK("https://api.qogita.com/variants/link/0690251000043/", "View Product")</f>
        <v/>
      </c>
    </row>
    <row r="19986">
      <c r="A19986" t="inlineStr">
        <is>
          <t>0690251000104</t>
        </is>
      </c>
      <c r="B19986" t="inlineStr">
        <is>
          <t>Jo Malone Grapefruit Cologne Spray for Women 1 Ounce</t>
        </is>
      </c>
      <c r="C19986" t="inlineStr">
        <is>
          <t>Eau De Cologne</t>
        </is>
      </c>
      <c r="D19986" t="inlineStr">
        <is>
          <t>Jo Malone London</t>
        </is>
      </c>
      <c r="E19986" t="n">
        <v>51.12</v>
      </c>
      <c r="F19986" t="n">
        <v>1</v>
      </c>
      <c r="G19986" t="n">
        <v>14</v>
      </c>
      <c r="H19986" s="5">
        <f>HYPERLINK("https://api.qogita.com/variants/link/0690251000104/", "View Product")</f>
        <v/>
      </c>
    </row>
    <row r="19987">
      <c r="A19987" t="inlineStr">
        <is>
          <t>0690251021741</t>
        </is>
      </c>
      <c r="B19987" t="inlineStr">
        <is>
          <t>Jo Malone Wild Bluebell Women's Eau de Cologne 30ml</t>
        </is>
      </c>
      <c r="C19987" t="inlineStr">
        <is>
          <t>Eau De Cologne</t>
        </is>
      </c>
      <c r="D19987" t="inlineStr">
        <is>
          <t>Jo Malone London</t>
        </is>
      </c>
      <c r="E19987" t="n">
        <v>41.14</v>
      </c>
      <c r="F19987" t="n">
        <v>1</v>
      </c>
      <c r="G19987" t="n">
        <v>9</v>
      </c>
      <c r="H19987" s="5">
        <f>HYPERLINK("https://api.qogita.com/variants/link/0690251021741/", "View Product")</f>
        <v/>
      </c>
    </row>
    <row r="19988">
      <c r="A19988" t="inlineStr">
        <is>
          <t>0690251026104</t>
        </is>
      </c>
      <c r="B19988" t="inlineStr">
        <is>
          <t>Jo Malone Women's Cologne Water 100ml</t>
        </is>
      </c>
      <c r="C19988" t="inlineStr">
        <is>
          <t>Eau De Cologne</t>
        </is>
      </c>
      <c r="D19988" t="inlineStr">
        <is>
          <t>Jo Malone London</t>
        </is>
      </c>
      <c r="E19988" t="n">
        <v>97.3</v>
      </c>
      <c r="F19988" t="n">
        <v>1</v>
      </c>
      <c r="G19988" t="n">
        <v>10</v>
      </c>
      <c r="H19988" s="5">
        <f>HYPERLINK("https://api.qogita.com/variants/link/0690251026104/", "View Product")</f>
        <v/>
      </c>
    </row>
    <row r="19989">
      <c r="A19989" t="inlineStr">
        <is>
          <t>0690251032907</t>
        </is>
      </c>
      <c r="B19989" t="inlineStr">
        <is>
          <t>Jo Malone Eau de Toilette for Women 100ml</t>
        </is>
      </c>
      <c r="C19989" t="inlineStr">
        <is>
          <t>Eau De Toilette</t>
        </is>
      </c>
      <c r="D19989" t="inlineStr">
        <is>
          <t>Jo Malone London</t>
        </is>
      </c>
      <c r="E19989" t="n">
        <v>143.58</v>
      </c>
      <c r="F19989" t="n">
        <v>1</v>
      </c>
      <c r="G19989" t="n">
        <v>5</v>
      </c>
      <c r="H19989" s="5">
        <f>HYPERLINK("https://api.qogita.com/variants/link/0690251032907/", "View Product")</f>
        <v/>
      </c>
    </row>
    <row r="19990">
      <c r="A19990" t="inlineStr">
        <is>
          <t>0690251033713</t>
        </is>
      </c>
      <c r="B19990" t="inlineStr">
        <is>
          <t>Jo Malone Wood Sage and Sea Salt Cologne Spray for Women 3.4 Oz 100ml</t>
        </is>
      </c>
      <c r="C19990" t="inlineStr">
        <is>
          <t>Eau De Cologne</t>
        </is>
      </c>
      <c r="D19990" t="inlineStr">
        <is>
          <t>Jo Malone London</t>
        </is>
      </c>
      <c r="E19990" t="n">
        <v>98.06</v>
      </c>
      <c r="F19990" t="n">
        <v>1</v>
      </c>
      <c r="G19990" t="n">
        <v>5</v>
      </c>
      <c r="H19990" s="5">
        <f>HYPERLINK("https://api.qogita.com/variants/link/0690251033713/", "View Product")</f>
        <v/>
      </c>
    </row>
    <row r="19991">
      <c r="A19991" t="inlineStr">
        <is>
          <t>0690251040476</t>
        </is>
      </c>
      <c r="B19991" t="inlineStr">
        <is>
          <t>Jo Malone Pomegranate Noir Body Lotion 250ml</t>
        </is>
      </c>
      <c r="C19991" t="inlineStr">
        <is>
          <t>Body Lotion</t>
        </is>
      </c>
      <c r="D19991" t="inlineStr">
        <is>
          <t>Jo Malone London</t>
        </is>
      </c>
      <c r="E19991" t="n">
        <v>49.53</v>
      </c>
      <c r="F19991" t="n">
        <v>1</v>
      </c>
      <c r="G19991" t="n">
        <v>2</v>
      </c>
      <c r="H19991" s="5">
        <f>HYPERLINK("https://api.qogita.com/variants/link/0690251040476/", "View Product")</f>
        <v/>
      </c>
    </row>
    <row r="19992">
      <c r="A19992" t="inlineStr">
        <is>
          <t>0690251057016</t>
        </is>
      </c>
      <c r="B19992" t="inlineStr">
        <is>
          <t>Jo Malone English Oak &amp; Hazelnut Cologne 100ml Musk</t>
        </is>
      </c>
      <c r="C19992" t="inlineStr">
        <is>
          <t>Eau De Cologne</t>
        </is>
      </c>
      <c r="D19992" t="inlineStr">
        <is>
          <t>Jo Malone London</t>
        </is>
      </c>
      <c r="E19992" t="n">
        <v>102.05</v>
      </c>
      <c r="F19992" t="n">
        <v>1</v>
      </c>
      <c r="G19992" t="n">
        <v>3</v>
      </c>
      <c r="H19992" s="5">
        <f>HYPERLINK("https://api.qogita.com/variants/link/0690251057016/", "View Product")</f>
        <v/>
      </c>
    </row>
    <row r="19993">
      <c r="A19993" t="inlineStr">
        <is>
          <t>0690251082803</t>
        </is>
      </c>
      <c r="B19993" t="inlineStr">
        <is>
          <t>Poppy &amp; Barley by Jo Malone Eau de Cologne Spray 30ml</t>
        </is>
      </c>
      <c r="C19993" t="inlineStr">
        <is>
          <t>Eau De Cologne</t>
        </is>
      </c>
      <c r="D19993" t="inlineStr">
        <is>
          <t>Jo Malone London</t>
        </is>
      </c>
      <c r="E19993" t="n">
        <v>48.61</v>
      </c>
      <c r="F19993" t="n">
        <v>1</v>
      </c>
      <c r="G19993" t="n">
        <v>18</v>
      </c>
      <c r="H19993" s="5">
        <f>HYPERLINK("https://api.qogita.com/variants/link/0690251082803/", "View Product")</f>
        <v/>
      </c>
    </row>
    <row r="19994">
      <c r="A19994" t="inlineStr">
        <is>
          <t>0690251084906</t>
        </is>
      </c>
      <c r="B19994" t="inlineStr">
        <is>
          <t>Jo Malone Lime Basil &amp; Mandarin Eau De Cologne 50ml</t>
        </is>
      </c>
      <c r="C19994" t="inlineStr">
        <is>
          <t>Eau De Cologne</t>
        </is>
      </c>
      <c r="D19994" t="inlineStr">
        <is>
          <t>Jo Malone London</t>
        </is>
      </c>
      <c r="E19994" t="n">
        <v>63.59</v>
      </c>
      <c r="F19994" t="n">
        <v>1</v>
      </c>
      <c r="G19994" t="n">
        <v>2</v>
      </c>
      <c r="H19994" s="5">
        <f>HYPERLINK("https://api.qogita.com/variants/link/0690251084906/", "View Product")</f>
        <v/>
      </c>
    </row>
    <row r="19995">
      <c r="A19995" t="inlineStr">
        <is>
          <t>0690251119578</t>
        </is>
      </c>
      <c r="B19995" t="inlineStr">
        <is>
          <t>Jo Malone Moonlit Camomile Cologne Spray 100ml</t>
        </is>
      </c>
      <c r="C19995" t="inlineStr">
        <is>
          <t>Eau De Cologne</t>
        </is>
      </c>
      <c r="D19995" t="inlineStr">
        <is>
          <t>Jo Malone London</t>
        </is>
      </c>
      <c r="E19995" t="n">
        <v>92.98999999999999</v>
      </c>
      <c r="F19995" t="n">
        <v>1</v>
      </c>
      <c r="G19995" t="n">
        <v>5</v>
      </c>
      <c r="H19995" s="5">
        <f>HYPERLINK("https://api.qogita.com/variants/link/0690251119578/", "View Product")</f>
        <v/>
      </c>
    </row>
    <row r="19996">
      <c r="A19996" t="inlineStr">
        <is>
          <t>0690251122202</t>
        </is>
      </c>
      <c r="B19996" t="inlineStr">
        <is>
          <t>Jo Malone London Tuberose Angelica Cologne Intense Unisex Scent 50ml</t>
        </is>
      </c>
      <c r="C19996" t="inlineStr">
        <is>
          <t>Eau De Cologne</t>
        </is>
      </c>
      <c r="D19996" t="inlineStr">
        <is>
          <t>Jo Malone London</t>
        </is>
      </c>
      <c r="E19996" t="n">
        <v>97.48</v>
      </c>
      <c r="F19996" t="n">
        <v>1</v>
      </c>
      <c r="G19996" t="n">
        <v>5</v>
      </c>
      <c r="H19996" s="5">
        <f>HYPERLINK("https://api.qogita.com/variants/link/0690251122202/", "View Product")</f>
        <v/>
      </c>
    </row>
    <row r="19997">
      <c r="A19997" t="inlineStr">
        <is>
          <t>0690251122295</t>
        </is>
      </c>
      <c r="B19997" t="inlineStr">
        <is>
          <t>Jo Malone London Dark Amber &amp; Ginger Lily Cologne Intense Unisex 100ml</t>
        </is>
      </c>
      <c r="C19997" t="inlineStr">
        <is>
          <t>Eau De Cologne</t>
        </is>
      </c>
      <c r="D19997" t="inlineStr">
        <is>
          <t>Jo Malone London</t>
        </is>
      </c>
      <c r="E19997" t="n">
        <v>116.3</v>
      </c>
      <c r="F19997" t="n">
        <v>1</v>
      </c>
      <c r="G19997" t="n">
        <v>4</v>
      </c>
      <c r="H19997" s="5">
        <f>HYPERLINK("https://api.qogita.com/variants/link/0690251122295/", "View Product")</f>
        <v/>
      </c>
    </row>
    <row r="19998">
      <c r="A19998" t="inlineStr">
        <is>
          <t>0690251131631</t>
        </is>
      </c>
      <c r="B19998" t="inlineStr">
        <is>
          <t>Jo Malone Cypress &amp; Grape Hand Wash 8.5oz</t>
        </is>
      </c>
      <c r="C19998" t="inlineStr">
        <is>
          <t>Hand Soap</t>
        </is>
      </c>
      <c r="D19998" t="inlineStr">
        <is>
          <t>Jo Malone London</t>
        </is>
      </c>
      <c r="E19998" t="n">
        <v>51.19</v>
      </c>
      <c r="F19998" t="n">
        <v>1</v>
      </c>
      <c r="G19998" t="n">
        <v>4</v>
      </c>
      <c r="H19998" s="5">
        <f>HYPERLINK("https://api.qogita.com/variants/link/0690251131631/", "View Product")</f>
        <v/>
      </c>
    </row>
    <row r="19999">
      <c r="A19999" t="inlineStr">
        <is>
          <t>0690251134472</t>
        </is>
      </c>
      <c r="B19999" t="inlineStr">
        <is>
          <t>Jo Malone London Passiflora Cologne 30ml Limited Edition</t>
        </is>
      </c>
      <c r="C19999" t="inlineStr">
        <is>
          <t>Eau De Cologne</t>
        </is>
      </c>
      <c r="D19999" t="inlineStr">
        <is>
          <t>Jo Malone London</t>
        </is>
      </c>
      <c r="E19999" t="n">
        <v>53.4</v>
      </c>
      <c r="F19999" t="n">
        <v>1</v>
      </c>
      <c r="G19999" t="n">
        <v>5</v>
      </c>
      <c r="H19999" s="5">
        <f>HYPERLINK("https://api.qogita.com/variants/link/0690251134472/", "View Product")</f>
        <v/>
      </c>
    </row>
    <row r="20000">
      <c r="A20000" t="inlineStr">
        <is>
          <t>0697045016945</t>
        </is>
      </c>
      <c r="B20000" t="inlineStr">
        <is>
          <t>Ahava It's Your Time To Shine Gift Set - Includes Osmoter Concentrate Smoothing</t>
        </is>
      </c>
      <c r="C20000" t="inlineStr">
        <is>
          <t>Facial Care Sets</t>
        </is>
      </c>
      <c r="D20000" t="inlineStr">
        <is>
          <t>Ahava</t>
        </is>
      </c>
      <c r="E20000" t="n">
        <v>16.31</v>
      </c>
      <c r="F20000" t="n">
        <v>1</v>
      </c>
      <c r="G20000" t="n">
        <v>3</v>
      </c>
      <c r="H20000" s="5">
        <f>HYPERLINK("https://api.qogita.com/variants/link/0697045016945/", "View Product")</f>
        <v/>
      </c>
    </row>
    <row r="20001">
      <c r="A20001" t="inlineStr">
        <is>
          <t>0697045151103</t>
        </is>
      </c>
      <c r="B20001" t="inlineStr">
        <is>
          <t>AHAVA Men's Mineral Shower Gel 6.8 Fl Oz</t>
        </is>
      </c>
      <c r="C20001" t="inlineStr">
        <is>
          <t>Shower Gel</t>
        </is>
      </c>
      <c r="D20001" t="inlineStr">
        <is>
          <t>Ahava</t>
        </is>
      </c>
      <c r="E20001" t="n">
        <v>13.1</v>
      </c>
      <c r="F20001" t="n">
        <v>1</v>
      </c>
      <c r="G20001" t="n">
        <v>2</v>
      </c>
      <c r="H20001" s="5">
        <f>HYPERLINK("https://api.qogita.com/variants/link/0697045151103/", "View Product")</f>
        <v/>
      </c>
    </row>
    <row r="20002">
      <c r="A20002" t="inlineStr">
        <is>
          <t>0697045151301</t>
        </is>
      </c>
      <c r="B20002" t="inlineStr">
        <is>
          <t>AHAVA Eye Makeup Remover 125ml Dead Sea Natural Gentle Waterproof Make Up Remover</t>
        </is>
      </c>
      <c r="C20002" t="inlineStr">
        <is>
          <t>Eye Makeup Remover</t>
        </is>
      </c>
      <c r="D20002" t="inlineStr">
        <is>
          <t>Ahava</t>
        </is>
      </c>
      <c r="E20002" t="n">
        <v>13.77</v>
      </c>
      <c r="F20002" t="n">
        <v>1</v>
      </c>
      <c r="G20002" t="n">
        <v>8</v>
      </c>
      <c r="H20002" s="5">
        <f>HYPERLINK("https://api.qogita.com/variants/link/0697045151301/", "View Product")</f>
        <v/>
      </c>
    </row>
    <row r="20003">
      <c r="A20003" t="inlineStr">
        <is>
          <t>0697045154494</t>
        </is>
      </c>
      <c r="B20003" t="inlineStr">
        <is>
          <t>AHAVA Uplift Night Cream Anti Aging Wrinkle Reducer Treatment for Women and Men Firming and Tightening Facial Cream 50ml</t>
        </is>
      </c>
      <c r="C20003" t="inlineStr">
        <is>
          <t>Night Cream</t>
        </is>
      </c>
      <c r="D20003" t="inlineStr">
        <is>
          <t>Ahava</t>
        </is>
      </c>
      <c r="E20003" t="n">
        <v>54.79</v>
      </c>
      <c r="F20003" t="n">
        <v>1</v>
      </c>
      <c r="G20003" t="n">
        <v>3</v>
      </c>
      <c r="H20003" s="5">
        <f>HYPERLINK("https://api.qogita.com/variants/link/0697045154494/", "View Product")</f>
        <v/>
      </c>
    </row>
    <row r="20004">
      <c r="A20004" t="inlineStr">
        <is>
          <t>0697045155149</t>
        </is>
      </c>
      <c r="B20004" t="inlineStr">
        <is>
          <t>AHAVA Facial Mud Exfoliator 100ml Dead Sea Natural Face Exfoliant Gentle on Skin Hydrating Face Scrub Evenly Toning Pore Cleaner with Natural Micro Granules for Women and Men</t>
        </is>
      </c>
      <c r="C20004" t="inlineStr">
        <is>
          <t>Facial Scrub &amp; Peeling</t>
        </is>
      </c>
      <c r="D20004" t="inlineStr">
        <is>
          <t>Ahava</t>
        </is>
      </c>
      <c r="E20004" t="n">
        <v>13.6</v>
      </c>
      <c r="F20004" t="n">
        <v>1</v>
      </c>
      <c r="G20004" t="n">
        <v>5</v>
      </c>
      <c r="H20004" s="5">
        <f>HYPERLINK("https://api.qogita.com/variants/link/0697045155149/", "View Product")</f>
        <v/>
      </c>
    </row>
    <row r="20005">
      <c r="A20005" t="inlineStr">
        <is>
          <t>0697045155682</t>
        </is>
      </c>
      <c r="B20005" t="inlineStr">
        <is>
          <t>AHAVA Dead Sea Minerals Shower Gel Nourish and Hydrate Sea Kissed 200ml</t>
        </is>
      </c>
      <c r="C20005" t="inlineStr">
        <is>
          <t>Shower Gel</t>
        </is>
      </c>
      <c r="D20005" t="inlineStr">
        <is>
          <t>Ahava</t>
        </is>
      </c>
      <c r="E20005" t="n">
        <v>11.65</v>
      </c>
      <c r="F20005" t="n">
        <v>1</v>
      </c>
      <c r="G20005" t="n">
        <v>2</v>
      </c>
      <c r="H20005" s="5">
        <f>HYPERLINK("https://api.qogita.com/variants/link/0697045155682/", "View Product")</f>
        <v/>
      </c>
    </row>
    <row r="20006">
      <c r="A20006" t="inlineStr">
        <is>
          <t>0697045157280</t>
        </is>
      </c>
      <c r="B20006" t="inlineStr">
        <is>
          <t>AHAVA Mineral Hand Cream Spring Blossom 100ml</t>
        </is>
      </c>
      <c r="C20006" t="inlineStr">
        <is>
          <t>Hand Cream</t>
        </is>
      </c>
      <c r="D20006" t="inlineStr">
        <is>
          <t>Ahava</t>
        </is>
      </c>
      <c r="E20006" t="n">
        <v>12.51</v>
      </c>
      <c r="F20006" t="n">
        <v>1</v>
      </c>
      <c r="G20006" t="n">
        <v>3</v>
      </c>
      <c r="H20006" s="5">
        <f>HYPERLINK("https://api.qogita.com/variants/link/0697045157280/", "View Product")</f>
        <v/>
      </c>
    </row>
    <row r="20007">
      <c r="A20007" t="inlineStr">
        <is>
          <t>0697045158638</t>
        </is>
      </c>
      <c r="B20007" t="inlineStr">
        <is>
          <t>AHAVA Age Control Even Tone Sleeping Cream Nourishing Night Cream with Exclusive Osmoter Niacinamide &amp; Jojoba Oil 1.7 fl.oz</t>
        </is>
      </c>
      <c r="C20007" t="inlineStr">
        <is>
          <t>Night Cream</t>
        </is>
      </c>
      <c r="D20007" t="inlineStr">
        <is>
          <t>Ahava</t>
        </is>
      </c>
      <c r="E20007" t="n">
        <v>45.93</v>
      </c>
      <c r="F20007" t="n">
        <v>1</v>
      </c>
      <c r="G20007" t="n">
        <v>2</v>
      </c>
      <c r="H20007" s="5">
        <f>HYPERLINK("https://api.qogita.com/variants/link/0697045158638/", "View Product")</f>
        <v/>
      </c>
    </row>
    <row r="20008">
      <c r="A20008" t="inlineStr">
        <is>
          <t>0697045159000</t>
        </is>
      </c>
      <c r="B20008" t="inlineStr">
        <is>
          <t>Ahava Osmoter Eye Mask - Hydrating Eye Treatment</t>
        </is>
      </c>
      <c r="C20008" t="inlineStr">
        <is>
          <t>Eye Masks &amp; Eye Pads</t>
        </is>
      </c>
      <c r="D20008" t="inlineStr">
        <is>
          <t>Ahava</t>
        </is>
      </c>
      <c r="E20008" t="n">
        <v>30.28</v>
      </c>
      <c r="F20008" t="n">
        <v>1</v>
      </c>
      <c r="G20008" t="n">
        <v>2</v>
      </c>
      <c r="H20008" s="5">
        <f>HYPERLINK("https://api.qogita.com/variants/link/0697045159000/", "View Product")</f>
        <v/>
      </c>
    </row>
    <row r="20009">
      <c r="A20009" t="inlineStr">
        <is>
          <t>0697045159086</t>
        </is>
      </c>
      <c r="B20009" t="inlineStr">
        <is>
          <t>AHAVA Dead Sea Osmoter Supreme Hydration Cream Day Cream 50ml</t>
        </is>
      </c>
      <c r="C20009" t="inlineStr">
        <is>
          <t>Day Cream</t>
        </is>
      </c>
      <c r="D20009" t="inlineStr">
        <is>
          <t>Ahava</t>
        </is>
      </c>
      <c r="E20009" t="n">
        <v>40.81</v>
      </c>
      <c r="F20009" t="n">
        <v>1</v>
      </c>
      <c r="G20009" t="n">
        <v>3</v>
      </c>
      <c r="H20009" s="5">
        <f>HYPERLINK("https://api.qogita.com/variants/link/0697045159086/", "View Product")</f>
        <v/>
      </c>
    </row>
    <row r="20010">
      <c r="A20010" t="inlineStr">
        <is>
          <t>0697045159246</t>
        </is>
      </c>
      <c r="B20010" t="inlineStr">
        <is>
          <t>Ahava Purifying Mud Sheet Mask</t>
        </is>
      </c>
      <c r="C20010" t="inlineStr">
        <is>
          <t>Purifying Mask</t>
        </is>
      </c>
      <c r="D20010" t="inlineStr">
        <is>
          <t>Ahava</t>
        </is>
      </c>
      <c r="E20010" t="n">
        <v>6.23</v>
      </c>
      <c r="F20010" t="n">
        <v>1</v>
      </c>
      <c r="G20010" t="n">
        <v>3</v>
      </c>
      <c r="H20010" s="5">
        <f>HYPERLINK("https://api.qogita.com/variants/link/0697045159246/", "View Product")</f>
        <v/>
      </c>
    </row>
    <row r="20011">
      <c r="A20011" t="inlineStr">
        <is>
          <t>0697045159925</t>
        </is>
      </c>
      <c r="B20011" t="inlineStr">
        <is>
          <t>AHAVA CC Cream Color Correction SPF30 Lightweight Formula for Flawless Radiant Skin 30ml</t>
        </is>
      </c>
      <c r="C20011" t="inlineStr">
        <is>
          <t>Tinted Day Cream</t>
        </is>
      </c>
      <c r="D20011" t="inlineStr">
        <is>
          <t>Ahava</t>
        </is>
      </c>
      <c r="E20011" t="n">
        <v>23.82</v>
      </c>
      <c r="F20011" t="n">
        <v>1</v>
      </c>
      <c r="G20011" t="n">
        <v>3</v>
      </c>
      <c r="H20011" s="5">
        <f>HYPERLINK("https://api.qogita.com/variants/link/0697045159925/", "View Product")</f>
        <v/>
      </c>
    </row>
    <row r="20012">
      <c r="A20012" t="inlineStr">
        <is>
          <t>0697045159970</t>
        </is>
      </c>
      <c r="B20012" t="inlineStr">
        <is>
          <t>AHAVA Enzyme Peel 100ml</t>
        </is>
      </c>
      <c r="C20012" t="inlineStr">
        <is>
          <t>Facial Scrub &amp; Peeling</t>
        </is>
      </c>
      <c r="D20012" t="inlineStr">
        <is>
          <t>Ahava</t>
        </is>
      </c>
      <c r="E20012" t="n">
        <v>27.51</v>
      </c>
      <c r="F20012" t="n">
        <v>1</v>
      </c>
      <c r="G20012" t="n">
        <v>2</v>
      </c>
      <c r="H20012" s="5">
        <f>HYPERLINK("https://api.qogita.com/variants/link/0697045159970/", "View Product")</f>
        <v/>
      </c>
    </row>
    <row r="20013">
      <c r="A20013" t="inlineStr">
        <is>
          <t>0697045163373</t>
        </is>
      </c>
      <c r="B20013" t="inlineStr">
        <is>
          <t>AHAVA Halobacteria Restoring Overnight Mask with Meadowfoam Seed Oil, Osmoter and Halobacteria DNA from Dead Sea 1.7 fl.oz</t>
        </is>
      </c>
      <c r="C20013" t="inlineStr">
        <is>
          <t>Hydrating Mask</t>
        </is>
      </c>
      <c r="D20013" t="inlineStr">
        <is>
          <t>Ahava</t>
        </is>
      </c>
      <c r="E20013" t="n">
        <v>48.41</v>
      </c>
      <c r="F20013" t="n">
        <v>1</v>
      </c>
      <c r="G20013" t="n">
        <v>3</v>
      </c>
      <c r="H20013" s="5">
        <f>HYPERLINK("https://api.qogita.com/variants/link/0697045163373/", "View Product")</f>
        <v/>
      </c>
    </row>
    <row r="20014">
      <c r="A20014" t="inlineStr">
        <is>
          <t>0701197405271</t>
        </is>
      </c>
      <c r="B20014" t="inlineStr">
        <is>
          <t>Unum Symphonie Passion Extrait de Parfum 100ml</t>
        </is>
      </c>
      <c r="C20014" t="inlineStr">
        <is>
          <t>Extrait De Parfum</t>
        </is>
      </c>
      <c r="D20014" t="inlineStr">
        <is>
          <t>Unum</t>
        </is>
      </c>
      <c r="E20014" t="n">
        <v>112.85</v>
      </c>
      <c r="F20014" t="n">
        <v>1</v>
      </c>
      <c r="G20014" t="n">
        <v>2</v>
      </c>
      <c r="H20014" s="5">
        <f>HYPERLINK("https://api.qogita.com/variants/link/0701197405271/", "View Product")</f>
        <v/>
      </c>
    </row>
    <row r="20015">
      <c r="A20015" t="inlineStr">
        <is>
          <t>0701666311973</t>
        </is>
      </c>
      <c r="B20015" t="inlineStr">
        <is>
          <t>Amouage Jubilation XXV Man Eau de Parfum Vaporizer 100ml</t>
        </is>
      </c>
      <c r="C20015" t="inlineStr">
        <is>
          <t>Eau De Parfum</t>
        </is>
      </c>
      <c r="D20015" t="inlineStr">
        <is>
          <t>Amouage</t>
        </is>
      </c>
      <c r="E20015" t="n">
        <v>271.9</v>
      </c>
      <c r="F20015" t="n">
        <v>1</v>
      </c>
      <c r="G20015" t="n">
        <v>2</v>
      </c>
      <c r="H20015" s="5">
        <f>HYPERLINK("https://api.qogita.com/variants/link/0701666311973/", "View Product")</f>
        <v/>
      </c>
    </row>
    <row r="20016">
      <c r="A20016" t="inlineStr">
        <is>
          <t>0701666410065</t>
        </is>
      </c>
      <c r="B20016" t="inlineStr">
        <is>
          <t>AMOUAGE Reflection Woman Eau de Parfum 100ml</t>
        </is>
      </c>
      <c r="C20016" t="inlineStr">
        <is>
          <t>Eau De Parfum</t>
        </is>
      </c>
      <c r="D20016" t="inlineStr">
        <is>
          <t>Amouage</t>
        </is>
      </c>
      <c r="E20016" t="n">
        <v>171.71</v>
      </c>
      <c r="F20016" t="n">
        <v>1</v>
      </c>
      <c r="G20016" t="n">
        <v>14</v>
      </c>
      <c r="H20016" s="5">
        <f>HYPERLINK("https://api.qogita.com/variants/link/0701666410065/", "View Product")</f>
        <v/>
      </c>
    </row>
    <row r="20017">
      <c r="A20017" t="inlineStr">
        <is>
          <t>0701666410119</t>
        </is>
      </c>
      <c r="B20017" t="inlineStr">
        <is>
          <t>Amouage Epic Man Eau de Parfum 100ml</t>
        </is>
      </c>
      <c r="C20017" t="inlineStr">
        <is>
          <t>Eau De Parfum</t>
        </is>
      </c>
      <c r="D20017" t="inlineStr">
        <is>
          <t>Amouage</t>
        </is>
      </c>
      <c r="E20017" t="n">
        <v>166.43</v>
      </c>
      <c r="F20017" t="n">
        <v>1</v>
      </c>
      <c r="G20017" t="n">
        <v>9</v>
      </c>
      <c r="H20017" s="5">
        <f>HYPERLINK("https://api.qogita.com/variants/link/0701666410119/", "View Product")</f>
        <v/>
      </c>
    </row>
    <row r="20018">
      <c r="A20018" t="inlineStr">
        <is>
          <t>0701666410133</t>
        </is>
      </c>
      <c r="B20018" t="inlineStr">
        <is>
          <t>Amouage Memoir Man 3.4oz 100ml Eau de Parfum Spray New and Sealed</t>
        </is>
      </c>
      <c r="C20018" t="inlineStr">
        <is>
          <t>Eau De Parfum</t>
        </is>
      </c>
      <c r="D20018" t="inlineStr">
        <is>
          <t>Amouage</t>
        </is>
      </c>
      <c r="E20018" t="n">
        <v>278.66</v>
      </c>
      <c r="F20018" t="n">
        <v>1</v>
      </c>
      <c r="G20018" t="n">
        <v>3</v>
      </c>
      <c r="H20018" s="5">
        <f>HYPERLINK("https://api.qogita.com/variants/link/0701666410133/", "View Product")</f>
        <v/>
      </c>
    </row>
    <row r="20019">
      <c r="A20019" t="inlineStr">
        <is>
          <t>0701666410140</t>
        </is>
      </c>
      <c r="B20019" t="inlineStr">
        <is>
          <t>Amouage Memoir Woman Eau De Parfum</t>
        </is>
      </c>
      <c r="C20019" t="inlineStr">
        <is>
          <t>Eau De Parfum</t>
        </is>
      </c>
      <c r="D20019" t="inlineStr">
        <is>
          <t>Amouage</t>
        </is>
      </c>
      <c r="E20019" t="n">
        <v>280.36</v>
      </c>
      <c r="F20019" t="n">
        <v>1</v>
      </c>
      <c r="G20019" t="n">
        <v>3</v>
      </c>
      <c r="H20019" s="5">
        <f>HYPERLINK("https://api.qogita.com/variants/link/0701666410140/", "View Product")</f>
        <v/>
      </c>
    </row>
    <row r="20020">
      <c r="A20020" t="inlineStr">
        <is>
          <t>0701666410157</t>
        </is>
      </c>
      <c r="B20020" t="inlineStr">
        <is>
          <t>Amouage Honour Man Eau de Parfum 100ml</t>
        </is>
      </c>
      <c r="C20020" t="inlineStr">
        <is>
          <t>Eau De Parfum</t>
        </is>
      </c>
      <c r="D20020" t="inlineStr">
        <is>
          <t>Amouage</t>
        </is>
      </c>
      <c r="E20020" t="n">
        <v>156.12</v>
      </c>
      <c r="F20020" t="n">
        <v>1</v>
      </c>
      <c r="G20020" t="n">
        <v>6</v>
      </c>
      <c r="H20020" s="5">
        <f>HYPERLINK("https://api.qogita.com/variants/link/0701666410157/", "View Product")</f>
        <v/>
      </c>
    </row>
    <row r="20021">
      <c r="A20021" t="inlineStr">
        <is>
          <t>0701666410195</t>
        </is>
      </c>
      <c r="B20021" t="inlineStr">
        <is>
          <t>Amouage Interlude Eau De Parfum Spray 100ml 3.4oz Men's Cologne</t>
        </is>
      </c>
      <c r="C20021" t="inlineStr">
        <is>
          <t>Eau De Parfum</t>
        </is>
      </c>
      <c r="D20021" t="inlineStr">
        <is>
          <t>Amouage</t>
        </is>
      </c>
      <c r="E20021" t="n">
        <v>260.81</v>
      </c>
      <c r="F20021" t="n">
        <v>1</v>
      </c>
      <c r="G20021" t="n">
        <v>3</v>
      </c>
      <c r="H20021" s="5">
        <f>HYPERLINK("https://api.qogita.com/variants/link/0701666410195/", "View Product")</f>
        <v/>
      </c>
    </row>
    <row r="20022">
      <c r="A20022" t="inlineStr">
        <is>
          <t>0701666410201</t>
        </is>
      </c>
      <c r="B20022" t="inlineStr">
        <is>
          <t>Amouage Interlude Eau de Parfum Spray 3.4 oz</t>
        </is>
      </c>
      <c r="C20022" t="inlineStr">
        <is>
          <t>Eau De Parfum</t>
        </is>
      </c>
      <c r="D20022" t="inlineStr">
        <is>
          <t>Amouage</t>
        </is>
      </c>
      <c r="E20022" t="n">
        <v>183.67</v>
      </c>
      <c r="F20022" t="n">
        <v>1</v>
      </c>
      <c r="G20022" t="n">
        <v>3</v>
      </c>
      <c r="H20022" s="5">
        <f>HYPERLINK("https://api.qogita.com/variants/link/0701666410201/", "View Product")</f>
        <v/>
      </c>
    </row>
    <row r="20023">
      <c r="A20023" t="inlineStr">
        <is>
          <t>0711367106556</t>
        </is>
      </c>
      <c r="B20023" t="inlineStr">
        <is>
          <t>Annick Goutal Le Chevrefeuille Eau De Toilette 100ml</t>
        </is>
      </c>
      <c r="C20023" t="inlineStr">
        <is>
          <t>Eau De Toilette</t>
        </is>
      </c>
      <c r="D20023" t="inlineStr">
        <is>
          <t>Annick Goutal</t>
        </is>
      </c>
      <c r="E20023" t="n">
        <v>69.81</v>
      </c>
      <c r="F20023" t="n">
        <v>1</v>
      </c>
      <c r="G20023" t="n">
        <v>5</v>
      </c>
      <c r="H20023" s="5">
        <f>HYPERLINK("https://api.qogita.com/variants/link/0711367106556/", "View Product")</f>
        <v/>
      </c>
    </row>
    <row r="20024">
      <c r="A20024" t="inlineStr">
        <is>
          <t>0711367109397</t>
        </is>
      </c>
      <c r="B20024" t="inlineStr">
        <is>
          <t>Rose Pompon EDT Vaporizer 100ml</t>
        </is>
      </c>
      <c r="C20024" t="inlineStr">
        <is>
          <t>Eau De Toilette</t>
        </is>
      </c>
      <c r="D20024" t="inlineStr">
        <is>
          <t>Annick Goutal</t>
        </is>
      </c>
      <c r="E20024" t="n">
        <v>45.11</v>
      </c>
      <c r="F20024" t="n">
        <v>1</v>
      </c>
      <c r="G20024" t="n">
        <v>105</v>
      </c>
      <c r="H20024" s="5">
        <f>HYPERLINK("https://api.qogita.com/variants/link/0711367109397/", "View Product")</f>
        <v/>
      </c>
    </row>
    <row r="20025">
      <c r="A20025" t="inlineStr">
        <is>
          <t>0711367109540</t>
        </is>
      </c>
      <c r="B20025" t="inlineStr">
        <is>
          <t>Annick Goutal Honeysuckle Eau De Toilette Spray 50ml</t>
        </is>
      </c>
      <c r="C20025" t="inlineStr">
        <is>
          <t>Eau De Toilette</t>
        </is>
      </c>
      <c r="D20025" t="inlineStr">
        <is>
          <t>Annick Goutal</t>
        </is>
      </c>
      <c r="E20025" t="n">
        <v>48.12</v>
      </c>
      <c r="F20025" t="n">
        <v>1</v>
      </c>
      <c r="G20025" t="n">
        <v>5</v>
      </c>
      <c r="H20025" s="5">
        <f>HYPERLINK("https://api.qogita.com/variants/link/0711367109540/", "View Product")</f>
        <v/>
      </c>
    </row>
    <row r="20026">
      <c r="A20026" t="inlineStr">
        <is>
          <t>0711367109762</t>
        </is>
      </c>
      <c r="B20026" t="inlineStr">
        <is>
          <t>Goutal Eau De Monsieur Men's Fragrance 100ml</t>
        </is>
      </c>
      <c r="C20026" t="inlineStr">
        <is>
          <t>Eau De Toilette</t>
        </is>
      </c>
      <c r="D20026" t="inlineStr">
        <is>
          <t>Annick Goutal</t>
        </is>
      </c>
      <c r="E20026" t="n">
        <v>50.58</v>
      </c>
      <c r="F20026" t="n">
        <v>1</v>
      </c>
      <c r="G20026" t="n">
        <v>32</v>
      </c>
      <c r="H20026" s="5">
        <f>HYPERLINK("https://api.qogita.com/variants/link/0711367109762/", "View Product")</f>
        <v/>
      </c>
    </row>
    <row r="20027">
      <c r="A20027" t="inlineStr">
        <is>
          <t>0711658851400</t>
        </is>
      </c>
      <c r="B20027" t="inlineStr">
        <is>
          <t>Houbigant Orangers En Fleurs Eau de Parfum 100ml Spray For Her</t>
        </is>
      </c>
      <c r="C20027" t="inlineStr">
        <is>
          <t>Eau De Parfum</t>
        </is>
      </c>
      <c r="D20027" t="inlineStr">
        <is>
          <t>Houbigant</t>
        </is>
      </c>
      <c r="E20027" t="n">
        <v>84.92</v>
      </c>
      <c r="F20027" t="n">
        <v>1</v>
      </c>
      <c r="G20027" t="n">
        <v>5</v>
      </c>
      <c r="H20027" s="5">
        <f>HYPERLINK("https://api.qogita.com/variants/link/0711658851400/", "View Product")</f>
        <v/>
      </c>
    </row>
    <row r="20028">
      <c r="A20028" t="inlineStr">
        <is>
          <t>0711658861409</t>
        </is>
      </c>
      <c r="B20028" t="inlineStr">
        <is>
          <t>Houbigant Pivoine Souveraine - Unisex Fragrance</t>
        </is>
      </c>
      <c r="C20028" t="inlineStr">
        <is>
          <t>Eau De Parfum</t>
        </is>
      </c>
      <c r="D20028" t="inlineStr">
        <is>
          <t>Houbigant</t>
        </is>
      </c>
      <c r="E20028" t="n">
        <v>89.34999999999999</v>
      </c>
      <c r="F20028" t="n">
        <v>1</v>
      </c>
      <c r="G20028" t="n">
        <v>3</v>
      </c>
      <c r="H20028" s="5">
        <f>HYPERLINK("https://api.qogita.com/variants/link/0711658861409/", "View Product")</f>
        <v/>
      </c>
    </row>
    <row r="20029">
      <c r="A20029" t="inlineStr">
        <is>
          <t>0715387003000</t>
        </is>
      </c>
      <c r="B20029" t="inlineStr">
        <is>
          <t>Hot By Benetton EDT Spray 3.3 Oz For Women</t>
        </is>
      </c>
      <c r="C20029" t="inlineStr">
        <is>
          <t>Eau De Toilette</t>
        </is>
      </c>
      <c r="D20029" t="inlineStr">
        <is>
          <t>Benetton</t>
        </is>
      </c>
      <c r="E20029" t="n">
        <v>6.19</v>
      </c>
      <c r="F20029" t="n">
        <v>1</v>
      </c>
      <c r="G20029" t="n">
        <v>112</v>
      </c>
      <c r="H20029" s="5">
        <f>HYPERLINK("https://api.qogita.com/variants/link/0715387003000/", "View Product")</f>
        <v/>
      </c>
    </row>
    <row r="20030">
      <c r="A20030" t="inlineStr">
        <is>
          <t>0716170067759</t>
        </is>
      </c>
      <c r="B20030" t="inlineStr">
        <is>
          <t>Bobbi Brown Eye Blender Brush 01</t>
        </is>
      </c>
      <c r="C20030" t="inlineStr">
        <is>
          <t>Eyeshadow Brushes</t>
        </is>
      </c>
      <c r="D20030" t="inlineStr">
        <is>
          <t>Bobbi Brown</t>
        </is>
      </c>
      <c r="E20030" t="n">
        <v>30.31</v>
      </c>
      <c r="F20030" t="n">
        <v>1</v>
      </c>
      <c r="G20030" t="n">
        <v>7</v>
      </c>
      <c r="H20030" s="5">
        <f>HYPERLINK("https://api.qogita.com/variants/link/0716170067759/", "View Product")</f>
        <v/>
      </c>
    </row>
    <row r="20031">
      <c r="A20031" t="inlineStr">
        <is>
          <t>0716170067827</t>
        </is>
      </c>
      <c r="B20031" t="inlineStr">
        <is>
          <t>Bobbi Brown Ultra Fine Eye Liner Brush for Women</t>
        </is>
      </c>
      <c r="C20031" t="inlineStr">
        <is>
          <t>Eyeliner Brushes</t>
        </is>
      </c>
      <c r="D20031" t="inlineStr">
        <is>
          <t>Bobbi Brown</t>
        </is>
      </c>
      <c r="E20031" t="n">
        <v>26.66</v>
      </c>
      <c r="F20031" t="n">
        <v>1</v>
      </c>
      <c r="G20031" t="n">
        <v>3</v>
      </c>
      <c r="H20031" s="5">
        <f>HYPERLINK("https://api.qogita.com/variants/link/0716170067827/", "View Product")</f>
        <v/>
      </c>
    </row>
    <row r="20032">
      <c r="A20032" t="inlineStr">
        <is>
          <t>0716170109633</t>
        </is>
      </c>
      <c r="B20032" t="inlineStr">
        <is>
          <t>BBr Brush Sheer Powder</t>
        </is>
      </c>
      <c r="C20032" t="inlineStr">
        <is>
          <t>Powder</t>
        </is>
      </c>
      <c r="D20032" t="inlineStr">
        <is>
          <t>Bobbi Brown</t>
        </is>
      </c>
      <c r="E20032" t="n">
        <v>31.23</v>
      </c>
      <c r="F20032" t="n">
        <v>1</v>
      </c>
      <c r="G20032" t="n">
        <v>3</v>
      </c>
      <c r="H20032" s="5">
        <f>HYPERLINK("https://api.qogita.com/variants/link/0716170109633/", "View Product")</f>
        <v/>
      </c>
    </row>
    <row r="20033">
      <c r="A20033" t="inlineStr">
        <is>
          <t>0716170109640</t>
        </is>
      </c>
      <c r="B20033" t="inlineStr">
        <is>
          <t>Bobbi Brown Full Coverage Face Brush</t>
        </is>
      </c>
      <c r="C20033" t="inlineStr">
        <is>
          <t>Foundation Brushes</t>
        </is>
      </c>
      <c r="D20033" t="inlineStr">
        <is>
          <t>Bobbi Brown</t>
        </is>
      </c>
      <c r="E20033" t="n">
        <v>43.5</v>
      </c>
      <c r="F20033" t="n">
        <v>1</v>
      </c>
      <c r="G20033" t="n">
        <v>3</v>
      </c>
      <c r="H20033" s="5">
        <f>HYPERLINK("https://api.qogita.com/variants/link/0716170109640/", "View Product")</f>
        <v/>
      </c>
    </row>
    <row r="20034">
      <c r="A20034" t="inlineStr">
        <is>
          <t>0716170124438</t>
        </is>
      </c>
      <c r="B20034" t="inlineStr">
        <is>
          <t>BBr Skin Foundation 15 W Beige</t>
        </is>
      </c>
      <c r="C20034" t="inlineStr">
        <is>
          <t>Foundation</t>
        </is>
      </c>
      <c r="D20034" t="inlineStr">
        <is>
          <t>Bobbi Brown</t>
        </is>
      </c>
      <c r="E20034" t="n">
        <v>42.06</v>
      </c>
      <c r="F20034" t="n">
        <v>1</v>
      </c>
      <c r="G20034" t="n">
        <v>3</v>
      </c>
      <c r="H20034" s="5">
        <f>HYPERLINK("https://api.qogita.com/variants/link/0716170124438/", "View Product")</f>
        <v/>
      </c>
    </row>
    <row r="20035">
      <c r="A20035" t="inlineStr">
        <is>
          <t>0716170141442</t>
        </is>
      </c>
      <c r="B20035" t="inlineStr">
        <is>
          <t>Bobbi Brown Lip Pencil 18 Chocolate 1g</t>
        </is>
      </c>
      <c r="C20035" t="inlineStr">
        <is>
          <t>Lip Liner</t>
        </is>
      </c>
      <c r="D20035" t="inlineStr">
        <is>
          <t>Bobbi Brown</t>
        </is>
      </c>
      <c r="E20035" t="n">
        <v>23.92</v>
      </c>
      <c r="F20035" t="n">
        <v>1</v>
      </c>
      <c r="G20035" t="n">
        <v>4</v>
      </c>
      <c r="H20035" s="5">
        <f>HYPERLINK("https://api.qogita.com/variants/link/0716170141442/", "View Product")</f>
        <v/>
      </c>
    </row>
    <row r="20036">
      <c r="A20036" t="inlineStr">
        <is>
          <t>0716170158143</t>
        </is>
      </c>
      <c r="B20036" t="inlineStr">
        <is>
          <t>Bobbi Brown Nude Finish Illuminating Powder 0.23 Oz</t>
        </is>
      </c>
      <c r="C20036" t="inlineStr">
        <is>
          <t>Powder</t>
        </is>
      </c>
      <c r="D20036" t="inlineStr">
        <is>
          <t>Bobbi Brown</t>
        </is>
      </c>
      <c r="E20036" t="n">
        <v>46.31</v>
      </c>
      <c r="F20036" t="n">
        <v>1</v>
      </c>
      <c r="G20036" t="n">
        <v>4</v>
      </c>
      <c r="H20036" s="5">
        <f>HYPERLINK("https://api.qogita.com/variants/link/0716170158143/", "View Product")</f>
        <v/>
      </c>
    </row>
    <row r="20037">
      <c r="A20037" t="inlineStr">
        <is>
          <t>0716170185644</t>
        </is>
      </c>
      <c r="B20037" t="inlineStr">
        <is>
          <t>Bobbi Brown Highlighting Powder Afternoon Glow</t>
        </is>
      </c>
      <c r="C20037" t="inlineStr">
        <is>
          <t>Highlighter</t>
        </is>
      </c>
      <c r="D20037" t="inlineStr">
        <is>
          <t>Bobbi Brown</t>
        </is>
      </c>
      <c r="E20037" t="n">
        <v>43.26</v>
      </c>
      <c r="F20037" t="n">
        <v>1</v>
      </c>
      <c r="G20037" t="n">
        <v>2</v>
      </c>
      <c r="H20037" s="5">
        <f>HYPERLINK("https://api.qogita.com/variants/link/0716170185644/", "View Product")</f>
        <v/>
      </c>
    </row>
    <row r="20038">
      <c r="A20038" t="inlineStr">
        <is>
          <t>0716170186238</t>
        </is>
      </c>
      <c r="B20038" t="inlineStr">
        <is>
          <t>Bobbi Brown Crushed Lip Color Baby 3.4g</t>
        </is>
      </c>
      <c r="C20038" t="inlineStr">
        <is>
          <t>Lipstick</t>
        </is>
      </c>
      <c r="D20038" t="inlineStr">
        <is>
          <t>Bobbi Brown</t>
        </is>
      </c>
      <c r="E20038" t="n">
        <v>28.71</v>
      </c>
      <c r="F20038" t="n">
        <v>1</v>
      </c>
      <c r="G20038" t="n">
        <v>5</v>
      </c>
      <c r="H20038" s="5">
        <f>HYPERLINK("https://api.qogita.com/variants/link/0716170186238/", "View Product")</f>
        <v/>
      </c>
    </row>
    <row r="20039">
      <c r="A20039" t="inlineStr">
        <is>
          <t>0716170186269</t>
        </is>
      </c>
      <c r="B20039" t="inlineStr">
        <is>
          <t>Bobbi Brown Crushed Lip Color Ruby 3.4g</t>
        </is>
      </c>
      <c r="C20039" t="inlineStr">
        <is>
          <t>Lipstick</t>
        </is>
      </c>
      <c r="D20039" t="inlineStr">
        <is>
          <t>Bobbi Brown</t>
        </is>
      </c>
      <c r="E20039" t="n">
        <v>25.48</v>
      </c>
      <c r="F20039" t="n">
        <v>1</v>
      </c>
      <c r="G20039" t="n">
        <v>5</v>
      </c>
      <c r="H20039" s="5">
        <f>HYPERLINK("https://api.qogita.com/variants/link/0716170186269/", "View Product")</f>
        <v/>
      </c>
    </row>
    <row r="20040">
      <c r="A20040" t="inlineStr">
        <is>
          <t>0716170225463</t>
        </is>
      </c>
      <c r="B20040" t="inlineStr">
        <is>
          <t>Bobbi Brown Lip Luxe Shine Intbare TR</t>
        </is>
      </c>
      <c r="C20040" t="inlineStr">
        <is>
          <t>Lip Gloss</t>
        </is>
      </c>
      <c r="D20040" t="inlineStr">
        <is>
          <t>Bobbi Brown</t>
        </is>
      </c>
      <c r="E20040" t="n">
        <v>28.69</v>
      </c>
      <c r="F20040" t="n">
        <v>1</v>
      </c>
      <c r="G20040" t="n">
        <v>5</v>
      </c>
      <c r="H20040" s="5">
        <f>HYPERLINK("https://api.qogita.com/variants/link/0716170225463/", "View Product")</f>
        <v/>
      </c>
    </row>
    <row r="20041">
      <c r="A20041" t="inlineStr">
        <is>
          <t>0716170225487</t>
        </is>
      </c>
      <c r="B20041" t="inlineStr">
        <is>
          <t>Bobbi Brown Luxe Shine Intense Lipstick Trailblazer</t>
        </is>
      </c>
      <c r="C20041" t="inlineStr">
        <is>
          <t>Lipstick</t>
        </is>
      </c>
      <c r="D20041" t="inlineStr">
        <is>
          <t>Bobbi Brown</t>
        </is>
      </c>
      <c r="E20041" t="n">
        <v>31.44</v>
      </c>
      <c r="F20041" t="n">
        <v>1</v>
      </c>
      <c r="G20041" t="n">
        <v>5</v>
      </c>
      <c r="H20041" s="5">
        <f>HYPERLINK("https://api.qogita.com/variants/link/0716170225487/", "View Product")</f>
        <v/>
      </c>
    </row>
    <row r="20042">
      <c r="A20042" t="inlineStr">
        <is>
          <t>0716170228952</t>
        </is>
      </c>
      <c r="B20042" t="inlineStr">
        <is>
          <t>Bobbi Brown Crushed Oil-Infused Gloss Love Letter Women Lip Gloss 0.2 oz</t>
        </is>
      </c>
      <c r="C20042" t="inlineStr">
        <is>
          <t>Lip Gloss</t>
        </is>
      </c>
      <c r="D20042" t="inlineStr">
        <is>
          <t>Bobbi Brown</t>
        </is>
      </c>
      <c r="E20042" t="n">
        <v>28.71</v>
      </c>
      <c r="F20042" t="n">
        <v>1</v>
      </c>
      <c r="G20042" t="n">
        <v>5</v>
      </c>
      <c r="H20042" s="5">
        <f>HYPERLINK("https://api.qogita.com/variants/link/0716170228952/", "View Product")</f>
        <v/>
      </c>
    </row>
    <row r="20043">
      <c r="A20043" t="inlineStr">
        <is>
          <t>0716170229157</t>
        </is>
      </c>
      <c r="B20043" t="inlineStr">
        <is>
          <t>Bobbi Brown Intensive Serum Foundation SPF 40 PA++++ N-042 Beige 30ml</t>
        </is>
      </c>
      <c r="C20043" t="inlineStr">
        <is>
          <t>Foundation</t>
        </is>
      </c>
      <c r="D20043" t="inlineStr">
        <is>
          <t>Bobbi Brown</t>
        </is>
      </c>
      <c r="E20043" t="n">
        <v>51.86</v>
      </c>
      <c r="F20043" t="n">
        <v>1</v>
      </c>
      <c r="G20043" t="n">
        <v>5</v>
      </c>
      <c r="H20043" s="5">
        <f>HYPERLINK("https://api.qogita.com/variants/link/0716170229157/", "View Product")</f>
        <v/>
      </c>
    </row>
    <row r="20044">
      <c r="A20044" t="inlineStr">
        <is>
          <t>0716170229201</t>
        </is>
      </c>
      <c r="B20044" t="inlineStr">
        <is>
          <t>Bobbi Brown Intensive Serum Foundation SPF 40 Warm Natural</t>
        </is>
      </c>
      <c r="C20044" t="inlineStr">
        <is>
          <t>Foundation</t>
        </is>
      </c>
      <c r="D20044" t="inlineStr">
        <is>
          <t>Bobbi Brown</t>
        </is>
      </c>
      <c r="E20044" t="n">
        <v>52.91</v>
      </c>
      <c r="F20044" t="n">
        <v>1</v>
      </c>
      <c r="G20044" t="n">
        <v>2</v>
      </c>
      <c r="H20044" s="5">
        <f>HYPERLINK("https://api.qogita.com/variants/link/0716170229201/", "View Product")</f>
        <v/>
      </c>
    </row>
    <row r="20045">
      <c r="A20045" t="inlineStr">
        <is>
          <t>0716170235509</t>
        </is>
      </c>
      <c r="B20045" t="inlineStr">
        <is>
          <t>Crushed Oil-Infused Gloss Nr. 11 Rock &amp; Red</t>
        </is>
      </c>
      <c r="C20045" t="inlineStr">
        <is>
          <t>Lip Gloss</t>
        </is>
      </c>
      <c r="D20045" t="inlineStr">
        <is>
          <t>Bobbi Brown</t>
        </is>
      </c>
      <c r="E20045" t="n">
        <v>28.71</v>
      </c>
      <c r="F20045" t="n">
        <v>1</v>
      </c>
      <c r="G20045" t="n">
        <v>4</v>
      </c>
      <c r="H20045" s="5">
        <f>HYPERLINK("https://api.qogita.com/variants/link/0716170235509/", "View Product")</f>
        <v/>
      </c>
    </row>
    <row r="20046">
      <c r="A20046" t="inlineStr">
        <is>
          <t>0716170235516</t>
        </is>
      </c>
      <c r="B20046" t="inlineStr">
        <is>
          <t>Crushed Oil Infused Gloss After Party 6ml/0.2oz</t>
        </is>
      </c>
      <c r="C20046" t="inlineStr">
        <is>
          <t>Lip Gloss</t>
        </is>
      </c>
      <c r="D20046" t="inlineStr">
        <is>
          <t>Bobbi Brown</t>
        </is>
      </c>
      <c r="E20046" t="n">
        <v>28.71</v>
      </c>
      <c r="F20046" t="n">
        <v>1</v>
      </c>
      <c r="G20046" t="n">
        <v>5</v>
      </c>
      <c r="H20046" s="5">
        <f>HYPERLINK("https://api.qogita.com/variants/link/0716170235516/", "View Product")</f>
        <v/>
      </c>
    </row>
    <row r="20047">
      <c r="A20047" t="inlineStr">
        <is>
          <t>0716170257167</t>
        </is>
      </c>
      <c r="B20047" t="inlineStr">
        <is>
          <t>Bobbi Brown Crushed Oil-Infused Gloss Shimmer Bare Sparkle</t>
        </is>
      </c>
      <c r="C20047" t="inlineStr">
        <is>
          <t>Lip Gloss</t>
        </is>
      </c>
      <c r="D20047" t="inlineStr">
        <is>
          <t>Bobbi Brown</t>
        </is>
      </c>
      <c r="E20047" t="n">
        <v>28.71</v>
      </c>
      <c r="F20047" t="n">
        <v>1</v>
      </c>
      <c r="G20047" t="n">
        <v>4</v>
      </c>
      <c r="H20047" s="5">
        <f>HYPERLINK("https://api.qogita.com/variants/link/0716170257167/", "View Product")</f>
        <v/>
      </c>
    </row>
    <row r="20048">
      <c r="A20048" t="inlineStr">
        <is>
          <t>0716170260655</t>
        </is>
      </c>
      <c r="B20048" t="inlineStr">
        <is>
          <t>Bobbi Brown Luxe Lipstick Ruby 3.5g</t>
        </is>
      </c>
      <c r="C20048" t="inlineStr">
        <is>
          <t>Lipstick</t>
        </is>
      </c>
      <c r="D20048" t="inlineStr">
        <is>
          <t>Bobbi Brown</t>
        </is>
      </c>
      <c r="E20048" t="n">
        <v>29.32</v>
      </c>
      <c r="F20048" t="n">
        <v>1</v>
      </c>
      <c r="G20048" t="n">
        <v>5</v>
      </c>
      <c r="H20048" s="5">
        <f>HYPERLINK("https://api.qogita.com/variants/link/0716170260655/", "View Product")</f>
        <v/>
      </c>
    </row>
    <row r="20049">
      <c r="A20049" t="inlineStr">
        <is>
          <t>0716170270821</t>
        </is>
      </c>
      <c r="B20049" t="inlineStr">
        <is>
          <t>Bobbi Brown Extra Plump Hydrating Lip Serum Bare Pink</t>
        </is>
      </c>
      <c r="C20049" t="inlineStr">
        <is>
          <t>Lip Plumper</t>
        </is>
      </c>
      <c r="D20049" t="inlineStr">
        <is>
          <t>Bobbi Brown</t>
        </is>
      </c>
      <c r="E20049" t="n">
        <v>29.15</v>
      </c>
      <c r="F20049" t="n">
        <v>1</v>
      </c>
      <c r="G20049" t="n">
        <v>3</v>
      </c>
      <c r="H20049" s="5">
        <f>HYPERLINK("https://api.qogita.com/variants/link/0716170270821/", "View Product")</f>
        <v/>
      </c>
    </row>
    <row r="20050">
      <c r="A20050" t="inlineStr">
        <is>
          <t>0716170273785</t>
        </is>
      </c>
      <c r="B20050" t="inlineStr">
        <is>
          <t>Bobbi Brown Skin Full Cover Concealer Porcelain</t>
        </is>
      </c>
      <c r="C20050" t="inlineStr">
        <is>
          <t>Concealer</t>
        </is>
      </c>
      <c r="D20050" t="inlineStr">
        <is>
          <t>Bobbi Brown</t>
        </is>
      </c>
      <c r="E20050" t="n">
        <v>29.9</v>
      </c>
      <c r="F20050" t="n">
        <v>1</v>
      </c>
      <c r="G20050" t="n">
        <v>4</v>
      </c>
      <c r="H20050" s="5">
        <f>HYPERLINK("https://api.qogita.com/variants/link/0716170273785/", "View Product")</f>
        <v/>
      </c>
    </row>
    <row r="20051">
      <c r="A20051" t="inlineStr">
        <is>
          <t>0716170273792</t>
        </is>
      </c>
      <c r="B20051" t="inlineStr">
        <is>
          <t>Bobbi Brown Skin Full Cover Concealer Ivory 8ml</t>
        </is>
      </c>
      <c r="C20051" t="inlineStr">
        <is>
          <t>Concealer</t>
        </is>
      </c>
      <c r="D20051" t="inlineStr">
        <is>
          <t>Bobbi Brown</t>
        </is>
      </c>
      <c r="E20051" t="n">
        <v>30.17</v>
      </c>
      <c r="F20051" t="n">
        <v>1</v>
      </c>
      <c r="G20051" t="n">
        <v>5</v>
      </c>
      <c r="H20051" s="5">
        <f>HYPERLINK("https://api.qogita.com/variants/link/0716170273792/", "View Product")</f>
        <v/>
      </c>
    </row>
    <row r="20052">
      <c r="A20052" t="inlineStr">
        <is>
          <t>0716170273822</t>
        </is>
      </c>
      <c r="B20052" t="inlineStr">
        <is>
          <t>Bobbi Brown Skin Full Cover Concealer Sand</t>
        </is>
      </c>
      <c r="C20052" t="inlineStr">
        <is>
          <t>Concealer</t>
        </is>
      </c>
      <c r="D20052" t="inlineStr">
        <is>
          <t>Bobbi Brown</t>
        </is>
      </c>
      <c r="E20052" t="n">
        <v>29.65</v>
      </c>
      <c r="F20052" t="n">
        <v>1</v>
      </c>
      <c r="G20052" t="n">
        <v>6</v>
      </c>
      <c r="H20052" s="5">
        <f>HYPERLINK("https://api.qogita.com/variants/link/0716170273822/", "View Product")</f>
        <v/>
      </c>
    </row>
    <row r="20053">
      <c r="A20053" t="inlineStr">
        <is>
          <t>0716170273839</t>
        </is>
      </c>
      <c r="B20053" t="inlineStr">
        <is>
          <t>Bobbi Brown Skin Full Cover Concealer Beige 8ml</t>
        </is>
      </c>
      <c r="C20053" t="inlineStr">
        <is>
          <t>Concealer</t>
        </is>
      </c>
      <c r="D20053" t="inlineStr">
        <is>
          <t>Bobbi Brown</t>
        </is>
      </c>
      <c r="E20053" t="n">
        <v>30.16</v>
      </c>
      <c r="F20053" t="n">
        <v>1</v>
      </c>
      <c r="G20053" t="n">
        <v>2</v>
      </c>
      <c r="H20053" s="5">
        <f>HYPERLINK("https://api.qogita.com/variants/link/0716170273839/", "View Product")</f>
        <v/>
      </c>
    </row>
    <row r="20054">
      <c r="A20054" t="inlineStr">
        <is>
          <t>0716170273853</t>
        </is>
      </c>
      <c r="B20054" t="inlineStr">
        <is>
          <t>Bobbi Brown Skin Full Cover Concealer Natural 8ml</t>
        </is>
      </c>
      <c r="C20054" t="inlineStr">
        <is>
          <t>Concealer</t>
        </is>
      </c>
      <c r="D20054" t="inlineStr">
        <is>
          <t>Bobbi Brown</t>
        </is>
      </c>
      <c r="E20054" t="n">
        <v>26.58</v>
      </c>
      <c r="F20054" t="n">
        <v>1</v>
      </c>
      <c r="G20054" t="n">
        <v>5</v>
      </c>
      <c r="H20054" s="5">
        <f>HYPERLINK("https://api.qogita.com/variants/link/0716170273853/", "View Product")</f>
        <v/>
      </c>
    </row>
    <row r="20055">
      <c r="A20055" t="inlineStr">
        <is>
          <t>0716170287805</t>
        </is>
      </c>
      <c r="B20055" t="inlineStr">
        <is>
          <t>Bobbi Brown Extra Lip Tint 338 Bare Pink for Women 0.08 oz Lipstick</t>
        </is>
      </c>
      <c r="C20055" t="inlineStr">
        <is>
          <t>Lipstick</t>
        </is>
      </c>
      <c r="D20055" t="inlineStr">
        <is>
          <t>Bobbi Brown</t>
        </is>
      </c>
      <c r="E20055" t="n">
        <v>29.51</v>
      </c>
      <c r="F20055" t="n">
        <v>1</v>
      </c>
      <c r="G20055" t="n">
        <v>2</v>
      </c>
      <c r="H20055" s="5">
        <f>HYPERLINK("https://api.qogita.com/variants/link/0716170287805/", "View Product")</f>
        <v/>
      </c>
    </row>
    <row r="20056">
      <c r="A20056" t="inlineStr">
        <is>
          <t>0716170289298</t>
        </is>
      </c>
      <c r="B20056" t="inlineStr">
        <is>
          <t>Bobbi Brown Long Wear Cream Shadow Stick Mulberry Shimmer For Women 0.05 oz Eye Shadow</t>
        </is>
      </c>
      <c r="C20056" t="inlineStr">
        <is>
          <t>Eyeshadow</t>
        </is>
      </c>
      <c r="D20056" t="inlineStr">
        <is>
          <t>Bobbi Brown</t>
        </is>
      </c>
      <c r="E20056" t="n">
        <v>29.16</v>
      </c>
      <c r="F20056" t="n">
        <v>1</v>
      </c>
      <c r="G20056" t="n">
        <v>5</v>
      </c>
      <c r="H20056" s="5">
        <f>HYPERLINK("https://api.qogita.com/variants/link/0716170289298/", "View Product")</f>
        <v/>
      </c>
    </row>
    <row r="20057">
      <c r="A20057" t="inlineStr">
        <is>
          <t>0716170289311</t>
        </is>
      </c>
      <c r="B20057" t="inlineStr">
        <is>
          <t>Bobbi Brown Long Wear Cream Shadow Stick Forest Shimmer for Women 0.05 oz Eye Shadow</t>
        </is>
      </c>
      <c r="C20057" t="inlineStr">
        <is>
          <t>Eyeshadow</t>
        </is>
      </c>
      <c r="D20057" t="inlineStr">
        <is>
          <t>Bobbi Brown</t>
        </is>
      </c>
      <c r="E20057" t="n">
        <v>30.16</v>
      </c>
      <c r="F20057" t="n">
        <v>1</v>
      </c>
      <c r="G20057" t="n">
        <v>2</v>
      </c>
      <c r="H20057" s="5">
        <f>HYPERLINK("https://api.qogita.com/variants/link/0716170289311/", "View Product")</f>
        <v/>
      </c>
    </row>
    <row r="20058">
      <c r="A20058" t="inlineStr">
        <is>
          <t>0716170298528</t>
        </is>
      </c>
      <c r="B20058" t="inlineStr">
        <is>
          <t>Bobbi Brown Extra Lip Tint Bare Melon</t>
        </is>
      </c>
      <c r="C20058" t="inlineStr">
        <is>
          <t>Lip Balm</t>
        </is>
      </c>
      <c r="D20058" t="inlineStr">
        <is>
          <t>Bobbi Brown</t>
        </is>
      </c>
      <c r="E20058" t="n">
        <v>29.51</v>
      </c>
      <c r="F20058" t="n">
        <v>1</v>
      </c>
      <c r="G20058" t="n">
        <v>7</v>
      </c>
      <c r="H20058" s="5">
        <f>HYPERLINK("https://api.qogita.com/variants/link/0716170298528/", "View Product")</f>
        <v/>
      </c>
    </row>
    <row r="20059">
      <c r="A20059" t="inlineStr">
        <is>
          <t>0716170299815</t>
        </is>
      </c>
      <c r="B20059" t="inlineStr">
        <is>
          <t>Bobbi Brown Mini Long-Wear Cream Shadow Stick Golden Bronze 0.9g</t>
        </is>
      </c>
      <c r="C20059" t="inlineStr">
        <is>
          <t>Eyeshadow</t>
        </is>
      </c>
      <c r="D20059" t="inlineStr">
        <is>
          <t>Bobbi Brown</t>
        </is>
      </c>
      <c r="E20059" t="n">
        <v>24.9</v>
      </c>
      <c r="F20059" t="n">
        <v>1</v>
      </c>
      <c r="G20059" t="n">
        <v>8</v>
      </c>
      <c r="H20059" s="5">
        <f>HYPERLINK("https://api.qogita.com/variants/link/0716170299815/", "View Product")</f>
        <v/>
      </c>
    </row>
    <row r="20060">
      <c r="A20060" t="inlineStr">
        <is>
          <t>0716170306131</t>
        </is>
      </c>
      <c r="B20060" t="inlineStr">
        <is>
          <t>Bobbi Brown Long-Wear Cream Liner Stick - 1 Gram</t>
        </is>
      </c>
      <c r="C20060" t="inlineStr">
        <is>
          <t>Eyeliner</t>
        </is>
      </c>
      <c r="D20060" t="inlineStr">
        <is>
          <t>Bobbi Brown</t>
        </is>
      </c>
      <c r="E20060" t="n">
        <v>30.16</v>
      </c>
      <c r="F20060" t="n">
        <v>1</v>
      </c>
      <c r="G20060" t="n">
        <v>5</v>
      </c>
      <c r="H20060" s="5">
        <f>HYPERLINK("https://api.qogita.com/variants/link/0716170306131/", "View Product")</f>
        <v/>
      </c>
    </row>
    <row r="20061">
      <c r="A20061" t="inlineStr">
        <is>
          <t>0716170308807</t>
        </is>
      </c>
      <c r="B20061" t="inlineStr">
        <is>
          <t>Luxe Matte Lipstick 3.5 g Shade Afternoon Tea</t>
        </is>
      </c>
      <c r="C20061" t="inlineStr">
        <is>
          <t>Lipstick</t>
        </is>
      </c>
      <c r="D20061" t="inlineStr">
        <is>
          <t>Bobbi Brown</t>
        </is>
      </c>
      <c r="E20061" t="n">
        <v>29.32</v>
      </c>
      <c r="F20061" t="n">
        <v>1</v>
      </c>
      <c r="G20061" t="n">
        <v>5</v>
      </c>
      <c r="H20061" s="5">
        <f>HYPERLINK("https://api.qogita.com/variants/link/0716170308807/", "View Product")</f>
        <v/>
      </c>
    </row>
    <row r="20062">
      <c r="A20062" t="inlineStr">
        <is>
          <t>0716170308821</t>
        </is>
      </c>
      <c r="B20062" t="inlineStr">
        <is>
          <t>Luxe Matte Lipstick 3.5 g Shade Boss Pink</t>
        </is>
      </c>
      <c r="C20062" t="inlineStr">
        <is>
          <t>Lipstick</t>
        </is>
      </c>
      <c r="D20062" t="inlineStr">
        <is>
          <t>Bobbi Brown</t>
        </is>
      </c>
      <c r="E20062" t="n">
        <v>28.2</v>
      </c>
      <c r="F20062" t="n">
        <v>1</v>
      </c>
      <c r="G20062" t="n">
        <v>6</v>
      </c>
      <c r="H20062" s="5">
        <f>HYPERLINK("https://api.qogita.com/variants/link/0716170308821/", "View Product")</f>
        <v/>
      </c>
    </row>
    <row r="20063">
      <c r="A20063" t="inlineStr">
        <is>
          <t>0716170318608</t>
        </is>
      </c>
      <c r="B20063" t="inlineStr">
        <is>
          <t>Bobbi Brown Skin Concealer Stick SAND 0.1 oz 3g</t>
        </is>
      </c>
      <c r="C20063" t="inlineStr">
        <is>
          <t>Concealer</t>
        </is>
      </c>
      <c r="D20063" t="inlineStr">
        <is>
          <t>Bobbi Brown</t>
        </is>
      </c>
      <c r="E20063" t="n">
        <v>30.98</v>
      </c>
      <c r="F20063" t="n">
        <v>1</v>
      </c>
      <c r="G20063" t="n">
        <v>4</v>
      </c>
      <c r="H20063" s="5">
        <f>HYPERLINK("https://api.qogita.com/variants/link/0716170318608/", "View Product")</f>
        <v/>
      </c>
    </row>
    <row r="20064">
      <c r="A20064" t="inlineStr">
        <is>
          <t>0716170318677</t>
        </is>
      </c>
      <c r="B20064" t="inlineStr">
        <is>
          <t>Bobbi Brown Skin Concealer Stick 3 G Golden</t>
        </is>
      </c>
      <c r="C20064" t="inlineStr">
        <is>
          <t>Concealer</t>
        </is>
      </c>
      <c r="D20064" t="inlineStr">
        <is>
          <t>Bobbi Brown</t>
        </is>
      </c>
      <c r="E20064" t="n">
        <v>27.42</v>
      </c>
      <c r="F20064" t="n">
        <v>1</v>
      </c>
      <c r="G20064" t="n">
        <v>4</v>
      </c>
      <c r="H20064" s="5">
        <f>HYPERLINK("https://api.qogita.com/variants/link/0716170318677/", "View Product")</f>
        <v/>
      </c>
    </row>
    <row r="20065">
      <c r="A20065" t="inlineStr">
        <is>
          <t>0716170319780</t>
        </is>
      </c>
      <c r="B20065" t="inlineStr">
        <is>
          <t>Bobbi Brown Blush</t>
        </is>
      </c>
      <c r="C20065" t="inlineStr">
        <is>
          <t>Blush</t>
        </is>
      </c>
      <c r="D20065" t="inlineStr">
        <is>
          <t>Bobbi Brown</t>
        </is>
      </c>
      <c r="E20065" t="n">
        <v>30.86</v>
      </c>
      <c r="F20065" t="n">
        <v>1</v>
      </c>
      <c r="G20065" t="n">
        <v>5</v>
      </c>
      <c r="H20065" s="5">
        <f>HYPERLINK("https://api.qogita.com/variants/link/0716170319780/", "View Product")</f>
        <v/>
      </c>
    </row>
    <row r="20066">
      <c r="A20066" t="inlineStr">
        <is>
          <t>0716393009659</t>
        </is>
      </c>
      <c r="B20066" t="inlineStr">
        <is>
          <t>Giorgio Beverly Hills Red Eau De Toilette Spray 90ml</t>
        </is>
      </c>
      <c r="C20066" t="inlineStr">
        <is>
          <t>Eau De Toilette</t>
        </is>
      </c>
      <c r="D20066" t="inlineStr">
        <is>
          <t>Giorgio Beverly Hills</t>
        </is>
      </c>
      <c r="E20066" t="n">
        <v>17.77</v>
      </c>
      <c r="F20066" t="n">
        <v>1</v>
      </c>
      <c r="G20066" t="n">
        <v>2</v>
      </c>
      <c r="H20066" s="5">
        <f>HYPERLINK("https://api.qogita.com/variants/link/0716393009659/", "View Product")</f>
        <v/>
      </c>
    </row>
    <row r="20067">
      <c r="A20067" t="inlineStr">
        <is>
          <t>0717334086517</t>
        </is>
      </c>
      <c r="B20067" t="inlineStr">
        <is>
          <t>Rejuvenating Hand Treatment 75ml</t>
        </is>
      </c>
      <c r="C20067" t="inlineStr">
        <is>
          <t>Hand Cream</t>
        </is>
      </c>
      <c r="D20067" t="inlineStr">
        <is>
          <t>Origins</t>
        </is>
      </c>
      <c r="E20067" t="n">
        <v>18.47</v>
      </c>
      <c r="F20067" t="n">
        <v>1</v>
      </c>
      <c r="G20067" t="n">
        <v>2</v>
      </c>
      <c r="H20067" s="5">
        <f>HYPERLINK("https://api.qogita.com/variants/link/0717334086517/", "View Product")</f>
        <v/>
      </c>
    </row>
    <row r="20068">
      <c r="A20068" t="inlineStr">
        <is>
          <t>0717334179493</t>
        </is>
      </c>
      <c r="B20068" t="inlineStr">
        <is>
          <t>Origins Make A Difference Plus+ Rejuvenating Treatment 50ml</t>
        </is>
      </c>
      <c r="C20068" t="inlineStr">
        <is>
          <t>Anti-Aging Facial Care</t>
        </is>
      </c>
      <c r="D20068" t="inlineStr">
        <is>
          <t>Origins</t>
        </is>
      </c>
      <c r="E20068" t="n">
        <v>33.1</v>
      </c>
      <c r="F20068" t="n">
        <v>1</v>
      </c>
      <c r="G20068" t="n">
        <v>4</v>
      </c>
      <c r="H20068" s="5">
        <f>HYPERLINK("https://api.qogita.com/variants/link/0717334179493/", "View Product")</f>
        <v/>
      </c>
    </row>
    <row r="20069">
      <c r="A20069" t="inlineStr">
        <is>
          <t>0717334229655</t>
        </is>
      </c>
      <c r="B20069" t="inlineStr">
        <is>
          <t>Origins Mega-Mushroom Relief and Resilience Advanced Face Serum for Women 100ml</t>
        </is>
      </c>
      <c r="C20069" t="inlineStr">
        <is>
          <t>Hydrating Serum</t>
        </is>
      </c>
      <c r="D20069" t="inlineStr">
        <is>
          <t>Origins</t>
        </is>
      </c>
      <c r="E20069" t="n">
        <v>89.31999999999999</v>
      </c>
      <c r="F20069" t="n">
        <v>1</v>
      </c>
      <c r="G20069" t="n">
        <v>12</v>
      </c>
      <c r="H20069" s="5">
        <f>HYPERLINK("https://api.qogita.com/variants/link/0717334229655/", "View Product")</f>
        <v/>
      </c>
    </row>
    <row r="20070">
      <c r="A20070" t="inlineStr">
        <is>
          <t>0717334240490</t>
        </is>
      </c>
      <c r="B20070" t="inlineStr">
        <is>
          <t>Dr. Andrew Relief Gel Cream for Eyes 15ml</t>
        </is>
      </c>
      <c r="C20070" t="inlineStr">
        <is>
          <t>Eye Gel</t>
        </is>
      </c>
      <c r="D20070" t="inlineStr">
        <is>
          <t>Origins</t>
        </is>
      </c>
      <c r="E20070" t="n">
        <v>38.2</v>
      </c>
      <c r="F20070" t="n">
        <v>1</v>
      </c>
      <c r="G20070" t="n">
        <v>3</v>
      </c>
      <c r="H20070" s="5">
        <f>HYPERLINK("https://api.qogita.com/variants/link/0717334240490/", "View Product")</f>
        <v/>
      </c>
    </row>
    <row r="20071">
      <c r="A20071" t="inlineStr">
        <is>
          <t>0717334242258</t>
        </is>
      </c>
      <c r="B20071" t="inlineStr">
        <is>
          <t>Origins Clear Improvement Active Charcoal Mask Black 75ml</t>
        </is>
      </c>
      <c r="C20071" t="inlineStr">
        <is>
          <t>Charcoal Mask</t>
        </is>
      </c>
      <c r="D20071" t="inlineStr">
        <is>
          <t>Origins</t>
        </is>
      </c>
      <c r="E20071" t="n">
        <v>17.32</v>
      </c>
      <c r="F20071" t="n">
        <v>1</v>
      </c>
      <c r="G20071" t="n">
        <v>17</v>
      </c>
      <c r="H20071" s="5">
        <f>HYPERLINK("https://api.qogita.com/variants/link/0717334242258/", "View Product")</f>
        <v/>
      </c>
    </row>
    <row r="20072">
      <c r="A20072" t="inlineStr">
        <is>
          <t>0717334266315</t>
        </is>
      </c>
      <c r="B20072" t="inlineStr">
        <is>
          <t>Origins Dr. Andrew Weil For Origins Dark Spot Corrector Moisturizer - 50ml</t>
        </is>
      </c>
      <c r="C20072" t="inlineStr">
        <is>
          <t>Anti-Pigmentation Spot Cream</t>
        </is>
      </c>
      <c r="D20072" t="inlineStr">
        <is>
          <t>Origins</t>
        </is>
      </c>
      <c r="E20072" t="n">
        <v>47.57</v>
      </c>
      <c r="F20072" t="n">
        <v>1</v>
      </c>
      <c r="G20072" t="n">
        <v>2</v>
      </c>
      <c r="H20072" s="5">
        <f>HYPERLINK("https://api.qogita.com/variants/link/0717334266315/", "View Product")</f>
        <v/>
      </c>
    </row>
    <row r="20073">
      <c r="A20073" t="inlineStr">
        <is>
          <t>0717334267374</t>
        </is>
      </c>
      <c r="B20073" t="inlineStr">
        <is>
          <t>Origins Ginzing Refreshing Eye Cream to Brighten and Depuff 0.5 oz</t>
        </is>
      </c>
      <c r="C20073" t="inlineStr">
        <is>
          <t>Eye Cream</t>
        </is>
      </c>
      <c r="D20073" t="inlineStr">
        <is>
          <t>Origins</t>
        </is>
      </c>
      <c r="E20073" t="n">
        <v>27.29</v>
      </c>
      <c r="F20073" t="n">
        <v>1</v>
      </c>
      <c r="G20073" t="n">
        <v>4</v>
      </c>
      <c r="H20073" s="5">
        <f>HYPERLINK("https://api.qogita.com/variants/link/0717334267374/", "View Product")</f>
        <v/>
      </c>
    </row>
    <row r="20074">
      <c r="A20074" t="inlineStr">
        <is>
          <t>0719346020558</t>
        </is>
      </c>
      <c r="B20074" t="inlineStr">
        <is>
          <t>Halston Z14 Cologne Spray For Men 4.2 oz</t>
        </is>
      </c>
      <c r="C20074" t="inlineStr">
        <is>
          <t>Eau De Cologne</t>
        </is>
      </c>
      <c r="D20074" t="inlineStr">
        <is>
          <t>Halston</t>
        </is>
      </c>
      <c r="E20074" t="n">
        <v>20.12</v>
      </c>
      <c r="F20074" t="n">
        <v>1</v>
      </c>
      <c r="G20074" t="n">
        <v>4</v>
      </c>
      <c r="H20074" s="5">
        <f>HYPERLINK("https://api.qogita.com/variants/link/0719346020558/", "View Product")</f>
        <v/>
      </c>
    </row>
    <row r="20075">
      <c r="A20075" t="inlineStr">
        <is>
          <t>0719346034401</t>
        </is>
      </c>
      <c r="B20075" t="inlineStr">
        <is>
          <t>Britney Spears Curious Eau De Parfum for Women 30ml</t>
        </is>
      </c>
      <c r="C20075" t="inlineStr">
        <is>
          <t>Eau De Parfum</t>
        </is>
      </c>
      <c r="D20075" t="inlineStr">
        <is>
          <t>Britney Spears</t>
        </is>
      </c>
      <c r="E20075" t="n">
        <v>8.35</v>
      </c>
      <c r="F20075" t="n">
        <v>1</v>
      </c>
      <c r="G20075" t="n">
        <v>5</v>
      </c>
      <c r="H20075" s="5">
        <f>HYPERLINK("https://api.qogita.com/variants/link/0719346034401/", "View Product")</f>
        <v/>
      </c>
    </row>
    <row r="20076">
      <c r="A20076" t="inlineStr">
        <is>
          <t>0719346034418</t>
        </is>
      </c>
      <c r="B20076" t="inlineStr">
        <is>
          <t>Britney Spears Curious Eau De Parfum 50ml</t>
        </is>
      </c>
      <c r="C20076" t="inlineStr">
        <is>
          <t>Eau De Parfum</t>
        </is>
      </c>
      <c r="D20076" t="inlineStr">
        <is>
          <t>Britney Spears</t>
        </is>
      </c>
      <c r="E20076" t="n">
        <v>12.56</v>
      </c>
      <c r="F20076" t="n">
        <v>1</v>
      </c>
      <c r="G20076" t="n">
        <v>5</v>
      </c>
      <c r="H20076" s="5">
        <f>HYPERLINK("https://api.qogita.com/variants/link/0719346034418/", "View Product")</f>
        <v/>
      </c>
    </row>
    <row r="20077">
      <c r="A20077" t="inlineStr">
        <is>
          <t>0719346094665</t>
        </is>
      </c>
      <c r="B20077" t="inlineStr">
        <is>
          <t>Britney Spears Midnight Fantasy Eau De Parfum 100ml</t>
        </is>
      </c>
      <c r="C20077" t="inlineStr">
        <is>
          <t>Eau De Parfum</t>
        </is>
      </c>
      <c r="D20077" t="inlineStr">
        <is>
          <t>Britney Spears</t>
        </is>
      </c>
      <c r="E20077" t="n">
        <v>14.97</v>
      </c>
      <c r="F20077" t="n">
        <v>1</v>
      </c>
      <c r="G20077" t="n">
        <v>150</v>
      </c>
      <c r="H20077" s="5">
        <f>HYPERLINK("https://api.qogita.com/variants/link/0719346094665/", "View Product")</f>
        <v/>
      </c>
    </row>
    <row r="20078">
      <c r="A20078" t="inlineStr">
        <is>
          <t>0719346128063</t>
        </is>
      </c>
      <c r="B20078" t="inlineStr">
        <is>
          <t>Couture Couture Eau de Parfum Vaporizer 50ml</t>
        </is>
      </c>
      <c r="C20078" t="inlineStr">
        <is>
          <t>Eau De Parfum</t>
        </is>
      </c>
      <c r="D20078" t="inlineStr">
        <is>
          <t>Juicy Couture</t>
        </is>
      </c>
      <c r="E20078" t="n">
        <v>17.84</v>
      </c>
      <c r="F20078" t="n">
        <v>1</v>
      </c>
      <c r="G20078" t="n">
        <v>20</v>
      </c>
      <c r="H20078" s="5">
        <f>HYPERLINK("https://api.qogita.com/variants/link/0719346128063/", "View Product")</f>
        <v/>
      </c>
    </row>
    <row r="20079">
      <c r="A20079" t="inlineStr">
        <is>
          <t>0719346134866</t>
        </is>
      </c>
      <c r="B20079" t="inlineStr">
        <is>
          <t>Liz Claiborne Curve Cologne Spray 4.2oz 124.2ml</t>
        </is>
      </c>
      <c r="C20079" t="inlineStr">
        <is>
          <t>Eau De Cologne</t>
        </is>
      </c>
      <c r="D20079" t="inlineStr">
        <is>
          <t>Liz Claiborne</t>
        </is>
      </c>
      <c r="E20079" t="n">
        <v>24.68</v>
      </c>
      <c r="F20079" t="n">
        <v>1</v>
      </c>
      <c r="G20079" t="n">
        <v>20</v>
      </c>
      <c r="H20079" s="5">
        <f>HYPERLINK("https://api.qogita.com/variants/link/0719346134866/", "View Product")</f>
        <v/>
      </c>
    </row>
    <row r="20080">
      <c r="A20080" t="inlineStr">
        <is>
          <t>0719346140201</t>
        </is>
      </c>
      <c r="B20080" t="inlineStr">
        <is>
          <t>Sparkling White Diamonds Elizabeth Taylor Perfume 3.3oz 3.4 EDT</t>
        </is>
      </c>
      <c r="C20080" t="inlineStr">
        <is>
          <t>Eau De Toilette</t>
        </is>
      </c>
      <c r="D20080" t="inlineStr">
        <is>
          <t>Elizabeth Taylor</t>
        </is>
      </c>
      <c r="E20080" t="n">
        <v>16.27</v>
      </c>
      <c r="F20080" t="n">
        <v>1</v>
      </c>
      <c r="G20080" t="n">
        <v>19</v>
      </c>
      <c r="H20080" s="5">
        <f>HYPERLINK("https://api.qogita.com/variants/link/0719346140201/", "View Product")</f>
        <v/>
      </c>
    </row>
    <row r="20081">
      <c r="A20081" t="inlineStr">
        <is>
          <t>0719346167079</t>
        </is>
      </c>
      <c r="B20081" t="inlineStr">
        <is>
          <t>Juicy Couture Viva La Juicy Noir Eau De Parfum Spray 50ml</t>
        </is>
      </c>
      <c r="C20081" t="inlineStr">
        <is>
          <t>Eau De Parfum</t>
        </is>
      </c>
      <c r="D20081" t="inlineStr">
        <is>
          <t>Juicy Couture</t>
        </is>
      </c>
      <c r="E20081" t="n">
        <v>25.92</v>
      </c>
      <c r="F20081" t="n">
        <v>1</v>
      </c>
      <c r="G20081" t="n">
        <v>23</v>
      </c>
      <c r="H20081" s="5">
        <f>HYPERLINK("https://api.qogita.com/variants/link/0719346167079/", "View Product")</f>
        <v/>
      </c>
    </row>
    <row r="20082">
      <c r="A20082" t="inlineStr">
        <is>
          <t>0719346192118</t>
        </is>
      </c>
      <c r="B20082" t="inlineStr">
        <is>
          <t>Juicy Couture I Am Juicy Couture Eau de Parfum Spray 100ml</t>
        </is>
      </c>
      <c r="C20082" t="inlineStr">
        <is>
          <t>Eau De Parfum</t>
        </is>
      </c>
      <c r="D20082" t="inlineStr">
        <is>
          <t>Juicy Couture</t>
        </is>
      </c>
      <c r="E20082" t="n">
        <v>28.75</v>
      </c>
      <c r="F20082" t="n">
        <v>1</v>
      </c>
      <c r="G20082" t="n">
        <v>5</v>
      </c>
      <c r="H20082" s="5">
        <f>HYPERLINK("https://api.qogita.com/variants/link/0719346192118/", "View Product")</f>
        <v/>
      </c>
    </row>
    <row r="20083">
      <c r="A20083" t="inlineStr">
        <is>
          <t>0719346218535</t>
        </is>
      </c>
      <c r="B20083" t="inlineStr">
        <is>
          <t>Christina Aguilera By Night Eau De Parfum 15ml</t>
        </is>
      </c>
      <c r="C20083" t="inlineStr">
        <is>
          <t>Eau De Parfum</t>
        </is>
      </c>
      <c r="D20083" t="inlineStr">
        <is>
          <t>Christina Aguilera</t>
        </is>
      </c>
      <c r="E20083" t="n">
        <v>8.43</v>
      </c>
      <c r="F20083" t="n">
        <v>1</v>
      </c>
      <c r="G20083" t="n">
        <v>2</v>
      </c>
      <c r="H20083" s="5">
        <f>HYPERLINK("https://api.qogita.com/variants/link/0719346218535/", "View Product")</f>
        <v/>
      </c>
    </row>
    <row r="20084">
      <c r="A20084" t="inlineStr">
        <is>
          <t>0719346218542</t>
        </is>
      </c>
      <c r="B20084" t="inlineStr">
        <is>
          <t>Christina Aguilera By Night Eau De Parfum 30ml</t>
        </is>
      </c>
      <c r="C20084" t="inlineStr">
        <is>
          <t>Eau De Parfum</t>
        </is>
      </c>
      <c r="D20084" t="inlineStr">
        <is>
          <t>Christina Aguilera</t>
        </is>
      </c>
      <c r="E20084" t="n">
        <v>9.640000000000001</v>
      </c>
      <c r="F20084" t="n">
        <v>1</v>
      </c>
      <c r="G20084" t="n">
        <v>23</v>
      </c>
      <c r="H20084" s="5">
        <f>HYPERLINK("https://api.qogita.com/variants/link/0719346218542/", "View Product")</f>
        <v/>
      </c>
    </row>
    <row r="20085">
      <c r="A20085" t="inlineStr">
        <is>
          <t>0719346219204</t>
        </is>
      </c>
      <c r="B20085" t="inlineStr">
        <is>
          <t>Christina Aguilera Glam X Eau De Parfum 15ml</t>
        </is>
      </c>
      <c r="C20085" t="inlineStr">
        <is>
          <t>Eau De Parfum</t>
        </is>
      </c>
      <c r="D20085" t="inlineStr">
        <is>
          <t>Christina Aguilera</t>
        </is>
      </c>
      <c r="E20085" t="n">
        <v>4.32</v>
      </c>
      <c r="F20085" t="n">
        <v>1</v>
      </c>
      <c r="G20085" t="n">
        <v>13</v>
      </c>
      <c r="H20085" s="5">
        <f>HYPERLINK("https://api.qogita.com/variants/link/0719346219204/", "View Product")</f>
        <v/>
      </c>
    </row>
    <row r="20086">
      <c r="A20086" t="inlineStr">
        <is>
          <t>0719346232890</t>
        </is>
      </c>
      <c r="B20086" t="inlineStr">
        <is>
          <t>Juicy Couture OUI Juicy Couture Eau de Parfum Spray 100ml</t>
        </is>
      </c>
      <c r="C20086" t="inlineStr">
        <is>
          <t>Eau De Parfum</t>
        </is>
      </c>
      <c r="D20086" t="inlineStr">
        <is>
          <t>Juicy Couture</t>
        </is>
      </c>
      <c r="E20086" t="n">
        <v>41.19</v>
      </c>
      <c r="F20086" t="n">
        <v>1</v>
      </c>
      <c r="G20086" t="n">
        <v>2</v>
      </c>
      <c r="H20086" s="5">
        <f>HYPERLINK("https://api.qogita.com/variants/link/0719346232890/", "View Product")</f>
        <v/>
      </c>
    </row>
    <row r="20087">
      <c r="A20087" t="inlineStr">
        <is>
          <t>0719346233422</t>
        </is>
      </c>
      <c r="B20087" t="inlineStr">
        <is>
          <t>Britney Spears Prerogative Eau de Parfum Women's Fragrance 30ml</t>
        </is>
      </c>
      <c r="C20087" t="inlineStr">
        <is>
          <t>Eau De Parfum</t>
        </is>
      </c>
      <c r="D20087" t="inlineStr">
        <is>
          <t>Britney Spears</t>
        </is>
      </c>
      <c r="E20087" t="n">
        <v>9.460000000000001</v>
      </c>
      <c r="F20087" t="n">
        <v>1</v>
      </c>
      <c r="G20087" t="n">
        <v>24</v>
      </c>
      <c r="H20087" s="5">
        <f>HYPERLINK("https://api.qogita.com/variants/link/0719346233422/", "View Product")</f>
        <v/>
      </c>
    </row>
    <row r="20088">
      <c r="A20088" t="inlineStr">
        <is>
          <t>0719346235280</t>
        </is>
      </c>
      <c r="B20088" t="inlineStr">
        <is>
          <t>Christina Aguilera Violet Noir Eau De Parfum Spray 50ml</t>
        </is>
      </c>
      <c r="C20088" t="inlineStr">
        <is>
          <t>Eau De Parfum</t>
        </is>
      </c>
      <c r="D20088" t="inlineStr">
        <is>
          <t>Christina Aguilera</t>
        </is>
      </c>
      <c r="E20088" t="n">
        <v>11.38</v>
      </c>
      <c r="F20088" t="n">
        <v>1</v>
      </c>
      <c r="G20088" t="n">
        <v>16</v>
      </c>
      <c r="H20088" s="5">
        <f>HYPERLINK("https://api.qogita.com/variants/link/0719346235280/", "View Product")</f>
        <v/>
      </c>
    </row>
    <row r="20089">
      <c r="A20089" t="inlineStr">
        <is>
          <t>0719346250436</t>
        </is>
      </c>
      <c r="B20089" t="inlineStr">
        <is>
          <t>Britney Spears Festive Fantasy EDT Spray 3.4 oz</t>
        </is>
      </c>
      <c r="C20089" t="inlineStr">
        <is>
          <t>Eau De Toilette</t>
        </is>
      </c>
      <c r="D20089" t="inlineStr">
        <is>
          <t>Britney Spears</t>
        </is>
      </c>
      <c r="E20089" t="n">
        <v>13.78</v>
      </c>
      <c r="F20089" t="n">
        <v>1</v>
      </c>
      <c r="G20089" t="n">
        <v>26</v>
      </c>
      <c r="H20089" s="5">
        <f>HYPERLINK("https://api.qogita.com/variants/link/0719346250436/", "View Product")</f>
        <v/>
      </c>
    </row>
    <row r="20090">
      <c r="A20090" t="inlineStr">
        <is>
          <t>0719346253260</t>
        </is>
      </c>
      <c r="B20090" t="inlineStr">
        <is>
          <t>John Varvatos XX Teal 125ml</t>
        </is>
      </c>
      <c r="C20090" t="inlineStr">
        <is>
          <t>Eau De Toilette</t>
        </is>
      </c>
      <c r="D20090" t="inlineStr">
        <is>
          <t>John Varvatos</t>
        </is>
      </c>
      <c r="E20090" t="n">
        <v>33.23</v>
      </c>
      <c r="F20090" t="n">
        <v>1</v>
      </c>
      <c r="G20090" t="n">
        <v>40</v>
      </c>
      <c r="H20090" s="5">
        <f>HYPERLINK("https://api.qogita.com/variants/link/0719346253260/", "View Product")</f>
        <v/>
      </c>
    </row>
    <row r="20091">
      <c r="A20091" t="inlineStr">
        <is>
          <t>0719346258111</t>
        </is>
      </c>
      <c r="B20091" t="inlineStr">
        <is>
          <t>Britney Spears Fragrance Blissful Fantasy for Women 3.3 Oz EDT Spray</t>
        </is>
      </c>
      <c r="C20091" t="inlineStr">
        <is>
          <t>Eau De Toilette</t>
        </is>
      </c>
      <c r="D20091" t="inlineStr">
        <is>
          <t>Britney Spears</t>
        </is>
      </c>
      <c r="E20091" t="n">
        <v>14.97</v>
      </c>
      <c r="F20091" t="n">
        <v>1</v>
      </c>
      <c r="G20091" t="n">
        <v>2</v>
      </c>
      <c r="H20091" s="5">
        <f>HYPERLINK("https://api.qogita.com/variants/link/0719346258111/", "View Product")</f>
        <v/>
      </c>
    </row>
    <row r="20092">
      <c r="A20092" t="inlineStr">
        <is>
          <t>0719346260053</t>
        </is>
      </c>
      <c r="B20092" t="inlineStr">
        <is>
          <t>Juicy Couture Viva La Juicy Petals Please Eau de Parfum Spray for Women 100ml</t>
        </is>
      </c>
      <c r="C20092" t="inlineStr">
        <is>
          <t>Eau De Parfum</t>
        </is>
      </c>
      <c r="D20092" t="inlineStr">
        <is>
          <t>Juicy Couture</t>
        </is>
      </c>
      <c r="E20092" t="n">
        <v>31.84</v>
      </c>
      <c r="F20092" t="n">
        <v>1</v>
      </c>
      <c r="G20092" t="n">
        <v>17</v>
      </c>
      <c r="H20092" s="5">
        <f>HYPERLINK("https://api.qogita.com/variants/link/0719346260053/", "View Product")</f>
        <v/>
      </c>
    </row>
    <row r="20093">
      <c r="A20093" t="inlineStr">
        <is>
          <t>0719346261531</t>
        </is>
      </c>
      <c r="B20093" t="inlineStr">
        <is>
          <t>Majestic Woods by Juicy Couture for Women 3.4oz EDP Spray New in Box</t>
        </is>
      </c>
      <c r="C20093" t="inlineStr">
        <is>
          <t>Eau De Parfum</t>
        </is>
      </c>
      <c r="D20093" t="inlineStr">
        <is>
          <t>Juicy Couture</t>
        </is>
      </c>
      <c r="E20093" t="n">
        <v>30.13</v>
      </c>
      <c r="F20093" t="n">
        <v>1</v>
      </c>
      <c r="G20093" t="n">
        <v>3</v>
      </c>
      <c r="H20093" s="5">
        <f>HYPERLINK("https://api.qogita.com/variants/link/0719346261531/", "View Product")</f>
        <v/>
      </c>
    </row>
    <row r="20094">
      <c r="A20094" t="inlineStr">
        <is>
          <t>0719346265973</t>
        </is>
      </c>
      <c r="B20094" t="inlineStr">
        <is>
          <t>Christina Aguilera Red Sin 75ml Eau de Parfum for Women - Brand New in Original Packaging</t>
        </is>
      </c>
      <c r="C20094" t="inlineStr">
        <is>
          <t>Eau De Parfum</t>
        </is>
      </c>
      <c r="D20094" t="inlineStr">
        <is>
          <t>Christina Aguilera</t>
        </is>
      </c>
      <c r="E20094" t="n">
        <v>18.08</v>
      </c>
      <c r="F20094" t="n">
        <v>1</v>
      </c>
      <c r="G20094" t="n">
        <v>14</v>
      </c>
      <c r="H20094" s="5">
        <f>HYPERLINK("https://api.qogita.com/variants/link/0719346265973/", "View Product")</f>
        <v/>
      </c>
    </row>
    <row r="20095">
      <c r="A20095" t="inlineStr">
        <is>
          <t>0719346296724</t>
        </is>
      </c>
      <c r="B20095" t="inlineStr">
        <is>
          <t>Britney Spears Fantasy 100ml Eau De Parfum Floral</t>
        </is>
      </c>
      <c r="C20095" t="inlineStr">
        <is>
          <t>Eau De Parfum</t>
        </is>
      </c>
      <c r="D20095" t="inlineStr">
        <is>
          <t>Britney Spears</t>
        </is>
      </c>
      <c r="E20095" t="n">
        <v>23.64</v>
      </c>
      <c r="F20095" t="n">
        <v>1</v>
      </c>
      <c r="G20095" t="n">
        <v>41</v>
      </c>
      <c r="H20095" s="5">
        <f>HYPERLINK("https://api.qogita.com/variants/link/0719346296724/", "View Product")</f>
        <v/>
      </c>
    </row>
    <row r="20096">
      <c r="A20096" t="inlineStr">
        <is>
          <t>0719346450508</t>
        </is>
      </c>
      <c r="B20096" t="inlineStr">
        <is>
          <t>Elizabeth Taylor Diamond and Emerald EDT Spray 3.3oz</t>
        </is>
      </c>
      <c r="C20096" t="inlineStr">
        <is>
          <t>Eau De Toilette</t>
        </is>
      </c>
      <c r="D20096" t="inlineStr">
        <is>
          <t>Elizabeth Taylor</t>
        </is>
      </c>
      <c r="E20096" t="n">
        <v>12.82</v>
      </c>
      <c r="F20096" t="n">
        <v>1</v>
      </c>
      <c r="G20096" t="n">
        <v>5</v>
      </c>
      <c r="H20096" s="5">
        <f>HYPERLINK("https://api.qogita.com/variants/link/0719346450508/", "View Product")</f>
        <v/>
      </c>
    </row>
    <row r="20097">
      <c r="A20097" t="inlineStr">
        <is>
          <t>0719346565868</t>
        </is>
      </c>
      <c r="B20097" t="inlineStr">
        <is>
          <t>Britney Spears Fantasy Intense Eau de Parfum 100ml</t>
        </is>
      </c>
      <c r="C20097" t="inlineStr">
        <is>
          <t>Eau De Parfum</t>
        </is>
      </c>
      <c r="D20097" t="inlineStr">
        <is>
          <t>Britney Spears</t>
        </is>
      </c>
      <c r="E20097" t="n">
        <v>14.65</v>
      </c>
      <c r="F20097" t="n">
        <v>1</v>
      </c>
      <c r="G20097" t="n">
        <v>18</v>
      </c>
      <c r="H20097" s="5">
        <f>HYPERLINK("https://api.qogita.com/variants/link/0719346565868/", "View Product")</f>
        <v/>
      </c>
    </row>
    <row r="20098">
      <c r="A20098" t="inlineStr">
        <is>
          <t>0719346636933</t>
        </is>
      </c>
      <c r="B20098" t="inlineStr">
        <is>
          <t>Britney Spears Perfume for Women 236ml Floral</t>
        </is>
      </c>
      <c r="C20098" t="inlineStr">
        <is>
          <t>Eau De Parfum</t>
        </is>
      </c>
      <c r="D20098" t="inlineStr">
        <is>
          <t>Britney Spears</t>
        </is>
      </c>
      <c r="E20098" t="n">
        <v>6.08</v>
      </c>
      <c r="F20098" t="n">
        <v>1</v>
      </c>
      <c r="G20098" t="n">
        <v>19</v>
      </c>
      <c r="H20098" s="5">
        <f>HYPERLINK("https://api.qogita.com/variants/link/0719346636933/", "View Product")</f>
        <v/>
      </c>
    </row>
    <row r="20099">
      <c r="A20099" t="inlineStr">
        <is>
          <t>0724120129259</t>
        </is>
      </c>
      <c r="B20099" t="inlineStr">
        <is>
          <t>Thameen Green Pearl Extrait De Parfum - 50ml</t>
        </is>
      </c>
      <c r="C20099" t="inlineStr">
        <is>
          <t>Extrait De Parfum</t>
        </is>
      </c>
      <c r="D20099" t="inlineStr">
        <is>
          <t>Thameen</t>
        </is>
      </c>
      <c r="E20099" t="n">
        <v>91.22</v>
      </c>
      <c r="F20099" t="n">
        <v>1</v>
      </c>
      <c r="G20099" t="n">
        <v>5</v>
      </c>
      <c r="H20099" s="5">
        <f>HYPERLINK("https://api.qogita.com/variants/link/0724120129259/", "View Product")</f>
        <v/>
      </c>
    </row>
    <row r="20100">
      <c r="A20100" t="inlineStr">
        <is>
          <t>0724120146911</t>
        </is>
      </c>
      <c r="B20100" t="inlineStr">
        <is>
          <t>Thameen Diadem Extrait De Parfum Spray 50ml</t>
        </is>
      </c>
      <c r="C20100" t="inlineStr">
        <is>
          <t>Extrait De Parfum</t>
        </is>
      </c>
      <c r="D20100" t="inlineStr">
        <is>
          <t>Thameen</t>
        </is>
      </c>
      <c r="E20100" t="n">
        <v>100.43</v>
      </c>
      <c r="F20100" t="n">
        <v>1</v>
      </c>
      <c r="G20100" t="n">
        <v>2</v>
      </c>
      <c r="H20100" s="5">
        <f>HYPERLINK("https://api.qogita.com/variants/link/0724120146911/", "View Product")</f>
        <v/>
      </c>
    </row>
    <row r="20101">
      <c r="A20101" t="inlineStr">
        <is>
          <t>0731509000030</t>
        </is>
      </c>
      <c r="B20101" t="inlineStr">
        <is>
          <t>KISS French Acrylic Modeling Set with Liquid Acrylic, Acrylic Powder, Shaping Brush, Nail File, Quick-Drying Nail Glue and 40 Nail Tips</t>
        </is>
      </c>
      <c r="C20101" t="inlineStr">
        <is>
          <t>Artificial Nails &amp; Nail Decoration</t>
        </is>
      </c>
      <c r="D20101" t="inlineStr">
        <is>
          <t>Kiss</t>
        </is>
      </c>
      <c r="E20101" t="n">
        <v>12.86</v>
      </c>
      <c r="F20101" t="n">
        <v>1</v>
      </c>
      <c r="G20101" t="n">
        <v>11</v>
      </c>
      <c r="H20101" s="5">
        <f>HYPERLINK("https://api.qogita.com/variants/link/0731509000030/", "View Product")</f>
        <v/>
      </c>
    </row>
    <row r="20102">
      <c r="A20102" t="inlineStr">
        <is>
          <t>0731509213577</t>
        </is>
      </c>
      <c r="B20102" t="inlineStr">
        <is>
          <t>Kiss Eyelash Glue Super Stick Individual Lash Cluster Adhesive 6.5 G Black</t>
        </is>
      </c>
      <c r="C20102" t="inlineStr">
        <is>
          <t>False Eyelashes</t>
        </is>
      </c>
      <c r="D20102" t="inlineStr">
        <is>
          <t>Kiss</t>
        </is>
      </c>
      <c r="E20102" t="n">
        <v>7.42</v>
      </c>
      <c r="F20102" t="n">
        <v>1</v>
      </c>
      <c r="G20102" t="n">
        <v>35</v>
      </c>
      <c r="H20102" s="5">
        <f>HYPERLINK("https://api.qogita.com/variants/link/0731509213577/", "View Product")</f>
        <v/>
      </c>
    </row>
    <row r="20103">
      <c r="A20103" t="inlineStr">
        <is>
          <t>0731509502619</t>
        </is>
      </c>
      <c r="B20103" t="inlineStr">
        <is>
          <t>Kiss Quick Cover Brushin Color Touch Up Natural Dark Brown</t>
        </is>
      </c>
      <c r="C20103" t="inlineStr">
        <is>
          <t>Hair Dye</t>
        </is>
      </c>
      <c r="D20103" t="inlineStr">
        <is>
          <t>Kiss</t>
        </is>
      </c>
      <c r="E20103" t="n">
        <v>7.68</v>
      </c>
      <c r="F20103" t="n">
        <v>1</v>
      </c>
      <c r="G20103" t="n">
        <v>80</v>
      </c>
      <c r="H20103" s="5">
        <f>HYPERLINK("https://api.qogita.com/variants/link/0731509502619/", "View Product")</f>
        <v/>
      </c>
    </row>
    <row r="20104">
      <c r="A20104" t="inlineStr">
        <is>
          <t>0731509642674</t>
        </is>
      </c>
      <c r="B20104" t="inlineStr">
        <is>
          <t>Kiss Salon Acrylic Nude French Nails Beige 28 Pieces</t>
        </is>
      </c>
      <c r="C20104" t="inlineStr">
        <is>
          <t>Artificial Nails &amp; Nail Decoration</t>
        </is>
      </c>
      <c r="D20104" t="inlineStr">
        <is>
          <t>Kiss</t>
        </is>
      </c>
      <c r="E20104" t="n">
        <v>8.75</v>
      </c>
      <c r="F20104" t="n">
        <v>1</v>
      </c>
      <c r="G20104" t="n">
        <v>41</v>
      </c>
      <c r="H20104" s="5">
        <f>HYPERLINK("https://api.qogita.com/variants/link/0731509642674/", "View Product")</f>
        <v/>
      </c>
    </row>
    <row r="20105">
      <c r="A20105" t="inlineStr">
        <is>
          <t>0731509692600</t>
        </is>
      </c>
      <c r="B20105" t="inlineStr">
        <is>
          <t>KISS Lash Couture Faux Mink False Eyelashes Knot-Free Lash Band Style Midnight Black</t>
        </is>
      </c>
      <c r="C20105" t="inlineStr">
        <is>
          <t>False Eyelashes</t>
        </is>
      </c>
      <c r="D20105" t="inlineStr">
        <is>
          <t>Kiss</t>
        </is>
      </c>
      <c r="E20105" t="n">
        <v>7.38</v>
      </c>
      <c r="F20105" t="n">
        <v>1</v>
      </c>
      <c r="G20105" t="n">
        <v>2</v>
      </c>
      <c r="H20105" s="5">
        <f>HYPERLINK("https://api.qogita.com/variants/link/0731509692600/", "View Product")</f>
        <v/>
      </c>
    </row>
    <row r="20106">
      <c r="A20106" t="inlineStr">
        <is>
          <t>0731509766219</t>
        </is>
      </c>
      <c r="B20106" t="inlineStr">
        <is>
          <t>KISS Masterpiece One-Of-A-Kind Luxe Mani KMN02 Everytime I Slay</t>
        </is>
      </c>
      <c r="C20106" t="inlineStr">
        <is>
          <t>Nail Polish</t>
        </is>
      </c>
      <c r="D20106" t="inlineStr">
        <is>
          <t>Kiss</t>
        </is>
      </c>
      <c r="E20106" t="n">
        <v>12.51</v>
      </c>
      <c r="F20106" t="n">
        <v>1</v>
      </c>
      <c r="G20106" t="n">
        <v>8</v>
      </c>
      <c r="H20106" s="5">
        <f>HYPERLINK("https://api.qogita.com/variants/link/0731509766219/", "View Product")</f>
        <v/>
      </c>
    </row>
    <row r="20107">
      <c r="A20107" t="inlineStr">
        <is>
          <t>0731509798388</t>
        </is>
      </c>
      <c r="B20107" t="inlineStr">
        <is>
          <t>KISS Falscara DIY Lash Extension Starter Kit with 10 Reusable Featherlight Eyelash Lengthening Wisps, Applicator, Bond and Seal</t>
        </is>
      </c>
      <c r="C20107" t="inlineStr">
        <is>
          <t>False Eyelashes</t>
        </is>
      </c>
      <c r="D20107" t="inlineStr">
        <is>
          <t>Kiss</t>
        </is>
      </c>
      <c r="E20107" t="n">
        <v>19.26</v>
      </c>
      <c r="F20107" t="n">
        <v>1</v>
      </c>
      <c r="G20107" t="n">
        <v>91</v>
      </c>
      <c r="H20107" s="5">
        <f>HYPERLINK("https://api.qogita.com/variants/link/0731509798388/", "View Product")</f>
        <v/>
      </c>
    </row>
    <row r="20108">
      <c r="A20108" t="inlineStr">
        <is>
          <t>0731509800173</t>
        </is>
      </c>
      <c r="B20108" t="inlineStr">
        <is>
          <t>KISS Glue Off False Nail Remover</t>
        </is>
      </c>
      <c r="C20108" t="inlineStr">
        <is>
          <t>Nail Care Sets</t>
        </is>
      </c>
      <c r="D20108" t="inlineStr">
        <is>
          <t>Kiss</t>
        </is>
      </c>
      <c r="E20108" t="n">
        <v>7.68</v>
      </c>
      <c r="F20108" t="n">
        <v>1</v>
      </c>
      <c r="G20108" t="n">
        <v>27</v>
      </c>
      <c r="H20108" s="5">
        <f>HYPERLINK("https://api.qogita.com/variants/link/0731509800173/", "View Product")</f>
        <v/>
      </c>
    </row>
    <row r="20109">
      <c r="A20109" t="inlineStr">
        <is>
          <t>0731509803648</t>
        </is>
      </c>
      <c r="B20109" t="inlineStr">
        <is>
          <t>Kiss Magnetic Eyeliner &amp; Lash Kit Synthetic False Eyelashes with 5 Double Strong Magnets and Smudge-Proof</t>
        </is>
      </c>
      <c r="C20109" t="inlineStr">
        <is>
          <t>False Eyelashes</t>
        </is>
      </c>
      <c r="D20109" t="inlineStr">
        <is>
          <t>Kiss</t>
        </is>
      </c>
      <c r="E20109" t="n">
        <v>12.83</v>
      </c>
      <c r="F20109" t="n">
        <v>1</v>
      </c>
      <c r="G20109" t="n">
        <v>8</v>
      </c>
      <c r="H20109" s="5">
        <f>HYPERLINK("https://api.qogita.com/variants/link/0731509803648/", "View Product")</f>
        <v/>
      </c>
    </row>
    <row r="20110">
      <c r="A20110" t="inlineStr">
        <is>
          <t>0731509804645</t>
        </is>
      </c>
      <c r="B20110" t="inlineStr">
        <is>
          <t>KISS KS Magnetic Eyeliner</t>
        </is>
      </c>
      <c r="C20110" t="inlineStr">
        <is>
          <t>Eyeliner</t>
        </is>
      </c>
      <c r="D20110" t="inlineStr">
        <is>
          <t>Kiss</t>
        </is>
      </c>
      <c r="E20110" t="n">
        <v>7.95</v>
      </c>
      <c r="F20110" t="n">
        <v>1</v>
      </c>
      <c r="G20110" t="n">
        <v>5</v>
      </c>
      <c r="H20110" s="5">
        <f>HYPERLINK("https://api.qogita.com/variants/link/0731509804645/", "View Product")</f>
        <v/>
      </c>
    </row>
    <row r="20111">
      <c r="A20111" t="inlineStr">
        <is>
          <t>0731509827439</t>
        </is>
      </c>
      <c r="B20111" t="inlineStr">
        <is>
          <t>Kiss Black Glue Liner 7ml</t>
        </is>
      </c>
      <c r="C20111" t="inlineStr">
        <is>
          <t>Eyeliner</t>
        </is>
      </c>
      <c r="D20111" t="inlineStr">
        <is>
          <t>Kiss</t>
        </is>
      </c>
      <c r="E20111" t="n">
        <v>10.84</v>
      </c>
      <c r="F20111" t="n">
        <v>1</v>
      </c>
      <c r="G20111" t="n">
        <v>15</v>
      </c>
      <c r="H20111" s="5">
        <f>HYPERLINK("https://api.qogita.com/variants/link/0731509827439/", "View Product")</f>
        <v/>
      </c>
    </row>
    <row r="20112">
      <c r="A20112" t="inlineStr">
        <is>
          <t>0731509836028</t>
        </is>
      </c>
      <c r="B20112" t="inlineStr">
        <is>
          <t>KISS Classy French Nail Manicure Kit with Gel Finish Medium Coffin Shape Cosy Meets Cute 28 Fake Nails</t>
        </is>
      </c>
      <c r="C20112" t="inlineStr">
        <is>
          <t>Artificial Nails &amp; Nail Decoration</t>
        </is>
      </c>
      <c r="D20112" t="inlineStr">
        <is>
          <t>Kiss</t>
        </is>
      </c>
      <c r="E20112" t="n">
        <v>9.18</v>
      </c>
      <c r="F20112" t="n">
        <v>1</v>
      </c>
      <c r="G20112" t="n">
        <v>8</v>
      </c>
      <c r="H20112" s="5">
        <f>HYPERLINK("https://api.qogita.com/variants/link/0731509836028/", "View Product")</f>
        <v/>
      </c>
    </row>
    <row r="20113">
      <c r="A20113" t="inlineStr">
        <is>
          <t>0731509836561</t>
        </is>
      </c>
      <c r="B20113" t="inlineStr">
        <is>
          <t>KISS imPRESS Press On Manicure Wannabe Star Short Square with PureFit Technology - 30 Fake Nails</t>
        </is>
      </c>
      <c r="C20113" t="inlineStr">
        <is>
          <t>Artificial Nails &amp; Nail Decoration</t>
        </is>
      </c>
      <c r="D20113" t="inlineStr">
        <is>
          <t>Kiss</t>
        </is>
      </c>
      <c r="E20113" t="n">
        <v>8.460000000000001</v>
      </c>
      <c r="F20113" t="n">
        <v>1</v>
      </c>
      <c r="G20113" t="n">
        <v>9</v>
      </c>
      <c r="H20113" s="5">
        <f>HYPERLINK("https://api.qogita.com/variants/link/0731509836561/", "View Product")</f>
        <v/>
      </c>
    </row>
    <row r="20114">
      <c r="A20114" t="inlineStr">
        <is>
          <t>0731509836745</t>
        </is>
      </c>
      <c r="B20114" t="inlineStr">
        <is>
          <t>KISS Falscara Overnighter</t>
        </is>
      </c>
      <c r="C20114" t="inlineStr">
        <is>
          <t>False Eyelashes</t>
        </is>
      </c>
      <c r="D20114" t="inlineStr">
        <is>
          <t>Kiss</t>
        </is>
      </c>
      <c r="E20114" t="n">
        <v>10.66</v>
      </c>
      <c r="F20114" t="n">
        <v>1</v>
      </c>
      <c r="G20114" t="n">
        <v>48</v>
      </c>
      <c r="H20114" s="5">
        <f>HYPERLINK("https://api.qogita.com/variants/link/0731509836745/", "View Product")</f>
        <v/>
      </c>
    </row>
    <row r="20115">
      <c r="A20115" t="inlineStr">
        <is>
          <t>0731509837414</t>
        </is>
      </c>
      <c r="B20115" t="inlineStr">
        <is>
          <t>KISS imPRESS Color Gel Nail Kit Pick Me Pink with PureFit Technology - Includes Prep Pad Mini File Cuticle Stick and 30 Fake Nails</t>
        </is>
      </c>
      <c r="C20115" t="inlineStr">
        <is>
          <t>Artificial Nails &amp; Nail Decoration</t>
        </is>
      </c>
      <c r="D20115" t="inlineStr">
        <is>
          <t>Kiss</t>
        </is>
      </c>
      <c r="E20115" t="n">
        <v>8.460000000000001</v>
      </c>
      <c r="F20115" t="n">
        <v>1</v>
      </c>
      <c r="G20115" t="n">
        <v>21</v>
      </c>
      <c r="H20115" s="5">
        <f>HYPERLINK("https://api.qogita.com/variants/link/0731509837414/", "View Product")</f>
        <v/>
      </c>
    </row>
    <row r="20116">
      <c r="A20116" t="inlineStr">
        <is>
          <t>0731509837940</t>
        </is>
      </c>
      <c r="B20116" t="inlineStr">
        <is>
          <t>KISS imPRESS Press-On Manicure Memories Medium Length Square with PureFit Technology - 30 Fake Nails</t>
        </is>
      </c>
      <c r="C20116" t="inlineStr">
        <is>
          <t>Artificial Nails &amp; Nail Decoration</t>
        </is>
      </c>
      <c r="D20116" t="inlineStr">
        <is>
          <t>Kiss</t>
        </is>
      </c>
      <c r="E20116" t="n">
        <v>8.460000000000001</v>
      </c>
      <c r="F20116" t="n">
        <v>1</v>
      </c>
      <c r="G20116" t="n">
        <v>11</v>
      </c>
      <c r="H20116" s="5">
        <f>HYPERLINK("https://api.qogita.com/variants/link/0731509837940/", "View Product")</f>
        <v/>
      </c>
    </row>
    <row r="20117">
      <c r="A20117" t="inlineStr">
        <is>
          <t>0731509837971</t>
        </is>
      </c>
      <c r="B20117" t="inlineStr">
        <is>
          <t>KISS imPRESS Medium Destiny Press-On Nails</t>
        </is>
      </c>
      <c r="C20117" t="inlineStr">
        <is>
          <t>Artificial Nails &amp; Nail Decoration</t>
        </is>
      </c>
      <c r="D20117" t="inlineStr">
        <is>
          <t>Kiss</t>
        </is>
      </c>
      <c r="E20117" t="n">
        <v>8.279999999999999</v>
      </c>
      <c r="F20117" t="n">
        <v>1</v>
      </c>
      <c r="G20117" t="n">
        <v>6</v>
      </c>
      <c r="H20117" s="5">
        <f>HYPERLINK("https://api.qogita.com/variants/link/0731509837971/", "View Product")</f>
        <v/>
      </c>
    </row>
    <row r="20118">
      <c r="A20118" t="inlineStr">
        <is>
          <t>0731509840728</t>
        </is>
      </c>
      <c r="B20118" t="inlineStr">
        <is>
          <t>Nail file with a grain size of 180/600</t>
        </is>
      </c>
      <c r="C20118" t="inlineStr">
        <is>
          <t>Nail Clippers &amp; Tools</t>
        </is>
      </c>
      <c r="D20118" t="inlineStr">
        <is>
          <t>Kiss</t>
        </is>
      </c>
      <c r="E20118" t="n">
        <v>3.78</v>
      </c>
      <c r="F20118" t="n">
        <v>1</v>
      </c>
      <c r="G20118" t="n">
        <v>11</v>
      </c>
      <c r="H20118" s="5">
        <f>HYPERLINK("https://api.qogita.com/variants/link/0731509840728/", "View Product")</f>
        <v/>
      </c>
    </row>
    <row r="20119">
      <c r="A20119" t="inlineStr">
        <is>
          <t>0731509842852</t>
        </is>
      </c>
      <c r="B20119" t="inlineStr">
        <is>
          <t>KISS Falscara Wisps Multipack 03</t>
        </is>
      </c>
      <c r="C20119" t="inlineStr">
        <is>
          <t>False Eyelashes</t>
        </is>
      </c>
      <c r="D20119" t="inlineStr">
        <is>
          <t>Kiss</t>
        </is>
      </c>
      <c r="E20119" t="n">
        <v>9.83</v>
      </c>
      <c r="F20119" t="n">
        <v>1</v>
      </c>
      <c r="G20119" t="n">
        <v>15</v>
      </c>
      <c r="H20119" s="5">
        <f>HYPERLINK("https://api.qogita.com/variants/link/0731509842852/", "View Product")</f>
        <v/>
      </c>
    </row>
    <row r="20120">
      <c r="A20120" t="inlineStr">
        <is>
          <t>0731509865707</t>
        </is>
      </c>
      <c r="B20120" t="inlineStr">
        <is>
          <t>Kiss Bare But Better Short Nude Nails 28 Pieces</t>
        </is>
      </c>
      <c r="C20120" t="inlineStr">
        <is>
          <t>Artificial Nails &amp; Nail Decoration</t>
        </is>
      </c>
      <c r="D20120" t="inlineStr">
        <is>
          <t>Kiss</t>
        </is>
      </c>
      <c r="E20120" t="n">
        <v>9.289999999999999</v>
      </c>
      <c r="F20120" t="n">
        <v>1</v>
      </c>
      <c r="G20120" t="n">
        <v>7</v>
      </c>
      <c r="H20120" s="5">
        <f>HYPERLINK("https://api.qogita.com/variants/link/0731509865707/", "View Product")</f>
        <v/>
      </c>
    </row>
    <row r="20121">
      <c r="A20121" t="inlineStr">
        <is>
          <t>0731509865899</t>
        </is>
      </c>
      <c r="B20121" t="inlineStr">
        <is>
          <t>Gel Fantasy Nails Cosmopolitan 28 pieces</t>
        </is>
      </c>
      <c r="C20121" t="inlineStr">
        <is>
          <t>Artificial Nails &amp; Nail Decoration</t>
        </is>
      </c>
      <c r="D20121" t="inlineStr">
        <is>
          <t>Kiss</t>
        </is>
      </c>
      <c r="E20121" t="n">
        <v>9.18</v>
      </c>
      <c r="F20121" t="n">
        <v>1</v>
      </c>
      <c r="G20121" t="n">
        <v>2</v>
      </c>
      <c r="H20121" s="5">
        <f>HYPERLINK("https://api.qogita.com/variants/link/0731509865899/", "View Product")</f>
        <v/>
      </c>
    </row>
    <row r="20122">
      <c r="A20122" t="inlineStr">
        <is>
          <t>0731509867435</t>
        </is>
      </c>
      <c r="B20122" t="inlineStr">
        <is>
          <t>imPRESS Color MC Reddy or Not Self-Adhesive Nails 30 pieces</t>
        </is>
      </c>
      <c r="C20122" t="inlineStr">
        <is>
          <t>Artificial Nails &amp; Nail Decoration</t>
        </is>
      </c>
      <c r="D20122" t="inlineStr">
        <is>
          <t>Kiss</t>
        </is>
      </c>
      <c r="E20122" t="n">
        <v>8.460000000000001</v>
      </c>
      <c r="F20122" t="n">
        <v>1</v>
      </c>
      <c r="G20122" t="n">
        <v>3</v>
      </c>
      <c r="H20122" s="5">
        <f>HYPERLINK("https://api.qogita.com/variants/link/0731509867435/", "View Product")</f>
        <v/>
      </c>
    </row>
    <row r="20123">
      <c r="A20123" t="inlineStr">
        <is>
          <t>0731509867442</t>
        </is>
      </c>
      <c r="B20123" t="inlineStr">
        <is>
          <t>Kiss ImPress Press-On Manicure Color Nails Pure Fit - Multiple Colors Available</t>
        </is>
      </c>
      <c r="C20123" t="inlineStr">
        <is>
          <t>Artificial Nails &amp; Nail Decoration</t>
        </is>
      </c>
      <c r="D20123" t="inlineStr">
        <is>
          <t>Kiss</t>
        </is>
      </c>
      <c r="E20123" t="n">
        <v>8.460000000000001</v>
      </c>
      <c r="F20123" t="n">
        <v>1</v>
      </c>
      <c r="G20123" t="n">
        <v>6</v>
      </c>
      <c r="H20123" s="5">
        <f>HYPERLINK("https://api.qogita.com/variants/link/0731509867442/", "View Product")</f>
        <v/>
      </c>
    </row>
    <row r="20124">
      <c r="A20124" t="inlineStr">
        <is>
          <t>0731509881639</t>
        </is>
      </c>
      <c r="B20124" t="inlineStr">
        <is>
          <t>KISS Sister Nature Natural Hair Lash False Eyelashes Eco-friendly 88182 Storm</t>
        </is>
      </c>
      <c r="C20124" t="inlineStr">
        <is>
          <t>False Eyelashes</t>
        </is>
      </c>
      <c r="D20124" t="inlineStr">
        <is>
          <t>Kiss</t>
        </is>
      </c>
      <c r="E20124" t="n">
        <v>8.550000000000001</v>
      </c>
      <c r="F20124" t="n">
        <v>1</v>
      </c>
      <c r="G20124" t="n">
        <v>28</v>
      </c>
      <c r="H20124" s="5">
        <f>HYPERLINK("https://api.qogita.com/variants/link/0731509881639/", "View Product")</f>
        <v/>
      </c>
    </row>
    <row r="20125">
      <c r="A20125" t="inlineStr">
        <is>
          <t>0731509887631</t>
        </is>
      </c>
      <c r="B20125" t="inlineStr">
        <is>
          <t>KISS Impress Press On Nails One Step Manicure New Premium Sweet Life Short</t>
        </is>
      </c>
      <c r="C20125" t="inlineStr">
        <is>
          <t>Artificial Nails &amp; Nail Decoration</t>
        </is>
      </c>
      <c r="D20125" t="inlineStr">
        <is>
          <t>Kiss</t>
        </is>
      </c>
      <c r="E20125" t="n">
        <v>10.95</v>
      </c>
      <c r="F20125" t="n">
        <v>1</v>
      </c>
      <c r="G20125" t="n">
        <v>11</v>
      </c>
      <c r="H20125" s="5">
        <f>HYPERLINK("https://api.qogita.com/variants/link/0731509887631/", "View Product")</f>
        <v/>
      </c>
    </row>
    <row r="20126">
      <c r="A20126" t="inlineStr">
        <is>
          <t>0731509908756</t>
        </is>
      </c>
      <c r="B20126" t="inlineStr">
        <is>
          <t>False eyelashes Lash Couture Muses Collection Lash 03</t>
        </is>
      </c>
      <c r="C20126" t="inlineStr">
        <is>
          <t>False Eyelashes</t>
        </is>
      </c>
      <c r="D20126" t="inlineStr">
        <is>
          <t>Kiss</t>
        </is>
      </c>
      <c r="E20126" t="n">
        <v>9.289999999999999</v>
      </c>
      <c r="F20126" t="n">
        <v>1</v>
      </c>
      <c r="G20126" t="n">
        <v>3</v>
      </c>
      <c r="H20126" s="5">
        <f>HYPERLINK("https://api.qogita.com/variants/link/0731509908756/", "View Product")</f>
        <v/>
      </c>
    </row>
    <row r="20127">
      <c r="A20127" t="inlineStr">
        <is>
          <t>0731509912227</t>
        </is>
      </c>
      <c r="B20127" t="inlineStr">
        <is>
          <t>KISS Falscara Eyelash Wisp Multi Bambi</t>
        </is>
      </c>
      <c r="C20127" t="inlineStr">
        <is>
          <t>False Eyelashes</t>
        </is>
      </c>
      <c r="D20127" t="inlineStr">
        <is>
          <t>Kiss</t>
        </is>
      </c>
      <c r="E20127" t="n">
        <v>9.83</v>
      </c>
      <c r="F20127" t="n">
        <v>1</v>
      </c>
      <c r="G20127" t="n">
        <v>14</v>
      </c>
      <c r="H20127" s="5">
        <f>HYPERLINK("https://api.qogita.com/variants/link/0731509912227/", "View Product")</f>
        <v/>
      </c>
    </row>
    <row r="20128">
      <c r="A20128" t="inlineStr">
        <is>
          <t>0731509913163</t>
        </is>
      </c>
      <c r="B20128" t="inlineStr">
        <is>
          <t>KISS imPRESS False Eyelashes Lash Clusters Edgy Wispy 14mm-16mm Contact Lens Friendly Easy to Apply Reusable Strip Lashes</t>
        </is>
      </c>
      <c r="C20128" t="inlineStr">
        <is>
          <t>False Eyelashes</t>
        </is>
      </c>
      <c r="D20128" t="inlineStr">
        <is>
          <t>Impress</t>
        </is>
      </c>
      <c r="E20128" t="n">
        <v>8.529999999999999</v>
      </c>
      <c r="F20128" t="n">
        <v>1</v>
      </c>
      <c r="G20128" t="n">
        <v>31</v>
      </c>
      <c r="H20128" s="5">
        <f>HYPERLINK("https://api.qogita.com/variants/link/0731509913163/", "View Product")</f>
        <v/>
      </c>
    </row>
    <row r="20129">
      <c r="A20129" t="inlineStr">
        <is>
          <t>0731509913897</t>
        </is>
      </c>
      <c r="B20129" t="inlineStr">
        <is>
          <t>KISS imPRESS No Glue Press-On Nails French Fearless Light Neutral White Tip French Medium Size Almond Shape Includes 30 Nails Prep Pad Instructions Sheet Manicure Stick Mini File</t>
        </is>
      </c>
      <c r="C20129" t="inlineStr">
        <is>
          <t>Artificial Nails &amp; Nail Decoration</t>
        </is>
      </c>
      <c r="D20129" t="inlineStr">
        <is>
          <t>Impress</t>
        </is>
      </c>
      <c r="E20129" t="n">
        <v>8.460000000000001</v>
      </c>
      <c r="F20129" t="n">
        <v>1</v>
      </c>
      <c r="G20129" t="n">
        <v>11</v>
      </c>
      <c r="H20129" s="5">
        <f>HYPERLINK("https://api.qogita.com/variants/link/0731509913897/", "View Product")</f>
        <v/>
      </c>
    </row>
    <row r="20130">
      <c r="A20130" t="inlineStr">
        <is>
          <t>0731509913996</t>
        </is>
      </c>
      <c r="B20130" t="inlineStr">
        <is>
          <t>KISS imPRESS No Glue Mani Press-On Nails Color FX Rebel Light White Short Size Squoval Shape Includes 30 Nails Prep Pad Instructions Sheet 1 Manicure Stick 1 Mini File</t>
        </is>
      </c>
      <c r="C20130" t="inlineStr">
        <is>
          <t>Artificial Nails &amp; Nail Decoration</t>
        </is>
      </c>
      <c r="D20130" t="inlineStr">
        <is>
          <t>Impress</t>
        </is>
      </c>
      <c r="E20130" t="n">
        <v>11.85</v>
      </c>
      <c r="F20130" t="n">
        <v>1</v>
      </c>
      <c r="G20130" t="n">
        <v>5</v>
      </c>
      <c r="H20130" s="5">
        <f>HYPERLINK("https://api.qogita.com/variants/link/0731509913996/", "View Product")</f>
        <v/>
      </c>
    </row>
    <row r="20131">
      <c r="A20131" t="inlineStr">
        <is>
          <t>0731509914009</t>
        </is>
      </c>
      <c r="B20131" t="inlineStr">
        <is>
          <t>KISS imPRESS No Glue Mani Press-On Nails Color FX Connection Light White Short Size Squoval Shape Includes 30 Nails Prep Pad Instructions Sheet 1 Manicure Stick 1 Mini File</t>
        </is>
      </c>
      <c r="C20131" t="inlineStr">
        <is>
          <t>Artificial Nails &amp; Nail Decoration</t>
        </is>
      </c>
      <c r="D20131" t="inlineStr">
        <is>
          <t>Impress</t>
        </is>
      </c>
      <c r="E20131" t="n">
        <v>11.85</v>
      </c>
      <c r="F20131" t="n">
        <v>1</v>
      </c>
      <c r="G20131" t="n">
        <v>9</v>
      </c>
      <c r="H20131" s="5">
        <f>HYPERLINK("https://api.qogita.com/variants/link/0731509914009/", "View Product")</f>
        <v/>
      </c>
    </row>
    <row r="20132">
      <c r="A20132" t="inlineStr">
        <is>
          <t>0731509914085</t>
        </is>
      </c>
      <c r="B20132" t="inlineStr">
        <is>
          <t>KISS imPRESS No Glue Mani Press-On Nails Color FX This City Dark Red Short Size Squoval Shape Includes 30 Nails Prep Pad Instructions Sheet 1 Manicure Stick 1 Mini File</t>
        </is>
      </c>
      <c r="C20132" t="inlineStr">
        <is>
          <t>Artificial Nails &amp; Nail Decoration</t>
        </is>
      </c>
      <c r="D20132" t="inlineStr">
        <is>
          <t>Impress</t>
        </is>
      </c>
      <c r="E20132" t="n">
        <v>11.85</v>
      </c>
      <c r="F20132" t="n">
        <v>1</v>
      </c>
      <c r="G20132" t="n">
        <v>5</v>
      </c>
      <c r="H20132" s="5">
        <f>HYPERLINK("https://api.qogita.com/variants/link/0731509914085/", "View Product")</f>
        <v/>
      </c>
    </row>
    <row r="20133">
      <c r="A20133" t="inlineStr">
        <is>
          <t>0731509915488</t>
        </is>
      </c>
      <c r="B20133" t="inlineStr">
        <is>
          <t>KISS imPRESS No Glue Mani Press-On Nails Color FX Late Night Light Pink Short Size Squoval Shape Includes 30 Nails Prep Pad Instructions Sheet 1 Manicure Stick 1 Mini File</t>
        </is>
      </c>
      <c r="C20133" t="inlineStr">
        <is>
          <t>Artificial Nails &amp; Nail Decoration</t>
        </is>
      </c>
      <c r="D20133" t="inlineStr">
        <is>
          <t>Impress</t>
        </is>
      </c>
      <c r="E20133" t="n">
        <v>11.85</v>
      </c>
      <c r="F20133" t="n">
        <v>1</v>
      </c>
      <c r="G20133" t="n">
        <v>16</v>
      </c>
      <c r="H20133" s="5">
        <f>HYPERLINK("https://api.qogita.com/variants/link/0731509915488/", "View Product")</f>
        <v/>
      </c>
    </row>
    <row r="20134">
      <c r="A20134" t="inlineStr">
        <is>
          <t>0731509926873</t>
        </is>
      </c>
      <c r="B20134" t="inlineStr">
        <is>
          <t>KISS The New Natural False Eyelashes Full Strip Lash 1 Pair</t>
        </is>
      </c>
      <c r="C20134" t="inlineStr">
        <is>
          <t>False Eyelashes</t>
        </is>
      </c>
      <c r="D20134" t="inlineStr">
        <is>
          <t>Kiss</t>
        </is>
      </c>
      <c r="E20134" t="n">
        <v>7.42</v>
      </c>
      <c r="F20134" t="n">
        <v>1</v>
      </c>
      <c r="G20134" t="n">
        <v>6</v>
      </c>
      <c r="H20134" s="5">
        <f>HYPERLINK("https://api.qogita.com/variants/link/0731509926873/", "View Product")</f>
        <v/>
      </c>
    </row>
    <row r="20135">
      <c r="A20135" t="inlineStr">
        <is>
          <t>0731509926934</t>
        </is>
      </c>
      <c r="B20135" t="inlineStr">
        <is>
          <t>KISS Lash Couture Rebel Collection False Eyelashes Rockstar</t>
        </is>
      </c>
      <c r="C20135" t="inlineStr">
        <is>
          <t>False Eyelashes</t>
        </is>
      </c>
      <c r="D20135" t="inlineStr">
        <is>
          <t>Kiss</t>
        </is>
      </c>
      <c r="E20135" t="n">
        <v>8.529999999999999</v>
      </c>
      <c r="F20135" t="n">
        <v>1</v>
      </c>
      <c r="G20135" t="n">
        <v>11</v>
      </c>
      <c r="H20135" s="5">
        <f>HYPERLINK("https://api.qogita.com/variants/link/0731509926934/", "View Product")</f>
        <v/>
      </c>
    </row>
    <row r="20136">
      <c r="A20136" t="inlineStr">
        <is>
          <t>0731509933840</t>
        </is>
      </c>
      <c r="B20136" t="inlineStr">
        <is>
          <t>Kiss Self-Adhesive Nails Impress Color Fx Before Hours - 30 Pieces</t>
        </is>
      </c>
      <c r="C20136" t="inlineStr">
        <is>
          <t>Artificial Nails &amp; Nail Decoration</t>
        </is>
      </c>
      <c r="D20136" t="inlineStr">
        <is>
          <t>Kiss</t>
        </is>
      </c>
      <c r="E20136" t="n">
        <v>11.85</v>
      </c>
      <c r="F20136" t="n">
        <v>1</v>
      </c>
      <c r="G20136" t="n">
        <v>10</v>
      </c>
      <c r="H20136" s="5">
        <f>HYPERLINK("https://api.qogita.com/variants/link/0731509933840/", "View Product")</f>
        <v/>
      </c>
    </row>
    <row r="20137">
      <c r="A20137" t="inlineStr">
        <is>
          <t>0731509933857</t>
        </is>
      </c>
      <c r="B20137" t="inlineStr">
        <is>
          <t>Kiss Self-Adhesive Nails Impress Color Fx Walk Out - 30 Pieces</t>
        </is>
      </c>
      <c r="C20137" t="inlineStr">
        <is>
          <t>Artificial Nails &amp; Nail Decoration</t>
        </is>
      </c>
      <c r="D20137" t="inlineStr">
        <is>
          <t>Kiss</t>
        </is>
      </c>
      <c r="E20137" t="n">
        <v>11.85</v>
      </c>
      <c r="F20137" t="n">
        <v>1</v>
      </c>
      <c r="G20137" t="n">
        <v>6</v>
      </c>
      <c r="H20137" s="5">
        <f>HYPERLINK("https://api.qogita.com/variants/link/0731509933857/", "View Product")</f>
        <v/>
      </c>
    </row>
    <row r="20138">
      <c r="A20138" t="inlineStr">
        <is>
          <t>0731509937893</t>
        </is>
      </c>
      <c r="B20138" t="inlineStr">
        <is>
          <t>Kiss Self-Adhesive Nails Impress Color Fx Floating - 30 Pieces</t>
        </is>
      </c>
      <c r="C20138" t="inlineStr">
        <is>
          <t>Artificial Nails &amp; Nail Decoration</t>
        </is>
      </c>
      <c r="D20138" t="inlineStr">
        <is>
          <t>Kiss</t>
        </is>
      </c>
      <c r="E20138" t="n">
        <v>11.85</v>
      </c>
      <c r="F20138" t="n">
        <v>1</v>
      </c>
      <c r="G20138" t="n">
        <v>5</v>
      </c>
      <c r="H20138" s="5">
        <f>HYPERLINK("https://api.qogita.com/variants/link/0731509937893/", "View Product")</f>
        <v/>
      </c>
    </row>
    <row r="20139">
      <c r="A20139" t="inlineStr">
        <is>
          <t>0731509943337</t>
        </is>
      </c>
      <c r="B20139" t="inlineStr">
        <is>
          <t>Kiss Gel Fantasy Magnetic Gel Nails Drama - 28 Pieces</t>
        </is>
      </c>
      <c r="C20139" t="inlineStr">
        <is>
          <t>Artificial Nails &amp; Nail Decoration</t>
        </is>
      </c>
      <c r="D20139" t="inlineStr">
        <is>
          <t>Kiss</t>
        </is>
      </c>
      <c r="E20139" t="n">
        <v>10.4</v>
      </c>
      <c r="F20139" t="n">
        <v>1</v>
      </c>
      <c r="G20139" t="n">
        <v>7</v>
      </c>
      <c r="H20139" s="5">
        <f>HYPERLINK("https://api.qogita.com/variants/link/0731509943337/", "View Product")</f>
        <v/>
      </c>
    </row>
    <row r="20140">
      <c r="A20140" t="inlineStr">
        <is>
          <t>0731509947090</t>
        </is>
      </c>
      <c r="B20140" t="inlineStr">
        <is>
          <t>Kiss Self-Adhesive Nails Impress Color Nails Beat The Heat - 30 Pieces</t>
        </is>
      </c>
      <c r="C20140" t="inlineStr">
        <is>
          <t>Artificial Nails &amp; Nail Decoration</t>
        </is>
      </c>
      <c r="D20140" t="inlineStr">
        <is>
          <t>Kiss</t>
        </is>
      </c>
      <c r="E20140" t="n">
        <v>8.460000000000001</v>
      </c>
      <c r="F20140" t="n">
        <v>1</v>
      </c>
      <c r="G20140" t="n">
        <v>7</v>
      </c>
      <c r="H20140" s="5">
        <f>HYPERLINK("https://api.qogita.com/variants/link/0731509947090/", "View Product")</f>
        <v/>
      </c>
    </row>
    <row r="20141">
      <c r="A20141" t="inlineStr">
        <is>
          <t>0731509947120</t>
        </is>
      </c>
      <c r="B20141" t="inlineStr">
        <is>
          <t>Kiss Impress Color Nails Friendzone - 30 Self-Adhesive Nails</t>
        </is>
      </c>
      <c r="C20141" t="inlineStr">
        <is>
          <t>Artificial Nails &amp; Nail Decoration</t>
        </is>
      </c>
      <c r="D20141" t="inlineStr">
        <is>
          <t>Kiss</t>
        </is>
      </c>
      <c r="E20141" t="n">
        <v>8.460000000000001</v>
      </c>
      <c r="F20141" t="n">
        <v>1</v>
      </c>
      <c r="G20141" t="n">
        <v>8</v>
      </c>
      <c r="H20141" s="5">
        <f>HYPERLINK("https://api.qogita.com/variants/link/0731509947120/", "View Product")</f>
        <v/>
      </c>
    </row>
    <row r="20142">
      <c r="A20142" t="inlineStr">
        <is>
          <t>0731509954593</t>
        </is>
      </c>
      <c r="B20142" t="inlineStr">
        <is>
          <t>Kiss Gel Fantasy Allure Moonbeam 28 Pcs - Gel Nails</t>
        </is>
      </c>
      <c r="C20142" t="inlineStr">
        <is>
          <t>Nail Sets</t>
        </is>
      </c>
      <c r="D20142" t="inlineStr">
        <is>
          <t>Kiss</t>
        </is>
      </c>
      <c r="E20142" t="n">
        <v>11.85</v>
      </c>
      <c r="F20142" t="n">
        <v>1</v>
      </c>
      <c r="G20142" t="n">
        <v>5</v>
      </c>
      <c r="H20142" s="5">
        <f>HYPERLINK("https://api.qogita.com/variants/link/0731509954593/", "View Product")</f>
        <v/>
      </c>
    </row>
    <row r="20143">
      <c r="A20143" t="inlineStr">
        <is>
          <t>0731509966169</t>
        </is>
      </c>
      <c r="B20143" t="inlineStr">
        <is>
          <t>Magnetic Lash 1 pair Variant 02</t>
        </is>
      </c>
      <c r="C20143" t="inlineStr">
        <is>
          <t>False Eyelashes</t>
        </is>
      </c>
      <c r="D20143" t="inlineStr">
        <is>
          <t>Kiss</t>
        </is>
      </c>
      <c r="E20143" t="n">
        <v>9.859999999999999</v>
      </c>
      <c r="F20143" t="n">
        <v>1</v>
      </c>
      <c r="G20143" t="n">
        <v>20</v>
      </c>
      <c r="H20143" s="5">
        <f>HYPERLINK("https://api.qogita.com/variants/link/0731509966169/", "View Product")</f>
        <v/>
      </c>
    </row>
    <row r="20144">
      <c r="A20144" t="inlineStr">
        <is>
          <t>0731509966183</t>
        </is>
      </c>
      <c r="B20144" t="inlineStr">
        <is>
          <t>Kiss Magnetic Lash Nr. 96618 Black 1 Pair</t>
        </is>
      </c>
      <c r="C20144" t="inlineStr">
        <is>
          <t>False Eyelashes</t>
        </is>
      </c>
      <c r="D20144" t="inlineStr">
        <is>
          <t>Kiss My Face</t>
        </is>
      </c>
      <c r="E20144" t="n">
        <v>9.859999999999999</v>
      </c>
      <c r="F20144" t="n">
        <v>1</v>
      </c>
      <c r="G20144" t="n">
        <v>22</v>
      </c>
      <c r="H20144" s="5">
        <f>HYPERLINK("https://api.qogita.com/variants/link/0731509966183/", "View Product")</f>
        <v/>
      </c>
    </row>
    <row r="20145">
      <c r="A20145" t="inlineStr">
        <is>
          <t>0731509972955</t>
        </is>
      </c>
      <c r="B20145" t="inlineStr">
        <is>
          <t>KISS Lash Couture Triple Push Up Collection False Lashes Teddy 3D Volume Cruelty-Free Reusable with Lash Glue Black Teddy</t>
        </is>
      </c>
      <c r="C20145" t="inlineStr">
        <is>
          <t>False Eyelashes</t>
        </is>
      </c>
      <c r="D20145" t="inlineStr">
        <is>
          <t>Kiss</t>
        </is>
      </c>
      <c r="E20145" t="n">
        <v>8.199999999999999</v>
      </c>
      <c r="F20145" t="n">
        <v>1</v>
      </c>
      <c r="G20145" t="n">
        <v>5</v>
      </c>
      <c r="H20145" s="5">
        <f>HYPERLINK("https://api.qogita.com/variants/link/0731509972955/", "View Product")</f>
        <v/>
      </c>
    </row>
    <row r="20146">
      <c r="A20146" t="inlineStr">
        <is>
          <t>0731509977165</t>
        </is>
      </c>
      <c r="B20146" t="inlineStr">
        <is>
          <t>Artificial Eyelashes LuXtension Multipack Volume Full Set</t>
        </is>
      </c>
      <c r="C20146" t="inlineStr">
        <is>
          <t>False Eyelashes</t>
        </is>
      </c>
      <c r="D20146" t="inlineStr">
        <is>
          <t>Kiss</t>
        </is>
      </c>
      <c r="E20146" t="n">
        <v>16.69</v>
      </c>
      <c r="F20146" t="n">
        <v>1</v>
      </c>
      <c r="G20146" t="n">
        <v>5</v>
      </c>
      <c r="H20146" s="5">
        <f>HYPERLINK("https://api.qogita.com/variants/link/0731509977165/", "View Product")</f>
        <v/>
      </c>
    </row>
    <row r="20147">
      <c r="A20147" t="inlineStr">
        <is>
          <t>0736150069764</t>
        </is>
      </c>
      <c r="B20147" t="inlineStr">
        <is>
          <t>Laura Mercier Matte Eye Colour Café Au Lait Eyeshadow 3g</t>
        </is>
      </c>
      <c r="C20147" t="inlineStr">
        <is>
          <t>Eyeshadow</t>
        </is>
      </c>
      <c r="D20147" t="inlineStr">
        <is>
          <t>Laura Mercier</t>
        </is>
      </c>
      <c r="E20147" t="n">
        <v>21.18</v>
      </c>
      <c r="F20147" t="n">
        <v>1</v>
      </c>
      <c r="G20147" t="n">
        <v>8</v>
      </c>
      <c r="H20147" s="5">
        <f>HYPERLINK("https://api.qogita.com/variants/link/0736150069764/", "View Product")</f>
        <v/>
      </c>
    </row>
    <row r="20148">
      <c r="A20148" t="inlineStr">
        <is>
          <t>0736150070036</t>
        </is>
      </c>
      <c r="B20148" t="inlineStr">
        <is>
          <t>Laura Mercier Luster Eye Colour African Violet 0.09 Ounce</t>
        </is>
      </c>
      <c r="C20148" t="inlineStr">
        <is>
          <t>Eyeshadow</t>
        </is>
      </c>
      <c r="D20148" t="inlineStr">
        <is>
          <t>Laura Mercier</t>
        </is>
      </c>
      <c r="E20148" t="n">
        <v>22.16</v>
      </c>
      <c r="F20148" t="n">
        <v>1</v>
      </c>
      <c r="G20148" t="n">
        <v>13</v>
      </c>
      <c r="H20148" s="5">
        <f>HYPERLINK("https://api.qogita.com/variants/link/0736150070036/", "View Product")</f>
        <v/>
      </c>
    </row>
    <row r="20149">
      <c r="A20149" t="inlineStr">
        <is>
          <t>0736150070159</t>
        </is>
      </c>
      <c r="B20149" t="inlineStr">
        <is>
          <t>Laura Mercier Sateen Eye Colour Cognac</t>
        </is>
      </c>
      <c r="C20149" t="inlineStr">
        <is>
          <t>Eyeshadow</t>
        </is>
      </c>
      <c r="D20149" t="inlineStr">
        <is>
          <t>Laura Mercier</t>
        </is>
      </c>
      <c r="E20149" t="n">
        <v>18.31</v>
      </c>
      <c r="F20149" t="n">
        <v>1</v>
      </c>
      <c r="G20149" t="n">
        <v>4</v>
      </c>
      <c r="H20149" s="5">
        <f>HYPERLINK("https://api.qogita.com/variants/link/0736150070159/", "View Product")</f>
        <v/>
      </c>
    </row>
    <row r="20150">
      <c r="A20150" t="inlineStr">
        <is>
          <t>0736150091864</t>
        </is>
      </c>
      <c r="B20150" t="inlineStr">
        <is>
          <t>Laura Mercier CLM02504 Tightline Cake Eye Liner 1g</t>
        </is>
      </c>
      <c r="C20150" t="inlineStr">
        <is>
          <t>Eyeliner</t>
        </is>
      </c>
      <c r="D20150" t="inlineStr">
        <is>
          <t>Laura Mercier</t>
        </is>
      </c>
      <c r="E20150" t="n">
        <v>20.98</v>
      </c>
      <c r="F20150" t="n">
        <v>1</v>
      </c>
      <c r="G20150" t="n">
        <v>19</v>
      </c>
      <c r="H20150" s="5">
        <f>HYPERLINK("https://api.qogita.com/variants/link/0736150091864/", "View Product")</f>
        <v/>
      </c>
    </row>
    <row r="20151">
      <c r="A20151" t="inlineStr">
        <is>
          <t>0736150137319</t>
        </is>
      </c>
      <c r="B20151" t="inlineStr">
        <is>
          <t>Laura Mercier Eye Brow Pencil With Groomer Brush Brunette</t>
        </is>
      </c>
      <c r="C20151" t="inlineStr">
        <is>
          <t>Eyebrow Pencil</t>
        </is>
      </c>
      <c r="D20151" t="inlineStr">
        <is>
          <t>Laura Mercier</t>
        </is>
      </c>
      <c r="E20151" t="n">
        <v>20.52</v>
      </c>
      <c r="F20151" t="n">
        <v>1</v>
      </c>
      <c r="G20151" t="n">
        <v>5</v>
      </c>
      <c r="H20151" s="5">
        <f>HYPERLINK("https://api.qogita.com/variants/link/0736150137319/", "View Product")</f>
        <v/>
      </c>
    </row>
    <row r="20152">
      <c r="A20152" t="inlineStr">
        <is>
          <t>0736150159892</t>
        </is>
      </c>
      <c r="B20152" t="inlineStr">
        <is>
          <t>Laura Mercier Blush Colour Infusion Rouge Fresco 30g</t>
        </is>
      </c>
      <c r="C20152" t="inlineStr">
        <is>
          <t>Blush</t>
        </is>
      </c>
      <c r="D20152" t="inlineStr">
        <is>
          <t>Laura Mercier</t>
        </is>
      </c>
      <c r="E20152" t="n">
        <v>26.87</v>
      </c>
      <c r="F20152" t="n">
        <v>1</v>
      </c>
      <c r="G20152" t="n">
        <v>3</v>
      </c>
      <c r="H20152" s="5">
        <f>HYPERLINK("https://api.qogita.com/variants/link/0736150159892/", "View Product")</f>
        <v/>
      </c>
    </row>
    <row r="20153">
      <c r="A20153" t="inlineStr">
        <is>
          <t>0736150160744</t>
        </is>
      </c>
      <c r="B20153" t="inlineStr">
        <is>
          <t>Laura Mercier Cheek Colour Blush Brush 100g</t>
        </is>
      </c>
      <c r="C20153" t="inlineStr">
        <is>
          <t>Blush Brushes</t>
        </is>
      </c>
      <c r="D20153" t="inlineStr">
        <is>
          <t>Laura Mercier</t>
        </is>
      </c>
      <c r="E20153" t="n">
        <v>33.36</v>
      </c>
      <c r="F20153" t="n">
        <v>1</v>
      </c>
      <c r="G20153" t="n">
        <v>2</v>
      </c>
      <c r="H20153" s="5">
        <f>HYPERLINK("https://api.qogita.com/variants/link/0736150160744/", "View Product")</f>
        <v/>
      </c>
    </row>
    <row r="20154">
      <c r="A20154" t="inlineStr">
        <is>
          <t>0736150166661</t>
        </is>
      </c>
      <c r="B20154" t="inlineStr">
        <is>
          <t>Laura Mercier Flawless Lumiere Radiance-Perfecting Foundation 30ml 2N1 Cashew</t>
        </is>
      </c>
      <c r="C20154" t="inlineStr">
        <is>
          <t>Foundation</t>
        </is>
      </c>
      <c r="D20154" t="inlineStr">
        <is>
          <t>Laura Mercier</t>
        </is>
      </c>
      <c r="E20154" t="n">
        <v>43.05</v>
      </c>
      <c r="F20154" t="n">
        <v>1</v>
      </c>
      <c r="G20154" t="n">
        <v>5</v>
      </c>
      <c r="H20154" s="5">
        <f>HYPERLINK("https://api.qogita.com/variants/link/0736150166661/", "View Product")</f>
        <v/>
      </c>
    </row>
    <row r="20155">
      <c r="A20155" t="inlineStr">
        <is>
          <t>0736150166760</t>
        </is>
      </c>
      <c r="B20155" t="inlineStr">
        <is>
          <t>Laura Mercier Flawless Lumiere 2W2 Butterscotch Foundation 30ml</t>
        </is>
      </c>
      <c r="C20155" t="inlineStr">
        <is>
          <t>Foundation</t>
        </is>
      </c>
      <c r="D20155" t="inlineStr">
        <is>
          <t>Laura Mercier</t>
        </is>
      </c>
      <c r="E20155" t="n">
        <v>34.52</v>
      </c>
      <c r="F20155" t="n">
        <v>1</v>
      </c>
      <c r="G20155" t="n">
        <v>7</v>
      </c>
      <c r="H20155" s="5">
        <f>HYPERLINK("https://api.qogita.com/variants/link/0736150166760/", "View Product")</f>
        <v/>
      </c>
    </row>
    <row r="20156">
      <c r="A20156" t="inlineStr">
        <is>
          <t>0736150166845</t>
        </is>
      </c>
      <c r="B20156" t="inlineStr">
        <is>
          <t>Laura Mercier Flawless Lumière Perfecting Foundation 3N2 Honey 30ml</t>
        </is>
      </c>
      <c r="C20156" t="inlineStr">
        <is>
          <t>Foundation</t>
        </is>
      </c>
      <c r="D20156" t="inlineStr">
        <is>
          <t>Laura Mercier</t>
        </is>
      </c>
      <c r="E20156" t="n">
        <v>40.01</v>
      </c>
      <c r="F20156" t="n">
        <v>1</v>
      </c>
      <c r="G20156" t="n">
        <v>5</v>
      </c>
      <c r="H20156" s="5">
        <f>HYPERLINK("https://api.qogita.com/variants/link/0736150166845/", "View Product")</f>
        <v/>
      </c>
    </row>
    <row r="20157">
      <c r="A20157" t="inlineStr">
        <is>
          <t>0736150166920</t>
        </is>
      </c>
      <c r="B20157" t="inlineStr">
        <is>
          <t>Laura Mercier Flawless Lumiere 4N1 Suntan Foundation 30ml</t>
        </is>
      </c>
      <c r="C20157" t="inlineStr">
        <is>
          <t>Foundation</t>
        </is>
      </c>
      <c r="D20157" t="inlineStr">
        <is>
          <t>Laura Mercier</t>
        </is>
      </c>
      <c r="E20157" t="n">
        <v>34.52</v>
      </c>
      <c r="F20157" t="n">
        <v>1</v>
      </c>
      <c r="G20157" t="n">
        <v>7</v>
      </c>
      <c r="H20157" s="5">
        <f>HYPERLINK("https://api.qogita.com/variants/link/0736150166920/", "View Product")</f>
        <v/>
      </c>
    </row>
    <row r="20158">
      <c r="A20158" t="inlineStr">
        <is>
          <t>0736150183545</t>
        </is>
      </c>
      <c r="B20158" t="inlineStr">
        <is>
          <t>Laura Mercier Petal Soft 302 Ella Lipstick Crayon 2g</t>
        </is>
      </c>
      <c r="C20158" t="inlineStr">
        <is>
          <t>Lipstick</t>
        </is>
      </c>
      <c r="D20158" t="inlineStr">
        <is>
          <t>Laura Mercier</t>
        </is>
      </c>
      <c r="E20158" t="n">
        <v>24.61</v>
      </c>
      <c r="F20158" t="n">
        <v>1</v>
      </c>
      <c r="G20158" t="n">
        <v>2</v>
      </c>
      <c r="H20158" s="5">
        <f>HYPERLINK("https://api.qogita.com/variants/link/0736150183545/", "View Product")</f>
        <v/>
      </c>
    </row>
    <row r="20159">
      <c r="A20159" t="inlineStr">
        <is>
          <t>0736150183606</t>
        </is>
      </c>
      <c r="B20159" t="inlineStr">
        <is>
          <t>Laura Mercier Amelie Lipstick Crayon 320 Petal Soft 2g</t>
        </is>
      </c>
      <c r="C20159" t="inlineStr">
        <is>
          <t>Lipstick</t>
        </is>
      </c>
      <c r="D20159" t="inlineStr">
        <is>
          <t>Laura Mercier</t>
        </is>
      </c>
      <c r="E20159" t="n">
        <v>21.23</v>
      </c>
      <c r="F20159" t="n">
        <v>1</v>
      </c>
      <c r="G20159" t="n">
        <v>5</v>
      </c>
      <c r="H20159" s="5">
        <f>HYPERLINK("https://api.qogita.com/variants/link/0736150183606/", "View Product")</f>
        <v/>
      </c>
    </row>
    <row r="20160">
      <c r="A20160" t="inlineStr">
        <is>
          <t>0736150183804</t>
        </is>
      </c>
      <c r="B20160" t="inlineStr">
        <is>
          <t>Laura Mercier Petal Soft Lipstick Crayon Chloe Warm Red 0.06oz 1.6g</t>
        </is>
      </c>
      <c r="C20160" t="inlineStr">
        <is>
          <t>Lipstick</t>
        </is>
      </c>
      <c r="D20160" t="inlineStr">
        <is>
          <t>Laura Mercier</t>
        </is>
      </c>
      <c r="E20160" t="n">
        <v>21.28</v>
      </c>
      <c r="F20160" t="n">
        <v>1</v>
      </c>
      <c r="G20160" t="n">
        <v>4</v>
      </c>
      <c r="H20160" s="5">
        <f>HYPERLINK("https://api.qogita.com/variants/link/0736150183804/", "View Product")</f>
        <v/>
      </c>
    </row>
    <row r="20161">
      <c r="A20161" t="inlineStr">
        <is>
          <t>0736658473339</t>
        </is>
      </c>
      <c r="B20161" t="inlineStr">
        <is>
          <t>Wet Brush Original Detangler Hair Brush Teal Groovy Disco Ultra-Soft IntelliFlex Bristles 1 Count</t>
        </is>
      </c>
      <c r="C20161" t="inlineStr">
        <is>
          <t>Detanglers</t>
        </is>
      </c>
      <c r="D20161" t="inlineStr">
        <is>
          <t>Wet Brush</t>
        </is>
      </c>
      <c r="E20161" t="n">
        <v>8.23</v>
      </c>
      <c r="F20161" t="n">
        <v>1</v>
      </c>
      <c r="G20161" t="n">
        <v>77</v>
      </c>
      <c r="H20161" s="5">
        <f>HYPERLINK("https://api.qogita.com/variants/link/0736658473339/", "View Product")</f>
        <v/>
      </c>
    </row>
    <row r="20162">
      <c r="A20162" t="inlineStr">
        <is>
          <t>0736658480825</t>
        </is>
      </c>
      <c r="B20162" t="inlineStr">
        <is>
          <t>WetBrush Paddle Detangler with HeatFlex Bristles and Aquavents - Feel Good Ombre Seafoam</t>
        </is>
      </c>
      <c r="C20162" t="inlineStr">
        <is>
          <t>Detanglers</t>
        </is>
      </c>
      <c r="D20162" t="inlineStr">
        <is>
          <t>Wet Brush</t>
        </is>
      </c>
      <c r="E20162" t="n">
        <v>8.779999999999999</v>
      </c>
      <c r="F20162" t="n">
        <v>1</v>
      </c>
      <c r="G20162" t="n">
        <v>16</v>
      </c>
      <c r="H20162" s="5">
        <f>HYPERLINK("https://api.qogita.com/variants/link/0736658480825/", "View Product")</f>
        <v/>
      </c>
    </row>
    <row r="20163">
      <c r="A20163" t="inlineStr">
        <is>
          <t>0736658494549</t>
        </is>
      </c>
      <c r="B20163" t="inlineStr">
        <is>
          <t>WetBrush Go Green Palm Detangler with Ultra Soft Intelliflex Bristles Coconut Oil Infused Orange</t>
        </is>
      </c>
      <c r="C20163" t="inlineStr">
        <is>
          <t>Detanglers</t>
        </is>
      </c>
      <c r="D20163" t="inlineStr">
        <is>
          <t>Wet Brush</t>
        </is>
      </c>
      <c r="E20163" t="n">
        <v>8</v>
      </c>
      <c r="F20163" t="n">
        <v>1</v>
      </c>
      <c r="G20163" t="n">
        <v>3</v>
      </c>
      <c r="H20163" s="5">
        <f>HYPERLINK("https://api.qogita.com/variants/link/0736658494549/", "View Product")</f>
        <v/>
      </c>
    </row>
    <row r="20164">
      <c r="A20164" t="inlineStr">
        <is>
          <t>0736658494754</t>
        </is>
      </c>
      <c r="B20164" t="inlineStr">
        <is>
          <t>Wet Brush Go Green Speed Dry Purple</t>
        </is>
      </c>
      <c r="C20164" t="inlineStr">
        <is>
          <t>Detanglers</t>
        </is>
      </c>
      <c r="D20164" t="inlineStr">
        <is>
          <t>Wet Brush</t>
        </is>
      </c>
      <c r="E20164" t="n">
        <v>10.44</v>
      </c>
      <c r="F20164" t="n">
        <v>1</v>
      </c>
      <c r="G20164" t="n">
        <v>64</v>
      </c>
      <c r="H20164" s="5">
        <f>HYPERLINK("https://api.qogita.com/variants/link/0736658494754/", "View Product")</f>
        <v/>
      </c>
    </row>
    <row r="20165">
      <c r="A20165" t="inlineStr">
        <is>
          <t>0736658538243</t>
        </is>
      </c>
      <c r="B20165" t="inlineStr">
        <is>
          <t>WetBrush Original Detangler Hair Brush with Ultra Soft Intelliflex Bristles Disney Ultimate Princess Collection Ariel</t>
        </is>
      </c>
      <c r="C20165" t="inlineStr">
        <is>
          <t>Detanglers</t>
        </is>
      </c>
      <c r="D20165" t="inlineStr">
        <is>
          <t>Wet Brush</t>
        </is>
      </c>
      <c r="E20165" t="n">
        <v>8.23</v>
      </c>
      <c r="F20165" t="n">
        <v>1</v>
      </c>
      <c r="G20165" t="n">
        <v>64</v>
      </c>
      <c r="H20165" s="5">
        <f>HYPERLINK("https://api.qogita.com/variants/link/0736658538243/", "View Product")</f>
        <v/>
      </c>
    </row>
    <row r="20166">
      <c r="A20166" t="inlineStr">
        <is>
          <t>0736658556858</t>
        </is>
      </c>
      <c r="B20166" t="inlineStr">
        <is>
          <t>WetBrush Go Green Treatment Comb Wide Tooth Wave Tooth Design with Plant Based Coconut Oil</t>
        </is>
      </c>
      <c r="C20166" t="inlineStr">
        <is>
          <t>Combs</t>
        </is>
      </c>
      <c r="D20166" t="inlineStr">
        <is>
          <t>Wet Brush</t>
        </is>
      </c>
      <c r="E20166" t="n">
        <v>5.68</v>
      </c>
      <c r="F20166" t="n">
        <v>1</v>
      </c>
      <c r="G20166" t="n">
        <v>23</v>
      </c>
      <c r="H20166" s="5">
        <f>HYPERLINK("https://api.qogita.com/variants/link/0736658556858/", "View Product")</f>
        <v/>
      </c>
    </row>
    <row r="20167">
      <c r="A20167" t="inlineStr">
        <is>
          <t>0736658557121</t>
        </is>
      </c>
      <c r="B20167" t="inlineStr">
        <is>
          <t>WetBrush Speed Dry Detangler with Heat Resistant Heatflex Bristles and Open Vent Design for Faster Hair Drying - Black</t>
        </is>
      </c>
      <c r="C20167" t="inlineStr">
        <is>
          <t>Detanglers</t>
        </is>
      </c>
      <c r="D20167" t="inlineStr">
        <is>
          <t>Wet Brush</t>
        </is>
      </c>
      <c r="E20167" t="n">
        <v>9.1</v>
      </c>
      <c r="F20167" t="n">
        <v>1</v>
      </c>
      <c r="G20167" t="n">
        <v>39</v>
      </c>
      <c r="H20167" s="5">
        <f>HYPERLINK("https://api.qogita.com/variants/link/0736658557121/", "View Product")</f>
        <v/>
      </c>
    </row>
    <row r="20168">
      <c r="A20168" t="inlineStr">
        <is>
          <t>0736658557244</t>
        </is>
      </c>
      <c r="B20168" t="inlineStr">
        <is>
          <t>Wet Brush Go Green Treatment and Shine Brush with Coconut Oil for Unisex 1 Hair Brush</t>
        </is>
      </c>
      <c r="C20168" t="inlineStr">
        <is>
          <t>Detanglers</t>
        </is>
      </c>
      <c r="D20168" t="inlineStr">
        <is>
          <t>Wet Brush</t>
        </is>
      </c>
      <c r="E20168" t="n">
        <v>10.23</v>
      </c>
      <c r="F20168" t="n">
        <v>1</v>
      </c>
      <c r="G20168" t="n">
        <v>46</v>
      </c>
      <c r="H20168" s="5">
        <f>HYPERLINK("https://api.qogita.com/variants/link/0736658557244/", "View Product")</f>
        <v/>
      </c>
    </row>
    <row r="20169">
      <c r="A20169" t="inlineStr">
        <is>
          <t>0736658570328</t>
        </is>
      </c>
      <c r="B20169" t="inlineStr">
        <is>
          <t>Wet Brush Original Detangler Princess Full Heart Brush Vaiana Teal Unisex Hair Brush 1 Piece Moana Teal</t>
        </is>
      </c>
      <c r="C20169" t="inlineStr">
        <is>
          <t>Detanglers</t>
        </is>
      </c>
      <c r="D20169" t="inlineStr">
        <is>
          <t>Wet Brush</t>
        </is>
      </c>
      <c r="E20169" t="n">
        <v>8.23</v>
      </c>
      <c r="F20169" t="n">
        <v>1</v>
      </c>
      <c r="G20169" t="n">
        <v>48</v>
      </c>
      <c r="H20169" s="5">
        <f>HYPERLINK("https://api.qogita.com/variants/link/0736658570328/", "View Product")</f>
        <v/>
      </c>
    </row>
    <row r="20170">
      <c r="A20170" t="inlineStr">
        <is>
          <t>0736658585636</t>
        </is>
      </c>
      <c r="B20170" t="inlineStr">
        <is>
          <t>WetBrush Original Detangler Hairbrush UltraSoft Bristles Ergonomic Handle for All Hairtypes Happy Hair Fantasy</t>
        </is>
      </c>
      <c r="C20170" t="inlineStr">
        <is>
          <t>Detanglers</t>
        </is>
      </c>
      <c r="D20170" t="inlineStr">
        <is>
          <t>Wet Brush</t>
        </is>
      </c>
      <c r="E20170" t="n">
        <v>8.23</v>
      </c>
      <c r="F20170" t="n">
        <v>1</v>
      </c>
      <c r="G20170" t="n">
        <v>5</v>
      </c>
      <c r="H20170" s="5">
        <f>HYPERLINK("https://api.qogita.com/variants/link/0736658585636/", "View Product")</f>
        <v/>
      </c>
    </row>
    <row r="20171">
      <c r="A20171" t="inlineStr">
        <is>
          <t>0736658594461</t>
        </is>
      </c>
      <c r="B20171" t="inlineStr">
        <is>
          <t>Wet Brush Speed Dry Brush Black</t>
        </is>
      </c>
      <c r="C20171" t="inlineStr">
        <is>
          <t>Detanglers</t>
        </is>
      </c>
      <c r="D20171" t="inlineStr">
        <is>
          <t>Wet Brush</t>
        </is>
      </c>
      <c r="E20171" t="n">
        <v>8.23</v>
      </c>
      <c r="F20171" t="n">
        <v>1</v>
      </c>
      <c r="G20171" t="n">
        <v>48</v>
      </c>
      <c r="H20171" s="5">
        <f>HYPERLINK("https://api.qogita.com/variants/link/0736658594461/", "View Product")</f>
        <v/>
      </c>
    </row>
    <row r="20172">
      <c r="A20172" t="inlineStr">
        <is>
          <t>0736658594478</t>
        </is>
      </c>
      <c r="B20172" t="inlineStr">
        <is>
          <t>Wet Brush Kids Detangler Hair Brush Leopard Midi with Ultra-Soft IntelliFlex Bristles - Pain-Free Comb for All Hair Types</t>
        </is>
      </c>
      <c r="C20172" t="inlineStr">
        <is>
          <t>Detanglers</t>
        </is>
      </c>
      <c r="D20172" t="inlineStr">
        <is>
          <t>Wet Brush</t>
        </is>
      </c>
      <c r="E20172" t="n">
        <v>7.47</v>
      </c>
      <c r="F20172" t="n">
        <v>1</v>
      </c>
      <c r="G20172" t="n">
        <v>75</v>
      </c>
      <c r="H20172" s="5">
        <f>HYPERLINK("https://api.qogita.com/variants/link/0736658594478/", "View Product")</f>
        <v/>
      </c>
    </row>
    <row r="20173">
      <c r="A20173" t="inlineStr">
        <is>
          <t>0736658795646</t>
        </is>
      </c>
      <c r="B20173" t="inlineStr">
        <is>
          <t>Wetbrush Safari Detangler Leopard 100g - Single</t>
        </is>
      </c>
      <c r="C20173" t="inlineStr">
        <is>
          <t>Detanglers</t>
        </is>
      </c>
      <c r="D20173" t="inlineStr">
        <is>
          <t>Wetbrush</t>
        </is>
      </c>
      <c r="E20173" t="n">
        <v>9.57</v>
      </c>
      <c r="F20173" t="n">
        <v>1</v>
      </c>
      <c r="G20173" t="n">
        <v>58</v>
      </c>
      <c r="H20173" s="5">
        <f>HYPERLINK("https://api.qogita.com/variants/link/0736658795646/", "View Product")</f>
        <v/>
      </c>
    </row>
    <row r="20174">
      <c r="A20174" t="inlineStr">
        <is>
          <t>0736658946789</t>
        </is>
      </c>
      <c r="B20174" t="inlineStr">
        <is>
          <t>Wet Brush Shine Enhancer Paddle Hair Brush Black with Natural Boar Bristles - Pain-Free Detangling Brush for All Hair Types</t>
        </is>
      </c>
      <c r="C20174" t="inlineStr">
        <is>
          <t>Flat &amp; Paddle Brushes</t>
        </is>
      </c>
      <c r="D20174" t="inlineStr">
        <is>
          <t>Wet Brush</t>
        </is>
      </c>
      <c r="E20174" t="n">
        <v>5.93</v>
      </c>
      <c r="F20174" t="n">
        <v>1</v>
      </c>
      <c r="G20174" t="n">
        <v>2</v>
      </c>
      <c r="H20174" s="5">
        <f>HYPERLINK("https://api.qogita.com/variants/link/0736658946789/", "View Product")</f>
        <v/>
      </c>
    </row>
    <row r="20175">
      <c r="A20175" t="inlineStr">
        <is>
          <t>0736658953756</t>
        </is>
      </c>
      <c r="B20175" t="inlineStr">
        <is>
          <t>Wet Brush Squirt Detangler Hair Brush with Soft IntelliFlex Bristles Mini Travel Voilet Purple</t>
        </is>
      </c>
      <c r="C20175" t="inlineStr">
        <is>
          <t>Detanglers</t>
        </is>
      </c>
      <c r="D20175" t="inlineStr">
        <is>
          <t>Wet Brush</t>
        </is>
      </c>
      <c r="E20175" t="n">
        <v>4.95</v>
      </c>
      <c r="F20175" t="n">
        <v>1</v>
      </c>
      <c r="G20175" t="n">
        <v>23</v>
      </c>
      <c r="H20175" s="5">
        <f>HYPERLINK("https://api.qogita.com/variants/link/0736658953756/", "View Product")</f>
        <v/>
      </c>
    </row>
    <row r="20176">
      <c r="A20176" t="inlineStr">
        <is>
          <t>0736658954029</t>
        </is>
      </c>
      <c r="B20176" t="inlineStr">
        <is>
          <t>Wet Brush Original Detangler Hair Brush Classic Black - Exclusive Ultra-Soft</t>
        </is>
      </c>
      <c r="C20176" t="inlineStr">
        <is>
          <t>Detanglers</t>
        </is>
      </c>
      <c r="D20176" t="inlineStr">
        <is>
          <t>Wet Brush</t>
        </is>
      </c>
      <c r="E20176" t="n">
        <v>5.34</v>
      </c>
      <c r="F20176" t="n">
        <v>1</v>
      </c>
      <c r="G20176" t="n">
        <v>3</v>
      </c>
      <c r="H20176" s="5">
        <f>HYPERLINK("https://api.qogita.com/variants/link/0736658954029/", "View Product")</f>
        <v/>
      </c>
    </row>
    <row r="20177">
      <c r="A20177" t="inlineStr">
        <is>
          <t>0736658969221</t>
        </is>
      </c>
      <c r="B20177" t="inlineStr">
        <is>
          <t>Wetbrush Pro Detangler Gray Organic Swirl 100g</t>
        </is>
      </c>
      <c r="C20177" t="inlineStr">
        <is>
          <t>Detanglers</t>
        </is>
      </c>
      <c r="D20177" t="inlineStr">
        <is>
          <t>Wetbrush</t>
        </is>
      </c>
      <c r="E20177" t="n">
        <v>4.39</v>
      </c>
      <c r="F20177" t="n">
        <v>1</v>
      </c>
      <c r="G20177" t="n">
        <v>55</v>
      </c>
      <c r="H20177" s="5">
        <f>HYPERLINK("https://api.qogita.com/variants/link/0736658969221/", "View Product")</f>
        <v/>
      </c>
    </row>
    <row r="20178">
      <c r="A20178" t="inlineStr">
        <is>
          <t>0736658969788</t>
        </is>
      </c>
      <c r="B20178" t="inlineStr">
        <is>
          <t>Wet Brush Original Detangler For Thick Hair Ultra-soft IntelliFlex Bristles Pink</t>
        </is>
      </c>
      <c r="C20178" t="inlineStr">
        <is>
          <t>Detanglers</t>
        </is>
      </c>
      <c r="D20178" t="inlineStr">
        <is>
          <t>Wet Brush</t>
        </is>
      </c>
      <c r="E20178" t="n">
        <v>7.71</v>
      </c>
      <c r="F20178" t="n">
        <v>1</v>
      </c>
      <c r="G20178" t="n">
        <v>29</v>
      </c>
      <c r="H20178" s="5">
        <f>HYPERLINK("https://api.qogita.com/variants/link/0736658969788/", "View Product")</f>
        <v/>
      </c>
    </row>
    <row r="20179">
      <c r="A20179" t="inlineStr">
        <is>
          <t>0737052031415</t>
        </is>
      </c>
      <c r="B20179" t="inlineStr">
        <is>
          <t>Hugo Boss Dark Blue Eau De Toilette Spray for Men 75ml</t>
        </is>
      </c>
      <c r="C20179" t="inlineStr">
        <is>
          <t>Eau De Toilette</t>
        </is>
      </c>
      <c r="D20179" t="inlineStr">
        <is>
          <t>Hugo Boss</t>
        </is>
      </c>
      <c r="E20179" t="n">
        <v>17.76</v>
      </c>
      <c r="F20179" t="n">
        <v>1</v>
      </c>
      <c r="G20179" t="n">
        <v>1817</v>
      </c>
      <c r="H20179" s="5">
        <f>HYPERLINK("https://api.qogita.com/variants/link/0737052031415/", "View Product")</f>
        <v/>
      </c>
    </row>
    <row r="20180">
      <c r="A20180" t="inlineStr">
        <is>
          <t>0737052041247</t>
        </is>
      </c>
      <c r="B20180" t="inlineStr">
        <is>
          <t>Hugo Boss Femme Eau de Parfum Spray 30ml</t>
        </is>
      </c>
      <c r="C20180" t="inlineStr">
        <is>
          <t>Eau De Parfum</t>
        </is>
      </c>
      <c r="D20180" t="inlineStr">
        <is>
          <t>Hugo Boss</t>
        </is>
      </c>
      <c r="E20180" t="n">
        <v>20.73</v>
      </c>
      <c r="F20180" t="n">
        <v>1</v>
      </c>
      <c r="G20180" t="n">
        <v>96</v>
      </c>
      <c r="H20180" s="5">
        <f>HYPERLINK("https://api.qogita.com/variants/link/0737052041247/", "View Product")</f>
        <v/>
      </c>
    </row>
    <row r="20181">
      <c r="A20181" t="inlineStr">
        <is>
          <t>0737052041353</t>
        </is>
      </c>
      <c r="B20181" t="inlineStr">
        <is>
          <t>Hugo Boss Eau de Parfum Spray for Women 75ml</t>
        </is>
      </c>
      <c r="C20181" t="inlineStr">
        <is>
          <t>Eau De Parfum</t>
        </is>
      </c>
      <c r="D20181" t="inlineStr">
        <is>
          <t>Hugo Boss</t>
        </is>
      </c>
      <c r="E20181" t="n">
        <v>22.99</v>
      </c>
      <c r="F20181" t="n">
        <v>1</v>
      </c>
      <c r="G20181" t="n">
        <v>459</v>
      </c>
      <c r="H20181" s="5">
        <f>HYPERLINK("https://api.qogita.com/variants/link/0737052041353/", "View Product")</f>
        <v/>
      </c>
    </row>
    <row r="20182">
      <c r="A20182" t="inlineStr">
        <is>
          <t>0737052057989</t>
        </is>
      </c>
      <c r="B20182" t="inlineStr">
        <is>
          <t>Hugo Boss Boss Woman Eau De Parfum Spray 90ml</t>
        </is>
      </c>
      <c r="C20182" t="inlineStr">
        <is>
          <t>Eau De Parfum</t>
        </is>
      </c>
      <c r="D20182" t="inlineStr">
        <is>
          <t>Hugo Boss</t>
        </is>
      </c>
      <c r="E20182" t="n">
        <v>22.89</v>
      </c>
      <c r="F20182" t="n">
        <v>1</v>
      </c>
      <c r="G20182" t="n">
        <v>1361</v>
      </c>
      <c r="H20182" s="5">
        <f>HYPERLINK("https://api.qogita.com/variants/link/0737052057989/", "View Product")</f>
        <v/>
      </c>
    </row>
    <row r="20183">
      <c r="A20183" t="inlineStr">
        <is>
          <t>0737052151731</t>
        </is>
      </c>
      <c r="B20183" t="inlineStr">
        <is>
          <t>Naomi Campbell Seductive Elixir Deo Vaporisateur 75ml</t>
        </is>
      </c>
      <c r="C20183" t="inlineStr">
        <is>
          <t>Eau De Toilette</t>
        </is>
      </c>
      <c r="D20183" t="inlineStr">
        <is>
          <t>Naomi Campbell</t>
        </is>
      </c>
      <c r="E20183" t="n">
        <v>5.08</v>
      </c>
      <c r="F20183" t="n">
        <v>1</v>
      </c>
      <c r="G20183" t="n">
        <v>43</v>
      </c>
      <c r="H20183" s="5">
        <f>HYPERLINK("https://api.qogita.com/variants/link/0737052151731/", "View Product")</f>
        <v/>
      </c>
    </row>
    <row r="20184">
      <c r="A20184" t="inlineStr">
        <is>
          <t>0737052238081</t>
        </is>
      </c>
      <c r="B20184" t="inlineStr">
        <is>
          <t>Boss Orange Women Eau de Toilette for Passionate Women 50ml</t>
        </is>
      </c>
      <c r="C20184" t="inlineStr">
        <is>
          <t>Eau De Toilette</t>
        </is>
      </c>
      <c r="D20184" t="inlineStr">
        <is>
          <t>Hugo Boss</t>
        </is>
      </c>
      <c r="E20184" t="n">
        <v>23.79</v>
      </c>
      <c r="F20184" t="n">
        <v>1</v>
      </c>
      <c r="G20184" t="n">
        <v>810</v>
      </c>
      <c r="H20184" s="5">
        <f>HYPERLINK("https://api.qogita.com/variants/link/0737052238081/", "View Product")</f>
        <v/>
      </c>
    </row>
    <row r="20185">
      <c r="A20185" t="inlineStr">
        <is>
          <t>0737052351018</t>
        </is>
      </c>
      <c r="B20185" t="inlineStr">
        <is>
          <t>Hugo Boss Bottled Eau de Toilette Spray 50ml</t>
        </is>
      </c>
      <c r="C20185" t="inlineStr">
        <is>
          <t>Eau De Toilette</t>
        </is>
      </c>
      <c r="D20185" t="inlineStr">
        <is>
          <t>Hugo Boss</t>
        </is>
      </c>
      <c r="E20185" t="n">
        <v>25.56</v>
      </c>
      <c r="F20185" t="n">
        <v>1</v>
      </c>
      <c r="G20185" t="n">
        <v>274</v>
      </c>
      <c r="H20185" s="5">
        <f>HYPERLINK("https://api.qogita.com/variants/link/0737052351018/", "View Product")</f>
        <v/>
      </c>
    </row>
    <row r="20186">
      <c r="A20186" t="inlineStr">
        <is>
          <t>0737052351186</t>
        </is>
      </c>
      <c r="B20186" t="inlineStr">
        <is>
          <t>Hugo Boss Bottled 100ml Aftershave Lotion</t>
        </is>
      </c>
      <c r="C20186" t="inlineStr">
        <is>
          <t>Aftershave</t>
        </is>
      </c>
      <c r="D20186" t="inlineStr">
        <is>
          <t>Hugo Boss</t>
        </is>
      </c>
      <c r="E20186" t="n">
        <v>26.36</v>
      </c>
      <c r="F20186" t="n">
        <v>1</v>
      </c>
      <c r="G20186" t="n">
        <v>1019</v>
      </c>
      <c r="H20186" s="5">
        <f>HYPERLINK("https://api.qogita.com/variants/link/0737052351186/", "View Product")</f>
        <v/>
      </c>
    </row>
    <row r="20187">
      <c r="A20187" t="inlineStr">
        <is>
          <t>0737052354996</t>
        </is>
      </c>
      <c r="B20187" t="inlineStr">
        <is>
          <t>Hugo Boss Boss Bottled Deodorant Stick 75ml</t>
        </is>
      </c>
      <c r="C20187" t="inlineStr">
        <is>
          <t>Deodorant &amp; Anti-Perspirant</t>
        </is>
      </c>
      <c r="D20187" t="inlineStr">
        <is>
          <t>Hugo Boss</t>
        </is>
      </c>
      <c r="E20187" t="n">
        <v>10.16</v>
      </c>
      <c r="F20187" t="n">
        <v>1</v>
      </c>
      <c r="G20187" t="n">
        <v>3009</v>
      </c>
      <c r="H20187" s="5">
        <f>HYPERLINK("https://api.qogita.com/variants/link/0737052354996/", "View Product")</f>
        <v/>
      </c>
    </row>
    <row r="20188">
      <c r="A20188" t="inlineStr">
        <is>
          <t>0737052433455</t>
        </is>
      </c>
      <c r="B20188" t="inlineStr">
        <is>
          <t>Avril Lavigne Wild Rose Women Shower Gel 150ml</t>
        </is>
      </c>
      <c r="C20188" t="inlineStr">
        <is>
          <t>Shower Gel</t>
        </is>
      </c>
      <c r="D20188" t="inlineStr">
        <is>
          <t>Avril Lavigne</t>
        </is>
      </c>
      <c r="E20188" t="n">
        <v>3.72</v>
      </c>
      <c r="F20188" t="n">
        <v>1</v>
      </c>
      <c r="G20188" t="n">
        <v>14</v>
      </c>
      <c r="H20188" s="5">
        <f>HYPERLINK("https://api.qogita.com/variants/link/0737052433455/", "View Product")</f>
        <v/>
      </c>
    </row>
    <row r="20189">
      <c r="A20189" t="inlineStr">
        <is>
          <t>0737052456164</t>
        </is>
      </c>
      <c r="B20189" t="inlineStr">
        <is>
          <t>Christina Aguilera Secret Potion Body Lotion 150ml</t>
        </is>
      </c>
      <c r="C20189" t="inlineStr">
        <is>
          <t>Body Lotion</t>
        </is>
      </c>
      <c r="D20189" t="inlineStr">
        <is>
          <t>Christina Aguilera</t>
        </is>
      </c>
      <c r="E20189" t="n">
        <v>3.78</v>
      </c>
      <c r="F20189" t="n">
        <v>1</v>
      </c>
      <c r="G20189" t="n">
        <v>15</v>
      </c>
      <c r="H20189" s="5">
        <f>HYPERLINK("https://api.qogita.com/variants/link/0737052456164/", "View Product")</f>
        <v/>
      </c>
    </row>
    <row r="20190">
      <c r="A20190" t="inlineStr">
        <is>
          <t>0737052488257</t>
        </is>
      </c>
      <c r="B20190" t="inlineStr">
        <is>
          <t>HUGO BOSS BOSS Bottled Night Eau De Toilette Cologne for Men 200 ml</t>
        </is>
      </c>
      <c r="C20190" t="inlineStr">
        <is>
          <t>Eau De Toilette</t>
        </is>
      </c>
      <c r="D20190" t="inlineStr">
        <is>
          <t>Hugo Boss</t>
        </is>
      </c>
      <c r="E20190" t="n">
        <v>45.16</v>
      </c>
      <c r="F20190" t="n">
        <v>1</v>
      </c>
      <c r="G20190" t="n">
        <v>144</v>
      </c>
      <c r="H20190" s="5">
        <f>HYPERLINK("https://api.qogita.com/variants/link/0737052488257/", "View Product")</f>
        <v/>
      </c>
    </row>
    <row r="20191">
      <c r="A20191" t="inlineStr">
        <is>
          <t>0737052682358</t>
        </is>
      </c>
      <c r="B20191" t="inlineStr">
        <is>
          <t>Mexx Woman EDT Spray 20ml</t>
        </is>
      </c>
      <c r="C20191" t="inlineStr">
        <is>
          <t>Eau De Toilette</t>
        </is>
      </c>
      <c r="D20191" t="inlineStr">
        <is>
          <t>Mexx</t>
        </is>
      </c>
      <c r="E20191" t="n">
        <v>6.18</v>
      </c>
      <c r="F20191" t="n">
        <v>1</v>
      </c>
      <c r="G20191" t="n">
        <v>23</v>
      </c>
      <c r="H20191" s="5">
        <f>HYPERLINK("https://api.qogita.com/variants/link/0737052682358/", "View Product")</f>
        <v/>
      </c>
    </row>
    <row r="20192">
      <c r="A20192" t="inlineStr">
        <is>
          <t>0737052683522</t>
        </is>
      </c>
      <c r="B20192" t="inlineStr">
        <is>
          <t>Hugo Boss Deep Red EDP 50ml</t>
        </is>
      </c>
      <c r="C20192" t="inlineStr">
        <is>
          <t>Eau De Parfum</t>
        </is>
      </c>
      <c r="D20192" t="inlineStr">
        <is>
          <t>Hugo Boss</t>
        </is>
      </c>
      <c r="E20192" t="n">
        <v>19.71</v>
      </c>
      <c r="F20192" t="n">
        <v>1</v>
      </c>
      <c r="G20192" t="n">
        <v>33</v>
      </c>
      <c r="H20192" s="5">
        <f>HYPERLINK("https://api.qogita.com/variants/link/0737052683522/", "View Product")</f>
        <v/>
      </c>
    </row>
    <row r="20193">
      <c r="A20193" t="inlineStr">
        <is>
          <t>0737052755229</t>
        </is>
      </c>
      <c r="B20193" t="inlineStr">
        <is>
          <t>Bruno Banani Man Eau de Toilette Natural Spray 30ml</t>
        </is>
      </c>
      <c r="C20193" t="inlineStr">
        <is>
          <t>Eau De Toilette</t>
        </is>
      </c>
      <c r="D20193" t="inlineStr">
        <is>
          <t>Bruno Banani</t>
        </is>
      </c>
      <c r="E20193" t="n">
        <v>8.84</v>
      </c>
      <c r="F20193" t="n">
        <v>1</v>
      </c>
      <c r="G20193" t="n">
        <v>24</v>
      </c>
      <c r="H20193" s="5">
        <f>HYPERLINK("https://api.qogita.com/variants/link/0737052755229/", "View Product")</f>
        <v/>
      </c>
    </row>
    <row r="20194">
      <c r="A20194" t="inlineStr">
        <is>
          <t>0737052925073</t>
        </is>
      </c>
      <c r="B20194" t="inlineStr">
        <is>
          <t>Gucci Bamboo EDP Spray 50ml</t>
        </is>
      </c>
      <c r="C20194" t="inlineStr">
        <is>
          <t>Eau De Parfum</t>
        </is>
      </c>
      <c r="D20194" t="inlineStr">
        <is>
          <t>Gucci</t>
        </is>
      </c>
      <c r="E20194" t="n">
        <v>39.39</v>
      </c>
      <c r="F20194" t="n">
        <v>1</v>
      </c>
      <c r="G20194" t="n">
        <v>65</v>
      </c>
      <c r="H20194" s="5">
        <f>HYPERLINK("https://api.qogita.com/variants/link/0737052925073/", "View Product")</f>
        <v/>
      </c>
    </row>
    <row r="20195">
      <c r="A20195" t="inlineStr">
        <is>
          <t>0737052990873</t>
        </is>
      </c>
      <c r="B20195" t="inlineStr">
        <is>
          <t>Mexx Life Is Now Man EDT 3ml</t>
        </is>
      </c>
      <c r="C20195" t="inlineStr">
        <is>
          <t>Eau De Toilette</t>
        </is>
      </c>
      <c r="D20195" t="inlineStr">
        <is>
          <t>Mexx</t>
        </is>
      </c>
      <c r="E20195" t="n">
        <v>7.07</v>
      </c>
      <c r="F20195" t="n">
        <v>1</v>
      </c>
      <c r="G20195" t="n">
        <v>9</v>
      </c>
      <c r="H20195" s="5">
        <f>HYPERLINK("https://api.qogita.com/variants/link/0737052990873/", "View Product")</f>
        <v/>
      </c>
    </row>
    <row r="20196">
      <c r="A20196" t="inlineStr">
        <is>
          <t>0738678001370</t>
        </is>
      </c>
      <c r="B20196" t="inlineStr">
        <is>
          <t>American Crew Daily Deep Moisturizing Shampoo 250ml</t>
        </is>
      </c>
      <c r="C20196" t="inlineStr">
        <is>
          <t>Shampoo</t>
        </is>
      </c>
      <c r="D20196" t="inlineStr">
        <is>
          <t>American Crew</t>
        </is>
      </c>
      <c r="E20196" t="n">
        <v>6.08</v>
      </c>
      <c r="F20196" t="n">
        <v>1</v>
      </c>
      <c r="G20196" t="n">
        <v>5</v>
      </c>
      <c r="H20196" s="5">
        <f>HYPERLINK("https://api.qogita.com/variants/link/0738678001370/", "View Product")</f>
        <v/>
      </c>
    </row>
    <row r="20197">
      <c r="A20197" t="inlineStr">
        <is>
          <t>0738678003190</t>
        </is>
      </c>
      <c r="B20197" t="inlineStr">
        <is>
          <t>American Crew Men's Whip Styling Cream Light Hold Natural Shine 3 Oz</t>
        </is>
      </c>
      <c r="C20197" t="inlineStr">
        <is>
          <t>Styling Creams</t>
        </is>
      </c>
      <c r="D20197" t="inlineStr">
        <is>
          <t>American Crew</t>
        </is>
      </c>
      <c r="E20197" t="n">
        <v>9.94</v>
      </c>
      <c r="F20197" t="n">
        <v>1</v>
      </c>
      <c r="G20197" t="n">
        <v>5</v>
      </c>
      <c r="H20197" s="5">
        <f>HYPERLINK("https://api.qogita.com/variants/link/0738678003190/", "View Product")</f>
        <v/>
      </c>
    </row>
    <row r="20198">
      <c r="A20198" t="inlineStr">
        <is>
          <t>0738678003282</t>
        </is>
      </c>
      <c r="B20198" t="inlineStr">
        <is>
          <t>American Crew 3-IN-1 Chamomile Pine Shampoo Conditioner and Body Wash 33.8 Fl Oz</t>
        </is>
      </c>
      <c r="C20198" t="inlineStr">
        <is>
          <t>Shampoo</t>
        </is>
      </c>
      <c r="D20198" t="inlineStr">
        <is>
          <t>American Crew</t>
        </is>
      </c>
      <c r="E20198" t="n">
        <v>19.54</v>
      </c>
      <c r="F20198" t="n">
        <v>1</v>
      </c>
      <c r="G20198" t="n">
        <v>7</v>
      </c>
      <c r="H20198" s="5">
        <f>HYPERLINK("https://api.qogita.com/variants/link/0738678003282/", "View Product")</f>
        <v/>
      </c>
    </row>
    <row r="20199">
      <c r="A20199" t="inlineStr">
        <is>
          <t>0741021003365</t>
        </is>
      </c>
      <c r="B20199" t="inlineStr">
        <is>
          <t>Afterspa Peeling 2 in 1 Soap and Sponge Oatmeal</t>
        </is>
      </c>
      <c r="C20199" t="inlineStr">
        <is>
          <t>Soap</t>
        </is>
      </c>
      <c r="D20199" t="inlineStr">
        <is>
          <t>Afterspa</t>
        </is>
      </c>
      <c r="E20199" t="n">
        <v>4.2</v>
      </c>
      <c r="F20199" t="n">
        <v>1</v>
      </c>
      <c r="G20199" t="n">
        <v>6</v>
      </c>
      <c r="H20199" s="5">
        <f>HYPERLINK("https://api.qogita.com/variants/link/0741021003365/", "View Product")</f>
        <v/>
      </c>
    </row>
    <row r="20200">
      <c r="A20200" t="inlineStr">
        <is>
          <t>0746935352264</t>
        </is>
      </c>
      <c r="B20200" t="inlineStr">
        <is>
          <t>Overnight Detox Serum Charcoal, Tea Tree Oil &amp; Vitamin E Breakout Control 30 ml</t>
        </is>
      </c>
      <c r="C20200" t="inlineStr">
        <is>
          <t>Vitamin Serum</t>
        </is>
      </c>
      <c r="D20200" t="inlineStr">
        <is>
          <t>Carbon Theory</t>
        </is>
      </c>
      <c r="E20200" t="n">
        <v>9.81</v>
      </c>
      <c r="F20200" t="n">
        <v>1</v>
      </c>
      <c r="G20200" t="n">
        <v>3</v>
      </c>
      <c r="H20200" s="5">
        <f>HYPERLINK("https://api.qogita.com/variants/link/0746935352264/", "View Product")</f>
        <v/>
      </c>
    </row>
    <row r="20201">
      <c r="A20201" t="inlineStr">
        <is>
          <t>0747930003403</t>
        </is>
      </c>
      <c r="B20201" t="inlineStr">
        <is>
          <t>LA MER The Hand Treatment 100ml</t>
        </is>
      </c>
      <c r="C20201" t="inlineStr">
        <is>
          <t>Hand Cream</t>
        </is>
      </c>
      <c r="D20201" t="inlineStr">
        <is>
          <t>La Mer</t>
        </is>
      </c>
      <c r="E20201" t="n">
        <v>79.3</v>
      </c>
      <c r="F20201" t="n">
        <v>1</v>
      </c>
      <c r="G20201" t="n">
        <v>4</v>
      </c>
      <c r="H20201" s="5">
        <f>HYPERLINK("https://api.qogita.com/variants/link/0747930003403/", "View Product")</f>
        <v/>
      </c>
    </row>
    <row r="20202">
      <c r="A20202" t="inlineStr">
        <is>
          <t>0747930109211</t>
        </is>
      </c>
      <c r="B20202" t="inlineStr">
        <is>
          <t>La Mer The Revitalizing Mist</t>
        </is>
      </c>
      <c r="C20202" t="inlineStr">
        <is>
          <t>Facial Spray</t>
        </is>
      </c>
      <c r="D20202" t="inlineStr">
        <is>
          <t>La Mer</t>
        </is>
      </c>
      <c r="E20202" t="n">
        <v>69.67</v>
      </c>
      <c r="F20202" t="n">
        <v>1</v>
      </c>
      <c r="G20202" t="n">
        <v>8</v>
      </c>
      <c r="H20202" s="5">
        <f>HYPERLINK("https://api.qogita.com/variants/link/0747930109211/", "View Product")</f>
        <v/>
      </c>
    </row>
    <row r="20203">
      <c r="A20203" t="inlineStr">
        <is>
          <t>0747930139867</t>
        </is>
      </c>
      <c r="B20203" t="inlineStr">
        <is>
          <t>La Mer The Moisturizing Soft Cream 60ml</t>
        </is>
      </c>
      <c r="C20203" t="inlineStr">
        <is>
          <t>Face Cream</t>
        </is>
      </c>
      <c r="D20203" t="inlineStr">
        <is>
          <t>La Mer</t>
        </is>
      </c>
      <c r="E20203" t="n">
        <v>275.28</v>
      </c>
      <c r="F20203" t="n">
        <v>1</v>
      </c>
      <c r="G20203" t="n">
        <v>4</v>
      </c>
      <c r="H20203" s="5">
        <f>HYPERLINK("https://api.qogita.com/variants/link/0747930139867/", "View Product")</f>
        <v/>
      </c>
    </row>
    <row r="20204">
      <c r="A20204" t="inlineStr">
        <is>
          <t>0747930139881</t>
        </is>
      </c>
      <c r="B20204" t="inlineStr">
        <is>
          <t>Moisturizing Soft Cream - Volume 250 ml</t>
        </is>
      </c>
      <c r="C20204" t="inlineStr">
        <is>
          <t>Face Cream</t>
        </is>
      </c>
      <c r="D20204" t="inlineStr">
        <is>
          <t>La Mer</t>
        </is>
      </c>
      <c r="E20204" t="n">
        <v>877.37</v>
      </c>
      <c r="F20204" t="n">
        <v>1</v>
      </c>
      <c r="G20204" t="n">
        <v>2</v>
      </c>
      <c r="H20204" s="5">
        <f>HYPERLINK("https://api.qogita.com/variants/link/0747930139881/", "View Product")</f>
        <v/>
      </c>
    </row>
    <row r="20205">
      <c r="A20205" t="inlineStr">
        <is>
          <t>0750258322552</t>
        </is>
      </c>
      <c r="B20205" t="inlineStr">
        <is>
          <t>THE BASE Foundation Energetic 35ml</t>
        </is>
      </c>
      <c r="C20205" t="inlineStr">
        <is>
          <t>Foundation</t>
        </is>
      </c>
      <c r="D20205" t="inlineStr">
        <is>
          <t>Base Of Sweden</t>
        </is>
      </c>
      <c r="E20205" t="n">
        <v>19.77</v>
      </c>
      <c r="F20205" t="n">
        <v>1</v>
      </c>
      <c r="G20205" t="n">
        <v>35</v>
      </c>
      <c r="H20205" s="5">
        <f>HYPERLINK("https://api.qogita.com/variants/link/0750258322552/", "View Product")</f>
        <v/>
      </c>
    </row>
    <row r="20206">
      <c r="A20206" t="inlineStr">
        <is>
          <t>0752110702168</t>
        </is>
      </c>
      <c r="B20206" t="inlineStr">
        <is>
          <t>Olivia Garden Nanothermic Powergrip Thermal Brush with Special Patented Wavy</t>
        </is>
      </c>
      <c r="C20206" t="inlineStr">
        <is>
          <t>Round Brushes</t>
        </is>
      </c>
      <c r="D20206" t="inlineStr">
        <is>
          <t>Olivia Garden</t>
        </is>
      </c>
      <c r="E20206" t="n">
        <v>12.35</v>
      </c>
      <c r="F20206" t="n">
        <v>1</v>
      </c>
      <c r="G20206" t="n">
        <v>2</v>
      </c>
      <c r="H20206" s="5">
        <f>HYPERLINK("https://api.qogita.com/variants/link/0752110702168/", "View Product")</f>
        <v/>
      </c>
    </row>
    <row r="20207">
      <c r="A20207" t="inlineStr">
        <is>
          <t>0752110702243</t>
        </is>
      </c>
      <c r="B20207" t="inlineStr">
        <is>
          <t>Olivia Garden Ceramic Ion Round Thermal Hair Brush 2.125</t>
        </is>
      </c>
      <c r="C20207" t="inlineStr">
        <is>
          <t>Round Brushes</t>
        </is>
      </c>
      <c r="D20207" t="inlineStr">
        <is>
          <t>Olivia Garden</t>
        </is>
      </c>
      <c r="E20207" t="n">
        <v>13.12</v>
      </c>
      <c r="F20207" t="n">
        <v>1</v>
      </c>
      <c r="G20207" t="n">
        <v>5</v>
      </c>
      <c r="H20207" s="5">
        <f>HYPERLINK("https://api.qogita.com/variants/link/0752110702243/", "View Product")</f>
        <v/>
      </c>
    </row>
    <row r="20208">
      <c r="A20208" t="inlineStr">
        <is>
          <t>0752110710071</t>
        </is>
      </c>
      <c r="B20208" t="inlineStr">
        <is>
          <t>Olivia Garden Pro Thermal Brush 16mm</t>
        </is>
      </c>
      <c r="C20208" t="inlineStr">
        <is>
          <t>Round Brushes</t>
        </is>
      </c>
      <c r="D20208" t="inlineStr">
        <is>
          <t>Olivia Garden</t>
        </is>
      </c>
      <c r="E20208" t="n">
        <v>5.86</v>
      </c>
      <c r="F20208" t="n">
        <v>1</v>
      </c>
      <c r="G20208" t="n">
        <v>15</v>
      </c>
      <c r="H20208" s="5">
        <f>HYPERLINK("https://api.qogita.com/variants/link/0752110710071/", "View Product")</f>
        <v/>
      </c>
    </row>
    <row r="20209">
      <c r="A20209" t="inlineStr">
        <is>
          <t>0752110715816</t>
        </is>
      </c>
      <c r="B20209" t="inlineStr">
        <is>
          <t>Olivia Garden Ceramic + Ion Speed XL Extra-Long Barrel Hair Brush 1 Inch</t>
        </is>
      </c>
      <c r="C20209" t="inlineStr">
        <is>
          <t>Round Brushes</t>
        </is>
      </c>
      <c r="D20209" t="inlineStr">
        <is>
          <t>Olivia Garden</t>
        </is>
      </c>
      <c r="E20209" t="n">
        <v>10.38</v>
      </c>
      <c r="F20209" t="n">
        <v>1</v>
      </c>
      <c r="G20209" t="n">
        <v>16</v>
      </c>
      <c r="H20209" s="5">
        <f>HYPERLINK("https://api.qogita.com/variants/link/0752110715816/", "View Product")</f>
        <v/>
      </c>
    </row>
    <row r="20210">
      <c r="A20210" t="inlineStr">
        <is>
          <t>0752110717469</t>
        </is>
      </c>
      <c r="B20210" t="inlineStr">
        <is>
          <t>Olivia Garden iStyle Fine Hair Brush</t>
        </is>
      </c>
      <c r="C20210" t="inlineStr">
        <is>
          <t>Flat &amp; Paddle Brushes</t>
        </is>
      </c>
      <c r="D20210" t="inlineStr">
        <is>
          <t>Olivia Garden</t>
        </is>
      </c>
      <c r="E20210" t="n">
        <v>8.289999999999999</v>
      </c>
      <c r="F20210" t="n">
        <v>1</v>
      </c>
      <c r="G20210" t="n">
        <v>3</v>
      </c>
      <c r="H20210" s="5">
        <f>HYPERLINK("https://api.qogita.com/variants/link/0752110717469/", "View Product")</f>
        <v/>
      </c>
    </row>
    <row r="20211">
      <c r="A20211" t="inlineStr">
        <is>
          <t>0752110721640</t>
        </is>
      </c>
      <c r="B20211" t="inlineStr">
        <is>
          <t>Olivia Garden OG Brush Detangler Medium - Thick Multicolor</t>
        </is>
      </c>
      <c r="C20211" t="inlineStr">
        <is>
          <t>Detanglers</t>
        </is>
      </c>
      <c r="D20211" t="inlineStr">
        <is>
          <t>Olivia Garden</t>
        </is>
      </c>
      <c r="E20211" t="n">
        <v>8.890000000000001</v>
      </c>
      <c r="F20211" t="n">
        <v>1</v>
      </c>
      <c r="G20211" t="n">
        <v>4</v>
      </c>
      <c r="H20211" s="5">
        <f>HYPERLINK("https://api.qogita.com/variants/link/0752110721640/", "View Product")</f>
        <v/>
      </c>
    </row>
    <row r="20212">
      <c r="A20212" t="inlineStr">
        <is>
          <t>0761828009858</t>
        </is>
      </c>
      <c r="B20212" t="inlineStr">
        <is>
          <t>Umbro Energy EDT 100ml</t>
        </is>
      </c>
      <c r="C20212" t="inlineStr">
        <is>
          <t>Eau De Toilette</t>
        </is>
      </c>
      <c r="D20212" t="inlineStr">
        <is>
          <t>Umbro</t>
        </is>
      </c>
      <c r="E20212" t="n">
        <v>3.8</v>
      </c>
      <c r="F20212" t="n">
        <v>1</v>
      </c>
      <c r="G20212" t="n">
        <v>25</v>
      </c>
      <c r="H20212" s="5">
        <f>HYPERLINK("https://api.qogita.com/variants/link/0761828009858/", "View Product")</f>
        <v/>
      </c>
    </row>
    <row r="20213">
      <c r="A20213" t="inlineStr">
        <is>
          <t>0773602001071</t>
        </is>
      </c>
      <c r="B20213" t="inlineStr">
        <is>
          <t>MAC Small Eye Shadow Chrome Yellow 1.5g/0.05oz.</t>
        </is>
      </c>
      <c r="C20213" t="inlineStr">
        <is>
          <t>Eyeshadow</t>
        </is>
      </c>
      <c r="D20213" t="inlineStr">
        <is>
          <t>Mac</t>
        </is>
      </c>
      <c r="E20213" t="n">
        <v>13.13</v>
      </c>
      <c r="F20213" t="n">
        <v>1</v>
      </c>
      <c r="G20213" t="n">
        <v>6</v>
      </c>
      <c r="H20213" s="5">
        <f>HYPERLINK("https://api.qogita.com/variants/link/0773602001071/", "View Product")</f>
        <v/>
      </c>
    </row>
    <row r="20214">
      <c r="A20214" t="inlineStr">
        <is>
          <t>0773602001309</t>
        </is>
      </c>
      <c r="B20214" t="inlineStr">
        <is>
          <t>MAC AcM Small Eye Shadow</t>
        </is>
      </c>
      <c r="C20214" t="inlineStr">
        <is>
          <t>Eyeshadow</t>
        </is>
      </c>
      <c r="D20214" t="inlineStr">
        <is>
          <t>Mac</t>
        </is>
      </c>
      <c r="E20214" t="n">
        <v>13.13</v>
      </c>
      <c r="F20214" t="n">
        <v>1</v>
      </c>
      <c r="G20214" t="n">
        <v>5</v>
      </c>
      <c r="H20214" s="5">
        <f>HYPERLINK("https://api.qogita.com/variants/link/0773602001309/", "View Product")</f>
        <v/>
      </c>
    </row>
    <row r="20215">
      <c r="A20215" t="inlineStr">
        <is>
          <t>0773602001354</t>
        </is>
      </c>
      <c r="B20215" t="inlineStr">
        <is>
          <t>Mac Small Eye Shadow Satin Haux 1.5g</t>
        </is>
      </c>
      <c r="C20215" t="inlineStr">
        <is>
          <t>Eyeshadow</t>
        </is>
      </c>
      <c r="D20215" t="inlineStr">
        <is>
          <t>Mac</t>
        </is>
      </c>
      <c r="E20215" t="n">
        <v>18.61</v>
      </c>
      <c r="F20215" t="n">
        <v>1</v>
      </c>
      <c r="G20215" t="n">
        <v>3</v>
      </c>
      <c r="H20215" s="5">
        <f>HYPERLINK("https://api.qogita.com/variants/link/0773602001354/", "View Product")</f>
        <v/>
      </c>
    </row>
    <row r="20216">
      <c r="A20216" t="inlineStr">
        <is>
          <t>0773602001620</t>
        </is>
      </c>
      <c r="B20216" t="inlineStr">
        <is>
          <t>MAC Satin Eye Shadow 15g 010 Print</t>
        </is>
      </c>
      <c r="C20216" t="inlineStr">
        <is>
          <t>Eyeshadow</t>
        </is>
      </c>
      <c r="D20216" t="inlineStr">
        <is>
          <t>Mac</t>
        </is>
      </c>
      <c r="E20216" t="n">
        <v>13.33</v>
      </c>
      <c r="F20216" t="n">
        <v>1</v>
      </c>
      <c r="G20216" t="n">
        <v>5</v>
      </c>
      <c r="H20216" s="5">
        <f>HYPERLINK("https://api.qogita.com/variants/link/0773602001620/", "View Product")</f>
        <v/>
      </c>
    </row>
    <row r="20217">
      <c r="A20217" t="inlineStr">
        <is>
          <t>0773602001736</t>
        </is>
      </c>
      <c r="B20217" t="inlineStr">
        <is>
          <t>MAC Cosmetics Eye Shadow 1.5g/0.05oz Scene</t>
        </is>
      </c>
      <c r="C20217" t="inlineStr">
        <is>
          <t>Eyeshadow</t>
        </is>
      </c>
      <c r="D20217" t="inlineStr">
        <is>
          <t>Mac</t>
        </is>
      </c>
      <c r="E20217" t="n">
        <v>13.74</v>
      </c>
      <c r="F20217" t="n">
        <v>1</v>
      </c>
      <c r="G20217" t="n">
        <v>3</v>
      </c>
      <c r="H20217" s="5">
        <f>HYPERLINK("https://api.qogita.com/variants/link/0773602001736/", "View Product")</f>
        <v/>
      </c>
    </row>
    <row r="20218">
      <c r="A20218" t="inlineStr">
        <is>
          <t>0773602001767</t>
        </is>
      </c>
      <c r="B20218" t="inlineStr">
        <is>
          <t>MAC Small Velvet Eyeshadow Sketch 1.5g</t>
        </is>
      </c>
      <c r="C20218" t="inlineStr">
        <is>
          <t>Eyeshadow</t>
        </is>
      </c>
      <c r="D20218" t="inlineStr">
        <is>
          <t>Mac</t>
        </is>
      </c>
      <c r="E20218" t="n">
        <v>13.34</v>
      </c>
      <c r="F20218" t="n">
        <v>1</v>
      </c>
      <c r="G20218" t="n">
        <v>8</v>
      </c>
      <c r="H20218" s="5">
        <f>HYPERLINK("https://api.qogita.com/variants/link/0773602001767/", "View Product")</f>
        <v/>
      </c>
    </row>
    <row r="20219">
      <c r="A20219" t="inlineStr">
        <is>
          <t>0773602002177</t>
        </is>
      </c>
      <c r="B20219" t="inlineStr">
        <is>
          <t>MAC Lip Pencil Stone 1 Count</t>
        </is>
      </c>
      <c r="C20219" t="inlineStr">
        <is>
          <t>Lip Liner</t>
        </is>
      </c>
      <c r="D20219" t="inlineStr">
        <is>
          <t>Mac</t>
        </is>
      </c>
      <c r="E20219" t="n">
        <v>16.2</v>
      </c>
      <c r="F20219" t="n">
        <v>1</v>
      </c>
      <c r="G20219" t="n">
        <v>9</v>
      </c>
      <c r="H20219" s="5">
        <f>HYPERLINK("https://api.qogita.com/variants/link/0773602002177/", "View Product")</f>
        <v/>
      </c>
    </row>
    <row r="20220">
      <c r="A20220" t="inlineStr">
        <is>
          <t>0773602006182</t>
        </is>
      </c>
      <c r="B20220" t="inlineStr">
        <is>
          <t>MAC #316 Lip Brush</t>
        </is>
      </c>
      <c r="C20220" t="inlineStr">
        <is>
          <t>Lip Brushes</t>
        </is>
      </c>
      <c r="D20220" t="inlineStr">
        <is>
          <t>Mac</t>
        </is>
      </c>
      <c r="E20220" t="n">
        <v>20.18</v>
      </c>
      <c r="F20220" t="n">
        <v>1</v>
      </c>
      <c r="G20220" t="n">
        <v>6</v>
      </c>
      <c r="H20220" s="5">
        <f>HYPERLINK("https://api.qogita.com/variants/link/0773602006182/", "View Product")</f>
        <v/>
      </c>
    </row>
    <row r="20221">
      <c r="A20221" t="inlineStr">
        <is>
          <t>0773602017966</t>
        </is>
      </c>
      <c r="B20221" t="inlineStr">
        <is>
          <t>MAC Eye Shadow Paradisco Frost Eye Shadow Women 0.05 oz</t>
        </is>
      </c>
      <c r="C20221" t="inlineStr">
        <is>
          <t>Eyeshadow</t>
        </is>
      </c>
      <c r="D20221" t="inlineStr">
        <is>
          <t>Mac</t>
        </is>
      </c>
      <c r="E20221" t="n">
        <v>14.54</v>
      </c>
      <c r="F20221" t="n">
        <v>1</v>
      </c>
      <c r="G20221" t="n">
        <v>3</v>
      </c>
      <c r="H20221" s="5">
        <f>HYPERLINK("https://api.qogita.com/variants/link/0773602017966/", "View Product")</f>
        <v/>
      </c>
    </row>
    <row r="20222">
      <c r="A20222" t="inlineStr">
        <is>
          <t>0773602037612</t>
        </is>
      </c>
      <c r="B20222" t="inlineStr">
        <is>
          <t>MAC Sheertone Blush Peaches Blush Women 0.2oz Beige</t>
        </is>
      </c>
      <c r="C20222" t="inlineStr">
        <is>
          <t>Blush</t>
        </is>
      </c>
      <c r="D20222" t="inlineStr">
        <is>
          <t>Mac</t>
        </is>
      </c>
      <c r="E20222" t="n">
        <v>21.57</v>
      </c>
      <c r="F20222" t="n">
        <v>1</v>
      </c>
      <c r="G20222" t="n">
        <v>8</v>
      </c>
      <c r="H20222" s="5">
        <f>HYPERLINK("https://api.qogita.com/variants/link/0773602037612/", "View Product")</f>
        <v/>
      </c>
    </row>
    <row r="20223">
      <c r="A20223" t="inlineStr">
        <is>
          <t>0773602059782</t>
        </is>
      </c>
      <c r="B20223" t="inlineStr">
        <is>
          <t>MAC Studio Finish SPF 35 Concealer</t>
        </is>
      </c>
      <c r="C20223" t="inlineStr">
        <is>
          <t>Concealer</t>
        </is>
      </c>
      <c r="D20223" t="inlineStr">
        <is>
          <t>Mac</t>
        </is>
      </c>
      <c r="E20223" t="n">
        <v>19.65</v>
      </c>
      <c r="F20223" t="n">
        <v>1</v>
      </c>
      <c r="G20223" t="n">
        <v>2</v>
      </c>
      <c r="H20223" s="5">
        <f>HYPERLINK("https://api.qogita.com/variants/link/0773602059782/", "View Product")</f>
        <v/>
      </c>
    </row>
    <row r="20224">
      <c r="A20224" t="inlineStr">
        <is>
          <t>0773602066063</t>
        </is>
      </c>
      <c r="B20224" t="inlineStr">
        <is>
          <t>MAC Eye Shadow Gesso 1.5g/0.05oz</t>
        </is>
      </c>
      <c r="C20224" t="inlineStr">
        <is>
          <t>Eyeshadow</t>
        </is>
      </c>
      <c r="D20224" t="inlineStr">
        <is>
          <t>MAC Cosmetics</t>
        </is>
      </c>
      <c r="E20224" t="n">
        <v>15.71</v>
      </c>
      <c r="F20224" t="n">
        <v>1</v>
      </c>
      <c r="G20224" t="n">
        <v>2</v>
      </c>
      <c r="H20224" s="5">
        <f>HYPERLINK("https://api.qogita.com/variants/link/0773602066063/", "View Product")</f>
        <v/>
      </c>
    </row>
    <row r="20225">
      <c r="A20225" t="inlineStr">
        <is>
          <t>0773602066407</t>
        </is>
      </c>
      <c r="B20225" t="inlineStr">
        <is>
          <t>MAC Lip Pencil Whirl 1.45g/0.05oz</t>
        </is>
      </c>
      <c r="C20225" t="inlineStr">
        <is>
          <t>Lip Liner</t>
        </is>
      </c>
      <c r="D20225" t="inlineStr">
        <is>
          <t>Mac</t>
        </is>
      </c>
      <c r="E20225" t="n">
        <v>16.8</v>
      </c>
      <c r="F20225" t="n">
        <v>1</v>
      </c>
      <c r="G20225" t="n">
        <v>16</v>
      </c>
      <c r="H20225" s="5">
        <f>HYPERLINK("https://api.qogita.com/variants/link/0773602066407/", "View Product")</f>
        <v/>
      </c>
    </row>
    <row r="20226">
      <c r="A20226" t="inlineStr">
        <is>
          <t>0773602066421</t>
        </is>
      </c>
      <c r="B20226" t="inlineStr">
        <is>
          <t>MAC Lip Liner Pencil Subculture</t>
        </is>
      </c>
      <c r="C20226" t="inlineStr">
        <is>
          <t>Lip Liner</t>
        </is>
      </c>
      <c r="D20226" t="inlineStr">
        <is>
          <t>MAC Cosmetics</t>
        </is>
      </c>
      <c r="E20226" t="n">
        <v>16.8</v>
      </c>
      <c r="F20226" t="n">
        <v>1</v>
      </c>
      <c r="G20226" t="n">
        <v>8</v>
      </c>
      <c r="H20226" s="5">
        <f>HYPERLINK("https://api.qogita.com/variants/link/0773602066421/", "View Product")</f>
        <v/>
      </c>
    </row>
    <row r="20227">
      <c r="A20227" t="inlineStr">
        <is>
          <t>0773602069989</t>
        </is>
      </c>
      <c r="B20227" t="inlineStr">
        <is>
          <t>MAC Prep + Prime Lip 0.05 Ounce</t>
        </is>
      </c>
      <c r="C20227" t="inlineStr">
        <is>
          <t>Lip Primer</t>
        </is>
      </c>
      <c r="D20227" t="inlineStr">
        <is>
          <t>Mac</t>
        </is>
      </c>
      <c r="E20227" t="n">
        <v>18.2</v>
      </c>
      <c r="F20227" t="n">
        <v>1</v>
      </c>
      <c r="G20227" t="n">
        <v>12</v>
      </c>
      <c r="H20227" s="5">
        <f>HYPERLINK("https://api.qogita.com/variants/link/0773602069989/", "View Product")</f>
        <v/>
      </c>
    </row>
    <row r="20228">
      <c r="A20228" t="inlineStr">
        <is>
          <t>0773602106141</t>
        </is>
      </c>
      <c r="B20228" t="inlineStr">
        <is>
          <t>MAC sheertone shimmer blush peachwist 6g</t>
        </is>
      </c>
      <c r="C20228" t="inlineStr">
        <is>
          <t>Blush</t>
        </is>
      </c>
      <c r="D20228" t="inlineStr">
        <is>
          <t>Mac</t>
        </is>
      </c>
      <c r="E20228" t="n">
        <v>21.57</v>
      </c>
      <c r="F20228" t="n">
        <v>1</v>
      </c>
      <c r="G20228" t="n">
        <v>3</v>
      </c>
      <c r="H20228" s="5">
        <f>HYPERLINK("https://api.qogita.com/variants/link/0773602106141/", "View Product")</f>
        <v/>
      </c>
    </row>
    <row r="20229">
      <c r="A20229" t="inlineStr">
        <is>
          <t>0773602169740</t>
        </is>
      </c>
      <c r="B20229" t="inlineStr">
        <is>
          <t>Mac False Lashes 48</t>
        </is>
      </c>
      <c r="C20229" t="inlineStr">
        <is>
          <t>False Eyelashes</t>
        </is>
      </c>
      <c r="D20229" t="inlineStr">
        <is>
          <t>Mac</t>
        </is>
      </c>
      <c r="E20229" t="n">
        <v>10.75</v>
      </c>
      <c r="F20229" t="n">
        <v>1</v>
      </c>
      <c r="G20229" t="n">
        <v>4</v>
      </c>
      <c r="H20229" s="5">
        <f>HYPERLINK("https://api.qogita.com/variants/link/0773602169740/", "View Product")</f>
        <v/>
      </c>
    </row>
    <row r="20230">
      <c r="A20230" t="inlineStr">
        <is>
          <t>0773602187126</t>
        </is>
      </c>
      <c r="B20230" t="inlineStr">
        <is>
          <t>MAC Pigment Blue Brown</t>
        </is>
      </c>
      <c r="C20230" t="inlineStr">
        <is>
          <t>Eyeshadow</t>
        </is>
      </c>
      <c r="D20230" t="inlineStr">
        <is>
          <t>Mac</t>
        </is>
      </c>
      <c r="E20230" t="n">
        <v>18.15</v>
      </c>
      <c r="F20230" t="n">
        <v>1</v>
      </c>
      <c r="G20230" t="n">
        <v>2</v>
      </c>
      <c r="H20230" s="5">
        <f>HYPERLINK("https://api.qogita.com/variants/link/0773602187126/", "View Product")</f>
        <v/>
      </c>
    </row>
    <row r="20231">
      <c r="A20231" t="inlineStr">
        <is>
          <t>0773602187133</t>
        </is>
      </c>
      <c r="B20231" t="inlineStr">
        <is>
          <t>MAC Pigmented Eyeshadow 4.5g Copper Sparkle</t>
        </is>
      </c>
      <c r="C20231" t="inlineStr">
        <is>
          <t>Eyeshadow</t>
        </is>
      </c>
      <c r="D20231" t="inlineStr">
        <is>
          <t>Mac</t>
        </is>
      </c>
      <c r="E20231" t="n">
        <v>17.69</v>
      </c>
      <c r="F20231" t="n">
        <v>1</v>
      </c>
      <c r="G20231" t="n">
        <v>6</v>
      </c>
      <c r="H20231" s="5">
        <f>HYPERLINK("https://api.qogita.com/variants/link/0773602187133/", "View Product")</f>
        <v/>
      </c>
    </row>
    <row r="20232">
      <c r="A20232" t="inlineStr">
        <is>
          <t>0773602187171</t>
        </is>
      </c>
      <c r="B20232" t="inlineStr">
        <is>
          <t>MAC Rose Pigment</t>
        </is>
      </c>
      <c r="C20232" t="inlineStr">
        <is>
          <t>Eyeshadow</t>
        </is>
      </c>
      <c r="D20232" t="inlineStr">
        <is>
          <t>Mac</t>
        </is>
      </c>
      <c r="E20232" t="n">
        <v>17.65</v>
      </c>
      <c r="F20232" t="n">
        <v>1</v>
      </c>
      <c r="G20232" t="n">
        <v>5</v>
      </c>
      <c r="H20232" s="5">
        <f>HYPERLINK("https://api.qogita.com/variants/link/0773602187171/", "View Product")</f>
        <v/>
      </c>
    </row>
    <row r="20233">
      <c r="A20233" t="inlineStr">
        <is>
          <t>0773602207220</t>
        </is>
      </c>
      <c r="B20233" t="inlineStr">
        <is>
          <t>Mac Pro Longwear Concealer 9ml</t>
        </is>
      </c>
      <c r="C20233" t="inlineStr">
        <is>
          <t>Concealer</t>
        </is>
      </c>
      <c r="D20233" t="inlineStr">
        <is>
          <t>Mac</t>
        </is>
      </c>
      <c r="E20233" t="n">
        <v>17.83</v>
      </c>
      <c r="F20233" t="n">
        <v>1</v>
      </c>
      <c r="G20233" t="n">
        <v>9</v>
      </c>
      <c r="H20233" s="5">
        <f>HYPERLINK("https://api.qogita.com/variants/link/0773602207220/", "View Product")</f>
        <v/>
      </c>
    </row>
    <row r="20234">
      <c r="A20234" t="inlineStr">
        <is>
          <t>0773602276219</t>
        </is>
      </c>
      <c r="B20234" t="inlineStr">
        <is>
          <t>MAC Full Eye Lash Curler</t>
        </is>
      </c>
      <c r="C20234" t="inlineStr">
        <is>
          <t>Eyelash Curlers</t>
        </is>
      </c>
      <c r="D20234" t="inlineStr">
        <is>
          <t>Mac</t>
        </is>
      </c>
      <c r="E20234" t="n">
        <v>18.43</v>
      </c>
      <c r="F20234" t="n">
        <v>1</v>
      </c>
      <c r="G20234" t="n">
        <v>6</v>
      </c>
      <c r="H20234" s="5">
        <f>HYPERLINK("https://api.qogita.com/variants/link/0773602276219/", "View Product")</f>
        <v/>
      </c>
    </row>
    <row r="20235">
      <c r="A20235" t="inlineStr">
        <is>
          <t>0773602305803</t>
        </is>
      </c>
      <c r="B20235" t="inlineStr">
        <is>
          <t>Mac Pro Longwear Paint Pot Eye Shadow Groundwork</t>
        </is>
      </c>
      <c r="C20235" t="inlineStr">
        <is>
          <t>Eyeshadow</t>
        </is>
      </c>
      <c r="D20235" t="inlineStr">
        <is>
          <t>Mac</t>
        </is>
      </c>
      <c r="E20235" t="n">
        <v>20.31</v>
      </c>
      <c r="F20235" t="n">
        <v>1</v>
      </c>
      <c r="G20235" t="n">
        <v>16</v>
      </c>
      <c r="H20235" s="5">
        <f>HYPERLINK("https://api.qogita.com/variants/link/0773602305803/", "View Product")</f>
        <v/>
      </c>
    </row>
    <row r="20236">
      <c r="A20236" t="inlineStr">
        <is>
          <t>0773602306183</t>
        </is>
      </c>
      <c r="B20236" t="inlineStr">
        <is>
          <t>MAC Pro Longwear Paint Pot Vintage Selection</t>
        </is>
      </c>
      <c r="C20236" t="inlineStr">
        <is>
          <t>Eyeshadow</t>
        </is>
      </c>
      <c r="D20236" t="inlineStr">
        <is>
          <t>Mac</t>
        </is>
      </c>
      <c r="E20236" t="n">
        <v>20.31</v>
      </c>
      <c r="F20236" t="n">
        <v>1</v>
      </c>
      <c r="G20236" t="n">
        <v>10</v>
      </c>
      <c r="H20236" s="5">
        <f>HYPERLINK("https://api.qogita.com/variants/link/0773602306183/", "View Product")</f>
        <v/>
      </c>
    </row>
    <row r="20237">
      <c r="A20237" t="inlineStr">
        <is>
          <t>0773602326853</t>
        </is>
      </c>
      <c r="B20237" t="inlineStr">
        <is>
          <t>MAC Prep + Prime Natural Radiance 50ml</t>
        </is>
      </c>
      <c r="C20237" t="inlineStr">
        <is>
          <t>Primer</t>
        </is>
      </c>
      <c r="D20237" t="inlineStr">
        <is>
          <t>Mac</t>
        </is>
      </c>
      <c r="E20237" t="n">
        <v>30.83</v>
      </c>
      <c r="F20237" t="n">
        <v>1</v>
      </c>
      <c r="G20237" t="n">
        <v>6</v>
      </c>
      <c r="H20237" s="5">
        <f>HYPERLINK("https://api.qogita.com/variants/link/0773602326853/", "View Product")</f>
        <v/>
      </c>
    </row>
    <row r="20238">
      <c r="A20238" t="inlineStr">
        <is>
          <t>0773602337194</t>
        </is>
      </c>
      <c r="B20238" t="inlineStr">
        <is>
          <t>Mac Mineralize Skinfinish Natural Dark Deep  powder</t>
        </is>
      </c>
      <c r="C20238" t="inlineStr">
        <is>
          <t>Powder</t>
        </is>
      </c>
      <c r="D20238" t="inlineStr">
        <is>
          <t>Mac</t>
        </is>
      </c>
      <c r="E20238" t="n">
        <v>30.47</v>
      </c>
      <c r="F20238" t="n">
        <v>1</v>
      </c>
      <c r="G20238" t="n">
        <v>10</v>
      </c>
      <c r="H20238" s="5">
        <f>HYPERLINK("https://api.qogita.com/variants/link/0773602337194/", "View Product")</f>
        <v/>
      </c>
    </row>
    <row r="20239">
      <c r="A20239" t="inlineStr">
        <is>
          <t>0773602357888</t>
        </is>
      </c>
      <c r="B20239" t="inlineStr">
        <is>
          <t>Mac Cosmetics Le Disko Dazzleshadow Eyeshadow Let's Roll 0.04 Oz</t>
        </is>
      </c>
      <c r="C20239" t="inlineStr">
        <is>
          <t>Eyeshadow</t>
        </is>
      </c>
      <c r="D20239" t="inlineStr">
        <is>
          <t>MAC Cosmetics</t>
        </is>
      </c>
      <c r="E20239" t="n">
        <v>14.86</v>
      </c>
      <c r="F20239" t="n">
        <v>1</v>
      </c>
      <c r="G20239" t="n">
        <v>3</v>
      </c>
      <c r="H20239" s="5">
        <f>HYPERLINK("https://api.qogita.com/variants/link/0773602357888/", "View Product")</f>
        <v/>
      </c>
    </row>
    <row r="20240">
      <c r="A20240" t="inlineStr">
        <is>
          <t>0773602367153</t>
        </is>
      </c>
      <c r="B20240" t="inlineStr">
        <is>
          <t>Mac Studio Waterweight Foundation Spf30 Nc15 30ml</t>
        </is>
      </c>
      <c r="C20240" t="inlineStr">
        <is>
          <t>Foundation</t>
        </is>
      </c>
      <c r="D20240" t="inlineStr">
        <is>
          <t>Mac</t>
        </is>
      </c>
      <c r="E20240" t="n">
        <v>31.1</v>
      </c>
      <c r="F20240" t="n">
        <v>1</v>
      </c>
      <c r="G20240" t="n">
        <v>2</v>
      </c>
      <c r="H20240" s="5">
        <f>HYPERLINK("https://api.qogita.com/variants/link/0773602367153/", "View Product")</f>
        <v/>
      </c>
    </row>
    <row r="20241">
      <c r="A20241" t="inlineStr">
        <is>
          <t>0773602367221</t>
        </is>
      </c>
      <c r="B20241" t="inlineStr">
        <is>
          <t>MAC Studio Waterweight SPF 30/PA++ Foundation</t>
        </is>
      </c>
      <c r="C20241" t="inlineStr">
        <is>
          <t>Foundation</t>
        </is>
      </c>
      <c r="D20241" t="inlineStr">
        <is>
          <t>Mac</t>
        </is>
      </c>
      <c r="E20241" t="n">
        <v>24.67</v>
      </c>
      <c r="F20241" t="n">
        <v>1</v>
      </c>
      <c r="G20241" t="n">
        <v>2</v>
      </c>
      <c r="H20241" s="5">
        <f>HYPERLINK("https://api.qogita.com/variants/link/0773602367221/", "View Product")</f>
        <v/>
      </c>
    </row>
    <row r="20242">
      <c r="A20242" t="inlineStr">
        <is>
          <t>0773602367245</t>
        </is>
      </c>
      <c r="B20242" t="inlineStr">
        <is>
          <t>Mac Studio Waterweight SPF30 Foundation Tom NC45 30ml</t>
        </is>
      </c>
      <c r="C20242" t="inlineStr">
        <is>
          <t>Foundation</t>
        </is>
      </c>
      <c r="D20242" t="inlineStr">
        <is>
          <t>Mac</t>
        </is>
      </c>
      <c r="E20242" t="n">
        <v>25.69</v>
      </c>
      <c r="F20242" t="n">
        <v>1</v>
      </c>
      <c r="G20242" t="n">
        <v>6</v>
      </c>
      <c r="H20242" s="5">
        <f>HYPERLINK("https://api.qogita.com/variants/link/0773602367245/", "View Product")</f>
        <v/>
      </c>
    </row>
    <row r="20243">
      <c r="A20243" t="inlineStr">
        <is>
          <t>0773602367283</t>
        </is>
      </c>
      <c r="B20243" t="inlineStr">
        <is>
          <t>MAC Studio Waterweight Liquid Foundation SPF30 Nw18</t>
        </is>
      </c>
      <c r="C20243" t="inlineStr">
        <is>
          <t>Foundation</t>
        </is>
      </c>
      <c r="D20243" t="inlineStr">
        <is>
          <t>Mac</t>
        </is>
      </c>
      <c r="E20243" t="n">
        <v>31.1</v>
      </c>
      <c r="F20243" t="n">
        <v>1</v>
      </c>
      <c r="G20243" t="n">
        <v>7</v>
      </c>
      <c r="H20243" s="5">
        <f>HYPERLINK("https://api.qogita.com/variants/link/0773602367283/", "View Product")</f>
        <v/>
      </c>
    </row>
    <row r="20244">
      <c r="A20244" t="inlineStr">
        <is>
          <t>0773602367306</t>
        </is>
      </c>
      <c r="B20244" t="inlineStr">
        <is>
          <t>Mac Studio Waterweight Foundation nw22 30ml</t>
        </is>
      </c>
      <c r="C20244" t="inlineStr">
        <is>
          <t>Foundation</t>
        </is>
      </c>
      <c r="D20244" t="inlineStr">
        <is>
          <t>Mac</t>
        </is>
      </c>
      <c r="E20244" t="n">
        <v>29.46</v>
      </c>
      <c r="F20244" t="n">
        <v>1</v>
      </c>
      <c r="G20244" t="n">
        <v>5</v>
      </c>
      <c r="H20244" s="5">
        <f>HYPERLINK("https://api.qogita.com/variants/link/0773602367306/", "View Product")</f>
        <v/>
      </c>
    </row>
    <row r="20245">
      <c r="A20245" t="inlineStr">
        <is>
          <t>0773602369843</t>
        </is>
      </c>
      <c r="B20245" t="inlineStr">
        <is>
          <t>Mac Mineralize Timecheck Lotion 30ml</t>
        </is>
      </c>
      <c r="C20245" t="inlineStr">
        <is>
          <t>Face Cream</t>
        </is>
      </c>
      <c r="D20245" t="inlineStr">
        <is>
          <t>Mac</t>
        </is>
      </c>
      <c r="E20245" t="n">
        <v>29.34</v>
      </c>
      <c r="F20245" t="n">
        <v>1</v>
      </c>
      <c r="G20245" t="n">
        <v>5</v>
      </c>
      <c r="H20245" s="5">
        <f>HYPERLINK("https://api.qogita.com/variants/link/0773602369843/", "View Product")</f>
        <v/>
      </c>
    </row>
    <row r="20246">
      <c r="A20246" t="inlineStr">
        <is>
          <t>0773602376124</t>
        </is>
      </c>
      <c r="B20246" t="inlineStr">
        <is>
          <t>Mac Retro Matte Liquid Lipcolour 5ml 102 Dance With Me</t>
        </is>
      </c>
      <c r="C20246" t="inlineStr">
        <is>
          <t>Lipstick</t>
        </is>
      </c>
      <c r="D20246" t="inlineStr">
        <is>
          <t>Mac</t>
        </is>
      </c>
      <c r="E20246" t="n">
        <v>21.74</v>
      </c>
      <c r="F20246" t="n">
        <v>1</v>
      </c>
      <c r="G20246" t="n">
        <v>4</v>
      </c>
      <c r="H20246" s="5">
        <f>HYPERLINK("https://api.qogita.com/variants/link/0773602376124/", "View Product")</f>
        <v/>
      </c>
    </row>
    <row r="20247">
      <c r="A20247" t="inlineStr">
        <is>
          <t>0773602376131</t>
        </is>
      </c>
      <c r="B20247" t="inlineStr">
        <is>
          <t>MAC Powder Kiss Retro Matte Lipstick 5ml</t>
        </is>
      </c>
      <c r="C20247" t="inlineStr">
        <is>
          <t>Lipstick</t>
        </is>
      </c>
      <c r="D20247" t="inlineStr">
        <is>
          <t>Mac</t>
        </is>
      </c>
      <c r="E20247" t="n">
        <v>18.19</v>
      </c>
      <c r="F20247" t="n">
        <v>1</v>
      </c>
      <c r="G20247" t="n">
        <v>2</v>
      </c>
      <c r="H20247" s="5">
        <f>HYPERLINK("https://api.qogita.com/variants/link/0773602376131/", "View Product")</f>
        <v/>
      </c>
    </row>
    <row r="20248">
      <c r="A20248" t="inlineStr">
        <is>
          <t>0773602387038</t>
        </is>
      </c>
      <c r="B20248" t="inlineStr">
        <is>
          <t>MAC Powder Blush 6g Film Noir</t>
        </is>
      </c>
      <c r="C20248" t="inlineStr">
        <is>
          <t>Blush</t>
        </is>
      </c>
      <c r="D20248" t="inlineStr">
        <is>
          <t>Mac</t>
        </is>
      </c>
      <c r="E20248" t="n">
        <v>17.68</v>
      </c>
      <c r="F20248" t="n">
        <v>1</v>
      </c>
      <c r="G20248" t="n">
        <v>2</v>
      </c>
      <c r="H20248" s="5">
        <f>HYPERLINK("https://api.qogita.com/variants/link/0773602387038/", "View Product")</f>
        <v/>
      </c>
    </row>
    <row r="20249">
      <c r="A20249" t="inlineStr">
        <is>
          <t>0773602403110</t>
        </is>
      </c>
      <c r="B20249" t="inlineStr">
        <is>
          <t>MAC Veluxe Brow Liner Omega 0.04 Oz</t>
        </is>
      </c>
      <c r="C20249" t="inlineStr">
        <is>
          <t>Eyebrow Pencil</t>
        </is>
      </c>
      <c r="D20249" t="inlineStr">
        <is>
          <t>Mac</t>
        </is>
      </c>
      <c r="E20249" t="n">
        <v>21.57</v>
      </c>
      <c r="F20249" t="n">
        <v>1</v>
      </c>
      <c r="G20249" t="n">
        <v>9</v>
      </c>
      <c r="H20249" s="5">
        <f>HYPERLINK("https://api.qogita.com/variants/link/0773602403110/", "View Product")</f>
        <v/>
      </c>
    </row>
    <row r="20250">
      <c r="A20250" t="inlineStr">
        <is>
          <t>0773602408405</t>
        </is>
      </c>
      <c r="B20250" t="inlineStr">
        <is>
          <t>Mac Eye Shadow Shale</t>
        </is>
      </c>
      <c r="C20250" t="inlineStr">
        <is>
          <t>Eyeshadow</t>
        </is>
      </c>
      <c r="D20250" t="inlineStr">
        <is>
          <t>Mac</t>
        </is>
      </c>
      <c r="E20250" t="n">
        <v>13.74</v>
      </c>
      <c r="F20250" t="n">
        <v>1</v>
      </c>
      <c r="G20250" t="n">
        <v>4</v>
      </c>
      <c r="H20250" s="5">
        <f>HYPERLINK("https://api.qogita.com/variants/link/0773602408405/", "View Product")</f>
        <v/>
      </c>
    </row>
    <row r="20251">
      <c r="A20251" t="inlineStr">
        <is>
          <t>0773602411474</t>
        </is>
      </c>
      <c r="B20251" t="inlineStr">
        <is>
          <t>MAC Lipglass Oyster Girl 3.1ml 0.1 Fl Oz</t>
        </is>
      </c>
      <c r="C20251" t="inlineStr">
        <is>
          <t>Lip Gloss</t>
        </is>
      </c>
      <c r="D20251" t="inlineStr">
        <is>
          <t>Mac</t>
        </is>
      </c>
      <c r="E20251" t="n">
        <v>17.14</v>
      </c>
      <c r="F20251" t="n">
        <v>1</v>
      </c>
      <c r="G20251" t="n">
        <v>5</v>
      </c>
      <c r="H20251" s="5">
        <f>HYPERLINK("https://api.qogita.com/variants/link/0773602411474/", "View Product")</f>
        <v/>
      </c>
    </row>
    <row r="20252">
      <c r="A20252" t="inlineStr">
        <is>
          <t>0773602422029</t>
        </is>
      </c>
      <c r="B20252" t="inlineStr">
        <is>
          <t>MAC Strobe Cream Rose 50ml</t>
        </is>
      </c>
      <c r="C20252" t="inlineStr">
        <is>
          <t>Primer</t>
        </is>
      </c>
      <c r="D20252" t="inlineStr">
        <is>
          <t>Mac</t>
        </is>
      </c>
      <c r="E20252" t="n">
        <v>31.1</v>
      </c>
      <c r="F20252" t="n">
        <v>1</v>
      </c>
      <c r="G20252" t="n">
        <v>12</v>
      </c>
      <c r="H20252" s="5">
        <f>HYPERLINK("https://api.qogita.com/variants/link/0773602422029/", "View Product")</f>
        <v/>
      </c>
    </row>
    <row r="20253">
      <c r="A20253" t="inlineStr">
        <is>
          <t>0773602425921</t>
        </is>
      </c>
      <c r="B20253" t="inlineStr">
        <is>
          <t>MAC Prep + Prime Essential Oils Grapefruit Chamomile 14ml</t>
        </is>
      </c>
      <c r="C20253" t="inlineStr">
        <is>
          <t>Facial Oil</t>
        </is>
      </c>
      <c r="D20253" t="inlineStr">
        <is>
          <t>Mac</t>
        </is>
      </c>
      <c r="E20253" t="n">
        <v>23.93</v>
      </c>
      <c r="F20253" t="n">
        <v>1</v>
      </c>
      <c r="G20253" t="n">
        <v>17</v>
      </c>
      <c r="H20253" s="5">
        <f>HYPERLINK("https://api.qogita.com/variants/link/0773602425921/", "View Product")</f>
        <v/>
      </c>
    </row>
    <row r="20254">
      <c r="A20254" t="inlineStr">
        <is>
          <t>0773602426805</t>
        </is>
      </c>
      <c r="B20254" t="inlineStr">
        <is>
          <t>MAC Powder Kiss Style Shocked! 3g</t>
        </is>
      </c>
      <c r="C20254" t="inlineStr">
        <is>
          <t>Powder</t>
        </is>
      </c>
      <c r="D20254" t="inlineStr">
        <is>
          <t>MAC Cosmetics</t>
        </is>
      </c>
      <c r="E20254" t="n">
        <v>18.49</v>
      </c>
      <c r="F20254" t="n">
        <v>1</v>
      </c>
      <c r="G20254" t="n">
        <v>4</v>
      </c>
      <c r="H20254" s="5">
        <f>HYPERLINK("https://api.qogita.com/variants/link/0773602426805/", "View Product")</f>
        <v/>
      </c>
    </row>
    <row r="20255">
      <c r="A20255" t="inlineStr">
        <is>
          <t>0773602445165</t>
        </is>
      </c>
      <c r="B20255" t="inlineStr">
        <is>
          <t>MAC Retro Matte Lipstick 5ml Carnivorous</t>
        </is>
      </c>
      <c r="C20255" t="inlineStr">
        <is>
          <t>Lipstick</t>
        </is>
      </c>
      <c r="D20255" t="inlineStr">
        <is>
          <t>Mac</t>
        </is>
      </c>
      <c r="E20255" t="n">
        <v>18.4</v>
      </c>
      <c r="F20255" t="n">
        <v>1</v>
      </c>
      <c r="G20255" t="n">
        <v>2</v>
      </c>
      <c r="H20255" s="5">
        <f>HYPERLINK("https://api.qogita.com/variants/link/0773602445165/", "View Product")</f>
        <v/>
      </c>
    </row>
    <row r="20256">
      <c r="A20256" t="inlineStr">
        <is>
          <t>0773602447251</t>
        </is>
      </c>
      <c r="B20256" t="inlineStr">
        <is>
          <t>MAC Extra Dimension Blush</t>
        </is>
      </c>
      <c r="C20256" t="inlineStr">
        <is>
          <t>Blush</t>
        </is>
      </c>
      <c r="D20256" t="inlineStr">
        <is>
          <t>Mac</t>
        </is>
      </c>
      <c r="E20256" t="n">
        <v>24.6</v>
      </c>
      <c r="F20256" t="n">
        <v>1</v>
      </c>
      <c r="G20256" t="n">
        <v>3</v>
      </c>
      <c r="H20256" s="5">
        <f>HYPERLINK("https://api.qogita.com/variants/link/0773602447251/", "View Product")</f>
        <v/>
      </c>
    </row>
    <row r="20257">
      <c r="A20257" t="inlineStr">
        <is>
          <t>0773602453306</t>
        </is>
      </c>
      <c r="B20257" t="inlineStr">
        <is>
          <t>MAC Retro Matte Liquid Lipcolour Caviar</t>
        </is>
      </c>
      <c r="C20257" t="inlineStr">
        <is>
          <t>Lipstick</t>
        </is>
      </c>
      <c r="D20257" t="inlineStr">
        <is>
          <t>Mac</t>
        </is>
      </c>
      <c r="E20257" t="n">
        <v>21.57</v>
      </c>
      <c r="F20257" t="n">
        <v>1</v>
      </c>
      <c r="G20257" t="n">
        <v>11</v>
      </c>
      <c r="H20257" s="5">
        <f>HYPERLINK("https://api.qogita.com/variants/link/0773602453306/", "View Product")</f>
        <v/>
      </c>
    </row>
    <row r="20258">
      <c r="A20258" t="inlineStr">
        <is>
          <t>0773602454501</t>
        </is>
      </c>
      <c r="B20258" t="inlineStr">
        <is>
          <t>Mac 240S Large Tapered Blending Professional Brush</t>
        </is>
      </c>
      <c r="C20258" t="inlineStr">
        <is>
          <t>Brush Sets</t>
        </is>
      </c>
      <c r="D20258" t="inlineStr">
        <is>
          <t>Mac</t>
        </is>
      </c>
      <c r="E20258" t="n">
        <v>25.52</v>
      </c>
      <c r="F20258" t="n">
        <v>1</v>
      </c>
      <c r="G20258" t="n">
        <v>2</v>
      </c>
      <c r="H20258" s="5">
        <f>HYPERLINK("https://api.qogita.com/variants/link/0773602454501/", "View Product")</f>
        <v/>
      </c>
    </row>
    <row r="20259">
      <c r="A20259" t="inlineStr">
        <is>
          <t>0773602454686</t>
        </is>
      </c>
      <c r="B20259" t="inlineStr">
        <is>
          <t>MAC 137S Long Blending Brush</t>
        </is>
      </c>
      <c r="C20259" t="inlineStr">
        <is>
          <t>Brush Sets</t>
        </is>
      </c>
      <c r="D20259" t="inlineStr">
        <is>
          <t>Mac</t>
        </is>
      </c>
      <c r="E20259" t="n">
        <v>32.16</v>
      </c>
      <c r="F20259" t="n">
        <v>1</v>
      </c>
      <c r="G20259" t="n">
        <v>10</v>
      </c>
      <c r="H20259" s="5">
        <f>HYPERLINK("https://api.qogita.com/variants/link/0773602454686/", "View Product")</f>
        <v/>
      </c>
    </row>
    <row r="20260">
      <c r="A20260" t="inlineStr">
        <is>
          <t>0773602470334</t>
        </is>
      </c>
      <c r="B20260" t="inlineStr">
        <is>
          <t>MAC 130S Short Duo Fibre Face Brush</t>
        </is>
      </c>
      <c r="C20260" t="inlineStr">
        <is>
          <t>Foundation Brushes</t>
        </is>
      </c>
      <c r="D20260" t="inlineStr">
        <is>
          <t>Mac</t>
        </is>
      </c>
      <c r="E20260" t="n">
        <v>27.96</v>
      </c>
      <c r="F20260" t="n">
        <v>1</v>
      </c>
      <c r="G20260" t="n">
        <v>7</v>
      </c>
      <c r="H20260" s="5">
        <f>HYPERLINK("https://api.qogita.com/variants/link/0773602470334/", "View Product")</f>
        <v/>
      </c>
    </row>
    <row r="20261">
      <c r="A20261" t="inlineStr">
        <is>
          <t>0773602479542</t>
        </is>
      </c>
      <c r="B20261" t="inlineStr">
        <is>
          <t>MAC Hyper Real Glow Palette Flash + Awe 13.5g</t>
        </is>
      </c>
      <c r="C20261" t="inlineStr">
        <is>
          <t>Highlighter</t>
        </is>
      </c>
      <c r="D20261" t="inlineStr">
        <is>
          <t>Mac</t>
        </is>
      </c>
      <c r="E20261" t="n">
        <v>28.92</v>
      </c>
      <c r="F20261" t="n">
        <v>1</v>
      </c>
      <c r="G20261" t="n">
        <v>5</v>
      </c>
      <c r="H20261" s="5">
        <f>HYPERLINK("https://api.qogita.com/variants/link/0773602479542/", "View Product")</f>
        <v/>
      </c>
    </row>
    <row r="20262">
      <c r="A20262" t="inlineStr">
        <is>
          <t>0773602494767</t>
        </is>
      </c>
      <c r="B20262" t="inlineStr">
        <is>
          <t>M.A.C Retro Matte Liquid Lip Color Metallics Full Size New Box Italy</t>
        </is>
      </c>
      <c r="C20262" t="inlineStr">
        <is>
          <t>Lipstick</t>
        </is>
      </c>
      <c r="D20262" t="inlineStr">
        <is>
          <t>Mac</t>
        </is>
      </c>
      <c r="E20262" t="n">
        <v>17.39</v>
      </c>
      <c r="F20262" t="n">
        <v>1</v>
      </c>
      <c r="G20262" t="n">
        <v>5</v>
      </c>
      <c r="H20262" s="5">
        <f>HYPERLINK("https://api.qogita.com/variants/link/0773602494767/", "View Product")</f>
        <v/>
      </c>
    </row>
    <row r="20263">
      <c r="A20263" t="inlineStr">
        <is>
          <t>0773602517244</t>
        </is>
      </c>
      <c r="B20263" t="inlineStr">
        <is>
          <t>M.A.C Glitter Brilliants Ruby 0.15 oz 4.5g</t>
        </is>
      </c>
      <c r="C20263" t="inlineStr">
        <is>
          <t>Eyeshadow</t>
        </is>
      </c>
      <c r="D20263" t="inlineStr">
        <is>
          <t>Mac</t>
        </is>
      </c>
      <c r="E20263" t="n">
        <v>18.15</v>
      </c>
      <c r="F20263" t="n">
        <v>1</v>
      </c>
      <c r="G20263" t="n">
        <v>3</v>
      </c>
      <c r="H20263" s="5">
        <f>HYPERLINK("https://api.qogita.com/variants/link/0773602517244/", "View Product")</f>
        <v/>
      </c>
    </row>
    <row r="20264">
      <c r="A20264" t="inlineStr">
        <is>
          <t>0773602526352</t>
        </is>
      </c>
      <c r="B20264" t="inlineStr">
        <is>
          <t>MAC Brilliant Glitter Rose</t>
        </is>
      </c>
      <c r="C20264" t="inlineStr">
        <is>
          <t>Lipstick</t>
        </is>
      </c>
      <c r="D20264" t="inlineStr">
        <is>
          <t>Mac</t>
        </is>
      </c>
      <c r="E20264" t="n">
        <v>18.15</v>
      </c>
      <c r="F20264" t="n">
        <v>1</v>
      </c>
      <c r="G20264" t="n">
        <v>5</v>
      </c>
      <c r="H20264" s="5">
        <f>HYPERLINK("https://api.qogita.com/variants/link/0773602526352/", "View Product")</f>
        <v/>
      </c>
    </row>
    <row r="20265">
      <c r="A20265" t="inlineStr">
        <is>
          <t>0773602526819</t>
        </is>
      </c>
      <c r="B20265" t="inlineStr">
        <is>
          <t>Studio Fix 24-Hour Smooth Wear Concealer NC42 Mac</t>
        </is>
      </c>
      <c r="C20265" t="inlineStr">
        <is>
          <t>Concealer</t>
        </is>
      </c>
      <c r="D20265" t="inlineStr">
        <is>
          <t>Mac</t>
        </is>
      </c>
      <c r="E20265" t="n">
        <v>15.78</v>
      </c>
      <c r="F20265" t="n">
        <v>1</v>
      </c>
      <c r="G20265" t="n">
        <v>5</v>
      </c>
      <c r="H20265" s="5">
        <f>HYPERLINK("https://api.qogita.com/variants/link/0773602526819/", "View Product")</f>
        <v/>
      </c>
    </row>
    <row r="20266">
      <c r="A20266" t="inlineStr">
        <is>
          <t>0773602526864</t>
        </is>
      </c>
      <c r="B20266" t="inlineStr">
        <is>
          <t>MAC Studio Fix 24 Hour Smooth Wear Concealer NW25 7ml</t>
        </is>
      </c>
      <c r="C20266" t="inlineStr">
        <is>
          <t>Concealer</t>
        </is>
      </c>
      <c r="D20266" t="inlineStr">
        <is>
          <t>Mac</t>
        </is>
      </c>
      <c r="E20266" t="n">
        <v>19.04</v>
      </c>
      <c r="F20266" t="n">
        <v>1</v>
      </c>
      <c r="G20266" t="n">
        <v>6</v>
      </c>
      <c r="H20266" s="5">
        <f>HYPERLINK("https://api.qogita.com/variants/link/0773602526864/", "View Product")</f>
        <v/>
      </c>
    </row>
    <row r="20267">
      <c r="A20267" t="inlineStr">
        <is>
          <t>0773602531325</t>
        </is>
      </c>
      <c r="B20267" t="inlineStr">
        <is>
          <t>Frost Eye Shadows (Small Eyeshadow) 1.5g Shade Jingle Ball Bronze</t>
        </is>
      </c>
      <c r="C20267" t="inlineStr">
        <is>
          <t>Eyeshadow</t>
        </is>
      </c>
      <c r="D20267" t="inlineStr">
        <is>
          <t>Mac</t>
        </is>
      </c>
      <c r="E20267" t="n">
        <v>14.54</v>
      </c>
      <c r="F20267" t="n">
        <v>1</v>
      </c>
      <c r="G20267" t="n">
        <v>4</v>
      </c>
      <c r="H20267" s="5">
        <f>HYPERLINK("https://api.qogita.com/variants/link/0773602531325/", "View Product")</f>
        <v/>
      </c>
    </row>
    <row r="20268">
      <c r="A20268" t="inlineStr">
        <is>
          <t>0773602531639</t>
        </is>
      </c>
      <c r="B20268" t="inlineStr">
        <is>
          <t>MAC Studio Fix 24-Hour Smooth Wear Concealer NC Shades</t>
        </is>
      </c>
      <c r="C20268" t="inlineStr">
        <is>
          <t>Concealer</t>
        </is>
      </c>
      <c r="D20268" t="inlineStr">
        <is>
          <t>Mac</t>
        </is>
      </c>
      <c r="E20268" t="n">
        <v>16.4</v>
      </c>
      <c r="F20268" t="n">
        <v>1</v>
      </c>
      <c r="G20268" t="n">
        <v>14</v>
      </c>
      <c r="H20268" s="5">
        <f>HYPERLINK("https://api.qogita.com/variants/link/0773602531639/", "View Product")</f>
        <v/>
      </c>
    </row>
    <row r="20269">
      <c r="A20269" t="inlineStr">
        <is>
          <t>0773602531691</t>
        </is>
      </c>
      <c r="B20269" t="inlineStr">
        <is>
          <t>Mac Studio Fix 24-Hour Smooth Wear Concealer 7ml</t>
        </is>
      </c>
      <c r="C20269" t="inlineStr">
        <is>
          <t>Concealer</t>
        </is>
      </c>
      <c r="D20269" t="inlineStr">
        <is>
          <t>Mac</t>
        </is>
      </c>
      <c r="E20269" t="n">
        <v>18.85</v>
      </c>
      <c r="F20269" t="n">
        <v>1</v>
      </c>
      <c r="G20269" t="n">
        <v>10</v>
      </c>
      <c r="H20269" s="5">
        <f>HYPERLINK("https://api.qogita.com/variants/link/0773602531691/", "View Product")</f>
        <v/>
      </c>
    </row>
    <row r="20270">
      <c r="A20270" t="inlineStr">
        <is>
          <t>0773602531714</t>
        </is>
      </c>
      <c r="B20270" t="inlineStr">
        <is>
          <t>MAC Studio Fix 24-Hour Smooth Wear Concealer NW32 7ml</t>
        </is>
      </c>
      <c r="C20270" t="inlineStr">
        <is>
          <t>Concealer</t>
        </is>
      </c>
      <c r="D20270" t="inlineStr">
        <is>
          <t>Mac</t>
        </is>
      </c>
      <c r="E20270" t="n">
        <v>15.78</v>
      </c>
      <c r="F20270" t="n">
        <v>1</v>
      </c>
      <c r="G20270" t="n">
        <v>3</v>
      </c>
      <c r="H20270" s="5">
        <f>HYPERLINK("https://api.qogita.com/variants/link/0773602531714/", "View Product")</f>
        <v/>
      </c>
    </row>
    <row r="20271">
      <c r="A20271" t="inlineStr">
        <is>
          <t>0773602531738</t>
        </is>
      </c>
      <c r="B20271" t="inlineStr">
        <is>
          <t>Mac Studio Fix 24-Hour Smooth Wear Concealer 7ml</t>
        </is>
      </c>
      <c r="C20271" t="inlineStr">
        <is>
          <t>Concealer</t>
        </is>
      </c>
      <c r="D20271" t="inlineStr">
        <is>
          <t>Mac</t>
        </is>
      </c>
      <c r="E20271" t="n">
        <v>15.89</v>
      </c>
      <c r="F20271" t="n">
        <v>1</v>
      </c>
      <c r="G20271" t="n">
        <v>25</v>
      </c>
      <c r="H20271" s="5">
        <f>HYPERLINK("https://api.qogita.com/variants/link/0773602531738/", "View Product")</f>
        <v/>
      </c>
    </row>
    <row r="20272">
      <c r="A20272" t="inlineStr">
        <is>
          <t>0773602531745</t>
        </is>
      </c>
      <c r="B20272" t="inlineStr">
        <is>
          <t>MAC Studio Fix 24 Hour Smooth Wear Concealer NW51 Anti Cernes 0.24oz</t>
        </is>
      </c>
      <c r="C20272" t="inlineStr">
        <is>
          <t>Concealer</t>
        </is>
      </c>
      <c r="D20272" t="inlineStr">
        <is>
          <t>Mac</t>
        </is>
      </c>
      <c r="E20272" t="n">
        <v>15.78</v>
      </c>
      <c r="F20272" t="n">
        <v>1</v>
      </c>
      <c r="G20272" t="n">
        <v>8</v>
      </c>
      <c r="H20272" s="5">
        <f>HYPERLINK("https://api.qogita.com/variants/link/0773602531745/", "View Product")</f>
        <v/>
      </c>
    </row>
    <row r="20273">
      <c r="A20273" t="inlineStr">
        <is>
          <t>0773602536238</t>
        </is>
      </c>
      <c r="B20273" t="inlineStr">
        <is>
          <t>Mac Matte Eyeshadow 0.05oz 1.5g - Shady Santa</t>
        </is>
      </c>
      <c r="C20273" t="inlineStr">
        <is>
          <t>Eyeshadow</t>
        </is>
      </c>
      <c r="D20273" t="inlineStr">
        <is>
          <t>MAC Cosmetics</t>
        </is>
      </c>
      <c r="E20273" t="n">
        <v>13.46</v>
      </c>
      <c r="F20273" t="n">
        <v>1</v>
      </c>
      <c r="G20273" t="n">
        <v>6</v>
      </c>
      <c r="H20273" s="5">
        <f>HYPERLINK("https://api.qogita.com/variants/link/0773602536238/", "View Product")</f>
        <v/>
      </c>
    </row>
    <row r="20274">
      <c r="A20274" t="inlineStr">
        <is>
          <t>0773602567676</t>
        </is>
      </c>
      <c r="B20274" t="inlineStr">
        <is>
          <t>Mac Cosmetics Dazzleshadow Extreme Celebutante</t>
        </is>
      </c>
      <c r="C20274" t="inlineStr">
        <is>
          <t>Eyeshadow</t>
        </is>
      </c>
      <c r="D20274" t="inlineStr">
        <is>
          <t>Mac</t>
        </is>
      </c>
      <c r="E20274" t="n">
        <v>14.86</v>
      </c>
      <c r="F20274" t="n">
        <v>1</v>
      </c>
      <c r="G20274" t="n">
        <v>2</v>
      </c>
      <c r="H20274" s="5">
        <f>HYPERLINK("https://api.qogita.com/variants/link/0773602567676/", "View Product")</f>
        <v/>
      </c>
    </row>
    <row r="20275">
      <c r="A20275" t="inlineStr">
        <is>
          <t>0773602567805</t>
        </is>
      </c>
      <c r="B20275" t="inlineStr">
        <is>
          <t>Mac Powder Kiss Liquid Lipcolor</t>
        </is>
      </c>
      <c r="C20275" t="inlineStr">
        <is>
          <t>Lipstick</t>
        </is>
      </c>
      <c r="D20275" t="inlineStr">
        <is>
          <t>Mac</t>
        </is>
      </c>
      <c r="E20275" t="n">
        <v>17.83</v>
      </c>
      <c r="F20275" t="n">
        <v>1</v>
      </c>
      <c r="G20275" t="n">
        <v>9</v>
      </c>
      <c r="H20275" s="5">
        <f>HYPERLINK("https://api.qogita.com/variants/link/0773602567805/", "View Product")</f>
        <v/>
      </c>
    </row>
    <row r="20276">
      <c r="A20276" t="inlineStr">
        <is>
          <t>0773602567843</t>
        </is>
      </c>
      <c r="B20276" t="inlineStr">
        <is>
          <t>Mac Powder Kiss Liquid Lipcolor 987 5.0ml</t>
        </is>
      </c>
      <c r="C20276" t="inlineStr">
        <is>
          <t>Lipstick</t>
        </is>
      </c>
      <c r="D20276" t="inlineStr">
        <is>
          <t>Mac</t>
        </is>
      </c>
      <c r="E20276" t="n">
        <v>19.77</v>
      </c>
      <c r="F20276" t="n">
        <v>1</v>
      </c>
      <c r="G20276" t="n">
        <v>5</v>
      </c>
      <c r="H20276" s="5">
        <f>HYPERLINK("https://api.qogita.com/variants/link/0773602567843/", "View Product")</f>
        <v/>
      </c>
    </row>
    <row r="20277">
      <c r="A20277" t="inlineStr">
        <is>
          <t>0773602567911</t>
        </is>
      </c>
      <c r="B20277" t="inlineStr">
        <is>
          <t>MAC Cosmetics Powder Kiss Liquid Lipcolour 994 Make Love to the Camera NEW!</t>
        </is>
      </c>
      <c r="C20277" t="inlineStr">
        <is>
          <t>Lipstick</t>
        </is>
      </c>
      <c r="D20277" t="inlineStr">
        <is>
          <t>Mac</t>
        </is>
      </c>
      <c r="E20277" t="n">
        <v>18.17</v>
      </c>
      <c r="F20277" t="n">
        <v>1</v>
      </c>
      <c r="G20277" t="n">
        <v>21</v>
      </c>
      <c r="H20277" s="5">
        <f>HYPERLINK("https://api.qogita.com/variants/link/0773602567911/", "View Product")</f>
        <v/>
      </c>
    </row>
    <row r="20278">
      <c r="A20278" t="inlineStr">
        <is>
          <t>0773602572670</t>
        </is>
      </c>
      <c r="B20278" t="inlineStr">
        <is>
          <t>Mac Eyeshadow Humblebrag Refill 1.5g</t>
        </is>
      </c>
      <c r="C20278" t="inlineStr">
        <is>
          <t>Eyeshadow</t>
        </is>
      </c>
      <c r="D20278" t="inlineStr">
        <is>
          <t>Mac</t>
        </is>
      </c>
      <c r="E20278" t="n">
        <v>15.88</v>
      </c>
      <c r="F20278" t="n">
        <v>1</v>
      </c>
      <c r="G20278" t="n">
        <v>5</v>
      </c>
      <c r="H20278" s="5">
        <f>HYPERLINK("https://api.qogita.com/variants/link/0773602572670/", "View Product")</f>
        <v/>
      </c>
    </row>
    <row r="20279">
      <c r="A20279" t="inlineStr">
        <is>
          <t>0773602572762</t>
        </is>
      </c>
      <c r="B20279" t="inlineStr">
        <is>
          <t>MAC Eye Shadow Print Satin Full Size</t>
        </is>
      </c>
      <c r="C20279" t="inlineStr">
        <is>
          <t>Eyeshadow</t>
        </is>
      </c>
      <c r="D20279" t="inlineStr">
        <is>
          <t>Mac</t>
        </is>
      </c>
      <c r="E20279" t="n">
        <v>14.54</v>
      </c>
      <c r="F20279" t="n">
        <v>1</v>
      </c>
      <c r="G20279" t="n">
        <v>3</v>
      </c>
      <c r="H20279" s="5">
        <f>HYPERLINK("https://api.qogita.com/variants/link/0773602572762/", "View Product")</f>
        <v/>
      </c>
    </row>
    <row r="20280">
      <c r="A20280" t="inlineStr">
        <is>
          <t>0773602575534</t>
        </is>
      </c>
      <c r="B20280" t="inlineStr">
        <is>
          <t>MAC Mini Strobe Cream Pink Clicke 15ml</t>
        </is>
      </c>
      <c r="C20280" t="inlineStr">
        <is>
          <t>Primer</t>
        </is>
      </c>
      <c r="D20280" t="inlineStr">
        <is>
          <t>Mac</t>
        </is>
      </c>
      <c r="E20280" t="n">
        <v>10.53</v>
      </c>
      <c r="F20280" t="n">
        <v>1</v>
      </c>
      <c r="G20280" t="n">
        <v>9</v>
      </c>
      <c r="H20280" s="5">
        <f>HYPERLINK("https://api.qogita.com/variants/link/0773602575534/", "View Product")</f>
        <v/>
      </c>
    </row>
    <row r="20281">
      <c r="A20281" t="inlineStr">
        <is>
          <t>0773602576234</t>
        </is>
      </c>
      <c r="B20281" t="inlineStr">
        <is>
          <t>MAC Powder Kiss Eyeshadow Best of Me Eye Shadow 0.05oz</t>
        </is>
      </c>
      <c r="C20281" t="inlineStr">
        <is>
          <t>Eyeshadow</t>
        </is>
      </c>
      <c r="D20281" t="inlineStr">
        <is>
          <t>Mac</t>
        </is>
      </c>
      <c r="E20281" t="n">
        <v>17.14</v>
      </c>
      <c r="F20281" t="n">
        <v>1</v>
      </c>
      <c r="G20281" t="n">
        <v>5</v>
      </c>
      <c r="H20281" s="5">
        <f>HYPERLINK("https://api.qogita.com/variants/link/0773602576234/", "View Product")</f>
        <v/>
      </c>
    </row>
    <row r="20282">
      <c r="A20282" t="inlineStr">
        <is>
          <t>0773602576364</t>
        </is>
      </c>
      <c r="B20282" t="inlineStr">
        <is>
          <t>MAC Powder Kiss Soft Matte Eye Shadow Refill 0.05oz 1.5g Shade My Tweedy BNIB</t>
        </is>
      </c>
      <c r="C20282" t="inlineStr">
        <is>
          <t>Eyeshadow</t>
        </is>
      </c>
      <c r="D20282" t="inlineStr">
        <is>
          <t>Mac</t>
        </is>
      </c>
      <c r="E20282" t="n">
        <v>9.970000000000001</v>
      </c>
      <c r="F20282" t="n">
        <v>1</v>
      </c>
      <c r="G20282" t="n">
        <v>8</v>
      </c>
      <c r="H20282" s="5">
        <f>HYPERLINK("https://api.qogita.com/variants/link/0773602576364/", "View Product")</f>
        <v/>
      </c>
    </row>
    <row r="20283">
      <c r="A20283" t="inlineStr">
        <is>
          <t>0773602577149</t>
        </is>
      </c>
      <c r="B20283" t="inlineStr">
        <is>
          <t>Mac Frost White Lipstick 3g</t>
        </is>
      </c>
      <c r="C20283" t="inlineStr">
        <is>
          <t>Lipstick</t>
        </is>
      </c>
      <c r="D20283" t="inlineStr">
        <is>
          <t>Mac</t>
        </is>
      </c>
      <c r="E20283" t="n">
        <v>17.05</v>
      </c>
      <c r="F20283" t="n">
        <v>1</v>
      </c>
      <c r="G20283" t="n">
        <v>17</v>
      </c>
      <c r="H20283" s="5">
        <f>HYPERLINK("https://api.qogita.com/variants/link/0773602577149/", "View Product")</f>
        <v/>
      </c>
    </row>
    <row r="20284">
      <c r="A20284" t="inlineStr">
        <is>
          <t>0773602579945</t>
        </is>
      </c>
      <c r="B20284" t="inlineStr">
        <is>
          <t>Mac Powder Kiss Liquid Lipcolor</t>
        </is>
      </c>
      <c r="C20284" t="inlineStr">
        <is>
          <t>Lipstick</t>
        </is>
      </c>
      <c r="D20284" t="inlineStr">
        <is>
          <t>Mac</t>
        </is>
      </c>
      <c r="E20284" t="n">
        <v>18.14</v>
      </c>
      <c r="F20284" t="n">
        <v>1</v>
      </c>
      <c r="G20284" t="n">
        <v>28</v>
      </c>
      <c r="H20284" s="5">
        <f>HYPERLINK("https://api.qogita.com/variants/link/0773602579945/", "View Product")</f>
        <v/>
      </c>
    </row>
    <row r="20285">
      <c r="A20285" t="inlineStr">
        <is>
          <t>0773602580019</t>
        </is>
      </c>
      <c r="B20285" t="inlineStr">
        <is>
          <t>MAC Powder Kiss Liquid Lipcolor in Fashion Emergency</t>
        </is>
      </c>
      <c r="C20285" t="inlineStr">
        <is>
          <t>Lipstick</t>
        </is>
      </c>
      <c r="D20285" t="inlineStr">
        <is>
          <t>Mac</t>
        </is>
      </c>
      <c r="E20285" t="n">
        <v>21.57</v>
      </c>
      <c r="F20285" t="n">
        <v>1</v>
      </c>
      <c r="G20285" t="n">
        <v>3</v>
      </c>
      <c r="H20285" s="5">
        <f>HYPERLINK("https://api.qogita.com/variants/link/0773602580019/", "View Product")</f>
        <v/>
      </c>
    </row>
    <row r="20286">
      <c r="A20286" t="inlineStr">
        <is>
          <t>0773602581061</t>
        </is>
      </c>
      <c r="B20286" t="inlineStr">
        <is>
          <t>MAC Powder Kiss Soft Matte Eye Shadow Lens Blur 1.5g Full Size</t>
        </is>
      </c>
      <c r="C20286" t="inlineStr">
        <is>
          <t>Eyeshadow</t>
        </is>
      </c>
      <c r="D20286" t="inlineStr">
        <is>
          <t>Mac</t>
        </is>
      </c>
      <c r="E20286" t="n">
        <v>14.18</v>
      </c>
      <c r="F20286" t="n">
        <v>1</v>
      </c>
      <c r="G20286" t="n">
        <v>5</v>
      </c>
      <c r="H20286" s="5">
        <f>HYPERLINK("https://api.qogita.com/variants/link/0773602581061/", "View Product")</f>
        <v/>
      </c>
    </row>
    <row r="20287">
      <c r="A20287" t="inlineStr">
        <is>
          <t>0773602582983</t>
        </is>
      </c>
      <c r="B20287" t="inlineStr">
        <is>
          <t>Mac Cosmetics Studio Fix Tech Cream-To-Powder Foundation - 10 Grams</t>
        </is>
      </c>
      <c r="C20287" t="inlineStr">
        <is>
          <t>Foundation</t>
        </is>
      </c>
      <c r="D20287" t="inlineStr">
        <is>
          <t>MAC Cosmetics</t>
        </is>
      </c>
      <c r="E20287" t="n">
        <v>22.75</v>
      </c>
      <c r="F20287" t="n">
        <v>1</v>
      </c>
      <c r="G20287" t="n">
        <v>6</v>
      </c>
      <c r="H20287" s="5">
        <f>HYPERLINK("https://api.qogita.com/variants/link/0773602582983/", "View Product")</f>
        <v/>
      </c>
    </row>
    <row r="20288">
      <c r="A20288" t="inlineStr">
        <is>
          <t>0773602583065</t>
        </is>
      </c>
      <c r="B20288" t="inlineStr">
        <is>
          <t>Mac Cosmetics Studio Fix Tech Cream-To-Powder Foundation - 10 Grams</t>
        </is>
      </c>
      <c r="C20288" t="inlineStr">
        <is>
          <t>Foundation</t>
        </is>
      </c>
      <c r="D20288" t="inlineStr">
        <is>
          <t>MAC Cosmetics</t>
        </is>
      </c>
      <c r="E20288" t="n">
        <v>22.83</v>
      </c>
      <c r="F20288" t="n">
        <v>1</v>
      </c>
      <c r="G20288" t="n">
        <v>5</v>
      </c>
      <c r="H20288" s="5">
        <f>HYPERLINK("https://api.qogita.com/variants/link/0773602583065/", "View Product")</f>
        <v/>
      </c>
    </row>
    <row r="20289">
      <c r="A20289" t="inlineStr">
        <is>
          <t>0773602583072</t>
        </is>
      </c>
      <c r="B20289" t="inlineStr">
        <is>
          <t>Mac Cosmetics Studio Fix Tech Cream-To-Powder Foundation - 10 Grams</t>
        </is>
      </c>
      <c r="C20289" t="inlineStr">
        <is>
          <t>Foundation</t>
        </is>
      </c>
      <c r="D20289" t="inlineStr">
        <is>
          <t>MAC Cosmetics</t>
        </is>
      </c>
      <c r="E20289" t="n">
        <v>26.29</v>
      </c>
      <c r="F20289" t="n">
        <v>1</v>
      </c>
      <c r="G20289" t="n">
        <v>8</v>
      </c>
      <c r="H20289" s="5">
        <f>HYPERLINK("https://api.qogita.com/variants/link/0773602583072/", "View Product")</f>
        <v/>
      </c>
    </row>
    <row r="20290">
      <c r="A20290" t="inlineStr">
        <is>
          <t>0773602583263</t>
        </is>
      </c>
      <c r="B20290" t="inlineStr">
        <is>
          <t>MAC Studio Fix Tech Cream-To-Powder Foundation C4 10g</t>
        </is>
      </c>
      <c r="C20290" t="inlineStr">
        <is>
          <t>Foundation</t>
        </is>
      </c>
      <c r="D20290" t="inlineStr">
        <is>
          <t>Mac</t>
        </is>
      </c>
      <c r="E20290" t="n">
        <v>22.56</v>
      </c>
      <c r="F20290" t="n">
        <v>1</v>
      </c>
      <c r="G20290" t="n">
        <v>2</v>
      </c>
      <c r="H20290" s="5">
        <f>HYPERLINK("https://api.qogita.com/variants/link/0773602583263/", "View Product")</f>
        <v/>
      </c>
    </row>
    <row r="20291">
      <c r="A20291" t="inlineStr">
        <is>
          <t>0773602583270</t>
        </is>
      </c>
      <c r="B20291" t="inlineStr">
        <is>
          <t>Mac Cosmetics Compact Make-Up Studio Fix Tech Cream-To-Powder Foundation - 10 Grams</t>
        </is>
      </c>
      <c r="C20291" t="inlineStr">
        <is>
          <t>Foundation</t>
        </is>
      </c>
      <c r="D20291" t="inlineStr">
        <is>
          <t>MAC Cosmetics</t>
        </is>
      </c>
      <c r="E20291" t="n">
        <v>22.83</v>
      </c>
      <c r="F20291" t="n">
        <v>1</v>
      </c>
      <c r="G20291" t="n">
        <v>2</v>
      </c>
      <c r="H20291" s="5">
        <f>HYPERLINK("https://api.qogita.com/variants/link/0773602583270/", "View Product")</f>
        <v/>
      </c>
    </row>
    <row r="20292">
      <c r="A20292" t="inlineStr">
        <is>
          <t>0773602585199</t>
        </is>
      </c>
      <c r="B20292" t="inlineStr">
        <is>
          <t>M.A.C Lightful C3 Radiant Hydration Skin Renewal Emulsion</t>
        </is>
      </c>
      <c r="C20292" t="inlineStr">
        <is>
          <t>Face Cream</t>
        </is>
      </c>
      <c r="D20292" t="inlineStr">
        <is>
          <t>MAC Cosmetics</t>
        </is>
      </c>
      <c r="E20292" t="n">
        <v>18.08</v>
      </c>
      <c r="F20292" t="n">
        <v>1</v>
      </c>
      <c r="G20292" t="n">
        <v>3</v>
      </c>
      <c r="H20292" s="5">
        <f>HYPERLINK("https://api.qogita.com/variants/link/0773602585199/", "View Product")</f>
        <v/>
      </c>
    </row>
    <row r="20293">
      <c r="A20293" t="inlineStr">
        <is>
          <t>0773602594368</t>
        </is>
      </c>
      <c r="B20293" t="inlineStr">
        <is>
          <t>MAC Colour Excess Gel Pencil Incorruptible 0.35gm 0.01oz</t>
        </is>
      </c>
      <c r="C20293" t="inlineStr">
        <is>
          <t>Eye Pencil</t>
        </is>
      </c>
      <c r="D20293" t="inlineStr">
        <is>
          <t>Mac</t>
        </is>
      </c>
      <c r="E20293" t="n">
        <v>14.98</v>
      </c>
      <c r="F20293" t="n">
        <v>1</v>
      </c>
      <c r="G20293" t="n">
        <v>6</v>
      </c>
      <c r="H20293" s="5">
        <f>HYPERLINK("https://api.qogita.com/variants/link/0773602594368/", "View Product")</f>
        <v/>
      </c>
    </row>
    <row r="20294">
      <c r="A20294" t="inlineStr">
        <is>
          <t>0773602594405</t>
        </is>
      </c>
      <c r="B20294" t="inlineStr">
        <is>
          <t>MAC Color Excess Gel Pencil Eye Liner Full Size 0.01oz</t>
        </is>
      </c>
      <c r="C20294" t="inlineStr">
        <is>
          <t>Eyeliner</t>
        </is>
      </c>
      <c r="D20294" t="inlineStr">
        <is>
          <t>Mac</t>
        </is>
      </c>
      <c r="E20294" t="n">
        <v>15.3</v>
      </c>
      <c r="F20294" t="n">
        <v>1</v>
      </c>
      <c r="G20294" t="n">
        <v>2</v>
      </c>
      <c r="H20294" s="5">
        <f>HYPERLINK("https://api.qogita.com/variants/link/0773602594405/", "View Product")</f>
        <v/>
      </c>
    </row>
    <row r="20295">
      <c r="A20295" t="inlineStr">
        <is>
          <t>0773602594450</t>
        </is>
      </c>
      <c r="B20295" t="inlineStr">
        <is>
          <t>MAC Colour Excess Gel Pencil Eye Liner Isn't It Iron-Ic Gunmetal</t>
        </is>
      </c>
      <c r="C20295" t="inlineStr">
        <is>
          <t>Eyeliner</t>
        </is>
      </c>
      <c r="D20295" t="inlineStr">
        <is>
          <t>Mac</t>
        </is>
      </c>
      <c r="E20295" t="n">
        <v>17.79</v>
      </c>
      <c r="F20295" t="n">
        <v>1</v>
      </c>
      <c r="G20295" t="n">
        <v>2</v>
      </c>
      <c r="H20295" s="5">
        <f>HYPERLINK("https://api.qogita.com/variants/link/0773602594450/", "View Product")</f>
        <v/>
      </c>
    </row>
    <row r="20296">
      <c r="A20296" t="inlineStr">
        <is>
          <t>0773602606054</t>
        </is>
      </c>
      <c r="B20296" t="inlineStr">
        <is>
          <t>MAC #87 Maximalist Lash Ultra Glamorous False Lashes BNIB</t>
        </is>
      </c>
      <c r="C20296" t="inlineStr">
        <is>
          <t>False Eyelashes</t>
        </is>
      </c>
      <c r="D20296" t="inlineStr">
        <is>
          <t>MAC Cosmetics</t>
        </is>
      </c>
      <c r="E20296" t="n">
        <v>11.34</v>
      </c>
      <c r="F20296" t="n">
        <v>1</v>
      </c>
      <c r="G20296" t="n">
        <v>3</v>
      </c>
      <c r="H20296" s="5">
        <f>HYPERLINK("https://api.qogita.com/variants/link/0773602606054/", "View Product")</f>
        <v/>
      </c>
    </row>
    <row r="20297">
      <c r="A20297" t="inlineStr">
        <is>
          <t>0773602609901</t>
        </is>
      </c>
      <c r="B20297" t="inlineStr">
        <is>
          <t>MAC Lustreglass Sheer Shine Lipstick 0.1 oz</t>
        </is>
      </c>
      <c r="C20297" t="inlineStr">
        <is>
          <t>Lipstick</t>
        </is>
      </c>
      <c r="D20297" t="inlineStr">
        <is>
          <t>Mac</t>
        </is>
      </c>
      <c r="E20297" t="n">
        <v>19.75</v>
      </c>
      <c r="F20297" t="n">
        <v>1</v>
      </c>
      <c r="G20297" t="n">
        <v>2</v>
      </c>
      <c r="H20297" s="5">
        <f>HYPERLINK("https://api.qogita.com/variants/link/0773602609901/", "View Product")</f>
        <v/>
      </c>
    </row>
    <row r="20298">
      <c r="A20298" t="inlineStr">
        <is>
          <t>0773602610037</t>
        </is>
      </c>
      <c r="B20298" t="inlineStr">
        <is>
          <t>MAC Lustreglass Lipstick 508 Hug Me 0.10oz/3g - New in Box</t>
        </is>
      </c>
      <c r="C20298" t="inlineStr">
        <is>
          <t>Lipstick</t>
        </is>
      </c>
      <c r="D20298" t="inlineStr">
        <is>
          <t>Mac</t>
        </is>
      </c>
      <c r="E20298" t="n">
        <v>19.75</v>
      </c>
      <c r="F20298" t="n">
        <v>1</v>
      </c>
      <c r="G20298" t="n">
        <v>2</v>
      </c>
      <c r="H20298" s="5">
        <f>HYPERLINK("https://api.qogita.com/variants/link/0773602610037/", "View Product")</f>
        <v/>
      </c>
    </row>
    <row r="20299">
      <c r="A20299" t="inlineStr">
        <is>
          <t>0773602610044</t>
        </is>
      </c>
      <c r="B20299" t="inlineStr">
        <is>
          <t>MAC 520 See Sheer Lustreglass Sheer Shine Lipstick BNIB $21 Value</t>
        </is>
      </c>
      <c r="C20299" t="inlineStr">
        <is>
          <t>Lipstick</t>
        </is>
      </c>
      <c r="D20299" t="inlineStr">
        <is>
          <t>Mac</t>
        </is>
      </c>
      <c r="E20299" t="n">
        <v>19.04</v>
      </c>
      <c r="F20299" t="n">
        <v>1</v>
      </c>
      <c r="G20299" t="n">
        <v>8</v>
      </c>
      <c r="H20299" s="5">
        <f>HYPERLINK("https://api.qogita.com/variants/link/0773602610044/", "View Product")</f>
        <v/>
      </c>
    </row>
    <row r="20300">
      <c r="A20300" t="inlineStr">
        <is>
          <t>0773602610518</t>
        </is>
      </c>
      <c r="B20300" t="inlineStr">
        <is>
          <t>MAC Studio Radiance Face &amp; Body Radiant Sheer Foundation 50ml N2</t>
        </is>
      </c>
      <c r="C20300" t="inlineStr">
        <is>
          <t>Foundation</t>
        </is>
      </c>
      <c r="D20300" t="inlineStr">
        <is>
          <t>Mac</t>
        </is>
      </c>
      <c r="E20300" t="n">
        <v>31.08</v>
      </c>
      <c r="F20300" t="n">
        <v>1</v>
      </c>
      <c r="G20300" t="n">
        <v>5</v>
      </c>
      <c r="H20300" s="5">
        <f>HYPERLINK("https://api.qogita.com/variants/link/0773602610518/", "View Product")</f>
        <v/>
      </c>
    </row>
    <row r="20301">
      <c r="A20301" t="inlineStr">
        <is>
          <t>0773602610556</t>
        </is>
      </c>
      <c r="B20301" t="inlineStr">
        <is>
          <t>MAC Studio Radiance Face and Body Radiant Sheer Foundation N6 50ml</t>
        </is>
      </c>
      <c r="C20301" t="inlineStr">
        <is>
          <t>Foundation</t>
        </is>
      </c>
      <c r="D20301" t="inlineStr">
        <is>
          <t>Mac</t>
        </is>
      </c>
      <c r="E20301" t="n">
        <v>18.99</v>
      </c>
      <c r="F20301" t="n">
        <v>1</v>
      </c>
      <c r="G20301" t="n">
        <v>25</v>
      </c>
      <c r="H20301" s="5">
        <f>HYPERLINK("https://api.qogita.com/variants/link/0773602610556/", "View Product")</f>
        <v/>
      </c>
    </row>
    <row r="20302">
      <c r="A20302" t="inlineStr">
        <is>
          <t>0773602610648</t>
        </is>
      </c>
      <c r="B20302" t="inlineStr">
        <is>
          <t>M.A.C Studio Radiance Face and Body Radiant Sheer Foundation 50ml C5</t>
        </is>
      </c>
      <c r="C20302" t="inlineStr">
        <is>
          <t>Foundation</t>
        </is>
      </c>
      <c r="D20302" t="inlineStr">
        <is>
          <t>MAC Cosmetics</t>
        </is>
      </c>
      <c r="E20302" t="n">
        <v>31.1</v>
      </c>
      <c r="F20302" t="n">
        <v>1</v>
      </c>
      <c r="G20302" t="n">
        <v>5</v>
      </c>
      <c r="H20302" s="5">
        <f>HYPERLINK("https://api.qogita.com/variants/link/0773602610648/", "View Product")</f>
        <v/>
      </c>
    </row>
    <row r="20303">
      <c r="A20303" t="inlineStr">
        <is>
          <t>0773602610754</t>
        </is>
      </c>
      <c r="B20303" t="inlineStr">
        <is>
          <t>MAC Studio Radiance Face and Body Radiant Sheer Foundation W6 50ml</t>
        </is>
      </c>
      <c r="C20303" t="inlineStr">
        <is>
          <t>Foundation</t>
        </is>
      </c>
      <c r="D20303" t="inlineStr">
        <is>
          <t>MAC Cosmetics</t>
        </is>
      </c>
      <c r="E20303" t="n">
        <v>29.12</v>
      </c>
      <c r="F20303" t="n">
        <v>1</v>
      </c>
      <c r="G20303" t="n">
        <v>7</v>
      </c>
      <c r="H20303" s="5">
        <f>HYPERLINK("https://api.qogita.com/variants/link/0773602610754/", "View Product")</f>
        <v/>
      </c>
    </row>
    <row r="20304">
      <c r="A20304" t="inlineStr">
        <is>
          <t>0773602625741</t>
        </is>
      </c>
      <c r="B20304" t="inlineStr">
        <is>
          <t>MAC Powder Kiss Lipstick Ruby New 3g</t>
        </is>
      </c>
      <c r="C20304" t="inlineStr">
        <is>
          <t>Lipstick</t>
        </is>
      </c>
      <c r="D20304" t="inlineStr">
        <is>
          <t>Mac</t>
        </is>
      </c>
      <c r="E20304" t="n">
        <v>18.7</v>
      </c>
      <c r="F20304" t="n">
        <v>1</v>
      </c>
      <c r="G20304" t="n">
        <v>5</v>
      </c>
      <c r="H20304" s="5">
        <f>HYPERLINK("https://api.qogita.com/variants/link/0773602625741/", "View Product")</f>
        <v/>
      </c>
    </row>
    <row r="20305">
      <c r="A20305" t="inlineStr">
        <is>
          <t>0773602625765</t>
        </is>
      </c>
      <c r="B20305" t="inlineStr">
        <is>
          <t>MAC Powder Kiss Liquid Lipcolour Matte Ruby Boo 0.17oz - New in Box</t>
        </is>
      </c>
      <c r="C20305" t="inlineStr">
        <is>
          <t>Lipstick</t>
        </is>
      </c>
      <c r="D20305" t="inlineStr">
        <is>
          <t>MAC Cosmetics</t>
        </is>
      </c>
      <c r="E20305" t="n">
        <v>21.57</v>
      </c>
      <c r="F20305" t="n">
        <v>1</v>
      </c>
      <c r="G20305" t="n">
        <v>5</v>
      </c>
      <c r="H20305" s="5">
        <f>HYPERLINK("https://api.qogita.com/variants/link/0773602625765/", "View Product")</f>
        <v/>
      </c>
    </row>
    <row r="20306">
      <c r="A20306" t="inlineStr">
        <is>
          <t>0773602640904</t>
        </is>
      </c>
      <c r="B20306" t="inlineStr">
        <is>
          <t>Locked Kiss Ink 24hr Lipcolour</t>
        </is>
      </c>
      <c r="C20306" t="inlineStr">
        <is>
          <t>Lipstick</t>
        </is>
      </c>
      <c r="D20306" t="inlineStr">
        <is>
          <t>Opulence</t>
        </is>
      </c>
      <c r="E20306" t="n">
        <v>19.74</v>
      </c>
      <c r="F20306" t="n">
        <v>1</v>
      </c>
      <c r="G20306" t="n">
        <v>7</v>
      </c>
      <c r="H20306" s="5">
        <f>HYPERLINK("https://api.qogita.com/variants/link/0773602640904/", "View Product")</f>
        <v/>
      </c>
    </row>
    <row r="20307">
      <c r="A20307" t="inlineStr">
        <is>
          <t>0773602642861</t>
        </is>
      </c>
      <c r="B20307" t="inlineStr">
        <is>
          <t>Mac Studio Fix Fluid Spf 15 - Mattifying Makeup 30 Ml Nc15</t>
        </is>
      </c>
      <c r="C20307" t="inlineStr">
        <is>
          <t>Foundation</t>
        </is>
      </c>
      <c r="D20307" t="inlineStr">
        <is>
          <t>Mac</t>
        </is>
      </c>
      <c r="E20307" t="n">
        <v>28.57</v>
      </c>
      <c r="F20307" t="n">
        <v>1</v>
      </c>
      <c r="G20307" t="n">
        <v>36</v>
      </c>
      <c r="H20307" s="5">
        <f>HYPERLINK("https://api.qogita.com/variants/link/0773602642861/", "View Product")</f>
        <v/>
      </c>
    </row>
    <row r="20308">
      <c r="A20308" t="inlineStr">
        <is>
          <t>0773602642946</t>
        </is>
      </c>
      <c r="B20308" t="inlineStr">
        <is>
          <t>Mac Studio Fix Fluid Spf 15 - Mattifying Makeup 30 Ml Nc44</t>
        </is>
      </c>
      <c r="C20308" t="inlineStr">
        <is>
          <t>Foundation</t>
        </is>
      </c>
      <c r="D20308" t="inlineStr">
        <is>
          <t>Mac</t>
        </is>
      </c>
      <c r="E20308" t="n">
        <v>23.71</v>
      </c>
      <c r="F20308" t="n">
        <v>1</v>
      </c>
      <c r="G20308" t="n">
        <v>13</v>
      </c>
      <c r="H20308" s="5">
        <f>HYPERLINK("https://api.qogita.com/variants/link/0773602642946/", "View Product")</f>
        <v/>
      </c>
    </row>
    <row r="20309">
      <c r="A20309" t="inlineStr">
        <is>
          <t>0773602642960</t>
        </is>
      </c>
      <c r="B20309" t="inlineStr">
        <is>
          <t>Mac Studio Fix Fluid Spf 15 - Mattifying Makeup 30 Ml Nc50</t>
        </is>
      </c>
      <c r="C20309" t="inlineStr">
        <is>
          <t>Foundation</t>
        </is>
      </c>
      <c r="D20309" t="inlineStr">
        <is>
          <t>Mac</t>
        </is>
      </c>
      <c r="E20309" t="n">
        <v>25.11</v>
      </c>
      <c r="F20309" t="n">
        <v>1</v>
      </c>
      <c r="G20309" t="n">
        <v>6</v>
      </c>
      <c r="H20309" s="5">
        <f>HYPERLINK("https://api.qogita.com/variants/link/0773602642960/", "View Product")</f>
        <v/>
      </c>
    </row>
    <row r="20310">
      <c r="A20310" t="inlineStr">
        <is>
          <t>0773602643226</t>
        </is>
      </c>
      <c r="B20310" t="inlineStr">
        <is>
          <t>Mac Studio Fix Fluid Spf 15 - Matujici Make-Up 30 Ml C 55</t>
        </is>
      </c>
      <c r="C20310" t="inlineStr">
        <is>
          <t>Foundation</t>
        </is>
      </c>
      <c r="D20310" t="inlineStr">
        <is>
          <t>Mac</t>
        </is>
      </c>
      <c r="E20310" t="n">
        <v>22.64</v>
      </c>
      <c r="F20310" t="n">
        <v>1</v>
      </c>
      <c r="G20310" t="n">
        <v>6</v>
      </c>
      <c r="H20310" s="5">
        <f>HYPERLINK("https://api.qogita.com/variants/link/0773602643226/", "View Product")</f>
        <v/>
      </c>
    </row>
    <row r="20311">
      <c r="A20311" t="inlineStr">
        <is>
          <t>0773602643288</t>
        </is>
      </c>
      <c r="B20311" t="inlineStr">
        <is>
          <t>Mac Studio Fix Fluid Spf 15 - Mattifying Makeup 30 Ml Nc47</t>
        </is>
      </c>
      <c r="C20311" t="inlineStr">
        <is>
          <t>Foundation</t>
        </is>
      </c>
      <c r="D20311" t="inlineStr">
        <is>
          <t>Mac</t>
        </is>
      </c>
      <c r="E20311" t="n">
        <v>23.71</v>
      </c>
      <c r="F20311" t="n">
        <v>1</v>
      </c>
      <c r="G20311" t="n">
        <v>13</v>
      </c>
      <c r="H20311" s="5">
        <f>HYPERLINK("https://api.qogita.com/variants/link/0773602643288/", "View Product")</f>
        <v/>
      </c>
    </row>
    <row r="20312">
      <c r="A20312" t="inlineStr">
        <is>
          <t>0773602643356</t>
        </is>
      </c>
      <c r="B20312" t="inlineStr">
        <is>
          <t>Mac Studio Fix Fluid Spf 15 24hr Matte Foundation Oil Control - 30 Ml</t>
        </is>
      </c>
      <c r="C20312" t="inlineStr">
        <is>
          <t>Foundation</t>
        </is>
      </c>
      <c r="D20312" t="inlineStr">
        <is>
          <t>Mac</t>
        </is>
      </c>
      <c r="E20312" t="n">
        <v>23.16</v>
      </c>
      <c r="F20312" t="n">
        <v>1</v>
      </c>
      <c r="G20312" t="n">
        <v>5</v>
      </c>
      <c r="H20312" s="5">
        <f>HYPERLINK("https://api.qogita.com/variants/link/0773602643356/", "View Product")</f>
        <v/>
      </c>
    </row>
    <row r="20313">
      <c r="A20313" t="inlineStr">
        <is>
          <t>0773602643394</t>
        </is>
      </c>
      <c r="B20313" t="inlineStr">
        <is>
          <t>Mac Studio Fix Fluid Spf 15 24hr Matte Foundation Oil Control - 30 Ml</t>
        </is>
      </c>
      <c r="C20313" t="inlineStr">
        <is>
          <t>Foundation</t>
        </is>
      </c>
      <c r="D20313" t="inlineStr">
        <is>
          <t>Mac</t>
        </is>
      </c>
      <c r="E20313" t="n">
        <v>29.63</v>
      </c>
      <c r="F20313" t="n">
        <v>1</v>
      </c>
      <c r="G20313" t="n">
        <v>4</v>
      </c>
      <c r="H20313" s="5">
        <f>HYPERLINK("https://api.qogita.com/variants/link/0773602643394/", "View Product")</f>
        <v/>
      </c>
    </row>
    <row r="20314">
      <c r="A20314" t="inlineStr">
        <is>
          <t>0773602643424</t>
        </is>
      </c>
      <c r="B20314" t="inlineStr">
        <is>
          <t>M.A.C Studio Fix Fluid SPF 15 Foundation NC 18</t>
        </is>
      </c>
      <c r="C20314" t="inlineStr">
        <is>
          <t>Foundation</t>
        </is>
      </c>
      <c r="D20314" t="inlineStr">
        <is>
          <t>Mac</t>
        </is>
      </c>
      <c r="E20314" t="n">
        <v>28.56</v>
      </c>
      <c r="F20314" t="n">
        <v>1</v>
      </c>
      <c r="G20314" t="n">
        <v>2</v>
      </c>
      <c r="H20314" s="5">
        <f>HYPERLINK("https://api.qogita.com/variants/link/0773602643424/", "View Product")</f>
        <v/>
      </c>
    </row>
    <row r="20315">
      <c r="A20315" t="inlineStr">
        <is>
          <t>0773602643462</t>
        </is>
      </c>
      <c r="B20315" t="inlineStr">
        <is>
          <t>Mac Studio Fix Fluid Spf 15 24hr Matte Foundation Oil Control - 30 Ml</t>
        </is>
      </c>
      <c r="C20315" t="inlineStr">
        <is>
          <t>Foundation</t>
        </is>
      </c>
      <c r="D20315" t="inlineStr">
        <is>
          <t>Mac</t>
        </is>
      </c>
      <c r="E20315" t="n">
        <v>23.16</v>
      </c>
      <c r="F20315" t="n">
        <v>1</v>
      </c>
      <c r="G20315" t="n">
        <v>5</v>
      </c>
      <c r="H20315" s="5">
        <f>HYPERLINK("https://api.qogita.com/variants/link/0773602643462/", "View Product")</f>
        <v/>
      </c>
    </row>
    <row r="20316">
      <c r="A20316" t="inlineStr">
        <is>
          <t>0773602643516</t>
        </is>
      </c>
      <c r="B20316" t="inlineStr">
        <is>
          <t>M.A.C Cosmetics Studio Fix Fluid Broad Spectrum SPF 15 Foundation N6.5 Peachy Beige 1 fl oz 30 mL</t>
        </is>
      </c>
      <c r="C20316" t="inlineStr">
        <is>
          <t>Foundation</t>
        </is>
      </c>
      <c r="D20316" t="inlineStr">
        <is>
          <t>Mac</t>
        </is>
      </c>
      <c r="E20316" t="n">
        <v>29.52</v>
      </c>
      <c r="F20316" t="n">
        <v>1</v>
      </c>
      <c r="G20316" t="n">
        <v>5</v>
      </c>
      <c r="H20316" s="5">
        <f>HYPERLINK("https://api.qogita.com/variants/link/0773602643516/", "View Product")</f>
        <v/>
      </c>
    </row>
    <row r="20317">
      <c r="A20317" t="inlineStr">
        <is>
          <t>0773602646111</t>
        </is>
      </c>
      <c r="B20317" t="inlineStr">
        <is>
          <t>MAC Locked Kiss Rouge Tint 24 Hour Liquid Lipstick - Full Size New in Box</t>
        </is>
      </c>
      <c r="C20317" t="inlineStr">
        <is>
          <t>Lipstick</t>
        </is>
      </c>
      <c r="D20317" t="inlineStr">
        <is>
          <t>Mac</t>
        </is>
      </c>
      <c r="E20317" t="n">
        <v>19.74</v>
      </c>
      <c r="F20317" t="n">
        <v>1</v>
      </c>
      <c r="G20317" t="n">
        <v>5</v>
      </c>
      <c r="H20317" s="5">
        <f>HYPERLINK("https://api.qogita.com/variants/link/0773602646111/", "View Product")</f>
        <v/>
      </c>
    </row>
    <row r="20318">
      <c r="A20318" t="inlineStr">
        <is>
          <t>0773602646173</t>
        </is>
      </c>
      <c r="B20318" t="inlineStr">
        <is>
          <t>MAC Locked Kiss Ink Lipstick Waterproof - Choose Your Color</t>
        </is>
      </c>
      <c r="C20318" t="inlineStr">
        <is>
          <t>Lipstick</t>
        </is>
      </c>
      <c r="D20318" t="inlineStr">
        <is>
          <t>Mac</t>
        </is>
      </c>
      <c r="E20318" t="n">
        <v>23.48</v>
      </c>
      <c r="F20318" t="n">
        <v>1</v>
      </c>
      <c r="G20318" t="n">
        <v>2</v>
      </c>
      <c r="H20318" s="5">
        <f>HYPERLINK("https://api.qogita.com/variants/link/0773602646173/", "View Product")</f>
        <v/>
      </c>
    </row>
    <row r="20319">
      <c r="A20319" t="inlineStr">
        <is>
          <t>0773602646203</t>
        </is>
      </c>
      <c r="B20319" t="inlineStr">
        <is>
          <t>M•A•C Locked Kiss Tint 24 Hour Lip Color - 55 Fertile - 0.14 Ounces</t>
        </is>
      </c>
      <c r="C20319" t="inlineStr">
        <is>
          <t>Lipstick</t>
        </is>
      </c>
      <c r="D20319" t="inlineStr">
        <is>
          <t>Mac</t>
        </is>
      </c>
      <c r="E20319" t="n">
        <v>19.51</v>
      </c>
      <c r="F20319" t="n">
        <v>1</v>
      </c>
      <c r="G20319" t="n">
        <v>3</v>
      </c>
      <c r="H20319" s="5">
        <f>HYPERLINK("https://api.qogita.com/variants/link/0773602646203/", "View Product")</f>
        <v/>
      </c>
    </row>
    <row r="20320">
      <c r="A20320" t="inlineStr">
        <is>
          <t>0773602648672</t>
        </is>
      </c>
      <c r="B20320" t="inlineStr">
        <is>
          <t>MAC Connect in Colour Eye Shadow Palette Brand New Boxed Genuine</t>
        </is>
      </c>
      <c r="C20320" t="inlineStr">
        <is>
          <t>Eye Sets &amp; Pallets</t>
        </is>
      </c>
      <c r="D20320" t="inlineStr">
        <is>
          <t>Mac</t>
        </is>
      </c>
      <c r="E20320" t="n">
        <v>31.75</v>
      </c>
      <c r="F20320" t="n">
        <v>1</v>
      </c>
      <c r="G20320" t="n">
        <v>4</v>
      </c>
      <c r="H20320" s="5">
        <f>HYPERLINK("https://api.qogita.com/variants/link/0773602648672/", "View Product")</f>
        <v/>
      </c>
    </row>
    <row r="20321">
      <c r="A20321" t="inlineStr">
        <is>
          <t>0773602656639</t>
        </is>
      </c>
      <c r="B20321" t="inlineStr">
        <is>
          <t>MAC Studio Radiance Serum Powered Foundation NC14.5</t>
        </is>
      </c>
      <c r="C20321" t="inlineStr">
        <is>
          <t>Foundation</t>
        </is>
      </c>
      <c r="D20321" t="inlineStr">
        <is>
          <t>MAC Cosmetics</t>
        </is>
      </c>
      <c r="E20321" t="n">
        <v>31.23</v>
      </c>
      <c r="F20321" t="n">
        <v>1</v>
      </c>
      <c r="G20321" t="n">
        <v>4</v>
      </c>
      <c r="H20321" s="5">
        <f>HYPERLINK("https://api.qogita.com/variants/link/0773602656639/", "View Product")</f>
        <v/>
      </c>
    </row>
    <row r="20322">
      <c r="A20322" t="inlineStr">
        <is>
          <t>0773602656646</t>
        </is>
      </c>
      <c r="B20322" t="inlineStr">
        <is>
          <t>MAC Studio Radiance Serum-Powered Foundation</t>
        </is>
      </c>
      <c r="C20322" t="inlineStr">
        <is>
          <t>Foundation</t>
        </is>
      </c>
      <c r="D20322" t="inlineStr">
        <is>
          <t>Mac</t>
        </is>
      </c>
      <c r="E20322" t="n">
        <v>33.01</v>
      </c>
      <c r="F20322" t="n">
        <v>1</v>
      </c>
      <c r="G20322" t="n">
        <v>2</v>
      </c>
      <c r="H20322" s="5">
        <f>HYPERLINK("https://api.qogita.com/variants/link/0773602656646/", "View Product")</f>
        <v/>
      </c>
    </row>
    <row r="20323">
      <c r="A20323" t="inlineStr">
        <is>
          <t>0773602656769</t>
        </is>
      </c>
      <c r="B20323" t="inlineStr">
        <is>
          <t>MAC Studio Radiance Serum-Powered Foundation</t>
        </is>
      </c>
      <c r="C20323" t="inlineStr">
        <is>
          <t>Foundation</t>
        </is>
      </c>
      <c r="D20323" t="inlineStr">
        <is>
          <t>Mac</t>
        </is>
      </c>
      <c r="E20323" t="n">
        <v>29.46</v>
      </c>
      <c r="F20323" t="n">
        <v>1</v>
      </c>
      <c r="G20323" t="n">
        <v>4</v>
      </c>
      <c r="H20323" s="5">
        <f>HYPERLINK("https://api.qogita.com/variants/link/0773602656769/", "View Product")</f>
        <v/>
      </c>
    </row>
    <row r="20324">
      <c r="A20324" t="inlineStr">
        <is>
          <t>0773602656950</t>
        </is>
      </c>
      <c r="B20324" t="inlineStr">
        <is>
          <t>MAC Studio Radiance Serum Powered Foundation NW47</t>
        </is>
      </c>
      <c r="C20324" t="inlineStr">
        <is>
          <t>Foundation</t>
        </is>
      </c>
      <c r="D20324" t="inlineStr">
        <is>
          <t>MAC Cosmetics</t>
        </is>
      </c>
      <c r="E20324" t="n">
        <v>27.62</v>
      </c>
      <c r="F20324" t="n">
        <v>1</v>
      </c>
      <c r="G20324" t="n">
        <v>5</v>
      </c>
      <c r="H20324" s="5">
        <f>HYPERLINK("https://api.qogita.com/variants/link/0773602656950/", "View Product")</f>
        <v/>
      </c>
    </row>
    <row r="20325">
      <c r="A20325" t="inlineStr">
        <is>
          <t>0773602656974</t>
        </is>
      </c>
      <c r="B20325" t="inlineStr">
        <is>
          <t>MAC Cosmetics Studio Radiance Serum-Powered Foundation - NW50, 30 ml</t>
        </is>
      </c>
      <c r="C20325" t="inlineStr">
        <is>
          <t>Foundation</t>
        </is>
      </c>
      <c r="D20325" t="inlineStr">
        <is>
          <t>Mac</t>
        </is>
      </c>
      <c r="E20325" t="n">
        <v>27.62</v>
      </c>
      <c r="F20325" t="n">
        <v>1</v>
      </c>
      <c r="G20325" t="n">
        <v>5</v>
      </c>
      <c r="H20325" s="5">
        <f>HYPERLINK("https://api.qogita.com/variants/link/0773602656974/", "View Product")</f>
        <v/>
      </c>
    </row>
    <row r="20326">
      <c r="A20326" t="inlineStr">
        <is>
          <t>0773602659333</t>
        </is>
      </c>
      <c r="B20326" t="inlineStr">
        <is>
          <t>MAC Lustreglass Lipstick 559 No Photos Bright Coral Pink 0.10 oz 3g</t>
        </is>
      </c>
      <c r="C20326" t="inlineStr">
        <is>
          <t>Lipstick</t>
        </is>
      </c>
      <c r="D20326" t="inlineStr">
        <is>
          <t>Mac</t>
        </is>
      </c>
      <c r="E20326" t="n">
        <v>19.04</v>
      </c>
      <c r="F20326" t="n">
        <v>1</v>
      </c>
      <c r="G20326" t="n">
        <v>3</v>
      </c>
      <c r="H20326" s="5">
        <f>HYPERLINK("https://api.qogita.com/variants/link/0773602659333/", "View Product")</f>
        <v/>
      </c>
    </row>
    <row r="20327">
      <c r="A20327" t="inlineStr">
        <is>
          <t>0773602672158</t>
        </is>
      </c>
      <c r="B20327" t="inlineStr">
        <is>
          <t>Brightening Tinted Cream Strobe Dewy Skin Tint 30 ml Shade Light 4</t>
        </is>
      </c>
      <c r="C20327" t="inlineStr">
        <is>
          <t>Bb Cream &amp; Cc Cream</t>
        </is>
      </c>
      <c r="D20327" t="inlineStr">
        <is>
          <t>Mac</t>
        </is>
      </c>
      <c r="E20327" t="n">
        <v>25.48</v>
      </c>
      <c r="F20327" t="n">
        <v>1</v>
      </c>
      <c r="G20327" t="n">
        <v>12</v>
      </c>
      <c r="H20327" s="5">
        <f>HYPERLINK("https://api.qogita.com/variants/link/0773602672158/", "View Product")</f>
        <v/>
      </c>
    </row>
    <row r="20328">
      <c r="A20328" t="inlineStr">
        <is>
          <t>0773602672332</t>
        </is>
      </c>
      <c r="B20328" t="inlineStr">
        <is>
          <t>M.A.C Studio Fix Pro Set + Blur Weightless Loose Powder Deep Dark 0.22oz 6.5g</t>
        </is>
      </c>
      <c r="C20328" t="inlineStr">
        <is>
          <t>Powder</t>
        </is>
      </c>
      <c r="D20328" t="inlineStr">
        <is>
          <t>MAC Cosmetics</t>
        </is>
      </c>
      <c r="E20328" t="n">
        <v>22.29</v>
      </c>
      <c r="F20328" t="n">
        <v>1</v>
      </c>
      <c r="G20328" t="n">
        <v>5</v>
      </c>
      <c r="H20328" s="5">
        <f>HYPERLINK("https://api.qogita.com/variants/link/0773602672332/", "View Product")</f>
        <v/>
      </c>
    </row>
    <row r="20329">
      <c r="A20329" t="inlineStr">
        <is>
          <t>0773602672578</t>
        </is>
      </c>
      <c r="B20329" t="inlineStr">
        <is>
          <t>MAC Powder Kiss Velvet Blur Slim Stick Spice World Lipstick 0.7 oz</t>
        </is>
      </c>
      <c r="C20329" t="inlineStr">
        <is>
          <t>Lipstick</t>
        </is>
      </c>
      <c r="D20329" t="inlineStr">
        <is>
          <t>Mac</t>
        </is>
      </c>
      <c r="E20329" t="n">
        <v>18.65</v>
      </c>
      <c r="F20329" t="n">
        <v>1</v>
      </c>
      <c r="G20329" t="n">
        <v>7</v>
      </c>
      <c r="H20329" s="5">
        <f>HYPERLINK("https://api.qogita.com/variants/link/0773602672578/", "View Product")</f>
        <v/>
      </c>
    </row>
    <row r="20330">
      <c r="A20330" t="inlineStr">
        <is>
          <t>0773602672615</t>
        </is>
      </c>
      <c r="B20330" t="inlineStr">
        <is>
          <t>MAC Powder Kiss Velvet Blur Slim Stick Lipstick 881 Wild Rebel Mid-Tone Plum</t>
        </is>
      </c>
      <c r="C20330" t="inlineStr">
        <is>
          <t>Lipstick</t>
        </is>
      </c>
      <c r="D20330" t="inlineStr">
        <is>
          <t>MAC Cosmetics</t>
        </is>
      </c>
      <c r="E20330" t="n">
        <v>18.65</v>
      </c>
      <c r="F20330" t="n">
        <v>1</v>
      </c>
      <c r="G20330" t="n">
        <v>5</v>
      </c>
      <c r="H20330" s="5">
        <f>HYPERLINK("https://api.qogita.com/variants/link/0773602672615/", "View Product")</f>
        <v/>
      </c>
    </row>
    <row r="20331">
      <c r="A20331" t="inlineStr">
        <is>
          <t>0773602679430</t>
        </is>
      </c>
      <c r="B20331" t="inlineStr">
        <is>
          <t>MAC Locked Kiss 24HR Lipstick Vixen</t>
        </is>
      </c>
      <c r="C20331" t="inlineStr">
        <is>
          <t>Lipstick</t>
        </is>
      </c>
      <c r="D20331" t="inlineStr">
        <is>
          <t>Mac</t>
        </is>
      </c>
      <c r="E20331" t="n">
        <v>18.1</v>
      </c>
      <c r="F20331" t="n">
        <v>1</v>
      </c>
      <c r="G20331" t="n">
        <v>6</v>
      </c>
      <c r="H20331" s="5">
        <f>HYPERLINK("https://api.qogita.com/variants/link/0773602679430/", "View Product")</f>
        <v/>
      </c>
    </row>
    <row r="20332">
      <c r="A20332" t="inlineStr">
        <is>
          <t>0773602679454</t>
        </is>
      </c>
      <c r="B20332" t="inlineStr">
        <is>
          <t>New in Box Mac Cosmetics Locked Kiss 24 Hour Lipstick 88 Ruby True</t>
        </is>
      </c>
      <c r="C20332" t="inlineStr">
        <is>
          <t>Lipstick</t>
        </is>
      </c>
      <c r="D20332" t="inlineStr">
        <is>
          <t>Mac</t>
        </is>
      </c>
      <c r="E20332" t="n">
        <v>20.11</v>
      </c>
      <c r="F20332" t="n">
        <v>1</v>
      </c>
      <c r="G20332" t="n">
        <v>6</v>
      </c>
      <c r="H20332" s="5">
        <f>HYPERLINK("https://api.qogita.com/variants/link/0773602679454/", "View Product")</f>
        <v/>
      </c>
    </row>
    <row r="20333">
      <c r="A20333" t="inlineStr">
        <is>
          <t>0773602682683</t>
        </is>
      </c>
      <c r="B20333" t="inlineStr">
        <is>
          <t>MAC Hyper Real Fresh Canvas Cleansing Oil 6.7 fl oz 200 mL</t>
        </is>
      </c>
      <c r="C20333" t="inlineStr">
        <is>
          <t>Cleansing Oil</t>
        </is>
      </c>
      <c r="D20333" t="inlineStr">
        <is>
          <t>MAC Cosmetics</t>
        </is>
      </c>
      <c r="E20333" t="n">
        <v>37.03</v>
      </c>
      <c r="F20333" t="n">
        <v>1</v>
      </c>
      <c r="G20333" t="n">
        <v>13</v>
      </c>
      <c r="H20333" s="5">
        <f>HYPERLINK("https://api.qogita.com/variants/link/0773602682683/", "View Product")</f>
        <v/>
      </c>
    </row>
    <row r="20334">
      <c r="A20334" t="inlineStr">
        <is>
          <t>0773602684526</t>
        </is>
      </c>
      <c r="B20334" t="inlineStr">
        <is>
          <t>MAC Studio Fix Everywear All Over Face Pen NC42</t>
        </is>
      </c>
      <c r="C20334" t="inlineStr">
        <is>
          <t>Foundation</t>
        </is>
      </c>
      <c r="D20334" t="inlineStr">
        <is>
          <t>MAC Cosmetics</t>
        </is>
      </c>
      <c r="E20334" t="n">
        <v>20.95</v>
      </c>
      <c r="F20334" t="n">
        <v>1</v>
      </c>
      <c r="G20334" t="n">
        <v>7</v>
      </c>
      <c r="H20334" s="5">
        <f>HYPERLINK("https://api.qogita.com/variants/link/0773602684526/", "View Product")</f>
        <v/>
      </c>
    </row>
    <row r="20335">
      <c r="A20335" t="inlineStr">
        <is>
          <t>0773602684588</t>
        </is>
      </c>
      <c r="B20335" t="inlineStr">
        <is>
          <t>Mac Studio Fix Every Wear All Over Face Pen NW20</t>
        </is>
      </c>
      <c r="C20335" t="inlineStr">
        <is>
          <t>Foundation</t>
        </is>
      </c>
      <c r="D20335" t="inlineStr">
        <is>
          <t>Mac</t>
        </is>
      </c>
      <c r="E20335" t="n">
        <v>20.92</v>
      </c>
      <c r="F20335" t="n">
        <v>1</v>
      </c>
      <c r="G20335" t="n">
        <v>5</v>
      </c>
      <c r="H20335" s="5">
        <f>HYPERLINK("https://api.qogita.com/variants/link/0773602684588/", "View Product")</f>
        <v/>
      </c>
    </row>
    <row r="20336">
      <c r="A20336" t="inlineStr">
        <is>
          <t>0773602684601</t>
        </is>
      </c>
      <c r="B20336" t="inlineStr">
        <is>
          <t>Mac Studio Fix Every Wear All Over Face Pen NW30</t>
        </is>
      </c>
      <c r="C20336" t="inlineStr">
        <is>
          <t>Foundation</t>
        </is>
      </c>
      <c r="D20336" t="inlineStr">
        <is>
          <t>Mac</t>
        </is>
      </c>
      <c r="E20336" t="n">
        <v>20.95</v>
      </c>
      <c r="F20336" t="n">
        <v>1</v>
      </c>
      <c r="G20336" t="n">
        <v>5</v>
      </c>
      <c r="H20336" s="5">
        <f>HYPERLINK("https://api.qogita.com/variants/link/0773602684601/", "View Product")</f>
        <v/>
      </c>
    </row>
    <row r="20337">
      <c r="A20337" t="inlineStr">
        <is>
          <t>0773602685073</t>
        </is>
      </c>
      <c r="B20337" t="inlineStr">
        <is>
          <t>MAC Macximal Silky Matte Lipstick 689 Captive Audience 3.5g/0.12oz</t>
        </is>
      </c>
      <c r="C20337" t="inlineStr">
        <is>
          <t>Lipstick</t>
        </is>
      </c>
      <c r="D20337" t="inlineStr">
        <is>
          <t>Mac</t>
        </is>
      </c>
      <c r="E20337" t="n">
        <v>17.58</v>
      </c>
      <c r="F20337" t="n">
        <v>1</v>
      </c>
      <c r="G20337" t="n">
        <v>2</v>
      </c>
      <c r="H20337" s="5">
        <f>HYPERLINK("https://api.qogita.com/variants/link/0773602685073/", "View Product")</f>
        <v/>
      </c>
    </row>
    <row r="20338">
      <c r="A20338" t="inlineStr">
        <is>
          <t>0773602685196</t>
        </is>
      </c>
      <c r="B20338" t="inlineStr">
        <is>
          <t>MAC Cosmetics Cximal Silky Matte Lipstick 660 AVANT GARNET 3.5g</t>
        </is>
      </c>
      <c r="C20338" t="inlineStr">
        <is>
          <t>Lipstick</t>
        </is>
      </c>
      <c r="D20338" t="inlineStr">
        <is>
          <t>Mac</t>
        </is>
      </c>
      <c r="E20338" t="n">
        <v>15.85</v>
      </c>
      <c r="F20338" t="n">
        <v>1</v>
      </c>
      <c r="G20338" t="n">
        <v>6</v>
      </c>
      <c r="H20338" s="5">
        <f>HYPERLINK("https://api.qogita.com/variants/link/0773602685196/", "View Product")</f>
        <v/>
      </c>
    </row>
    <row r="20339">
      <c r="A20339" t="inlineStr">
        <is>
          <t>0773602685417</t>
        </is>
      </c>
      <c r="B20339" t="inlineStr">
        <is>
          <t>Mac Studio Fix Every Wear All Over Face Pen NW22</t>
        </is>
      </c>
      <c r="C20339" t="inlineStr">
        <is>
          <t>Foundation</t>
        </is>
      </c>
      <c r="D20339" t="inlineStr">
        <is>
          <t>Mac</t>
        </is>
      </c>
      <c r="E20339" t="n">
        <v>25.48</v>
      </c>
      <c r="F20339" t="n">
        <v>1</v>
      </c>
      <c r="G20339" t="n">
        <v>10</v>
      </c>
      <c r="H20339" s="5">
        <f>HYPERLINK("https://api.qogita.com/variants/link/0773602685417/", "View Product")</f>
        <v/>
      </c>
    </row>
    <row r="20340">
      <c r="A20340" t="inlineStr">
        <is>
          <t>0773602685424</t>
        </is>
      </c>
      <c r="B20340" t="inlineStr">
        <is>
          <t>MAC Studio Fix Every Wear All Over Face Pen NC47</t>
        </is>
      </c>
      <c r="C20340" t="inlineStr">
        <is>
          <t>Concealer</t>
        </is>
      </c>
      <c r="D20340" t="inlineStr">
        <is>
          <t>MAC Cosmetics</t>
        </is>
      </c>
      <c r="E20340" t="n">
        <v>20.71</v>
      </c>
      <c r="F20340" t="n">
        <v>1</v>
      </c>
      <c r="G20340" t="n">
        <v>5</v>
      </c>
      <c r="H20340" s="5">
        <f>HYPERLINK("https://api.qogita.com/variants/link/0773602685424/", "View Product")</f>
        <v/>
      </c>
    </row>
    <row r="20341">
      <c r="A20341" t="inlineStr">
        <is>
          <t>0773602685448</t>
        </is>
      </c>
      <c r="B20341" t="inlineStr">
        <is>
          <t>MAC Cosmetics Cximal Silky Matte Lipstick 608 MEHR 3.5g</t>
        </is>
      </c>
      <c r="C20341" t="inlineStr">
        <is>
          <t>Lipstick</t>
        </is>
      </c>
      <c r="D20341" t="inlineStr">
        <is>
          <t>Mac</t>
        </is>
      </c>
      <c r="E20341" t="n">
        <v>17.79</v>
      </c>
      <c r="F20341" t="n">
        <v>1</v>
      </c>
      <c r="G20341" t="n">
        <v>31</v>
      </c>
      <c r="H20341" s="5">
        <f>HYPERLINK("https://api.qogita.com/variants/link/0773602685448/", "View Product")</f>
        <v/>
      </c>
    </row>
    <row r="20342">
      <c r="A20342" t="inlineStr">
        <is>
          <t>0773602685523</t>
        </is>
      </c>
      <c r="B20342" t="inlineStr">
        <is>
          <t>MAC Cosmetics Cximal Silky Matte Lipstick 665 Ring the Alarm 3.5g</t>
        </is>
      </c>
      <c r="C20342" t="inlineStr">
        <is>
          <t>Lipstick</t>
        </is>
      </c>
      <c r="D20342" t="inlineStr">
        <is>
          <t>Mac</t>
        </is>
      </c>
      <c r="E20342" t="n">
        <v>14.82</v>
      </c>
      <c r="F20342" t="n">
        <v>1</v>
      </c>
      <c r="G20342" t="n">
        <v>5</v>
      </c>
      <c r="H20342" s="5">
        <f>HYPERLINK("https://api.qogita.com/variants/link/0773602685523/", "View Product")</f>
        <v/>
      </c>
    </row>
    <row r="20343">
      <c r="A20343" t="inlineStr">
        <is>
          <t>0773602685547</t>
        </is>
      </c>
      <c r="B20343" t="inlineStr">
        <is>
          <t>MAC MAXIMAL Silky Matte Lipstick Keep Dreaming 0.1 Ounces</t>
        </is>
      </c>
      <c r="C20343" t="inlineStr">
        <is>
          <t>Lipstick</t>
        </is>
      </c>
      <c r="D20343" t="inlineStr">
        <is>
          <t>Mac</t>
        </is>
      </c>
      <c r="E20343" t="n">
        <v>15.52</v>
      </c>
      <c r="F20343" t="n">
        <v>1</v>
      </c>
      <c r="G20343" t="n">
        <v>2</v>
      </c>
      <c r="H20343" s="5">
        <f>HYPERLINK("https://api.qogita.com/variants/link/0773602685547/", "View Product")</f>
        <v/>
      </c>
    </row>
    <row r="20344">
      <c r="A20344" t="inlineStr">
        <is>
          <t>0773602710690</t>
        </is>
      </c>
      <c r="B20344" t="inlineStr">
        <is>
          <t>Mac Cosmetics Fix+ Original Setting Spray 30ml</t>
        </is>
      </c>
      <c r="C20344" t="inlineStr">
        <is>
          <t>Setting Spray</t>
        </is>
      </c>
      <c r="D20344" t="inlineStr">
        <is>
          <t>Mac</t>
        </is>
      </c>
      <c r="E20344" t="n">
        <v>10.3</v>
      </c>
      <c r="F20344" t="n">
        <v>1</v>
      </c>
      <c r="G20344" t="n">
        <v>6</v>
      </c>
      <c r="H20344" s="5">
        <f>HYPERLINK("https://api.qogita.com/variants/link/0773602710690/", "View Product")</f>
        <v/>
      </c>
    </row>
    <row r="20345">
      <c r="A20345" t="inlineStr">
        <is>
          <t>0773602718931</t>
        </is>
      </c>
      <c r="B20345" t="inlineStr">
        <is>
          <t>Mac Duo Mascara &amp; Base Macstack</t>
        </is>
      </c>
      <c r="C20345" t="inlineStr">
        <is>
          <t>Mascara</t>
        </is>
      </c>
      <c r="D20345" t="inlineStr">
        <is>
          <t>Mac</t>
        </is>
      </c>
      <c r="E20345" t="n">
        <v>29.2</v>
      </c>
      <c r="F20345" t="n">
        <v>1</v>
      </c>
      <c r="G20345" t="n">
        <v>3</v>
      </c>
      <c r="H20345" s="5">
        <f>HYPERLINK("https://api.qogita.com/variants/link/0773602718931/", "View Product")</f>
        <v/>
      </c>
    </row>
    <row r="20346">
      <c r="A20346" t="inlineStr">
        <is>
          <t>0773602718979</t>
        </is>
      </c>
      <c r="B20346" t="inlineStr">
        <is>
          <t>Mac Everyday Luxury Mini Lustreglass Lipstick Trio Red - Pack of 3</t>
        </is>
      </c>
      <c r="C20346" t="inlineStr">
        <is>
          <t>Lip Sets</t>
        </is>
      </c>
      <c r="D20346" t="inlineStr">
        <is>
          <t>Mac</t>
        </is>
      </c>
      <c r="E20346" t="n">
        <v>23.91</v>
      </c>
      <c r="F20346" t="n">
        <v>1</v>
      </c>
      <c r="G20346" t="n">
        <v>7</v>
      </c>
      <c r="H20346" s="5">
        <f>HYPERLINK("https://api.qogita.com/variants/link/0773602718979/", "View Product")</f>
        <v/>
      </c>
    </row>
    <row r="20347">
      <c r="A20347" t="inlineStr">
        <is>
          <t>0773602719105</t>
        </is>
      </c>
      <c r="B20347" t="inlineStr">
        <is>
          <t>Mac Everyday Luxury Mini Lustreglass Lipstick Trio - 3 Piece Set</t>
        </is>
      </c>
      <c r="C20347" t="inlineStr">
        <is>
          <t>Lip Sets</t>
        </is>
      </c>
      <c r="D20347" t="inlineStr">
        <is>
          <t>Mac</t>
        </is>
      </c>
      <c r="E20347" t="n">
        <v>23.91</v>
      </c>
      <c r="F20347" t="n">
        <v>1</v>
      </c>
      <c r="G20347" t="n">
        <v>3</v>
      </c>
      <c r="H20347" s="5">
        <f>HYPERLINK("https://api.qogita.com/variants/link/0773602719105/", "View Product")</f>
        <v/>
      </c>
    </row>
    <row r="20348">
      <c r="A20348" t="inlineStr">
        <is>
          <t>0773602726110</t>
        </is>
      </c>
      <c r="B20348" t="inlineStr">
        <is>
          <t>Mac Lipglass Lip Gloss Galactic Glisten 0.1 Ounces</t>
        </is>
      </c>
      <c r="C20348" t="inlineStr">
        <is>
          <t>Lip Gloss</t>
        </is>
      </c>
      <c r="D20348" t="inlineStr">
        <is>
          <t>Mac</t>
        </is>
      </c>
      <c r="E20348" t="n">
        <v>18.34</v>
      </c>
      <c r="F20348" t="n">
        <v>1</v>
      </c>
      <c r="G20348" t="n">
        <v>9</v>
      </c>
      <c r="H20348" s="5">
        <f>HYPERLINK("https://api.qogita.com/variants/link/0773602726110/", "View Product")</f>
        <v/>
      </c>
    </row>
    <row r="20349">
      <c r="A20349" t="inlineStr">
        <is>
          <t>0773602727025</t>
        </is>
      </c>
      <c r="B20349" t="inlineStr">
        <is>
          <t>Mac Skinfinish Metallic Cream Blush Coveted Coral 0.2 Ounces</t>
        </is>
      </c>
      <c r="C20349" t="inlineStr">
        <is>
          <t>Blush</t>
        </is>
      </c>
      <c r="D20349" t="inlineStr">
        <is>
          <t>Mac</t>
        </is>
      </c>
      <c r="E20349" t="n">
        <v>29.2</v>
      </c>
      <c r="F20349" t="n">
        <v>1</v>
      </c>
      <c r="G20349" t="n">
        <v>16</v>
      </c>
      <c r="H20349" s="5">
        <f>HYPERLINK("https://api.qogita.com/variants/link/0773602727025/", "View Product")</f>
        <v/>
      </c>
    </row>
    <row r="20350">
      <c r="A20350" t="inlineStr">
        <is>
          <t>0783320402906</t>
        </is>
      </c>
      <c r="B20350" t="inlineStr">
        <is>
          <t>Bvlgari Eau de Toilette 0.4 Kilograms</t>
        </is>
      </c>
      <c r="C20350" t="inlineStr">
        <is>
          <t>Eau De Toilette</t>
        </is>
      </c>
      <c r="D20350" t="inlineStr">
        <is>
          <t>Bvlgari</t>
        </is>
      </c>
      <c r="E20350" t="n">
        <v>39.33</v>
      </c>
      <c r="F20350" t="n">
        <v>1</v>
      </c>
      <c r="G20350" t="n">
        <v>164</v>
      </c>
      <c r="H20350" s="5">
        <f>HYPERLINK("https://api.qogita.com/variants/link/0783320402906/", "View Product")</f>
        <v/>
      </c>
    </row>
    <row r="20351">
      <c r="A20351" t="inlineStr">
        <is>
          <t>0783320403903</t>
        </is>
      </c>
      <c r="B20351" t="inlineStr">
        <is>
          <t>BVLGARI Man Wood Neroli Eau de Parfum Spray 60ml</t>
        </is>
      </c>
      <c r="C20351" t="inlineStr">
        <is>
          <t>Eau De Parfum</t>
        </is>
      </c>
      <c r="D20351" t="inlineStr">
        <is>
          <t>Bvlgari</t>
        </is>
      </c>
      <c r="E20351" t="n">
        <v>36.09</v>
      </c>
      <c r="F20351" t="n">
        <v>1</v>
      </c>
      <c r="G20351" t="n">
        <v>61</v>
      </c>
      <c r="H20351" s="5">
        <f>HYPERLINK("https://api.qogita.com/variants/link/0783320403903/", "View Product")</f>
        <v/>
      </c>
    </row>
    <row r="20352">
      <c r="A20352" t="inlineStr">
        <is>
          <t>0783320411175</t>
        </is>
      </c>
      <c r="B20352" t="inlineStr">
        <is>
          <t>Splendida Patchouli Tentation Eau De Parfum Spray  50ml</t>
        </is>
      </c>
      <c r="C20352" t="inlineStr">
        <is>
          <t>Eau De Parfum</t>
        </is>
      </c>
      <c r="D20352" t="inlineStr">
        <is>
          <t>Bvlgari</t>
        </is>
      </c>
      <c r="E20352" t="n">
        <v>46.57</v>
      </c>
      <c r="F20352" t="n">
        <v>1</v>
      </c>
      <c r="G20352" t="n">
        <v>34</v>
      </c>
      <c r="H20352" s="5">
        <f>HYPERLINK("https://api.qogita.com/variants/link/0783320411175/", "View Product")</f>
        <v/>
      </c>
    </row>
    <row r="20353">
      <c r="A20353" t="inlineStr">
        <is>
          <t>0783320416101</t>
        </is>
      </c>
      <c r="B20353" t="inlineStr">
        <is>
          <t>BVLGARI Men's Terrae Essence EDP Spray 3.4 oz</t>
        </is>
      </c>
      <c r="C20353" t="inlineStr">
        <is>
          <t>Eau De Parfum</t>
        </is>
      </c>
      <c r="D20353" t="inlineStr">
        <is>
          <t>Bvlgari</t>
        </is>
      </c>
      <c r="E20353" t="n">
        <v>58.12</v>
      </c>
      <c r="F20353" t="n">
        <v>1</v>
      </c>
      <c r="G20353" t="n">
        <v>2</v>
      </c>
      <c r="H20353" s="5">
        <f>HYPERLINK("https://api.qogita.com/variants/link/0783320416101/", "View Product")</f>
        <v/>
      </c>
    </row>
    <row r="20354">
      <c r="A20354" t="inlineStr">
        <is>
          <t>0783320419485</t>
        </is>
      </c>
      <c r="B20354" t="inlineStr">
        <is>
          <t>Bvlgari Man Rain Essence Eau De Parfum 60ml</t>
        </is>
      </c>
      <c r="C20354" t="inlineStr">
        <is>
          <t>Eau De Parfum</t>
        </is>
      </c>
      <c r="D20354" t="inlineStr">
        <is>
          <t>Bvlgari</t>
        </is>
      </c>
      <c r="E20354" t="n">
        <v>51.13</v>
      </c>
      <c r="F20354" t="n">
        <v>1</v>
      </c>
      <c r="G20354" t="n">
        <v>11</v>
      </c>
      <c r="H20354" s="5">
        <f>HYPERLINK("https://api.qogita.com/variants/link/0783320419485/", "View Product")</f>
        <v/>
      </c>
    </row>
    <row r="20355">
      <c r="A20355" t="inlineStr">
        <is>
          <t>0783320420566</t>
        </is>
      </c>
      <c r="B20355" t="inlineStr">
        <is>
          <t>Bvlgari Omnia Crystalline Eau De Toilette 100ml</t>
        </is>
      </c>
      <c r="C20355" t="inlineStr">
        <is>
          <t>Eau De Toilette</t>
        </is>
      </c>
      <c r="D20355" t="inlineStr">
        <is>
          <t>Bvlgari</t>
        </is>
      </c>
      <c r="E20355" t="n">
        <v>84.16</v>
      </c>
      <c r="F20355" t="n">
        <v>1</v>
      </c>
      <c r="G20355" t="n">
        <v>5</v>
      </c>
      <c r="H20355" s="5">
        <f>HYPERLINK("https://api.qogita.com/variants/link/0783320420566/", "View Product")</f>
        <v/>
      </c>
    </row>
    <row r="20356">
      <c r="A20356" t="inlineStr">
        <is>
          <t>0783320420627</t>
        </is>
      </c>
      <c r="B20356" t="inlineStr">
        <is>
          <t>Bulgari Omnia Amethyste Eau De Toilette 50ml</t>
        </is>
      </c>
      <c r="C20356" t="inlineStr">
        <is>
          <t>Eau De Toilette</t>
        </is>
      </c>
      <c r="D20356" t="inlineStr">
        <is>
          <t>Bvlgari</t>
        </is>
      </c>
      <c r="E20356" t="n">
        <v>60.22</v>
      </c>
      <c r="F20356" t="n">
        <v>1</v>
      </c>
      <c r="G20356" t="n">
        <v>2</v>
      </c>
      <c r="H20356" s="5">
        <f>HYPERLINK("https://api.qogita.com/variants/link/0783320420627/", "View Product")</f>
        <v/>
      </c>
    </row>
    <row r="20357">
      <c r="A20357" t="inlineStr">
        <is>
          <t>0783320421327</t>
        </is>
      </c>
      <c r="B20357" t="inlineStr">
        <is>
          <t>Bvlgari Pour Homme Eau De Parfum 50ml By Bvlgari</t>
        </is>
      </c>
      <c r="C20357" t="inlineStr">
        <is>
          <t>Eau De Parfum</t>
        </is>
      </c>
      <c r="D20357" t="inlineStr">
        <is>
          <t>Bvlgari</t>
        </is>
      </c>
      <c r="E20357" t="n">
        <v>66.88</v>
      </c>
      <c r="F20357" t="n">
        <v>1</v>
      </c>
      <c r="G20357" t="n">
        <v>3</v>
      </c>
      <c r="H20357" s="5">
        <f>HYPERLINK("https://api.qogita.com/variants/link/0783320421327/", "View Product")</f>
        <v/>
      </c>
    </row>
    <row r="20358">
      <c r="A20358" t="inlineStr">
        <is>
          <t>0783320421792</t>
        </is>
      </c>
      <c r="B20358" t="inlineStr">
        <is>
          <t>Bvlgari Le Gemme Gyan Eau De Parfum 125ml</t>
        </is>
      </c>
      <c r="C20358" t="inlineStr">
        <is>
          <t>Eau De Parfum</t>
        </is>
      </c>
      <c r="D20358" t="inlineStr">
        <is>
          <t>Bvlgari</t>
        </is>
      </c>
      <c r="E20358" t="n">
        <v>272.53</v>
      </c>
      <c r="F20358" t="n">
        <v>1</v>
      </c>
      <c r="G20358" t="n">
        <v>7</v>
      </c>
      <c r="H20358" s="5">
        <f>HYPERLINK("https://api.qogita.com/variants/link/0783320421792/", "View Product")</f>
        <v/>
      </c>
    </row>
    <row r="20359">
      <c r="A20359" t="inlineStr">
        <is>
          <t>0783320422355</t>
        </is>
      </c>
      <c r="B20359" t="inlineStr">
        <is>
          <t>Bvlgari Omnia Crystalline Giftset</t>
        </is>
      </c>
      <c r="C20359" t="inlineStr">
        <is>
          <t>Fragrance Sets</t>
        </is>
      </c>
      <c r="D20359" t="inlineStr">
        <is>
          <t>Bvlgari</t>
        </is>
      </c>
      <c r="E20359" t="n">
        <v>120.65</v>
      </c>
      <c r="F20359" t="n">
        <v>1</v>
      </c>
      <c r="G20359" t="n">
        <v>8</v>
      </c>
      <c r="H20359" s="5">
        <f>HYPERLINK("https://api.qogita.com/variants/link/0783320422355/", "View Product")</f>
        <v/>
      </c>
    </row>
    <row r="20360">
      <c r="A20360" t="inlineStr">
        <is>
          <t>0783320423260</t>
        </is>
      </c>
      <c r="B20360" t="inlineStr">
        <is>
          <t>Bvlgari Le Gemme Sahare Eau De Parfum 60ml</t>
        </is>
      </c>
      <c r="C20360" t="inlineStr">
        <is>
          <t>Eau De Parfum</t>
        </is>
      </c>
      <c r="D20360" t="inlineStr">
        <is>
          <t>Bvlgari</t>
        </is>
      </c>
      <c r="E20360" t="n">
        <v>236.46</v>
      </c>
      <c r="F20360" t="n">
        <v>1</v>
      </c>
      <c r="G20360" t="n">
        <v>5</v>
      </c>
      <c r="H20360" s="5">
        <f>HYPERLINK("https://api.qogita.com/variants/link/0783320423260/", "View Product")</f>
        <v/>
      </c>
    </row>
    <row r="20361">
      <c r="A20361" t="inlineStr">
        <is>
          <t>0783320423369</t>
        </is>
      </c>
      <c r="B20361" t="inlineStr">
        <is>
          <t>Bvlgari Omnia Crystalline Eau De Parfum 100 Ml</t>
        </is>
      </c>
      <c r="C20361" t="inlineStr">
        <is>
          <t>Eau De Parfum</t>
        </is>
      </c>
      <c r="D20361" t="inlineStr">
        <is>
          <t>Bvlgari</t>
        </is>
      </c>
      <c r="E20361" t="n">
        <v>113.93</v>
      </c>
      <c r="F20361" t="n">
        <v>1</v>
      </c>
      <c r="G20361" t="n">
        <v>30</v>
      </c>
      <c r="H20361" s="5">
        <f>HYPERLINK("https://api.qogita.com/variants/link/0783320423369/", "View Product")</f>
        <v/>
      </c>
    </row>
    <row r="20362">
      <c r="A20362" t="inlineStr">
        <is>
          <t>0783320423444</t>
        </is>
      </c>
      <c r="B20362" t="inlineStr">
        <is>
          <t>Bulgari Man Wood Essence Eau De Parfum 100ml Eau De Parfum 15ml</t>
        </is>
      </c>
      <c r="C20362" t="inlineStr">
        <is>
          <t>Eau De Parfum</t>
        </is>
      </c>
      <c r="D20362" t="inlineStr">
        <is>
          <t>BULGARI</t>
        </is>
      </c>
      <c r="E20362" t="n">
        <v>87.08</v>
      </c>
      <c r="F20362" t="n">
        <v>1</v>
      </c>
      <c r="G20362" t="n">
        <v>14</v>
      </c>
      <c r="H20362" s="5">
        <f>HYPERLINK("https://api.qogita.com/variants/link/0783320423444/", "View Product")</f>
        <v/>
      </c>
    </row>
    <row r="20363">
      <c r="A20363" t="inlineStr">
        <is>
          <t>0783320482106</t>
        </is>
      </c>
      <c r="B20363" t="inlineStr">
        <is>
          <t>Bvlgari Aqva Divina 40ml Eau de Toilette Spray</t>
        </is>
      </c>
      <c r="C20363" t="inlineStr">
        <is>
          <t>Eau De Toilette</t>
        </is>
      </c>
      <c r="D20363" t="inlineStr">
        <is>
          <t>BULGARI</t>
        </is>
      </c>
      <c r="E20363" t="n">
        <v>55.41</v>
      </c>
      <c r="F20363" t="n">
        <v>1</v>
      </c>
      <c r="G20363" t="n">
        <v>11</v>
      </c>
      <c r="H20363" s="5">
        <f>HYPERLINK("https://api.qogita.com/variants/link/0783320482106/", "View Product")</f>
        <v/>
      </c>
    </row>
    <row r="20364">
      <c r="A20364" t="inlineStr">
        <is>
          <t>0783320829239</t>
        </is>
      </c>
      <c r="B20364" t="inlineStr">
        <is>
          <t>Bvlgari Omnia Pink Sapphire Shower Gel 100ml</t>
        </is>
      </c>
      <c r="C20364" t="inlineStr">
        <is>
          <t>Shower Gel</t>
        </is>
      </c>
      <c r="D20364" t="inlineStr">
        <is>
          <t>Bvlgari</t>
        </is>
      </c>
      <c r="E20364" t="n">
        <v>19.4</v>
      </c>
      <c r="F20364" t="n">
        <v>1</v>
      </c>
      <c r="G20364" t="n">
        <v>20</v>
      </c>
      <c r="H20364" s="5">
        <f>HYPERLINK("https://api.qogita.com/variants/link/0783320829239/", "View Product")</f>
        <v/>
      </c>
    </row>
    <row r="20365">
      <c r="A20365" t="inlineStr">
        <is>
          <t>0783320841118</t>
        </is>
      </c>
      <c r="B20365" t="inlineStr">
        <is>
          <t>Bulgari Petits Et Mamans No Alcohol 100ml</t>
        </is>
      </c>
      <c r="C20365" t="inlineStr">
        <is>
          <t>Eau De Toilette</t>
        </is>
      </c>
      <c r="D20365" t="inlineStr">
        <is>
          <t>Bvlgari</t>
        </is>
      </c>
      <c r="E20365" t="n">
        <v>58.93</v>
      </c>
      <c r="F20365" t="n">
        <v>1</v>
      </c>
      <c r="G20365" t="n">
        <v>5</v>
      </c>
      <c r="H20365" s="5">
        <f>HYPERLINK("https://api.qogita.com/variants/link/0783320841118/", "View Product")</f>
        <v/>
      </c>
    </row>
    <row r="20366">
      <c r="A20366" t="inlineStr">
        <is>
          <t>0783320977350</t>
        </is>
      </c>
      <c r="B20366" t="inlineStr">
        <is>
          <t>Stunning Bvlgari Jasmin Noir Women's Perfume Eau de Parfum Spray 50ml</t>
        </is>
      </c>
      <c r="C20366" t="inlineStr">
        <is>
          <t>Eau De Parfum</t>
        </is>
      </c>
      <c r="D20366" t="inlineStr">
        <is>
          <t>Bvlgari</t>
        </is>
      </c>
      <c r="E20366" t="n">
        <v>68.79000000000001</v>
      </c>
      <c r="F20366" t="n">
        <v>1</v>
      </c>
      <c r="G20366" t="n">
        <v>131</v>
      </c>
      <c r="H20366" s="5">
        <f>HYPERLINK("https://api.qogita.com/variants/link/0783320977350/", "View Product")</f>
        <v/>
      </c>
    </row>
    <row r="20367">
      <c r="A20367" t="inlineStr">
        <is>
          <t>0783320977381</t>
        </is>
      </c>
      <c r="B20367" t="inlineStr">
        <is>
          <t>BVLGARI SPLENDIDA MAGNOLIA SENSUEL EAU DE PARFUM 50ML VAPORIZADOR</t>
        </is>
      </c>
      <c r="C20367" t="inlineStr">
        <is>
          <t>Eau De Parfum</t>
        </is>
      </c>
      <c r="D20367" t="inlineStr">
        <is>
          <t>Bvlgari</t>
        </is>
      </c>
      <c r="E20367" t="n">
        <v>45.96</v>
      </c>
      <c r="F20367" t="n">
        <v>1</v>
      </c>
      <c r="G20367" t="n">
        <v>2</v>
      </c>
      <c r="H20367" s="5">
        <f>HYPERLINK("https://api.qogita.com/variants/link/0783320977381/", "View Product")</f>
        <v/>
      </c>
    </row>
    <row r="20368">
      <c r="A20368" t="inlineStr">
        <is>
          <t>0785364014299</t>
        </is>
      </c>
      <c r="B20368" t="inlineStr">
        <is>
          <t>Glycolic Foaming Cleanser 177ml</t>
        </is>
      </c>
      <c r="C20368" t="inlineStr">
        <is>
          <t>Cleansing Foam</t>
        </is>
      </c>
      <c r="D20368" t="inlineStr">
        <is>
          <t>Mario Badescu</t>
        </is>
      </c>
      <c r="E20368" t="n">
        <v>8.789999999999999</v>
      </c>
      <c r="F20368" t="n">
        <v>1</v>
      </c>
      <c r="G20368" t="n">
        <v>4</v>
      </c>
      <c r="H20368" s="5">
        <f>HYPERLINK("https://api.qogita.com/variants/link/0785364014299/", "View Product")</f>
        <v/>
      </c>
    </row>
    <row r="20369">
      <c r="A20369" t="inlineStr">
        <is>
          <t>0785364134096</t>
        </is>
      </c>
      <c r="B20369" t="inlineStr">
        <is>
          <t>Mario Badescu Facial Spray with Aloe, Herbs and Rosewater 4oz (118ml)</t>
        </is>
      </c>
      <c r="C20369" t="inlineStr">
        <is>
          <t>Facial Spray</t>
        </is>
      </c>
      <c r="D20369" t="inlineStr">
        <is>
          <t>Mario Badescu</t>
        </is>
      </c>
      <c r="E20369" t="n">
        <v>4.51</v>
      </c>
      <c r="F20369" t="n">
        <v>1</v>
      </c>
      <c r="G20369" t="n">
        <v>8</v>
      </c>
      <c r="H20369" s="5">
        <f>HYPERLINK("https://api.qogita.com/variants/link/0785364134096/", "View Product")</f>
        <v/>
      </c>
    </row>
    <row r="20370">
      <c r="A20370" t="inlineStr">
        <is>
          <t>0785364804180</t>
        </is>
      </c>
      <c r="B20370" t="inlineStr">
        <is>
          <t>Whitening Mask 59ml</t>
        </is>
      </c>
      <c r="C20370" t="inlineStr">
        <is>
          <t>Glow Mask</t>
        </is>
      </c>
      <c r="D20370" t="inlineStr">
        <is>
          <t>Mario Badescu</t>
        </is>
      </c>
      <c r="E20370" t="n">
        <v>18</v>
      </c>
      <c r="F20370" t="n">
        <v>1</v>
      </c>
      <c r="G20370" t="n">
        <v>2</v>
      </c>
      <c r="H20370" s="5">
        <f>HYPERLINK("https://api.qogita.com/variants/link/0785364804180/", "View Product")</f>
        <v/>
      </c>
    </row>
    <row r="20371">
      <c r="A20371" t="inlineStr">
        <is>
          <t>0791511878119</t>
        </is>
      </c>
      <c r="B20371" t="inlineStr">
        <is>
          <t>D.S. &amp; Durga Rose Atlantic for Women Eau de Parfum Spray 1.7 Ounce</t>
        </is>
      </c>
      <c r="C20371" t="inlineStr">
        <is>
          <t>Eau De Parfum</t>
        </is>
      </c>
      <c r="D20371" t="inlineStr">
        <is>
          <t>D.S. &amp; Durga</t>
        </is>
      </c>
      <c r="E20371" t="n">
        <v>112.54</v>
      </c>
      <c r="F20371" t="n">
        <v>1</v>
      </c>
      <c r="G20371" t="n">
        <v>10</v>
      </c>
      <c r="H20371" s="5">
        <f>HYPERLINK("https://api.qogita.com/variants/link/0791511878119/", "View Product")</f>
        <v/>
      </c>
    </row>
    <row r="20372">
      <c r="A20372" t="inlineStr">
        <is>
          <t>0791511878164</t>
        </is>
      </c>
      <c r="B20372" t="inlineStr">
        <is>
          <t>D.S. &amp; Durga Cowboy Grass for Men Eau de Parfum Spray 1.7oz</t>
        </is>
      </c>
      <c r="C20372" t="inlineStr">
        <is>
          <t>Eau De Parfum</t>
        </is>
      </c>
      <c r="D20372" t="inlineStr">
        <is>
          <t>D.S. &amp; Durga</t>
        </is>
      </c>
      <c r="E20372" t="n">
        <v>112.54</v>
      </c>
      <c r="F20372" t="n">
        <v>1</v>
      </c>
      <c r="G20372" t="n">
        <v>8</v>
      </c>
      <c r="H20372" s="5">
        <f>HYPERLINK("https://api.qogita.com/variants/link/0791511878164/", "View Product")</f>
        <v/>
      </c>
    </row>
    <row r="20373">
      <c r="A20373" t="inlineStr">
        <is>
          <t>0791511878188</t>
        </is>
      </c>
      <c r="B20373" t="inlineStr">
        <is>
          <t>D.S. &amp; Durga Italian Citrus Eau De Parfume Spray 1.7oz</t>
        </is>
      </c>
      <c r="C20373" t="inlineStr">
        <is>
          <t>Eau De Parfum</t>
        </is>
      </c>
      <c r="D20373" t="inlineStr">
        <is>
          <t>D.S. &amp; Durga</t>
        </is>
      </c>
      <c r="E20373" t="n">
        <v>112.54</v>
      </c>
      <c r="F20373" t="n">
        <v>1</v>
      </c>
      <c r="G20373" t="n">
        <v>4</v>
      </c>
      <c r="H20373" s="5">
        <f>HYPERLINK("https://api.qogita.com/variants/link/0791511878188/", "View Product")</f>
        <v/>
      </c>
    </row>
    <row r="20374">
      <c r="A20374" t="inlineStr">
        <is>
          <t>0793675180138</t>
        </is>
      </c>
      <c r="B20374" t="inlineStr">
        <is>
          <t>Penhaligon's Endymion Cologne 100ml</t>
        </is>
      </c>
      <c r="C20374" t="inlineStr">
        <is>
          <t>Eau De Cologne</t>
        </is>
      </c>
      <c r="D20374" t="inlineStr">
        <is>
          <t>Penhaligon's London</t>
        </is>
      </c>
      <c r="E20374" t="n">
        <v>105.25</v>
      </c>
      <c r="F20374" t="n">
        <v>1</v>
      </c>
      <c r="G20374" t="n">
        <v>5</v>
      </c>
      <c r="H20374" s="5">
        <f>HYPERLINK("https://api.qogita.com/variants/link/0793675180138/", "View Product")</f>
        <v/>
      </c>
    </row>
    <row r="20375">
      <c r="A20375" t="inlineStr">
        <is>
          <t>0793869614630</t>
        </is>
      </c>
      <c r="B20375" t="inlineStr">
        <is>
          <t>D.S. &amp; Durga Sweet Do Nothing EDP 50ml</t>
        </is>
      </c>
      <c r="C20375" t="inlineStr">
        <is>
          <t>Eau De Parfum</t>
        </is>
      </c>
      <c r="D20375" t="inlineStr">
        <is>
          <t>D.S. &amp; Durga</t>
        </is>
      </c>
      <c r="E20375" t="n">
        <v>112.54</v>
      </c>
      <c r="F20375" t="n">
        <v>1</v>
      </c>
      <c r="G20375" t="n">
        <v>3</v>
      </c>
      <c r="H20375" s="5">
        <f>HYPERLINK("https://api.qogita.com/variants/link/0793869614630/", "View Product")</f>
        <v/>
      </c>
    </row>
    <row r="20376">
      <c r="A20376" t="inlineStr">
        <is>
          <t>0794995029022</t>
        </is>
      </c>
      <c r="B20376" t="inlineStr">
        <is>
          <t>Carbon Theory Supacylic Acne Patches Zap Patch Pin-Point Salicylic Acid Spot Patches - 40 Pieces</t>
        </is>
      </c>
      <c r="C20376" t="inlineStr">
        <is>
          <t>Pimple &amp; Blackhead Treatments</t>
        </is>
      </c>
      <c r="D20376" t="inlineStr">
        <is>
          <t>Carbon Theory</t>
        </is>
      </c>
      <c r="E20376" t="n">
        <v>6.64</v>
      </c>
      <c r="F20376" t="n">
        <v>1</v>
      </c>
      <c r="G20376" t="n">
        <v>2</v>
      </c>
      <c r="H20376" s="5">
        <f>HYPERLINK("https://api.qogita.com/variants/link/0794995029022/", "View Product")</f>
        <v/>
      </c>
    </row>
    <row r="20377">
      <c r="A20377" t="inlineStr">
        <is>
          <t>0800897226480</t>
        </is>
      </c>
      <c r="B20377" t="inlineStr">
        <is>
          <t>NYX Professional Makeup Jumbo Lash Vegan False Eyelashes Kit with 2-in-1 Eyeliner Adhesive Fringe Glam Kit Up to 12HR Wear Reusable Fake Lashes</t>
        </is>
      </c>
      <c r="C20377" t="inlineStr">
        <is>
          <t>False Eyelashes</t>
        </is>
      </c>
      <c r="D20377" t="inlineStr">
        <is>
          <t>NYX Professional Makeup</t>
        </is>
      </c>
      <c r="E20377" t="n">
        <v>13.45</v>
      </c>
      <c r="F20377" t="n">
        <v>1</v>
      </c>
      <c r="G20377" t="n">
        <v>2</v>
      </c>
      <c r="H20377" s="5">
        <f>HYPERLINK("https://api.qogita.com/variants/link/0800897226480/", "View Product")</f>
        <v/>
      </c>
    </row>
    <row r="20378">
      <c r="A20378" t="inlineStr">
        <is>
          <t>0800897234027</t>
        </is>
      </c>
      <c r="B20378" t="inlineStr">
        <is>
          <t>NYX Professional Makeup Lip Gloss High Shine Non-Sticky Finish 12 Hours Hydrating Fat Applicator With Squalane Raspberry and Cloudberry Oils Fat Oil Lip Drip Shade Scrollin</t>
        </is>
      </c>
      <c r="C20378" t="inlineStr">
        <is>
          <t>Lip Gloss</t>
        </is>
      </c>
      <c r="D20378" t="inlineStr">
        <is>
          <t>NYX Professional Makeup</t>
        </is>
      </c>
      <c r="E20378" t="n">
        <v>7.6</v>
      </c>
      <c r="F20378" t="n">
        <v>1</v>
      </c>
      <c r="G20378" t="n">
        <v>2</v>
      </c>
      <c r="H20378" s="5">
        <f>HYPERLINK("https://api.qogita.com/variants/link/0800897234027/", "View Product")</f>
        <v/>
      </c>
    </row>
    <row r="20379">
      <c r="A20379" t="inlineStr">
        <is>
          <t>0800897234515</t>
        </is>
      </c>
      <c r="B20379" t="inlineStr">
        <is>
          <t>NYX Bare With Me Blur Tint Foundation 22 Mocha</t>
        </is>
      </c>
      <c r="C20379" t="inlineStr">
        <is>
          <t>Foundation</t>
        </is>
      </c>
      <c r="D20379" t="inlineStr">
        <is>
          <t>NYX</t>
        </is>
      </c>
      <c r="E20379" t="n">
        <v>8.31</v>
      </c>
      <c r="F20379" t="n">
        <v>1</v>
      </c>
      <c r="G20379" t="n">
        <v>6</v>
      </c>
      <c r="H20379" s="5">
        <f>HYPERLINK("https://api.qogita.com/variants/link/0800897234515/", "View Product")</f>
        <v/>
      </c>
    </row>
    <row r="20380">
      <c r="A20380" t="inlineStr">
        <is>
          <t>0800897249311</t>
        </is>
      </c>
      <c r="B20380" t="inlineStr">
        <is>
          <t>NYX PROFESSIONAL MAKEUP Pro Fix Stick Correcting Concealer Buildable Medium Coverage Stick Sienna</t>
        </is>
      </c>
      <c r="C20380" t="inlineStr">
        <is>
          <t>Concealer</t>
        </is>
      </c>
      <c r="D20380" t="inlineStr">
        <is>
          <t>NYX Professional Makeup</t>
        </is>
      </c>
      <c r="E20380" t="n">
        <v>5.1</v>
      </c>
      <c r="F20380" t="n">
        <v>1</v>
      </c>
      <c r="G20380" t="n">
        <v>5</v>
      </c>
      <c r="H20380" s="5">
        <f>HYPERLINK("https://api.qogita.com/variants/link/0800897249311/", "View Product")</f>
        <v/>
      </c>
    </row>
    <row r="20381">
      <c r="A20381" t="inlineStr">
        <is>
          <t>0800897250034</t>
        </is>
      </c>
      <c r="B20381" t="inlineStr">
        <is>
          <t>NYX Professional Makeup Line Loud Lip Pencil Waterproof Infused with Jojoba Oil Smooth Comfy Lips Soft Matte Finish Vegan Formula 35 No Wine-ing</t>
        </is>
      </c>
      <c r="C20381" t="inlineStr">
        <is>
          <t>Lip Liner</t>
        </is>
      </c>
      <c r="D20381" t="inlineStr">
        <is>
          <t>NYX Professional Makeup</t>
        </is>
      </c>
      <c r="E20381" t="n">
        <v>7.35</v>
      </c>
      <c r="F20381" t="n">
        <v>1</v>
      </c>
      <c r="G20381" t="n">
        <v>3</v>
      </c>
      <c r="H20381" s="5">
        <f>HYPERLINK("https://api.qogita.com/variants/link/0800897250034/", "View Product")</f>
        <v/>
      </c>
    </row>
    <row r="20382">
      <c r="A20382" t="inlineStr">
        <is>
          <t>0800897255480</t>
        </is>
      </c>
      <c r="B20382" t="inlineStr">
        <is>
          <t>NYX PROFESSIONAL MAKEUP Butter Gloss Bling Lip Gloss Non Sticky and Shiny Vegan Lip Makeup Shimmer Down</t>
        </is>
      </c>
      <c r="C20382" t="inlineStr">
        <is>
          <t>Lip Gloss</t>
        </is>
      </c>
      <c r="D20382" t="inlineStr">
        <is>
          <t>NYX Professional Makeup</t>
        </is>
      </c>
      <c r="E20382" t="n">
        <v>6.91</v>
      </c>
      <c r="F20382" t="n">
        <v>1</v>
      </c>
      <c r="G20382" t="n">
        <v>2</v>
      </c>
      <c r="H20382" s="5">
        <f>HYPERLINK("https://api.qogita.com/variants/link/0800897255480/", "View Product")</f>
        <v/>
      </c>
    </row>
    <row r="20383">
      <c r="A20383" t="inlineStr">
        <is>
          <t>0800897259068</t>
        </is>
      </c>
      <c r="B20383" t="inlineStr">
        <is>
          <t>NYX PROFESSIONAL MAKEUP Buttermelt Powder Blush Fade and Transfer-Resistant Blush Vegan Formula All The Butta 12 0.17 Ounce</t>
        </is>
      </c>
      <c r="C20383" t="inlineStr">
        <is>
          <t>Blush</t>
        </is>
      </c>
      <c r="D20383" t="inlineStr">
        <is>
          <t>NYX Professional Makeup</t>
        </is>
      </c>
      <c r="E20383" t="n">
        <v>8.640000000000001</v>
      </c>
      <c r="F20383" t="n">
        <v>1</v>
      </c>
      <c r="G20383" t="n">
        <v>8</v>
      </c>
      <c r="H20383" s="5">
        <f>HYPERLINK("https://api.qogita.com/variants/link/0800897259068/", "View Product")</f>
        <v/>
      </c>
    </row>
    <row r="20384">
      <c r="A20384" t="inlineStr">
        <is>
          <t>0800897261573</t>
        </is>
      </c>
      <c r="B20384" t="inlineStr">
        <is>
          <t>NYX PROFESSIONAL MAKEUP Fat Oil Lip Drip Moisturizing Shiny Vegan Tinted Lip Gloss Livin the Cream Dusty Brown 0.16 Fl Oz</t>
        </is>
      </c>
      <c r="C20384" t="inlineStr">
        <is>
          <t>Lip Gloss</t>
        </is>
      </c>
      <c r="D20384" t="inlineStr">
        <is>
          <t>NYX Professional Makeup</t>
        </is>
      </c>
      <c r="E20384" t="n">
        <v>7.66</v>
      </c>
      <c r="F20384" t="n">
        <v>1</v>
      </c>
      <c r="G20384" t="n">
        <v>6</v>
      </c>
      <c r="H20384" s="5">
        <f>HYPERLINK("https://api.qogita.com/variants/link/0800897261573/", "View Product")</f>
        <v/>
      </c>
    </row>
    <row r="20385">
      <c r="A20385" t="inlineStr">
        <is>
          <t>0800897261603</t>
        </is>
      </c>
      <c r="B20385" t="inlineStr">
        <is>
          <t>NYX PROFESSIONAL MAKEUP Fat Oil Lip Drip Moisturizing Shiny Vegan Tinted Lip Gloss Inside Scoop Plum Brown 0.16 Fl Oz</t>
        </is>
      </c>
      <c r="C20385" t="inlineStr">
        <is>
          <t>Lip Gloss</t>
        </is>
      </c>
      <c r="D20385" t="inlineStr">
        <is>
          <t>NYX Professional Makeup</t>
        </is>
      </c>
      <c r="E20385" t="n">
        <v>7.61</v>
      </c>
      <c r="F20385" t="n">
        <v>1</v>
      </c>
      <c r="G20385" t="n">
        <v>2</v>
      </c>
      <c r="H20385" s="5">
        <f>HYPERLINK("https://api.qogita.com/variants/link/0800897261603/", "View Product")</f>
        <v/>
      </c>
    </row>
    <row r="20386">
      <c r="A20386" t="inlineStr">
        <is>
          <t>0800897266790</t>
        </is>
      </c>
      <c r="B20386" t="inlineStr">
        <is>
          <t>Nyx Professional Makeup Buttermelt Glaze Soft Glow Skin Tint with SPF 30</t>
        </is>
      </c>
      <c r="C20386" t="inlineStr">
        <is>
          <t>Foundation</t>
        </is>
      </c>
      <c r="D20386" t="inlineStr">
        <is>
          <t>NYX Professional Makeup</t>
        </is>
      </c>
      <c r="E20386" t="n">
        <v>7.95</v>
      </c>
      <c r="F20386" t="n">
        <v>1</v>
      </c>
      <c r="G20386" t="n">
        <v>5</v>
      </c>
      <c r="H20386" s="5">
        <f>HYPERLINK("https://api.qogita.com/variants/link/0800897266790/", "View Product")</f>
        <v/>
      </c>
    </row>
    <row r="20387">
      <c r="A20387" t="inlineStr">
        <is>
          <t>0810014320755</t>
        </is>
      </c>
      <c r="B20387" t="inlineStr">
        <is>
          <t>Multi-Action Super-C Retinol Brighten &amp; Correct Vitamin C Serum</t>
        </is>
      </c>
      <c r="C20387" t="inlineStr">
        <is>
          <t>Vitamin Serum</t>
        </is>
      </c>
      <c r="D20387" t="inlineStr">
        <is>
          <t>Strivectin</t>
        </is>
      </c>
      <c r="E20387" t="n">
        <v>28.35</v>
      </c>
      <c r="F20387" t="n">
        <v>1</v>
      </c>
      <c r="G20387" t="n">
        <v>14</v>
      </c>
      <c r="H20387" s="5">
        <f>HYPERLINK("https://api.qogita.com/variants/link/0810014320755/", "View Product")</f>
        <v/>
      </c>
    </row>
    <row r="20388">
      <c r="A20388" t="inlineStr">
        <is>
          <t>0810014320809</t>
        </is>
      </c>
      <c r="B20388" t="inlineStr">
        <is>
          <t>Daily Reveal Exfoliating Pads 60 Count</t>
        </is>
      </c>
      <c r="C20388" t="inlineStr">
        <is>
          <t>Facial Scrub &amp; Peeling</t>
        </is>
      </c>
      <c r="D20388" t="inlineStr">
        <is>
          <t>Strivectin</t>
        </is>
      </c>
      <c r="E20388" t="n">
        <v>24.47</v>
      </c>
      <c r="F20388" t="n">
        <v>1</v>
      </c>
      <c r="G20388" t="n">
        <v>25</v>
      </c>
      <c r="H20388" s="5">
        <f>HYPERLINK("https://api.qogita.com/variants/link/0810014320809/", "View Product")</f>
        <v/>
      </c>
    </row>
    <row r="20389">
      <c r="A20389" t="inlineStr">
        <is>
          <t>0810014322940</t>
        </is>
      </c>
      <c r="B20389" t="inlineStr">
        <is>
          <t>StriVectin Intensive Eye Concentrate for Wrinkles 30ml 1 Count</t>
        </is>
      </c>
      <c r="C20389" t="inlineStr">
        <is>
          <t>Eye Cream</t>
        </is>
      </c>
      <c r="D20389" t="inlineStr">
        <is>
          <t>Strivectin</t>
        </is>
      </c>
      <c r="E20389" t="n">
        <v>24.86</v>
      </c>
      <c r="F20389" t="n">
        <v>1</v>
      </c>
      <c r="G20389" t="n">
        <v>45</v>
      </c>
      <c r="H20389" s="5">
        <f>HYPERLINK("https://api.qogita.com/variants/link/0810014322940/", "View Product")</f>
        <v/>
      </c>
    </row>
    <row r="20390">
      <c r="A20390" t="inlineStr">
        <is>
          <t>0810014324494</t>
        </is>
      </c>
      <c r="B20390" t="inlineStr">
        <is>
          <t>StriVectin Super C Serums &amp; Moisturizers for Brightening and Correcting Skin - Super C Eye Serum</t>
        </is>
      </c>
      <c r="C20390" t="inlineStr">
        <is>
          <t>Eye Serum</t>
        </is>
      </c>
      <c r="D20390" t="inlineStr">
        <is>
          <t>Strivectin</t>
        </is>
      </c>
      <c r="E20390" t="n">
        <v>23.77</v>
      </c>
      <c r="F20390" t="n">
        <v>1</v>
      </c>
      <c r="G20390" t="n">
        <v>2</v>
      </c>
      <c r="H20390" s="5">
        <f>HYPERLINK("https://api.qogita.com/variants/link/0810014324494/", "View Product")</f>
        <v/>
      </c>
    </row>
    <row r="20391">
      <c r="A20391" t="inlineStr">
        <is>
          <t>0810014328188</t>
        </is>
      </c>
      <c r="B20391" t="inlineStr">
        <is>
          <t>Multi Action Hydration Multiplier Hyaluronic Acid Serum with Ceramides and Peptides for Dehydrated Dry Skin 1 oz</t>
        </is>
      </c>
      <c r="C20391" t="inlineStr">
        <is>
          <t>Hyaluronic Acid Serum</t>
        </is>
      </c>
      <c r="D20391" t="inlineStr">
        <is>
          <t>Strivectin</t>
        </is>
      </c>
      <c r="E20391" t="n">
        <v>65.45</v>
      </c>
      <c r="F20391" t="n">
        <v>1</v>
      </c>
      <c r="G20391" t="n">
        <v>4</v>
      </c>
      <c r="H20391" s="5">
        <f>HYPERLINK("https://api.qogita.com/variants/link/0810014328188/", "View Product")</f>
        <v/>
      </c>
    </row>
    <row r="20392">
      <c r="A20392" t="inlineStr">
        <is>
          <t>0810101500060</t>
        </is>
      </c>
      <c r="B20392" t="inlineStr">
        <is>
          <t>Ariana Grande Mod Blush Eau de Parfum Spray 3.4 Oz 100 mL</t>
        </is>
      </c>
      <c r="C20392" t="inlineStr">
        <is>
          <t>Eau De Parfum</t>
        </is>
      </c>
      <c r="D20392" t="inlineStr">
        <is>
          <t>Ariana Grande</t>
        </is>
      </c>
      <c r="E20392" t="n">
        <v>39.84</v>
      </c>
      <c r="F20392" t="n">
        <v>1</v>
      </c>
      <c r="G20392" t="n">
        <v>224</v>
      </c>
      <c r="H20392" s="5">
        <f>HYPERLINK("https://api.qogita.com/variants/link/0810101500060/", "View Product")</f>
        <v/>
      </c>
    </row>
    <row r="20393">
      <c r="A20393" t="inlineStr">
        <is>
          <t>0810101502798</t>
        </is>
      </c>
      <c r="B20393" t="inlineStr">
        <is>
          <t>Cloud Pink EDP by Cloud</t>
        </is>
      </c>
      <c r="C20393" t="inlineStr">
        <is>
          <t>Eau De Parfum</t>
        </is>
      </c>
      <c r="D20393" t="inlineStr">
        <is>
          <t>Ariana Grande</t>
        </is>
      </c>
      <c r="E20393" t="n">
        <v>46.19</v>
      </c>
      <c r="F20393" t="n">
        <v>1</v>
      </c>
      <c r="G20393" t="n">
        <v>83</v>
      </c>
      <c r="H20393" s="5">
        <f>HYPERLINK("https://api.qogita.com/variants/link/0810101502798/", "View Product")</f>
        <v/>
      </c>
    </row>
    <row r="20394">
      <c r="A20394" t="inlineStr">
        <is>
          <t>0810103654426</t>
        </is>
      </c>
      <c r="B20394" t="inlineStr">
        <is>
          <t>Elite Woman Head Eau De Toilette Spray 100ml Women's Fragrance</t>
        </is>
      </c>
      <c r="C20394" t="inlineStr">
        <is>
          <t>Eau De Toilette</t>
        </is>
      </c>
      <c r="D20394" t="inlineStr">
        <is>
          <t>Head</t>
        </is>
      </c>
      <c r="E20394" t="n">
        <v>5.49</v>
      </c>
      <c r="F20394" t="n">
        <v>1</v>
      </c>
      <c r="G20394" t="n">
        <v>9</v>
      </c>
      <c r="H20394" s="5">
        <f>HYPERLINK("https://api.qogita.com/variants/link/0810103654426/", "View Product")</f>
        <v/>
      </c>
    </row>
    <row r="20395">
      <c r="A20395" t="inlineStr">
        <is>
          <t>0810122100164</t>
        </is>
      </c>
      <c r="B20395" t="inlineStr">
        <is>
          <t>DS &amp; Durga Pistachio for Unisex 1.7 oz EDP Spray 50ml</t>
        </is>
      </c>
      <c r="C20395" t="inlineStr">
        <is>
          <t>Eau De Parfum</t>
        </is>
      </c>
      <c r="D20395" t="inlineStr">
        <is>
          <t>D.S. &amp; Durga</t>
        </is>
      </c>
      <c r="E20395" t="n">
        <v>112.54</v>
      </c>
      <c r="F20395" t="n">
        <v>1</v>
      </c>
      <c r="G20395" t="n">
        <v>5</v>
      </c>
      <c r="H20395" s="5">
        <f>HYPERLINK("https://api.qogita.com/variants/link/0810122100164/", "View Product")</f>
        <v/>
      </c>
    </row>
    <row r="20396">
      <c r="A20396" t="inlineStr">
        <is>
          <t>0810122100171</t>
        </is>
      </c>
      <c r="B20396" t="inlineStr">
        <is>
          <t>Ds &amp; Durga Pistachio Unisex Eau de Parfum Spray 3.4 Oz</t>
        </is>
      </c>
      <c r="C20396" t="inlineStr">
        <is>
          <t>Eau De Parfum</t>
        </is>
      </c>
      <c r="D20396" t="inlineStr">
        <is>
          <t>D.S. &amp; Durga</t>
        </is>
      </c>
      <c r="E20396" t="n">
        <v>160.68</v>
      </c>
      <c r="F20396" t="n">
        <v>1</v>
      </c>
      <c r="G20396" t="n">
        <v>2</v>
      </c>
      <c r="H20396" s="5">
        <f>HYPERLINK("https://api.qogita.com/variants/link/0810122100171/", "View Product")</f>
        <v/>
      </c>
    </row>
    <row r="20397">
      <c r="A20397" t="inlineStr">
        <is>
          <t>0810135730723</t>
        </is>
      </c>
      <c r="B20397" t="inlineStr">
        <is>
          <t>Mielle Rosemary Mint Strengthening Conditioner</t>
        </is>
      </c>
      <c r="C20397" t="inlineStr">
        <is>
          <t>Conditioner</t>
        </is>
      </c>
      <c r="D20397" t="inlineStr">
        <is>
          <t>Mielle</t>
        </is>
      </c>
      <c r="E20397" t="n">
        <v>9.300000000000001</v>
      </c>
      <c r="F20397" t="n">
        <v>1</v>
      </c>
      <c r="G20397" t="n">
        <v>6</v>
      </c>
      <c r="H20397" s="5">
        <f>HYPERLINK("https://api.qogita.com/variants/link/0810135730723/", "View Product")</f>
        <v/>
      </c>
    </row>
    <row r="20398">
      <c r="A20398" t="inlineStr">
        <is>
          <t>0810135731256</t>
        </is>
      </c>
      <c r="B20398" t="inlineStr">
        <is>
          <t>Mielle Pomegranate &amp; Honey Moisturizing And Detangling Conditioner</t>
        </is>
      </c>
      <c r="C20398" t="inlineStr">
        <is>
          <t>Conditioner</t>
        </is>
      </c>
      <c r="D20398" t="inlineStr">
        <is>
          <t>Mielle</t>
        </is>
      </c>
      <c r="E20398" t="n">
        <v>17.65</v>
      </c>
      <c r="F20398" t="n">
        <v>1</v>
      </c>
      <c r="G20398" t="n">
        <v>5</v>
      </c>
      <c r="H20398" s="5">
        <f>HYPERLINK("https://api.qogita.com/variants/link/0810135731256/", "View Product")</f>
        <v/>
      </c>
    </row>
    <row r="20399">
      <c r="A20399" t="inlineStr">
        <is>
          <t>0810763030615</t>
        </is>
      </c>
      <c r="B20399" t="inlineStr">
        <is>
          <t>Fenty Beauty Stunna Lip Color Unlocked 0.13 Oz Liquid Lipstick</t>
        </is>
      </c>
      <c r="C20399" t="inlineStr">
        <is>
          <t>Lipstick</t>
        </is>
      </c>
      <c r="D20399" t="inlineStr">
        <is>
          <t>Fenty Beauty by Rihanna</t>
        </is>
      </c>
      <c r="E20399" t="n">
        <v>22.1</v>
      </c>
      <c r="F20399" t="n">
        <v>1</v>
      </c>
      <c r="G20399" t="n">
        <v>4</v>
      </c>
      <c r="H20399" s="5">
        <f>HYPERLINK("https://api.qogita.com/variants/link/0810763030615/", "View Product")</f>
        <v/>
      </c>
    </row>
    <row r="20400">
      <c r="A20400" t="inlineStr">
        <is>
          <t>0810763031001</t>
        </is>
      </c>
      <c r="B20400" t="inlineStr">
        <is>
          <t>Fenty Beauty by Rihanna Killawatt Freestyle Highlighter in Penny4UThots Color</t>
        </is>
      </c>
      <c r="C20400" t="inlineStr">
        <is>
          <t>Highlighter</t>
        </is>
      </c>
      <c r="D20400" t="inlineStr">
        <is>
          <t>Fenty Beauty by Rihanna</t>
        </is>
      </c>
      <c r="E20400" t="n">
        <v>32.29</v>
      </c>
      <c r="F20400" t="n">
        <v>1</v>
      </c>
      <c r="G20400" t="n">
        <v>15</v>
      </c>
      <c r="H20400" s="5">
        <f>HYPERLINK("https://api.qogita.com/variants/link/0810763031001/", "View Product")</f>
        <v/>
      </c>
    </row>
    <row r="20401">
      <c r="A20401" t="inlineStr">
        <is>
          <t>0810876032308</t>
        </is>
      </c>
      <c r="B20401" t="inlineStr">
        <is>
          <t>Alfa Romeo Blue Eau De Toilette 125ml</t>
        </is>
      </c>
      <c r="C20401" t="inlineStr">
        <is>
          <t>Eau De Toilette</t>
        </is>
      </c>
      <c r="D20401" t="inlineStr">
        <is>
          <t>Alfa Romeo</t>
        </is>
      </c>
      <c r="E20401" t="n">
        <v>12.02</v>
      </c>
      <c r="F20401" t="n">
        <v>1</v>
      </c>
      <c r="G20401" t="n">
        <v>4</v>
      </c>
      <c r="H20401" s="5">
        <f>HYPERLINK("https://api.qogita.com/variants/link/0810876032308/", "View Product")</f>
        <v/>
      </c>
    </row>
    <row r="20402">
      <c r="A20402" t="inlineStr">
        <is>
          <t>0810876032353</t>
        </is>
      </c>
      <c r="B20402" t="inlineStr">
        <is>
          <t>Sergio Tacchini Your Match EDT 100ml Eau de Toilette for Men</t>
        </is>
      </c>
      <c r="C20402" t="inlineStr">
        <is>
          <t>Eau De Toilette</t>
        </is>
      </c>
      <c r="D20402" t="inlineStr">
        <is>
          <t>Sergio Tacchini</t>
        </is>
      </c>
      <c r="E20402" t="n">
        <v>8.699999999999999</v>
      </c>
      <c r="F20402" t="n">
        <v>1</v>
      </c>
      <c r="G20402" t="n">
        <v>16</v>
      </c>
      <c r="H20402" s="5">
        <f>HYPERLINK("https://api.qogita.com/variants/link/0810876032353/", "View Product")</f>
        <v/>
      </c>
    </row>
    <row r="20403">
      <c r="A20403" t="inlineStr">
        <is>
          <t>0810876032711</t>
        </is>
      </c>
      <c r="B20403" t="inlineStr">
        <is>
          <t>Sergio Tacchini I Love Italy For Men Eau De Toilette Spray 50ml And After Shave Balm 100ml</t>
        </is>
      </c>
      <c r="C20403" t="inlineStr">
        <is>
          <t>Eau De Toilette</t>
        </is>
      </c>
      <c r="D20403" t="inlineStr">
        <is>
          <t>Sergio Tacchini</t>
        </is>
      </c>
      <c r="E20403" t="n">
        <v>5.32</v>
      </c>
      <c r="F20403" t="n">
        <v>1</v>
      </c>
      <c r="G20403" t="n">
        <v>405</v>
      </c>
      <c r="H20403" s="5">
        <f>HYPERLINK("https://api.qogita.com/variants/link/0810876032711/", "View Product")</f>
        <v/>
      </c>
    </row>
    <row r="20404">
      <c r="A20404" t="inlineStr">
        <is>
          <t>0810876032841</t>
        </is>
      </c>
      <c r="B20404" t="inlineStr">
        <is>
          <t>Sergio Tacchini I Love Italy For Her Shower Gel - 400ml</t>
        </is>
      </c>
      <c r="C20404" t="inlineStr">
        <is>
          <t>Shower Gel</t>
        </is>
      </c>
      <c r="D20404" t="inlineStr">
        <is>
          <t>Sergio Tacchini</t>
        </is>
      </c>
      <c r="E20404" t="n">
        <v>2.67</v>
      </c>
      <c r="F20404" t="n">
        <v>1</v>
      </c>
      <c r="G20404" t="n">
        <v>911</v>
      </c>
      <c r="H20404" s="5">
        <f>HYPERLINK("https://api.qogita.com/variants/link/0810876032841/", "View Product")</f>
        <v/>
      </c>
    </row>
    <row r="20405">
      <c r="A20405" t="inlineStr">
        <is>
          <t>0810876037990</t>
        </is>
      </c>
      <c r="B20405" t="inlineStr">
        <is>
          <t>Tonino Lamborghini Sportivo 200ml Eau De Toilette Men's Perfume</t>
        </is>
      </c>
      <c r="C20405" t="inlineStr">
        <is>
          <t>Eau De Toilette</t>
        </is>
      </c>
      <c r="D20405" t="inlineStr">
        <is>
          <t>Tonino Lamborghini</t>
        </is>
      </c>
      <c r="E20405" t="n">
        <v>12.13</v>
      </c>
      <c r="F20405" t="n">
        <v>1</v>
      </c>
      <c r="G20405" t="n">
        <v>13</v>
      </c>
      <c r="H20405" s="5">
        <f>HYPERLINK("https://api.qogita.com/variants/link/0810876037990/", "View Product")</f>
        <v/>
      </c>
    </row>
    <row r="20406">
      <c r="A20406" t="inlineStr">
        <is>
          <t>0810876038010</t>
        </is>
      </c>
      <c r="B20406" t="inlineStr">
        <is>
          <t>Lamborghini Millennials Edt 75ml</t>
        </is>
      </c>
      <c r="C20406" t="inlineStr">
        <is>
          <t>Eau De Toilette</t>
        </is>
      </c>
      <c r="D20406" t="inlineStr">
        <is>
          <t>Lamborghini</t>
        </is>
      </c>
      <c r="E20406" t="n">
        <v>8.539999999999999</v>
      </c>
      <c r="F20406" t="n">
        <v>1</v>
      </c>
      <c r="G20406" t="n">
        <v>9</v>
      </c>
      <c r="H20406" s="5">
        <f>HYPERLINK("https://api.qogita.com/variants/link/0810876038010/", "View Product")</f>
        <v/>
      </c>
    </row>
    <row r="20407">
      <c r="A20407" t="inlineStr">
        <is>
          <t>0810876038591</t>
        </is>
      </c>
      <c r="B20407" t="inlineStr">
        <is>
          <t>Liu Jo Lovely Me Eau De Parfum</t>
        </is>
      </c>
      <c r="C20407" t="inlineStr">
        <is>
          <t>Eau De Parfum</t>
        </is>
      </c>
      <c r="D20407" t="inlineStr">
        <is>
          <t>Liu Jo</t>
        </is>
      </c>
      <c r="E20407" t="n">
        <v>22.76</v>
      </c>
      <c r="F20407" t="n">
        <v>1</v>
      </c>
      <c r="G20407" t="n">
        <v>3</v>
      </c>
      <c r="H20407" s="5">
        <f>HYPERLINK("https://api.qogita.com/variants/link/0810876038591/", "View Product")</f>
        <v/>
      </c>
    </row>
    <row r="20408">
      <c r="A20408" t="inlineStr">
        <is>
          <t>0810876038744</t>
        </is>
      </c>
      <c r="B20408" t="inlineStr">
        <is>
          <t>Liu Jo Glam Eau De Parfum for Women 100ml - New &amp; Sealed</t>
        </is>
      </c>
      <c r="C20408" t="inlineStr">
        <is>
          <t>Eau De Parfum</t>
        </is>
      </c>
      <c r="D20408" t="inlineStr">
        <is>
          <t>Liu Jo</t>
        </is>
      </c>
      <c r="E20408" t="n">
        <v>11.16</v>
      </c>
      <c r="F20408" t="n">
        <v>1</v>
      </c>
      <c r="G20408" t="n">
        <v>73</v>
      </c>
      <c r="H20408" s="5">
        <f>HYPERLINK("https://api.qogita.com/variants/link/0810876038744/", "View Product")</f>
        <v/>
      </c>
    </row>
    <row r="20409">
      <c r="A20409" t="inlineStr">
        <is>
          <t>0810876039932</t>
        </is>
      </c>
      <c r="B20409" t="inlineStr">
        <is>
          <t>Liu Jo Lovely You Eau de Parfum Spray 30ml</t>
        </is>
      </c>
      <c r="C20409" t="inlineStr">
        <is>
          <t>Eau De Parfum</t>
        </is>
      </c>
      <c r="D20409" t="inlineStr">
        <is>
          <t>Liu Jo</t>
        </is>
      </c>
      <c r="E20409" t="n">
        <v>9.279999999999999</v>
      </c>
      <c r="F20409" t="n">
        <v>1</v>
      </c>
      <c r="G20409" t="n">
        <v>9</v>
      </c>
      <c r="H20409" s="5">
        <f>HYPERLINK("https://api.qogita.com/variants/link/0810876039932/", "View Product")</f>
        <v/>
      </c>
    </row>
    <row r="20410">
      <c r="A20410" t="inlineStr">
        <is>
          <t>0810907020526</t>
        </is>
      </c>
      <c r="B20410" t="inlineStr">
        <is>
          <t>StriVectin Tightening Lift Neck Serum Roller 1.7oz 50ml NIA 114 Technology</t>
        </is>
      </c>
      <c r="C20410" t="inlineStr">
        <is>
          <t>Neck &amp; Decollete</t>
        </is>
      </c>
      <c r="D20410" t="inlineStr">
        <is>
          <t>Strivectin</t>
        </is>
      </c>
      <c r="E20410" t="n">
        <v>59.66</v>
      </c>
      <c r="F20410" t="n">
        <v>1</v>
      </c>
      <c r="G20410" t="n">
        <v>3</v>
      </c>
      <c r="H20410" s="5">
        <f>HYPERLINK("https://api.qogita.com/variants/link/0810907020526/", "View Product")</f>
        <v/>
      </c>
    </row>
    <row r="20411">
      <c r="A20411" t="inlineStr">
        <is>
          <t>0810907028768</t>
        </is>
      </c>
      <c r="B20411" t="inlineStr">
        <is>
          <t>StriVectin Blue Rescue Clay Renewal Face Mask</t>
        </is>
      </c>
      <c r="C20411" t="inlineStr">
        <is>
          <t>Clay Mask</t>
        </is>
      </c>
      <c r="D20411" t="inlineStr">
        <is>
          <t>Strivectin</t>
        </is>
      </c>
      <c r="E20411" t="n">
        <v>19.72</v>
      </c>
      <c r="F20411" t="n">
        <v>1</v>
      </c>
      <c r="G20411" t="n">
        <v>4</v>
      </c>
      <c r="H20411" s="5">
        <f>HYPERLINK("https://api.qogita.com/variants/link/0810907028768/", "View Product")</f>
        <v/>
      </c>
    </row>
    <row r="20412">
      <c r="A20412" t="inlineStr">
        <is>
          <t>0810907028898</t>
        </is>
      </c>
      <c r="B20412" t="inlineStr">
        <is>
          <t>StriVectin Hyaluronic Tripeptide Gel-Cream for Eyes 15ml</t>
        </is>
      </c>
      <c r="C20412" t="inlineStr">
        <is>
          <t>Eye Gel</t>
        </is>
      </c>
      <c r="D20412" t="inlineStr">
        <is>
          <t>Strivectin</t>
        </is>
      </c>
      <c r="E20412" t="n">
        <v>24.41</v>
      </c>
      <c r="F20412" t="n">
        <v>1</v>
      </c>
      <c r="G20412" t="n">
        <v>7</v>
      </c>
      <c r="H20412" s="5">
        <f>HYPERLINK("https://api.qogita.com/variants/link/0810907028898/", "View Product")</f>
        <v/>
      </c>
    </row>
    <row r="20413">
      <c r="A20413" t="inlineStr">
        <is>
          <t>0810912032019</t>
        </is>
      </c>
      <c r="B20413" t="inlineStr">
        <is>
          <t>Sol de Janeiro Brazilian Bum Bum Cream 240ml Cocoa Butter</t>
        </is>
      </c>
      <c r="C20413" t="inlineStr">
        <is>
          <t>Body Butter</t>
        </is>
      </c>
      <c r="D20413" t="inlineStr">
        <is>
          <t>Sol De Janeiro</t>
        </is>
      </c>
      <c r="E20413" t="n">
        <v>38.46</v>
      </c>
      <c r="F20413" t="n">
        <v>1</v>
      </c>
      <c r="G20413" t="n">
        <v>84</v>
      </c>
      <c r="H20413" s="5">
        <f>HYPERLINK("https://api.qogita.com/variants/link/0810912032019/", "View Product")</f>
        <v/>
      </c>
    </row>
    <row r="20414">
      <c r="A20414" t="inlineStr">
        <is>
          <t>0810912032200</t>
        </is>
      </c>
      <c r="B20414" t="inlineStr">
        <is>
          <t>Sol de Janeiro Beija Flor Collagen Cream 240ml</t>
        </is>
      </c>
      <c r="C20414" t="inlineStr">
        <is>
          <t>Body Butter</t>
        </is>
      </c>
      <c r="D20414" t="inlineStr">
        <is>
          <t>Sol De Janeiro</t>
        </is>
      </c>
      <c r="E20414" t="n">
        <v>32.24</v>
      </c>
      <c r="F20414" t="n">
        <v>1</v>
      </c>
      <c r="G20414" t="n">
        <v>6</v>
      </c>
      <c r="H20414" s="5">
        <f>HYPERLINK("https://api.qogita.com/variants/link/0810912032200/", "View Product")</f>
        <v/>
      </c>
    </row>
    <row r="20415">
      <c r="A20415" t="inlineStr">
        <is>
          <t>0810912034815</t>
        </is>
      </c>
      <c r="B20415" t="inlineStr">
        <is>
          <t>Sol de Janeiro Delicia Drench Body Butter 2.50 Ounce</t>
        </is>
      </c>
      <c r="C20415" t="inlineStr">
        <is>
          <t>Body Butter</t>
        </is>
      </c>
      <c r="D20415" t="inlineStr">
        <is>
          <t>Sol De Janeiro</t>
        </is>
      </c>
      <c r="E20415" t="n">
        <v>20.16</v>
      </c>
      <c r="F20415" t="n">
        <v>1</v>
      </c>
      <c r="G20415" t="n">
        <v>2</v>
      </c>
      <c r="H20415" s="5">
        <f>HYPERLINK("https://api.qogita.com/variants/link/0810912034815/", "View Product")</f>
        <v/>
      </c>
    </row>
    <row r="20416">
      <c r="A20416" t="inlineStr">
        <is>
          <t>0811913017944</t>
        </is>
      </c>
      <c r="B20416" t="inlineStr">
        <is>
          <t>Oribe Moisture &amp; Control Styling Butter Curl Enhancing Crème 200ml</t>
        </is>
      </c>
      <c r="C20416" t="inlineStr">
        <is>
          <t>Styling Creams</t>
        </is>
      </c>
      <c r="D20416" t="inlineStr">
        <is>
          <t>Oribe</t>
        </is>
      </c>
      <c r="E20416" t="n">
        <v>48.54</v>
      </c>
      <c r="F20416" t="n">
        <v>1</v>
      </c>
      <c r="G20416" t="n">
        <v>2</v>
      </c>
      <c r="H20416" s="5">
        <f>HYPERLINK("https://api.qogita.com/variants/link/0811913017944/", "View Product")</f>
        <v/>
      </c>
    </row>
    <row r="20417">
      <c r="A20417" t="inlineStr">
        <is>
          <t>0811913018866</t>
        </is>
      </c>
      <c r="B20417" t="inlineStr">
        <is>
          <t>Oribe Supershine Light Moisturizing Cream 5oz 150ml</t>
        </is>
      </c>
      <c r="C20417" t="inlineStr">
        <is>
          <t>Hair Oil &amp; Hair Serum</t>
        </is>
      </c>
      <c r="D20417" t="inlineStr">
        <is>
          <t>Oribe</t>
        </is>
      </c>
      <c r="E20417" t="n">
        <v>57.82</v>
      </c>
      <c r="F20417" t="n">
        <v>1</v>
      </c>
      <c r="G20417" t="n">
        <v>5</v>
      </c>
      <c r="H20417" s="5">
        <f>HYPERLINK("https://api.qogita.com/variants/link/0811913018866/", "View Product")</f>
        <v/>
      </c>
    </row>
    <row r="20418">
      <c r="A20418" t="inlineStr">
        <is>
          <t>0812256020325</t>
        </is>
      </c>
      <c r="B20418" t="inlineStr">
        <is>
          <t>Ariana Grande Ari Eau De Parfum Spray 30ml</t>
        </is>
      </c>
      <c r="C20418" t="inlineStr">
        <is>
          <t>Eau De Parfum</t>
        </is>
      </c>
      <c r="D20418" t="inlineStr">
        <is>
          <t>Ariana Grande</t>
        </is>
      </c>
      <c r="E20418" t="n">
        <v>21.18</v>
      </c>
      <c r="F20418" t="n">
        <v>1</v>
      </c>
      <c r="G20418" t="n">
        <v>33</v>
      </c>
      <c r="H20418" s="5">
        <f>HYPERLINK("https://api.qogita.com/variants/link/0812256020325/", "View Product")</f>
        <v/>
      </c>
    </row>
    <row r="20419">
      <c r="A20419" t="inlineStr">
        <is>
          <t>0812256021728</t>
        </is>
      </c>
      <c r="B20419" t="inlineStr">
        <is>
          <t>Ariana Grande Sweet Like Candy Eau de Parfum Spray 50ml</t>
        </is>
      </c>
      <c r="C20419" t="inlineStr">
        <is>
          <t>Eau De Parfum</t>
        </is>
      </c>
      <c r="D20419" t="inlineStr">
        <is>
          <t>Ariana Grande</t>
        </is>
      </c>
      <c r="E20419" t="n">
        <v>27.91</v>
      </c>
      <c r="F20419" t="n">
        <v>1</v>
      </c>
      <c r="G20419" t="n">
        <v>40</v>
      </c>
      <c r="H20419" s="5">
        <f>HYPERLINK("https://api.qogita.com/variants/link/0812256021728/", "View Product")</f>
        <v/>
      </c>
    </row>
    <row r="20420">
      <c r="A20420" t="inlineStr">
        <is>
          <t>0812256022497</t>
        </is>
      </c>
      <c r="B20420" t="inlineStr">
        <is>
          <t>Hawaiian Tropic Sunset Escape Body Spray 250ml</t>
        </is>
      </c>
      <c r="C20420" t="inlineStr">
        <is>
          <t>Body Mist</t>
        </is>
      </c>
      <c r="D20420" t="inlineStr">
        <is>
          <t>Hawaiian Tropic</t>
        </is>
      </c>
      <c r="E20420" t="n">
        <v>23.03</v>
      </c>
      <c r="F20420" t="n">
        <v>1</v>
      </c>
      <c r="G20420" t="n">
        <v>153</v>
      </c>
      <c r="H20420" s="5">
        <f>HYPERLINK("https://api.qogita.com/variants/link/0812256022497/", "View Product")</f>
        <v/>
      </c>
    </row>
    <row r="20421">
      <c r="A20421" t="inlineStr">
        <is>
          <t>0812256023296</t>
        </is>
      </c>
      <c r="B20421" t="inlineStr">
        <is>
          <t>Ariana Grande Cloud Eau de Parfum Spray 50ml</t>
        </is>
      </c>
      <c r="C20421" t="inlineStr">
        <is>
          <t>Eau De Parfum</t>
        </is>
      </c>
      <c r="D20421" t="inlineStr">
        <is>
          <t>Ariana Grande</t>
        </is>
      </c>
      <c r="E20421" t="n">
        <v>29.73</v>
      </c>
      <c r="F20421" t="n">
        <v>1</v>
      </c>
      <c r="G20421" t="n">
        <v>26</v>
      </c>
      <c r="H20421" s="5">
        <f>HYPERLINK("https://api.qogita.com/variants/link/0812256023296/", "View Product")</f>
        <v/>
      </c>
    </row>
    <row r="20422">
      <c r="A20422" t="inlineStr">
        <is>
          <t>0812256024033</t>
        </is>
      </c>
      <c r="B20422" t="inlineStr">
        <is>
          <t>Nicki Minaj Onika Eau De Parfume Spray for Women 3.4 Ounces</t>
        </is>
      </c>
      <c r="C20422" t="inlineStr">
        <is>
          <t>Eau De Parfum</t>
        </is>
      </c>
      <c r="D20422" t="inlineStr">
        <is>
          <t>Nicki Minaj</t>
        </is>
      </c>
      <c r="E20422" t="n">
        <v>23.9</v>
      </c>
      <c r="F20422" t="n">
        <v>1</v>
      </c>
      <c r="G20422" t="n">
        <v>5</v>
      </c>
      <c r="H20422" s="5">
        <f>HYPERLINK("https://api.qogita.com/variants/link/0812256024033/", "View Product")</f>
        <v/>
      </c>
    </row>
    <row r="20423">
      <c r="A20423" t="inlineStr">
        <is>
          <t>0812256024286</t>
        </is>
      </c>
      <c r="B20423" t="inlineStr">
        <is>
          <t>Ariana Grande Thank U Next 50ml EDP Spray 50ml</t>
        </is>
      </c>
      <c r="C20423" t="inlineStr">
        <is>
          <t>Eau De Parfum</t>
        </is>
      </c>
      <c r="D20423" t="inlineStr">
        <is>
          <t>Ariana Grande</t>
        </is>
      </c>
      <c r="E20423" t="n">
        <v>24.1</v>
      </c>
      <c r="F20423" t="n">
        <v>1</v>
      </c>
      <c r="G20423" t="n">
        <v>34</v>
      </c>
      <c r="H20423" s="5">
        <f>HYPERLINK("https://api.qogita.com/variants/link/0812256024286/", "View Product")</f>
        <v/>
      </c>
    </row>
    <row r="20424">
      <c r="A20424" t="inlineStr">
        <is>
          <t>0812256028482</t>
        </is>
      </c>
      <c r="B20424" t="inlineStr">
        <is>
          <t>Ariana Grande God Is A Woman EDP Spray 50ml</t>
        </is>
      </c>
      <c r="C20424" t="inlineStr">
        <is>
          <t>Eau De Parfum</t>
        </is>
      </c>
      <c r="D20424" t="inlineStr">
        <is>
          <t>Ariana Grande</t>
        </is>
      </c>
      <c r="E20424" t="n">
        <v>27.22</v>
      </c>
      <c r="F20424" t="n">
        <v>1</v>
      </c>
      <c r="G20424" t="n">
        <v>7</v>
      </c>
      <c r="H20424" s="5">
        <f>HYPERLINK("https://api.qogita.com/variants/link/0812256028482/", "View Product")</f>
        <v/>
      </c>
    </row>
    <row r="20425">
      <c r="A20425" t="inlineStr">
        <is>
          <t>0814486021028</t>
        </is>
      </c>
      <c r="B20425" t="inlineStr">
        <is>
          <t>Elizabeth and James Nirvana French Grey Eau de Parfum 50ml</t>
        </is>
      </c>
      <c r="C20425" t="inlineStr">
        <is>
          <t>Eau De Parfum</t>
        </is>
      </c>
      <c r="D20425" t="inlineStr">
        <is>
          <t>Elizabeth And James</t>
        </is>
      </c>
      <c r="E20425" t="n">
        <v>19.25</v>
      </c>
      <c r="F20425" t="n">
        <v>1</v>
      </c>
      <c r="G20425" t="n">
        <v>9</v>
      </c>
      <c r="H20425" s="5">
        <f>HYPERLINK("https://api.qogita.com/variants/link/0814486021028/", "View Product")</f>
        <v/>
      </c>
    </row>
    <row r="20426">
      <c r="A20426" t="inlineStr">
        <is>
          <t>0815305020741</t>
        </is>
      </c>
      <c r="B20426" t="inlineStr">
        <is>
          <t>Living Proof Restore Perfecting Spray 236ml - Conditioning and Detangling Spray 236ml</t>
        </is>
      </c>
      <c r="C20426" t="inlineStr">
        <is>
          <t>Leave-In Conditioner</t>
        </is>
      </c>
      <c r="D20426" t="inlineStr">
        <is>
          <t>Living Proof</t>
        </is>
      </c>
      <c r="E20426" t="n">
        <v>27.9</v>
      </c>
      <c r="F20426" t="n">
        <v>1</v>
      </c>
      <c r="G20426" t="n">
        <v>5</v>
      </c>
      <c r="H20426" s="5">
        <f>HYPERLINK("https://api.qogita.com/variants/link/0815305020741/", "View Product")</f>
        <v/>
      </c>
    </row>
    <row r="20427">
      <c r="A20427" t="inlineStr">
        <is>
          <t>0815305022035</t>
        </is>
      </c>
      <c r="B20427" t="inlineStr">
        <is>
          <t>Living Proof No Frizz Instant De-Frizzer 208ml</t>
        </is>
      </c>
      <c r="C20427" t="inlineStr">
        <is>
          <t>Hair Oil &amp; Hair Serum</t>
        </is>
      </c>
      <c r="D20427" t="inlineStr">
        <is>
          <t>Living Proof</t>
        </is>
      </c>
      <c r="E20427" t="n">
        <v>27.9</v>
      </c>
      <c r="F20427" t="n">
        <v>1</v>
      </c>
      <c r="G20427" t="n">
        <v>5</v>
      </c>
      <c r="H20427" s="5">
        <f>HYPERLINK("https://api.qogita.com/variants/link/0815305022035/", "View Product")</f>
        <v/>
      </c>
    </row>
    <row r="20428">
      <c r="A20428" t="inlineStr">
        <is>
          <t>0815305025906</t>
        </is>
      </c>
      <c r="B20428" t="inlineStr">
        <is>
          <t>Living Proof Curl Conditioner 355ml - Paraben Free Sulphate Free Silicone Free Vegan</t>
        </is>
      </c>
      <c r="C20428" t="inlineStr">
        <is>
          <t>Conditioner</t>
        </is>
      </c>
      <c r="D20428" t="inlineStr">
        <is>
          <t>Living Proof</t>
        </is>
      </c>
      <c r="E20428" t="n">
        <v>30.59</v>
      </c>
      <c r="F20428" t="n">
        <v>1</v>
      </c>
      <c r="G20428" t="n">
        <v>2</v>
      </c>
      <c r="H20428" s="5">
        <f>HYPERLINK("https://api.qogita.com/variants/link/0815305025906/", "View Product")</f>
        <v/>
      </c>
    </row>
    <row r="20429">
      <c r="A20429" t="inlineStr">
        <is>
          <t>0815305028297</t>
        </is>
      </c>
      <c r="B20429" t="inlineStr">
        <is>
          <t>Living Proof Curl Haircare Shampoo &amp; Conditioner 100ml</t>
        </is>
      </c>
      <c r="C20429" t="inlineStr">
        <is>
          <t>Hair Care Sets</t>
        </is>
      </c>
      <c r="D20429" t="inlineStr">
        <is>
          <t>Living Proof</t>
        </is>
      </c>
      <c r="E20429" t="n">
        <v>15.32</v>
      </c>
      <c r="F20429" t="n">
        <v>1</v>
      </c>
      <c r="G20429" t="n">
        <v>5</v>
      </c>
      <c r="H20429" s="5">
        <f>HYPERLINK("https://api.qogita.com/variants/link/0815305028297/", "View Product")</f>
        <v/>
      </c>
    </row>
    <row r="20430">
      <c r="A20430" t="inlineStr">
        <is>
          <t>0815401019816</t>
        </is>
      </c>
      <c r="B20430" t="inlineStr">
        <is>
          <t>Global Keratin GKHair Hot Bombshell Mask 15ml</t>
        </is>
      </c>
      <c r="C20430" t="inlineStr">
        <is>
          <t>Hair Masks</t>
        </is>
      </c>
      <c r="D20430" t="inlineStr">
        <is>
          <t>Global Keratin</t>
        </is>
      </c>
      <c r="E20430" t="n">
        <v>3.79</v>
      </c>
      <c r="F20430" t="n">
        <v>1</v>
      </c>
      <c r="G20430" t="n">
        <v>2</v>
      </c>
      <c r="H20430" s="5">
        <f>HYPERLINK("https://api.qogita.com/variants/link/0815401019816/", "View Product")</f>
        <v/>
      </c>
    </row>
    <row r="20431">
      <c r="A20431" t="inlineStr">
        <is>
          <t>0815857010641</t>
        </is>
      </c>
      <c r="B20431" t="inlineStr">
        <is>
          <t>Macadamia Professional Weightless Moisture Conditioner 1000ml</t>
        </is>
      </c>
      <c r="C20431" t="inlineStr">
        <is>
          <t>Conditioner</t>
        </is>
      </c>
      <c r="D20431" t="inlineStr">
        <is>
          <t>Macadamia Professional</t>
        </is>
      </c>
      <c r="E20431" t="n">
        <v>25.97</v>
      </c>
      <c r="F20431" t="n">
        <v>1</v>
      </c>
      <c r="G20431" t="n">
        <v>5</v>
      </c>
      <c r="H20431" s="5">
        <f>HYPERLINK("https://api.qogita.com/variants/link/0815857010641/", "View Product")</f>
        <v/>
      </c>
    </row>
    <row r="20432">
      <c r="A20432" t="inlineStr">
        <is>
          <t>0815857010733</t>
        </is>
      </c>
      <c r="B20432" t="inlineStr">
        <is>
          <t>Professional by Macadamia Nourishing Moisture Oil Treatment 10ml</t>
        </is>
      </c>
      <c r="C20432" t="inlineStr">
        <is>
          <t>Hair Oil &amp; Hair Serum</t>
        </is>
      </c>
      <c r="D20432" t="inlineStr">
        <is>
          <t>Macadamia Professional</t>
        </is>
      </c>
      <c r="E20432" t="n">
        <v>5.22</v>
      </c>
      <c r="F20432" t="n">
        <v>1</v>
      </c>
      <c r="G20432" t="n">
        <v>2</v>
      </c>
      <c r="H20432" s="5">
        <f>HYPERLINK("https://api.qogita.com/variants/link/0815857010733/", "View Product")</f>
        <v/>
      </c>
    </row>
    <row r="20433">
      <c r="A20433" t="inlineStr">
        <is>
          <t>0815857015912</t>
        </is>
      </c>
      <c r="B20433" t="inlineStr">
        <is>
          <t>Macadamia Professional Weightless Moisture Masque 222ml</t>
        </is>
      </c>
      <c r="C20433" t="inlineStr">
        <is>
          <t>Hair Masks</t>
        </is>
      </c>
      <c r="D20433" t="inlineStr">
        <is>
          <t>Macadamia Professional</t>
        </is>
      </c>
      <c r="E20433" t="n">
        <v>18.99</v>
      </c>
      <c r="F20433" t="n">
        <v>1</v>
      </c>
      <c r="G20433" t="n">
        <v>10</v>
      </c>
      <c r="H20433" s="5">
        <f>HYPERLINK("https://api.qogita.com/variants/link/0815857015912/", "View Product")</f>
        <v/>
      </c>
    </row>
    <row r="20434">
      <c r="A20434" t="inlineStr">
        <is>
          <t>0816378020416</t>
        </is>
      </c>
      <c r="B20434" t="inlineStr">
        <is>
          <t>DS Laboratories Revita High Performance Hair Stimulating Shampoo 205ml</t>
        </is>
      </c>
      <c r="C20434" t="inlineStr">
        <is>
          <t>Shampoo</t>
        </is>
      </c>
      <c r="D20434" t="inlineStr">
        <is>
          <t>Ds Laboratories</t>
        </is>
      </c>
      <c r="E20434" t="n">
        <v>25.94</v>
      </c>
      <c r="F20434" t="n">
        <v>1</v>
      </c>
      <c r="G20434" t="n">
        <v>91</v>
      </c>
      <c r="H20434" s="5">
        <f>HYPERLINK("https://api.qogita.com/variants/link/0816378020416/", "View Product")</f>
        <v/>
      </c>
    </row>
    <row r="20435">
      <c r="A20435" t="inlineStr">
        <is>
          <t>0816378020461</t>
        </is>
      </c>
      <c r="B20435" t="inlineStr">
        <is>
          <t>Radia Conditioner for Sensitive Skin or with Trend Dermatitis 205ml</t>
        </is>
      </c>
      <c r="C20435" t="inlineStr">
        <is>
          <t>Conditioner</t>
        </is>
      </c>
      <c r="D20435" t="inlineStr">
        <is>
          <t>Ds Laboratories</t>
        </is>
      </c>
      <c r="E20435" t="n">
        <v>21.73</v>
      </c>
      <c r="F20435" t="n">
        <v>1</v>
      </c>
      <c r="G20435" t="n">
        <v>2</v>
      </c>
      <c r="H20435" s="5">
        <f>HYPERLINK("https://api.qogita.com/variants/link/0816378020461/", "View Product")</f>
        <v/>
      </c>
    </row>
    <row r="20436">
      <c r="A20436" t="inlineStr">
        <is>
          <t>0816378020508</t>
        </is>
      </c>
      <c r="B20436" t="inlineStr">
        <is>
          <t>DS Laboratories Spectral CSF Women's Anti-Aging Therapy 60ml/2oz</t>
        </is>
      </c>
      <c r="C20436" t="inlineStr">
        <is>
          <t>Anti-Aging</t>
        </is>
      </c>
      <c r="D20436" t="inlineStr">
        <is>
          <t>Ds Laboratories</t>
        </is>
      </c>
      <c r="E20436" t="n">
        <v>37.75</v>
      </c>
      <c r="F20436" t="n">
        <v>1</v>
      </c>
      <c r="G20436" t="n">
        <v>7</v>
      </c>
      <c r="H20436" s="5">
        <f>HYPERLINK("https://api.qogita.com/variants/link/0816378020508/", "View Product")</f>
        <v/>
      </c>
    </row>
    <row r="20437">
      <c r="A20437" t="inlineStr">
        <is>
          <t>0816378021352</t>
        </is>
      </c>
      <c r="B20437" t="inlineStr">
        <is>
          <t>DS Laboratories Spectral.brow Eyebrow Revitalizing Serum 4ml</t>
        </is>
      </c>
      <c r="C20437" t="inlineStr">
        <is>
          <t>Other</t>
        </is>
      </c>
      <c r="D20437" t="inlineStr">
        <is>
          <t>Ds Laboratories</t>
        </is>
      </c>
      <c r="E20437" t="n">
        <v>55.06</v>
      </c>
      <c r="F20437" t="n">
        <v>1</v>
      </c>
      <c r="G20437" t="n">
        <v>8</v>
      </c>
      <c r="H20437" s="5">
        <f>HYPERLINK("https://api.qogita.com/variants/link/0816378021352/", "View Product")</f>
        <v/>
      </c>
    </row>
    <row r="20438">
      <c r="A20438" t="inlineStr">
        <is>
          <t>0816378021482</t>
        </is>
      </c>
      <c r="B20438" t="inlineStr">
        <is>
          <t>DS Revita CBD Hair Stimulating Shampoo 205ml</t>
        </is>
      </c>
      <c r="C20438" t="inlineStr">
        <is>
          <t>Shampoo</t>
        </is>
      </c>
      <c r="D20438" t="inlineStr">
        <is>
          <t>Ds Laboratories</t>
        </is>
      </c>
      <c r="E20438" t="n">
        <v>28.05</v>
      </c>
      <c r="F20438" t="n">
        <v>1</v>
      </c>
      <c r="G20438" t="n">
        <v>6</v>
      </c>
      <c r="H20438" s="5">
        <f>HYPERLINK("https://api.qogita.com/variants/link/0816378021482/", "View Product")</f>
        <v/>
      </c>
    </row>
    <row r="20439">
      <c r="A20439" t="inlineStr">
        <is>
          <t>0816657022544</t>
        </is>
      </c>
      <c r="B20439" t="inlineStr">
        <is>
          <t>Fenty Beauty by Rihanna Portable Contour and Concealer Brush 150</t>
        </is>
      </c>
      <c r="C20439" t="inlineStr">
        <is>
          <t>Concealer Brushes</t>
        </is>
      </c>
      <c r="D20439" t="inlineStr">
        <is>
          <t>Fenty Beauty by Rihanna</t>
        </is>
      </c>
      <c r="E20439" t="n">
        <v>23.03</v>
      </c>
      <c r="F20439" t="n">
        <v>1</v>
      </c>
      <c r="G20439" t="n">
        <v>4</v>
      </c>
      <c r="H20439" s="5">
        <f>HYPERLINK("https://api.qogita.com/variants/link/0816657022544/", "View Product")</f>
        <v/>
      </c>
    </row>
    <row r="20440">
      <c r="A20440" t="inlineStr">
        <is>
          <t>0816657023183</t>
        </is>
      </c>
      <c r="B20440" t="inlineStr">
        <is>
          <t>Fenty Beauty Pro Filt`R Soft Matte Longwear Foundation - 32 Ml</t>
        </is>
      </c>
      <c r="C20440" t="inlineStr">
        <is>
          <t>Foundation</t>
        </is>
      </c>
      <c r="D20440" t="inlineStr">
        <is>
          <t>Fenty Beauty by Rihanna</t>
        </is>
      </c>
      <c r="E20440" t="n">
        <v>31.39</v>
      </c>
      <c r="F20440" t="n">
        <v>1</v>
      </c>
      <c r="G20440" t="n">
        <v>16</v>
      </c>
      <c r="H20440" s="5">
        <f>HYPERLINK("https://api.qogita.com/variants/link/0816657023183/", "View Product")</f>
        <v/>
      </c>
    </row>
    <row r="20441">
      <c r="A20441" t="inlineStr">
        <is>
          <t>0818625020477</t>
        </is>
      </c>
      <c r="B20441" t="inlineStr">
        <is>
          <t>Medik8 Blemish SOS Rapid Action Blemish Treatment Gel with 2% Salicylic Acid</t>
        </is>
      </c>
      <c r="C20441" t="inlineStr">
        <is>
          <t>Pimple &amp; Blackhead Treatments</t>
        </is>
      </c>
      <c r="D20441" t="inlineStr">
        <is>
          <t>Medik8</t>
        </is>
      </c>
      <c r="E20441" t="n">
        <v>22.64</v>
      </c>
      <c r="F20441" t="n">
        <v>1</v>
      </c>
      <c r="G20441" t="n">
        <v>6</v>
      </c>
      <c r="H20441" s="5">
        <f>HYPERLINK("https://api.qogita.com/variants/link/0818625020477/", "View Product")</f>
        <v/>
      </c>
    </row>
    <row r="20442">
      <c r="A20442" t="inlineStr">
        <is>
          <t>0818625020514</t>
        </is>
      </c>
      <c r="B20442" t="inlineStr">
        <is>
          <t>Medik8 Gentle Cleansing 150ml</t>
        </is>
      </c>
      <c r="C20442" t="inlineStr">
        <is>
          <t>Cleansing Milk</t>
        </is>
      </c>
      <c r="D20442" t="inlineStr">
        <is>
          <t>Medik8</t>
        </is>
      </c>
      <c r="E20442" t="n">
        <v>21.94</v>
      </c>
      <c r="F20442" t="n">
        <v>1</v>
      </c>
      <c r="G20442" t="n">
        <v>7</v>
      </c>
      <c r="H20442" s="5">
        <f>HYPERLINK("https://api.qogita.com/variants/link/0818625020514/", "View Product")</f>
        <v/>
      </c>
    </row>
    <row r="20443">
      <c r="A20443" t="inlineStr">
        <is>
          <t>0818625024352</t>
        </is>
      </c>
      <c r="B20443" t="inlineStr">
        <is>
          <t>Medik8 Super C Ferulic 30ml</t>
        </is>
      </c>
      <c r="C20443" t="inlineStr">
        <is>
          <t>Vitamin Serum</t>
        </is>
      </c>
      <c r="D20443" t="inlineStr">
        <is>
          <t>Medik8</t>
        </is>
      </c>
      <c r="E20443" t="n">
        <v>66.25</v>
      </c>
      <c r="F20443" t="n">
        <v>1</v>
      </c>
      <c r="G20443" t="n">
        <v>12</v>
      </c>
      <c r="H20443" s="5">
        <f>HYPERLINK("https://api.qogita.com/variants/link/0818625024352/", "View Product")</f>
        <v/>
      </c>
    </row>
    <row r="20444">
      <c r="A20444" t="inlineStr">
        <is>
          <t>0818625024376</t>
        </is>
      </c>
      <c r="B20444" t="inlineStr">
        <is>
          <t>Medik8 Intelligent Retinol Eye TR 7ml</t>
        </is>
      </c>
      <c r="C20444" t="inlineStr">
        <is>
          <t>Eye Serum</t>
        </is>
      </c>
      <c r="D20444" t="inlineStr">
        <is>
          <t>Medik8</t>
        </is>
      </c>
      <c r="E20444" t="n">
        <v>21.94</v>
      </c>
      <c r="F20444" t="n">
        <v>1</v>
      </c>
      <c r="G20444" t="n">
        <v>5</v>
      </c>
      <c r="H20444" s="5">
        <f>HYPERLINK("https://api.qogita.com/variants/link/0818625024376/", "View Product")</f>
        <v/>
      </c>
    </row>
    <row r="20445">
      <c r="A20445" t="inlineStr">
        <is>
          <t>0818625024444</t>
        </is>
      </c>
      <c r="B20445" t="inlineStr">
        <is>
          <t>Medik8 Advanced Night Restore 50ml</t>
        </is>
      </c>
      <c r="C20445" t="inlineStr">
        <is>
          <t>Night Cream</t>
        </is>
      </c>
      <c r="D20445" t="inlineStr">
        <is>
          <t>Medik8</t>
        </is>
      </c>
      <c r="E20445" t="n">
        <v>62.2</v>
      </c>
      <c r="F20445" t="n">
        <v>1</v>
      </c>
      <c r="G20445" t="n">
        <v>4</v>
      </c>
      <c r="H20445" s="5">
        <f>HYPERLINK("https://api.qogita.com/variants/link/0818625024444/", "View Product")</f>
        <v/>
      </c>
    </row>
    <row r="20446">
      <c r="A20446" t="inlineStr">
        <is>
          <t>0818625024505</t>
        </is>
      </c>
      <c r="B20446" t="inlineStr">
        <is>
          <t>Medik8 Crystal Retinal 1 Age-Defying Encapsulated Retinal Face Serum - Smoothing, Firming, Brightening &amp; Decongesting - Improves Wrinkles &amp; Hyperpigmentation - All Skin Types</t>
        </is>
      </c>
      <c r="C20446" t="inlineStr">
        <is>
          <t>Anti-Aging Serum</t>
        </is>
      </c>
      <c r="D20446" t="inlineStr">
        <is>
          <t>Medik8</t>
        </is>
      </c>
      <c r="E20446" t="n">
        <v>43.78</v>
      </c>
      <c r="F20446" t="n">
        <v>1</v>
      </c>
      <c r="G20446" t="n">
        <v>3</v>
      </c>
      <c r="H20446" s="5">
        <f>HYPERLINK("https://api.qogita.com/variants/link/0818625024505/", "View Product")</f>
        <v/>
      </c>
    </row>
    <row r="20447">
      <c r="A20447" t="inlineStr">
        <is>
          <t>0818625024710</t>
        </is>
      </c>
      <c r="B20447" t="inlineStr">
        <is>
          <t>Medik8 Bio Cellulose Mask V Ultimate Recovery - Pack of 6</t>
        </is>
      </c>
      <c r="C20447" t="inlineStr">
        <is>
          <t>Sheet Mask</t>
        </is>
      </c>
      <c r="D20447" t="inlineStr">
        <is>
          <t>Medik8</t>
        </is>
      </c>
      <c r="E20447" t="n">
        <v>67.55</v>
      </c>
      <c r="F20447" t="n">
        <v>1</v>
      </c>
      <c r="G20447" t="n">
        <v>3</v>
      </c>
      <c r="H20447" s="5">
        <f>HYPERLINK("https://api.qogita.com/variants/link/0818625024710/", "View Product")</f>
        <v/>
      </c>
    </row>
    <row r="20448">
      <c r="A20448" t="inlineStr">
        <is>
          <t>0837524001400</t>
        </is>
      </c>
      <c r="B20448" t="inlineStr">
        <is>
          <t>Nesti Dante Dolce Vivere Costa Smeralda Soap 250g</t>
        </is>
      </c>
      <c r="C20448" t="inlineStr">
        <is>
          <t>Soap</t>
        </is>
      </c>
      <c r="D20448" t="inlineStr">
        <is>
          <t>Nesti Dante</t>
        </is>
      </c>
      <c r="E20448" t="n">
        <v>3.38</v>
      </c>
      <c r="F20448" t="n">
        <v>1</v>
      </c>
      <c r="G20448" t="n">
        <v>2</v>
      </c>
      <c r="H20448" s="5">
        <f>HYPERLINK("https://api.qogita.com/variants/link/0837524001400/", "View Product")</f>
        <v/>
      </c>
    </row>
    <row r="20449">
      <c r="A20449" t="inlineStr">
        <is>
          <t>0837524001417</t>
        </is>
      </c>
      <c r="B20449" t="inlineStr">
        <is>
          <t>Nesti Dante Dolce Vivere Venezia Bar Soap 250g Unisex</t>
        </is>
      </c>
      <c r="C20449" t="inlineStr">
        <is>
          <t>Soap</t>
        </is>
      </c>
      <c r="D20449" t="inlineStr">
        <is>
          <t>Nesti Dante</t>
        </is>
      </c>
      <c r="E20449" t="n">
        <v>3.38</v>
      </c>
      <c r="F20449" t="n">
        <v>1</v>
      </c>
      <c r="G20449" t="n">
        <v>6</v>
      </c>
      <c r="H20449" s="5">
        <f>HYPERLINK("https://api.qogita.com/variants/link/0837524001417/", "View Product")</f>
        <v/>
      </c>
    </row>
    <row r="20450">
      <c r="A20450" t="inlineStr">
        <is>
          <t>0837524001448</t>
        </is>
      </c>
      <c r="B20450" t="inlineStr">
        <is>
          <t>Nesti Dante ROMANTICA Cherry Blossom &amp; Basil Soap 250g</t>
        </is>
      </c>
      <c r="C20450" t="inlineStr">
        <is>
          <t>Soap</t>
        </is>
      </c>
      <c r="D20450" t="inlineStr">
        <is>
          <t>Village Candle</t>
        </is>
      </c>
      <c r="E20450" t="n">
        <v>3.38</v>
      </c>
      <c r="F20450" t="n">
        <v>1</v>
      </c>
      <c r="G20450" t="n">
        <v>8</v>
      </c>
      <c r="H20450" s="5">
        <f>HYPERLINK("https://api.qogita.com/variants/link/0837524001448/", "View Product")</f>
        <v/>
      </c>
    </row>
    <row r="20451">
      <c r="A20451" t="inlineStr">
        <is>
          <t>0838184005340</t>
        </is>
      </c>
      <c r="B20451" t="inlineStr">
        <is>
          <t>Robert Piguet Alameda For Unisex 100ml EDP</t>
        </is>
      </c>
      <c r="C20451" t="inlineStr">
        <is>
          <t>Eau De Parfum</t>
        </is>
      </c>
      <c r="D20451" t="inlineStr">
        <is>
          <t>Robert Piguet</t>
        </is>
      </c>
      <c r="E20451" t="n">
        <v>56.71</v>
      </c>
      <c r="F20451" t="n">
        <v>1</v>
      </c>
      <c r="G20451" t="n">
        <v>25</v>
      </c>
      <c r="H20451" s="5">
        <f>HYPERLINK("https://api.qogita.com/variants/link/0838184005340/", "View Product")</f>
        <v/>
      </c>
    </row>
    <row r="20452">
      <c r="A20452" t="inlineStr">
        <is>
          <t>0839174001748</t>
        </is>
      </c>
      <c r="B20452" t="inlineStr">
        <is>
          <t>Nudies Tinted Blur Stick</t>
        </is>
      </c>
      <c r="C20452" t="inlineStr">
        <is>
          <t>Foundation</t>
        </is>
      </c>
      <c r="D20452" t="inlineStr">
        <is>
          <t>Nudestix</t>
        </is>
      </c>
      <c r="E20452" t="n">
        <v>16.81</v>
      </c>
      <c r="F20452" t="n">
        <v>1</v>
      </c>
      <c r="G20452" t="n">
        <v>3</v>
      </c>
      <c r="H20452" s="5">
        <f>HYPERLINK("https://api.qogita.com/variants/link/0839174001748/", "View Product")</f>
        <v/>
      </c>
    </row>
    <row r="20453">
      <c r="A20453" t="inlineStr">
        <is>
          <t>0839174001762</t>
        </is>
      </c>
      <c r="B20453" t="inlineStr">
        <is>
          <t>Nudestix Nudies Tinted Blur Stick Medium 6 6.1g</t>
        </is>
      </c>
      <c r="C20453" t="inlineStr">
        <is>
          <t>Foundation</t>
        </is>
      </c>
      <c r="D20453" t="inlineStr">
        <is>
          <t>Nudestix</t>
        </is>
      </c>
      <c r="E20453" t="n">
        <v>16.81</v>
      </c>
      <c r="F20453" t="n">
        <v>1</v>
      </c>
      <c r="G20453" t="n">
        <v>11</v>
      </c>
      <c r="H20453" s="5">
        <f>HYPERLINK("https://api.qogita.com/variants/link/0839174001762/", "View Product")</f>
        <v/>
      </c>
    </row>
    <row r="20454">
      <c r="A20454" t="inlineStr">
        <is>
          <t>0839174001779</t>
        </is>
      </c>
      <c r="B20454" t="inlineStr">
        <is>
          <t>Nudies Tinted Blur Stick</t>
        </is>
      </c>
      <c r="C20454" t="inlineStr">
        <is>
          <t>Foundation</t>
        </is>
      </c>
      <c r="D20454" t="inlineStr">
        <is>
          <t>Nudestix</t>
        </is>
      </c>
      <c r="E20454" t="n">
        <v>16.81</v>
      </c>
      <c r="F20454" t="n">
        <v>1</v>
      </c>
      <c r="G20454" t="n">
        <v>11</v>
      </c>
      <c r="H20454" s="5">
        <f>HYPERLINK("https://api.qogita.com/variants/link/0839174001779/", "View Product")</f>
        <v/>
      </c>
    </row>
    <row r="20455">
      <c r="A20455" t="inlineStr">
        <is>
          <t>0839174001854</t>
        </is>
      </c>
      <c r="B20455" t="inlineStr">
        <is>
          <t>Nudestix Tinted Cover Foundation Nude 3 - NIB</t>
        </is>
      </c>
      <c r="C20455" t="inlineStr">
        <is>
          <t>Foundation</t>
        </is>
      </c>
      <c r="D20455" t="inlineStr">
        <is>
          <t>Nudestix</t>
        </is>
      </c>
      <c r="E20455" t="n">
        <v>19.65</v>
      </c>
      <c r="F20455" t="n">
        <v>1</v>
      </c>
      <c r="G20455" t="n">
        <v>16</v>
      </c>
      <c r="H20455" s="5">
        <f>HYPERLINK("https://api.qogita.com/variants/link/0839174001854/", "View Product")</f>
        <v/>
      </c>
    </row>
    <row r="20456">
      <c r="A20456" t="inlineStr">
        <is>
          <t>0839174001892</t>
        </is>
      </c>
      <c r="B20456" t="inlineStr">
        <is>
          <t>Brightening Tinted Cover Make-up 25 ml Shade 6</t>
        </is>
      </c>
      <c r="C20456" t="inlineStr">
        <is>
          <t>Foundation</t>
        </is>
      </c>
      <c r="D20456" t="inlineStr">
        <is>
          <t>Nudestix</t>
        </is>
      </c>
      <c r="E20456" t="n">
        <v>19.65</v>
      </c>
      <c r="F20456" t="n">
        <v>1</v>
      </c>
      <c r="G20456" t="n">
        <v>16</v>
      </c>
      <c r="H20456" s="5">
        <f>HYPERLINK("https://api.qogita.com/variants/link/0839174001892/", "View Product")</f>
        <v/>
      </c>
    </row>
    <row r="20457">
      <c r="A20457" t="inlineStr">
        <is>
          <t>0839174005531</t>
        </is>
      </c>
      <c r="B20457" t="inlineStr">
        <is>
          <t>Citrus Skin Renewal Sensitive Skin Care Gift Set</t>
        </is>
      </c>
      <c r="C20457" t="inlineStr">
        <is>
          <t>Facial Care Sets</t>
        </is>
      </c>
      <c r="D20457" t="inlineStr">
        <is>
          <t>Nudestix</t>
        </is>
      </c>
      <c r="E20457" t="n">
        <v>16.53</v>
      </c>
      <c r="F20457" t="n">
        <v>1</v>
      </c>
      <c r="G20457" t="n">
        <v>15</v>
      </c>
      <c r="H20457" s="5">
        <f>HYPERLINK("https://api.qogita.com/variants/link/0839174005531/", "View Product")</f>
        <v/>
      </c>
    </row>
    <row r="20458">
      <c r="A20458" t="inlineStr">
        <is>
          <t>0839174005647</t>
        </is>
      </c>
      <c r="B20458" t="inlineStr">
        <is>
          <t>Nudestix Lemon-Aid Face Detox &amp; Glow Micro-Peel Skincare Exfoliator 60ml</t>
        </is>
      </c>
      <c r="C20458" t="inlineStr">
        <is>
          <t>Facial Scrub &amp; Peeling</t>
        </is>
      </c>
      <c r="D20458" t="inlineStr">
        <is>
          <t>Nudestix</t>
        </is>
      </c>
      <c r="E20458" t="n">
        <v>17.39</v>
      </c>
      <c r="F20458" t="n">
        <v>1</v>
      </c>
      <c r="G20458" t="n">
        <v>6</v>
      </c>
      <c r="H20458" s="5">
        <f>HYPERLINK("https://api.qogita.com/variants/link/0839174005647/", "View Product")</f>
        <v/>
      </c>
    </row>
    <row r="20459">
      <c r="A20459" t="inlineStr">
        <is>
          <t>0839174005685</t>
        </is>
      </c>
      <c r="B20459" t="inlineStr">
        <is>
          <t>Citrus Skin Renewal Skin Care Gift Set</t>
        </is>
      </c>
      <c r="C20459" t="inlineStr">
        <is>
          <t>Facial Care Sets</t>
        </is>
      </c>
      <c r="D20459" t="inlineStr">
        <is>
          <t>Nudestix</t>
        </is>
      </c>
      <c r="E20459" t="n">
        <v>16.53</v>
      </c>
      <c r="F20459" t="n">
        <v>1</v>
      </c>
      <c r="G20459" t="n">
        <v>11</v>
      </c>
      <c r="H20459" s="5">
        <f>HYPERLINK("https://api.qogita.com/variants/link/0839174005685/", "View Product")</f>
        <v/>
      </c>
    </row>
    <row r="20460">
      <c r="A20460" t="inlineStr">
        <is>
          <t>0839174010252</t>
        </is>
      </c>
      <c r="B20460" t="inlineStr">
        <is>
          <t>Nudies All Over Face Color Bronze and Glow Illumi-naughty</t>
        </is>
      </c>
      <c r="C20460" t="inlineStr">
        <is>
          <t>Bronzer</t>
        </is>
      </c>
      <c r="D20460" t="inlineStr">
        <is>
          <t>Nudestix</t>
        </is>
      </c>
      <c r="E20460" t="n">
        <v>17.94</v>
      </c>
      <c r="F20460" t="n">
        <v>1</v>
      </c>
      <c r="G20460" t="n">
        <v>5</v>
      </c>
      <c r="H20460" s="5">
        <f>HYPERLINK("https://api.qogita.com/variants/link/0839174010252/", "View Product")</f>
        <v/>
      </c>
    </row>
    <row r="20461">
      <c r="A20461" t="inlineStr">
        <is>
          <t>0839174011204</t>
        </is>
      </c>
      <c r="B20461" t="inlineStr">
        <is>
          <t>Intense Matte Lip + Cheek Pencil Kiss</t>
        </is>
      </c>
      <c r="C20461" t="inlineStr">
        <is>
          <t>Lipstick</t>
        </is>
      </c>
      <c r="D20461" t="inlineStr">
        <is>
          <t>Nudestix</t>
        </is>
      </c>
      <c r="E20461" t="n">
        <v>13.94</v>
      </c>
      <c r="F20461" t="n">
        <v>1</v>
      </c>
      <c r="G20461" t="n">
        <v>8</v>
      </c>
      <c r="H20461" s="5">
        <f>HYPERLINK("https://api.qogita.com/variants/link/0839174011204/", "View Product")</f>
        <v/>
      </c>
    </row>
    <row r="20462">
      <c r="A20462" t="inlineStr">
        <is>
          <t>0839174012225</t>
        </is>
      </c>
      <c r="B20462" t="inlineStr">
        <is>
          <t>Gel Colour Lip Nr. 03 Tay Tay 2.8g</t>
        </is>
      </c>
      <c r="C20462" t="inlineStr">
        <is>
          <t>Lipstick</t>
        </is>
      </c>
      <c r="D20462" t="inlineStr">
        <is>
          <t>Nudestix</t>
        </is>
      </c>
      <c r="E20462" t="n">
        <v>14.02</v>
      </c>
      <c r="F20462" t="n">
        <v>1</v>
      </c>
      <c r="G20462" t="n">
        <v>9</v>
      </c>
      <c r="H20462" s="5">
        <f>HYPERLINK("https://api.qogita.com/variants/link/0839174012225/", "View Product")</f>
        <v/>
      </c>
    </row>
    <row r="20463">
      <c r="A20463" t="inlineStr">
        <is>
          <t>0839174012775</t>
        </is>
      </c>
      <c r="B20463" t="inlineStr">
        <is>
          <t>Nudestix NudeFix Cream Concealer Lightweight Liquid Natural Finish Makeup Hydrating Brightening Under Eye Dark Circle Corrector Reduces Redness and Blemishes Shade Nude 5 0.34 fl oz 10 ml</t>
        </is>
      </c>
      <c r="C20463" t="inlineStr">
        <is>
          <t>Concealer</t>
        </is>
      </c>
      <c r="D20463" t="inlineStr">
        <is>
          <t>Nudestix</t>
        </is>
      </c>
      <c r="E20463" t="n">
        <v>15.07</v>
      </c>
      <c r="F20463" t="n">
        <v>1</v>
      </c>
      <c r="G20463" t="n">
        <v>15</v>
      </c>
      <c r="H20463" s="5">
        <f>HYPERLINK("https://api.qogita.com/variants/link/0839174012775/", "View Product")</f>
        <v/>
      </c>
    </row>
    <row r="20464">
      <c r="A20464" t="inlineStr">
        <is>
          <t>0840026648745</t>
        </is>
      </c>
      <c r="B20464" t="inlineStr">
        <is>
          <t>Fenty Beauty #04 Crepe Cool for Light to Light-Medium Skin Tones 10ml</t>
        </is>
      </c>
      <c r="C20464" t="inlineStr">
        <is>
          <t>Foundation</t>
        </is>
      </c>
      <c r="D20464" t="inlineStr">
        <is>
          <t>Fenty Beauty by Rihanna</t>
        </is>
      </c>
      <c r="E20464" t="n">
        <v>26.73</v>
      </c>
      <c r="F20464" t="n">
        <v>1</v>
      </c>
      <c r="G20464" t="n">
        <v>23</v>
      </c>
      <c r="H20464" s="5">
        <f>HYPERLINK("https://api.qogita.com/variants/link/0840026648745/", "View Product")</f>
        <v/>
      </c>
    </row>
    <row r="20465">
      <c r="A20465" t="inlineStr">
        <is>
          <t>0840026648769</t>
        </is>
      </c>
      <c r="B20465" t="inlineStr">
        <is>
          <t>Fenty #06 Melon Cool Neutral for Light to Light-Medium Skin Tones 10ml</t>
        </is>
      </c>
      <c r="C20465" t="inlineStr">
        <is>
          <t>Foundation</t>
        </is>
      </c>
      <c r="D20465" t="inlineStr">
        <is>
          <t>Fenty Beauty by Rihanna</t>
        </is>
      </c>
      <c r="E20465" t="n">
        <v>26.73</v>
      </c>
      <c r="F20465" t="n">
        <v>1</v>
      </c>
      <c r="G20465" t="n">
        <v>16</v>
      </c>
      <c r="H20465" s="5">
        <f>HYPERLINK("https://api.qogita.com/variants/link/0840026648769/", "View Product")</f>
        <v/>
      </c>
    </row>
    <row r="20466">
      <c r="A20466" t="inlineStr">
        <is>
          <t>0840026656573</t>
        </is>
      </c>
      <c r="B20466" t="inlineStr">
        <is>
          <t>Fenty Beauty Mattifying Makeup Pro Filt'r Soft Matte Foundation Mini - 12 Ml</t>
        </is>
      </c>
      <c r="C20466" t="inlineStr">
        <is>
          <t>Foundation</t>
        </is>
      </c>
      <c r="D20466" t="inlineStr">
        <is>
          <t>Fenty Beauty by Rihanna</t>
        </is>
      </c>
      <c r="E20466" t="n">
        <v>16.73</v>
      </c>
      <c r="F20466" t="n">
        <v>1</v>
      </c>
      <c r="G20466" t="n">
        <v>19</v>
      </c>
      <c r="H20466" s="5">
        <f>HYPERLINK("https://api.qogita.com/variants/link/0840026656573/", "View Product")</f>
        <v/>
      </c>
    </row>
    <row r="20467">
      <c r="A20467" t="inlineStr">
        <is>
          <t>0840026656627</t>
        </is>
      </c>
      <c r="B20467" t="inlineStr">
        <is>
          <t>Fenty Beauty Mattifying Makeup Pro Filt'r Soft Matte Foundation Mini - 12 Ml</t>
        </is>
      </c>
      <c r="C20467" t="inlineStr">
        <is>
          <t>Foundation</t>
        </is>
      </c>
      <c r="D20467" t="inlineStr">
        <is>
          <t>Fenty Beauty by Rihanna</t>
        </is>
      </c>
      <c r="E20467" t="n">
        <v>16.73</v>
      </c>
      <c r="F20467" t="n">
        <v>1</v>
      </c>
      <c r="G20467" t="n">
        <v>15</v>
      </c>
      <c r="H20467" s="5">
        <f>HYPERLINK("https://api.qogita.com/variants/link/0840026656627/", "View Product")</f>
        <v/>
      </c>
    </row>
    <row r="20468">
      <c r="A20468" t="inlineStr">
        <is>
          <t>0840026656696</t>
        </is>
      </c>
      <c r="B20468" t="inlineStr">
        <is>
          <t>Fenty Beauty Mattifying Makeup Pro Filt'r Soft Matte Foundation Mini - 12 Ml</t>
        </is>
      </c>
      <c r="C20468" t="inlineStr">
        <is>
          <t>Foundation</t>
        </is>
      </c>
      <c r="D20468" t="inlineStr">
        <is>
          <t>Fenty Beauty by Rihanna</t>
        </is>
      </c>
      <c r="E20468" t="n">
        <v>16.73</v>
      </c>
      <c r="F20468" t="n">
        <v>1</v>
      </c>
      <c r="G20468" t="n">
        <v>16</v>
      </c>
      <c r="H20468" s="5">
        <f>HYPERLINK("https://api.qogita.com/variants/link/0840026656696/", "View Product")</f>
        <v/>
      </c>
    </row>
    <row r="20469">
      <c r="A20469" t="inlineStr">
        <is>
          <t>0840026656719</t>
        </is>
      </c>
      <c r="B20469" t="inlineStr">
        <is>
          <t>Fenty Beauty Mattifying Makeup Pro Filt'r Soft Matte Foundation Mini - 12 Ml</t>
        </is>
      </c>
      <c r="C20469" t="inlineStr">
        <is>
          <t>Foundation</t>
        </is>
      </c>
      <c r="D20469" t="inlineStr">
        <is>
          <t>Fenty Beauty by Rihanna</t>
        </is>
      </c>
      <c r="E20469" t="n">
        <v>16.73</v>
      </c>
      <c r="F20469" t="n">
        <v>1</v>
      </c>
      <c r="G20469" t="n">
        <v>18</v>
      </c>
      <c r="H20469" s="5">
        <f>HYPERLINK("https://api.qogita.com/variants/link/0840026656719/", "View Product")</f>
        <v/>
      </c>
    </row>
    <row r="20470">
      <c r="A20470" t="inlineStr">
        <is>
          <t>0840026656863</t>
        </is>
      </c>
      <c r="B20470" t="inlineStr">
        <is>
          <t>Fenty Beauty Mattifying Makeup Pro Filt'r Soft Matte Foundation Mini - 12 Ml</t>
        </is>
      </c>
      <c r="C20470" t="inlineStr">
        <is>
          <t>Foundation</t>
        </is>
      </c>
      <c r="D20470" t="inlineStr">
        <is>
          <t>Fenty Beauty by Rihanna</t>
        </is>
      </c>
      <c r="E20470" t="n">
        <v>16.73</v>
      </c>
      <c r="F20470" t="n">
        <v>1</v>
      </c>
      <c r="G20470" t="n">
        <v>19</v>
      </c>
      <c r="H20470" s="5">
        <f>HYPERLINK("https://api.qogita.com/variants/link/0840026656863/", "View Product")</f>
        <v/>
      </c>
    </row>
    <row r="20471">
      <c r="A20471" t="inlineStr">
        <is>
          <t>0840026656887</t>
        </is>
      </c>
      <c r="B20471" t="inlineStr">
        <is>
          <t>Fenty Beauty Mattifying Makeup Pro Filt`R Soft Matte Foundation Mini - 12 Ml</t>
        </is>
      </c>
      <c r="C20471" t="inlineStr">
        <is>
          <t>Foundation</t>
        </is>
      </c>
      <c r="D20471" t="inlineStr">
        <is>
          <t>Fenty Beauty by Rihanna</t>
        </is>
      </c>
      <c r="E20471" t="n">
        <v>16.73</v>
      </c>
      <c r="F20471" t="n">
        <v>1</v>
      </c>
      <c r="G20471" t="n">
        <v>20</v>
      </c>
      <c r="H20471" s="5">
        <f>HYPERLINK("https://api.qogita.com/variants/link/0840026656887/", "View Product")</f>
        <v/>
      </c>
    </row>
    <row r="20472">
      <c r="A20472" t="inlineStr">
        <is>
          <t>0840026656931</t>
        </is>
      </c>
      <c r="B20472" t="inlineStr">
        <is>
          <t>Fenty Beauty Mattifying Makeup Pro Filt'r Soft Matte Foundation Mini - 12 Ml</t>
        </is>
      </c>
      <c r="C20472" t="inlineStr">
        <is>
          <t>Foundation</t>
        </is>
      </c>
      <c r="D20472" t="inlineStr">
        <is>
          <t>Fenty Beauty by Rihanna</t>
        </is>
      </c>
      <c r="E20472" t="n">
        <v>16.73</v>
      </c>
      <c r="F20472" t="n">
        <v>1</v>
      </c>
      <c r="G20472" t="n">
        <v>14</v>
      </c>
      <c r="H20472" s="5">
        <f>HYPERLINK("https://api.qogita.com/variants/link/0840026656931/", "View Product")</f>
        <v/>
      </c>
    </row>
    <row r="20473">
      <c r="A20473" t="inlineStr">
        <is>
          <t>0840026656955</t>
        </is>
      </c>
      <c r="B20473" t="inlineStr">
        <is>
          <t>Fenty Beauty Mattifying Makeup Pro Filt'r Soft Matte Foundation Mini - 12 Ml</t>
        </is>
      </c>
      <c r="C20473" t="inlineStr">
        <is>
          <t>Foundation</t>
        </is>
      </c>
      <c r="D20473" t="inlineStr">
        <is>
          <t>Fenty Beauty by Rihanna</t>
        </is>
      </c>
      <c r="E20473" t="n">
        <v>16.73</v>
      </c>
      <c r="F20473" t="n">
        <v>1</v>
      </c>
      <c r="G20473" t="n">
        <v>14</v>
      </c>
      <c r="H20473" s="5">
        <f>HYPERLINK("https://api.qogita.com/variants/link/0840026656955/", "View Product")</f>
        <v/>
      </c>
    </row>
    <row r="20474">
      <c r="A20474" t="inlineStr">
        <is>
          <t>0840026658010</t>
        </is>
      </c>
      <c r="B20474" t="inlineStr">
        <is>
          <t>Fenty Beauty Metallic Nude Refillable Lipstick Case</t>
        </is>
      </c>
      <c r="C20474" t="inlineStr">
        <is>
          <t>Lipstick</t>
        </is>
      </c>
      <c r="D20474" t="inlineStr">
        <is>
          <t>Fenty Beauty by Rihanna</t>
        </is>
      </c>
      <c r="E20474" t="n">
        <v>19</v>
      </c>
      <c r="F20474" t="n">
        <v>1</v>
      </c>
      <c r="G20474" t="n">
        <v>27</v>
      </c>
      <c r="H20474" s="5">
        <f>HYPERLINK("https://api.qogita.com/variants/link/0840026658010/", "View Product")</f>
        <v/>
      </c>
    </row>
    <row r="20475">
      <c r="A20475" t="inlineStr">
        <is>
          <t>0840026663984</t>
        </is>
      </c>
      <c r="B20475" t="inlineStr">
        <is>
          <t>Fenty Beauty Match Stix Shimmer Skinstick Truffle Spark</t>
        </is>
      </c>
      <c r="C20475" t="inlineStr">
        <is>
          <t>Highlighter</t>
        </is>
      </c>
      <c r="D20475" t="inlineStr">
        <is>
          <t>Fenty Beauty by Rihanna</t>
        </is>
      </c>
      <c r="E20475" t="n">
        <v>23.93</v>
      </c>
      <c r="F20475" t="n">
        <v>1</v>
      </c>
      <c r="G20475" t="n">
        <v>14</v>
      </c>
      <c r="H20475" s="5">
        <f>HYPERLINK("https://api.qogita.com/variants/link/0840026663984/", "View Product")</f>
        <v/>
      </c>
    </row>
    <row r="20476">
      <c r="A20476" t="inlineStr">
        <is>
          <t>0840026664752</t>
        </is>
      </c>
      <c r="B20476" t="inlineStr">
        <is>
          <t>Fenty Beauty Mattifying Makeup Pro Filt`R Soft Matte Foundation Mini - 12 Ml</t>
        </is>
      </c>
      <c r="C20476" t="inlineStr">
        <is>
          <t>Foundation</t>
        </is>
      </c>
      <c r="D20476" t="inlineStr">
        <is>
          <t>Fenty Beauty by Rihanna</t>
        </is>
      </c>
      <c r="E20476" t="n">
        <v>16.73</v>
      </c>
      <c r="F20476" t="n">
        <v>1</v>
      </c>
      <c r="G20476" t="n">
        <v>18</v>
      </c>
      <c r="H20476" s="5">
        <f>HYPERLINK("https://api.qogita.com/variants/link/0840026664752/", "View Product")</f>
        <v/>
      </c>
    </row>
    <row r="20477">
      <c r="A20477" t="inlineStr">
        <is>
          <t>0840026664769</t>
        </is>
      </c>
      <c r="B20477" t="inlineStr">
        <is>
          <t>Fenty Beauty Mattifying Makeup Pro Filt'r Soft Matte Foundation Mini - 12 Ml</t>
        </is>
      </c>
      <c r="C20477" t="inlineStr">
        <is>
          <t>Foundation</t>
        </is>
      </c>
      <c r="D20477" t="inlineStr">
        <is>
          <t>Fenty Beauty by Rihanna</t>
        </is>
      </c>
      <c r="E20477" t="n">
        <v>16.73</v>
      </c>
      <c r="F20477" t="n">
        <v>1</v>
      </c>
      <c r="G20477" t="n">
        <v>20</v>
      </c>
      <c r="H20477" s="5">
        <f>HYPERLINK("https://api.qogita.com/variants/link/0840026664769/", "View Product")</f>
        <v/>
      </c>
    </row>
    <row r="20478">
      <c r="A20478" t="inlineStr">
        <is>
          <t>0840026664806</t>
        </is>
      </c>
      <c r="B20478" t="inlineStr">
        <is>
          <t>Fenty Beauty Mattifying Makeup Pro Filt'r Soft Matte Foundation Mini - 12 Ml</t>
        </is>
      </c>
      <c r="C20478" t="inlineStr">
        <is>
          <t>Foundation</t>
        </is>
      </c>
      <c r="D20478" t="inlineStr">
        <is>
          <t>Fenty Beauty by Rihanna</t>
        </is>
      </c>
      <c r="E20478" t="n">
        <v>16.73</v>
      </c>
      <c r="F20478" t="n">
        <v>1</v>
      </c>
      <c r="G20478" t="n">
        <v>15</v>
      </c>
      <c r="H20478" s="5">
        <f>HYPERLINK("https://api.qogita.com/variants/link/0840026664806/", "View Product")</f>
        <v/>
      </c>
    </row>
    <row r="20479">
      <c r="A20479" t="inlineStr">
        <is>
          <t>0840026666473</t>
        </is>
      </c>
      <c r="B20479" t="inlineStr">
        <is>
          <t>Fenty Beauty Eaze Drop Blur + Smooth Tint Stick 9 G</t>
        </is>
      </c>
      <c r="C20479" t="inlineStr">
        <is>
          <t>Foundation</t>
        </is>
      </c>
      <c r="D20479" t="inlineStr">
        <is>
          <t>Fenty Beauty by Rihanna</t>
        </is>
      </c>
      <c r="E20479" t="n">
        <v>31.46</v>
      </c>
      <c r="F20479" t="n">
        <v>1</v>
      </c>
      <c r="G20479" t="n">
        <v>25</v>
      </c>
      <c r="H20479" s="5">
        <f>HYPERLINK("https://api.qogita.com/variants/link/0840026666473/", "View Product")</f>
        <v/>
      </c>
    </row>
    <row r="20480">
      <c r="A20480" t="inlineStr">
        <is>
          <t>0840026666510</t>
        </is>
      </c>
      <c r="B20480" t="inlineStr">
        <is>
          <t>Fenty Beauty Eaze Drop Blur + Smooth Tint Stick 9 G</t>
        </is>
      </c>
      <c r="C20480" t="inlineStr">
        <is>
          <t>Foundation</t>
        </is>
      </c>
      <c r="D20480" t="inlineStr">
        <is>
          <t>Fenty Beauty by Rihanna</t>
        </is>
      </c>
      <c r="E20480" t="n">
        <v>31.46</v>
      </c>
      <c r="F20480" t="n">
        <v>1</v>
      </c>
      <c r="G20480" t="n">
        <v>27</v>
      </c>
      <c r="H20480" s="5">
        <f>HYPERLINK("https://api.qogita.com/variants/link/0840026666510/", "View Product")</f>
        <v/>
      </c>
    </row>
    <row r="20481">
      <c r="A20481" t="inlineStr">
        <is>
          <t>0840026666558</t>
        </is>
      </c>
      <c r="B20481" t="inlineStr">
        <is>
          <t>Fenty Beauty Eaze Drop Blur + Smooth Tint Stick 9 G</t>
        </is>
      </c>
      <c r="C20481" t="inlineStr">
        <is>
          <t>Foundation</t>
        </is>
      </c>
      <c r="D20481" t="inlineStr">
        <is>
          <t>Fenty Beauty by Rihanna</t>
        </is>
      </c>
      <c r="E20481" t="n">
        <v>31.46</v>
      </c>
      <c r="F20481" t="n">
        <v>1</v>
      </c>
      <c r="G20481" t="n">
        <v>26</v>
      </c>
      <c r="H20481" s="5">
        <f>HYPERLINK("https://api.qogita.com/variants/link/0840026666558/", "View Product")</f>
        <v/>
      </c>
    </row>
    <row r="20482">
      <c r="A20482" t="inlineStr">
        <is>
          <t>0840035210315</t>
        </is>
      </c>
      <c r="B20482" t="inlineStr">
        <is>
          <t>The Cleansing Clarifying Shampoo</t>
        </is>
      </c>
      <c r="C20482" t="inlineStr">
        <is>
          <t>Shampoo</t>
        </is>
      </c>
      <c r="D20482" t="inlineStr">
        <is>
          <t>Oribe</t>
        </is>
      </c>
      <c r="E20482" t="n">
        <v>52.09</v>
      </c>
      <c r="F20482" t="n">
        <v>1</v>
      </c>
      <c r="G20482" t="n">
        <v>5</v>
      </c>
      <c r="H20482" s="5">
        <f>HYPERLINK("https://api.qogita.com/variants/link/0840035210315/", "View Product")</f>
        <v/>
      </c>
    </row>
    <row r="20483">
      <c r="A20483" t="inlineStr">
        <is>
          <t>0840035215860</t>
        </is>
      </c>
      <c r="B20483" t="inlineStr">
        <is>
          <t>Oribe Serene Scalp Balancing Conditioner</t>
        </is>
      </c>
      <c r="C20483" t="inlineStr">
        <is>
          <t>Conditioner</t>
        </is>
      </c>
      <c r="D20483" t="inlineStr">
        <is>
          <t>Oribe</t>
        </is>
      </c>
      <c r="E20483" t="n">
        <v>52.19</v>
      </c>
      <c r="F20483" t="n">
        <v>1</v>
      </c>
      <c r="G20483" t="n">
        <v>2</v>
      </c>
      <c r="H20483" s="5">
        <f>HYPERLINK("https://api.qogita.com/variants/link/0840035215860/", "View Product")</f>
        <v/>
      </c>
    </row>
    <row r="20484">
      <c r="A20484" t="inlineStr">
        <is>
          <t>0840216930605</t>
        </is>
      </c>
      <c r="B20484" t="inlineStr">
        <is>
          <t>Living Proof PhD Hydrating Shampoo Paraben Free Silicone Free Vegan</t>
        </is>
      </c>
      <c r="C20484" t="inlineStr">
        <is>
          <t>Shampoo</t>
        </is>
      </c>
      <c r="D20484" t="inlineStr">
        <is>
          <t>Living Proof</t>
        </is>
      </c>
      <c r="E20484" t="n">
        <v>28.8</v>
      </c>
      <c r="F20484" t="n">
        <v>1</v>
      </c>
      <c r="G20484" t="n">
        <v>3</v>
      </c>
      <c r="H20484" s="5">
        <f>HYPERLINK("https://api.qogita.com/variants/link/0840216930605/", "View Product")</f>
        <v/>
      </c>
    </row>
    <row r="20485">
      <c r="A20485" t="inlineStr">
        <is>
          <t>0840216932548</t>
        </is>
      </c>
      <c r="B20485" t="inlineStr">
        <is>
          <t>Living proof No Frizz Smooth Styling Cream 8 Fl Oz</t>
        </is>
      </c>
      <c r="C20485" t="inlineStr">
        <is>
          <t>Styling Creams</t>
        </is>
      </c>
      <c r="D20485" t="inlineStr">
        <is>
          <t>Living Proof</t>
        </is>
      </c>
      <c r="E20485" t="n">
        <v>36.04</v>
      </c>
      <c r="F20485" t="n">
        <v>1</v>
      </c>
      <c r="G20485" t="n">
        <v>5</v>
      </c>
      <c r="H20485" s="5">
        <f>HYPERLINK("https://api.qogita.com/variants/link/0840216932548/", "View Product")</f>
        <v/>
      </c>
    </row>
    <row r="20486">
      <c r="A20486" t="inlineStr">
        <is>
          <t>0840216932555</t>
        </is>
      </c>
      <c r="B20486" t="inlineStr">
        <is>
          <t>Living Proof No Frizz Smooth Styling Cream 20oz Travel Size</t>
        </is>
      </c>
      <c r="C20486" t="inlineStr">
        <is>
          <t>Styling Creams</t>
        </is>
      </c>
      <c r="D20486" t="inlineStr">
        <is>
          <t>Living Proof</t>
        </is>
      </c>
      <c r="E20486" t="n">
        <v>15.32</v>
      </c>
      <c r="F20486" t="n">
        <v>1</v>
      </c>
      <c r="G20486" t="n">
        <v>4</v>
      </c>
      <c r="H20486" s="5">
        <f>HYPERLINK("https://api.qogita.com/variants/link/0840216932555/", "View Product")</f>
        <v/>
      </c>
    </row>
    <row r="20487">
      <c r="A20487" t="inlineStr">
        <is>
          <t>0840216933521</t>
        </is>
      </c>
      <c r="B20487" t="inlineStr">
        <is>
          <t>Living Proof No Frizz Smooth Styling Serum 1.5 Fl Oz</t>
        </is>
      </c>
      <c r="C20487" t="inlineStr">
        <is>
          <t>Hair Oil &amp; Hair Serum</t>
        </is>
      </c>
      <c r="D20487" t="inlineStr">
        <is>
          <t>Living Proof</t>
        </is>
      </c>
      <c r="E20487" t="n">
        <v>30.59</v>
      </c>
      <c r="F20487" t="n">
        <v>1</v>
      </c>
      <c r="G20487" t="n">
        <v>5</v>
      </c>
      <c r="H20487" s="5">
        <f>HYPERLINK("https://api.qogita.com/variants/link/0840216933521/", "View Product")</f>
        <v/>
      </c>
    </row>
    <row r="20488">
      <c r="A20488" t="inlineStr">
        <is>
          <t>0840216933828</t>
        </is>
      </c>
      <c r="B20488" t="inlineStr">
        <is>
          <t>Living Proof Perfect Hair Day Advanced Clean Dry Shampoo - 355 Ml</t>
        </is>
      </c>
      <c r="C20488" t="inlineStr">
        <is>
          <t>Dry Shampoo</t>
        </is>
      </c>
      <c r="D20488" t="inlineStr">
        <is>
          <t>Living Proof</t>
        </is>
      </c>
      <c r="E20488" t="n">
        <v>37.83</v>
      </c>
      <c r="F20488" t="n">
        <v>1</v>
      </c>
      <c r="G20488" t="n">
        <v>7</v>
      </c>
      <c r="H20488" s="5">
        <f>HYPERLINK("https://api.qogita.com/variants/link/0840216933828/", "View Product")</f>
        <v/>
      </c>
    </row>
    <row r="20489">
      <c r="A20489" t="inlineStr">
        <is>
          <t>0840216934214</t>
        </is>
      </c>
      <c r="B20489" t="inlineStr">
        <is>
          <t>Living Proof Full Texturizing Foam Volumizing Dry Foam Styling Texturizer Heat Protection Cruelty Free Silicone Paraben Sulfate Free 45ml</t>
        </is>
      </c>
      <c r="C20489" t="inlineStr">
        <is>
          <t>Mousse</t>
        </is>
      </c>
      <c r="D20489" t="inlineStr">
        <is>
          <t>Living Proof</t>
        </is>
      </c>
      <c r="E20489" t="n">
        <v>15.32</v>
      </c>
      <c r="F20489" t="n">
        <v>1</v>
      </c>
      <c r="G20489" t="n">
        <v>4</v>
      </c>
      <c r="H20489" s="5">
        <f>HYPERLINK("https://api.qogita.com/variants/link/0840216934214/", "View Product")</f>
        <v/>
      </c>
    </row>
    <row r="20490">
      <c r="A20490" t="inlineStr">
        <is>
          <t>0840216934870</t>
        </is>
      </c>
      <c r="B20490" t="inlineStr">
        <is>
          <t>Living Proof Triple Bond Complex Leave-In Hair Mask for Stronger Hair</t>
        </is>
      </c>
      <c r="C20490" t="inlineStr">
        <is>
          <t>Hair Masks</t>
        </is>
      </c>
      <c r="D20490" t="inlineStr">
        <is>
          <t>Living Proof</t>
        </is>
      </c>
      <c r="E20490" t="n">
        <v>17.12</v>
      </c>
      <c r="F20490" t="n">
        <v>1</v>
      </c>
      <c r="G20490" t="n">
        <v>5</v>
      </c>
      <c r="H20490" s="5">
        <f>HYPERLINK("https://api.qogita.com/variants/link/0840216934870/", "View Product")</f>
        <v/>
      </c>
    </row>
    <row r="20491">
      <c r="A20491" t="inlineStr">
        <is>
          <t>0840356501826</t>
        </is>
      </c>
      <c r="B20491" t="inlineStr">
        <is>
          <t>Strivectin Anti-Wrinkle Smooth &amp; Plump Trio Kit Intensive Eye SD Advanced</t>
        </is>
      </c>
      <c r="C20491" t="inlineStr">
        <is>
          <t>Eye Care Sets</t>
        </is>
      </c>
      <c r="D20491" t="inlineStr">
        <is>
          <t>Strivectin</t>
        </is>
      </c>
      <c r="E20491" t="n">
        <v>85.84</v>
      </c>
      <c r="F20491" t="n">
        <v>1</v>
      </c>
      <c r="G20491" t="n">
        <v>3</v>
      </c>
      <c r="H20491" s="5">
        <f>HYPERLINK("https://api.qogita.com/variants/link/0840356501826/", "View Product")</f>
        <v/>
      </c>
    </row>
    <row r="20492">
      <c r="A20492" t="inlineStr">
        <is>
          <t>0840797116443</t>
        </is>
      </c>
      <c r="B20492" t="inlineStr">
        <is>
          <t>BANANA REPUBLIC Unisex Fragrance 78 Vintage Green Eau De Parfum 75ml</t>
        </is>
      </c>
      <c r="C20492" t="inlineStr">
        <is>
          <t>Eau De Parfum</t>
        </is>
      </c>
      <c r="D20492" t="inlineStr">
        <is>
          <t>Banana Republic</t>
        </is>
      </c>
      <c r="E20492" t="n">
        <v>22.45</v>
      </c>
      <c r="F20492" t="n">
        <v>1</v>
      </c>
      <c r="G20492" t="n">
        <v>28</v>
      </c>
      <c r="H20492" s="5">
        <f>HYPERLINK("https://api.qogita.com/variants/link/0840797116443/", "View Product")</f>
        <v/>
      </c>
    </row>
    <row r="20493">
      <c r="A20493" t="inlineStr">
        <is>
          <t>0840797116467</t>
        </is>
      </c>
      <c r="B20493" t="inlineStr">
        <is>
          <t>Banana Republic 83 Leather Reserve Eau de Parfum Spray 75ml</t>
        </is>
      </c>
      <c r="C20493" t="inlineStr">
        <is>
          <t>Eau De Parfum</t>
        </is>
      </c>
      <c r="D20493" t="inlineStr">
        <is>
          <t>Banana Republic</t>
        </is>
      </c>
      <c r="E20493" t="n">
        <v>19.6</v>
      </c>
      <c r="F20493" t="n">
        <v>1</v>
      </c>
      <c r="G20493" t="n">
        <v>8</v>
      </c>
      <c r="H20493" s="5">
        <f>HYPERLINK("https://api.qogita.com/variants/link/0840797116467/", "View Product")</f>
        <v/>
      </c>
    </row>
    <row r="20494">
      <c r="A20494" t="inlineStr">
        <is>
          <t>0840797116542</t>
        </is>
      </c>
      <c r="B20494" t="inlineStr">
        <is>
          <t>Banana Republic Neroli Woods Eau de Parfum 75ml Spray</t>
        </is>
      </c>
      <c r="C20494" t="inlineStr">
        <is>
          <t>Eau De Parfum</t>
        </is>
      </c>
      <c r="D20494" t="inlineStr">
        <is>
          <t>Banana Republic</t>
        </is>
      </c>
      <c r="E20494" t="n">
        <v>23.5</v>
      </c>
      <c r="F20494" t="n">
        <v>1</v>
      </c>
      <c r="G20494" t="n">
        <v>4</v>
      </c>
      <c r="H20494" s="5">
        <f>HYPERLINK("https://api.qogita.com/variants/link/0840797116542/", "View Product")</f>
        <v/>
      </c>
    </row>
    <row r="20495">
      <c r="A20495" t="inlineStr">
        <is>
          <t>0841317000242</t>
        </is>
      </c>
      <c r="B20495" t="inlineStr">
        <is>
          <t>Histoires de Parfums 7753 120ml</t>
        </is>
      </c>
      <c r="C20495" t="inlineStr">
        <is>
          <t>Eau De Parfum</t>
        </is>
      </c>
      <c r="D20495" t="inlineStr">
        <is>
          <t>Histoires De Parfums</t>
        </is>
      </c>
      <c r="E20495" t="n">
        <v>82.98</v>
      </c>
      <c r="F20495" t="n">
        <v>1</v>
      </c>
      <c r="G20495" t="n">
        <v>7</v>
      </c>
      <c r="H20495" s="5">
        <f>HYPERLINK("https://api.qogita.com/variants/link/0841317000242/", "View Product")</f>
        <v/>
      </c>
    </row>
    <row r="20496">
      <c r="A20496" t="inlineStr">
        <is>
          <t>0841317001034</t>
        </is>
      </c>
      <c r="B20496" t="inlineStr">
        <is>
          <t>Histoire De Parfums Hist De Parf 1828 Eau De Parfum Vapo 60ml</t>
        </is>
      </c>
      <c r="C20496" t="inlineStr">
        <is>
          <t>Eau De Parfum</t>
        </is>
      </c>
      <c r="D20496" t="inlineStr">
        <is>
          <t>Histoires De Parfums</t>
        </is>
      </c>
      <c r="E20496" t="n">
        <v>60.31</v>
      </c>
      <c r="F20496" t="n">
        <v>1</v>
      </c>
      <c r="G20496" t="n">
        <v>7</v>
      </c>
      <c r="H20496" s="5">
        <f>HYPERLINK("https://api.qogita.com/variants/link/0841317001034/", "View Product")</f>
        <v/>
      </c>
    </row>
    <row r="20497">
      <c r="A20497" t="inlineStr">
        <is>
          <t>0841317001072</t>
        </is>
      </c>
      <c r="B20497" t="inlineStr">
        <is>
          <t>Histoires De Parfums Noir Patchouli Unisex EDP 60ml</t>
        </is>
      </c>
      <c r="C20497" t="inlineStr">
        <is>
          <t>Eau De Parfum</t>
        </is>
      </c>
      <c r="D20497" t="inlineStr">
        <is>
          <t>Histoire De Parfums</t>
        </is>
      </c>
      <c r="E20497" t="n">
        <v>53.76</v>
      </c>
      <c r="F20497" t="n">
        <v>1</v>
      </c>
      <c r="G20497" t="n">
        <v>11</v>
      </c>
      <c r="H20497" s="5">
        <f>HYPERLINK("https://api.qogita.com/variants/link/0841317001072/", "View Product")</f>
        <v/>
      </c>
    </row>
    <row r="20498">
      <c r="A20498" t="inlineStr">
        <is>
          <t>0841317001096</t>
        </is>
      </c>
      <c r="B20498" t="inlineStr">
        <is>
          <t>Histoire De Parfums 1725 Eau De Parfum Vaporisateur 60ml</t>
        </is>
      </c>
      <c r="C20498" t="inlineStr">
        <is>
          <t>Eau De Parfum</t>
        </is>
      </c>
      <c r="D20498" t="inlineStr">
        <is>
          <t>Histoires De Parfums</t>
        </is>
      </c>
      <c r="E20498" t="n">
        <v>54.48</v>
      </c>
      <c r="F20498" t="n">
        <v>1</v>
      </c>
      <c r="G20498" t="n">
        <v>8</v>
      </c>
      <c r="H20498" s="5">
        <f>HYPERLINK("https://api.qogita.com/variants/link/0841317001096/", "View Product")</f>
        <v/>
      </c>
    </row>
    <row r="20499">
      <c r="A20499" t="inlineStr">
        <is>
          <t>0841317001188</t>
        </is>
      </c>
      <c r="B20499" t="inlineStr">
        <is>
          <t>Histoire De Parfums Hist De Parf 1899 EDP Vaporizer 60ml</t>
        </is>
      </c>
      <c r="C20499" t="inlineStr">
        <is>
          <t>Eau De Parfum</t>
        </is>
      </c>
      <c r="D20499" t="inlineStr">
        <is>
          <t>Histoires De Parfums</t>
        </is>
      </c>
      <c r="E20499" t="n">
        <v>53.76</v>
      </c>
      <c r="F20499" t="n">
        <v>1</v>
      </c>
      <c r="G20499" t="n">
        <v>12</v>
      </c>
      <c r="H20499" s="5">
        <f>HYPERLINK("https://api.qogita.com/variants/link/0841317001188/", "View Product")</f>
        <v/>
      </c>
    </row>
    <row r="20500">
      <c r="A20500" t="inlineStr">
        <is>
          <t>0841317002536</t>
        </is>
      </c>
      <c r="B20500" t="inlineStr">
        <is>
          <t>Histoire de Parfums Blue 1.1 Unisex Eau de Parfum 15ml</t>
        </is>
      </c>
      <c r="C20500" t="inlineStr">
        <is>
          <t>Eau De Parfum</t>
        </is>
      </c>
      <c r="D20500" t="inlineStr">
        <is>
          <t>Histoire De Parfums</t>
        </is>
      </c>
      <c r="E20500" t="n">
        <v>19.74</v>
      </c>
      <c r="F20500" t="n">
        <v>1</v>
      </c>
      <c r="G20500" t="n">
        <v>5</v>
      </c>
      <c r="H20500" s="5">
        <f>HYPERLINK("https://api.qogita.com/variants/link/0841317002536/", "View Product")</f>
        <v/>
      </c>
    </row>
    <row r="20501">
      <c r="A20501" t="inlineStr">
        <is>
          <t>0841317002581</t>
        </is>
      </c>
      <c r="B20501" t="inlineStr">
        <is>
          <t>Histoire de Parfums Blue 1.2 Unisex Eau de Parfum 15ml</t>
        </is>
      </c>
      <c r="C20501" t="inlineStr">
        <is>
          <t>Eau De Parfum</t>
        </is>
      </c>
      <c r="D20501" t="inlineStr">
        <is>
          <t>Histoire De Parfums</t>
        </is>
      </c>
      <c r="E20501" t="n">
        <v>19.38</v>
      </c>
      <c r="F20501" t="n">
        <v>1</v>
      </c>
      <c r="G20501" t="n">
        <v>18</v>
      </c>
      <c r="H20501" s="5">
        <f>HYPERLINK("https://api.qogita.com/variants/link/0841317002581/", "View Product")</f>
        <v/>
      </c>
    </row>
    <row r="20502">
      <c r="A20502" t="inlineStr">
        <is>
          <t>0841317002697</t>
        </is>
      </c>
      <c r="B20502" t="inlineStr">
        <is>
          <t>Histoires De Parfums This Is Not A Bleu Bottle Eau De Parfum 120ml</t>
        </is>
      </c>
      <c r="C20502" t="inlineStr">
        <is>
          <t>Eau De Parfum</t>
        </is>
      </c>
      <c r="D20502" t="inlineStr">
        <is>
          <t>Histoires De Parfums</t>
        </is>
      </c>
      <c r="E20502" t="n">
        <v>84.76000000000001</v>
      </c>
      <c r="F20502" t="n">
        <v>1</v>
      </c>
      <c r="G20502" t="n">
        <v>14</v>
      </c>
      <c r="H20502" s="5">
        <f>HYPERLINK("https://api.qogita.com/variants/link/0841317002697/", "View Product")</f>
        <v/>
      </c>
    </row>
    <row r="20503">
      <c r="A20503" t="inlineStr">
        <is>
          <t>0841317002758</t>
        </is>
      </c>
      <c r="B20503" t="inlineStr">
        <is>
          <t>Histoires de Parfums This Is Not A Bleu Bottle 1.5 Eau De Parfum 120ml</t>
        </is>
      </c>
      <c r="C20503" t="inlineStr">
        <is>
          <t>Eau De Parfum</t>
        </is>
      </c>
      <c r="D20503" t="inlineStr">
        <is>
          <t>Histoires De Parfums</t>
        </is>
      </c>
      <c r="E20503" t="n">
        <v>94.88</v>
      </c>
      <c r="F20503" t="n">
        <v>1</v>
      </c>
      <c r="G20503" t="n">
        <v>13</v>
      </c>
      <c r="H20503" s="5">
        <f>HYPERLINK("https://api.qogita.com/variants/link/0841317002758/", "View Product")</f>
        <v/>
      </c>
    </row>
    <row r="20504">
      <c r="A20504" t="inlineStr">
        <is>
          <t>0841317002765</t>
        </is>
      </c>
      <c r="B20504" t="inlineStr">
        <is>
          <t>Histoires De Parfums This Is Not A Bleu Bottle 1.5 Eau De Parfum 60ml</t>
        </is>
      </c>
      <c r="C20504" t="inlineStr">
        <is>
          <t>Eau De Parfum</t>
        </is>
      </c>
      <c r="D20504" t="inlineStr">
        <is>
          <t>Histoires De Parfums</t>
        </is>
      </c>
      <c r="E20504" t="n">
        <v>57.93</v>
      </c>
      <c r="F20504" t="n">
        <v>1</v>
      </c>
      <c r="G20504" t="n">
        <v>12</v>
      </c>
      <c r="H20504" s="5">
        <f>HYPERLINK("https://api.qogita.com/variants/link/0841317002765/", "View Product")</f>
        <v/>
      </c>
    </row>
    <row r="20505">
      <c r="A20505" t="inlineStr">
        <is>
          <t>0841317003397</t>
        </is>
      </c>
      <c r="B20505" t="inlineStr">
        <is>
          <t>Histoires De Parfums Compatible - Edition Rare Veni 15 Ml</t>
        </is>
      </c>
      <c r="C20505" t="inlineStr">
        <is>
          <t>Eau De Parfum</t>
        </is>
      </c>
      <c r="D20505" t="inlineStr">
        <is>
          <t>Histoires De Parfums</t>
        </is>
      </c>
      <c r="E20505" t="n">
        <v>24.39</v>
      </c>
      <c r="F20505" t="n">
        <v>1</v>
      </c>
      <c r="G20505" t="n">
        <v>6</v>
      </c>
      <c r="H20505" s="5">
        <f>HYPERLINK("https://api.qogita.com/variants/link/0841317003397/", "View Product")</f>
        <v/>
      </c>
    </row>
    <row r="20506">
      <c r="A20506" t="inlineStr">
        <is>
          <t>0843445027306</t>
        </is>
      </c>
      <c r="B20506" t="inlineStr">
        <is>
          <t>Plumbeauty Amethyst Facial Roller</t>
        </is>
      </c>
      <c r="C20506" t="inlineStr">
        <is>
          <t>Facial Massage</t>
        </is>
      </c>
      <c r="D20506" t="inlineStr">
        <is>
          <t>Plum Beauty</t>
        </is>
      </c>
      <c r="E20506" t="n">
        <v>20.36</v>
      </c>
      <c r="F20506" t="n">
        <v>1</v>
      </c>
      <c r="G20506" t="n">
        <v>2</v>
      </c>
      <c r="H20506" s="5">
        <f>HYPERLINK("https://api.qogita.com/variants/link/0843445027306/", "View Product")</f>
        <v/>
      </c>
    </row>
    <row r="20507">
      <c r="A20507" t="inlineStr">
        <is>
          <t>0843445034250</t>
        </is>
      </c>
      <c r="B20507" t="inlineStr">
        <is>
          <t>Plumbeauty Cryosphere Massage Roller</t>
        </is>
      </c>
      <c r="C20507" t="inlineStr">
        <is>
          <t>Facial Massage</t>
        </is>
      </c>
      <c r="D20507" t="inlineStr">
        <is>
          <t>Plum Beauty</t>
        </is>
      </c>
      <c r="E20507" t="n">
        <v>14.8</v>
      </c>
      <c r="F20507" t="n">
        <v>1</v>
      </c>
      <c r="G20507" t="n">
        <v>2</v>
      </c>
      <c r="H20507" s="5">
        <f>HYPERLINK("https://api.qogita.com/variants/link/0843445034250/", "View Product")</f>
        <v/>
      </c>
    </row>
    <row r="20508">
      <c r="A20508" t="inlineStr">
        <is>
          <t>0844061000469</t>
        </is>
      </c>
      <c r="B20508" t="inlineStr">
        <is>
          <t>Perry Ellis 360 White EDT Spray for Men 100ml</t>
        </is>
      </c>
      <c r="C20508" t="inlineStr">
        <is>
          <t>Eau De Toilette</t>
        </is>
      </c>
      <c r="D20508" t="inlineStr">
        <is>
          <t>Perry Ellis</t>
        </is>
      </c>
      <c r="E20508" t="n">
        <v>20.22</v>
      </c>
      <c r="F20508" t="n">
        <v>1</v>
      </c>
      <c r="G20508" t="n">
        <v>7</v>
      </c>
      <c r="H20508" s="5">
        <f>HYPERLINK("https://api.qogita.com/variants/link/0844061000469/", "View Product")</f>
        <v/>
      </c>
    </row>
    <row r="20509">
      <c r="A20509" t="inlineStr">
        <is>
          <t>0844061000513</t>
        </is>
      </c>
      <c r="B20509" t="inlineStr">
        <is>
          <t>Perry Ellis 360 Black Men's Eau de Toilette 3.4oz</t>
        </is>
      </c>
      <c r="C20509" t="inlineStr">
        <is>
          <t>Eau De Toilette</t>
        </is>
      </c>
      <c r="D20509" t="inlineStr">
        <is>
          <t>Perry Ellis</t>
        </is>
      </c>
      <c r="E20509" t="n">
        <v>22.29</v>
      </c>
      <c r="F20509" t="n">
        <v>1</v>
      </c>
      <c r="G20509" t="n">
        <v>22</v>
      </c>
      <c r="H20509" s="5">
        <f>HYPERLINK("https://api.qogita.com/variants/link/0844061000513/", "View Product")</f>
        <v/>
      </c>
    </row>
    <row r="20510">
      <c r="A20510" t="inlineStr">
        <is>
          <t>0844061000575</t>
        </is>
      </c>
      <c r="B20510" t="inlineStr">
        <is>
          <t>360 Red For Women Perry Ellis EDP Spray 3.4 Oz</t>
        </is>
      </c>
      <c r="C20510" t="inlineStr">
        <is>
          <t>Eau De Parfum</t>
        </is>
      </c>
      <c r="D20510" t="inlineStr">
        <is>
          <t>Perry Ellis</t>
        </is>
      </c>
      <c r="E20510" t="n">
        <v>22.08</v>
      </c>
      <c r="F20510" t="n">
        <v>1</v>
      </c>
      <c r="G20510" t="n">
        <v>2</v>
      </c>
      <c r="H20510" s="5">
        <f>HYPERLINK("https://api.qogita.com/variants/link/0844061000575/", "View Product")</f>
        <v/>
      </c>
    </row>
    <row r="20511">
      <c r="A20511" t="inlineStr">
        <is>
          <t>0844061000599</t>
        </is>
      </c>
      <c r="B20511" t="inlineStr">
        <is>
          <t>Perry Ellis 360 Eau de Toilette for Women 100ml</t>
        </is>
      </c>
      <c r="C20511" t="inlineStr">
        <is>
          <t>Eau De Toilette</t>
        </is>
      </c>
      <c r="D20511" t="inlineStr">
        <is>
          <t>Perry Ellis</t>
        </is>
      </c>
      <c r="E20511" t="n">
        <v>24.13</v>
      </c>
      <c r="F20511" t="n">
        <v>1</v>
      </c>
      <c r="G20511" t="n">
        <v>71</v>
      </c>
      <c r="H20511" s="5">
        <f>HYPERLINK("https://api.qogita.com/variants/link/0844061000599/", "View Product")</f>
        <v/>
      </c>
    </row>
    <row r="20512">
      <c r="A20512" t="inlineStr">
        <is>
          <t>0844061001084</t>
        </is>
      </c>
      <c r="B20512" t="inlineStr">
        <is>
          <t>Perry Ellis 18 Eau De Parfum</t>
        </is>
      </c>
      <c r="C20512" t="inlineStr">
        <is>
          <t>Eau De Parfum</t>
        </is>
      </c>
      <c r="D20512" t="inlineStr">
        <is>
          <t>Perry Ellis</t>
        </is>
      </c>
      <c r="E20512" t="n">
        <v>21.9</v>
      </c>
      <c r="F20512" t="n">
        <v>1</v>
      </c>
      <c r="G20512" t="n">
        <v>3</v>
      </c>
      <c r="H20512" s="5">
        <f>HYPERLINK("https://api.qogita.com/variants/link/0844061001084/", "View Product")</f>
        <v/>
      </c>
    </row>
    <row r="20513">
      <c r="A20513" t="inlineStr">
        <is>
          <t>0844061001176</t>
        </is>
      </c>
      <c r="B20513" t="inlineStr">
        <is>
          <t>Perry Ellis 18 for Men 3.4 Ounce EDT Spray</t>
        </is>
      </c>
      <c r="C20513" t="inlineStr">
        <is>
          <t>Eau De Toilette</t>
        </is>
      </c>
      <c r="D20513" t="inlineStr">
        <is>
          <t>Perry Ellis</t>
        </is>
      </c>
      <c r="E20513" t="n">
        <v>20.61</v>
      </c>
      <c r="F20513" t="n">
        <v>1</v>
      </c>
      <c r="G20513" t="n">
        <v>5</v>
      </c>
      <c r="H20513" s="5">
        <f>HYPERLINK("https://api.qogita.com/variants/link/0844061001176/", "View Product")</f>
        <v/>
      </c>
    </row>
    <row r="20514">
      <c r="A20514" t="inlineStr">
        <is>
          <t>0844061001589</t>
        </is>
      </c>
      <c r="B20514" t="inlineStr">
        <is>
          <t>Perry Ellis 360 Women Eau De Toilette Spray 200ml</t>
        </is>
      </c>
      <c r="C20514" t="inlineStr">
        <is>
          <t>Eau De Toilette</t>
        </is>
      </c>
      <c r="D20514" t="inlineStr">
        <is>
          <t>Perry Ellis</t>
        </is>
      </c>
      <c r="E20514" t="n">
        <v>34.83</v>
      </c>
      <c r="F20514" t="n">
        <v>1</v>
      </c>
      <c r="G20514" t="n">
        <v>45</v>
      </c>
      <c r="H20514" s="5">
        <f>HYPERLINK("https://api.qogita.com/variants/link/0844061001589/", "View Product")</f>
        <v/>
      </c>
    </row>
    <row r="20515">
      <c r="A20515" t="inlineStr">
        <is>
          <t>0844061004788</t>
        </is>
      </c>
      <c r="B20515" t="inlineStr">
        <is>
          <t>Perry Ellis 360 for Men 6.8oz EDT Spray</t>
        </is>
      </c>
      <c r="C20515" t="inlineStr">
        <is>
          <t>Eau De Toilette</t>
        </is>
      </c>
      <c r="D20515" t="inlineStr">
        <is>
          <t>Perry Ellis</t>
        </is>
      </c>
      <c r="E20515" t="n">
        <v>32.69</v>
      </c>
      <c r="F20515" t="n">
        <v>1</v>
      </c>
      <c r="G20515" t="n">
        <v>3</v>
      </c>
      <c r="H20515" s="5">
        <f>HYPERLINK("https://api.qogita.com/variants/link/0844061004788/", "View Product")</f>
        <v/>
      </c>
    </row>
    <row r="20516">
      <c r="A20516" t="inlineStr">
        <is>
          <t>0844061009493</t>
        </is>
      </c>
      <c r="B20516" t="inlineStr">
        <is>
          <t>Perry Ellis 360 Collection Noir 3.4oz EDT Spray</t>
        </is>
      </c>
      <c r="C20516" t="inlineStr">
        <is>
          <t>Eau De Toilette</t>
        </is>
      </c>
      <c r="D20516" t="inlineStr">
        <is>
          <t>Perry Ellis</t>
        </is>
      </c>
      <c r="E20516" t="n">
        <v>25.88</v>
      </c>
      <c r="F20516" t="n">
        <v>1</v>
      </c>
      <c r="G20516" t="n">
        <v>3</v>
      </c>
      <c r="H20516" s="5">
        <f>HYPERLINK("https://api.qogita.com/variants/link/0844061009493/", "View Product")</f>
        <v/>
      </c>
    </row>
    <row r="20517">
      <c r="A20517" t="inlineStr">
        <is>
          <t>0844061013193</t>
        </is>
      </c>
      <c r="B20517" t="inlineStr">
        <is>
          <t>Perry Ellis Bold Red for Men 3.4oz EDT Spray</t>
        </is>
      </c>
      <c r="C20517" t="inlineStr">
        <is>
          <t>Eau De Toilette</t>
        </is>
      </c>
      <c r="D20517" t="inlineStr">
        <is>
          <t>Perry Ellis</t>
        </is>
      </c>
      <c r="E20517" t="n">
        <v>24.26</v>
      </c>
      <c r="F20517" t="n">
        <v>1</v>
      </c>
      <c r="G20517" t="n">
        <v>19</v>
      </c>
      <c r="H20517" s="5">
        <f>HYPERLINK("https://api.qogita.com/variants/link/0844061013193/", "View Product")</f>
        <v/>
      </c>
    </row>
    <row r="20518">
      <c r="A20518" t="inlineStr">
        <is>
          <t>0844061013872</t>
        </is>
      </c>
      <c r="B20518" t="inlineStr">
        <is>
          <t>Perry Ellis Very Pink for Women 3.4oz EDP Spray</t>
        </is>
      </c>
      <c r="C20518" t="inlineStr">
        <is>
          <t>Eau De Parfum</t>
        </is>
      </c>
      <c r="D20518" t="inlineStr">
        <is>
          <t>Perry Ellis</t>
        </is>
      </c>
      <c r="E20518" t="n">
        <v>25.73</v>
      </c>
      <c r="F20518" t="n">
        <v>1</v>
      </c>
      <c r="G20518" t="n">
        <v>4</v>
      </c>
      <c r="H20518" s="5">
        <f>HYPERLINK("https://api.qogita.com/variants/link/0844061013872/", "View Product")</f>
        <v/>
      </c>
    </row>
    <row r="20519">
      <c r="A20519" t="inlineStr">
        <is>
          <t>0844061015647</t>
        </is>
      </c>
      <c r="B20519" t="inlineStr">
        <is>
          <t>Perry Ellis 360 Very Blue for Men 6.8 oz EDT Spray</t>
        </is>
      </c>
      <c r="C20519" t="inlineStr">
        <is>
          <t>Eau De Toilette</t>
        </is>
      </c>
      <c r="D20519" t="inlineStr">
        <is>
          <t>Perry Ellis</t>
        </is>
      </c>
      <c r="E20519" t="n">
        <v>27.11</v>
      </c>
      <c r="F20519" t="n">
        <v>1</v>
      </c>
      <c r="G20519" t="n">
        <v>2</v>
      </c>
      <c r="H20519" s="5">
        <f>HYPERLINK("https://api.qogita.com/variants/link/0844061015647/", "View Product")</f>
        <v/>
      </c>
    </row>
    <row r="20520">
      <c r="A20520" t="inlineStr">
        <is>
          <t>0850001265454</t>
        </is>
      </c>
      <c r="B20520" t="inlineStr">
        <is>
          <t>Mielle Babassu Mint Deep Conditioner 227g 8oz</t>
        </is>
      </c>
      <c r="C20520" t="inlineStr">
        <is>
          <t>Conditioner</t>
        </is>
      </c>
      <c r="D20520" t="inlineStr">
        <is>
          <t>Mielle</t>
        </is>
      </c>
      <c r="E20520" t="n">
        <v>18.67</v>
      </c>
      <c r="F20520" t="n">
        <v>1</v>
      </c>
      <c r="G20520" t="n">
        <v>4</v>
      </c>
      <c r="H20520" s="5">
        <f>HYPERLINK("https://api.qogita.com/variants/link/0850001265454/", "View Product")</f>
        <v/>
      </c>
    </row>
    <row r="20521">
      <c r="A20521" t="inlineStr">
        <is>
          <t>0850001265492</t>
        </is>
      </c>
      <c r="B20521" t="inlineStr">
        <is>
          <t>Mielle Rosemary Mint Scalp &amp; Hair Strength Shampoo 355ml 12oz</t>
        </is>
      </c>
      <c r="C20521" t="inlineStr">
        <is>
          <t>Shampoo</t>
        </is>
      </c>
      <c r="D20521" t="inlineStr">
        <is>
          <t>Mielle</t>
        </is>
      </c>
      <c r="E20521" t="n">
        <v>13.41</v>
      </c>
      <c r="F20521" t="n">
        <v>1</v>
      </c>
      <c r="G20521" t="n">
        <v>6</v>
      </c>
      <c r="H20521" s="5">
        <f>HYPERLINK("https://api.qogita.com/variants/link/0850001265492/", "View Product")</f>
        <v/>
      </c>
    </row>
    <row r="20522">
      <c r="A20522" t="inlineStr">
        <is>
          <t>0850001265515</t>
        </is>
      </c>
      <c r="B20522" t="inlineStr">
        <is>
          <t>Mielle Organics Pomegranate &amp; Honey Leave-In Conditioner for Type 4 Hair 12 Ounces</t>
        </is>
      </c>
      <c r="C20522" t="inlineStr">
        <is>
          <t>Leave-In Conditioner</t>
        </is>
      </c>
      <c r="D20522" t="inlineStr">
        <is>
          <t>Mielle Organics</t>
        </is>
      </c>
      <c r="E20522" t="n">
        <v>17.04</v>
      </c>
      <c r="F20522" t="n">
        <v>1</v>
      </c>
      <c r="G20522" t="n">
        <v>2</v>
      </c>
      <c r="H20522" s="5">
        <f>HYPERLINK("https://api.qogita.com/variants/link/0850001265515/", "View Product")</f>
        <v/>
      </c>
    </row>
    <row r="20523">
      <c r="A20523" t="inlineStr">
        <is>
          <t>0850001265782</t>
        </is>
      </c>
      <c r="B20523" t="inlineStr">
        <is>
          <t>Mielle White Peony Leave-In Conditioner 240ml 8oz</t>
        </is>
      </c>
      <c r="C20523" t="inlineStr">
        <is>
          <t>Leave-In Conditioner</t>
        </is>
      </c>
      <c r="D20523" t="inlineStr">
        <is>
          <t>Mielle</t>
        </is>
      </c>
      <c r="E20523" t="n">
        <v>13.1</v>
      </c>
      <c r="F20523" t="n">
        <v>1</v>
      </c>
      <c r="G20523" t="n">
        <v>5</v>
      </c>
      <c r="H20523" s="5">
        <f>HYPERLINK("https://api.qogita.com/variants/link/0850001265782/", "View Product")</f>
        <v/>
      </c>
    </row>
    <row r="20524">
      <c r="A20524" t="inlineStr">
        <is>
          <t>0850006575794</t>
        </is>
      </c>
      <c r="B20524" t="inlineStr">
        <is>
          <t>Innersense Organic Beauty Natural Bright Balance Purple Toning Conditioner</t>
        </is>
      </c>
      <c r="C20524" t="inlineStr">
        <is>
          <t>Conditioner</t>
        </is>
      </c>
      <c r="D20524" t="inlineStr">
        <is>
          <t>Innersense Organic Beauty</t>
        </is>
      </c>
      <c r="E20524" t="n">
        <v>31.16</v>
      </c>
      <c r="F20524" t="n">
        <v>1</v>
      </c>
      <c r="G20524" t="n">
        <v>2</v>
      </c>
      <c r="H20524" s="5">
        <f>HYPERLINK("https://api.qogita.com/variants/link/0850006575794/", "View Product")</f>
        <v/>
      </c>
    </row>
    <row r="20525">
      <c r="A20525" t="inlineStr">
        <is>
          <t>0850011432068</t>
        </is>
      </c>
      <c r="B20525" t="inlineStr">
        <is>
          <t>Bellevue Brands Elvis Presley Forever Eau De Parfum Spray 100ml</t>
        </is>
      </c>
      <c r="C20525" t="inlineStr">
        <is>
          <t>Eau De Parfum</t>
        </is>
      </c>
      <c r="D20525" t="inlineStr">
        <is>
          <t>Elvis Presley</t>
        </is>
      </c>
      <c r="E20525" t="n">
        <v>28.96</v>
      </c>
      <c r="F20525" t="n">
        <v>1</v>
      </c>
      <c r="G20525" t="n">
        <v>9</v>
      </c>
      <c r="H20525" s="5">
        <f>HYPERLINK("https://api.qogita.com/variants/link/0850011432068/", "View Product")</f>
        <v/>
      </c>
    </row>
    <row r="20526">
      <c r="A20526" t="inlineStr">
        <is>
          <t>0850013332915</t>
        </is>
      </c>
      <c r="B20526" t="inlineStr">
        <is>
          <t>Reuzel Rr Skincare Clear Bag - Gift Set For Skin Care For Men</t>
        </is>
      </c>
      <c r="C20526" t="inlineStr">
        <is>
          <t>Travel Sets</t>
        </is>
      </c>
      <c r="D20526" t="inlineStr">
        <is>
          <t>Reuzel</t>
        </is>
      </c>
      <c r="E20526" t="n">
        <v>14.39</v>
      </c>
      <c r="F20526" t="n">
        <v>1</v>
      </c>
      <c r="G20526" t="n">
        <v>5</v>
      </c>
      <c r="H20526" s="5">
        <f>HYPERLINK("https://api.qogita.com/variants/link/0850013332915/", "View Product")</f>
        <v/>
      </c>
    </row>
    <row r="20527">
      <c r="A20527" t="inlineStr">
        <is>
          <t>0850018802598</t>
        </is>
      </c>
      <c r="B20527" t="inlineStr">
        <is>
          <t>Olaplex No. 4 Bond Maintenance Shampoo Repairs Strengthens Nourishes All</t>
        </is>
      </c>
      <c r="C20527" t="inlineStr">
        <is>
          <t>Shampoo</t>
        </is>
      </c>
      <c r="D20527" t="inlineStr">
        <is>
          <t>Olaplex</t>
        </is>
      </c>
      <c r="E20527" t="n">
        <v>16.23</v>
      </c>
      <c r="F20527" t="n">
        <v>1</v>
      </c>
      <c r="G20527" t="n">
        <v>826</v>
      </c>
      <c r="H20527" s="5">
        <f>HYPERLINK("https://api.qogita.com/variants/link/0850018802598/", "View Product")</f>
        <v/>
      </c>
    </row>
    <row r="20528">
      <c r="A20528" t="inlineStr">
        <is>
          <t>0850018802796</t>
        </is>
      </c>
      <c r="B20528" t="inlineStr">
        <is>
          <t>OLAPLEX Bond Smoother Leave-In Reparative Styling Cream No.6</t>
        </is>
      </c>
      <c r="C20528" t="inlineStr">
        <is>
          <t>Leave-In Conditioner</t>
        </is>
      </c>
      <c r="D20528" t="inlineStr">
        <is>
          <t>Olaplex</t>
        </is>
      </c>
      <c r="E20528" t="n">
        <v>16.82</v>
      </c>
      <c r="F20528" t="n">
        <v>1</v>
      </c>
      <c r="G20528" t="n">
        <v>2047</v>
      </c>
      <c r="H20528" s="5">
        <f>HYPERLINK("https://api.qogita.com/variants/link/0850018802796/", "View Product")</f>
        <v/>
      </c>
    </row>
    <row r="20529">
      <c r="A20529" t="inlineStr">
        <is>
          <t>0850018802871</t>
        </is>
      </c>
      <c r="B20529" t="inlineStr">
        <is>
          <t>Moisturizing Mask Olaplex 4-IN-1 370ml</t>
        </is>
      </c>
      <c r="C20529" t="inlineStr">
        <is>
          <t>Hair Masks</t>
        </is>
      </c>
      <c r="D20529" t="inlineStr">
        <is>
          <t>Olaplex</t>
        </is>
      </c>
      <c r="E20529" t="n">
        <v>42.55</v>
      </c>
      <c r="F20529" t="n">
        <v>1</v>
      </c>
      <c r="G20529" t="n">
        <v>33</v>
      </c>
      <c r="H20529" s="5">
        <f>HYPERLINK("https://api.qogita.com/variants/link/0850018802871/", "View Product")</f>
        <v/>
      </c>
    </row>
    <row r="20530">
      <c r="A20530" t="inlineStr">
        <is>
          <t>0850031020795</t>
        </is>
      </c>
      <c r="B20530" t="inlineStr">
        <is>
          <t>Reuzel VIVID Instant Color Boost Gel 100ml</t>
        </is>
      </c>
      <c r="C20530" t="inlineStr">
        <is>
          <t>Gel</t>
        </is>
      </c>
      <c r="D20530" t="inlineStr">
        <is>
          <t>Reuzel</t>
        </is>
      </c>
      <c r="E20530" t="n">
        <v>6.94</v>
      </c>
      <c r="F20530" t="n">
        <v>1</v>
      </c>
      <c r="G20530" t="n">
        <v>7</v>
      </c>
      <c r="H20530" s="5">
        <f>HYPERLINK("https://api.qogita.com/variants/link/0850031020795/", "View Product")</f>
        <v/>
      </c>
    </row>
    <row r="20531">
      <c r="A20531" t="inlineStr">
        <is>
          <t>0850034671154</t>
        </is>
      </c>
      <c r="B20531" t="inlineStr">
        <is>
          <t>Mind Games Castling Luxury Perfume with Notes of Fig Leaves, Iris, Vanilla</t>
        </is>
      </c>
      <c r="C20531" t="inlineStr">
        <is>
          <t>Extrait De Parfum</t>
        </is>
      </c>
      <c r="D20531" t="inlineStr">
        <is>
          <t>Mind Games</t>
        </is>
      </c>
      <c r="E20531" t="n">
        <v>183.1</v>
      </c>
      <c r="F20531" t="n">
        <v>1</v>
      </c>
      <c r="G20531" t="n">
        <v>2</v>
      </c>
      <c r="H20531" s="5">
        <f>HYPERLINK("https://api.qogita.com/variants/link/0850034671154/", "View Product")</f>
        <v/>
      </c>
    </row>
    <row r="20532">
      <c r="A20532" t="inlineStr">
        <is>
          <t>0850045076061</t>
        </is>
      </c>
      <c r="B20532" t="inlineStr">
        <is>
          <t>Olaplex Blond Enhancer Toning Shampoo No. 4P 1000ml</t>
        </is>
      </c>
      <c r="C20532" t="inlineStr">
        <is>
          <t>Shampoo</t>
        </is>
      </c>
      <c r="D20532" t="inlineStr">
        <is>
          <t>Olaplex</t>
        </is>
      </c>
      <c r="E20532" t="n">
        <v>44.47</v>
      </c>
      <c r="F20532" t="n">
        <v>1</v>
      </c>
      <c r="G20532" t="n">
        <v>42</v>
      </c>
      <c r="H20532" s="5">
        <f>HYPERLINK("https://api.qogita.com/variants/link/0850045076061/", "View Product")</f>
        <v/>
      </c>
    </row>
    <row r="20533">
      <c r="A20533" t="inlineStr">
        <is>
          <t>0850045076313</t>
        </is>
      </c>
      <c r="B20533" t="inlineStr">
        <is>
          <t>Olaplex Blonde Enhancer Toning Conditioner No. 5P 1000ml</t>
        </is>
      </c>
      <c r="C20533" t="inlineStr">
        <is>
          <t>Conditioner</t>
        </is>
      </c>
      <c r="D20533" t="inlineStr">
        <is>
          <t>Olaplex</t>
        </is>
      </c>
      <c r="E20533" t="n">
        <v>45.22</v>
      </c>
      <c r="F20533" t="n">
        <v>1</v>
      </c>
      <c r="G20533" t="n">
        <v>116</v>
      </c>
      <c r="H20533" s="5">
        <f>HYPERLINK("https://api.qogita.com/variants/link/0850045076313/", "View Product")</f>
        <v/>
      </c>
    </row>
    <row r="20534">
      <c r="A20534" t="inlineStr">
        <is>
          <t>0850047821997</t>
        </is>
      </c>
      <c r="B20534" t="inlineStr">
        <is>
          <t>Reuzel Pink Heavy Hold Grease Pomade 95gr</t>
        </is>
      </c>
      <c r="C20534" t="inlineStr">
        <is>
          <t>Wax</t>
        </is>
      </c>
      <c r="D20534" t="inlineStr">
        <is>
          <t>Reuzel</t>
        </is>
      </c>
      <c r="E20534" t="n">
        <v>13.93</v>
      </c>
      <c r="F20534" t="n">
        <v>1</v>
      </c>
      <c r="G20534" t="n">
        <v>3</v>
      </c>
      <c r="H20534" s="5">
        <f>HYPERLINK("https://api.qogita.com/variants/link/0850047821997/", "View Product")</f>
        <v/>
      </c>
    </row>
    <row r="20535">
      <c r="A20535" t="inlineStr">
        <is>
          <t>0850049716222</t>
        </is>
      </c>
      <c r="B20535" t="inlineStr">
        <is>
          <t>Michael Kors Pour Homme Shower Gel 200ml</t>
        </is>
      </c>
      <c r="C20535" t="inlineStr">
        <is>
          <t>Shower Gel</t>
        </is>
      </c>
      <c r="D20535" t="inlineStr">
        <is>
          <t>Michael Kors</t>
        </is>
      </c>
      <c r="E20535" t="n">
        <v>15.64</v>
      </c>
      <c r="F20535" t="n">
        <v>1</v>
      </c>
      <c r="G20535" t="n">
        <v>5</v>
      </c>
      <c r="H20535" s="5">
        <f>HYPERLINK("https://api.qogita.com/variants/link/0850049716222/", "View Product")</f>
        <v/>
      </c>
    </row>
    <row r="20536">
      <c r="A20536" t="inlineStr">
        <is>
          <t>0850049716314</t>
        </is>
      </c>
      <c r="B20536" t="inlineStr">
        <is>
          <t>Michael Kors Pour Femme Eau de Parfum 50ml</t>
        </is>
      </c>
      <c r="C20536" t="inlineStr">
        <is>
          <t>Eau De Parfum</t>
        </is>
      </c>
      <c r="D20536" t="inlineStr">
        <is>
          <t>Michael Kors</t>
        </is>
      </c>
      <c r="E20536" t="n">
        <v>40.37</v>
      </c>
      <c r="F20536" t="n">
        <v>1</v>
      </c>
      <c r="G20536" t="n">
        <v>73</v>
      </c>
      <c r="H20536" s="5">
        <f>HYPERLINK("https://api.qogita.com/variants/link/0850049716314/", "View Product")</f>
        <v/>
      </c>
    </row>
    <row r="20537">
      <c r="A20537" t="inlineStr">
        <is>
          <t>0850056933575</t>
        </is>
      </c>
      <c r="B20537" t="inlineStr">
        <is>
          <t>No.4 Bond Maintenance Shampoo Ultra-Light Clinically Proven for Fine Hair</t>
        </is>
      </c>
      <c r="C20537" t="inlineStr">
        <is>
          <t>Shampoo</t>
        </is>
      </c>
      <c r="D20537" t="inlineStr">
        <is>
          <t>Olaplex</t>
        </is>
      </c>
      <c r="E20537" t="n">
        <v>16.46</v>
      </c>
      <c r="F20537" t="n">
        <v>1</v>
      </c>
      <c r="G20537" t="n">
        <v>62</v>
      </c>
      <c r="H20537" s="5">
        <f>HYPERLINK("https://api.qogita.com/variants/link/0850056933575/", "View Product")</f>
        <v/>
      </c>
    </row>
    <row r="20538">
      <c r="A20538" t="inlineStr">
        <is>
          <t>0850056933612</t>
        </is>
      </c>
      <c r="B20538" t="inlineStr">
        <is>
          <t>No.5fine Bond Maintenance Conditioner Weightless Clinically Proven for Fine Hair</t>
        </is>
      </c>
      <c r="C20538" t="inlineStr">
        <is>
          <t>Conditioner</t>
        </is>
      </c>
      <c r="D20538" t="inlineStr">
        <is>
          <t>Olaplex</t>
        </is>
      </c>
      <c r="E20538" t="n">
        <v>16.23</v>
      </c>
      <c r="F20538" t="n">
        <v>1</v>
      </c>
      <c r="G20538" t="n">
        <v>41</v>
      </c>
      <c r="H20538" s="5">
        <f>HYPERLINK("https://api.qogita.com/variants/link/0850056933612/", "View Product")</f>
        <v/>
      </c>
    </row>
    <row r="20539">
      <c r="A20539" t="inlineStr">
        <is>
          <t>0851604006697</t>
        </is>
      </c>
      <c r="B20539" t="inlineStr">
        <is>
          <t>Sol de Janeiro Visibly Brightening and Smoothing Bom Dia AHA Body Cream 240mL/8.1 fl oz.</t>
        </is>
      </c>
      <c r="C20539" t="inlineStr">
        <is>
          <t>Body Lotion</t>
        </is>
      </c>
      <c r="D20539" t="inlineStr">
        <is>
          <t>Sol De Janeiro</t>
        </is>
      </c>
      <c r="E20539" t="n">
        <v>41.8</v>
      </c>
      <c r="F20539" t="n">
        <v>1</v>
      </c>
      <c r="G20539" t="n">
        <v>41</v>
      </c>
      <c r="H20539" s="5">
        <f>HYPERLINK("https://api.qogita.com/variants/link/0851604006697/", "View Product")</f>
        <v/>
      </c>
    </row>
    <row r="20540">
      <c r="A20540" t="inlineStr">
        <is>
          <t>0852578006102</t>
        </is>
      </c>
      <c r="B20540" t="inlineStr">
        <is>
          <t>Reuzel Scrub Shampoo Deeply Cleanses 350ml</t>
        </is>
      </c>
      <c r="C20540" t="inlineStr">
        <is>
          <t>Shampoo</t>
        </is>
      </c>
      <c r="D20540" t="inlineStr">
        <is>
          <t>Reuzel</t>
        </is>
      </c>
      <c r="E20540" t="n">
        <v>9.49</v>
      </c>
      <c r="F20540" t="n">
        <v>1</v>
      </c>
      <c r="G20540" t="n">
        <v>7</v>
      </c>
      <c r="H20540" s="5">
        <f>HYPERLINK("https://api.qogita.com/variants/link/0852578006102/", "View Product")</f>
        <v/>
      </c>
    </row>
    <row r="20541">
      <c r="A20541" t="inlineStr">
        <is>
          <t>0852578006133</t>
        </is>
      </c>
      <c r="B20541" t="inlineStr">
        <is>
          <t>Reuzel Daily Conditioner Ideal for All Hair Types 350ml</t>
        </is>
      </c>
      <c r="C20541" t="inlineStr">
        <is>
          <t>Conditioner</t>
        </is>
      </c>
      <c r="D20541" t="inlineStr">
        <is>
          <t>Reuzel</t>
        </is>
      </c>
      <c r="E20541" t="n">
        <v>7.28</v>
      </c>
      <c r="F20541" t="n">
        <v>1</v>
      </c>
      <c r="G20541" t="n">
        <v>15</v>
      </c>
      <c r="H20541" s="5">
        <f>HYPERLINK("https://api.qogita.com/variants/link/0852578006133/", "View Product")</f>
        <v/>
      </c>
    </row>
    <row r="20542">
      <c r="A20542" t="inlineStr">
        <is>
          <t>0852578006973</t>
        </is>
      </c>
      <c r="B20542" t="inlineStr">
        <is>
          <t>Reuzel Grooming Tonic 100ml</t>
        </is>
      </c>
      <c r="C20542" t="inlineStr">
        <is>
          <t>Hair Tonic</t>
        </is>
      </c>
      <c r="D20542" t="inlineStr">
        <is>
          <t>Reuzel</t>
        </is>
      </c>
      <c r="E20542" t="n">
        <v>5.19</v>
      </c>
      <c r="F20542" t="n">
        <v>1</v>
      </c>
      <c r="G20542" t="n">
        <v>10</v>
      </c>
      <c r="H20542" s="5">
        <f>HYPERLINK("https://api.qogita.com/variants/link/0852578006973/", "View Product")</f>
        <v/>
      </c>
    </row>
    <row r="20543">
      <c r="A20543" t="inlineStr">
        <is>
          <t>0852968008907</t>
        </is>
      </c>
      <c r="B20543" t="inlineStr">
        <is>
          <t>Reuzel Hair Tonic Oil Free Formula Nostalgic Barbershop Fragrance Restores Healthy Natural Looking Shine 500ml</t>
        </is>
      </c>
      <c r="C20543" t="inlineStr">
        <is>
          <t>Hair Tonic</t>
        </is>
      </c>
      <c r="D20543" t="inlineStr">
        <is>
          <t>Reuzel</t>
        </is>
      </c>
      <c r="E20543" t="n">
        <v>10.23</v>
      </c>
      <c r="F20543" t="n">
        <v>1</v>
      </c>
      <c r="G20543" t="n">
        <v>21</v>
      </c>
      <c r="H20543" s="5">
        <f>HYPERLINK("https://api.qogita.com/variants/link/0852968008907/", "View Product")</f>
        <v/>
      </c>
    </row>
    <row r="20544">
      <c r="A20544" t="inlineStr">
        <is>
          <t>0852968008976</t>
        </is>
      </c>
      <c r="B20544" t="inlineStr">
        <is>
          <t>Reuzel 3-In-1 Tea Tree Shampoo 350ml</t>
        </is>
      </c>
      <c r="C20544" t="inlineStr">
        <is>
          <t>Shampoo</t>
        </is>
      </c>
      <c r="D20544" t="inlineStr">
        <is>
          <t>Reuzel</t>
        </is>
      </c>
      <c r="E20544" t="n">
        <v>7.4</v>
      </c>
      <c r="F20544" t="n">
        <v>1</v>
      </c>
      <c r="G20544" t="n">
        <v>8</v>
      </c>
      <c r="H20544" s="5">
        <f>HYPERLINK("https://api.qogita.com/variants/link/0852968008976/", "View Product")</f>
        <v/>
      </c>
    </row>
    <row r="20545">
      <c r="A20545" t="inlineStr">
        <is>
          <t>0855717008609</t>
        </is>
      </c>
      <c r="B20545" t="inlineStr">
        <is>
          <t>Chummi Lip Mask Skincare for Your Lips Luxurious Overnight Treatment</t>
        </is>
      </c>
      <c r="C20545" t="inlineStr">
        <is>
          <t>Lip Mask</t>
        </is>
      </c>
      <c r="D20545" t="inlineStr">
        <is>
          <t>Pestle &amp; Mortar</t>
        </is>
      </c>
      <c r="E20545" t="n">
        <v>16.37</v>
      </c>
      <c r="F20545" t="n">
        <v>1</v>
      </c>
      <c r="G20545" t="n">
        <v>2</v>
      </c>
      <c r="H20545" s="5">
        <f>HYPERLINK("https://api.qogita.com/variants/link/0855717008609/", "View Product")</f>
        <v/>
      </c>
    </row>
    <row r="20546">
      <c r="A20546" t="inlineStr">
        <is>
          <t>0855717008623</t>
        </is>
      </c>
      <c r="B20546" t="inlineStr">
        <is>
          <t>Pestle &amp; Mortar Chummi Coconut The Lip Mask</t>
        </is>
      </c>
      <c r="C20546" t="inlineStr">
        <is>
          <t>Lip Mask</t>
        </is>
      </c>
      <c r="D20546" t="inlineStr">
        <is>
          <t>Pestle &amp; Mortar</t>
        </is>
      </c>
      <c r="E20546" t="n">
        <v>16.37</v>
      </c>
      <c r="F20546" t="n">
        <v>1</v>
      </c>
      <c r="G20546" t="n">
        <v>2</v>
      </c>
      <c r="H20546" s="5">
        <f>HYPERLINK("https://api.qogita.com/variants/link/0855717008623/", "View Product")</f>
        <v/>
      </c>
    </row>
    <row r="20547">
      <c r="A20547" t="inlineStr">
        <is>
          <t>0855717008647</t>
        </is>
      </c>
      <c r="B20547" t="inlineStr">
        <is>
          <t>Pestle &amp; Mortar Chummi Vanilla Overnight Lip Mask - 20 G</t>
        </is>
      </c>
      <c r="C20547" t="inlineStr">
        <is>
          <t>Lip Mask</t>
        </is>
      </c>
      <c r="D20547" t="inlineStr">
        <is>
          <t>Pestle &amp; Mortar</t>
        </is>
      </c>
      <c r="E20547" t="n">
        <v>16.37</v>
      </c>
      <c r="F20547" t="n">
        <v>1</v>
      </c>
      <c r="G20547" t="n">
        <v>4</v>
      </c>
      <c r="H20547" s="5">
        <f>HYPERLINK("https://api.qogita.com/variants/link/0855717008647/", "View Product")</f>
        <v/>
      </c>
    </row>
    <row r="20548">
      <c r="A20548" t="inlineStr">
        <is>
          <t>0855732012322</t>
        </is>
      </c>
      <c r="B20548" t="inlineStr">
        <is>
          <t>MiN New York Old School Bench Eau de Parfum Spray Unisex 75ml - New/Original Packaging</t>
        </is>
      </c>
      <c r="C20548" t="inlineStr">
        <is>
          <t>Eau De Parfum</t>
        </is>
      </c>
      <c r="D20548" t="inlineStr">
        <is>
          <t>Min New York</t>
        </is>
      </c>
      <c r="E20548" t="n">
        <v>85.5</v>
      </c>
      <c r="F20548" t="n">
        <v>1</v>
      </c>
      <c r="G20548" t="n">
        <v>3</v>
      </c>
      <c r="H20548" s="5">
        <f>HYPERLINK("https://api.qogita.com/variants/link/0855732012322/", "View Product")</f>
        <v/>
      </c>
    </row>
    <row r="20549">
      <c r="A20549" t="inlineStr">
        <is>
          <t>0856515004015</t>
        </is>
      </c>
      <c r="B20549" t="inlineStr">
        <is>
          <t>Alterna Caviar Anti-Aging Working Hairspray 500ml</t>
        </is>
      </c>
      <c r="C20549" t="inlineStr">
        <is>
          <t>Hairspray</t>
        </is>
      </c>
      <c r="D20549" t="inlineStr">
        <is>
          <t>Alterna</t>
        </is>
      </c>
      <c r="E20549" t="n">
        <v>19.17</v>
      </c>
      <c r="F20549" t="n">
        <v>1</v>
      </c>
      <c r="G20549" t="n">
        <v>23</v>
      </c>
      <c r="H20549" s="5">
        <f>HYPERLINK("https://api.qogita.com/variants/link/0856515004015/", "View Product")</f>
        <v/>
      </c>
    </row>
    <row r="20550">
      <c r="A20550" t="inlineStr">
        <is>
          <t>0856515004213</t>
        </is>
      </c>
      <c r="B20550" t="inlineStr">
        <is>
          <t>Hummer Chrome Cologne 100g</t>
        </is>
      </c>
      <c r="C20550" t="inlineStr">
        <is>
          <t>Eau De Cologne</t>
        </is>
      </c>
      <c r="D20550" t="inlineStr">
        <is>
          <t>Hummer</t>
        </is>
      </c>
      <c r="E20550" t="n">
        <v>14.44</v>
      </c>
      <c r="F20550" t="n">
        <v>1</v>
      </c>
      <c r="G20550" t="n">
        <v>4</v>
      </c>
      <c r="H20550" s="5">
        <f>HYPERLINK("https://api.qogita.com/variants/link/0856515004213/", "View Product")</f>
        <v/>
      </c>
    </row>
    <row r="20551">
      <c r="A20551" t="inlineStr">
        <is>
          <t>0857154002356</t>
        </is>
      </c>
      <c r="B20551" t="inlineStr">
        <is>
          <t>Layrite Deluxe Cement Hair Clay 1.5 Ounce</t>
        </is>
      </c>
      <c r="C20551" t="inlineStr">
        <is>
          <t>Wax</t>
        </is>
      </c>
      <c r="D20551" t="inlineStr">
        <is>
          <t>Layrite</t>
        </is>
      </c>
      <c r="E20551" t="n">
        <v>7.54</v>
      </c>
      <c r="F20551" t="n">
        <v>1</v>
      </c>
      <c r="G20551" t="n">
        <v>2</v>
      </c>
      <c r="H20551" s="5">
        <f>HYPERLINK("https://api.qogita.com/variants/link/0857154002356/", "View Product")</f>
        <v/>
      </c>
    </row>
    <row r="20552">
      <c r="A20552" t="inlineStr">
        <is>
          <t>0857154002448</t>
        </is>
      </c>
      <c r="B20552" t="inlineStr">
        <is>
          <t>Layrite Daily Shampoo 300ml</t>
        </is>
      </c>
      <c r="C20552" t="inlineStr">
        <is>
          <t>Shampoo</t>
        </is>
      </c>
      <c r="D20552" t="inlineStr">
        <is>
          <t>Layrite</t>
        </is>
      </c>
      <c r="E20552" t="n">
        <v>15.72</v>
      </c>
      <c r="F20552" t="n">
        <v>1</v>
      </c>
      <c r="G20552" t="n">
        <v>2</v>
      </c>
      <c r="H20552" s="5">
        <f>HYPERLINK("https://api.qogita.com/variants/link/0857154002448/", "View Product")</f>
        <v/>
      </c>
    </row>
    <row r="20553">
      <c r="A20553" t="inlineStr">
        <is>
          <t>0858511001135</t>
        </is>
      </c>
      <c r="B20553" t="inlineStr">
        <is>
          <t>K18 Pro Repair Mask 150ml</t>
        </is>
      </c>
      <c r="C20553" t="inlineStr">
        <is>
          <t>Hair Masks</t>
        </is>
      </c>
      <c r="D20553" t="inlineStr">
        <is>
          <t>K18</t>
        </is>
      </c>
      <c r="E20553" t="n">
        <v>61.21</v>
      </c>
      <c r="F20553" t="n">
        <v>1</v>
      </c>
      <c r="G20553" t="n">
        <v>162</v>
      </c>
      <c r="H20553" s="5">
        <f>HYPERLINK("https://api.qogita.com/variants/link/0858511001135/", "View Product")</f>
        <v/>
      </c>
    </row>
    <row r="20554">
      <c r="A20554" t="inlineStr">
        <is>
          <t>0858511001197</t>
        </is>
      </c>
      <c r="B20554" t="inlineStr">
        <is>
          <t>K18 Biomimetic Hairscience Peptide Prep Detox Hair Shampoo 930ml pH 3.8-4.2 - Color Protecting and Moisturizing Formula</t>
        </is>
      </c>
      <c r="C20554" t="inlineStr">
        <is>
          <t>Shampoo</t>
        </is>
      </c>
      <c r="D20554" t="inlineStr">
        <is>
          <t>K18</t>
        </is>
      </c>
      <c r="E20554" t="n">
        <v>90.98</v>
      </c>
      <c r="F20554" t="n">
        <v>1</v>
      </c>
      <c r="G20554" t="n">
        <v>3</v>
      </c>
      <c r="H20554" s="5">
        <f>HYPERLINK("https://api.qogita.com/variants/link/0858511001197/", "View Product")</f>
        <v/>
      </c>
    </row>
    <row r="20555">
      <c r="A20555" t="inlineStr">
        <is>
          <t>0858511001456</t>
        </is>
      </c>
      <c r="B20555" t="inlineStr">
        <is>
          <t>K18 Peptide Prep Pro Chelating Hair Complex 300ml - Reset Hair for Optimal Chemical and Color Services - Revive Color Brilliance and Restore Smoothness and Bounce</t>
        </is>
      </c>
      <c r="C20555" t="inlineStr">
        <is>
          <t>Hair Masks</t>
        </is>
      </c>
      <c r="D20555" t="inlineStr">
        <is>
          <t>K18</t>
        </is>
      </c>
      <c r="E20555" t="n">
        <v>78.94</v>
      </c>
      <c r="F20555" t="n">
        <v>1</v>
      </c>
      <c r="G20555" t="n">
        <v>43</v>
      </c>
      <c r="H20555" s="5">
        <f>HYPERLINK("https://api.qogita.com/variants/link/0858511001456/", "View Product")</f>
        <v/>
      </c>
    </row>
    <row r="20556">
      <c r="A20556" t="inlineStr">
        <is>
          <t>0858511001463</t>
        </is>
      </c>
      <c r="B20556" t="inlineStr">
        <is>
          <t>K18 Pro Mist 300ml</t>
        </is>
      </c>
      <c r="C20556" t="inlineStr">
        <is>
          <t>Hair Care Sets</t>
        </is>
      </c>
      <c r="D20556" t="inlineStr">
        <is>
          <t>K18</t>
        </is>
      </c>
      <c r="E20556" t="n">
        <v>87.13</v>
      </c>
      <c r="F20556" t="n">
        <v>1</v>
      </c>
      <c r="G20556" t="n">
        <v>8</v>
      </c>
      <c r="H20556" s="5">
        <f>HYPERLINK("https://api.qogita.com/variants/link/0858511001463/", "View Product")</f>
        <v/>
      </c>
    </row>
    <row r="20557">
      <c r="A20557" t="inlineStr">
        <is>
          <t>0858544005162</t>
        </is>
      </c>
      <c r="B20557" t="inlineStr">
        <is>
          <t>Living Proof Perfect Hair Day 5-In-1 Styling Treatment, 60 Ml</t>
        </is>
      </c>
      <c r="C20557" t="inlineStr">
        <is>
          <t>Styling Creams</t>
        </is>
      </c>
      <c r="D20557" t="inlineStr">
        <is>
          <t>Living Proof</t>
        </is>
      </c>
      <c r="E20557" t="n">
        <v>16.23</v>
      </c>
      <c r="F20557" t="n">
        <v>1</v>
      </c>
      <c r="G20557" t="n">
        <v>4</v>
      </c>
      <c r="H20557" s="5">
        <f>HYPERLINK("https://api.qogita.com/variants/link/0858544005162/", "View Product")</f>
        <v/>
      </c>
    </row>
    <row r="20558">
      <c r="A20558" t="inlineStr">
        <is>
          <t>0858991004886</t>
        </is>
      </c>
      <c r="B20558" t="inlineStr">
        <is>
          <t>Weightless Volumizing Conditioner 60ml</t>
        </is>
      </c>
      <c r="C20558" t="inlineStr">
        <is>
          <t>Conditioner</t>
        </is>
      </c>
      <c r="D20558" t="inlineStr">
        <is>
          <t>Philip B</t>
        </is>
      </c>
      <c r="E20558" t="n">
        <v>8.699999999999999</v>
      </c>
      <c r="F20558" t="n">
        <v>1</v>
      </c>
      <c r="G20558" t="n">
        <v>16</v>
      </c>
      <c r="H20558" s="5">
        <f>HYPERLINK("https://api.qogita.com/variants/link/0858991004886/", "View Product")</f>
        <v/>
      </c>
    </row>
    <row r="20559">
      <c r="A20559" t="inlineStr">
        <is>
          <t>0860004550334</t>
        </is>
      </c>
      <c r="B20559" t="inlineStr">
        <is>
          <t>TRIBU Man EDP 3.3oz</t>
        </is>
      </c>
      <c r="C20559" t="inlineStr">
        <is>
          <t>Eau De Parfum</t>
        </is>
      </c>
      <c r="D20559" t="inlineStr">
        <is>
          <t>Tribu</t>
        </is>
      </c>
      <c r="E20559" t="n">
        <v>30.19</v>
      </c>
      <c r="F20559" t="n">
        <v>1</v>
      </c>
      <c r="G20559" t="n">
        <v>9</v>
      </c>
      <c r="H20559" s="5">
        <f>HYPERLINK("https://api.qogita.com/variants/link/0860004550334/", "View Product")</f>
        <v/>
      </c>
    </row>
    <row r="20560">
      <c r="A20560" t="inlineStr">
        <is>
          <t>0865613000119</t>
        </is>
      </c>
      <c r="B20560" t="inlineStr">
        <is>
          <t>Hair Thermal Protector</t>
        </is>
      </c>
      <c r="C20560" t="inlineStr">
        <is>
          <t>Heat Protection</t>
        </is>
      </c>
      <c r="D20560" t="inlineStr">
        <is>
          <t>Macadamia Professional</t>
        </is>
      </c>
      <c r="E20560" t="n">
        <v>11.77</v>
      </c>
      <c r="F20560" t="n">
        <v>1</v>
      </c>
      <c r="G20560" t="n">
        <v>5</v>
      </c>
      <c r="H20560" s="5">
        <f>HYPERLINK("https://api.qogita.com/variants/link/0865613000119/", "View Product")</f>
        <v/>
      </c>
    </row>
    <row r="20561">
      <c r="A20561" t="inlineStr">
        <is>
          <t>0870283005029</t>
        </is>
      </c>
      <c r="B20561" t="inlineStr">
        <is>
          <t>FCUK French Connection Connect Him Eau de Toilette Spray for Men 100ml</t>
        </is>
      </c>
      <c r="C20561" t="inlineStr">
        <is>
          <t>Eau De Toilette</t>
        </is>
      </c>
      <c r="D20561" t="inlineStr">
        <is>
          <t>Fcuk</t>
        </is>
      </c>
      <c r="E20561" t="n">
        <v>7.54</v>
      </c>
      <c r="F20561" t="n">
        <v>1</v>
      </c>
      <c r="G20561" t="n">
        <v>5</v>
      </c>
      <c r="H20561" s="5">
        <f>HYPERLINK("https://api.qogita.com/variants/link/0870283005029/", "View Product")</f>
        <v/>
      </c>
    </row>
    <row r="20562">
      <c r="A20562" t="inlineStr">
        <is>
          <t>0873509015147</t>
        </is>
      </c>
      <c r="B20562" t="inlineStr">
        <is>
          <t>Alterna Caviar Replenishing Moisture Conditioner 250ml</t>
        </is>
      </c>
      <c r="C20562" t="inlineStr">
        <is>
          <t>Conditioner</t>
        </is>
      </c>
      <c r="D20562" t="inlineStr">
        <is>
          <t>Alterna</t>
        </is>
      </c>
      <c r="E20562" t="n">
        <v>18.44</v>
      </c>
      <c r="F20562" t="n">
        <v>1</v>
      </c>
      <c r="G20562" t="n">
        <v>60</v>
      </c>
      <c r="H20562" s="5">
        <f>HYPERLINK("https://api.qogita.com/variants/link/0873509015147/", "View Product")</f>
        <v/>
      </c>
    </row>
    <row r="20563">
      <c r="A20563" t="inlineStr">
        <is>
          <t>0873509027225</t>
        </is>
      </c>
      <c r="B20563" t="inlineStr">
        <is>
          <t>Alterna Caviar Replenishing Moisture Leave-In Smoothing Gelee 3.4oz Gel</t>
        </is>
      </c>
      <c r="C20563" t="inlineStr">
        <is>
          <t>Gel</t>
        </is>
      </c>
      <c r="D20563" t="inlineStr">
        <is>
          <t>Alterna</t>
        </is>
      </c>
      <c r="E20563" t="n">
        <v>22.07</v>
      </c>
      <c r="F20563" t="n">
        <v>1</v>
      </c>
      <c r="G20563" t="n">
        <v>18</v>
      </c>
      <c r="H20563" s="5">
        <f>HYPERLINK("https://api.qogita.com/variants/link/0873509027225/", "View Product")</f>
        <v/>
      </c>
    </row>
    <row r="20564">
      <c r="A20564" t="inlineStr">
        <is>
          <t>0873509027485</t>
        </is>
      </c>
      <c r="B20564" t="inlineStr">
        <is>
          <t>Caviar Anti-Aging by Alterna Restructuring Bond Repair Leave-in Overnight Serum 100ml</t>
        </is>
      </c>
      <c r="C20564" t="inlineStr">
        <is>
          <t>Hair Oil &amp; Hair Serum</t>
        </is>
      </c>
      <c r="D20564" t="inlineStr">
        <is>
          <t>Alterna</t>
        </is>
      </c>
      <c r="E20564" t="n">
        <v>23.16</v>
      </c>
      <c r="F20564" t="n">
        <v>1</v>
      </c>
      <c r="G20564" t="n">
        <v>5</v>
      </c>
      <c r="H20564" s="5">
        <f>HYPERLINK("https://api.qogita.com/variants/link/0873509027485/", "View Product")</f>
        <v/>
      </c>
    </row>
    <row r="20565">
      <c r="A20565" t="inlineStr">
        <is>
          <t>0873509027829</t>
        </is>
      </c>
      <c r="B20565" t="inlineStr">
        <is>
          <t>Alterna Caviar Replenishing Moisture CC Cream</t>
        </is>
      </c>
      <c r="C20565" t="inlineStr">
        <is>
          <t>Leave-In Conditioner</t>
        </is>
      </c>
      <c r="D20565" t="inlineStr">
        <is>
          <t>Alterna</t>
        </is>
      </c>
      <c r="E20565" t="n">
        <v>17.21</v>
      </c>
      <c r="F20565" t="n">
        <v>1</v>
      </c>
      <c r="G20565" t="n">
        <v>61</v>
      </c>
      <c r="H20565" s="5">
        <f>HYPERLINK("https://api.qogita.com/variants/link/0873509027829/", "View Product")</f>
        <v/>
      </c>
    </row>
    <row r="20566">
      <c r="A20566" t="inlineStr">
        <is>
          <t>0873509028055</t>
        </is>
      </c>
      <c r="B20566" t="inlineStr">
        <is>
          <t>Alterna Caviar A-A Multiplying Volume Conditioner</t>
        </is>
      </c>
      <c r="C20566" t="inlineStr">
        <is>
          <t>Conditioner</t>
        </is>
      </c>
      <c r="D20566" t="inlineStr">
        <is>
          <t>Alterna</t>
        </is>
      </c>
      <c r="E20566" t="n">
        <v>41.63</v>
      </c>
      <c r="F20566" t="n">
        <v>1</v>
      </c>
      <c r="G20566" t="n">
        <v>38</v>
      </c>
      <c r="H20566" s="5">
        <f>HYPERLINK("https://api.qogita.com/variants/link/0873509028055/", "View Product")</f>
        <v/>
      </c>
    </row>
    <row r="20567">
      <c r="A20567" t="inlineStr">
        <is>
          <t>0873509030232</t>
        </is>
      </c>
      <c r="B20567" t="inlineStr">
        <is>
          <t>My Hair. My Canvas. Begin Again Vegan Curl Enhancing Conditioner for Curly, Wavy, and Coily Hair 6.8 Ounce</t>
        </is>
      </c>
      <c r="C20567" t="inlineStr">
        <is>
          <t>Conditioner</t>
        </is>
      </c>
      <c r="D20567" t="inlineStr">
        <is>
          <t>Alterna Haircare</t>
        </is>
      </c>
      <c r="E20567" t="n">
        <v>19.53</v>
      </c>
      <c r="F20567" t="n">
        <v>1</v>
      </c>
      <c r="G20567" t="n">
        <v>6</v>
      </c>
      <c r="H20567" s="5">
        <f>HYPERLINK("https://api.qogita.com/variants/link/0873509030232/", "View Product")</f>
        <v/>
      </c>
    </row>
    <row r="20568">
      <c r="A20568" t="inlineStr">
        <is>
          <t>0873509030829</t>
        </is>
      </c>
      <c r="B20568" t="inlineStr">
        <is>
          <t>Alterna My Hair My Canvas Meltaway Micellar Cleaner No Rinse 100.5ml Vegan Quick Dry Cream to Powder Cleaner Absorbs Oil and Sweat for Shower Clean Hair Peta Tested 100.5ml</t>
        </is>
      </c>
      <c r="C20568" t="inlineStr">
        <is>
          <t>Dry Shampoo</t>
        </is>
      </c>
      <c r="D20568" t="inlineStr">
        <is>
          <t>Alterna My Hair My Canvas</t>
        </is>
      </c>
      <c r="E20568" t="n">
        <v>15.39</v>
      </c>
      <c r="F20568" t="n">
        <v>1</v>
      </c>
      <c r="G20568" t="n">
        <v>5</v>
      </c>
      <c r="H20568" s="5">
        <f>HYPERLINK("https://api.qogita.com/variants/link/0873509030829/", "View Product")</f>
        <v/>
      </c>
    </row>
    <row r="20569">
      <c r="A20569" t="inlineStr">
        <is>
          <t>0873509031987</t>
        </is>
      </c>
      <c r="B20569" t="inlineStr">
        <is>
          <t>Alterna Haircare Caviar Anti-Aging Rapid Repair Spray 4.2 Fl Oz</t>
        </is>
      </c>
      <c r="C20569" t="inlineStr">
        <is>
          <t>Hair Oil &amp; Hair Serum</t>
        </is>
      </c>
      <c r="D20569" t="inlineStr">
        <is>
          <t>Alterna Haircare</t>
        </is>
      </c>
      <c r="E20569" t="n">
        <v>20.2</v>
      </c>
      <c r="F20569" t="n">
        <v>1</v>
      </c>
      <c r="G20569" t="n">
        <v>29</v>
      </c>
      <c r="H20569" s="5">
        <f>HYPERLINK("https://api.qogita.com/variants/link/0873509031987/", "View Product")</f>
        <v/>
      </c>
    </row>
    <row r="20570">
      <c r="A20570" t="inlineStr">
        <is>
          <t>0873824001016</t>
        </is>
      </c>
      <c r="B20570" t="inlineStr">
        <is>
          <t>John Varvatos Classic Eau de Toilette for Men 75ml</t>
        </is>
      </c>
      <c r="C20570" t="inlineStr">
        <is>
          <t>Eau De Toilette</t>
        </is>
      </c>
      <c r="D20570" t="inlineStr">
        <is>
          <t>John Varvatos</t>
        </is>
      </c>
      <c r="E20570" t="n">
        <v>29.8</v>
      </c>
      <c r="F20570" t="n">
        <v>1</v>
      </c>
      <c r="G20570" t="n">
        <v>31</v>
      </c>
      <c r="H20570" s="5">
        <f>HYPERLINK("https://api.qogita.com/variants/link/0873824001016/", "View Product")</f>
        <v/>
      </c>
    </row>
    <row r="20571">
      <c r="A20571" t="inlineStr">
        <is>
          <t>0873824001023</t>
        </is>
      </c>
      <c r="B20571" t="inlineStr">
        <is>
          <t>John Varvatos Eau de Toilette Spray 75ml</t>
        </is>
      </c>
      <c r="C20571" t="inlineStr">
        <is>
          <t>Eau De Toilette</t>
        </is>
      </c>
      <c r="D20571" t="inlineStr">
        <is>
          <t>John Varvatos</t>
        </is>
      </c>
      <c r="E20571" t="n">
        <v>24.49</v>
      </c>
      <c r="F20571" t="n">
        <v>1</v>
      </c>
      <c r="G20571" t="n">
        <v>28</v>
      </c>
      <c r="H20571" s="5">
        <f>HYPERLINK("https://api.qogita.com/variants/link/0873824001023/", "View Product")</f>
        <v/>
      </c>
    </row>
    <row r="20572">
      <c r="A20572" t="inlineStr">
        <is>
          <t>0873824001108</t>
        </is>
      </c>
      <c r="B20572" t="inlineStr">
        <is>
          <t>John Varvatos Vintage Eau de Toilette 125ml</t>
        </is>
      </c>
      <c r="C20572" t="inlineStr">
        <is>
          <t>Eau De Toilette</t>
        </is>
      </c>
      <c r="D20572" t="inlineStr">
        <is>
          <t>John Varvatos</t>
        </is>
      </c>
      <c r="E20572" t="n">
        <v>29.65</v>
      </c>
      <c r="F20572" t="n">
        <v>1</v>
      </c>
      <c r="G20572" t="n">
        <v>23</v>
      </c>
      <c r="H20572" s="5">
        <f>HYPERLINK("https://api.qogita.com/variants/link/0873824001108/", "View Product")</f>
        <v/>
      </c>
    </row>
    <row r="20573">
      <c r="A20573" t="inlineStr">
        <is>
          <t>0874034010546</t>
        </is>
      </c>
      <c r="B20573" t="inlineStr">
        <is>
          <t>Clean Compatible Cool Cotton Eau De Parfum 30ml</t>
        </is>
      </c>
      <c r="C20573" t="inlineStr">
        <is>
          <t>Eau De Parfum</t>
        </is>
      </c>
      <c r="D20573" t="inlineStr">
        <is>
          <t>Clean</t>
        </is>
      </c>
      <c r="E20573" t="n">
        <v>18.83</v>
      </c>
      <c r="F20573" t="n">
        <v>1</v>
      </c>
      <c r="G20573" t="n">
        <v>2</v>
      </c>
      <c r="H20573" s="5">
        <f>HYPERLINK("https://api.qogita.com/variants/link/0874034010546/", "View Product")</f>
        <v/>
      </c>
    </row>
    <row r="20574">
      <c r="A20574" t="inlineStr">
        <is>
          <t>0874034010553</t>
        </is>
      </c>
      <c r="B20574" t="inlineStr">
        <is>
          <t>Clean Classic Cool Cotton Eau de Parfum 60ml</t>
        </is>
      </c>
      <c r="C20574" t="inlineStr">
        <is>
          <t>Eau De Parfum</t>
        </is>
      </c>
      <c r="D20574" t="inlineStr">
        <is>
          <t>Clean</t>
        </is>
      </c>
      <c r="E20574" t="n">
        <v>32.62</v>
      </c>
      <c r="F20574" t="n">
        <v>1</v>
      </c>
      <c r="G20574" t="n">
        <v>6</v>
      </c>
      <c r="H20574" s="5">
        <f>HYPERLINK("https://api.qogita.com/variants/link/0874034010553/", "View Product")</f>
        <v/>
      </c>
    </row>
    <row r="20575">
      <c r="A20575" t="inlineStr">
        <is>
          <t>0874034011109</t>
        </is>
      </c>
      <c r="B20575" t="inlineStr">
        <is>
          <t>Clean Res Solar Bloom Eau de Parfum 100ml</t>
        </is>
      </c>
      <c r="C20575" t="inlineStr">
        <is>
          <t>Eau De Parfum</t>
        </is>
      </c>
      <c r="D20575" t="inlineStr">
        <is>
          <t>Clean</t>
        </is>
      </c>
      <c r="E20575" t="n">
        <v>45.79</v>
      </c>
      <c r="F20575" t="n">
        <v>1</v>
      </c>
      <c r="G20575" t="n">
        <v>10</v>
      </c>
      <c r="H20575" s="5">
        <f>HYPERLINK("https://api.qogita.com/variants/link/0874034011109/", "View Product")</f>
        <v/>
      </c>
    </row>
    <row r="20576">
      <c r="A20576" t="inlineStr">
        <is>
          <t>0874034011840</t>
        </is>
      </c>
      <c r="B20576" t="inlineStr">
        <is>
          <t>Clean Flower Fresh Eau de Parfum 30ml</t>
        </is>
      </c>
      <c r="C20576" t="inlineStr">
        <is>
          <t>Eau De Parfum</t>
        </is>
      </c>
      <c r="D20576" t="inlineStr">
        <is>
          <t>Clean</t>
        </is>
      </c>
      <c r="E20576" t="n">
        <v>19.07</v>
      </c>
      <c r="F20576" t="n">
        <v>1</v>
      </c>
      <c r="G20576" t="n">
        <v>14</v>
      </c>
      <c r="H20576" s="5">
        <f>HYPERLINK("https://api.qogita.com/variants/link/0874034011840/", "View Product")</f>
        <v/>
      </c>
    </row>
    <row r="20577">
      <c r="A20577" t="inlineStr">
        <is>
          <t>0874034011956</t>
        </is>
      </c>
      <c r="B20577" t="inlineStr">
        <is>
          <t>Clean Compatible Reserve Radiant Nectar Eau De Parfum Spray 50ml</t>
        </is>
      </c>
      <c r="C20577" t="inlineStr">
        <is>
          <t>Eau De Parfum</t>
        </is>
      </c>
      <c r="D20577" t="inlineStr">
        <is>
          <t>Clean</t>
        </is>
      </c>
      <c r="E20577" t="n">
        <v>32.89</v>
      </c>
      <c r="F20577" t="n">
        <v>1</v>
      </c>
      <c r="G20577" t="n">
        <v>2</v>
      </c>
      <c r="H20577" s="5">
        <f>HYPERLINK("https://api.qogita.com/variants/link/0874034011956/", "View Product")</f>
        <v/>
      </c>
    </row>
    <row r="20578">
      <c r="A20578" t="inlineStr">
        <is>
          <t>0874034013417</t>
        </is>
      </c>
      <c r="B20578" t="inlineStr">
        <is>
          <t>Clean Classic Eau de Parfum Apple Blossom Light Casual Spray 30ml</t>
        </is>
      </c>
      <c r="C20578" t="inlineStr">
        <is>
          <t>Eau De Parfum</t>
        </is>
      </c>
      <c r="D20578" t="inlineStr">
        <is>
          <t>Clean</t>
        </is>
      </c>
      <c r="E20578" t="n">
        <v>20.73</v>
      </c>
      <c r="F20578" t="n">
        <v>1</v>
      </c>
      <c r="G20578" t="n">
        <v>4</v>
      </c>
      <c r="H20578" s="5">
        <f>HYPERLINK("https://api.qogita.com/variants/link/0874034013417/", "View Product")</f>
        <v/>
      </c>
    </row>
    <row r="20579">
      <c r="A20579" t="inlineStr">
        <is>
          <t>0874034013660</t>
        </is>
      </c>
      <c r="B20579" t="inlineStr">
        <is>
          <t>Clean Reserve H2 Eau Brilliant Peony Eau De Parfum 50 Ml</t>
        </is>
      </c>
      <c r="C20579" t="inlineStr">
        <is>
          <t>Eau De Parfum</t>
        </is>
      </c>
      <c r="D20579" t="inlineStr">
        <is>
          <t>Clean</t>
        </is>
      </c>
      <c r="E20579" t="n">
        <v>27.21</v>
      </c>
      <c r="F20579" t="n">
        <v>1</v>
      </c>
      <c r="G20579" t="n">
        <v>3</v>
      </c>
      <c r="H20579" s="5">
        <f>HYPERLINK("https://api.qogita.com/variants/link/0874034013660/", "View Product")</f>
        <v/>
      </c>
    </row>
    <row r="20580">
      <c r="A20580" t="inlineStr">
        <is>
          <t>0882381001865</t>
        </is>
      </c>
      <c r="B20580" t="inlineStr">
        <is>
          <t>Darphin Stimulskin Plus Absolute Renewal Smoothing Anti-Aging Cream 15ml</t>
        </is>
      </c>
      <c r="C20580" t="inlineStr">
        <is>
          <t>Anti-Aging Facial Care</t>
        </is>
      </c>
      <c r="D20580" t="inlineStr">
        <is>
          <t>Darphin</t>
        </is>
      </c>
      <c r="E20580" t="n">
        <v>42.5</v>
      </c>
      <c r="F20580" t="n">
        <v>1</v>
      </c>
      <c r="G20580" t="n">
        <v>8</v>
      </c>
      <c r="H20580" s="5">
        <f>HYPERLINK("https://api.qogita.com/variants/link/0882381001865/", "View Product")</f>
        <v/>
      </c>
    </row>
    <row r="20581">
      <c r="A20581" t="inlineStr">
        <is>
          <t>0882381015909</t>
        </is>
      </c>
      <c r="B20581" t="inlineStr">
        <is>
          <t>Darphin Estee Lauder Intral Micellar Water 200ml</t>
        </is>
      </c>
      <c r="C20581" t="inlineStr">
        <is>
          <t>Micellar Water</t>
        </is>
      </c>
      <c r="D20581" t="inlineStr">
        <is>
          <t>Darphin</t>
        </is>
      </c>
      <c r="E20581" t="n">
        <v>19.33</v>
      </c>
      <c r="F20581" t="n">
        <v>1</v>
      </c>
      <c r="G20581" t="n">
        <v>6</v>
      </c>
      <c r="H20581" s="5">
        <f>HYPERLINK("https://api.qogita.com/variants/link/0882381015909/", "View Product")</f>
        <v/>
      </c>
    </row>
    <row r="20582">
      <c r="A20582" t="inlineStr">
        <is>
          <t>0882381112493</t>
        </is>
      </c>
      <c r="B20582" t="inlineStr">
        <is>
          <t>Darphin Essential Oil 8 Flower Nectar Anti-Aging</t>
        </is>
      </c>
      <c r="C20582" t="inlineStr">
        <is>
          <t>Anti-Aging Serum</t>
        </is>
      </c>
      <c r="D20582" t="inlineStr">
        <is>
          <t>Darphin</t>
        </is>
      </c>
      <c r="E20582" t="n">
        <v>79.69</v>
      </c>
      <c r="F20582" t="n">
        <v>1</v>
      </c>
      <c r="G20582" t="n">
        <v>10</v>
      </c>
      <c r="H20582" s="5">
        <f>HYPERLINK("https://api.qogita.com/variants/link/0882381112493/", "View Product")</f>
        <v/>
      </c>
    </row>
    <row r="20583">
      <c r="A20583" t="inlineStr">
        <is>
          <t>0883205101457</t>
        </is>
      </c>
      <c r="B20583" t="inlineStr">
        <is>
          <t>Opalescence Whitening Toothpaste Sensitivity Relief 100ml</t>
        </is>
      </c>
      <c r="C20583" t="inlineStr">
        <is>
          <t>Toothpaste</t>
        </is>
      </c>
      <c r="D20583" t="inlineStr">
        <is>
          <t>Opalescence</t>
        </is>
      </c>
      <c r="E20583" t="n">
        <v>7.51</v>
      </c>
      <c r="F20583" t="n">
        <v>1</v>
      </c>
      <c r="G20583" t="n">
        <v>133</v>
      </c>
      <c r="H20583" s="5">
        <f>HYPERLINK("https://api.qogita.com/variants/link/0883205101457/", "View Product")</f>
        <v/>
      </c>
    </row>
    <row r="20584">
      <c r="A20584" t="inlineStr">
        <is>
          <t>0883991110893</t>
        </is>
      </c>
      <c r="B20584" t="inlineStr">
        <is>
          <t>Kenneth Cole for Her Body Mist for Women 8 fl oz</t>
        </is>
      </c>
      <c r="C20584" t="inlineStr">
        <is>
          <t>Eau De Toilette</t>
        </is>
      </c>
      <c r="D20584" t="inlineStr">
        <is>
          <t>Kenneth Cole</t>
        </is>
      </c>
      <c r="E20584" t="n">
        <v>5.58</v>
      </c>
      <c r="F20584" t="n">
        <v>1</v>
      </c>
      <c r="G20584" t="n">
        <v>7</v>
      </c>
      <c r="H20584" s="5">
        <f>HYPERLINK("https://api.qogita.com/variants/link/0883991110893/", "View Product")</f>
        <v/>
      </c>
    </row>
    <row r="20585">
      <c r="A20585" t="inlineStr">
        <is>
          <t>0884486151315</t>
        </is>
      </c>
      <c r="B20585" t="inlineStr">
        <is>
          <t>Matrix Biolage HydraSource Shampoo 400ml</t>
        </is>
      </c>
      <c r="C20585" t="inlineStr">
        <is>
          <t>Shampoo</t>
        </is>
      </c>
      <c r="D20585" t="inlineStr">
        <is>
          <t>Matrix</t>
        </is>
      </c>
      <c r="E20585" t="n">
        <v>19.08</v>
      </c>
      <c r="F20585" t="n">
        <v>1</v>
      </c>
      <c r="G20585" t="n">
        <v>21</v>
      </c>
      <c r="H20585" s="5">
        <f>HYPERLINK("https://api.qogita.com/variants/link/0884486151315/", "View Product")</f>
        <v/>
      </c>
    </row>
    <row r="20586">
      <c r="A20586" t="inlineStr">
        <is>
          <t>0884486151971</t>
        </is>
      </c>
      <c r="B20586" t="inlineStr">
        <is>
          <t>Matrix Biolage VolumeBloom Shampoo 400ml</t>
        </is>
      </c>
      <c r="C20586" t="inlineStr">
        <is>
          <t>Shampoo</t>
        </is>
      </c>
      <c r="D20586" t="inlineStr">
        <is>
          <t>Matrix</t>
        </is>
      </c>
      <c r="E20586" t="n">
        <v>19.08</v>
      </c>
      <c r="F20586" t="n">
        <v>1</v>
      </c>
      <c r="G20586" t="n">
        <v>8</v>
      </c>
      <c r="H20586" s="5">
        <f>HYPERLINK("https://api.qogita.com/variants/link/0884486151971/", "View Product")</f>
        <v/>
      </c>
    </row>
    <row r="20587">
      <c r="A20587" t="inlineStr">
        <is>
          <t>0884486227171</t>
        </is>
      </c>
      <c r="B20587" t="inlineStr">
        <is>
          <t>Matrix Hair Care 237ml</t>
        </is>
      </c>
      <c r="C20587" t="inlineStr">
        <is>
          <t>Hair Care Sets</t>
        </is>
      </c>
      <c r="D20587" t="inlineStr">
        <is>
          <t>Matrix</t>
        </is>
      </c>
      <c r="E20587" t="n">
        <v>15.23</v>
      </c>
      <c r="F20587" t="n">
        <v>1</v>
      </c>
      <c r="G20587" t="n">
        <v>9</v>
      </c>
      <c r="H20587" s="5">
        <f>HYPERLINK("https://api.qogita.com/variants/link/0884486227171/", "View Product")</f>
        <v/>
      </c>
    </row>
    <row r="20588">
      <c r="A20588" t="inlineStr">
        <is>
          <t>0884486453402</t>
        </is>
      </c>
      <c r="B20588" t="inlineStr">
        <is>
          <t>Redken Leave-In Treatment Reduces Appearance of Split Ends Extreme Anti Snap Single Anti Snap</t>
        </is>
      </c>
      <c r="C20588" t="inlineStr">
        <is>
          <t>Leave-In Conditioner</t>
        </is>
      </c>
      <c r="D20588" t="inlineStr">
        <is>
          <t>Redken</t>
        </is>
      </c>
      <c r="E20588" t="n">
        <v>20.14</v>
      </c>
      <c r="F20588" t="n">
        <v>1</v>
      </c>
      <c r="G20588" t="n">
        <v>20</v>
      </c>
      <c r="H20588" s="5">
        <f>HYPERLINK("https://api.qogita.com/variants/link/0884486453402/", "View Product")</f>
        <v/>
      </c>
    </row>
    <row r="20589">
      <c r="A20589" t="inlineStr">
        <is>
          <t>0884486465825</t>
        </is>
      </c>
      <c r="B20589" t="inlineStr">
        <is>
          <t>Matrix Total Results Miracle Creator Multi Tasking Hair Mask 500ml</t>
        </is>
      </c>
      <c r="C20589" t="inlineStr">
        <is>
          <t>Hair Masks</t>
        </is>
      </c>
      <c r="D20589" t="inlineStr">
        <is>
          <t>Matrix</t>
        </is>
      </c>
      <c r="E20589" t="n">
        <v>27.22</v>
      </c>
      <c r="F20589" t="n">
        <v>1</v>
      </c>
      <c r="G20589" t="n">
        <v>5</v>
      </c>
      <c r="H20589" s="5">
        <f>HYPERLINK("https://api.qogita.com/variants/link/0884486465825/", "View Product")</f>
        <v/>
      </c>
    </row>
    <row r="20590">
      <c r="A20590" t="inlineStr">
        <is>
          <t>0884486475473</t>
        </is>
      </c>
      <c r="B20590" t="inlineStr">
        <is>
          <t>TR Pro Solutionist Total Treatment 500ml</t>
        </is>
      </c>
      <c r="C20590" t="inlineStr">
        <is>
          <t>Hair Care Sets</t>
        </is>
      </c>
      <c r="D20590" t="inlineStr">
        <is>
          <t>Matrix</t>
        </is>
      </c>
      <c r="E20590" t="n">
        <v>17.4</v>
      </c>
      <c r="F20590" t="n">
        <v>1</v>
      </c>
      <c r="G20590" t="n">
        <v>6</v>
      </c>
      <c r="H20590" s="5">
        <f>HYPERLINK("https://api.qogita.com/variants/link/0884486475473/", "View Product")</f>
        <v/>
      </c>
    </row>
    <row r="20591">
      <c r="A20591" t="inlineStr">
        <is>
          <t>0884486494313</t>
        </is>
      </c>
      <c r="B20591" t="inlineStr">
        <is>
          <t>Matrix Setter Mousse Volumizing Styling Foam for Setting and Conditioning 250ml</t>
        </is>
      </c>
      <c r="C20591" t="inlineStr">
        <is>
          <t>Mousse</t>
        </is>
      </c>
      <c r="D20591" t="inlineStr">
        <is>
          <t>Matrix</t>
        </is>
      </c>
      <c r="E20591" t="n">
        <v>12.86</v>
      </c>
      <c r="F20591" t="n">
        <v>1</v>
      </c>
      <c r="G20591" t="n">
        <v>14</v>
      </c>
      <c r="H20591" s="5">
        <f>HYPERLINK("https://api.qogita.com/variants/link/0884486494313/", "View Product")</f>
        <v/>
      </c>
    </row>
    <row r="20592">
      <c r="A20592" t="inlineStr">
        <is>
          <t>0884486496485</t>
        </is>
      </c>
      <c r="B20592" t="inlineStr">
        <is>
          <t>Matrix Total Result So Silver All in One Toning Spray 200ml</t>
        </is>
      </c>
      <c r="C20592" t="inlineStr">
        <is>
          <t>Leave-In Conditioner</t>
        </is>
      </c>
      <c r="D20592" t="inlineStr">
        <is>
          <t>Matrix</t>
        </is>
      </c>
      <c r="E20592" t="n">
        <v>16.02</v>
      </c>
      <c r="F20592" t="n">
        <v>1</v>
      </c>
      <c r="G20592" t="n">
        <v>14</v>
      </c>
      <c r="H20592" s="5">
        <f>HYPERLINK("https://api.qogita.com/variants/link/0884486496485/", "View Product")</f>
        <v/>
      </c>
    </row>
    <row r="20593">
      <c r="A20593" t="inlineStr">
        <is>
          <t>0884486496492</t>
        </is>
      </c>
      <c r="B20593" t="inlineStr">
        <is>
          <t>Matrix Total Results Brass Off Toning Spray with Blue Pigments 200ml</t>
        </is>
      </c>
      <c r="C20593" t="inlineStr">
        <is>
          <t>Hair Care Sets</t>
        </is>
      </c>
      <c r="D20593" t="inlineStr">
        <is>
          <t>Matrix</t>
        </is>
      </c>
      <c r="E20593" t="n">
        <v>11.01</v>
      </c>
      <c r="F20593" t="n">
        <v>1</v>
      </c>
      <c r="G20593" t="n">
        <v>5</v>
      </c>
      <c r="H20593" s="5">
        <f>HYPERLINK("https://api.qogita.com/variants/link/0884486496492/", "View Product")</f>
        <v/>
      </c>
    </row>
    <row r="20594">
      <c r="A20594" t="inlineStr">
        <is>
          <t>0884486498083</t>
        </is>
      </c>
      <c r="B20594" t="inlineStr">
        <is>
          <t>Redken Thermal Spray for Heat Styling 250ml</t>
        </is>
      </c>
      <c r="C20594" t="inlineStr">
        <is>
          <t>Heat Protection</t>
        </is>
      </c>
      <c r="D20594" t="inlineStr">
        <is>
          <t>Redken</t>
        </is>
      </c>
      <c r="E20594" t="n">
        <v>18.55</v>
      </c>
      <c r="F20594" t="n">
        <v>1</v>
      </c>
      <c r="G20594" t="n">
        <v>5</v>
      </c>
      <c r="H20594" s="5">
        <f>HYPERLINK("https://api.qogita.com/variants/link/0884486498083/", "View Product")</f>
        <v/>
      </c>
    </row>
    <row r="20595">
      <c r="A20595" t="inlineStr">
        <is>
          <t>0884486516732</t>
        </is>
      </c>
      <c r="B20595" t="inlineStr">
        <is>
          <t>REDKEN Acidic Color Gloss Glass Treatment for Color-Treated Hair with Citric Acid &amp; Apricot Oil</t>
        </is>
      </c>
      <c r="C20595" t="inlineStr">
        <is>
          <t>Hair Oil &amp; Hair Serum</t>
        </is>
      </c>
      <c r="D20595" t="inlineStr">
        <is>
          <t>Redken</t>
        </is>
      </c>
      <c r="E20595" t="n">
        <v>32.08</v>
      </c>
      <c r="F20595" t="n">
        <v>1</v>
      </c>
      <c r="G20595" t="n">
        <v>3</v>
      </c>
      <c r="H20595" s="5">
        <f>HYPERLINK("https://api.qogita.com/variants/link/0884486516732/", "View Product")</f>
        <v/>
      </c>
    </row>
    <row r="20596">
      <c r="A20596" t="inlineStr">
        <is>
          <t>0887167077379</t>
        </is>
      </c>
      <c r="B20596" t="inlineStr">
        <is>
          <t>Estee Lauder Little Black Primer</t>
        </is>
      </c>
      <c r="C20596" t="inlineStr">
        <is>
          <t>Face Cream</t>
        </is>
      </c>
      <c r="D20596" t="inlineStr">
        <is>
          <t>Estée Lauder</t>
        </is>
      </c>
      <c r="E20596" t="n">
        <v>20.69</v>
      </c>
      <c r="F20596" t="n">
        <v>1</v>
      </c>
      <c r="G20596" t="n">
        <v>19</v>
      </c>
      <c r="H20596" s="5">
        <f>HYPERLINK("https://api.qogita.com/variants/link/0887167077379/", "View Product")</f>
        <v/>
      </c>
    </row>
    <row r="20597">
      <c r="A20597" t="inlineStr">
        <is>
          <t>0887167095915</t>
        </is>
      </c>
      <c r="B20597" t="inlineStr">
        <is>
          <t>Spellbound By Estee Lauder For Women Eau De Parfum Spray 1.7-Ounces Floral 1.7 Fl Oz</t>
        </is>
      </c>
      <c r="C20597" t="inlineStr">
        <is>
          <t>Eau De Parfum</t>
        </is>
      </c>
      <c r="D20597" t="inlineStr">
        <is>
          <t>Estée Lauder</t>
        </is>
      </c>
      <c r="E20597" t="n">
        <v>42.19</v>
      </c>
      <c r="F20597" t="n">
        <v>1</v>
      </c>
      <c r="G20597" t="n">
        <v>8</v>
      </c>
      <c r="H20597" s="5">
        <f>HYPERLINK("https://api.qogita.com/variants/link/0887167095915/", "View Product")</f>
        <v/>
      </c>
    </row>
    <row r="20598">
      <c r="A20598" t="inlineStr">
        <is>
          <t>0887167316096</t>
        </is>
      </c>
      <c r="B20598" t="inlineStr">
        <is>
          <t>Estée Lauder Resilience Lift Night 50ml Firming Face and Neck Creme 50ml</t>
        </is>
      </c>
      <c r="C20598" t="inlineStr">
        <is>
          <t>Night Cream</t>
        </is>
      </c>
      <c r="D20598" t="inlineStr">
        <is>
          <t>Estée Lauder</t>
        </is>
      </c>
      <c r="E20598" t="n">
        <v>101.2</v>
      </c>
      <c r="F20598" t="n">
        <v>1</v>
      </c>
      <c r="G20598" t="n">
        <v>3</v>
      </c>
      <c r="H20598" s="5">
        <f>HYPERLINK("https://api.qogita.com/variants/link/0887167316096/", "View Product")</f>
        <v/>
      </c>
    </row>
    <row r="20599">
      <c r="A20599" t="inlineStr">
        <is>
          <t>0887167368651</t>
        </is>
      </c>
      <c r="B20599" t="inlineStr">
        <is>
          <t>E. Lauder Resilience Multi-Effect Face and Neck Cream SPF 15 50ml for Dry Skin</t>
        </is>
      </c>
      <c r="C20599" t="inlineStr">
        <is>
          <t>Day Cream</t>
        </is>
      </c>
      <c r="D20599" t="inlineStr">
        <is>
          <t>Goldwell</t>
        </is>
      </c>
      <c r="E20599" t="n">
        <v>84.05</v>
      </c>
      <c r="F20599" t="n">
        <v>1</v>
      </c>
      <c r="G20599" t="n">
        <v>8</v>
      </c>
      <c r="H20599" s="5">
        <f>HYPERLINK("https://api.qogita.com/variants/link/0887167368651/", "View Product")</f>
        <v/>
      </c>
    </row>
    <row r="20600">
      <c r="A20600" t="inlineStr">
        <is>
          <t>0887167388505</t>
        </is>
      </c>
      <c r="B20600" t="inlineStr">
        <is>
          <t>Estée Lauder Daywear Hydra Sorbet</t>
        </is>
      </c>
      <c r="C20600" t="inlineStr">
        <is>
          <t>Day Cream</t>
        </is>
      </c>
      <c r="D20600" t="inlineStr">
        <is>
          <t>Goldwell</t>
        </is>
      </c>
      <c r="E20600" t="n">
        <v>34.16</v>
      </c>
      <c r="F20600" t="n">
        <v>1</v>
      </c>
      <c r="G20600" t="n">
        <v>16</v>
      </c>
      <c r="H20600" s="5">
        <f>HYPERLINK("https://api.qogita.com/variants/link/0887167388505/", "View Product")</f>
        <v/>
      </c>
    </row>
    <row r="20601">
      <c r="A20601" t="inlineStr">
        <is>
          <t>0887167480520</t>
        </is>
      </c>
      <c r="B20601" t="inlineStr">
        <is>
          <t>Futurist Aqua Brilliance Watery Glow Primer</t>
        </is>
      </c>
      <c r="C20601" t="inlineStr">
        <is>
          <t>Face Cream</t>
        </is>
      </c>
      <c r="D20601" t="inlineStr">
        <is>
          <t>Estée Lauder</t>
        </is>
      </c>
      <c r="E20601" t="n">
        <v>30.4</v>
      </c>
      <c r="F20601" t="n">
        <v>1</v>
      </c>
      <c r="G20601" t="n">
        <v>8</v>
      </c>
      <c r="H20601" s="5">
        <f>HYPERLINK("https://api.qogita.com/variants/link/0887167480520/", "View Product")</f>
        <v/>
      </c>
    </row>
    <row r="20602">
      <c r="A20602" t="inlineStr">
        <is>
          <t>0887167500242</t>
        </is>
      </c>
      <c r="B20602" t="inlineStr">
        <is>
          <t>Estee Lauder Double Wear 24H Waterproof Gel Eye Pencil 02 Espresso</t>
        </is>
      </c>
      <c r="C20602" t="inlineStr">
        <is>
          <t>Eye Pencil</t>
        </is>
      </c>
      <c r="D20602" t="inlineStr">
        <is>
          <t>Estée Lauder</t>
        </is>
      </c>
      <c r="E20602" t="n">
        <v>18.72</v>
      </c>
      <c r="F20602" t="n">
        <v>1</v>
      </c>
      <c r="G20602" t="n">
        <v>6</v>
      </c>
      <c r="H20602" s="5">
        <f>HYPERLINK("https://api.qogita.com/variants/link/0887167500242/", "View Product")</f>
        <v/>
      </c>
    </row>
    <row r="20603">
      <c r="A20603" t="inlineStr">
        <is>
          <t>0887167500259</t>
        </is>
      </c>
      <c r="B20603" t="inlineStr">
        <is>
          <t>Estée Lauder Double Wear 24 Hour Waterproof Gel Eye Pencil 1.2g 03 Cocoa</t>
        </is>
      </c>
      <c r="C20603" t="inlineStr">
        <is>
          <t>Eye Pencil</t>
        </is>
      </c>
      <c r="D20603" t="inlineStr">
        <is>
          <t>Estée Lauder</t>
        </is>
      </c>
      <c r="E20603" t="n">
        <v>18.67</v>
      </c>
      <c r="F20603" t="n">
        <v>1</v>
      </c>
      <c r="G20603" t="n">
        <v>4</v>
      </c>
      <c r="H20603" s="5">
        <f>HYPERLINK("https://api.qogita.com/variants/link/0887167500259/", "View Product")</f>
        <v/>
      </c>
    </row>
    <row r="20604">
      <c r="A20604" t="inlineStr">
        <is>
          <t>0887167500280</t>
        </is>
      </c>
      <c r="B20604" t="inlineStr">
        <is>
          <t>Estée Lauder Double Wear 24h Waterproof Gel Eye Pencil Sapphire 1.2g</t>
        </is>
      </c>
      <c r="C20604" t="inlineStr">
        <is>
          <t>Eye Pencil</t>
        </is>
      </c>
      <c r="D20604" t="inlineStr">
        <is>
          <t>Estée Lauder</t>
        </is>
      </c>
      <c r="E20604" t="n">
        <v>12.86</v>
      </c>
      <c r="F20604" t="n">
        <v>1</v>
      </c>
      <c r="G20604" t="n">
        <v>3</v>
      </c>
      <c r="H20604" s="5">
        <f>HYPERLINK("https://api.qogita.com/variants/link/0887167500280/", "View Product")</f>
        <v/>
      </c>
    </row>
    <row r="20605">
      <c r="A20605" t="inlineStr">
        <is>
          <t>0887167507739</t>
        </is>
      </c>
      <c r="B20605" t="inlineStr">
        <is>
          <t>Estee Lauder Re-Nutriv Ultimate Lift Regenerating Youth Eye Cream 15ml</t>
        </is>
      </c>
      <c r="C20605" t="inlineStr">
        <is>
          <t>Eye Cream</t>
        </is>
      </c>
      <c r="D20605" t="inlineStr">
        <is>
          <t>Estée Lauder</t>
        </is>
      </c>
      <c r="E20605" t="n">
        <v>104.34</v>
      </c>
      <c r="F20605" t="n">
        <v>1</v>
      </c>
      <c r="G20605" t="n">
        <v>3</v>
      </c>
      <c r="H20605" s="5">
        <f>HYPERLINK("https://api.qogita.com/variants/link/0887167507739/", "View Product")</f>
        <v/>
      </c>
    </row>
    <row r="20606">
      <c r="A20606" t="inlineStr">
        <is>
          <t>0887167539532</t>
        </is>
      </c>
      <c r="B20606" t="inlineStr">
        <is>
          <t>Revitalizing Supreme+ by Estee Lauder Youth Power Creme 50ml</t>
        </is>
      </c>
      <c r="C20606" t="inlineStr">
        <is>
          <t>Anti-Aging Facial Care</t>
        </is>
      </c>
      <c r="D20606" t="inlineStr">
        <is>
          <t>Estée Lauder</t>
        </is>
      </c>
      <c r="E20606" t="n">
        <v>62.68</v>
      </c>
      <c r="F20606" t="n">
        <v>1</v>
      </c>
      <c r="G20606" t="n">
        <v>8</v>
      </c>
      <c r="H20606" s="5">
        <f>HYPERLINK("https://api.qogita.com/variants/link/0887167539532/", "View Product")</f>
        <v/>
      </c>
    </row>
    <row r="20607">
      <c r="A20607" t="inlineStr">
        <is>
          <t>0887167540477</t>
        </is>
      </c>
      <c r="B20607" t="inlineStr">
        <is>
          <t>Estée Lauder Pure Color Envy Revitalizing Crystal Balm 005 Love Crystal 3.2g Lipstick</t>
        </is>
      </c>
      <c r="C20607" t="inlineStr">
        <is>
          <t>Lip Balm</t>
        </is>
      </c>
      <c r="D20607" t="inlineStr">
        <is>
          <t>Estée Lauder</t>
        </is>
      </c>
      <c r="E20607" t="n">
        <v>24.58</v>
      </c>
      <c r="F20607" t="n">
        <v>1</v>
      </c>
      <c r="G20607" t="n">
        <v>6</v>
      </c>
      <c r="H20607" s="5">
        <f>HYPERLINK("https://api.qogita.com/variants/link/0887167540477/", "View Product")</f>
        <v/>
      </c>
    </row>
    <row r="20608">
      <c r="A20608" t="inlineStr">
        <is>
          <t>0887167555693</t>
        </is>
      </c>
      <c r="B20608" t="inlineStr">
        <is>
          <t>Estee Lauder Futurist Aqua Brilliance Makeup SPF 20 Warm Vanilla 30ml</t>
        </is>
      </c>
      <c r="C20608" t="inlineStr">
        <is>
          <t>Foundation</t>
        </is>
      </c>
      <c r="D20608" t="inlineStr">
        <is>
          <t>Estée Lauder</t>
        </is>
      </c>
      <c r="E20608" t="n">
        <v>41.68</v>
      </c>
      <c r="F20608" t="n">
        <v>1</v>
      </c>
      <c r="G20608" t="n">
        <v>6</v>
      </c>
      <c r="H20608" s="5">
        <f>HYPERLINK("https://api.qogita.com/variants/link/0887167555693/", "View Product")</f>
        <v/>
      </c>
    </row>
    <row r="20609">
      <c r="A20609" t="inlineStr">
        <is>
          <t>0887167558366</t>
        </is>
      </c>
      <c r="B20609" t="inlineStr">
        <is>
          <t>Estée Lauder Perfectionist Pro Brightening 30 Serum</t>
        </is>
      </c>
      <c r="C20609" t="inlineStr">
        <is>
          <t>Glow Serum</t>
        </is>
      </c>
      <c r="D20609" t="inlineStr">
        <is>
          <t>Estée Lauder</t>
        </is>
      </c>
      <c r="E20609" t="n">
        <v>82.18000000000001</v>
      </c>
      <c r="F20609" t="n">
        <v>1</v>
      </c>
      <c r="G20609" t="n">
        <v>5</v>
      </c>
      <c r="H20609" s="5">
        <f>HYPERLINK("https://api.qogita.com/variants/link/0887167558366/", "View Product")</f>
        <v/>
      </c>
    </row>
    <row r="20610">
      <c r="A20610" t="inlineStr">
        <is>
          <t>0887167558786</t>
        </is>
      </c>
      <c r="B20610" t="inlineStr">
        <is>
          <t>Estee Lauder Futurist Skintint Serum Foundation SPF 20 2N1 Desert Beige 30ml</t>
        </is>
      </c>
      <c r="C20610" t="inlineStr">
        <is>
          <t>Tinted Day Cream</t>
        </is>
      </c>
      <c r="D20610" t="inlineStr">
        <is>
          <t>Estée Lauder</t>
        </is>
      </c>
      <c r="E20610" t="n">
        <v>34.32</v>
      </c>
      <c r="F20610" t="n">
        <v>1</v>
      </c>
      <c r="G20610" t="n">
        <v>10</v>
      </c>
      <c r="H20610" s="5">
        <f>HYPERLINK("https://api.qogita.com/variants/link/0887167558786/", "View Product")</f>
        <v/>
      </c>
    </row>
    <row r="20611">
      <c r="A20611" t="inlineStr">
        <is>
          <t>0887167561861</t>
        </is>
      </c>
      <c r="B20611" t="inlineStr">
        <is>
          <t>Estee Lauder Soft Clean Infusion Hydrating Essence Lotion Toner 400ml NWOB</t>
        </is>
      </c>
      <c r="C20611" t="inlineStr">
        <is>
          <t>Facial Care Sets</t>
        </is>
      </c>
      <c r="D20611" t="inlineStr">
        <is>
          <t>Estée Lauder</t>
        </is>
      </c>
      <c r="E20611" t="n">
        <v>30.01</v>
      </c>
      <c r="F20611" t="n">
        <v>1</v>
      </c>
      <c r="G20611" t="n">
        <v>8</v>
      </c>
      <c r="H20611" s="5">
        <f>HYPERLINK("https://api.qogita.com/variants/link/0887167561861/", "View Product")</f>
        <v/>
      </c>
    </row>
    <row r="20612">
      <c r="A20612" t="inlineStr">
        <is>
          <t>0887167570092</t>
        </is>
      </c>
      <c r="B20612" t="inlineStr">
        <is>
          <t>Re-Nutriv Ultimate Lift Rich Cream 50ml</t>
        </is>
      </c>
      <c r="C20612" t="inlineStr">
        <is>
          <t>Anti-Aging Facial Care</t>
        </is>
      </c>
      <c r="D20612" t="inlineStr">
        <is>
          <t>Estée Lauder</t>
        </is>
      </c>
      <c r="E20612" t="n">
        <v>253.96</v>
      </c>
      <c r="F20612" t="n">
        <v>1</v>
      </c>
      <c r="G20612" t="n">
        <v>7</v>
      </c>
      <c r="H20612" s="5">
        <f>HYPERLINK("https://api.qogita.com/variants/link/0887167570092/", "View Product")</f>
        <v/>
      </c>
    </row>
    <row r="20613">
      <c r="A20613" t="inlineStr">
        <is>
          <t>0887167582897</t>
        </is>
      </c>
      <c r="B20613" t="inlineStr">
        <is>
          <t>Estee Lauder Turbo Lash Night Revitalizing Serum for Lash and Brow 6ml</t>
        </is>
      </c>
      <c r="C20613" t="inlineStr">
        <is>
          <t>Eyelash Serum &amp; Eyebrow Serum</t>
        </is>
      </c>
      <c r="D20613" t="inlineStr">
        <is>
          <t>Estée Lauder</t>
        </is>
      </c>
      <c r="E20613" t="n">
        <v>22.29</v>
      </c>
      <c r="F20613" t="n">
        <v>1</v>
      </c>
      <c r="G20613" t="n">
        <v>10</v>
      </c>
      <c r="H20613" s="5">
        <f>HYPERLINK("https://api.qogita.com/variants/link/0887167582897/", "View Product")</f>
        <v/>
      </c>
    </row>
    <row r="20614">
      <c r="A20614" t="inlineStr">
        <is>
          <t>0887167610637</t>
        </is>
      </c>
      <c r="B20614" t="inlineStr">
        <is>
          <t>Estee Lauder Nutritious Radiant Essence Lotion 200ml</t>
        </is>
      </c>
      <c r="C20614" t="inlineStr">
        <is>
          <t>Facial Care Sets</t>
        </is>
      </c>
      <c r="D20614" t="inlineStr">
        <is>
          <t>Estée Lauder</t>
        </is>
      </c>
      <c r="E20614" t="n">
        <v>29.3</v>
      </c>
      <c r="F20614" t="n">
        <v>1</v>
      </c>
      <c r="G20614" t="n">
        <v>5</v>
      </c>
      <c r="H20614" s="5">
        <f>HYPERLINK("https://api.qogita.com/variants/link/0887167610637/", "View Product")</f>
        <v/>
      </c>
    </row>
    <row r="20615">
      <c r="A20615" t="inlineStr">
        <is>
          <t>0887167612310</t>
        </is>
      </c>
      <c r="B20615" t="inlineStr">
        <is>
          <t>Estee Lauder Futurist Skintint Serum Foundation SPF 20 3N1 Ivory Beige 30ml</t>
        </is>
      </c>
      <c r="C20615" t="inlineStr">
        <is>
          <t>Tinted Day Cream</t>
        </is>
      </c>
      <c r="D20615" t="inlineStr">
        <is>
          <t>Estée Lauder</t>
        </is>
      </c>
      <c r="E20615" t="n">
        <v>36.38</v>
      </c>
      <c r="F20615" t="n">
        <v>1</v>
      </c>
      <c r="G20615" t="n">
        <v>5</v>
      </c>
      <c r="H20615" s="5">
        <f>HYPERLINK("https://api.qogita.com/variants/link/0887167612310/", "View Product")</f>
        <v/>
      </c>
    </row>
    <row r="20616">
      <c r="A20616" t="inlineStr">
        <is>
          <t>0887167612327</t>
        </is>
      </c>
      <c r="B20616" t="inlineStr">
        <is>
          <t>Estée Lauder Futurist Skin Tint Serum Foundation SPF 20 2C0 Cool Vanilla</t>
        </is>
      </c>
      <c r="C20616" t="inlineStr">
        <is>
          <t>Foundation</t>
        </is>
      </c>
      <c r="D20616" t="inlineStr">
        <is>
          <t>Estée Lauder</t>
        </is>
      </c>
      <c r="E20616" t="n">
        <v>40.77</v>
      </c>
      <c r="F20616" t="n">
        <v>1</v>
      </c>
      <c r="G20616" t="n">
        <v>3</v>
      </c>
      <c r="H20616" s="5">
        <f>HYPERLINK("https://api.qogita.com/variants/link/0887167612327/", "View Product")</f>
        <v/>
      </c>
    </row>
    <row r="20617">
      <c r="A20617" t="inlineStr">
        <is>
          <t>0887167615052</t>
        </is>
      </c>
      <c r="B20617" t="inlineStr">
        <is>
          <t>Estee Lauder Pure Color Long-Lasting Cream Lipstick with Cream Finish - Plumping</t>
        </is>
      </c>
      <c r="C20617" t="inlineStr">
        <is>
          <t>Lipstick</t>
        </is>
      </c>
      <c r="D20617" t="inlineStr">
        <is>
          <t>Estée Lauder</t>
        </is>
      </c>
      <c r="E20617" t="n">
        <v>26.58</v>
      </c>
      <c r="F20617" t="n">
        <v>1</v>
      </c>
      <c r="G20617" t="n">
        <v>5</v>
      </c>
      <c r="H20617" s="5">
        <f>HYPERLINK("https://api.qogita.com/variants/link/0887167615052/", "View Product")</f>
        <v/>
      </c>
    </row>
    <row r="20618">
      <c r="A20618" t="inlineStr">
        <is>
          <t>0887167617872</t>
        </is>
      </c>
      <c r="B20618" t="inlineStr">
        <is>
          <t>Estee Lauder Pure Color Hi-Lustre Lipstick 3.5g No. 111 Tiger Eye</t>
        </is>
      </c>
      <c r="C20618" t="inlineStr">
        <is>
          <t>Lipstick</t>
        </is>
      </c>
      <c r="D20618" t="inlineStr">
        <is>
          <t>Estée Lauder</t>
        </is>
      </c>
      <c r="E20618" t="n">
        <v>27.89</v>
      </c>
      <c r="F20618" t="n">
        <v>1</v>
      </c>
      <c r="G20618" t="n">
        <v>2</v>
      </c>
      <c r="H20618" s="5">
        <f>HYPERLINK("https://api.qogita.com/variants/link/0887167617872/", "View Product")</f>
        <v/>
      </c>
    </row>
    <row r="20619">
      <c r="A20619" t="inlineStr">
        <is>
          <t>0887167626126</t>
        </is>
      </c>
      <c r="B20619" t="inlineStr">
        <is>
          <t>Estee Lauder Re-Nutriv Ultimate Diamond Creme 50ml</t>
        </is>
      </c>
      <c r="C20619" t="inlineStr">
        <is>
          <t>Face Cream</t>
        </is>
      </c>
      <c r="D20619" t="inlineStr">
        <is>
          <t>Estée Lauder</t>
        </is>
      </c>
      <c r="E20619" t="n">
        <v>196.66</v>
      </c>
      <c r="F20619" t="n">
        <v>1</v>
      </c>
      <c r="G20619" t="n">
        <v>11</v>
      </c>
      <c r="H20619" s="5">
        <f>HYPERLINK("https://api.qogita.com/variants/link/0887167626126/", "View Product")</f>
        <v/>
      </c>
    </row>
    <row r="20620">
      <c r="A20620" t="inlineStr">
        <is>
          <t>0887167629479</t>
        </is>
      </c>
      <c r="B20620" t="inlineStr">
        <is>
          <t>Futurist Brightening Corrector (Soft Touch Brightening Skincealer) 6 ml Shade 4N</t>
        </is>
      </c>
      <c r="C20620" t="inlineStr">
        <is>
          <t>Concealer</t>
        </is>
      </c>
      <c r="D20620" t="inlineStr">
        <is>
          <t>Estée Lauder</t>
        </is>
      </c>
      <c r="E20620" t="n">
        <v>21.18</v>
      </c>
      <c r="F20620" t="n">
        <v>1</v>
      </c>
      <c r="G20620" t="n">
        <v>5</v>
      </c>
      <c r="H20620" s="5">
        <f>HYPERLINK("https://api.qogita.com/variants/link/0887167629479/", "View Product")</f>
        <v/>
      </c>
    </row>
    <row r="20621">
      <c r="A20621" t="inlineStr">
        <is>
          <t>0887167672918</t>
        </is>
      </c>
      <c r="B20621" t="inlineStr">
        <is>
          <t>Estee Lauder Hydrating And Brightening Facial Fluid Revitalizing Supreme+ Bright Radiance Power Soft Milky Lotion 100 Ml</t>
        </is>
      </c>
      <c r="C20621" t="inlineStr">
        <is>
          <t>Face Cream</t>
        </is>
      </c>
      <c r="D20621" t="inlineStr">
        <is>
          <t>Estée Lauder</t>
        </is>
      </c>
      <c r="E20621" t="n">
        <v>92.48</v>
      </c>
      <c r="F20621" t="n">
        <v>1</v>
      </c>
      <c r="G20621" t="n">
        <v>14</v>
      </c>
      <c r="H20621" s="5">
        <f>HYPERLINK("https://api.qogita.com/variants/link/0887167672918/", "View Product")</f>
        <v/>
      </c>
    </row>
    <row r="20622">
      <c r="A20622" t="inlineStr">
        <is>
          <t>0887167681347</t>
        </is>
      </c>
      <c r="B20622" t="inlineStr">
        <is>
          <t>Estee Lauder Double Wear Stay-In-Place Concealer 12 Ml</t>
        </is>
      </c>
      <c r="C20622" t="inlineStr">
        <is>
          <t>Concealer</t>
        </is>
      </c>
      <c r="D20622" t="inlineStr">
        <is>
          <t>Estée Lauder</t>
        </is>
      </c>
      <c r="E20622" t="n">
        <v>23.63</v>
      </c>
      <c r="F20622" t="n">
        <v>1</v>
      </c>
      <c r="G20622" t="n">
        <v>2</v>
      </c>
      <c r="H20622" s="5">
        <f>HYPERLINK("https://api.qogita.com/variants/link/0887167681347/", "View Product")</f>
        <v/>
      </c>
    </row>
    <row r="20623">
      <c r="A20623" t="inlineStr">
        <is>
          <t>0887167698994</t>
        </is>
      </c>
      <c r="B20623" t="inlineStr">
        <is>
          <t>Estee Lauder Revitalizing Supreme Cream Spf 25 50ml</t>
        </is>
      </c>
      <c r="C20623" t="inlineStr">
        <is>
          <t>Day Cream</t>
        </is>
      </c>
      <c r="D20623" t="inlineStr">
        <is>
          <t>Estée Lauder</t>
        </is>
      </c>
      <c r="E20623" t="n">
        <v>78.56999999999999</v>
      </c>
      <c r="F20623" t="n">
        <v>1</v>
      </c>
      <c r="G20623" t="n">
        <v>22</v>
      </c>
      <c r="H20623" s="5">
        <f>HYPERLINK("https://api.qogita.com/variants/link/0887167698994/", "View Product")</f>
        <v/>
      </c>
    </row>
    <row r="20624">
      <c r="A20624" t="inlineStr">
        <is>
          <t>0887167774803</t>
        </is>
      </c>
      <c r="B20624" t="inlineStr">
        <is>
          <t>Estee Lauder Pure Color Melt-On Glosstick Plumping &amp; Moisturizing Lip Gloss</t>
        </is>
      </c>
      <c r="C20624" t="inlineStr">
        <is>
          <t>Lip Gloss</t>
        </is>
      </c>
      <c r="D20624" t="inlineStr">
        <is>
          <t>Estée Lauder</t>
        </is>
      </c>
      <c r="E20624" t="n">
        <v>27.86</v>
      </c>
      <c r="F20624" t="n">
        <v>1</v>
      </c>
      <c r="G20624" t="n">
        <v>2</v>
      </c>
      <c r="H20624" s="5">
        <f>HYPERLINK("https://api.qogita.com/variants/link/0887167774803/", "View Product")</f>
        <v/>
      </c>
    </row>
    <row r="20625">
      <c r="A20625" t="inlineStr">
        <is>
          <t>0887167774858</t>
        </is>
      </c>
      <c r="B20625" t="inlineStr">
        <is>
          <t>Estee Lauder Pure Color Melt-On Glosstick Plumping &amp; Moisturizing Lip Gloss</t>
        </is>
      </c>
      <c r="C20625" t="inlineStr">
        <is>
          <t>Lip Gloss</t>
        </is>
      </c>
      <c r="D20625" t="inlineStr">
        <is>
          <t>Estée Lauder</t>
        </is>
      </c>
      <c r="E20625" t="n">
        <v>27.86</v>
      </c>
      <c r="F20625" t="n">
        <v>1</v>
      </c>
      <c r="G20625" t="n">
        <v>3</v>
      </c>
      <c r="H20625" s="5">
        <f>HYPERLINK("https://api.qogita.com/variants/link/0887167774858/", "View Product")</f>
        <v/>
      </c>
    </row>
    <row r="20626">
      <c r="A20626" t="inlineStr">
        <is>
          <t>0888066000055</t>
        </is>
      </c>
      <c r="B20626" t="inlineStr">
        <is>
          <t>Black Orchid by Tom Ford Eau De Parfum for Women 30ml</t>
        </is>
      </c>
      <c r="C20626" t="inlineStr">
        <is>
          <t>Eau De Parfum</t>
        </is>
      </c>
      <c r="D20626" t="inlineStr">
        <is>
          <t>Tom Ford</t>
        </is>
      </c>
      <c r="E20626" t="n">
        <v>56.12</v>
      </c>
      <c r="F20626" t="n">
        <v>1</v>
      </c>
      <c r="G20626" t="n">
        <v>17</v>
      </c>
      <c r="H20626" s="5">
        <f>HYPERLINK("https://api.qogita.com/variants/link/0888066000055/", "View Product")</f>
        <v/>
      </c>
    </row>
    <row r="20627">
      <c r="A20627" t="inlineStr">
        <is>
          <t>0888066000499</t>
        </is>
      </c>
      <c r="B20627" t="inlineStr">
        <is>
          <t>Tom Ford Noir De Noir 50ml</t>
        </is>
      </c>
      <c r="C20627" t="inlineStr">
        <is>
          <t>Eau De Parfum</t>
        </is>
      </c>
      <c r="D20627" t="inlineStr">
        <is>
          <t>Tom Ford</t>
        </is>
      </c>
      <c r="E20627" t="n">
        <v>185.07</v>
      </c>
      <c r="F20627" t="n">
        <v>1</v>
      </c>
      <c r="G20627" t="n">
        <v>8</v>
      </c>
      <c r="H20627" s="5">
        <f>HYPERLINK("https://api.qogita.com/variants/link/0888066000499/", "View Product")</f>
        <v/>
      </c>
    </row>
    <row r="20628">
      <c r="A20628" t="inlineStr">
        <is>
          <t>0888066024082</t>
        </is>
      </c>
      <c r="B20628" t="inlineStr">
        <is>
          <t>Tom Ford Oud Wood Eau De Parfum for Men 50ml</t>
        </is>
      </c>
      <c r="C20628" t="inlineStr">
        <is>
          <t>Eau De Parfum</t>
        </is>
      </c>
      <c r="D20628" t="inlineStr">
        <is>
          <t>Tom Ford</t>
        </is>
      </c>
      <c r="E20628" t="n">
        <v>176.84</v>
      </c>
      <c r="F20628" t="n">
        <v>1</v>
      </c>
      <c r="G20628" t="n">
        <v>66</v>
      </c>
      <c r="H20628" s="5">
        <f>HYPERLINK("https://api.qogita.com/variants/link/0888066024082/", "View Product")</f>
        <v/>
      </c>
    </row>
    <row r="20629">
      <c r="A20629" t="inlineStr">
        <is>
          <t>0888066075138</t>
        </is>
      </c>
      <c r="B20629" t="inlineStr">
        <is>
          <t>Ombre Leather by Tom Ford Eau De Parfum for Men 50ml</t>
        </is>
      </c>
      <c r="C20629" t="inlineStr">
        <is>
          <t>Eau De Parfum</t>
        </is>
      </c>
      <c r="D20629" t="inlineStr">
        <is>
          <t>Tom Ford</t>
        </is>
      </c>
      <c r="E20629" t="n">
        <v>86.23999999999999</v>
      </c>
      <c r="F20629" t="n">
        <v>1</v>
      </c>
      <c r="G20629" t="n">
        <v>92</v>
      </c>
      <c r="H20629" s="5">
        <f>HYPERLINK("https://api.qogita.com/variants/link/0888066075138/", "View Product")</f>
        <v/>
      </c>
    </row>
    <row r="20630">
      <c r="A20630" t="inlineStr">
        <is>
          <t>0888066082495</t>
        </is>
      </c>
      <c r="B20630" t="inlineStr">
        <is>
          <t>Tom Ford Private Blend Soleil Blanc Shimmering Body Oil Rose Gold 100ml</t>
        </is>
      </c>
      <c r="C20630" t="inlineStr">
        <is>
          <t>Body Oil</t>
        </is>
      </c>
      <c r="D20630" t="inlineStr">
        <is>
          <t>Tom Ford</t>
        </is>
      </c>
      <c r="E20630" t="n">
        <v>76.53</v>
      </c>
      <c r="F20630" t="n">
        <v>1</v>
      </c>
      <c r="G20630" t="n">
        <v>5</v>
      </c>
      <c r="H20630" s="5">
        <f>HYPERLINK("https://api.qogita.com/variants/link/0888066082495/", "View Product")</f>
        <v/>
      </c>
    </row>
    <row r="20631">
      <c r="A20631" t="inlineStr">
        <is>
          <t>0888066087582</t>
        </is>
      </c>
      <c r="B20631" t="inlineStr">
        <is>
          <t>Tom Ford Brightening Make-Up Shade And Illuminate Spf 50 Soft Radiance Foundation - 30 Ml</t>
        </is>
      </c>
      <c r="C20631" t="inlineStr">
        <is>
          <t>Foundation</t>
        </is>
      </c>
      <c r="D20631" t="inlineStr">
        <is>
          <t>Tom Ford</t>
        </is>
      </c>
      <c r="E20631" t="n">
        <v>111.93</v>
      </c>
      <c r="F20631" t="n">
        <v>1</v>
      </c>
      <c r="G20631" t="n">
        <v>3</v>
      </c>
      <c r="H20631" s="5">
        <f>HYPERLINK("https://api.qogita.com/variants/link/0888066087582/", "View Product")</f>
        <v/>
      </c>
    </row>
    <row r="20632">
      <c r="A20632" t="inlineStr">
        <is>
          <t>0888066107785</t>
        </is>
      </c>
      <c r="B20632" t="inlineStr">
        <is>
          <t>Tom Ford Rose Prick Eau De Parfum 50ml</t>
        </is>
      </c>
      <c r="C20632" t="inlineStr">
        <is>
          <t>Eau De Parfum</t>
        </is>
      </c>
      <c r="D20632" t="inlineStr">
        <is>
          <t>Tom Ford</t>
        </is>
      </c>
      <c r="E20632" t="n">
        <v>171.22</v>
      </c>
      <c r="F20632" t="n">
        <v>1</v>
      </c>
      <c r="G20632" t="n">
        <v>3</v>
      </c>
      <c r="H20632" s="5">
        <f>HYPERLINK("https://api.qogita.com/variants/link/0888066107785/", "View Product")</f>
        <v/>
      </c>
    </row>
    <row r="20633">
      <c r="A20633" t="inlineStr">
        <is>
          <t>0888066112727</t>
        </is>
      </c>
      <c r="B20633" t="inlineStr">
        <is>
          <t>Tom Ford Black Orchid Eau De Parfum 100ml</t>
        </is>
      </c>
      <c r="C20633" t="inlineStr">
        <is>
          <t>Eau De Parfum</t>
        </is>
      </c>
      <c r="D20633" t="inlineStr">
        <is>
          <t>Tom Ford</t>
        </is>
      </c>
      <c r="E20633" t="n">
        <v>138.66</v>
      </c>
      <c r="F20633" t="n">
        <v>1</v>
      </c>
      <c r="G20633" t="n">
        <v>14</v>
      </c>
      <c r="H20633" s="5">
        <f>HYPERLINK("https://api.qogita.com/variants/link/0888066112727/", "View Product")</f>
        <v/>
      </c>
    </row>
    <row r="20634">
      <c r="A20634" t="inlineStr">
        <is>
          <t>0888066112734</t>
        </is>
      </c>
      <c r="B20634" t="inlineStr">
        <is>
          <t>Tom Ford Black Orchid Parfum Spray 50ml</t>
        </is>
      </c>
      <c r="C20634" t="inlineStr">
        <is>
          <t>Eau De Parfum</t>
        </is>
      </c>
      <c r="D20634" t="inlineStr">
        <is>
          <t>Tom Ford</t>
        </is>
      </c>
      <c r="E20634" t="n">
        <v>99.48</v>
      </c>
      <c r="F20634" t="n">
        <v>1</v>
      </c>
      <c r="G20634" t="n">
        <v>13</v>
      </c>
      <c r="H20634" s="5">
        <f>HYPERLINK("https://api.qogita.com/variants/link/0888066112734/", "View Product")</f>
        <v/>
      </c>
    </row>
    <row r="20635">
      <c r="A20635" t="inlineStr">
        <is>
          <t>0888066117463</t>
        </is>
      </c>
      <c r="B20635" t="inlineStr">
        <is>
          <t>Costa Azzurra by Tom Ford Eau De Parfum Spray 50ml</t>
        </is>
      </c>
      <c r="C20635" t="inlineStr">
        <is>
          <t>Eau De Parfum</t>
        </is>
      </c>
      <c r="D20635" t="inlineStr">
        <is>
          <t>Tom Ford</t>
        </is>
      </c>
      <c r="E20635" t="n">
        <v>80.19</v>
      </c>
      <c r="F20635" t="n">
        <v>1</v>
      </c>
      <c r="G20635" t="n">
        <v>32</v>
      </c>
      <c r="H20635" s="5">
        <f>HYPERLINK("https://api.qogita.com/variants/link/0888066117463/", "View Product")</f>
        <v/>
      </c>
    </row>
    <row r="20636">
      <c r="A20636" t="inlineStr">
        <is>
          <t>0888066124287</t>
        </is>
      </c>
      <c r="B20636" t="inlineStr">
        <is>
          <t>Tom Ford Black Orchid Eau de Parfum for Women 150ml</t>
        </is>
      </c>
      <c r="C20636" t="inlineStr">
        <is>
          <t>Eau De Parfum</t>
        </is>
      </c>
      <c r="D20636" t="inlineStr">
        <is>
          <t>Tom Ford</t>
        </is>
      </c>
      <c r="E20636" t="n">
        <v>143.96</v>
      </c>
      <c r="F20636" t="n">
        <v>1</v>
      </c>
      <c r="G20636" t="n">
        <v>24</v>
      </c>
      <c r="H20636" s="5">
        <f>HYPERLINK("https://api.qogita.com/variants/link/0888066124287/", "View Product")</f>
        <v/>
      </c>
    </row>
    <row r="20637">
      <c r="A20637" t="inlineStr">
        <is>
          <t>0888066131353</t>
        </is>
      </c>
      <c r="B20637" t="inlineStr">
        <is>
          <t>Tom Ford Smoked Ebony Eau De Parfum Unisex 100ml</t>
        </is>
      </c>
      <c r="C20637" t="inlineStr">
        <is>
          <t>Eau De Parfum</t>
        </is>
      </c>
      <c r="D20637" t="inlineStr">
        <is>
          <t>Tom Ford</t>
        </is>
      </c>
      <c r="E20637" t="n">
        <v>211.22</v>
      </c>
      <c r="F20637" t="n">
        <v>1</v>
      </c>
      <c r="G20637" t="n">
        <v>9</v>
      </c>
      <c r="H20637" s="5">
        <f>HYPERLINK("https://api.qogita.com/variants/link/0888066131353/", "View Product")</f>
        <v/>
      </c>
    </row>
    <row r="20638">
      <c r="A20638" t="inlineStr">
        <is>
          <t>0888066137249</t>
        </is>
      </c>
      <c r="B20638" t="inlineStr">
        <is>
          <t>TOM FORD Traceless Soft Matte Concealer 3W1 Golden .12 oz / 3.5g</t>
        </is>
      </c>
      <c r="C20638" t="inlineStr">
        <is>
          <t>Concealer</t>
        </is>
      </c>
      <c r="D20638" t="inlineStr">
        <is>
          <t>Tom Ford</t>
        </is>
      </c>
      <c r="E20638" t="n">
        <v>46.68</v>
      </c>
      <c r="F20638" t="n">
        <v>1</v>
      </c>
      <c r="G20638" t="n">
        <v>4</v>
      </c>
      <c r="H20638" s="5">
        <f>HYPERLINK("https://api.qogita.com/variants/link/0888066137249/", "View Product")</f>
        <v/>
      </c>
    </row>
    <row r="20639">
      <c r="A20639" t="inlineStr">
        <is>
          <t>0888066137256</t>
        </is>
      </c>
      <c r="B20639" t="inlineStr">
        <is>
          <t>Tom Ford Traceless Soft Matte Concealer 0.12oz/3.5g</t>
        </is>
      </c>
      <c r="C20639" t="inlineStr">
        <is>
          <t>Concealer</t>
        </is>
      </c>
      <c r="D20639" t="inlineStr">
        <is>
          <t>Tom Ford</t>
        </is>
      </c>
      <c r="E20639" t="n">
        <v>46.68</v>
      </c>
      <c r="F20639" t="n">
        <v>1</v>
      </c>
      <c r="G20639" t="n">
        <v>5</v>
      </c>
      <c r="H20639" s="5">
        <f>HYPERLINK("https://api.qogita.com/variants/link/0888066137256/", "View Product")</f>
        <v/>
      </c>
    </row>
    <row r="20640">
      <c r="A20640" t="inlineStr">
        <is>
          <t>0888066143127</t>
        </is>
      </c>
      <c r="B20640" t="inlineStr">
        <is>
          <t>Tom Ford Electric Cherry for Unisex 1 oz EDP Spray</t>
        </is>
      </c>
      <c r="C20640" t="inlineStr">
        <is>
          <t>Eau De Parfum</t>
        </is>
      </c>
      <c r="D20640" t="inlineStr">
        <is>
          <t>Tom Ford</t>
        </is>
      </c>
      <c r="E20640" t="n">
        <v>149.31</v>
      </c>
      <c r="F20640" t="n">
        <v>1</v>
      </c>
      <c r="G20640" t="n">
        <v>10</v>
      </c>
      <c r="H20640" s="5">
        <f>HYPERLINK("https://api.qogita.com/variants/link/0888066143127/", "View Product")</f>
        <v/>
      </c>
    </row>
    <row r="20641">
      <c r="A20641" t="inlineStr">
        <is>
          <t>0888066147378</t>
        </is>
      </c>
      <c r="B20641" t="inlineStr">
        <is>
          <t>Tom Ford Slim Lip Color Shine - Glossy Lipstick</t>
        </is>
      </c>
      <c r="C20641" t="inlineStr">
        <is>
          <t>Lipstick</t>
        </is>
      </c>
      <c r="D20641" t="inlineStr">
        <is>
          <t>Tom Ford</t>
        </is>
      </c>
      <c r="E20641" t="n">
        <v>50.88</v>
      </c>
      <c r="F20641" t="n">
        <v>1</v>
      </c>
      <c r="G20641" t="n">
        <v>5</v>
      </c>
      <c r="H20641" s="5">
        <f>HYPERLINK("https://api.qogita.com/variants/link/0888066147378/", "View Product")</f>
        <v/>
      </c>
    </row>
    <row r="20642">
      <c r="A20642" t="inlineStr">
        <is>
          <t>0888066149068</t>
        </is>
      </c>
      <c r="B20642" t="inlineStr">
        <is>
          <t>Tom Ford Black Orchid Eau De Toilette 100ml</t>
        </is>
      </c>
      <c r="C20642" t="inlineStr">
        <is>
          <t>Eau De Toilette</t>
        </is>
      </c>
      <c r="D20642" t="inlineStr">
        <is>
          <t>Tom Ford</t>
        </is>
      </c>
      <c r="E20642" t="n">
        <v>97.01000000000001</v>
      </c>
      <c r="F20642" t="n">
        <v>1</v>
      </c>
      <c r="G20642" t="n">
        <v>4</v>
      </c>
      <c r="H20642" s="5">
        <f>HYPERLINK("https://api.qogita.com/variants/link/0888066149068/", "View Product")</f>
        <v/>
      </c>
    </row>
    <row r="20643">
      <c r="A20643" t="inlineStr">
        <is>
          <t>0888066150484</t>
        </is>
      </c>
      <c r="B20643" t="inlineStr">
        <is>
          <t>Tom Ford Vanille Fatale Eau De Parfum 30ml</t>
        </is>
      </c>
      <c r="C20643" t="inlineStr">
        <is>
          <t>Eau De Parfum</t>
        </is>
      </c>
      <c r="D20643" t="inlineStr">
        <is>
          <t>Tom Ford</t>
        </is>
      </c>
      <c r="E20643" t="n">
        <v>149.27</v>
      </c>
      <c r="F20643" t="n">
        <v>1</v>
      </c>
      <c r="G20643" t="n">
        <v>7</v>
      </c>
      <c r="H20643" s="5">
        <f>HYPERLINK("https://api.qogita.com/variants/link/0888066150484/", "View Product")</f>
        <v/>
      </c>
    </row>
    <row r="20644">
      <c r="A20644" t="inlineStr">
        <is>
          <t>0888066157742</t>
        </is>
      </c>
      <c r="B20644" t="inlineStr">
        <is>
          <t>Tom Ford Ultra Shine Lip Color - 33 Grams</t>
        </is>
      </c>
      <c r="C20644" t="inlineStr">
        <is>
          <t>Lipstick</t>
        </is>
      </c>
      <c r="D20644" t="inlineStr">
        <is>
          <t>Tom Ford</t>
        </is>
      </c>
      <c r="E20644" t="n">
        <v>52.19</v>
      </c>
      <c r="F20644" t="n">
        <v>1</v>
      </c>
      <c r="G20644" t="n">
        <v>2</v>
      </c>
      <c r="H20644" s="5">
        <f>HYPERLINK("https://api.qogita.com/variants/link/0888066157742/", "View Product")</f>
        <v/>
      </c>
    </row>
    <row r="20645">
      <c r="A20645" t="inlineStr">
        <is>
          <t>0888066157759</t>
        </is>
      </c>
      <c r="B20645" t="inlineStr">
        <is>
          <t>Tom Ford Ultra Shine Lip Color - 33 Grams</t>
        </is>
      </c>
      <c r="C20645" t="inlineStr">
        <is>
          <t>Lipstick</t>
        </is>
      </c>
      <c r="D20645" t="inlineStr">
        <is>
          <t>Tom Ford</t>
        </is>
      </c>
      <c r="E20645" t="n">
        <v>50.88</v>
      </c>
      <c r="F20645" t="n">
        <v>1</v>
      </c>
      <c r="G20645" t="n">
        <v>3</v>
      </c>
      <c r="H20645" s="5">
        <f>HYPERLINK("https://api.qogita.com/variants/link/0888066157759/", "View Product")</f>
        <v/>
      </c>
    </row>
    <row r="20646">
      <c r="A20646" t="inlineStr">
        <is>
          <t>0888874000353</t>
        </is>
      </c>
      <c r="B20646" t="inlineStr">
        <is>
          <t>Bond No.9 Nuits De Noho Eau De Parfum 50ml</t>
        </is>
      </c>
      <c r="C20646" t="inlineStr">
        <is>
          <t>Eau De Parfum</t>
        </is>
      </c>
      <c r="D20646" t="inlineStr">
        <is>
          <t>Bond No. 9</t>
        </is>
      </c>
      <c r="E20646" t="n">
        <v>120.66</v>
      </c>
      <c r="F20646" t="n">
        <v>1</v>
      </c>
      <c r="G20646" t="n">
        <v>2</v>
      </c>
      <c r="H20646" s="5">
        <f>HYPERLINK("https://api.qogita.com/variants/link/0888874000353/", "View Product")</f>
        <v/>
      </c>
    </row>
    <row r="20647">
      <c r="A20647" t="inlineStr">
        <is>
          <t>0888874000896</t>
        </is>
      </c>
      <c r="B20647" t="inlineStr">
        <is>
          <t>Bond No. 9 New Haarlem Eau de Parfum Spray 100ml</t>
        </is>
      </c>
      <c r="C20647" t="inlineStr">
        <is>
          <t>Eau De Parfum</t>
        </is>
      </c>
      <c r="D20647" t="inlineStr">
        <is>
          <t>Bond No. 9</t>
        </is>
      </c>
      <c r="E20647" t="n">
        <v>149.64</v>
      </c>
      <c r="F20647" t="n">
        <v>1</v>
      </c>
      <c r="G20647" t="n">
        <v>2</v>
      </c>
      <c r="H20647" s="5">
        <f>HYPERLINK("https://api.qogita.com/variants/link/0888874000896/", "View Product")</f>
        <v/>
      </c>
    </row>
    <row r="20648">
      <c r="A20648" t="inlineStr">
        <is>
          <t>0888874001152</t>
        </is>
      </c>
      <c r="B20648" t="inlineStr">
        <is>
          <t>Bond N09 Wall Street Eau De Parfum Spray 100ml</t>
        </is>
      </c>
      <c r="C20648" t="inlineStr">
        <is>
          <t>Eau De Parfum</t>
        </is>
      </c>
      <c r="D20648" t="inlineStr">
        <is>
          <t>Bond No. 9</t>
        </is>
      </c>
      <c r="E20648" t="n">
        <v>144</v>
      </c>
      <c r="F20648" t="n">
        <v>1</v>
      </c>
      <c r="G20648" t="n">
        <v>7</v>
      </c>
      <c r="H20648" s="5">
        <f>HYPERLINK("https://api.qogita.com/variants/link/0888874001152/", "View Product")</f>
        <v/>
      </c>
    </row>
    <row r="20649">
      <c r="A20649" t="inlineStr">
        <is>
          <t>0888874002111</t>
        </is>
      </c>
      <c r="B20649" t="inlineStr">
        <is>
          <t>Bond No. 9 Signature Perfume for Unisex 3.3 Oz EDT Spray</t>
        </is>
      </c>
      <c r="C20649" t="inlineStr">
        <is>
          <t>Eau De Toilette</t>
        </is>
      </c>
      <c r="D20649" t="inlineStr">
        <is>
          <t>Bond No. 9</t>
        </is>
      </c>
      <c r="E20649" t="n">
        <v>213.64</v>
      </c>
      <c r="F20649" t="n">
        <v>1</v>
      </c>
      <c r="G20649" t="n">
        <v>4</v>
      </c>
      <c r="H20649" s="5">
        <f>HYPERLINK("https://api.qogita.com/variants/link/0888874002111/", "View Product")</f>
        <v/>
      </c>
    </row>
    <row r="20650">
      <c r="A20650" t="inlineStr">
        <is>
          <t>0888874006027</t>
        </is>
      </c>
      <c r="B20650" t="inlineStr">
        <is>
          <t>Bond No9 Spring Fling Eau de Parfum 100ml</t>
        </is>
      </c>
      <c r="C20650" t="inlineStr">
        <is>
          <t>Eau De Parfum</t>
        </is>
      </c>
      <c r="D20650" t="inlineStr">
        <is>
          <t>Bond No. 9</t>
        </is>
      </c>
      <c r="E20650" t="n">
        <v>190.74</v>
      </c>
      <c r="F20650" t="n">
        <v>1</v>
      </c>
      <c r="G20650" t="n">
        <v>2</v>
      </c>
      <c r="H20650" s="5">
        <f>HYPERLINK("https://api.qogita.com/variants/link/0888874006027/", "View Product")</f>
        <v/>
      </c>
    </row>
    <row r="20651">
      <c r="A20651" t="inlineStr">
        <is>
          <t>0888874006096</t>
        </is>
      </c>
      <c r="B20651" t="inlineStr">
        <is>
          <t>Bond No9 Scents of New York New Bond Street Femme Eau De Parfum 100ml</t>
        </is>
      </c>
      <c r="C20651" t="inlineStr">
        <is>
          <t>Eau De Parfum</t>
        </is>
      </c>
      <c r="D20651" t="inlineStr">
        <is>
          <t>Bond No. 9</t>
        </is>
      </c>
      <c r="E20651" t="n">
        <v>157.1</v>
      </c>
      <c r="F20651" t="n">
        <v>1</v>
      </c>
      <c r="G20651" t="n">
        <v>5</v>
      </c>
      <c r="H20651" s="5">
        <f>HYPERLINK("https://api.qogita.com/variants/link/0888874006096/", "View Product")</f>
        <v/>
      </c>
    </row>
    <row r="20652">
      <c r="A20652" t="inlineStr">
        <is>
          <t>0888874007420</t>
        </is>
      </c>
      <c r="B20652" t="inlineStr">
        <is>
          <t>Bond No. 9 New York Unisex Eau de Parfum Spray 100ml</t>
        </is>
      </c>
      <c r="C20652" t="inlineStr">
        <is>
          <t>Eau De Parfum</t>
        </is>
      </c>
      <c r="D20652" t="inlineStr">
        <is>
          <t>Bond No. 9</t>
        </is>
      </c>
      <c r="E20652" t="n">
        <v>170.58</v>
      </c>
      <c r="F20652" t="n">
        <v>1</v>
      </c>
      <c r="G20652" t="n">
        <v>7</v>
      </c>
      <c r="H20652" s="5">
        <f>HYPERLINK("https://api.qogita.com/variants/link/0888874007420/", "View Product")</f>
        <v/>
      </c>
    </row>
    <row r="20653">
      <c r="A20653" t="inlineStr">
        <is>
          <t>0888874007918</t>
        </is>
      </c>
      <c r="B20653" t="inlineStr">
        <is>
          <t>Chelsea Nights by Bond No. 9 Unisex 3.3 Oz EDP Spray</t>
        </is>
      </c>
      <c r="C20653" t="inlineStr">
        <is>
          <t>Eau De Parfum</t>
        </is>
      </c>
      <c r="D20653" t="inlineStr">
        <is>
          <t>Bond No. 9</t>
        </is>
      </c>
      <c r="E20653" t="n">
        <v>185.5</v>
      </c>
      <c r="F20653" t="n">
        <v>1</v>
      </c>
      <c r="G20653" t="n">
        <v>3</v>
      </c>
      <c r="H20653" s="5">
        <f>HYPERLINK("https://api.qogita.com/variants/link/0888874007918/", "View Product")</f>
        <v/>
      </c>
    </row>
    <row r="20654">
      <c r="A20654" t="inlineStr">
        <is>
          <t>0892456000037</t>
        </is>
      </c>
      <c r="B20654" t="inlineStr">
        <is>
          <t>Animale Animale by Parlux Fragrances for Women Eau de Parfum Spray 3.4 oz</t>
        </is>
      </c>
      <c r="C20654" t="inlineStr">
        <is>
          <t>Eau De Parfum</t>
        </is>
      </c>
      <c r="D20654" t="inlineStr">
        <is>
          <t>Animal</t>
        </is>
      </c>
      <c r="E20654" t="n">
        <v>28.33</v>
      </c>
      <c r="F20654" t="n">
        <v>1</v>
      </c>
      <c r="G20654" t="n">
        <v>11</v>
      </c>
      <c r="H20654" s="5">
        <f>HYPERLINK("https://api.qogita.com/variants/link/0892456000037/", "View Product")</f>
        <v/>
      </c>
    </row>
    <row r="20655">
      <c r="A20655" t="inlineStr">
        <is>
          <t>0892456000266</t>
        </is>
      </c>
      <c r="B20655" t="inlineStr">
        <is>
          <t>Animale Women's Eau de Parfum Spray 6.8 Ounce</t>
        </is>
      </c>
      <c r="C20655" t="inlineStr">
        <is>
          <t>Eau De Parfum</t>
        </is>
      </c>
      <c r="D20655" t="inlineStr">
        <is>
          <t>Animal</t>
        </is>
      </c>
      <c r="E20655" t="n">
        <v>39.73</v>
      </c>
      <c r="F20655" t="n">
        <v>1</v>
      </c>
      <c r="G20655" t="n">
        <v>12</v>
      </c>
      <c r="H20655" s="5">
        <f>HYPERLINK("https://api.qogita.com/variants/link/0892456000266/", "View Product")</f>
        <v/>
      </c>
    </row>
    <row r="20656">
      <c r="A20656" t="inlineStr">
        <is>
          <t>1210000800114</t>
        </is>
      </c>
      <c r="B20656" t="inlineStr">
        <is>
          <t>RoC Multi Correxion Revive + Glow Unifying Cream Rich with Vitamin C 50ml</t>
        </is>
      </c>
      <c r="C20656" t="inlineStr">
        <is>
          <t>Face Cream</t>
        </is>
      </c>
      <c r="D20656" t="inlineStr">
        <is>
          <t>RoC</t>
        </is>
      </c>
      <c r="E20656" t="n">
        <v>17.58</v>
      </c>
      <c r="F20656" t="n">
        <v>1</v>
      </c>
      <c r="G20656" t="n">
        <v>12</v>
      </c>
      <c r="H20656" s="5">
        <f>HYPERLINK("https://api.qogita.com/variants/link/1210000800114/", "View Product")</f>
        <v/>
      </c>
    </row>
    <row r="20657">
      <c r="A20657" t="inlineStr">
        <is>
          <t>2376877185781</t>
        </is>
      </c>
      <c r="B20657" t="inlineStr">
        <is>
          <t>Versace Eros Eau De Toilette</t>
        </is>
      </c>
      <c r="C20657" t="inlineStr">
        <is>
          <t>Eau De Toilette</t>
        </is>
      </c>
      <c r="D20657" t="inlineStr">
        <is>
          <t>Versace</t>
        </is>
      </c>
      <c r="E20657" t="n">
        <v>46.66</v>
      </c>
      <c r="F20657" t="n">
        <v>1</v>
      </c>
      <c r="G20657" t="n">
        <v>32</v>
      </c>
      <c r="H20657" s="5">
        <f>HYPERLINK("https://api.qogita.com/variants/link/2376877185781/", "View Product")</f>
        <v/>
      </c>
    </row>
    <row r="20658">
      <c r="A20658" t="inlineStr">
        <is>
          <t>2376878615584</t>
        </is>
      </c>
      <c r="B20658" t="inlineStr">
        <is>
          <t>Alhambra Sceptre Bronzite - Eau De Parfum</t>
        </is>
      </c>
      <c r="C20658" t="inlineStr">
        <is>
          <t>Eau De Parfum</t>
        </is>
      </c>
      <c r="D20658" t="inlineStr">
        <is>
          <t>Alhambra</t>
        </is>
      </c>
      <c r="E20658" t="n">
        <v>19.99</v>
      </c>
      <c r="F20658" t="n">
        <v>1</v>
      </c>
      <c r="G20658" t="n">
        <v>18</v>
      </c>
      <c r="H20658" s="5">
        <f>HYPERLINK("https://api.qogita.com/variants/link/2376878615584/", "View Product")</f>
        <v/>
      </c>
    </row>
    <row r="20659">
      <c r="A20659" t="inlineStr">
        <is>
          <t>2376879017363</t>
        </is>
      </c>
      <c r="B20659" t="inlineStr">
        <is>
          <t>Oriflame Milk &amp; Honey Gold Nourishing Hand And Body Cream - 250 Ml</t>
        </is>
      </c>
      <c r="C20659" t="inlineStr">
        <is>
          <t>Body Lotion</t>
        </is>
      </c>
      <c r="D20659" t="inlineStr">
        <is>
          <t>Oriflame</t>
        </is>
      </c>
      <c r="E20659" t="n">
        <v>6.65</v>
      </c>
      <c r="F20659" t="n">
        <v>1</v>
      </c>
      <c r="G20659" t="n">
        <v>65</v>
      </c>
      <c r="H20659" s="5">
        <f>HYPERLINK("https://api.qogita.com/variants/link/2376879017363/", "View Product")</f>
        <v/>
      </c>
    </row>
    <row r="20660">
      <c r="A20660" t="inlineStr">
        <is>
          <t>2376879017370</t>
        </is>
      </c>
      <c r="B20660" t="inlineStr">
        <is>
          <t>Oriflame Smoothing Body Scrub Milk &amp; Honey Gold Smoothing Sugar Scrub 200 Ml</t>
        </is>
      </c>
      <c r="C20660" t="inlineStr">
        <is>
          <t>Body Scrub &amp; Peeling</t>
        </is>
      </c>
      <c r="D20660" t="inlineStr">
        <is>
          <t>Oriflame</t>
        </is>
      </c>
      <c r="E20660" t="n">
        <v>7.1</v>
      </c>
      <c r="F20660" t="n">
        <v>1</v>
      </c>
      <c r="G20660" t="n">
        <v>15</v>
      </c>
      <c r="H20660" s="5">
        <f>HYPERLINK("https://api.qogita.com/variants/link/2376879017370/", "View Product")</f>
        <v/>
      </c>
    </row>
    <row r="20661">
      <c r="A20661" t="inlineStr">
        <is>
          <t>3014230000201</t>
        </is>
      </c>
      <c r="B20661" t="inlineStr">
        <is>
          <t>Dove Original Antiperspirant Aerosol 200ml</t>
        </is>
      </c>
      <c r="C20661" t="inlineStr">
        <is>
          <t>Deodorant &amp; Anti-Perspirant</t>
        </is>
      </c>
      <c r="D20661" t="inlineStr">
        <is>
          <t>Dove</t>
        </is>
      </c>
      <c r="E20661" t="n">
        <v>4.9</v>
      </c>
      <c r="F20661" t="n">
        <v>1</v>
      </c>
      <c r="G20661" t="n">
        <v>8</v>
      </c>
      <c r="H20661" s="5">
        <f>HYPERLINK("https://api.qogita.com/variants/link/3014230000201/", "View Product")</f>
        <v/>
      </c>
    </row>
    <row r="20662">
      <c r="A20662" t="inlineStr">
        <is>
          <t>3014230021404</t>
        </is>
      </c>
      <c r="B20662" t="inlineStr">
        <is>
          <t>Brut Original Deodorant Spray 200ml</t>
        </is>
      </c>
      <c r="C20662" t="inlineStr">
        <is>
          <t>Deodorant &amp; Anti-Perspirant</t>
        </is>
      </c>
      <c r="D20662" t="inlineStr">
        <is>
          <t>Brut</t>
        </is>
      </c>
      <c r="E20662" t="n">
        <v>2.82</v>
      </c>
      <c r="F20662" t="n">
        <v>1</v>
      </c>
      <c r="G20662" t="n">
        <v>79</v>
      </c>
      <c r="H20662" s="5">
        <f>HYPERLINK("https://api.qogita.com/variants/link/3014230021404/", "View Product")</f>
        <v/>
      </c>
    </row>
    <row r="20663">
      <c r="A20663" t="inlineStr">
        <is>
          <t>3014260214692</t>
        </is>
      </c>
      <c r="B20663" t="inlineStr">
        <is>
          <t>Gillette Shaving Gel For Sensitive Skin 200 Ml</t>
        </is>
      </c>
      <c r="C20663" t="inlineStr">
        <is>
          <t>Shaving</t>
        </is>
      </c>
      <c r="D20663" t="inlineStr">
        <is>
          <t>Gillette</t>
        </is>
      </c>
      <c r="E20663" t="n">
        <v>3.24</v>
      </c>
      <c r="F20663" t="n">
        <v>1</v>
      </c>
      <c r="G20663" t="n">
        <v>16</v>
      </c>
      <c r="H20663" s="5">
        <f>HYPERLINK("https://api.qogita.com/variants/link/3014260214692/", "View Product")</f>
        <v/>
      </c>
    </row>
    <row r="20664">
      <c r="A20664" t="inlineStr">
        <is>
          <t>3014260216665</t>
        </is>
      </c>
      <c r="B20664" t="inlineStr">
        <is>
          <t>Gillette Sensor Excel Blades 10 Pack</t>
        </is>
      </c>
      <c r="C20664" t="inlineStr">
        <is>
          <t>Razors &amp; Hair Removal Tools</t>
        </is>
      </c>
      <c r="D20664" t="inlineStr">
        <is>
          <t>Gillette</t>
        </is>
      </c>
      <c r="E20664" t="n">
        <v>14.44</v>
      </c>
      <c r="F20664" t="n">
        <v>1</v>
      </c>
      <c r="G20664" t="n">
        <v>239</v>
      </c>
      <c r="H20664" s="5">
        <f>HYPERLINK("https://api.qogita.com/variants/link/3014260216665/", "View Product")</f>
        <v/>
      </c>
    </row>
    <row r="20665">
      <c r="A20665" t="inlineStr">
        <is>
          <t>3014260262693</t>
        </is>
      </c>
      <c r="B20665" t="inlineStr">
        <is>
          <t>Gillette Venus Smooth Women's Razor With 2 Heads</t>
        </is>
      </c>
      <c r="C20665" t="inlineStr">
        <is>
          <t>Razors &amp; Hair Removal Tools</t>
        </is>
      </c>
      <c r="D20665" t="inlineStr">
        <is>
          <t>Gillette</t>
        </is>
      </c>
      <c r="E20665" t="n">
        <v>8.92</v>
      </c>
      <c r="F20665" t="n">
        <v>1</v>
      </c>
      <c r="G20665" t="n">
        <v>23</v>
      </c>
      <c r="H20665" s="5">
        <f>HYPERLINK("https://api.qogita.com/variants/link/3014260262693/", "View Product")</f>
        <v/>
      </c>
    </row>
    <row r="20666">
      <c r="A20666" t="inlineStr">
        <is>
          <t>3014260280802</t>
        </is>
      </c>
      <c r="B20666" t="inlineStr">
        <is>
          <t>Gillette Venus Spare Heads Women's Classic Smooth Razor Blades</t>
        </is>
      </c>
      <c r="C20666" t="inlineStr">
        <is>
          <t>Razors &amp; Hair Removal Tools</t>
        </is>
      </c>
      <c r="D20666" t="inlineStr">
        <is>
          <t>Gillette</t>
        </is>
      </c>
      <c r="E20666" t="n">
        <v>15.91</v>
      </c>
      <c r="F20666" t="n">
        <v>1</v>
      </c>
      <c r="G20666" t="n">
        <v>22</v>
      </c>
      <c r="H20666" s="5">
        <f>HYPERLINK("https://api.qogita.com/variants/link/3014260280802/", "View Product")</f>
        <v/>
      </c>
    </row>
    <row r="20667">
      <c r="A20667" t="inlineStr">
        <is>
          <t>3030050046182</t>
        </is>
      </c>
      <c r="B20667" t="inlineStr">
        <is>
          <t>Babyliss Pro Professional Combing Hairbrush Babnb1e Thin Paddle Brush With Nylon Pins</t>
        </is>
      </c>
      <c r="C20667" t="inlineStr">
        <is>
          <t>Flat &amp; Paddle Brushes</t>
        </is>
      </c>
      <c r="D20667" t="inlineStr">
        <is>
          <t>Babyliss Pro</t>
        </is>
      </c>
      <c r="E20667" t="n">
        <v>8.34</v>
      </c>
      <c r="F20667" t="n">
        <v>1</v>
      </c>
      <c r="G20667" t="n">
        <v>2</v>
      </c>
      <c r="H20667" s="5">
        <f>HYPERLINK("https://api.qogita.com/variants/link/3030050046182/", "View Product")</f>
        <v/>
      </c>
    </row>
    <row r="20668">
      <c r="A20668" t="inlineStr">
        <is>
          <t>3030050091625</t>
        </is>
      </c>
      <c r="B20668" t="inlineStr">
        <is>
          <t>Babyliss Pro 2658 Nano Titanium Crimping Iron</t>
        </is>
      </c>
      <c r="C20668" t="inlineStr">
        <is>
          <t>Curling Irons</t>
        </is>
      </c>
      <c r="D20668" t="inlineStr">
        <is>
          <t>Babyliss Pro</t>
        </is>
      </c>
      <c r="E20668" t="n">
        <v>49.09</v>
      </c>
      <c r="F20668" t="n">
        <v>1</v>
      </c>
      <c r="G20668" t="n">
        <v>5</v>
      </c>
      <c r="H20668" s="5">
        <f>HYPERLINK("https://api.qogita.com/variants/link/3030050091625/", "View Product")</f>
        <v/>
      </c>
    </row>
    <row r="20669">
      <c r="A20669" t="inlineStr">
        <is>
          <t>3030050100921</t>
        </is>
      </c>
      <c r="B20669" t="inlineStr">
        <is>
          <t>BaByliss Pro 100768 FX 768 Contour Hair Clipper</t>
        </is>
      </c>
      <c r="C20669" t="inlineStr">
        <is>
          <t>Hair Clippers</t>
        </is>
      </c>
      <c r="D20669" t="inlineStr">
        <is>
          <t>Babyliss Pro</t>
        </is>
      </c>
      <c r="E20669" t="n">
        <v>60.51</v>
      </c>
      <c r="F20669" t="n">
        <v>1</v>
      </c>
      <c r="G20669" t="n">
        <v>2</v>
      </c>
      <c r="H20669" s="5">
        <f>HYPERLINK("https://api.qogita.com/variants/link/3030050100921/", "View Product")</f>
        <v/>
      </c>
    </row>
    <row r="20670">
      <c r="A20670" t="inlineStr">
        <is>
          <t>3030050116472</t>
        </is>
      </c>
      <c r="B20670" t="inlineStr">
        <is>
          <t>Babyliss Pro Ultra Light Hair Dryer 7000ie Rapido 2200 W Professional Ionic Hair Dryer</t>
        </is>
      </c>
      <c r="C20670" t="inlineStr">
        <is>
          <t>Hair Dryers</t>
        </is>
      </c>
      <c r="D20670" t="inlineStr">
        <is>
          <t>Babyliss Pro</t>
        </is>
      </c>
      <c r="E20670" t="n">
        <v>148.25</v>
      </c>
      <c r="F20670" t="n">
        <v>1</v>
      </c>
      <c r="G20670" t="n">
        <v>4</v>
      </c>
      <c r="H20670" s="5">
        <f>HYPERLINK("https://api.qogita.com/variants/link/3030050116472/", "View Product")</f>
        <v/>
      </c>
    </row>
    <row r="20671">
      <c r="A20671" t="inlineStr">
        <is>
          <t>3030050145885</t>
        </is>
      </c>
      <c r="B20671" t="inlineStr">
        <is>
          <t>Babyliss T885E Hair Clipper</t>
        </is>
      </c>
      <c r="C20671" t="inlineStr">
        <is>
          <t>Hair Clippers</t>
        </is>
      </c>
      <c r="D20671" t="inlineStr">
        <is>
          <t>Babyliss</t>
        </is>
      </c>
      <c r="E20671" t="n">
        <v>55.43</v>
      </c>
      <c r="F20671" t="n">
        <v>1</v>
      </c>
      <c r="G20671" t="n">
        <v>2</v>
      </c>
      <c r="H20671" s="5">
        <f>HYPERLINK("https://api.qogita.com/variants/link/3030050145885/", "View Product")</f>
        <v/>
      </c>
    </row>
    <row r="20672">
      <c r="A20672" t="inlineStr">
        <is>
          <t>3030050150810</t>
        </is>
      </c>
      <c r="B20672" t="inlineStr">
        <is>
          <t>BaByliss PRO Cut Definer Professional Cordless Hair Clipper with Stainless Steel Blades, Charging Station and Storage Bag - Single</t>
        </is>
      </c>
      <c r="C20672" t="inlineStr">
        <is>
          <t>Hair Clippers</t>
        </is>
      </c>
      <c r="D20672" t="inlineStr">
        <is>
          <t>Babyliss Pro</t>
        </is>
      </c>
      <c r="E20672" t="n">
        <v>80.62</v>
      </c>
      <c r="F20672" t="n">
        <v>1</v>
      </c>
      <c r="G20672" t="n">
        <v>4</v>
      </c>
      <c r="H20672" s="5">
        <f>HYPERLINK("https://api.qogita.com/variants/link/3030050150810/", "View Product")</f>
        <v/>
      </c>
    </row>
    <row r="20673">
      <c r="A20673" t="inlineStr">
        <is>
          <t>3030050152463</t>
        </is>
      </c>
      <c r="B20673" t="inlineStr">
        <is>
          <t>Babyliss Pro Single Foil Metal Shaver Fxfs1e For Men's Grooming</t>
        </is>
      </c>
      <c r="C20673" t="inlineStr">
        <is>
          <t>Shaving</t>
        </is>
      </c>
      <c r="D20673" t="inlineStr">
        <is>
          <t>Babyliss Pro</t>
        </is>
      </c>
      <c r="E20673" t="n">
        <v>38.2</v>
      </c>
      <c r="F20673" t="n">
        <v>1</v>
      </c>
      <c r="G20673" t="n">
        <v>30</v>
      </c>
      <c r="H20673" s="5">
        <f>HYPERLINK("https://api.qogita.com/variants/link/3030050152463/", "View Product")</f>
        <v/>
      </c>
    </row>
    <row r="20674">
      <c r="A20674" t="inlineStr">
        <is>
          <t>3030050157635</t>
        </is>
      </c>
      <c r="B20674" t="inlineStr">
        <is>
          <t>Replacement Foil Head and Cutter for Single Foil Shaver FoilFX01</t>
        </is>
      </c>
      <c r="C20674" t="inlineStr">
        <is>
          <t>Shaving Accessories</t>
        </is>
      </c>
      <c r="D20674" t="inlineStr">
        <is>
          <t>Babyliss</t>
        </is>
      </c>
      <c r="E20674" t="n">
        <v>9.449999999999999</v>
      </c>
      <c r="F20674" t="n">
        <v>1</v>
      </c>
      <c r="G20674" t="n">
        <v>2</v>
      </c>
      <c r="H20674" s="5">
        <f>HYPERLINK("https://api.qogita.com/variants/link/3030050157635/", "View Product")</f>
        <v/>
      </c>
    </row>
    <row r="20675">
      <c r="A20675" t="inlineStr">
        <is>
          <t>3030050157734</t>
        </is>
      </c>
      <c r="B20675" t="inlineStr">
        <is>
          <t>Babyliss Plastic</t>
        </is>
      </c>
      <c r="C20675" t="inlineStr">
        <is>
          <t>Hair Clippers</t>
        </is>
      </c>
      <c r="D20675" t="inlineStr">
        <is>
          <t>Babyliss</t>
        </is>
      </c>
      <c r="E20675" t="n">
        <v>52.29</v>
      </c>
      <c r="F20675" t="n">
        <v>1</v>
      </c>
      <c r="G20675" t="n">
        <v>3</v>
      </c>
      <c r="H20675" s="5">
        <f>HYPERLINK("https://api.qogita.com/variants/link/3030050157734/", "View Product")</f>
        <v/>
      </c>
    </row>
    <row r="20676">
      <c r="A20676" t="inlineStr">
        <is>
          <t>3030050158069</t>
        </is>
      </c>
      <c r="B20676" t="inlineStr">
        <is>
          <t>Babyliss Titanium</t>
        </is>
      </c>
      <c r="C20676" t="inlineStr">
        <is>
          <t>Hair Straighteners</t>
        </is>
      </c>
      <c r="D20676" t="inlineStr">
        <is>
          <t>Babyliss</t>
        </is>
      </c>
      <c r="E20676" t="n">
        <v>67.91</v>
      </c>
      <c r="F20676" t="n">
        <v>1</v>
      </c>
      <c r="G20676" t="n">
        <v>4</v>
      </c>
      <c r="H20676" s="5">
        <f>HYPERLINK("https://api.qogita.com/variants/link/3030050158069/", "View Product")</f>
        <v/>
      </c>
    </row>
    <row r="20677">
      <c r="A20677" t="inlineStr">
        <is>
          <t>3030050179545</t>
        </is>
      </c>
      <c r="B20677" t="inlineStr">
        <is>
          <t>Babyliss Pro Red Fx 2200w Digital Hair Dryer</t>
        </is>
      </c>
      <c r="C20677" t="inlineStr">
        <is>
          <t>Hair Dryers</t>
        </is>
      </c>
      <c r="D20677" t="inlineStr">
        <is>
          <t>Babyliss Pro</t>
        </is>
      </c>
      <c r="E20677" t="n">
        <v>144.94</v>
      </c>
      <c r="F20677" t="n">
        <v>1</v>
      </c>
      <c r="G20677" t="n">
        <v>3</v>
      </c>
      <c r="H20677" s="5">
        <f>HYPERLINK("https://api.qogita.com/variants/link/3030050179545/", "View Product")</f>
        <v/>
      </c>
    </row>
    <row r="20678">
      <c r="A20678" t="inlineStr">
        <is>
          <t>3030050185874</t>
        </is>
      </c>
      <c r="B20678" t="inlineStr">
        <is>
          <t>Babyliss 230 ST241E Flat Hair Iron</t>
        </is>
      </c>
      <c r="C20678" t="inlineStr">
        <is>
          <t>Hair Straighteners</t>
        </is>
      </c>
      <c r="D20678" t="inlineStr">
        <is>
          <t>Babyliss</t>
        </is>
      </c>
      <c r="E20678" t="n">
        <v>41.49</v>
      </c>
      <c r="F20678" t="n">
        <v>1</v>
      </c>
      <c r="G20678" t="n">
        <v>4</v>
      </c>
      <c r="H20678" s="5">
        <f>HYPERLINK("https://api.qogita.com/variants/link/3030050185874/", "View Product")</f>
        <v/>
      </c>
    </row>
    <row r="20679">
      <c r="A20679" t="inlineStr">
        <is>
          <t>3030050188394</t>
        </is>
      </c>
      <c r="B20679" t="inlineStr">
        <is>
          <t>Hair Dryer AS128E</t>
        </is>
      </c>
      <c r="C20679" t="inlineStr">
        <is>
          <t>Hair Dryers</t>
        </is>
      </c>
      <c r="D20679" t="inlineStr">
        <is>
          <t>Babyliss</t>
        </is>
      </c>
      <c r="E20679" t="n">
        <v>62.72</v>
      </c>
      <c r="F20679" t="n">
        <v>1</v>
      </c>
      <c r="G20679" t="n">
        <v>4</v>
      </c>
      <c r="H20679" s="5">
        <f>HYPERLINK("https://api.qogita.com/variants/link/3030050188394/", "View Product")</f>
        <v/>
      </c>
    </row>
    <row r="20680">
      <c r="A20680" t="inlineStr">
        <is>
          <t>3030050192957</t>
        </is>
      </c>
      <c r="B20680" t="inlineStr">
        <is>
          <t>Babyliss Hair Dryer D781e</t>
        </is>
      </c>
      <c r="C20680" t="inlineStr">
        <is>
          <t>Hair Dryers</t>
        </is>
      </c>
      <c r="D20680" t="inlineStr">
        <is>
          <t>Babyliss</t>
        </is>
      </c>
      <c r="E20680" t="n">
        <v>60.86</v>
      </c>
      <c r="F20680" t="n">
        <v>1</v>
      </c>
      <c r="G20680" t="n">
        <v>3</v>
      </c>
      <c r="H20680" s="5">
        <f>HYPERLINK("https://api.qogita.com/variants/link/3030050192957/", "View Product")</f>
        <v/>
      </c>
    </row>
    <row r="20681">
      <c r="A20681" t="inlineStr">
        <is>
          <t>3030050193770</t>
        </is>
      </c>
      <c r="B20681" t="inlineStr">
        <is>
          <t>Babyliss Pro Replacement Blade Head With Gold Knives Fx79rf2ge</t>
        </is>
      </c>
      <c r="C20681" t="inlineStr">
        <is>
          <t>Hair Clippers</t>
        </is>
      </c>
      <c r="D20681" t="inlineStr">
        <is>
          <t>Babyliss Pro</t>
        </is>
      </c>
      <c r="E20681" t="n">
        <v>16.36</v>
      </c>
      <c r="F20681" t="n">
        <v>1</v>
      </c>
      <c r="G20681" t="n">
        <v>2</v>
      </c>
      <c r="H20681" s="5">
        <f>HYPERLINK("https://api.qogita.com/variants/link/3030050193770/", "View Product")</f>
        <v/>
      </c>
    </row>
    <row r="20682">
      <c r="A20682" t="inlineStr">
        <is>
          <t>3039429941707</t>
        </is>
      </c>
      <c r="B20682" t="inlineStr">
        <is>
          <t>Gerini Sweet Vanilla Extrait de Parfum 100ml Unisex</t>
        </is>
      </c>
      <c r="C20682" t="inlineStr">
        <is>
          <t>Extrait De Parfum</t>
        </is>
      </c>
      <c r="D20682" t="inlineStr">
        <is>
          <t>Gerini</t>
        </is>
      </c>
      <c r="E20682" t="n">
        <v>32.8</v>
      </c>
      <c r="F20682" t="n">
        <v>1</v>
      </c>
      <c r="G20682" t="n">
        <v>2</v>
      </c>
      <c r="H20682" s="5">
        <f>HYPERLINK("https://api.qogita.com/variants/link/3039429941707/", "View Product")</f>
        <v/>
      </c>
    </row>
    <row r="20683">
      <c r="A20683" t="inlineStr">
        <is>
          <t>3052503257457</t>
        </is>
      </c>
      <c r="B20683" t="inlineStr">
        <is>
          <t>Bourjois Kobako Parfum De Toilette Spray for Women 1.7 Oz 50 Ml</t>
        </is>
      </c>
      <c r="C20683" t="inlineStr">
        <is>
          <t>Eau De Toilette</t>
        </is>
      </c>
      <c r="D20683" t="inlineStr">
        <is>
          <t>Bourjois</t>
        </is>
      </c>
      <c r="E20683" t="n">
        <v>7.06</v>
      </c>
      <c r="F20683" t="n">
        <v>1</v>
      </c>
      <c r="G20683" t="n">
        <v>41</v>
      </c>
      <c r="H20683" s="5">
        <f>HYPERLINK("https://api.qogita.com/variants/link/3052503257457/", "View Product")</f>
        <v/>
      </c>
    </row>
    <row r="20684">
      <c r="A20684" t="inlineStr">
        <is>
          <t>3052503300610</t>
        </is>
      </c>
      <c r="B20684" t="inlineStr">
        <is>
          <t>Bourjois Levres Contour Edition Lip Liner Contour Lip Pencil 114 G 06 Tout Rouge</t>
        </is>
      </c>
      <c r="C20684" t="inlineStr">
        <is>
          <t>Lip Liner</t>
        </is>
      </c>
      <c r="D20684" t="inlineStr">
        <is>
          <t>Bourjois</t>
        </is>
      </c>
      <c r="E20684" t="n">
        <v>2.84</v>
      </c>
      <c r="F20684" t="n">
        <v>1</v>
      </c>
      <c r="G20684" t="n">
        <v>5</v>
      </c>
      <c r="H20684" s="5">
        <f>HYPERLINK("https://api.qogita.com/variants/link/3052503300610/", "View Product")</f>
        <v/>
      </c>
    </row>
    <row r="20685">
      <c r="A20685" t="inlineStr">
        <is>
          <t>3052503635309</t>
        </is>
      </c>
      <c r="B20685" t="inlineStr">
        <is>
          <t>Bourjois 123 Perfect Foundation Makeup For Perfect Skin 30 Ml 53 Beige Claire</t>
        </is>
      </c>
      <c r="C20685" t="inlineStr">
        <is>
          <t>Foundation</t>
        </is>
      </c>
      <c r="D20685" t="inlineStr">
        <is>
          <t>Bourjois</t>
        </is>
      </c>
      <c r="E20685" t="n">
        <v>6.58</v>
      </c>
      <c r="F20685" t="n">
        <v>1</v>
      </c>
      <c r="G20685" t="n">
        <v>12</v>
      </c>
      <c r="H20685" s="5">
        <f>HYPERLINK("https://api.qogita.com/variants/link/3052503635309/", "View Product")</f>
        <v/>
      </c>
    </row>
    <row r="20686">
      <c r="A20686" t="inlineStr">
        <is>
          <t>3054080055815</t>
        </is>
      </c>
      <c r="B20686" t="inlineStr">
        <is>
          <t>L'Oreal Lipstick 226 Rose Glace 4.8g</t>
        </is>
      </c>
      <c r="C20686" t="inlineStr">
        <is>
          <t>Lipstick</t>
        </is>
      </c>
      <c r="D20686" t="inlineStr">
        <is>
          <t>L'Oréal Paris</t>
        </is>
      </c>
      <c r="E20686" t="n">
        <v>8.779999999999999</v>
      </c>
      <c r="F20686" t="n">
        <v>1</v>
      </c>
      <c r="G20686" t="n">
        <v>2</v>
      </c>
      <c r="H20686" s="5">
        <f>HYPERLINK("https://api.qogita.com/variants/link/3054080055815/", "View Product")</f>
        <v/>
      </c>
    </row>
    <row r="20687">
      <c r="A20687" t="inlineStr">
        <is>
          <t>3096640094872</t>
        </is>
      </c>
      <c r="B20687" t="inlineStr">
        <is>
          <t>Gerini Regina by Gerini 3.4 Oz Eau de Parfum Spray for Women - NIB</t>
        </is>
      </c>
      <c r="C20687" t="inlineStr">
        <is>
          <t>Eau De Parfum</t>
        </is>
      </c>
      <c r="D20687" t="inlineStr">
        <is>
          <t>Gerini</t>
        </is>
      </c>
      <c r="E20687" t="n">
        <v>32.36</v>
      </c>
      <c r="F20687" t="n">
        <v>1</v>
      </c>
      <c r="G20687" t="n">
        <v>2</v>
      </c>
      <c r="H20687" s="5">
        <f>HYPERLINK("https://api.qogita.com/variants/link/3096640094872/", "View Product")</f>
        <v/>
      </c>
    </row>
    <row r="20688">
      <c r="A20688" t="inlineStr">
        <is>
          <t>3127290000866</t>
        </is>
      </c>
      <c r="B20688" t="inlineStr">
        <is>
          <t>Maison Berger Paris Replacement Torch For Air Pur Catalytic Lamps</t>
        </is>
      </c>
      <c r="C20688" t="inlineStr">
        <is>
          <t>Diffusers</t>
        </is>
      </c>
      <c r="D20688" t="inlineStr">
        <is>
          <t>Maison Berger Paris</t>
        </is>
      </c>
      <c r="E20688" t="n">
        <v>15.89</v>
      </c>
      <c r="F20688" t="n">
        <v>1</v>
      </c>
      <c r="G20688" t="n">
        <v>5</v>
      </c>
      <c r="H20688" s="5">
        <f>HYPERLINK("https://api.qogita.com/variants/link/3127290000866/", "View Product")</f>
        <v/>
      </c>
    </row>
    <row r="20689">
      <c r="A20689" t="inlineStr">
        <is>
          <t>3127290062819</t>
        </is>
      </c>
      <c r="B20689" t="inlineStr">
        <is>
          <t>Maison Berger Paris Exquisite Sparkle Diffuser Refill 200 Ml</t>
        </is>
      </c>
      <c r="C20689" t="inlineStr">
        <is>
          <t>Diffusers</t>
        </is>
      </c>
      <c r="D20689" t="inlineStr">
        <is>
          <t>Maison Berger Paris</t>
        </is>
      </c>
      <c r="E20689" t="n">
        <v>14.51</v>
      </c>
      <c r="F20689" t="n">
        <v>1</v>
      </c>
      <c r="G20689" t="n">
        <v>4</v>
      </c>
      <c r="H20689" s="5">
        <f>HYPERLINK("https://api.qogita.com/variants/link/3127290062819/", "View Product")</f>
        <v/>
      </c>
    </row>
    <row r="20690">
      <c r="A20690" t="inlineStr">
        <is>
          <t>3127290064103</t>
        </is>
      </c>
      <c r="B20690" t="inlineStr">
        <is>
          <t>Lamp Berger Car Diffuser Graphic Matte Nickel</t>
        </is>
      </c>
      <c r="C20690" t="inlineStr">
        <is>
          <t>Diffusers</t>
        </is>
      </c>
      <c r="D20690" t="inlineStr">
        <is>
          <t>Lampe Berger</t>
        </is>
      </c>
      <c r="E20690" t="n">
        <v>12.1</v>
      </c>
      <c r="F20690" t="n">
        <v>1</v>
      </c>
      <c r="G20690" t="n">
        <v>4</v>
      </c>
      <c r="H20690" s="5">
        <f>HYPERLINK("https://api.qogita.com/variants/link/3127290064103/", "View Product")</f>
        <v/>
      </c>
    </row>
    <row r="20691">
      <c r="A20691" t="inlineStr">
        <is>
          <t>3127291150188</t>
        </is>
      </c>
      <c r="B20691" t="inlineStr">
        <is>
          <t>Maison Berger Paris Catalytic Lamp Refill Orange Cinnamon 500 Ml</t>
        </is>
      </c>
      <c r="C20691" t="inlineStr">
        <is>
          <t>Diffusers</t>
        </is>
      </c>
      <c r="D20691" t="inlineStr">
        <is>
          <t>Maison Berger Paris</t>
        </is>
      </c>
      <c r="E20691" t="n">
        <v>17.27</v>
      </c>
      <c r="F20691" t="n">
        <v>1</v>
      </c>
      <c r="G20691" t="n">
        <v>5</v>
      </c>
      <c r="H20691" s="5">
        <f>HYPERLINK("https://api.qogita.com/variants/link/3127291150188/", "View Product")</f>
        <v/>
      </c>
    </row>
    <row r="20692">
      <c r="A20692" t="inlineStr">
        <is>
          <t>3127291150331</t>
        </is>
      </c>
      <c r="B20692" t="inlineStr">
        <is>
          <t>Maison Berger Paris Ocean Breeze Catalytic Lamp Refill 500 Ml</t>
        </is>
      </c>
      <c r="C20692" t="inlineStr">
        <is>
          <t>Diffusers</t>
        </is>
      </c>
      <c r="D20692" t="inlineStr">
        <is>
          <t>Maison Berger Paris</t>
        </is>
      </c>
      <c r="E20692" t="n">
        <v>17.27</v>
      </c>
      <c r="F20692" t="n">
        <v>1</v>
      </c>
      <c r="G20692" t="n">
        <v>5</v>
      </c>
      <c r="H20692" s="5">
        <f>HYPERLINK("https://api.qogita.com/variants/link/3127291150331/", "View Product")</f>
        <v/>
      </c>
    </row>
    <row r="20693">
      <c r="A20693" t="inlineStr">
        <is>
          <t>3127291151888</t>
        </is>
      </c>
      <c r="B20693" t="inlineStr">
        <is>
          <t>Maison Berger Paris Refill For Catalytic Lamp Exquisite Sparkle 500 Ml</t>
        </is>
      </c>
      <c r="C20693" t="inlineStr">
        <is>
          <t>Diffusers</t>
        </is>
      </c>
      <c r="D20693" t="inlineStr">
        <is>
          <t>Maison Berger Paris</t>
        </is>
      </c>
      <c r="E20693" t="n">
        <v>17.27</v>
      </c>
      <c r="F20693" t="n">
        <v>1</v>
      </c>
      <c r="G20693" t="n">
        <v>11</v>
      </c>
      <c r="H20693" s="5">
        <f>HYPERLINK("https://api.qogita.com/variants/link/3127291151888/", "View Product")</f>
        <v/>
      </c>
    </row>
    <row r="20694">
      <c r="A20694" t="inlineStr">
        <is>
          <t>3137370207016</t>
        </is>
      </c>
      <c r="B20694" t="inlineStr">
        <is>
          <t>Nina Ricci L'Air Du Temps Eau De Toilette Spray 100ml</t>
        </is>
      </c>
      <c r="C20694" t="inlineStr">
        <is>
          <t>Eau De Toilette</t>
        </is>
      </c>
      <c r="D20694" t="inlineStr">
        <is>
          <t>Nina Ricci</t>
        </is>
      </c>
      <c r="E20694" t="n">
        <v>37.37</v>
      </c>
      <c r="F20694" t="n">
        <v>1</v>
      </c>
      <c r="G20694" t="n">
        <v>986</v>
      </c>
      <c r="H20694" s="5">
        <f>HYPERLINK("https://api.qogita.com/variants/link/3137370207016/", "View Product")</f>
        <v/>
      </c>
    </row>
    <row r="20695">
      <c r="A20695" t="inlineStr">
        <is>
          <t>3137370209133</t>
        </is>
      </c>
      <c r="B20695" t="inlineStr">
        <is>
          <t>Nina Ricci Nina Body Lotion 200ml</t>
        </is>
      </c>
      <c r="C20695" t="inlineStr">
        <is>
          <t>Body Lotion</t>
        </is>
      </c>
      <c r="D20695" t="inlineStr">
        <is>
          <t>Nina Ricci</t>
        </is>
      </c>
      <c r="E20695" t="n">
        <v>17.01</v>
      </c>
      <c r="F20695" t="n">
        <v>1</v>
      </c>
      <c r="G20695" t="n">
        <v>25</v>
      </c>
      <c r="H20695" s="5">
        <f>HYPERLINK("https://api.qogita.com/variants/link/3137370209133/", "View Product")</f>
        <v/>
      </c>
    </row>
    <row r="20696">
      <c r="A20696" t="inlineStr">
        <is>
          <t>3137370212041</t>
        </is>
      </c>
      <c r="B20696" t="inlineStr">
        <is>
          <t>Nina Ricci L'Air du Temps Eau de Parfum W 100 ml Tester</t>
        </is>
      </c>
      <c r="C20696" t="inlineStr">
        <is>
          <t>Eau De Parfum</t>
        </is>
      </c>
      <c r="D20696" t="inlineStr">
        <is>
          <t>Nina Ricci</t>
        </is>
      </c>
      <c r="E20696" t="n">
        <v>40.47</v>
      </c>
      <c r="F20696" t="n">
        <v>1</v>
      </c>
      <c r="G20696" t="n">
        <v>17</v>
      </c>
      <c r="H20696" s="5">
        <f>HYPERLINK("https://api.qogita.com/variants/link/3137370212041/", "View Product")</f>
        <v/>
      </c>
    </row>
    <row r="20697">
      <c r="A20697" t="inlineStr">
        <is>
          <t>3137370352143</t>
        </is>
      </c>
      <c r="B20697" t="inlineStr">
        <is>
          <t>Nina Eau De Toilette Spray 80ml By Nina</t>
        </is>
      </c>
      <c r="C20697" t="inlineStr">
        <is>
          <t>Eau De Toilette</t>
        </is>
      </c>
      <c r="D20697" t="inlineStr">
        <is>
          <t>Nina Ricci</t>
        </is>
      </c>
      <c r="E20697" t="n">
        <v>42.34</v>
      </c>
      <c r="F20697" t="n">
        <v>1</v>
      </c>
      <c r="G20697" t="n">
        <v>20</v>
      </c>
      <c r="H20697" s="5">
        <f>HYPERLINK("https://api.qogita.com/variants/link/3137370352143/", "View Product")</f>
        <v/>
      </c>
    </row>
    <row r="20698">
      <c r="A20698" t="inlineStr">
        <is>
          <t>3137370352914</t>
        </is>
      </c>
      <c r="B20698" t="inlineStr">
        <is>
          <t>Nina Ricci Nina Rose Eau De Toilette 50ml For Women</t>
        </is>
      </c>
      <c r="C20698" t="inlineStr">
        <is>
          <t>Eau De Toilette</t>
        </is>
      </c>
      <c r="D20698" t="inlineStr">
        <is>
          <t>Nina Ricci</t>
        </is>
      </c>
      <c r="E20698" t="n">
        <v>34.41</v>
      </c>
      <c r="F20698" t="n">
        <v>1</v>
      </c>
      <c r="G20698" t="n">
        <v>17</v>
      </c>
      <c r="H20698" s="5">
        <f>HYPERLINK("https://api.qogita.com/variants/link/3137370352914/", "View Product")</f>
        <v/>
      </c>
    </row>
    <row r="20699">
      <c r="A20699" t="inlineStr">
        <is>
          <t>3137370355359</t>
        </is>
      </c>
      <c r="B20699" t="inlineStr">
        <is>
          <t>Nina Ricci Soleil Eau De Toilette Spray 50ml</t>
        </is>
      </c>
      <c r="C20699" t="inlineStr">
        <is>
          <t>Eau De Toilette</t>
        </is>
      </c>
      <c r="D20699" t="inlineStr">
        <is>
          <t>Nina Ricci</t>
        </is>
      </c>
      <c r="E20699" t="n">
        <v>30.76</v>
      </c>
      <c r="F20699" t="n">
        <v>1</v>
      </c>
      <c r="G20699" t="n">
        <v>7</v>
      </c>
      <c r="H20699" s="5">
        <f>HYPERLINK("https://api.qogita.com/variants/link/3137370355359/", "View Product")</f>
        <v/>
      </c>
    </row>
    <row r="20700">
      <c r="A20700" t="inlineStr">
        <is>
          <t>3137370357346</t>
        </is>
      </c>
      <c r="B20700" t="inlineStr">
        <is>
          <t>Nina Ricci Nina Fleur Eau De Toilette Spray 30ml</t>
        </is>
      </c>
      <c r="C20700" t="inlineStr">
        <is>
          <t>Eau De Toilette</t>
        </is>
      </c>
      <c r="D20700" t="inlineStr">
        <is>
          <t>Nina Ricci</t>
        </is>
      </c>
      <c r="E20700" t="n">
        <v>17.81</v>
      </c>
      <c r="F20700" t="n">
        <v>1</v>
      </c>
      <c r="G20700" t="n">
        <v>44</v>
      </c>
      <c r="H20700" s="5">
        <f>HYPERLINK("https://api.qogita.com/variants/link/3137370357346/", "View Product")</f>
        <v/>
      </c>
    </row>
    <row r="20701">
      <c r="A20701" t="inlineStr">
        <is>
          <t>3137370357667</t>
        </is>
      </c>
      <c r="B20701" t="inlineStr">
        <is>
          <t>Nina Ricci Nina Eau De Toilette 50ml</t>
        </is>
      </c>
      <c r="C20701" t="inlineStr">
        <is>
          <t>Eau De Toilette</t>
        </is>
      </c>
      <c r="D20701" t="inlineStr">
        <is>
          <t>Nina Ricci</t>
        </is>
      </c>
      <c r="E20701" t="n">
        <v>35.06</v>
      </c>
      <c r="F20701" t="n">
        <v>1</v>
      </c>
      <c r="G20701" t="n">
        <v>41</v>
      </c>
      <c r="H20701" s="5">
        <f>HYPERLINK("https://api.qogita.com/variants/link/3137370357667/", "View Product")</f>
        <v/>
      </c>
    </row>
    <row r="20702">
      <c r="A20702" t="inlineStr">
        <is>
          <t>3137370361121</t>
        </is>
      </c>
      <c r="B20702" t="inlineStr">
        <is>
          <t>Nina Illusion Eau de Parfum - 50 ml Vaporisateur</t>
        </is>
      </c>
      <c r="C20702" t="inlineStr">
        <is>
          <t>Eau De Parfum</t>
        </is>
      </c>
      <c r="D20702" t="inlineStr">
        <is>
          <t>‎Nina</t>
        </is>
      </c>
      <c r="E20702" t="n">
        <v>66.26000000000001</v>
      </c>
      <c r="F20702" t="n">
        <v>1</v>
      </c>
      <c r="G20702" t="n">
        <v>3</v>
      </c>
      <c r="H20702" s="5">
        <f>HYPERLINK("https://api.qogita.com/variants/link/3137370361121/", "View Product")</f>
        <v/>
      </c>
    </row>
    <row r="20703">
      <c r="A20703" t="inlineStr">
        <is>
          <t>3139093021429</t>
        </is>
      </c>
      <c r="B20703" t="inlineStr">
        <is>
          <t>Lanvin Oxygene Woman Eau De Parfum Spray 75ml</t>
        </is>
      </c>
      <c r="C20703" t="inlineStr">
        <is>
          <t>Eau De Parfum</t>
        </is>
      </c>
      <c r="D20703" t="inlineStr">
        <is>
          <t>Lanvin</t>
        </is>
      </c>
      <c r="E20703" t="n">
        <v>12.32</v>
      </c>
      <c r="F20703" t="n">
        <v>1</v>
      </c>
      <c r="G20703" t="n">
        <v>132</v>
      </c>
      <c r="H20703" s="5">
        <f>HYPERLINK("https://api.qogita.com/variants/link/3139093021429/", "View Product")</f>
        <v/>
      </c>
    </row>
    <row r="20704">
      <c r="A20704" t="inlineStr">
        <is>
          <t>3139093035228</t>
        </is>
      </c>
      <c r="B20704" t="inlineStr">
        <is>
          <t>Lanvin Oxygene Homme Eau De Toilette Spray 100ml</t>
        </is>
      </c>
      <c r="C20704" t="inlineStr">
        <is>
          <t>Eau De Toilette</t>
        </is>
      </c>
      <c r="D20704" t="inlineStr">
        <is>
          <t>Lanvin</t>
        </is>
      </c>
      <c r="E20704" t="n">
        <v>11.29</v>
      </c>
      <c r="F20704" t="n">
        <v>1</v>
      </c>
      <c r="G20704" t="n">
        <v>303</v>
      </c>
      <c r="H20704" s="5">
        <f>HYPERLINK("https://api.qogita.com/variants/link/3139093035228/", "View Product")</f>
        <v/>
      </c>
    </row>
    <row r="20705">
      <c r="A20705" t="inlineStr">
        <is>
          <t>3147758029390</t>
        </is>
      </c>
      <c r="B20705" t="inlineStr">
        <is>
          <t>Lancome Miracle Eau De Parfum 50ml</t>
        </is>
      </c>
      <c r="C20705" t="inlineStr">
        <is>
          <t>Eau De Parfum</t>
        </is>
      </c>
      <c r="D20705" t="inlineStr">
        <is>
          <t>Lancôme</t>
        </is>
      </c>
      <c r="E20705" t="n">
        <v>40.27</v>
      </c>
      <c r="F20705" t="n">
        <v>1</v>
      </c>
      <c r="G20705" t="n">
        <v>33</v>
      </c>
      <c r="H20705" s="5">
        <f>HYPERLINK("https://api.qogita.com/variants/link/3147758029390/", "View Product")</f>
        <v/>
      </c>
    </row>
    <row r="20706">
      <c r="A20706" t="inlineStr">
        <is>
          <t>3147758097016</t>
        </is>
      </c>
      <c r="B20706" t="inlineStr">
        <is>
          <t>Lancme Definicils Trio Mascara Set Of 3 X 65 G</t>
        </is>
      </c>
      <c r="C20706" t="inlineStr">
        <is>
          <t>Mascara</t>
        </is>
      </c>
      <c r="D20706" t="inlineStr">
        <is>
          <t>Lancôme</t>
        </is>
      </c>
      <c r="E20706" t="n">
        <v>83.89</v>
      </c>
      <c r="F20706" t="n">
        <v>1</v>
      </c>
      <c r="G20706" t="n">
        <v>3</v>
      </c>
      <c r="H20706" s="5">
        <f>HYPERLINK("https://api.qogita.com/variants/link/3147758097016/", "View Product")</f>
        <v/>
      </c>
    </row>
    <row r="20707">
      <c r="A20707" t="inlineStr">
        <is>
          <t>3147758235500</t>
        </is>
      </c>
      <c r="B20707" t="inlineStr">
        <is>
          <t>Lancome Hypnose Eau De Parfum Spray - Long Lasting Woody Oriental Fragrance</t>
        </is>
      </c>
      <c r="C20707" t="inlineStr">
        <is>
          <t>Eau De Parfum</t>
        </is>
      </c>
      <c r="D20707" t="inlineStr">
        <is>
          <t>Lancôme</t>
        </is>
      </c>
      <c r="E20707" t="n">
        <v>64.31999999999999</v>
      </c>
      <c r="F20707" t="n">
        <v>1</v>
      </c>
      <c r="G20707" t="n">
        <v>52</v>
      </c>
      <c r="H20707" s="5">
        <f>HYPERLINK("https://api.qogita.com/variants/link/3147758235500/", "View Product")</f>
        <v/>
      </c>
    </row>
    <row r="20708">
      <c r="A20708" t="inlineStr">
        <is>
          <t>3147758873016</t>
        </is>
      </c>
      <c r="B20708" t="inlineStr">
        <is>
          <t>Lancme Artliner Eye Liner 01 Black Satin Liquid Eyeliner 14 Ml</t>
        </is>
      </c>
      <c r="C20708" t="inlineStr">
        <is>
          <t>Eyeliner</t>
        </is>
      </c>
      <c r="D20708" t="inlineStr">
        <is>
          <t>Lancôme</t>
        </is>
      </c>
      <c r="E20708" t="n">
        <v>29.12</v>
      </c>
      <c r="F20708" t="n">
        <v>1</v>
      </c>
      <c r="G20708" t="n">
        <v>8</v>
      </c>
      <c r="H20708" s="5">
        <f>HYPERLINK("https://api.qogita.com/variants/link/3147758873016/", "View Product")</f>
        <v/>
      </c>
    </row>
    <row r="20709">
      <c r="A20709" t="inlineStr">
        <is>
          <t>3178041317023</t>
        </is>
      </c>
      <c r="B20709" t="inlineStr">
        <is>
          <t>Scorpio Men's Eau de Toilette 75ml</t>
        </is>
      </c>
      <c r="C20709" t="inlineStr">
        <is>
          <t>Eau De Toilette</t>
        </is>
      </c>
      <c r="D20709" t="inlineStr">
        <is>
          <t>Scorpio</t>
        </is>
      </c>
      <c r="E20709" t="n">
        <v>10.53</v>
      </c>
      <c r="F20709" t="n">
        <v>1</v>
      </c>
      <c r="G20709" t="n">
        <v>41</v>
      </c>
      <c r="H20709" s="5">
        <f>HYPERLINK("https://api.qogita.com/variants/link/3178041317023/", "View Product")</f>
        <v/>
      </c>
    </row>
    <row r="20710">
      <c r="A20710" t="inlineStr">
        <is>
          <t>3178041327350</t>
        </is>
      </c>
      <c r="B20710" t="inlineStr">
        <is>
          <t>Scorpio Sport Men's Shower Gel 250ml</t>
        </is>
      </c>
      <c r="C20710" t="inlineStr">
        <is>
          <t>Shower Gel</t>
        </is>
      </c>
      <c r="D20710" t="inlineStr">
        <is>
          <t>Scorpio</t>
        </is>
      </c>
      <c r="E20710" t="n">
        <v>2.34</v>
      </c>
      <c r="F20710" t="n">
        <v>1</v>
      </c>
      <c r="G20710" t="n">
        <v>91</v>
      </c>
      <c r="H20710" s="5">
        <f>HYPERLINK("https://api.qogita.com/variants/link/3178041327350/", "View Product")</f>
        <v/>
      </c>
    </row>
    <row r="20711">
      <c r="A20711" t="inlineStr">
        <is>
          <t>3253581308103</t>
        </is>
      </c>
      <c r="B20711" t="inlineStr">
        <is>
          <t>L'Occitane Lavender Body Lotion 250ml</t>
        </is>
      </c>
      <c r="C20711" t="inlineStr">
        <is>
          <t>Body Lotion</t>
        </is>
      </c>
      <c r="D20711" t="inlineStr">
        <is>
          <t>L'Occitane</t>
        </is>
      </c>
      <c r="E20711" t="n">
        <v>19.19</v>
      </c>
      <c r="F20711" t="n">
        <v>1</v>
      </c>
      <c r="G20711" t="n">
        <v>20</v>
      </c>
      <c r="H20711" s="5">
        <f>HYPERLINK("https://api.qogita.com/variants/link/3253581308103/", "View Product")</f>
        <v/>
      </c>
    </row>
    <row r="20712">
      <c r="A20712" t="inlineStr">
        <is>
          <t>3253581359259</t>
        </is>
      </c>
      <c r="B20712" t="inlineStr">
        <is>
          <t>L'Occitane Almond Shower Oil 250ml</t>
        </is>
      </c>
      <c r="C20712" t="inlineStr">
        <is>
          <t>Shower Oil</t>
        </is>
      </c>
      <c r="D20712" t="inlineStr">
        <is>
          <t>L'Occitane</t>
        </is>
      </c>
      <c r="E20712" t="n">
        <v>13.42</v>
      </c>
      <c r="F20712" t="n">
        <v>1</v>
      </c>
      <c r="G20712" t="n">
        <v>63</v>
      </c>
      <c r="H20712" s="5">
        <f>HYPERLINK("https://api.qogita.com/variants/link/3253581359259/", "View Product")</f>
        <v/>
      </c>
    </row>
    <row r="20713">
      <c r="A20713" t="inlineStr">
        <is>
          <t>3253581680551</t>
        </is>
      </c>
      <c r="B20713" t="inlineStr">
        <is>
          <t>L'Occitane Shea Lavender Extragentle Soap 100g</t>
        </is>
      </c>
      <c r="C20713" t="inlineStr">
        <is>
          <t>Soap</t>
        </is>
      </c>
      <c r="D20713" t="inlineStr">
        <is>
          <t>L'Occitane</t>
        </is>
      </c>
      <c r="E20713" t="n">
        <v>5.71</v>
      </c>
      <c r="F20713" t="n">
        <v>1</v>
      </c>
      <c r="G20713" t="n">
        <v>2</v>
      </c>
      <c r="H20713" s="5">
        <f>HYPERLINK("https://api.qogita.com/variants/link/3253581680551/", "View Product")</f>
        <v/>
      </c>
    </row>
    <row r="20714">
      <c r="A20714" t="inlineStr">
        <is>
          <t>3253581698525</t>
        </is>
      </c>
      <c r="B20714" t="inlineStr">
        <is>
          <t>L'Occitane Cracker Verveine Gift Set</t>
        </is>
      </c>
      <c r="C20714" t="inlineStr">
        <is>
          <t>Body Care Sets</t>
        </is>
      </c>
      <c r="D20714" t="inlineStr">
        <is>
          <t>L'Occitane</t>
        </is>
      </c>
      <c r="E20714" t="n">
        <v>8.210000000000001</v>
      </c>
      <c r="F20714" t="n">
        <v>1</v>
      </c>
      <c r="G20714" t="n">
        <v>70</v>
      </c>
      <c r="H20714" s="5">
        <f>HYPERLINK("https://api.qogita.com/variants/link/3253581698525/", "View Product")</f>
        <v/>
      </c>
    </row>
    <row r="20715">
      <c r="A20715" t="inlineStr">
        <is>
          <t>3253581729700</t>
        </is>
      </c>
      <c r="B20715" t="inlineStr">
        <is>
          <t>L'Occitane Intensive Repair Solid Shampoo 2.1 oz.</t>
        </is>
      </c>
      <c r="C20715" t="inlineStr">
        <is>
          <t>Shampoo</t>
        </is>
      </c>
      <c r="D20715" t="inlineStr">
        <is>
          <t>L'Occitane</t>
        </is>
      </c>
      <c r="E20715" t="n">
        <v>8.06</v>
      </c>
      <c r="F20715" t="n">
        <v>1</v>
      </c>
      <c r="G20715" t="n">
        <v>2</v>
      </c>
      <c r="H20715" s="5">
        <f>HYPERLINK("https://api.qogita.com/variants/link/3253581729700/", "View Product")</f>
        <v/>
      </c>
    </row>
    <row r="20716">
      <c r="A20716" t="inlineStr">
        <is>
          <t>3253581735381</t>
        </is>
      </c>
      <c r="B20716" t="inlineStr">
        <is>
          <t>L'OCCITANE Shea Butter Foot Cream 150ml Foot Moisturizer for All Skin Types</t>
        </is>
      </c>
      <c r="C20716" t="inlineStr">
        <is>
          <t>Foot Cream</t>
        </is>
      </c>
      <c r="D20716" t="inlineStr">
        <is>
          <t>L'Occitane</t>
        </is>
      </c>
      <c r="E20716" t="n">
        <v>16.65</v>
      </c>
      <c r="F20716" t="n">
        <v>1</v>
      </c>
      <c r="G20716" t="n">
        <v>51</v>
      </c>
      <c r="H20716" s="5">
        <f>HYPERLINK("https://api.qogita.com/variants/link/3253581735381/", "View Product")</f>
        <v/>
      </c>
    </row>
    <row r="20717">
      <c r="A20717" t="inlineStr">
        <is>
          <t>3253581735411</t>
        </is>
      </c>
      <c r="B20717" t="inlineStr">
        <is>
          <t>L'Occitane Hand Cream 20 Shea Butter 150ml For Women</t>
        </is>
      </c>
      <c r="C20717" t="inlineStr">
        <is>
          <t>Hand Cream</t>
        </is>
      </c>
      <c r="D20717" t="inlineStr">
        <is>
          <t>L'Occitane</t>
        </is>
      </c>
      <c r="E20717" t="n">
        <v>16.5</v>
      </c>
      <c r="F20717" t="n">
        <v>1</v>
      </c>
      <c r="G20717" t="n">
        <v>551</v>
      </c>
      <c r="H20717" s="5">
        <f>HYPERLINK("https://api.qogita.com/variants/link/3253581735411/", "View Product")</f>
        <v/>
      </c>
    </row>
    <row r="20718">
      <c r="A20718" t="inlineStr">
        <is>
          <t>3253581760178</t>
        </is>
      </c>
      <c r="B20718" t="inlineStr">
        <is>
          <t>L'OCCITANE Precious Cleansing Foam 150ml</t>
        </is>
      </c>
      <c r="C20718" t="inlineStr">
        <is>
          <t>Cleansing Foam</t>
        </is>
      </c>
      <c r="D20718" t="inlineStr">
        <is>
          <t>L'Occitane</t>
        </is>
      </c>
      <c r="E20718" t="n">
        <v>18.52</v>
      </c>
      <c r="F20718" t="n">
        <v>1</v>
      </c>
      <c r="G20718" t="n">
        <v>48</v>
      </c>
      <c r="H20718" s="5">
        <f>HYPERLINK("https://api.qogita.com/variants/link/3253581760178/", "View Product")</f>
        <v/>
      </c>
    </row>
    <row r="20719">
      <c r="A20719" t="inlineStr">
        <is>
          <t>3253581764633</t>
        </is>
      </c>
      <c r="B20719" t="inlineStr">
        <is>
          <t>L'Occitane Almond Delicious Hands Cream 150ml Hand &amp; Nail Care</t>
        </is>
      </c>
      <c r="C20719" t="inlineStr">
        <is>
          <t>Hand Cream</t>
        </is>
      </c>
      <c r="D20719" t="inlineStr">
        <is>
          <t>L'Occitane</t>
        </is>
      </c>
      <c r="E20719" t="n">
        <v>18.96</v>
      </c>
      <c r="F20719" t="n">
        <v>1</v>
      </c>
      <c r="G20719" t="n">
        <v>5</v>
      </c>
      <c r="H20719" s="5">
        <f>HYPERLINK("https://api.qogita.com/variants/link/3253581764633/", "View Product")</f>
        <v/>
      </c>
    </row>
    <row r="20720">
      <c r="A20720" t="inlineStr">
        <is>
          <t>3253581764640</t>
        </is>
      </c>
      <c r="B20720" t="inlineStr">
        <is>
          <t>L'Occitane Hand And Nail Cream Almond 75ml</t>
        </is>
      </c>
      <c r="C20720" t="inlineStr">
        <is>
          <t>Hand Cream</t>
        </is>
      </c>
      <c r="D20720" t="inlineStr">
        <is>
          <t>L'Occitane</t>
        </is>
      </c>
      <c r="E20720" t="n">
        <v>12.84</v>
      </c>
      <c r="F20720" t="n">
        <v>1</v>
      </c>
      <c r="G20720" t="n">
        <v>93</v>
      </c>
      <c r="H20720" s="5">
        <f>HYPERLINK("https://api.qogita.com/variants/link/3253581764640/", "View Product")</f>
        <v/>
      </c>
    </row>
    <row r="20721">
      <c r="A20721" t="inlineStr">
        <is>
          <t>3253581768334</t>
        </is>
      </c>
      <c r="B20721" t="inlineStr">
        <is>
          <t>L'Occitane Shea Butter Rich Body Lotion 250ml</t>
        </is>
      </c>
      <c r="C20721" t="inlineStr">
        <is>
          <t>Body Lotion</t>
        </is>
      </c>
      <c r="D20721" t="inlineStr">
        <is>
          <t>L'Occitane</t>
        </is>
      </c>
      <c r="E20721" t="n">
        <v>20.76</v>
      </c>
      <c r="F20721" t="n">
        <v>1</v>
      </c>
      <c r="G20721" t="n">
        <v>7</v>
      </c>
      <c r="H20721" s="5">
        <f>HYPERLINK("https://api.qogita.com/variants/link/3253581768334/", "View Product")</f>
        <v/>
      </c>
    </row>
    <row r="20722">
      <c r="A20722" t="inlineStr">
        <is>
          <t>3253581769454</t>
        </is>
      </c>
      <c r="B20722" t="inlineStr">
        <is>
          <t>L'OCCITANE Verbena Cooling Hand Cream Gel 30ml Citrus Scented Vegan and 99 Percent Readily Biodegradable Luxury and Clean Beauty Hand Care for All Skin Types</t>
        </is>
      </c>
      <c r="C20722" t="inlineStr">
        <is>
          <t>Hand Cream</t>
        </is>
      </c>
      <c r="D20722" t="inlineStr">
        <is>
          <t>L'Occitane</t>
        </is>
      </c>
      <c r="E20722" t="n">
        <v>5.91</v>
      </c>
      <c r="F20722" t="n">
        <v>1</v>
      </c>
      <c r="G20722" t="n">
        <v>54</v>
      </c>
      <c r="H20722" s="5">
        <f>HYPERLINK("https://api.qogita.com/variants/link/3253581769454/", "View Product")</f>
        <v/>
      </c>
    </row>
    <row r="20723">
      <c r="A20723" t="inlineStr">
        <is>
          <t>3253581770566</t>
        </is>
      </c>
      <c r="B20723" t="inlineStr">
        <is>
          <t>L'OCCITANE Immortelle Precious Foam 150ml Skincare for All Suitable for All Skin Types</t>
        </is>
      </c>
      <c r="C20723" t="inlineStr">
        <is>
          <t>Cleansing Foam</t>
        </is>
      </c>
      <c r="D20723" t="inlineStr">
        <is>
          <t>L'Occitane</t>
        </is>
      </c>
      <c r="E20723" t="n">
        <v>14.05</v>
      </c>
      <c r="F20723" t="n">
        <v>1</v>
      </c>
      <c r="G20723" t="n">
        <v>44</v>
      </c>
      <c r="H20723" s="5">
        <f>HYPERLINK("https://api.qogita.com/variants/link/3253581770566/", "View Product")</f>
        <v/>
      </c>
    </row>
    <row r="20724">
      <c r="A20724" t="inlineStr">
        <is>
          <t>3253581775332</t>
        </is>
      </c>
      <c r="B20724" t="inlineStr">
        <is>
          <t>L'Occitane Cocooning Moment Relaxing Gift Set</t>
        </is>
      </c>
      <c r="C20724" t="inlineStr">
        <is>
          <t>Body Care Sets</t>
        </is>
      </c>
      <c r="D20724" t="inlineStr">
        <is>
          <t>L'Occitane</t>
        </is>
      </c>
      <c r="E20724" t="n">
        <v>33.96</v>
      </c>
      <c r="F20724" t="n">
        <v>1</v>
      </c>
      <c r="G20724" t="n">
        <v>10</v>
      </c>
      <c r="H20724" s="5">
        <f>HYPERLINK("https://api.qogita.com/variants/link/3253581775332/", "View Product")</f>
        <v/>
      </c>
    </row>
    <row r="20725">
      <c r="A20725" t="inlineStr">
        <is>
          <t>3253581775349</t>
        </is>
      </c>
      <c r="B20725" t="inlineStr">
        <is>
          <t>L'Occitane Verbena Body Gift Set 3 Pieces</t>
        </is>
      </c>
      <c r="C20725" t="inlineStr">
        <is>
          <t>Body Care Sets</t>
        </is>
      </c>
      <c r="D20725" t="inlineStr">
        <is>
          <t>L'Occitane</t>
        </is>
      </c>
      <c r="E20725" t="n">
        <v>30.19</v>
      </c>
      <c r="F20725" t="n">
        <v>1</v>
      </c>
      <c r="G20725" t="n">
        <v>43</v>
      </c>
      <c r="H20725" s="5">
        <f>HYPERLINK("https://api.qogita.com/variants/link/3253581775349/", "View Product")</f>
        <v/>
      </c>
    </row>
    <row r="20726">
      <c r="A20726" t="inlineStr">
        <is>
          <t>3253581775424</t>
        </is>
      </c>
      <c r="B20726" t="inlineStr">
        <is>
          <t>L'Occitane Shea Butter Hand Cream Set 3 Pieces</t>
        </is>
      </c>
      <c r="C20726" t="inlineStr">
        <is>
          <t>Hand Care Sets</t>
        </is>
      </c>
      <c r="D20726" t="inlineStr">
        <is>
          <t>L'Occitane</t>
        </is>
      </c>
      <c r="E20726" t="n">
        <v>15.86</v>
      </c>
      <c r="F20726" t="n">
        <v>1</v>
      </c>
      <c r="G20726" t="n">
        <v>56</v>
      </c>
      <c r="H20726" s="5">
        <f>HYPERLINK("https://api.qogita.com/variants/link/3253581775424/", "View Product")</f>
        <v/>
      </c>
    </row>
    <row r="20727">
      <c r="A20727" t="inlineStr">
        <is>
          <t>3253581872185</t>
        </is>
      </c>
      <c r="B20727" t="inlineStr">
        <is>
          <t>L'Occitane En Provence Perfumed Hands Set Hand Care Gift Set</t>
        </is>
      </c>
      <c r="C20727" t="inlineStr">
        <is>
          <t>Hand Care Sets</t>
        </is>
      </c>
      <c r="D20727" t="inlineStr">
        <is>
          <t>L'Occitane</t>
        </is>
      </c>
      <c r="E20727" t="n">
        <v>19.55</v>
      </c>
      <c r="F20727" t="n">
        <v>1</v>
      </c>
      <c r="G20727" t="n">
        <v>87</v>
      </c>
      <c r="H20727" s="5">
        <f>HYPERLINK("https://api.qogita.com/variants/link/3253581872185/", "View Product")</f>
        <v/>
      </c>
    </row>
    <row r="20728">
      <c r="A20728" t="inlineStr">
        <is>
          <t>3259550301304</t>
        </is>
      </c>
      <c r="B20728" t="inlineStr">
        <is>
          <t>Excellence by Eisenberg Masque Creme Magique 30ml</t>
        </is>
      </c>
      <c r="C20728" t="inlineStr">
        <is>
          <t>Hydrating Mask</t>
        </is>
      </c>
      <c r="D20728" t="inlineStr">
        <is>
          <t>Eisenberg</t>
        </is>
      </c>
      <c r="E20728" t="n">
        <v>46.06</v>
      </c>
      <c r="F20728" t="n">
        <v>1</v>
      </c>
      <c r="G20728" t="n">
        <v>9</v>
      </c>
      <c r="H20728" s="5">
        <f>HYPERLINK("https://api.qogita.com/variants/link/3259550301304/", "View Product")</f>
        <v/>
      </c>
    </row>
    <row r="20729">
      <c r="A20729" t="inlineStr">
        <is>
          <t>3259550303001</t>
        </is>
      </c>
      <c r="B20729" t="inlineStr">
        <is>
          <t>Eisenberg Facial Care Regenerating Serum with Lifting Effect 30ml</t>
        </is>
      </c>
      <c r="C20729" t="inlineStr">
        <is>
          <t>Anti-Aging Serum</t>
        </is>
      </c>
      <c r="D20729" t="inlineStr">
        <is>
          <t>Eisenberg</t>
        </is>
      </c>
      <c r="E20729" t="n">
        <v>38.5</v>
      </c>
      <c r="F20729" t="n">
        <v>1</v>
      </c>
      <c r="G20729" t="n">
        <v>11</v>
      </c>
      <c r="H20729" s="5">
        <f>HYPERLINK("https://api.qogita.com/variants/link/3259550303001/", "View Product")</f>
        <v/>
      </c>
    </row>
    <row r="20730">
      <c r="A20730" t="inlineStr">
        <is>
          <t>3259550303209</t>
        </is>
      </c>
      <c r="B20730" t="inlineStr">
        <is>
          <t>Eisenberg Face Care Moisturising Smoothing Serum 30ml</t>
        </is>
      </c>
      <c r="C20730" t="inlineStr">
        <is>
          <t>Hydrating Serum</t>
        </is>
      </c>
      <c r="D20730" t="inlineStr">
        <is>
          <t>Eisenberg</t>
        </is>
      </c>
      <c r="E20730" t="n">
        <v>36.12</v>
      </c>
      <c r="F20730" t="n">
        <v>1</v>
      </c>
      <c r="G20730" t="n">
        <v>6</v>
      </c>
      <c r="H20730" s="5">
        <f>HYPERLINK("https://api.qogita.com/variants/link/3259550303209/", "View Product")</f>
        <v/>
      </c>
    </row>
    <row r="20731">
      <c r="A20731" t="inlineStr">
        <is>
          <t>3259550500134</t>
        </is>
      </c>
      <c r="B20731" t="inlineStr">
        <is>
          <t>Love Affair Homme by Eisenberg Eau de Parfum Spray 50ml</t>
        </is>
      </c>
      <c r="C20731" t="inlineStr">
        <is>
          <t>Eau De Parfum</t>
        </is>
      </c>
      <c r="D20731" t="inlineStr">
        <is>
          <t>Eisenberg</t>
        </is>
      </c>
      <c r="E20731" t="n">
        <v>67.09</v>
      </c>
      <c r="F20731" t="n">
        <v>1</v>
      </c>
      <c r="G20731" t="n">
        <v>2</v>
      </c>
      <c r="H20731" s="5">
        <f>HYPERLINK("https://api.qogita.com/variants/link/3259550500134/", "View Product")</f>
        <v/>
      </c>
    </row>
    <row r="20732">
      <c r="A20732" t="inlineStr">
        <is>
          <t>3259550501902</t>
        </is>
      </c>
      <c r="B20732" t="inlineStr">
        <is>
          <t>EISENBERG Paris Energie Or Day Cream Face Moisturizer 50ml</t>
        </is>
      </c>
      <c r="C20732" t="inlineStr">
        <is>
          <t>Day Cream</t>
        </is>
      </c>
      <c r="D20732" t="inlineStr">
        <is>
          <t>Eisenberg</t>
        </is>
      </c>
      <c r="E20732" t="n">
        <v>170.23</v>
      </c>
      <c r="F20732" t="n">
        <v>1</v>
      </c>
      <c r="G20732" t="n">
        <v>2</v>
      </c>
      <c r="H20732" s="5">
        <f>HYPERLINK("https://api.qogita.com/variants/link/3259550501902/", "View Product")</f>
        <v/>
      </c>
    </row>
    <row r="20733">
      <c r="A20733" t="inlineStr">
        <is>
          <t>3259550502428</t>
        </is>
      </c>
      <c r="B20733" t="inlineStr">
        <is>
          <t>Pure White by Eisenberg Day Cream SPF50 50ml</t>
        </is>
      </c>
      <c r="C20733" t="inlineStr">
        <is>
          <t>Day Cream</t>
        </is>
      </c>
      <c r="D20733" t="inlineStr">
        <is>
          <t>Eisenberg</t>
        </is>
      </c>
      <c r="E20733" t="n">
        <v>43.14</v>
      </c>
      <c r="F20733" t="n">
        <v>1</v>
      </c>
      <c r="G20733" t="n">
        <v>14</v>
      </c>
      <c r="H20733" s="5">
        <f>HYPERLINK("https://api.qogita.com/variants/link/3259550502428/", "View Product")</f>
        <v/>
      </c>
    </row>
    <row r="20734">
      <c r="A20734" t="inlineStr">
        <is>
          <t>3259550503401</t>
        </is>
      </c>
      <c r="B20734" t="inlineStr">
        <is>
          <t>Eisenberg Face Care Anti-Stress Treatment 50ml</t>
        </is>
      </c>
      <c r="C20734" t="inlineStr">
        <is>
          <t>Face Cream</t>
        </is>
      </c>
      <c r="D20734" t="inlineStr">
        <is>
          <t>Eisenberg</t>
        </is>
      </c>
      <c r="E20734" t="n">
        <v>93.61</v>
      </c>
      <c r="F20734" t="n">
        <v>1</v>
      </c>
      <c r="G20734" t="n">
        <v>2</v>
      </c>
      <c r="H20734" s="5">
        <f>HYPERLINK("https://api.qogita.com/variants/link/3259550503401/", "View Product")</f>
        <v/>
      </c>
    </row>
    <row r="20735">
      <c r="A20735" t="inlineStr">
        <is>
          <t>3259550509212</t>
        </is>
      </c>
      <c r="B20735" t="inlineStr">
        <is>
          <t>Balancing Cleansing Mask 50 ml</t>
        </is>
      </c>
      <c r="C20735" t="inlineStr">
        <is>
          <t>Purifying Mask</t>
        </is>
      </c>
      <c r="D20735" t="inlineStr">
        <is>
          <t>Eisenberg</t>
        </is>
      </c>
      <c r="E20735" t="n">
        <v>24.57</v>
      </c>
      <c r="F20735" t="n">
        <v>1</v>
      </c>
      <c r="G20735" t="n">
        <v>15</v>
      </c>
      <c r="H20735" s="5">
        <f>HYPERLINK("https://api.qogita.com/variants/link/3259550509212/", "View Product")</f>
        <v/>
      </c>
    </row>
    <row r="20736">
      <c r="A20736" t="inlineStr">
        <is>
          <t>3259550752366</t>
        </is>
      </c>
      <c r="B20736" t="inlineStr">
        <is>
          <t>Pure White Masque Cream Relaxant 75ml</t>
        </is>
      </c>
      <c r="C20736" t="inlineStr">
        <is>
          <t>Hydrating Mask</t>
        </is>
      </c>
      <c r="D20736" t="inlineStr">
        <is>
          <t>Eisenberg</t>
        </is>
      </c>
      <c r="E20736" t="n">
        <v>59.48</v>
      </c>
      <c r="F20736" t="n">
        <v>1</v>
      </c>
      <c r="G20736" t="n">
        <v>2</v>
      </c>
      <c r="H20736" s="5">
        <f>HYPERLINK("https://api.qogita.com/variants/link/3259550752366/", "View Product")</f>
        <v/>
      </c>
    </row>
    <row r="20737">
      <c r="A20737" t="inlineStr">
        <is>
          <t>3259550755442</t>
        </is>
      </c>
      <c r="B20737" t="inlineStr">
        <is>
          <t>Masque Fondant Remover 75ml</t>
        </is>
      </c>
      <c r="C20737" t="inlineStr">
        <is>
          <t>Makeup Remover</t>
        </is>
      </c>
      <c r="D20737" t="inlineStr">
        <is>
          <t>Eisenberg</t>
        </is>
      </c>
      <c r="E20737" t="n">
        <v>87.06999999999999</v>
      </c>
      <c r="F20737" t="n">
        <v>1</v>
      </c>
      <c r="G20737" t="n">
        <v>5</v>
      </c>
      <c r="H20737" s="5">
        <f>HYPERLINK("https://api.qogita.com/variants/link/3259550755442/", "View Product")</f>
        <v/>
      </c>
    </row>
    <row r="20738">
      <c r="A20738" t="inlineStr">
        <is>
          <t>3264680022043</t>
        </is>
      </c>
      <c r="B20738" t="inlineStr">
        <is>
          <t>Very Rose Soothing Micellar Water 3 In 1 200ml</t>
        </is>
      </c>
      <c r="C20738" t="inlineStr">
        <is>
          <t>Micellar Water</t>
        </is>
      </c>
      <c r="D20738" t="inlineStr">
        <is>
          <t>Vichy</t>
        </is>
      </c>
      <c r="E20738" t="n">
        <v>11.44</v>
      </c>
      <c r="F20738" t="n">
        <v>1</v>
      </c>
      <c r="G20738" t="n">
        <v>43</v>
      </c>
      <c r="H20738" s="5">
        <f>HYPERLINK("https://api.qogita.com/variants/link/3264680022043/", "View Product")</f>
        <v/>
      </c>
    </row>
    <row r="20739">
      <c r="A20739" t="inlineStr">
        <is>
          <t>3282770074468</t>
        </is>
      </c>
      <c r="B20739" t="inlineStr">
        <is>
          <t>Ducray Keracnyl Serum 30ml Antiimperfections Antistains And Antiaging</t>
        </is>
      </c>
      <c r="C20739" t="inlineStr">
        <is>
          <t>Anti-Aging Serum</t>
        </is>
      </c>
      <c r="D20739" t="inlineStr">
        <is>
          <t>Ducray</t>
        </is>
      </c>
      <c r="E20739" t="n">
        <v>16.63</v>
      </c>
      <c r="F20739" t="n">
        <v>1</v>
      </c>
      <c r="G20739" t="n">
        <v>8</v>
      </c>
      <c r="H20739" s="5">
        <f>HYPERLINK("https://api.qogita.com/variants/link/3282770074468/", "View Product")</f>
        <v/>
      </c>
    </row>
    <row r="20740">
      <c r="A20740" t="inlineStr">
        <is>
          <t>3282770100556</t>
        </is>
      </c>
      <c r="B20740" t="inlineStr">
        <is>
          <t>Avene Couvrance Fluid Foundation Corrector Spf 20 30 Ml Shade 40 Honey</t>
        </is>
      </c>
      <c r="C20740" t="inlineStr">
        <is>
          <t>Foundation</t>
        </is>
      </c>
      <c r="D20740" t="inlineStr">
        <is>
          <t>Avène</t>
        </is>
      </c>
      <c r="E20740" t="n">
        <v>21.87</v>
      </c>
      <c r="F20740" t="n">
        <v>1</v>
      </c>
      <c r="G20740" t="n">
        <v>6</v>
      </c>
      <c r="H20740" s="5">
        <f>HYPERLINK("https://api.qogita.com/variants/link/3282770100556/", "View Product")</f>
        <v/>
      </c>
    </row>
    <row r="20741">
      <c r="A20741" t="inlineStr">
        <is>
          <t>3282770111569</t>
        </is>
      </c>
      <c r="B20741" t="inlineStr">
        <is>
          <t>Avne Gentle Shower Gel 200 Ml Daily Hygiene For Sensitive Skin</t>
        </is>
      </c>
      <c r="C20741" t="inlineStr">
        <is>
          <t>Shower Gel</t>
        </is>
      </c>
      <c r="D20741" t="inlineStr">
        <is>
          <t>Avène</t>
        </is>
      </c>
      <c r="E20741" t="n">
        <v>9.16</v>
      </c>
      <c r="F20741" t="n">
        <v>1</v>
      </c>
      <c r="G20741" t="n">
        <v>4</v>
      </c>
      <c r="H20741" s="5">
        <f>HYPERLINK("https://api.qogita.com/variants/link/3282770111569/", "View Product")</f>
        <v/>
      </c>
    </row>
    <row r="20742">
      <c r="A20742" t="inlineStr">
        <is>
          <t>3282770114317</t>
        </is>
      </c>
      <c r="B20742" t="inlineStr">
        <is>
          <t>Ren Furterer Okara Silver Toning Shampoo 200ml For Gray And White Hair</t>
        </is>
      </c>
      <c r="C20742" t="inlineStr">
        <is>
          <t>Shampoo</t>
        </is>
      </c>
      <c r="D20742" t="inlineStr">
        <is>
          <t>Rene Furterer</t>
        </is>
      </c>
      <c r="E20742" t="n">
        <v>13.5</v>
      </c>
      <c r="F20742" t="n">
        <v>1</v>
      </c>
      <c r="G20742" t="n">
        <v>3</v>
      </c>
      <c r="H20742" s="5">
        <f>HYPERLINK("https://api.qogita.com/variants/link/3282770114317/", "View Product")</f>
        <v/>
      </c>
    </row>
    <row r="20743">
      <c r="A20743" t="inlineStr">
        <is>
          <t>3282770139204</t>
        </is>
      </c>
      <c r="B20743" t="inlineStr">
        <is>
          <t>Avne Cleanance Purifying Cleansing Gel 200ml Soapfree Cleansing Gel For Oily And Problematic Skin</t>
        </is>
      </c>
      <c r="C20743" t="inlineStr">
        <is>
          <t>Cleansing Gel</t>
        </is>
      </c>
      <c r="D20743" t="inlineStr">
        <is>
          <t>Avène</t>
        </is>
      </c>
      <c r="E20743" t="n">
        <v>10.02</v>
      </c>
      <c r="F20743" t="n">
        <v>1</v>
      </c>
      <c r="G20743" t="n">
        <v>8</v>
      </c>
      <c r="H20743" s="5">
        <f>HYPERLINK("https://api.qogita.com/variants/link/3282770139204/", "View Product")</f>
        <v/>
      </c>
    </row>
    <row r="20744">
      <c r="A20744" t="inlineStr">
        <is>
          <t>3282770140866</t>
        </is>
      </c>
      <c r="B20744" t="inlineStr">
        <is>
          <t>Rene Furterer Tonucia Concentrated Youth Serum 75ml Antiaging Hair Serum</t>
        </is>
      </c>
      <c r="C20744" t="inlineStr">
        <is>
          <t>Hair Oil &amp; Hair Serum</t>
        </is>
      </c>
      <c r="D20744" t="inlineStr">
        <is>
          <t>Rene Furterer</t>
        </is>
      </c>
      <c r="E20744" t="n">
        <v>18.6</v>
      </c>
      <c r="F20744" t="n">
        <v>1</v>
      </c>
      <c r="G20744" t="n">
        <v>2</v>
      </c>
      <c r="H20744" s="5">
        <f>HYPERLINK("https://api.qogita.com/variants/link/3282770140866/", "View Product")</f>
        <v/>
      </c>
    </row>
    <row r="20745">
      <c r="A20745" t="inlineStr">
        <is>
          <t>3282770144550</t>
        </is>
      </c>
      <c r="B20745" t="inlineStr">
        <is>
          <t>Avne Natural Mosaic Powder 10g Ideal For Sensitive Skin</t>
        </is>
      </c>
      <c r="C20745" t="inlineStr">
        <is>
          <t>Face Cream</t>
        </is>
      </c>
      <c r="D20745" t="inlineStr">
        <is>
          <t>Avène</t>
        </is>
      </c>
      <c r="E20745" t="n">
        <v>22.17</v>
      </c>
      <c r="F20745" t="n">
        <v>1</v>
      </c>
      <c r="G20745" t="n">
        <v>5</v>
      </c>
      <c r="H20745" s="5">
        <f>HYPERLINK("https://api.qogita.com/variants/link/3282770144550/", "View Product")</f>
        <v/>
      </c>
    </row>
    <row r="20746">
      <c r="A20746" t="inlineStr">
        <is>
          <t>3282770145014</t>
        </is>
      </c>
      <c r="B20746" t="inlineStr">
        <is>
          <t>A-Derma Dermalibour Foaming Cica Gel - 100 Ml</t>
        </is>
      </c>
      <c r="C20746" t="inlineStr">
        <is>
          <t>Neurodermatitis</t>
        </is>
      </c>
      <c r="D20746" t="inlineStr">
        <is>
          <t>A-Derma</t>
        </is>
      </c>
      <c r="E20746" t="n">
        <v>8.82</v>
      </c>
      <c r="F20746" t="n">
        <v>1</v>
      </c>
      <c r="G20746" t="n">
        <v>4</v>
      </c>
      <c r="H20746" s="5">
        <f>HYPERLINK("https://api.qogita.com/variants/link/3282770145014/", "View Product")</f>
        <v/>
      </c>
    </row>
    <row r="20747">
      <c r="A20747" t="inlineStr">
        <is>
          <t>3282770146110</t>
        </is>
      </c>
      <c r="B20747" t="inlineStr">
        <is>
          <t>Avene Couvrance Compact Cream Foundation 11 Natural</t>
        </is>
      </c>
      <c r="C20747" t="inlineStr">
        <is>
          <t>Foundation</t>
        </is>
      </c>
      <c r="D20747" t="inlineStr">
        <is>
          <t>Avène</t>
        </is>
      </c>
      <c r="E20747" t="n">
        <v>20.61</v>
      </c>
      <c r="F20747" t="n">
        <v>1</v>
      </c>
      <c r="G20747" t="n">
        <v>10</v>
      </c>
      <c r="H20747" s="5">
        <f>HYPERLINK("https://api.qogita.com/variants/link/3282770146110/", "View Product")</f>
        <v/>
      </c>
    </row>
    <row r="20748">
      <c r="A20748" t="inlineStr">
        <is>
          <t>3282770146264</t>
        </is>
      </c>
      <c r="B20748" t="inlineStr">
        <is>
          <t>Avne Moisturizing Lip Balm 4g</t>
        </is>
      </c>
      <c r="C20748" t="inlineStr">
        <is>
          <t>Medicated Treatments</t>
        </is>
      </c>
      <c r="D20748" t="inlineStr">
        <is>
          <t>Avène</t>
        </is>
      </c>
      <c r="E20748" t="n">
        <v>6.31</v>
      </c>
      <c r="F20748" t="n">
        <v>1</v>
      </c>
      <c r="G20748" t="n">
        <v>31</v>
      </c>
      <c r="H20748" s="5">
        <f>HYPERLINK("https://api.qogita.com/variants/link/3282770146264/", "View Product")</f>
        <v/>
      </c>
    </row>
    <row r="20749">
      <c r="A20749" t="inlineStr">
        <is>
          <t>3282770147308</t>
        </is>
      </c>
      <c r="B20749" t="inlineStr">
        <is>
          <t>Klorane Flax Fiber Volume Shampoo 400ml For Fine Hair Volume</t>
        </is>
      </c>
      <c r="C20749" t="inlineStr">
        <is>
          <t>Shampoo</t>
        </is>
      </c>
      <c r="D20749" t="inlineStr">
        <is>
          <t>Klorane</t>
        </is>
      </c>
      <c r="E20749" t="n">
        <v>12.52</v>
      </c>
      <c r="F20749" t="n">
        <v>1</v>
      </c>
      <c r="G20749" t="n">
        <v>2</v>
      </c>
      <c r="H20749" s="5">
        <f>HYPERLINK("https://api.qogita.com/variants/link/3282770147308/", "View Product")</f>
        <v/>
      </c>
    </row>
    <row r="20750">
      <c r="A20750" t="inlineStr">
        <is>
          <t>3282770147346</t>
        </is>
      </c>
      <c r="B20750" t="inlineStr">
        <is>
          <t>Klorane Aquatic Mint Purifying Stick Mask 25g Face Mask For Combination To Oily Skin</t>
        </is>
      </c>
      <c r="C20750" t="inlineStr">
        <is>
          <t>Purifying Mask</t>
        </is>
      </c>
      <c r="D20750" t="inlineStr">
        <is>
          <t>Klorane</t>
        </is>
      </c>
      <c r="E20750" t="n">
        <v>14.73</v>
      </c>
      <c r="F20750" t="n">
        <v>1</v>
      </c>
      <c r="G20750" t="n">
        <v>10</v>
      </c>
      <c r="H20750" s="5">
        <f>HYPERLINK("https://api.qogita.com/variants/link/3282770147346/", "View Product")</f>
        <v/>
      </c>
    </row>
    <row r="20751">
      <c r="A20751" t="inlineStr">
        <is>
          <t>3282770148473</t>
        </is>
      </c>
      <c r="B20751" t="inlineStr">
        <is>
          <t>Ducray Kertyol Pso Rebalancing Treatment Shampoo 200ml</t>
        </is>
      </c>
      <c r="C20751" t="inlineStr">
        <is>
          <t>Shampoo</t>
        </is>
      </c>
      <c r="D20751" t="inlineStr">
        <is>
          <t>Ducray</t>
        </is>
      </c>
      <c r="E20751" t="n">
        <v>13.75</v>
      </c>
      <c r="F20751" t="n">
        <v>1</v>
      </c>
      <c r="G20751" t="n">
        <v>11</v>
      </c>
      <c r="H20751" s="5">
        <f>HYPERLINK("https://api.qogita.com/variants/link/3282770148473/", "View Product")</f>
        <v/>
      </c>
    </row>
    <row r="20752">
      <c r="A20752" t="inlineStr">
        <is>
          <t>3282770149494</t>
        </is>
      </c>
      <c r="B20752" t="inlineStr">
        <is>
          <t>Avne Unscented Cream Spf 50 50ml Fragrancefree Invisible Finish For Sensitive Skin</t>
        </is>
      </c>
      <c r="C20752" t="inlineStr">
        <is>
          <t>Face Sun Protection</t>
        </is>
      </c>
      <c r="D20752" t="inlineStr">
        <is>
          <t>Avène</t>
        </is>
      </c>
      <c r="E20752" t="n">
        <v>16.24</v>
      </c>
      <c r="F20752" t="n">
        <v>1</v>
      </c>
      <c r="G20752" t="n">
        <v>8</v>
      </c>
      <c r="H20752" s="5">
        <f>HYPERLINK("https://api.qogita.com/variants/link/3282770149494/", "View Product")</f>
        <v/>
      </c>
    </row>
    <row r="20753">
      <c r="A20753" t="inlineStr">
        <is>
          <t>3282770150124</t>
        </is>
      </c>
      <c r="B20753" t="inlineStr">
        <is>
          <t>Klorane Galanga Shampoo 200ml Antidandruff Rebalancing Shampoo</t>
        </is>
      </c>
      <c r="C20753" t="inlineStr">
        <is>
          <t>Shampoo</t>
        </is>
      </c>
      <c r="D20753" t="inlineStr">
        <is>
          <t>Klorane</t>
        </is>
      </c>
      <c r="E20753" t="n">
        <v>8.92</v>
      </c>
      <c r="F20753" t="n">
        <v>1</v>
      </c>
      <c r="G20753" t="n">
        <v>25</v>
      </c>
      <c r="H20753" s="5">
        <f>HYPERLINK("https://api.qogita.com/variants/link/3282770150124/", "View Product")</f>
        <v/>
      </c>
    </row>
    <row r="20754">
      <c r="A20754" t="inlineStr">
        <is>
          <t>3282770150162</t>
        </is>
      </c>
      <c r="B20754" t="inlineStr">
        <is>
          <t>Klorane Hair Mask Against Dandruff Treating Powdermask 8 X 3 Grams</t>
        </is>
      </c>
      <c r="C20754" t="inlineStr">
        <is>
          <t>Hair Masks</t>
        </is>
      </c>
      <c r="D20754" t="inlineStr">
        <is>
          <t>Klorane</t>
        </is>
      </c>
      <c r="E20754" t="n">
        <v>15.81</v>
      </c>
      <c r="F20754" t="n">
        <v>1</v>
      </c>
      <c r="G20754" t="n">
        <v>17</v>
      </c>
      <c r="H20754" s="5">
        <f>HYPERLINK("https://api.qogita.com/variants/link/3282770150162/", "View Product")</f>
        <v/>
      </c>
    </row>
    <row r="20755">
      <c r="A20755" t="inlineStr">
        <is>
          <t>3282770150407</t>
        </is>
      </c>
      <c r="B20755" t="inlineStr">
        <is>
          <t>Aderma Sun Fluid Spf 50 Protect Pocket Very High Protection Invisible Fluid 30 Ml</t>
        </is>
      </c>
      <c r="C20755" t="inlineStr">
        <is>
          <t>Face Sun Protection</t>
        </is>
      </c>
      <c r="D20755" t="inlineStr">
        <is>
          <t>A-Derma</t>
        </is>
      </c>
      <c r="E20755" t="n">
        <v>9.470000000000001</v>
      </c>
      <c r="F20755" t="n">
        <v>1</v>
      </c>
      <c r="G20755" t="n">
        <v>3</v>
      </c>
      <c r="H20755" s="5">
        <f>HYPERLINK("https://api.qogita.com/variants/link/3282770150407/", "View Product")</f>
        <v/>
      </c>
    </row>
    <row r="20756">
      <c r="A20756" t="inlineStr">
        <is>
          <t>3282770150438</t>
        </is>
      </c>
      <c r="B20756" t="inlineStr">
        <is>
          <t>Klorane Almond Milk Shampoo 200ml For Almond Softness</t>
        </is>
      </c>
      <c r="C20756" t="inlineStr">
        <is>
          <t>Shampoo</t>
        </is>
      </c>
      <c r="D20756" t="inlineStr">
        <is>
          <t>Klorane</t>
        </is>
      </c>
      <c r="E20756" t="n">
        <v>14.1</v>
      </c>
      <c r="F20756" t="n">
        <v>1</v>
      </c>
      <c r="G20756" t="n">
        <v>11</v>
      </c>
      <c r="H20756" s="5">
        <f>HYPERLINK("https://api.qogita.com/variants/link/3282770150438/", "View Product")</f>
        <v/>
      </c>
    </row>
    <row r="20757">
      <c r="A20757" t="inlineStr">
        <is>
          <t>3282770152999</t>
        </is>
      </c>
      <c r="B20757" t="inlineStr">
        <is>
          <t>Aderma Biology Ac Cleansing Foaming Gel 200ml</t>
        </is>
      </c>
      <c r="C20757" t="inlineStr">
        <is>
          <t>Cleansing Foam</t>
        </is>
      </c>
      <c r="D20757" t="inlineStr">
        <is>
          <t>A-Derma</t>
        </is>
      </c>
      <c r="E20757" t="n">
        <v>10.41</v>
      </c>
      <c r="F20757" t="n">
        <v>1</v>
      </c>
      <c r="G20757" t="n">
        <v>2</v>
      </c>
      <c r="H20757" s="5">
        <f>HYPERLINK("https://api.qogita.com/variants/link/3282770152999/", "View Product")</f>
        <v/>
      </c>
    </row>
    <row r="20758">
      <c r="A20758" t="inlineStr">
        <is>
          <t>3282770153101</t>
        </is>
      </c>
      <c r="B20758" t="inlineStr">
        <is>
          <t>Avene Hyaluron Activ B3 Volumising Concentrate Serum 30ml</t>
        </is>
      </c>
      <c r="C20758" t="inlineStr">
        <is>
          <t>Hyaluronic Acid Serum</t>
        </is>
      </c>
      <c r="D20758" t="inlineStr">
        <is>
          <t>Avène</t>
        </is>
      </c>
      <c r="E20758" t="n">
        <v>35.15</v>
      </c>
      <c r="F20758" t="n">
        <v>1</v>
      </c>
      <c r="G20758" t="n">
        <v>7</v>
      </c>
      <c r="H20758" s="5">
        <f>HYPERLINK("https://api.qogita.com/variants/link/3282770153101/", "View Product")</f>
        <v/>
      </c>
    </row>
    <row r="20759">
      <c r="A20759" t="inlineStr">
        <is>
          <t>3282770154559</t>
        </is>
      </c>
      <c r="B20759" t="inlineStr">
        <is>
          <t>Avne Xeracalm Ad Lipidreplenishing Balm 200ml For Very Dry And Itchy Skin</t>
        </is>
      </c>
      <c r="C20759" t="inlineStr">
        <is>
          <t>Body Lotion</t>
        </is>
      </c>
      <c r="D20759" t="inlineStr">
        <is>
          <t>Avène</t>
        </is>
      </c>
      <c r="E20759" t="n">
        <v>18.42</v>
      </c>
      <c r="F20759" t="n">
        <v>1</v>
      </c>
      <c r="G20759" t="n">
        <v>13</v>
      </c>
      <c r="H20759" s="5">
        <f>HYPERLINK("https://api.qogita.com/variants/link/3282770154559/", "View Product")</f>
        <v/>
      </c>
    </row>
    <row r="20760">
      <c r="A20760" t="inlineStr">
        <is>
          <t>3282770155051</t>
        </is>
      </c>
      <c r="B20760" t="inlineStr">
        <is>
          <t>Avne Xeracalm Nutrition Shower Cream 500ml For Face And Body</t>
        </is>
      </c>
      <c r="C20760" t="inlineStr">
        <is>
          <t>Shower Gel</t>
        </is>
      </c>
      <c r="D20760" t="inlineStr">
        <is>
          <t>Avène</t>
        </is>
      </c>
      <c r="E20760" t="n">
        <v>15.8</v>
      </c>
      <c r="F20760" t="n">
        <v>1</v>
      </c>
      <c r="G20760" t="n">
        <v>11</v>
      </c>
      <c r="H20760" s="5">
        <f>HYPERLINK("https://api.qogita.com/variants/link/3282770155051/", "View Product")</f>
        <v/>
      </c>
    </row>
    <row r="20761">
      <c r="A20761" t="inlineStr">
        <is>
          <t>3282770204247</t>
        </is>
      </c>
      <c r="B20761" t="inlineStr">
        <is>
          <t>Klorane Waterproof Eye Makeup Remover with Cornflower 100ml</t>
        </is>
      </c>
      <c r="C20761" t="inlineStr">
        <is>
          <t>Makeup Remover</t>
        </is>
      </c>
      <c r="D20761" t="inlineStr">
        <is>
          <t>Klorane</t>
        </is>
      </c>
      <c r="E20761" t="n">
        <v>8.35</v>
      </c>
      <c r="F20761" t="n">
        <v>1</v>
      </c>
      <c r="G20761" t="n">
        <v>8</v>
      </c>
      <c r="H20761" s="5">
        <f>HYPERLINK("https://api.qogita.com/variants/link/3282770204247/", "View Product")</f>
        <v/>
      </c>
    </row>
    <row r="20762">
      <c r="A20762" t="inlineStr">
        <is>
          <t>3282770206210</t>
        </is>
      </c>
      <c r="B20762" t="inlineStr">
        <is>
          <t>Aderma Protect Xtrem Invisible Sun Stick Spf 50 8g</t>
        </is>
      </c>
      <c r="C20762" t="inlineStr">
        <is>
          <t>Face Sun Protection</t>
        </is>
      </c>
      <c r="D20762" t="inlineStr">
        <is>
          <t>A-Derma</t>
        </is>
      </c>
      <c r="E20762" t="n">
        <v>14.13</v>
      </c>
      <c r="F20762" t="n">
        <v>1</v>
      </c>
      <c r="G20762" t="n">
        <v>9</v>
      </c>
      <c r="H20762" s="5">
        <f>HYPERLINK("https://api.qogita.com/variants/link/3282770206210/", "View Product")</f>
        <v/>
      </c>
    </row>
    <row r="20763">
      <c r="A20763" t="inlineStr">
        <is>
          <t>3282770206784</t>
        </is>
      </c>
      <c r="B20763" t="inlineStr">
        <is>
          <t>Klorane Junior 2in1 Shower Gel Body And Hair 200 Ml</t>
        </is>
      </c>
      <c r="C20763" t="inlineStr">
        <is>
          <t>Baby Shower Gel &amp; Soap</t>
        </is>
      </c>
      <c r="D20763" t="inlineStr">
        <is>
          <t>Klorane</t>
        </is>
      </c>
      <c r="E20763" t="n">
        <v>6.44</v>
      </c>
      <c r="F20763" t="n">
        <v>1</v>
      </c>
      <c r="G20763" t="n">
        <v>2</v>
      </c>
      <c r="H20763" s="5">
        <f>HYPERLINK("https://api.qogita.com/variants/link/3282770206784/", "View Product")</f>
        <v/>
      </c>
    </row>
    <row r="20764">
      <c r="A20764" t="inlineStr">
        <is>
          <t>3282770208016</t>
        </is>
      </c>
      <c r="B20764" t="inlineStr">
        <is>
          <t>Klorane Cornflower Water Cream</t>
        </is>
      </c>
      <c r="C20764" t="inlineStr">
        <is>
          <t>Face Cream</t>
        </is>
      </c>
      <c r="D20764" t="inlineStr">
        <is>
          <t>Klorane</t>
        </is>
      </c>
      <c r="E20764" t="n">
        <v>20.45</v>
      </c>
      <c r="F20764" t="n">
        <v>1</v>
      </c>
      <c r="G20764" t="n">
        <v>4</v>
      </c>
      <c r="H20764" s="5">
        <f>HYPERLINK("https://api.qogita.com/variants/link/3282770208016/", "View Product")</f>
        <v/>
      </c>
    </row>
    <row r="20765">
      <c r="A20765" t="inlineStr">
        <is>
          <t>3282770208771</t>
        </is>
      </c>
      <c r="B20765" t="inlineStr">
        <is>
          <t>Avne Hydrance Bb Light Moisturizing Emulsion Spf 30 40ml</t>
        </is>
      </c>
      <c r="C20765" t="inlineStr">
        <is>
          <t>Face Sun Protection</t>
        </is>
      </c>
      <c r="D20765" t="inlineStr">
        <is>
          <t>Avène</t>
        </is>
      </c>
      <c r="E20765" t="n">
        <v>19.15</v>
      </c>
      <c r="F20765" t="n">
        <v>1</v>
      </c>
      <c r="G20765" t="n">
        <v>13</v>
      </c>
      <c r="H20765" s="5">
        <f>HYPERLINK("https://api.qogita.com/variants/link/3282770208771/", "View Product")</f>
        <v/>
      </c>
    </row>
    <row r="20766">
      <c r="A20766" t="inlineStr">
        <is>
          <t>3282770388961</t>
        </is>
      </c>
      <c r="B20766" t="inlineStr">
        <is>
          <t>Avene Reflexe Solaire SPF50 30ml</t>
        </is>
      </c>
      <c r="C20766" t="inlineStr">
        <is>
          <t>Body Sun Protection</t>
        </is>
      </c>
      <c r="D20766" t="inlineStr">
        <is>
          <t>Avène</t>
        </is>
      </c>
      <c r="E20766" t="n">
        <v>10.63</v>
      </c>
      <c r="F20766" t="n">
        <v>1</v>
      </c>
      <c r="G20766" t="n">
        <v>6</v>
      </c>
      <c r="H20766" s="5">
        <f>HYPERLINK("https://api.qogita.com/variants/link/3282770388961/", "View Product")</f>
        <v/>
      </c>
    </row>
    <row r="20767">
      <c r="A20767" t="inlineStr">
        <is>
          <t>3282770389197</t>
        </is>
      </c>
      <c r="B20767" t="inlineStr">
        <is>
          <t>Ducray Melascreen Anti Spot Concentrate Depigmenting Concentrate For Body 30ml</t>
        </is>
      </c>
      <c r="C20767" t="inlineStr">
        <is>
          <t>Body Care</t>
        </is>
      </c>
      <c r="D20767" t="inlineStr">
        <is>
          <t>Ducray</t>
        </is>
      </c>
      <c r="E20767" t="n">
        <v>27.78</v>
      </c>
      <c r="F20767" t="n">
        <v>1</v>
      </c>
      <c r="G20767" t="n">
        <v>6</v>
      </c>
      <c r="H20767" s="5">
        <f>HYPERLINK("https://api.qogita.com/variants/link/3282770389197/", "View Product")</f>
        <v/>
      </c>
    </row>
    <row r="20768">
      <c r="A20768" t="inlineStr">
        <is>
          <t>3282770390193</t>
        </is>
      </c>
      <c r="B20768" t="inlineStr">
        <is>
          <t>Ducray Anacaps Tri-Activ Temporary Hair Loss 90 Capsules</t>
        </is>
      </c>
      <c r="C20768" t="inlineStr">
        <is>
          <t>Beautiful Hair</t>
        </is>
      </c>
      <c r="D20768" t="inlineStr">
        <is>
          <t>Ducray</t>
        </is>
      </c>
      <c r="E20768" t="n">
        <v>39.19</v>
      </c>
      <c r="F20768" t="n">
        <v>1</v>
      </c>
      <c r="G20768" t="n">
        <v>4</v>
      </c>
      <c r="H20768" s="5">
        <f>HYPERLINK("https://api.qogita.com/variants/link/3282770390193/", "View Product")</f>
        <v/>
      </c>
    </row>
    <row r="20769">
      <c r="A20769" t="inlineStr">
        <is>
          <t>3282770392470</t>
        </is>
      </c>
      <c r="B20769" t="inlineStr">
        <is>
          <t>Klorane Baby Petit Brin Water 50ml With Plush Bunny</t>
        </is>
      </c>
      <c r="C20769" t="inlineStr">
        <is>
          <t>Baby Bath</t>
        </is>
      </c>
      <c r="D20769" t="inlineStr">
        <is>
          <t>Klorane</t>
        </is>
      </c>
      <c r="E20769" t="n">
        <v>14.73</v>
      </c>
      <c r="F20769" t="n">
        <v>1</v>
      </c>
      <c r="G20769" t="n">
        <v>2</v>
      </c>
      <c r="H20769" s="5">
        <f>HYPERLINK("https://api.qogita.com/variants/link/3282770392470/", "View Product")</f>
        <v/>
      </c>
    </row>
    <row r="20770">
      <c r="A20770" t="inlineStr">
        <is>
          <t>3282770393408</t>
        </is>
      </c>
      <c r="B20770" t="inlineStr">
        <is>
          <t>Avne Hyaluron Active B3 Cell Renewal Aqua Cream In Gel 50 Ml</t>
        </is>
      </c>
      <c r="C20770" t="inlineStr">
        <is>
          <t>Face Cream</t>
        </is>
      </c>
      <c r="D20770" t="inlineStr">
        <is>
          <t>Avène</t>
        </is>
      </c>
      <c r="E20770" t="n">
        <v>30.8</v>
      </c>
      <c r="F20770" t="n">
        <v>1</v>
      </c>
      <c r="G20770" t="n">
        <v>4</v>
      </c>
      <c r="H20770" s="5">
        <f>HYPERLINK("https://api.qogita.com/variants/link/3282770393408/", "View Product")</f>
        <v/>
      </c>
    </row>
    <row r="20771">
      <c r="A20771" t="inlineStr">
        <is>
          <t>3282770393477</t>
        </is>
      </c>
      <c r="B20771" t="inlineStr">
        <is>
          <t>Avne Vitamin Activ Cg Brightening Corrective Serum 30ml</t>
        </is>
      </c>
      <c r="C20771" t="inlineStr">
        <is>
          <t>Vitamin Serum</t>
        </is>
      </c>
      <c r="D20771" t="inlineStr">
        <is>
          <t>Avène</t>
        </is>
      </c>
      <c r="E20771" t="n">
        <v>34.23</v>
      </c>
      <c r="F20771" t="n">
        <v>1</v>
      </c>
      <c r="G20771" t="n">
        <v>5</v>
      </c>
      <c r="H20771" s="5">
        <f>HYPERLINK("https://api.qogita.com/variants/link/3282770393477/", "View Product")</f>
        <v/>
      </c>
    </row>
    <row r="20772">
      <c r="A20772" t="inlineStr">
        <is>
          <t>3282770393507</t>
        </is>
      </c>
      <c r="B20772" t="inlineStr">
        <is>
          <t>Avene Vitamin Activ Cg Intensively Brightening Cream 50ml</t>
        </is>
      </c>
      <c r="C20772" t="inlineStr">
        <is>
          <t>Anti-Pigmentation Spot Cream</t>
        </is>
      </c>
      <c r="D20772" t="inlineStr">
        <is>
          <t>Avène</t>
        </is>
      </c>
      <c r="E20772" t="n">
        <v>33.74</v>
      </c>
      <c r="F20772" t="n">
        <v>1</v>
      </c>
      <c r="G20772" t="n">
        <v>10</v>
      </c>
      <c r="H20772" s="5">
        <f>HYPERLINK("https://api.qogita.com/variants/link/3282770393507/", "View Product")</f>
        <v/>
      </c>
    </row>
    <row r="20773">
      <c r="A20773" t="inlineStr">
        <is>
          <t>3282770394313</t>
        </is>
      </c>
      <c r="B20773" t="inlineStr">
        <is>
          <t>Avene Hyaluron Activ B3 Triple Corrective Eye Care 15ml</t>
        </is>
      </c>
      <c r="C20773" t="inlineStr">
        <is>
          <t>Eye Cream</t>
        </is>
      </c>
      <c r="D20773" t="inlineStr">
        <is>
          <t>Avène</t>
        </is>
      </c>
      <c r="E20773" t="n">
        <v>26.6</v>
      </c>
      <c r="F20773" t="n">
        <v>1</v>
      </c>
      <c r="G20773" t="n">
        <v>5</v>
      </c>
      <c r="H20773" s="5">
        <f>HYPERLINK("https://api.qogita.com/variants/link/3282770394313/", "View Product")</f>
        <v/>
      </c>
    </row>
    <row r="20774">
      <c r="A20774" t="inlineStr">
        <is>
          <t>3282779002738</t>
        </is>
      </c>
      <c r="B20774" t="inlineStr">
        <is>
          <t>Avene Cold Cream 40ml 1.2oz</t>
        </is>
      </c>
      <c r="C20774" t="inlineStr">
        <is>
          <t>Day Cream</t>
        </is>
      </c>
      <c r="D20774" t="inlineStr">
        <is>
          <t>Avène</t>
        </is>
      </c>
      <c r="E20774" t="n">
        <v>9.609999999999999</v>
      </c>
      <c r="F20774" t="n">
        <v>1</v>
      </c>
      <c r="G20774" t="n">
        <v>7</v>
      </c>
      <c r="H20774" s="5">
        <f>HYPERLINK("https://api.qogita.com/variants/link/3282779002738/", "View Product")</f>
        <v/>
      </c>
    </row>
    <row r="20775">
      <c r="A20775" t="inlineStr">
        <is>
          <t>3282779003889</t>
        </is>
      </c>
      <c r="B20775" t="inlineStr">
        <is>
          <t>Avene Men After Shave Balm 75ml For Dry To Very Dry Skin</t>
        </is>
      </c>
      <c r="C20775" t="inlineStr">
        <is>
          <t>Aftershave</t>
        </is>
      </c>
      <c r="D20775" t="inlineStr">
        <is>
          <t>Avène</t>
        </is>
      </c>
      <c r="E20775" t="n">
        <v>18.48</v>
      </c>
      <c r="F20775" t="n">
        <v>1</v>
      </c>
      <c r="G20775" t="n">
        <v>2</v>
      </c>
      <c r="H20775" s="5">
        <f>HYPERLINK("https://api.qogita.com/variants/link/3282779003889/", "View Product")</f>
        <v/>
      </c>
    </row>
    <row r="20776">
      <c r="A20776" t="inlineStr">
        <is>
          <t>3282779051378</t>
        </is>
      </c>
      <c r="B20776" t="inlineStr">
        <is>
          <t>Avene Gentle Eye Makeup Remover 125ml Suitable For Sensitive Or Irritated Eyes</t>
        </is>
      </c>
      <c r="C20776" t="inlineStr">
        <is>
          <t>Makeup Remover</t>
        </is>
      </c>
      <c r="D20776" t="inlineStr">
        <is>
          <t>Avène</t>
        </is>
      </c>
      <c r="E20776" t="n">
        <v>13.65</v>
      </c>
      <c r="F20776" t="n">
        <v>1</v>
      </c>
      <c r="G20776" t="n">
        <v>2</v>
      </c>
      <c r="H20776" s="5">
        <f>HYPERLINK("https://api.qogita.com/variants/link/3282779051378/", "View Product")</f>
        <v/>
      </c>
    </row>
    <row r="20777">
      <c r="A20777" t="inlineStr">
        <is>
          <t>3282779416139</t>
        </is>
      </c>
      <c r="B20777" t="inlineStr">
        <is>
          <t>Avne Cicalfate Hand Cream 100ml Restorative Barrier Effect</t>
        </is>
      </c>
      <c r="C20777" t="inlineStr">
        <is>
          <t>Hand Cream</t>
        </is>
      </c>
      <c r="D20777" t="inlineStr">
        <is>
          <t>Avène</t>
        </is>
      </c>
      <c r="E20777" t="n">
        <v>11.57</v>
      </c>
      <c r="F20777" t="n">
        <v>1</v>
      </c>
      <c r="G20777" t="n">
        <v>8</v>
      </c>
      <c r="H20777" s="5">
        <f>HYPERLINK("https://api.qogita.com/variants/link/3282779416139/", "View Product")</f>
        <v/>
      </c>
    </row>
    <row r="20778">
      <c r="A20778" t="inlineStr">
        <is>
          <t>3284410031060</t>
        </is>
      </c>
      <c r="B20778" t="inlineStr">
        <is>
          <t>Melvita Softening Shampoo 500ml</t>
        </is>
      </c>
      <c r="C20778" t="inlineStr">
        <is>
          <t>Shampoo</t>
        </is>
      </c>
      <c r="D20778" t="inlineStr">
        <is>
          <t>Melvita</t>
        </is>
      </c>
      <c r="E20778" t="n">
        <v>13.34</v>
      </c>
      <c r="F20778" t="n">
        <v>1</v>
      </c>
      <c r="G20778" t="n">
        <v>2</v>
      </c>
      <c r="H20778" s="5">
        <f>HYPERLINK("https://api.qogita.com/variants/link/3284410031060/", "View Product")</f>
        <v/>
      </c>
    </row>
    <row r="20779">
      <c r="A20779" t="inlineStr">
        <is>
          <t>3284410041106</t>
        </is>
      </c>
      <c r="B20779" t="inlineStr">
        <is>
          <t>Melvita Lily Extraordinary Water 100ml</t>
        </is>
      </c>
      <c r="C20779" t="inlineStr">
        <is>
          <t>Facial Spray</t>
        </is>
      </c>
      <c r="D20779" t="inlineStr">
        <is>
          <t>Melvita</t>
        </is>
      </c>
      <c r="E20779" t="n">
        <v>14.93</v>
      </c>
      <c r="F20779" t="n">
        <v>1</v>
      </c>
      <c r="G20779" t="n">
        <v>2</v>
      </c>
      <c r="H20779" s="5">
        <f>HYPERLINK("https://api.qogita.com/variants/link/3284410041106/", "View Product")</f>
        <v/>
      </c>
    </row>
    <row r="20780">
      <c r="A20780" t="inlineStr">
        <is>
          <t>3284410046149</t>
        </is>
      </c>
      <c r="B20780" t="inlineStr">
        <is>
          <t>Argan Bio-Active Intensive Lifting Fluid 40ml</t>
        </is>
      </c>
      <c r="C20780" t="inlineStr">
        <is>
          <t>Anti-Aging Serum</t>
        </is>
      </c>
      <c r="D20780" t="inlineStr">
        <is>
          <t>Melvita</t>
        </is>
      </c>
      <c r="E20780" t="n">
        <v>22.08</v>
      </c>
      <c r="F20780" t="n">
        <v>1</v>
      </c>
      <c r="G20780" t="n">
        <v>8</v>
      </c>
      <c r="H20780" s="5">
        <f>HYPERLINK("https://api.qogita.com/variants/link/3284410046149/", "View Product")</f>
        <v/>
      </c>
    </row>
    <row r="20781">
      <c r="A20781" t="inlineStr">
        <is>
          <t>3284410050290</t>
        </is>
      </c>
      <c r="B20781" t="inlineStr">
        <is>
          <t>Melvita Nectarcalm Soothing Strengthening Serum 30ml</t>
        </is>
      </c>
      <c r="C20781" t="inlineStr">
        <is>
          <t>Hydrating Serum</t>
        </is>
      </c>
      <c r="D20781" t="inlineStr">
        <is>
          <t>Melvita</t>
        </is>
      </c>
      <c r="E20781" t="n">
        <v>28.19</v>
      </c>
      <c r="F20781" t="n">
        <v>1</v>
      </c>
      <c r="G20781" t="n">
        <v>3</v>
      </c>
      <c r="H20781" s="5">
        <f>HYPERLINK("https://api.qogita.com/variants/link/3284410050290/", "View Product")</f>
        <v/>
      </c>
    </row>
    <row r="20782">
      <c r="A20782" t="inlineStr">
        <is>
          <t>3284410051167</t>
        </is>
      </c>
      <c r="B20782" t="inlineStr">
        <is>
          <t>Melvita Anti-Aging Lifting Firming Facial Cream with Argan Active</t>
        </is>
      </c>
      <c r="C20782" t="inlineStr">
        <is>
          <t>Anti-Aging Facial Care</t>
        </is>
      </c>
      <c r="D20782" t="inlineStr">
        <is>
          <t>Melvita</t>
        </is>
      </c>
      <c r="E20782" t="n">
        <v>32.12</v>
      </c>
      <c r="F20782" t="n">
        <v>1</v>
      </c>
      <c r="G20782" t="n">
        <v>3</v>
      </c>
      <c r="H20782" s="5">
        <f>HYPERLINK("https://api.qogita.com/variants/link/3284410051167/", "View Product")</f>
        <v/>
      </c>
    </row>
    <row r="20783">
      <c r="A20783" t="inlineStr">
        <is>
          <t>3284410051723</t>
        </is>
      </c>
      <c r="B20783" t="inlineStr">
        <is>
          <t>Melvita Rose Gold Toning Expert Scrub Firming and Smoothing Body Scrub</t>
        </is>
      </c>
      <c r="C20783" t="inlineStr">
        <is>
          <t>Body Scrub &amp; Peeling</t>
        </is>
      </c>
      <c r="D20783" t="inlineStr">
        <is>
          <t>Melvita</t>
        </is>
      </c>
      <c r="E20783" t="n">
        <v>13.09</v>
      </c>
      <c r="F20783" t="n">
        <v>1</v>
      </c>
      <c r="G20783" t="n">
        <v>3</v>
      </c>
      <c r="H20783" s="5">
        <f>HYPERLINK("https://api.qogita.com/variants/link/3284410051723/", "View Product")</f>
        <v/>
      </c>
    </row>
    <row r="20784">
      <c r="A20784" t="inlineStr">
        <is>
          <t>3296665478224</t>
        </is>
      </c>
      <c r="B20784" t="inlineStr">
        <is>
          <t>Royal Collection White X Eau De Parfum</t>
        </is>
      </c>
      <c r="C20784" t="inlineStr">
        <is>
          <t>Eau De Parfum</t>
        </is>
      </c>
      <c r="D20784" t="inlineStr">
        <is>
          <t>Royal Collection</t>
        </is>
      </c>
      <c r="E20784" t="n">
        <v>12.57</v>
      </c>
      <c r="F20784" t="n">
        <v>1</v>
      </c>
      <c r="G20784" t="n">
        <v>7</v>
      </c>
      <c r="H20784" s="5">
        <f>HYPERLINK("https://api.qogita.com/variants/link/3296665478224/", "View Product")</f>
        <v/>
      </c>
    </row>
    <row r="20785">
      <c r="A20785" t="inlineStr">
        <is>
          <t>3300020157560</t>
        </is>
      </c>
      <c r="B20785" t="inlineStr">
        <is>
          <t>Attar Collection Hayati Unisex Eau De Parfum Spray 100ml</t>
        </is>
      </c>
      <c r="C20785" t="inlineStr">
        <is>
          <t>Eau De Parfum</t>
        </is>
      </c>
      <c r="D20785" t="inlineStr">
        <is>
          <t>Attar Collection</t>
        </is>
      </c>
      <c r="E20785" t="n">
        <v>58.51</v>
      </c>
      <c r="F20785" t="n">
        <v>1</v>
      </c>
      <c r="G20785" t="n">
        <v>14</v>
      </c>
      <c r="H20785" s="5">
        <f>HYPERLINK("https://api.qogita.com/variants/link/3300020157560/", "View Product")</f>
        <v/>
      </c>
    </row>
    <row r="20786">
      <c r="A20786" t="inlineStr">
        <is>
          <t>3306610955776</t>
        </is>
      </c>
      <c r="B20786" t="inlineStr">
        <is>
          <t>Chopperhead Natural Leave-In Beard Oil</t>
        </is>
      </c>
      <c r="C20786" t="inlineStr">
        <is>
          <t>Beard Care Accessories</t>
        </is>
      </c>
      <c r="D20786" t="inlineStr">
        <is>
          <t>Chopperhead</t>
        </is>
      </c>
      <c r="E20786" t="n">
        <v>7.52</v>
      </c>
      <c r="F20786" t="n">
        <v>1</v>
      </c>
      <c r="G20786" t="n">
        <v>16</v>
      </c>
      <c r="H20786" s="5">
        <f>HYPERLINK("https://api.qogita.com/variants/link/3306610955776/", "View Product")</f>
        <v/>
      </c>
    </row>
    <row r="20787">
      <c r="A20787" t="inlineStr">
        <is>
          <t>3306610958364</t>
        </is>
      </c>
      <c r="B20787" t="inlineStr">
        <is>
          <t>Chopperhead Hairloss Lotion</t>
        </is>
      </c>
      <c r="C20787" t="inlineStr">
        <is>
          <t>Scalp Care</t>
        </is>
      </c>
      <c r="D20787" t="inlineStr">
        <is>
          <t>Chopperhead</t>
        </is>
      </c>
      <c r="E20787" t="n">
        <v>7.84</v>
      </c>
      <c r="F20787" t="n">
        <v>1</v>
      </c>
      <c r="G20787" t="n">
        <v>8</v>
      </c>
      <c r="H20787" s="5">
        <f>HYPERLINK("https://api.qogita.com/variants/link/3306610958364/", "View Product")</f>
        <v/>
      </c>
    </row>
    <row r="20788">
      <c r="A20788" t="inlineStr">
        <is>
          <t>3306619560117</t>
        </is>
      </c>
      <c r="B20788" t="inlineStr">
        <is>
          <t>Chopperhead Classic Wax</t>
        </is>
      </c>
      <c r="C20788" t="inlineStr">
        <is>
          <t>Wax</t>
        </is>
      </c>
      <c r="D20788" t="inlineStr">
        <is>
          <t>Chopperhead</t>
        </is>
      </c>
      <c r="E20788" t="n">
        <v>7.68</v>
      </c>
      <c r="F20788" t="n">
        <v>1</v>
      </c>
      <c r="G20788" t="n">
        <v>6</v>
      </c>
      <c r="H20788" s="5">
        <f>HYPERLINK("https://api.qogita.com/variants/link/3306619560117/", "View Product")</f>
        <v/>
      </c>
    </row>
    <row r="20789">
      <c r="A20789" t="inlineStr">
        <is>
          <t>3331436101038</t>
        </is>
      </c>
      <c r="B20789" t="inlineStr">
        <is>
          <t>Rubylips Eau De Rubylips Toilet Water Spray 100ml</t>
        </is>
      </c>
      <c r="C20789" t="inlineStr">
        <is>
          <t>Eau De Toilette</t>
        </is>
      </c>
      <c r="D20789" t="inlineStr">
        <is>
          <t>Rubylips</t>
        </is>
      </c>
      <c r="E20789" t="n">
        <v>16.17</v>
      </c>
      <c r="F20789" t="n">
        <v>1</v>
      </c>
      <c r="G20789" t="n">
        <v>6</v>
      </c>
      <c r="H20789" s="5">
        <f>HYPERLINK("https://api.qogita.com/variants/link/3331436101038/", "View Product")</f>
        <v/>
      </c>
    </row>
    <row r="20790">
      <c r="A20790" t="inlineStr">
        <is>
          <t>3331438610033</t>
        </is>
      </c>
      <c r="B20790" t="inlineStr">
        <is>
          <t>Salvador Dali La Belle et L'Ocelot Eau de Parfum Spray for Women 100ml</t>
        </is>
      </c>
      <c r="C20790" t="inlineStr">
        <is>
          <t>Eau De Parfum</t>
        </is>
      </c>
      <c r="D20790" t="inlineStr">
        <is>
          <t>Salvador Dali</t>
        </is>
      </c>
      <c r="E20790" t="n">
        <v>38.42</v>
      </c>
      <c r="F20790" t="n">
        <v>1</v>
      </c>
      <c r="G20790" t="n">
        <v>94</v>
      </c>
      <c r="H20790" s="5">
        <f>HYPERLINK("https://api.qogita.com/variants/link/3331438610033/", "View Product")</f>
        <v/>
      </c>
    </row>
    <row r="20791">
      <c r="A20791" t="inlineStr">
        <is>
          <t>3331849004544</t>
        </is>
      </c>
      <c r="B20791" t="inlineStr">
        <is>
          <t>Berdoues 1902 Figue Blanche Eau De Cologne</t>
        </is>
      </c>
      <c r="C20791" t="inlineStr">
        <is>
          <t>Eau De Cologne</t>
        </is>
      </c>
      <c r="D20791" t="inlineStr">
        <is>
          <t>Berdoues</t>
        </is>
      </c>
      <c r="E20791" t="n">
        <v>7.27</v>
      </c>
      <c r="F20791" t="n">
        <v>1</v>
      </c>
      <c r="G20791" t="n">
        <v>5</v>
      </c>
      <c r="H20791" s="5">
        <f>HYPERLINK("https://api.qogita.com/variants/link/3331849004544/", "View Product")</f>
        <v/>
      </c>
    </row>
    <row r="20792">
      <c r="A20792" t="inlineStr">
        <is>
          <t>3337871307745</t>
        </is>
      </c>
      <c r="B20792" t="inlineStr">
        <is>
          <t>Vichy Nutrilogie 2 Moisturising Facial Cream for Dry Skin 50ml</t>
        </is>
      </c>
      <c r="C20792" t="inlineStr">
        <is>
          <t>Face Cream</t>
        </is>
      </c>
      <c r="D20792" t="inlineStr">
        <is>
          <t>Vichy</t>
        </is>
      </c>
      <c r="E20792" t="n">
        <v>19.35</v>
      </c>
      <c r="F20792" t="n">
        <v>1</v>
      </c>
      <c r="G20792" t="n">
        <v>90</v>
      </c>
      <c r="H20792" s="5">
        <f>HYPERLINK("https://api.qogita.com/variants/link/3337871307745/", "View Product")</f>
        <v/>
      </c>
    </row>
    <row r="20793">
      <c r="A20793" t="inlineStr">
        <is>
          <t>3337871310455</t>
        </is>
      </c>
      <c r="B20793" t="inlineStr">
        <is>
          <t>Vichy Antiperspirant Cream Deodorant 7 Days 30ml</t>
        </is>
      </c>
      <c r="C20793" t="inlineStr">
        <is>
          <t>Deodorant &amp; Anti-Perspirant</t>
        </is>
      </c>
      <c r="D20793" t="inlineStr">
        <is>
          <t>Vichy</t>
        </is>
      </c>
      <c r="E20793" t="n">
        <v>11.44</v>
      </c>
      <c r="F20793" t="n">
        <v>1</v>
      </c>
      <c r="G20793" t="n">
        <v>15</v>
      </c>
      <c r="H20793" s="5">
        <f>HYPERLINK("https://api.qogita.com/variants/link/3337871310455/", "View Product")</f>
        <v/>
      </c>
    </row>
    <row r="20794">
      <c r="A20794" t="inlineStr">
        <is>
          <t>3337871318895</t>
        </is>
      </c>
      <c r="B20794" t="inlineStr">
        <is>
          <t>Vichy Homme Anti-Irritation Sensi Shave Shaving Gel For Men, 150ml</t>
        </is>
      </c>
      <c r="C20794" t="inlineStr">
        <is>
          <t>Shaving</t>
        </is>
      </c>
      <c r="D20794" t="inlineStr">
        <is>
          <t>Vichy</t>
        </is>
      </c>
      <c r="E20794" t="n">
        <v>9.380000000000001</v>
      </c>
      <c r="F20794" t="n">
        <v>1</v>
      </c>
      <c r="G20794" t="n">
        <v>5</v>
      </c>
      <c r="H20794" s="5">
        <f>HYPERLINK("https://api.qogita.com/variants/link/3337871318895/", "View Product")</f>
        <v/>
      </c>
    </row>
    <row r="20795">
      <c r="A20795" t="inlineStr">
        <is>
          <t>3337871319144</t>
        </is>
      </c>
      <c r="B20795" t="inlineStr">
        <is>
          <t>Vichy Purete Thermale Cleanser 200ml</t>
        </is>
      </c>
      <c r="C20795" t="inlineStr">
        <is>
          <t>Cleansing Milk</t>
        </is>
      </c>
      <c r="D20795" t="inlineStr">
        <is>
          <t>Vichy</t>
        </is>
      </c>
      <c r="E20795" t="n">
        <v>12.19</v>
      </c>
      <c r="F20795" t="n">
        <v>1</v>
      </c>
      <c r="G20795" t="n">
        <v>65</v>
      </c>
      <c r="H20795" s="5">
        <f>HYPERLINK("https://api.qogita.com/variants/link/3337871319144/", "View Product")</f>
        <v/>
      </c>
    </row>
    <row r="20796">
      <c r="A20796" t="inlineStr">
        <is>
          <t>3337871320300</t>
        </is>
      </c>
      <c r="B20796" t="inlineStr">
        <is>
          <t>Vichy Intensive Antiperspirant Deo Rollon 48 Hours 50 Ml Effective 48hour Protection</t>
        </is>
      </c>
      <c r="C20796" t="inlineStr">
        <is>
          <t>Deodorant &amp; Anti-Perspirant</t>
        </is>
      </c>
      <c r="D20796" t="inlineStr">
        <is>
          <t>Vichy</t>
        </is>
      </c>
      <c r="E20796" t="n">
        <v>8.880000000000001</v>
      </c>
      <c r="F20796" t="n">
        <v>1</v>
      </c>
      <c r="G20796" t="n">
        <v>69</v>
      </c>
      <c r="H20796" s="5">
        <f>HYPERLINK("https://api.qogita.com/variants/link/3337871320300/", "View Product")</f>
        <v/>
      </c>
    </row>
    <row r="20797">
      <c r="A20797" t="inlineStr">
        <is>
          <t>3337871322533</t>
        </is>
      </c>
      <c r="B20797" t="inlineStr">
        <is>
          <t>Vichy Laboratoires One Step Cleanser Sensitive Skin 3.3oz / 100ml</t>
        </is>
      </c>
      <c r="C20797" t="inlineStr">
        <is>
          <t>Cleansing Milk</t>
        </is>
      </c>
      <c r="D20797" t="inlineStr">
        <is>
          <t>Vichy</t>
        </is>
      </c>
      <c r="E20797" t="n">
        <v>8.19</v>
      </c>
      <c r="F20797" t="n">
        <v>1</v>
      </c>
      <c r="G20797" t="n">
        <v>11</v>
      </c>
      <c r="H20797" s="5">
        <f>HYPERLINK("https://api.qogita.com/variants/link/3337871322533/", "View Product")</f>
        <v/>
      </c>
    </row>
    <row r="20798">
      <c r="A20798" t="inlineStr">
        <is>
          <t>3337871323332</t>
        </is>
      </c>
      <c r="B20798" t="inlineStr">
        <is>
          <t>Vichy Liftactiv Derm Source Eyes Eye Firming Antiwrinkle 15ml</t>
        </is>
      </c>
      <c r="C20798" t="inlineStr">
        <is>
          <t>Eye Cream</t>
        </is>
      </c>
      <c r="D20798" t="inlineStr">
        <is>
          <t>Vichy</t>
        </is>
      </c>
      <c r="E20798" t="n">
        <v>23.57</v>
      </c>
      <c r="F20798" t="n">
        <v>1</v>
      </c>
      <c r="G20798" t="n">
        <v>19</v>
      </c>
      <c r="H20798" s="5">
        <f>HYPERLINK("https://api.qogita.com/variants/link/3337871323332/", "View Product")</f>
        <v/>
      </c>
    </row>
    <row r="20799">
      <c r="A20799" t="inlineStr">
        <is>
          <t>3337871323622</t>
        </is>
      </c>
      <c r="B20799" t="inlineStr">
        <is>
          <t>Vichy Capital Soleil Mattifying Face Fluid Dry Touch Spf 50 50ml Protective Matte Fluid For Face</t>
        </is>
      </c>
      <c r="C20799" t="inlineStr">
        <is>
          <t>Face Sun Protection</t>
        </is>
      </c>
      <c r="D20799" t="inlineStr">
        <is>
          <t>Vichy</t>
        </is>
      </c>
      <c r="E20799" t="n">
        <v>12.76</v>
      </c>
      <c r="F20799" t="n">
        <v>1</v>
      </c>
      <c r="G20799" t="n">
        <v>8</v>
      </c>
      <c r="H20799" s="5">
        <f>HYPERLINK("https://api.qogita.com/variants/link/3337871323622/", "View Product")</f>
        <v/>
      </c>
    </row>
    <row r="20800">
      <c r="A20800" t="inlineStr">
        <is>
          <t>3337871324599</t>
        </is>
      </c>
      <c r="B20800" t="inlineStr">
        <is>
          <t>Vichy Anti-Perspirant Roll-On Deodorant 50ml</t>
        </is>
      </c>
      <c r="C20800" t="inlineStr">
        <is>
          <t>Deodorant &amp; Anti-Perspirant</t>
        </is>
      </c>
      <c r="D20800" t="inlineStr">
        <is>
          <t>Vichy</t>
        </is>
      </c>
      <c r="E20800" t="n">
        <v>10.63</v>
      </c>
      <c r="F20800" t="n">
        <v>1</v>
      </c>
      <c r="G20800" t="n">
        <v>9</v>
      </c>
      <c r="H20800" s="5">
        <f>HYPERLINK("https://api.qogita.com/variants/link/3337871324599/", "View Product")</f>
        <v/>
      </c>
    </row>
    <row r="20801">
      <c r="A20801" t="inlineStr">
        <is>
          <t>3337871324629</t>
        </is>
      </c>
      <c r="B20801" t="inlineStr">
        <is>
          <t>Vichy Dercos Neogenic Shampoo Restoring Density 200ml</t>
        </is>
      </c>
      <c r="C20801" t="inlineStr">
        <is>
          <t>Shampoo</t>
        </is>
      </c>
      <c r="D20801" t="inlineStr">
        <is>
          <t>Vichy</t>
        </is>
      </c>
      <c r="E20801" t="n">
        <v>15.09</v>
      </c>
      <c r="F20801" t="n">
        <v>1</v>
      </c>
      <c r="G20801" t="n">
        <v>5</v>
      </c>
      <c r="H20801" s="5">
        <f>HYPERLINK("https://api.qogita.com/variants/link/3337871324629/", "View Product")</f>
        <v/>
      </c>
    </row>
    <row r="20802">
      <c r="A20802" t="inlineStr">
        <is>
          <t>3337871324711</t>
        </is>
      </c>
      <c r="B20802" t="inlineStr">
        <is>
          <t>Vichy 72 Hours Excessive Transpiration Deodorant Roll-On 100ml</t>
        </is>
      </c>
      <c r="C20802" t="inlineStr">
        <is>
          <t>Deodorant &amp; Anti-Perspirant</t>
        </is>
      </c>
      <c r="D20802" t="inlineStr">
        <is>
          <t>Vichy</t>
        </is>
      </c>
      <c r="E20802" t="n">
        <v>20.07</v>
      </c>
      <c r="F20802" t="n">
        <v>1</v>
      </c>
      <c r="G20802" t="n">
        <v>162</v>
      </c>
      <c r="H20802" s="5">
        <f>HYPERLINK("https://api.qogita.com/variants/link/3337871324711/", "View Product")</f>
        <v/>
      </c>
    </row>
    <row r="20803">
      <c r="A20803" t="inlineStr">
        <is>
          <t>3337871324728</t>
        </is>
      </c>
      <c r="B20803" t="inlineStr">
        <is>
          <t>Vichy 48 Hour Antiperspirant Deodorant Rollon For Sensitive And Irritated Skin 2 Pieces</t>
        </is>
      </c>
      <c r="C20803" t="inlineStr">
        <is>
          <t>Deodorant &amp; Anti-Perspirant</t>
        </is>
      </c>
      <c r="D20803" t="inlineStr">
        <is>
          <t>Vichy</t>
        </is>
      </c>
      <c r="E20803" t="n">
        <v>19.61</v>
      </c>
      <c r="F20803" t="n">
        <v>1</v>
      </c>
      <c r="G20803" t="n">
        <v>28</v>
      </c>
      <c r="H20803" s="5">
        <f>HYPERLINK("https://api.qogita.com/variants/link/3337871324728/", "View Product")</f>
        <v/>
      </c>
    </row>
    <row r="20804">
      <c r="A20804" t="inlineStr">
        <is>
          <t>3337872411991</t>
        </is>
      </c>
      <c r="B20804" t="inlineStr">
        <is>
          <t>La Roche-Posay Effaclar Cleansing Gel For Oily And Acne-Prone Skin 400ml</t>
        </is>
      </c>
      <c r="C20804" t="inlineStr">
        <is>
          <t>Cleansing Gel</t>
        </is>
      </c>
      <c r="D20804" t="inlineStr">
        <is>
          <t>La Roche-Posay</t>
        </is>
      </c>
      <c r="E20804" t="n">
        <v>12.81</v>
      </c>
      <c r="F20804" t="n">
        <v>1</v>
      </c>
      <c r="G20804" t="n">
        <v>35</v>
      </c>
      <c r="H20804" s="5">
        <f>HYPERLINK("https://api.qogita.com/variants/link/3337872411991/", "View Product")</f>
        <v/>
      </c>
    </row>
    <row r="20805">
      <c r="A20805" t="inlineStr">
        <is>
          <t>3337872413353</t>
        </is>
      </c>
      <c r="B20805" t="inlineStr">
        <is>
          <t>La Roche Posay Hydraphase Intense Hydrating Serum 30ml</t>
        </is>
      </c>
      <c r="C20805" t="inlineStr">
        <is>
          <t>Hydrating Serum</t>
        </is>
      </c>
      <c r="D20805" t="inlineStr">
        <is>
          <t>La Roche-Posay</t>
        </is>
      </c>
      <c r="E20805" t="n">
        <v>37.33</v>
      </c>
      <c r="F20805" t="n">
        <v>1</v>
      </c>
      <c r="G20805" t="n">
        <v>7</v>
      </c>
      <c r="H20805" s="5">
        <f>HYPERLINK("https://api.qogita.com/variants/link/3337872413353/", "View Product")</f>
        <v/>
      </c>
    </row>
    <row r="20806">
      <c r="A20806" t="inlineStr">
        <is>
          <t>3337872413704</t>
        </is>
      </c>
      <c r="B20806" t="inlineStr">
        <is>
          <t>La Roche Posay Redermic C Antiaging Treatment 40ml</t>
        </is>
      </c>
      <c r="C20806" t="inlineStr">
        <is>
          <t>Anti-Aging Serum</t>
        </is>
      </c>
      <c r="D20806" t="inlineStr">
        <is>
          <t>La Roche-Posay</t>
        </is>
      </c>
      <c r="E20806" t="n">
        <v>30.28</v>
      </c>
      <c r="F20806" t="n">
        <v>1</v>
      </c>
      <c r="G20806" t="n">
        <v>11</v>
      </c>
      <c r="H20806" s="5">
        <f>HYPERLINK("https://api.qogita.com/variants/link/3337872413704/", "View Product")</f>
        <v/>
      </c>
    </row>
    <row r="20807">
      <c r="A20807" t="inlineStr">
        <is>
          <t>3337872413735</t>
        </is>
      </c>
      <c r="B20807" t="inlineStr">
        <is>
          <t>La Roche-Posay Redermic C Eye Cream 15ml</t>
        </is>
      </c>
      <c r="C20807" t="inlineStr">
        <is>
          <t>Eye Cream</t>
        </is>
      </c>
      <c r="D20807" t="inlineStr">
        <is>
          <t>La Roche-Posay</t>
        </is>
      </c>
      <c r="E20807" t="n">
        <v>24.09</v>
      </c>
      <c r="F20807" t="n">
        <v>1</v>
      </c>
      <c r="G20807" t="n">
        <v>22</v>
      </c>
      <c r="H20807" s="5">
        <f>HYPERLINK("https://api.qogita.com/variants/link/3337872413735/", "View Product")</f>
        <v/>
      </c>
    </row>
    <row r="20808">
      <c r="A20808" t="inlineStr">
        <is>
          <t>3337872413780</t>
        </is>
      </c>
      <c r="B20808" t="inlineStr">
        <is>
          <t>La Rocheposay Toleriane Mattifying Fixing Powder 12g</t>
        </is>
      </c>
      <c r="C20808" t="inlineStr">
        <is>
          <t>Powder</t>
        </is>
      </c>
      <c r="D20808" t="inlineStr">
        <is>
          <t>La Roche-Posay</t>
        </is>
      </c>
      <c r="E20808" t="n">
        <v>23.96</v>
      </c>
      <c r="F20808" t="n">
        <v>1</v>
      </c>
      <c r="G20808" t="n">
        <v>3</v>
      </c>
      <c r="H20808" s="5">
        <f>HYPERLINK("https://api.qogita.com/variants/link/3337872413780/", "View Product")</f>
        <v/>
      </c>
    </row>
    <row r="20809">
      <c r="A20809" t="inlineStr">
        <is>
          <t>3337872414152</t>
        </is>
      </c>
      <c r="B20809" t="inlineStr">
        <is>
          <t>La Rocheposay Pigmentclar Eyes 15ml Antidark Brightening Care</t>
        </is>
      </c>
      <c r="C20809" t="inlineStr">
        <is>
          <t>Eye Cream</t>
        </is>
      </c>
      <c r="D20809" t="inlineStr">
        <is>
          <t>La Roche-Posay</t>
        </is>
      </c>
      <c r="E20809" t="n">
        <v>23.5</v>
      </c>
      <c r="F20809" t="n">
        <v>1</v>
      </c>
      <c r="G20809" t="n">
        <v>3</v>
      </c>
      <c r="H20809" s="5">
        <f>HYPERLINK("https://api.qogita.com/variants/link/3337872414152/", "View Product")</f>
        <v/>
      </c>
    </row>
    <row r="20810">
      <c r="A20810" t="inlineStr">
        <is>
          <t>3337875414067</t>
        </is>
      </c>
      <c r="B20810" t="inlineStr">
        <is>
          <t>Vichy Normaderm 3-In-1 Cleanser Peeling Mask 125ml</t>
        </is>
      </c>
      <c r="C20810" t="inlineStr">
        <is>
          <t>Facial Cleansing</t>
        </is>
      </c>
      <c r="D20810" t="inlineStr">
        <is>
          <t>Vichy</t>
        </is>
      </c>
      <c r="E20810" t="n">
        <v>13.1</v>
      </c>
      <c r="F20810" t="n">
        <v>1</v>
      </c>
      <c r="G20810" t="n">
        <v>44</v>
      </c>
      <c r="H20810" s="5">
        <f>HYPERLINK("https://api.qogita.com/variants/link/3337875414067/", "View Product")</f>
        <v/>
      </c>
    </row>
    <row r="20811">
      <c r="A20811" t="inlineStr">
        <is>
          <t>3337875419802</t>
        </is>
      </c>
      <c r="B20811" t="inlineStr">
        <is>
          <t>Vichy Capital Soleil Cream Against Discoloration Spf50 50ml</t>
        </is>
      </c>
      <c r="C20811" t="inlineStr">
        <is>
          <t>Face Sun Protection</t>
        </is>
      </c>
      <c r="D20811" t="inlineStr">
        <is>
          <t>Vichy</t>
        </is>
      </c>
      <c r="E20811" t="n">
        <v>15.58</v>
      </c>
      <c r="F20811" t="n">
        <v>1</v>
      </c>
      <c r="G20811" t="n">
        <v>2</v>
      </c>
      <c r="H20811" s="5">
        <f>HYPERLINK("https://api.qogita.com/variants/link/3337875419802/", "View Product")</f>
        <v/>
      </c>
    </row>
    <row r="20812">
      <c r="A20812" t="inlineStr">
        <is>
          <t>3337875522786</t>
        </is>
      </c>
      <c r="B20812" t="inlineStr">
        <is>
          <t>Vichy Dercos Aminexil Clinical 5 Multipurpose Antihair Loss Treatment For Women 21 X 6 Ml</t>
        </is>
      </c>
      <c r="C20812" t="inlineStr">
        <is>
          <t>Hair Tonic</t>
        </is>
      </c>
      <c r="D20812" t="inlineStr">
        <is>
          <t>Vichy</t>
        </is>
      </c>
      <c r="E20812" t="n">
        <v>49.81</v>
      </c>
      <c r="F20812" t="n">
        <v>1</v>
      </c>
      <c r="G20812" t="n">
        <v>26</v>
      </c>
      <c r="H20812" s="5">
        <f>HYPERLINK("https://api.qogita.com/variants/link/3337875522786/", "View Product")</f>
        <v/>
      </c>
    </row>
    <row r="20813">
      <c r="A20813" t="inlineStr">
        <is>
          <t>3337875546430</t>
        </is>
      </c>
      <c r="B20813" t="inlineStr">
        <is>
          <t>La Rocheposay Anthelios Dry Touch Gel Cream Fragrancefree Spf 50 50ml</t>
        </is>
      </c>
      <c r="C20813" t="inlineStr">
        <is>
          <t>Face Sun Protection</t>
        </is>
      </c>
      <c r="D20813" t="inlineStr">
        <is>
          <t>La Roche-Posay</t>
        </is>
      </c>
      <c r="E20813" t="n">
        <v>17.94</v>
      </c>
      <c r="F20813" t="n">
        <v>1</v>
      </c>
      <c r="G20813" t="n">
        <v>6</v>
      </c>
      <c r="H20813" s="5">
        <f>HYPERLINK("https://api.qogita.com/variants/link/3337875546430/", "View Product")</f>
        <v/>
      </c>
    </row>
    <row r="20814">
      <c r="A20814" t="inlineStr">
        <is>
          <t>3337875553155</t>
        </is>
      </c>
      <c r="B20814" t="inlineStr">
        <is>
          <t>Vichy T.Cpo.Desdte 125ml</t>
        </is>
      </c>
      <c r="C20814" t="inlineStr">
        <is>
          <t>Face Dermacosmetics Sun Protection</t>
        </is>
      </c>
      <c r="D20814" t="inlineStr">
        <is>
          <t>Vichy</t>
        </is>
      </c>
      <c r="E20814" t="n">
        <v>9.94</v>
      </c>
      <c r="F20814" t="n">
        <v>1</v>
      </c>
      <c r="G20814" t="n">
        <v>32</v>
      </c>
      <c r="H20814" s="5">
        <f>HYPERLINK("https://api.qogita.com/variants/link/3337875553155/", "View Product")</f>
        <v/>
      </c>
    </row>
    <row r="20815">
      <c r="A20815" t="inlineStr">
        <is>
          <t>3337875588348</t>
        </is>
      </c>
      <c r="B20815" t="inlineStr">
        <is>
          <t>La Rocheposay Toleriane Sensitive Rich Cream 40ml</t>
        </is>
      </c>
      <c r="C20815" t="inlineStr">
        <is>
          <t>Face Cream</t>
        </is>
      </c>
      <c r="D20815" t="inlineStr">
        <is>
          <t>La Roche-Posay</t>
        </is>
      </c>
      <c r="E20815" t="n">
        <v>16.99</v>
      </c>
      <c r="F20815" t="n">
        <v>1</v>
      </c>
      <c r="G20815" t="n">
        <v>3</v>
      </c>
      <c r="H20815" s="5">
        <f>HYPERLINK("https://api.qogita.com/variants/link/3337875588348/", "View Product")</f>
        <v/>
      </c>
    </row>
    <row r="20816">
      <c r="A20816" t="inlineStr">
        <is>
          <t>3337875597210</t>
        </is>
      </c>
      <c r="B20816" t="inlineStr">
        <is>
          <t>Cerave Moisturizing Cleansing Emulsion For Dry And Very Dry Skin 236ml</t>
        </is>
      </c>
      <c r="C20816" t="inlineStr">
        <is>
          <t>Cleansing Cream</t>
        </is>
      </c>
      <c r="D20816" t="inlineStr">
        <is>
          <t>CeraVe</t>
        </is>
      </c>
      <c r="E20816" t="n">
        <v>9.58</v>
      </c>
      <c r="F20816" t="n">
        <v>1</v>
      </c>
      <c r="G20816" t="n">
        <v>2</v>
      </c>
      <c r="H20816" s="5">
        <f>HYPERLINK("https://api.qogita.com/variants/link/3337875597210/", "View Product")</f>
        <v/>
      </c>
    </row>
    <row r="20817">
      <c r="A20817" t="inlineStr">
        <is>
          <t>3337875597333</t>
        </is>
      </c>
      <c r="B20817" t="inlineStr">
        <is>
          <t>Cerave Hydrating Cleanser Emulsion 473ml</t>
        </is>
      </c>
      <c r="C20817" t="inlineStr">
        <is>
          <t>Facial Cleansing</t>
        </is>
      </c>
      <c r="D20817" t="inlineStr">
        <is>
          <t>CeraVe</t>
        </is>
      </c>
      <c r="E20817" t="n">
        <v>13.17</v>
      </c>
      <c r="F20817" t="n">
        <v>1</v>
      </c>
      <c r="G20817" t="n">
        <v>32</v>
      </c>
      <c r="H20817" s="5">
        <f>HYPERLINK("https://api.qogita.com/variants/link/3337875597333/", "View Product")</f>
        <v/>
      </c>
    </row>
    <row r="20818">
      <c r="A20818" t="inlineStr">
        <is>
          <t>3337875597395</t>
        </is>
      </c>
      <c r="B20818" t="inlineStr">
        <is>
          <t>Cerave Moisturizing Lotion Hydrating Emulsion For Body And Face 473ml</t>
        </is>
      </c>
      <c r="C20818" t="inlineStr">
        <is>
          <t>Body Lotion</t>
        </is>
      </c>
      <c r="D20818" t="inlineStr">
        <is>
          <t>CeraVe</t>
        </is>
      </c>
      <c r="E20818" t="n">
        <v>15.68</v>
      </c>
      <c r="F20818" t="n">
        <v>1</v>
      </c>
      <c r="G20818" t="n">
        <v>67</v>
      </c>
      <c r="H20818" s="5">
        <f>HYPERLINK("https://api.qogita.com/variants/link/3337875597395/", "View Product")</f>
        <v/>
      </c>
    </row>
    <row r="20819">
      <c r="A20819" t="inlineStr">
        <is>
          <t>3337875609418</t>
        </is>
      </c>
      <c r="B20819" t="inlineStr">
        <is>
          <t>Vichy Mineral 89 Booster 75ml Hydrating And Fortifying Daily Booster With Hyaluronic Acid</t>
        </is>
      </c>
      <c r="C20819" t="inlineStr">
        <is>
          <t>Hyaluronic Acid Serum</t>
        </is>
      </c>
      <c r="D20819" t="inlineStr">
        <is>
          <t>Vichy</t>
        </is>
      </c>
      <c r="E20819" t="n">
        <v>22.7</v>
      </c>
      <c r="F20819" t="n">
        <v>1</v>
      </c>
      <c r="G20819" t="n">
        <v>86</v>
      </c>
      <c r="H20819" s="5">
        <f>HYPERLINK("https://api.qogita.com/variants/link/3337875609418/", "View Product")</f>
        <v/>
      </c>
    </row>
    <row r="20820">
      <c r="A20820" t="inlineStr">
        <is>
          <t>3337875674409</t>
        </is>
      </c>
      <c r="B20820" t="inlineStr">
        <is>
          <t>Vichy Purete Thermale Two-Phase Eye Makeup Remover 100ml</t>
        </is>
      </c>
      <c r="C20820" t="inlineStr">
        <is>
          <t>Makeup Remover</t>
        </is>
      </c>
      <c r="D20820" t="inlineStr">
        <is>
          <t>Vichy</t>
        </is>
      </c>
      <c r="E20820" t="n">
        <v>10.06</v>
      </c>
      <c r="F20820" t="n">
        <v>1</v>
      </c>
      <c r="G20820" t="n">
        <v>5</v>
      </c>
      <c r="H20820" s="5">
        <f>HYPERLINK("https://api.qogita.com/variants/link/3337875674409/", "View Product")</f>
        <v/>
      </c>
    </row>
    <row r="20821">
      <c r="A20821" t="inlineStr">
        <is>
          <t>3337875674423</t>
        </is>
      </c>
      <c r="B20821" t="inlineStr">
        <is>
          <t>Vichy Puret Thermale Soothing Eye Makeup Remover 100 Ml</t>
        </is>
      </c>
      <c r="C20821" t="inlineStr">
        <is>
          <t>Makeup Remover</t>
        </is>
      </c>
      <c r="D20821" t="inlineStr">
        <is>
          <t>Vichy</t>
        </is>
      </c>
      <c r="E20821" t="n">
        <v>9.49</v>
      </c>
      <c r="F20821" t="n">
        <v>1</v>
      </c>
      <c r="G20821" t="n">
        <v>7</v>
      </c>
      <c r="H20821" s="5">
        <f>HYPERLINK("https://api.qogita.com/variants/link/3337875674423/", "View Product")</f>
        <v/>
      </c>
    </row>
    <row r="20822">
      <c r="A20822" t="inlineStr">
        <is>
          <t>3337875674928</t>
        </is>
      </c>
      <c r="B20822" t="inlineStr">
        <is>
          <t>Vichy Puret Thermale Mineral Micellar Water 400ml Gentle Cleanser For Sensitive Skin</t>
        </is>
      </c>
      <c r="C20822" t="inlineStr">
        <is>
          <t>Micellar Water</t>
        </is>
      </c>
      <c r="D20822" t="inlineStr">
        <is>
          <t>Vichy</t>
        </is>
      </c>
      <c r="E20822" t="n">
        <v>15.09</v>
      </c>
      <c r="F20822" t="n">
        <v>1</v>
      </c>
      <c r="G20822" t="n">
        <v>15</v>
      </c>
      <c r="H20822" s="5">
        <f>HYPERLINK("https://api.qogita.com/variants/link/3337875674928/", "View Product")</f>
        <v/>
      </c>
    </row>
    <row r="20823">
      <c r="A20823" t="inlineStr">
        <is>
          <t>3337875678094</t>
        </is>
      </c>
      <c r="B20823" t="inlineStr">
        <is>
          <t>Vichy Dercos Energy+ Fortifying Amino Acid &amp; Ceramide Conditioner for Hair Loss</t>
        </is>
      </c>
      <c r="C20823" t="inlineStr">
        <is>
          <t>Conditioner</t>
        </is>
      </c>
      <c r="D20823" t="inlineStr">
        <is>
          <t>Vichy</t>
        </is>
      </c>
      <c r="E20823" t="n">
        <v>14.76</v>
      </c>
      <c r="F20823" t="n">
        <v>1</v>
      </c>
      <c r="G20823" t="n">
        <v>15</v>
      </c>
      <c r="H20823" s="5">
        <f>HYPERLINK("https://api.qogita.com/variants/link/3337875678094/", "View Product")</f>
        <v/>
      </c>
    </row>
    <row r="20824">
      <c r="A20824" t="inlineStr">
        <is>
          <t>3337875695176</t>
        </is>
      </c>
      <c r="B20824" t="inlineStr">
        <is>
          <t>Vichy Capital Soleil Spf 50 Mattifying Protective Face Cream 3 In 1 50 Ml</t>
        </is>
      </c>
      <c r="C20824" t="inlineStr">
        <is>
          <t>Face Sun Protection</t>
        </is>
      </c>
      <c r="D20824" t="inlineStr">
        <is>
          <t>Vichy</t>
        </is>
      </c>
      <c r="E20824" t="n">
        <v>17.22</v>
      </c>
      <c r="F20824" t="n">
        <v>1</v>
      </c>
      <c r="G20824" t="n">
        <v>8</v>
      </c>
      <c r="H20824" s="5">
        <f>HYPERLINK("https://api.qogita.com/variants/link/3337875695176/", "View Product")</f>
        <v/>
      </c>
    </row>
    <row r="20825">
      <c r="A20825" t="inlineStr">
        <is>
          <t>3337875722827</t>
        </is>
      </c>
      <c r="B20825" t="inlineStr">
        <is>
          <t>La Roche-Posay Effaclar Concentrated Face Serum 30ml</t>
        </is>
      </c>
      <c r="C20825" t="inlineStr">
        <is>
          <t>Hydrating Serum</t>
        </is>
      </c>
      <c r="D20825" t="inlineStr">
        <is>
          <t>La Roche-Posay</t>
        </is>
      </c>
      <c r="E20825" t="n">
        <v>31.7</v>
      </c>
      <c r="F20825" t="n">
        <v>1</v>
      </c>
      <c r="G20825" t="n">
        <v>5</v>
      </c>
      <c r="H20825" s="5">
        <f>HYPERLINK("https://api.qogita.com/variants/link/3337875722827/", "View Product")</f>
        <v/>
      </c>
    </row>
    <row r="20826">
      <c r="A20826" t="inlineStr">
        <is>
          <t>3337875735742</t>
        </is>
      </c>
      <c r="B20826" t="inlineStr">
        <is>
          <t>La Roche-Posay Cicaplast B5 Repairing Body Spray 100ml</t>
        </is>
      </c>
      <c r="C20826" t="inlineStr">
        <is>
          <t>Body Mist</t>
        </is>
      </c>
      <c r="D20826" t="inlineStr">
        <is>
          <t>La Roche-Posay</t>
        </is>
      </c>
      <c r="E20826" t="n">
        <v>13.23</v>
      </c>
      <c r="F20826" t="n">
        <v>1</v>
      </c>
      <c r="G20826" t="n">
        <v>5</v>
      </c>
      <c r="H20826" s="5">
        <f>HYPERLINK("https://api.qogita.com/variants/link/3337875735742/", "View Product")</f>
        <v/>
      </c>
    </row>
    <row r="20827">
      <c r="A20827" t="inlineStr">
        <is>
          <t>3337875735759</t>
        </is>
      </c>
      <c r="B20827" t="inlineStr">
        <is>
          <t>La Roche-Posay Lipikar AP+ Eco-Refill Cleansing Oil 400ml</t>
        </is>
      </c>
      <c r="C20827" t="inlineStr">
        <is>
          <t>Shower Oil</t>
        </is>
      </c>
      <c r="D20827" t="inlineStr">
        <is>
          <t>La Roche-Posay</t>
        </is>
      </c>
      <c r="E20827" t="n">
        <v>17.22</v>
      </c>
      <c r="F20827" t="n">
        <v>1</v>
      </c>
      <c r="G20827" t="n">
        <v>5</v>
      </c>
      <c r="H20827" s="5">
        <f>HYPERLINK("https://api.qogita.com/variants/link/3337875735759/", "View Product")</f>
        <v/>
      </c>
    </row>
    <row r="20828">
      <c r="A20828" t="inlineStr">
        <is>
          <t>3337875762250</t>
        </is>
      </c>
      <c r="B20828" t="inlineStr">
        <is>
          <t>Vichy Capital Soleil Solar Eco-designed Milk SPF50+ 200ml</t>
        </is>
      </c>
      <c r="C20828" t="inlineStr">
        <is>
          <t>Body Sun Protection</t>
        </is>
      </c>
      <c r="D20828" t="inlineStr">
        <is>
          <t>Vichy</t>
        </is>
      </c>
      <c r="E20828" t="n">
        <v>22.63</v>
      </c>
      <c r="F20828" t="n">
        <v>1</v>
      </c>
      <c r="G20828" t="n">
        <v>12</v>
      </c>
      <c r="H20828" s="5">
        <f>HYPERLINK("https://api.qogita.com/variants/link/3337875762250/", "View Product")</f>
        <v/>
      </c>
    </row>
    <row r="20829">
      <c r="A20829" t="inlineStr">
        <is>
          <t>3337875762298</t>
        </is>
      </c>
      <c r="B20829" t="inlineStr">
        <is>
          <t>Vichy Capital Soleil Uv-Age Daily Spf50+ Water Fluid Antiphotoaging Cream 40ml</t>
        </is>
      </c>
      <c r="C20829" t="inlineStr">
        <is>
          <t>Face Sun Protection</t>
        </is>
      </c>
      <c r="D20829" t="inlineStr">
        <is>
          <t>Vichy</t>
        </is>
      </c>
      <c r="E20829" t="n">
        <v>20.01</v>
      </c>
      <c r="F20829" t="n">
        <v>1</v>
      </c>
      <c r="G20829" t="n">
        <v>4</v>
      </c>
      <c r="H20829" s="5">
        <f>HYPERLINK("https://api.qogita.com/variants/link/3337875762298/", "View Product")</f>
        <v/>
      </c>
    </row>
    <row r="20830">
      <c r="A20830" t="inlineStr">
        <is>
          <t>3337875763790</t>
        </is>
      </c>
      <c r="B20830" t="inlineStr">
        <is>
          <t>La Roche-Posay Lipikar Baume Ap+M Body Balm For Itching And Recurring Dryness 200ml</t>
        </is>
      </c>
      <c r="C20830" t="inlineStr">
        <is>
          <t>Body Lotion</t>
        </is>
      </c>
      <c r="D20830" t="inlineStr">
        <is>
          <t>La Roche-Posay</t>
        </is>
      </c>
      <c r="E20830" t="n">
        <v>19.24</v>
      </c>
      <c r="F20830" t="n">
        <v>1</v>
      </c>
      <c r="G20830" t="n">
        <v>70</v>
      </c>
      <c r="H20830" s="5">
        <f>HYPERLINK("https://api.qogita.com/variants/link/3337875763790/", "View Product")</f>
        <v/>
      </c>
    </row>
    <row r="20831">
      <c r="A20831" t="inlineStr">
        <is>
          <t>3337875766326</t>
        </is>
      </c>
      <c r="B20831" t="inlineStr">
        <is>
          <t>La Roche-Posay Cicaplast Hand Cream</t>
        </is>
      </c>
      <c r="C20831" t="inlineStr">
        <is>
          <t>Body Mist</t>
        </is>
      </c>
      <c r="D20831" t="inlineStr">
        <is>
          <t>La Roche-Posay</t>
        </is>
      </c>
      <c r="E20831" t="n">
        <v>13.32</v>
      </c>
      <c r="F20831" t="n">
        <v>1</v>
      </c>
      <c r="G20831" t="n">
        <v>8</v>
      </c>
      <c r="H20831" s="5">
        <f>HYPERLINK("https://api.qogita.com/variants/link/3337875766326/", "View Product")</f>
        <v/>
      </c>
    </row>
    <row r="20832">
      <c r="A20832" t="inlineStr">
        <is>
          <t>3337875774123</t>
        </is>
      </c>
      <c r="B20832" t="inlineStr">
        <is>
          <t>Vichy Neovadiol Perimenopause Redensifying Cream 50ml For Normal To Combination Skin</t>
        </is>
      </c>
      <c r="C20832" t="inlineStr">
        <is>
          <t>Face Cream</t>
        </is>
      </c>
      <c r="D20832" t="inlineStr">
        <is>
          <t>Vichy</t>
        </is>
      </c>
      <c r="E20832" t="n">
        <v>30.59</v>
      </c>
      <c r="F20832" t="n">
        <v>1</v>
      </c>
      <c r="G20832" t="n">
        <v>6</v>
      </c>
      <c r="H20832" s="5">
        <f>HYPERLINK("https://api.qogita.com/variants/link/3337875774123/", "View Product")</f>
        <v/>
      </c>
    </row>
    <row r="20833">
      <c r="A20833" t="inlineStr">
        <is>
          <t>3337875774161</t>
        </is>
      </c>
      <c r="B20833" t="inlineStr">
        <is>
          <t>Vichy Neovadiol Pre Menopause Redensifying Day Cream For Dry Skin 50ml</t>
        </is>
      </c>
      <c r="C20833" t="inlineStr">
        <is>
          <t>Day Cream</t>
        </is>
      </c>
      <c r="D20833" t="inlineStr">
        <is>
          <t>Vichy</t>
        </is>
      </c>
      <c r="E20833" t="n">
        <v>31.62</v>
      </c>
      <c r="F20833" t="n">
        <v>1</v>
      </c>
      <c r="G20833" t="n">
        <v>2</v>
      </c>
      <c r="H20833" s="5">
        <f>HYPERLINK("https://api.qogita.com/variants/link/3337875774161/", "View Product")</f>
        <v/>
      </c>
    </row>
    <row r="20834">
      <c r="A20834" t="inlineStr">
        <is>
          <t>3337875787222</t>
        </is>
      </c>
      <c r="B20834" t="inlineStr">
        <is>
          <t>Vichy Dercos Psolution Shampoo Keratoreducing Treatment 200ml</t>
        </is>
      </c>
      <c r="C20834" t="inlineStr">
        <is>
          <t>Shampoo</t>
        </is>
      </c>
      <c r="D20834" t="inlineStr">
        <is>
          <t>Vichy</t>
        </is>
      </c>
      <c r="E20834" t="n">
        <v>14.47</v>
      </c>
      <c r="F20834" t="n">
        <v>1</v>
      </c>
      <c r="G20834" t="n">
        <v>22</v>
      </c>
      <c r="H20834" s="5">
        <f>HYPERLINK("https://api.qogita.com/variants/link/3337875787222/", "View Product")</f>
        <v/>
      </c>
    </row>
    <row r="20835">
      <c r="A20835" t="inlineStr">
        <is>
          <t>3337875795456</t>
        </is>
      </c>
      <c r="B20835" t="inlineStr">
        <is>
          <t>Cerave Sa Smoothing Cleanser 473ml</t>
        </is>
      </c>
      <c r="C20835" t="inlineStr">
        <is>
          <t>Cleansing Gel</t>
        </is>
      </c>
      <c r="D20835" t="inlineStr">
        <is>
          <t>CeraVe</t>
        </is>
      </c>
      <c r="E20835" t="n">
        <v>15.06</v>
      </c>
      <c r="F20835" t="n">
        <v>1</v>
      </c>
      <c r="G20835" t="n">
        <v>102</v>
      </c>
      <c r="H20835" s="5">
        <f>HYPERLINK("https://api.qogita.com/variants/link/3337875795456/", "View Product")</f>
        <v/>
      </c>
    </row>
    <row r="20836">
      <c r="A20836" t="inlineStr">
        <is>
          <t>3337875797641</t>
        </is>
      </c>
      <c r="B20836" t="inlineStr">
        <is>
          <t>La Roche-Posay Anthelios Uvmene 400 Tinted Fluid Spf 50+ - 50ml</t>
        </is>
      </c>
      <c r="C20836" t="inlineStr">
        <is>
          <t>Face Sun Protection</t>
        </is>
      </c>
      <c r="D20836" t="inlineStr">
        <is>
          <t>La Roche-Posay</t>
        </is>
      </c>
      <c r="E20836" t="n">
        <v>15.06</v>
      </c>
      <c r="F20836" t="n">
        <v>1</v>
      </c>
      <c r="G20836" t="n">
        <v>14</v>
      </c>
      <c r="H20836" s="5">
        <f>HYPERLINK("https://api.qogita.com/variants/link/3337875797641/", "View Product")</f>
        <v/>
      </c>
    </row>
    <row r="20837">
      <c r="A20837" t="inlineStr">
        <is>
          <t>3337875829007</t>
        </is>
      </c>
      <c r="B20837" t="inlineStr">
        <is>
          <t>Cerave Acne Retinol Serum 30 Ml</t>
        </is>
      </c>
      <c r="C20837" t="inlineStr">
        <is>
          <t>Anti-Aging Serum</t>
        </is>
      </c>
      <c r="D20837" t="inlineStr">
        <is>
          <t>CeraVe</t>
        </is>
      </c>
      <c r="E20837" t="n">
        <v>17.62</v>
      </c>
      <c r="F20837" t="n">
        <v>1</v>
      </c>
      <c r="G20837" t="n">
        <v>14</v>
      </c>
      <c r="H20837" s="5">
        <f>HYPERLINK("https://api.qogita.com/variants/link/3337875829007/", "View Product")</f>
        <v/>
      </c>
    </row>
    <row r="20838">
      <c r="A20838" t="inlineStr">
        <is>
          <t>3337875846110</t>
        </is>
      </c>
      <c r="B20838" t="inlineStr">
        <is>
          <t>La Rocheposay Hydraphase Ha Uv Spf25 Light Cream 40ml</t>
        </is>
      </c>
      <c r="C20838" t="inlineStr">
        <is>
          <t>Day Cream</t>
        </is>
      </c>
      <c r="D20838" t="inlineStr">
        <is>
          <t>La Roche-Posay</t>
        </is>
      </c>
      <c r="E20838" t="n">
        <v>18.61</v>
      </c>
      <c r="F20838" t="n">
        <v>1</v>
      </c>
      <c r="G20838" t="n">
        <v>15</v>
      </c>
      <c r="H20838" s="5">
        <f>HYPERLINK("https://api.qogita.com/variants/link/3337875846110/", "View Product")</f>
        <v/>
      </c>
    </row>
    <row r="20839">
      <c r="A20839" t="inlineStr">
        <is>
          <t>3337875860222</t>
        </is>
      </c>
      <c r="B20839" t="inlineStr">
        <is>
          <t>Vichy Neovadiol Firming Antidark Spots Cream Spf50 50ml</t>
        </is>
      </c>
      <c r="C20839" t="inlineStr">
        <is>
          <t>Anti-Pigmentation Spot Cream</t>
        </is>
      </c>
      <c r="D20839" t="inlineStr">
        <is>
          <t>Vichy</t>
        </is>
      </c>
      <c r="E20839" t="n">
        <v>32.35</v>
      </c>
      <c r="F20839" t="n">
        <v>1</v>
      </c>
      <c r="G20839" t="n">
        <v>3</v>
      </c>
      <c r="H20839" s="5">
        <f>HYPERLINK("https://api.qogita.com/variants/link/3337875860222/", "View Product")</f>
        <v/>
      </c>
    </row>
    <row r="20840">
      <c r="A20840" t="inlineStr">
        <is>
          <t>3337875886055</t>
        </is>
      </c>
      <c r="B20840" t="inlineStr">
        <is>
          <t>La Rocheposay Anthelios Invisible Spray Spf 50 Ultralight Protective Spray For Children 200 Ml</t>
        </is>
      </c>
      <c r="C20840" t="inlineStr">
        <is>
          <t>Sun Protection For Children</t>
        </is>
      </c>
      <c r="D20840" t="inlineStr">
        <is>
          <t>La Roche-Posay</t>
        </is>
      </c>
      <c r="E20840" t="n">
        <v>22.16</v>
      </c>
      <c r="F20840" t="n">
        <v>1</v>
      </c>
      <c r="G20840" t="n">
        <v>10</v>
      </c>
      <c r="H20840" s="5">
        <f>HYPERLINK("https://api.qogita.com/variants/link/3337875886055/", "View Product")</f>
        <v/>
      </c>
    </row>
    <row r="20841">
      <c r="A20841" t="inlineStr">
        <is>
          <t>3337875893626</t>
        </is>
      </c>
      <c r="B20841" t="inlineStr">
        <is>
          <t>La Roche Posay Toleriane Kerium DS Intensive Care</t>
        </is>
      </c>
      <c r="C20841" t="inlineStr">
        <is>
          <t>Body Care</t>
        </is>
      </c>
      <c r="D20841" t="inlineStr">
        <is>
          <t>La Roche-Posay</t>
        </is>
      </c>
      <c r="E20841" t="n">
        <v>19.12</v>
      </c>
      <c r="F20841" t="n">
        <v>1</v>
      </c>
      <c r="G20841" t="n">
        <v>3</v>
      </c>
      <c r="H20841" s="5">
        <f>HYPERLINK("https://api.qogita.com/variants/link/3337875893626/", "View Product")</f>
        <v/>
      </c>
    </row>
    <row r="20842">
      <c r="A20842" t="inlineStr">
        <is>
          <t>3337875895781</t>
        </is>
      </c>
      <c r="B20842" t="inlineStr">
        <is>
          <t>Vichy Mineral 89 Daily Hydrating Fluid Spf 50 50 Ml</t>
        </is>
      </c>
      <c r="C20842" t="inlineStr">
        <is>
          <t>Face Sun Protection</t>
        </is>
      </c>
      <c r="D20842" t="inlineStr">
        <is>
          <t>Vichy</t>
        </is>
      </c>
      <c r="E20842" t="n">
        <v>19.23</v>
      </c>
      <c r="F20842" t="n">
        <v>1</v>
      </c>
      <c r="G20842" t="n">
        <v>3</v>
      </c>
      <c r="H20842" s="5">
        <f>HYPERLINK("https://api.qogita.com/variants/link/3337875895781/", "View Product")</f>
        <v/>
      </c>
    </row>
    <row r="20843">
      <c r="A20843" t="inlineStr">
        <is>
          <t>3346130000549</t>
        </is>
      </c>
      <c r="B20843" t="inlineStr">
        <is>
          <t>Hermes Purple Basil Water Sea Surf Fun 3.5 Soap</t>
        </is>
      </c>
      <c r="C20843" t="inlineStr">
        <is>
          <t>Soap</t>
        </is>
      </c>
      <c r="D20843" t="inlineStr">
        <is>
          <t>Hermès</t>
        </is>
      </c>
      <c r="E20843" t="n">
        <v>13.71</v>
      </c>
      <c r="F20843" t="n">
        <v>1</v>
      </c>
      <c r="G20843" t="n">
        <v>12</v>
      </c>
      <c r="H20843" s="5">
        <f>HYPERLINK("https://api.qogita.com/variants/link/3346130000549/", "View Product")</f>
        <v/>
      </c>
    </row>
    <row r="20844">
      <c r="A20844" t="inlineStr">
        <is>
          <t>3346130008453</t>
        </is>
      </c>
      <c r="B20844" t="inlineStr">
        <is>
          <t>Herms Eau Des Merveilles Eau De Toilette 30ml Refillable</t>
        </is>
      </c>
      <c r="C20844" t="inlineStr">
        <is>
          <t>Eau De Toilette</t>
        </is>
      </c>
      <c r="D20844" t="inlineStr">
        <is>
          <t>Hermès</t>
        </is>
      </c>
      <c r="E20844" t="n">
        <v>40.06</v>
      </c>
      <c r="F20844" t="n">
        <v>1</v>
      </c>
      <c r="G20844" t="n">
        <v>42</v>
      </c>
      <c r="H20844" s="5">
        <f>HYPERLINK("https://api.qogita.com/variants/link/3346130008453/", "View Product")</f>
        <v/>
      </c>
    </row>
    <row r="20845">
      <c r="A20845" t="inlineStr">
        <is>
          <t>3346130009382</t>
        </is>
      </c>
      <c r="B20845" t="inlineStr">
        <is>
          <t>Hermes Eau De Rhubarbe Ecarlate Eau De Cologne 100g Red</t>
        </is>
      </c>
      <c r="C20845" t="inlineStr">
        <is>
          <t>Eau De Cologne</t>
        </is>
      </c>
      <c r="D20845" t="inlineStr">
        <is>
          <t>Hermès</t>
        </is>
      </c>
      <c r="E20845" t="n">
        <v>63.8</v>
      </c>
      <c r="F20845" t="n">
        <v>1</v>
      </c>
      <c r="G20845" t="n">
        <v>15</v>
      </c>
      <c r="H20845" s="5">
        <f>HYPERLINK("https://api.qogita.com/variants/link/3346130009382/", "View Product")</f>
        <v/>
      </c>
    </row>
    <row r="20846">
      <c r="A20846" t="inlineStr">
        <is>
          <t>3346130009474</t>
        </is>
      </c>
      <c r="B20846" t="inlineStr">
        <is>
          <t>Hermes Twilly D'Hermes Eau Poivree Perfumed Water Spray 30ml</t>
        </is>
      </c>
      <c r="C20846" t="inlineStr">
        <is>
          <t>Eau De Parfum</t>
        </is>
      </c>
      <c r="D20846" t="inlineStr">
        <is>
          <t>Hermès</t>
        </is>
      </c>
      <c r="E20846" t="n">
        <v>41.62</v>
      </c>
      <c r="F20846" t="n">
        <v>1</v>
      </c>
      <c r="G20846" t="n">
        <v>3</v>
      </c>
      <c r="H20846" s="5">
        <f>HYPERLINK("https://api.qogita.com/variants/link/3346130009474/", "View Product")</f>
        <v/>
      </c>
    </row>
    <row r="20847">
      <c r="A20847" t="inlineStr">
        <is>
          <t>3346130009566</t>
        </is>
      </c>
      <c r="B20847" t="inlineStr">
        <is>
          <t>Hermes Twilly D'Hermes Eau Poivree Perfumed Water Spray 85ml</t>
        </is>
      </c>
      <c r="C20847" t="inlineStr">
        <is>
          <t>Eau De Parfum</t>
        </is>
      </c>
      <c r="D20847" t="inlineStr">
        <is>
          <t>Hermès</t>
        </is>
      </c>
      <c r="E20847" t="n">
        <v>83.59999999999999</v>
      </c>
      <c r="F20847" t="n">
        <v>1</v>
      </c>
      <c r="G20847" t="n">
        <v>12</v>
      </c>
      <c r="H20847" s="5">
        <f>HYPERLINK("https://api.qogita.com/variants/link/3346130009566/", "View Product")</f>
        <v/>
      </c>
    </row>
    <row r="20848">
      <c r="A20848" t="inlineStr">
        <is>
          <t>3346130009726</t>
        </is>
      </c>
      <c r="B20848" t="inlineStr">
        <is>
          <t>Hermes Terre D'Hermes After Shave 100ml</t>
        </is>
      </c>
      <c r="C20848" t="inlineStr">
        <is>
          <t>Aftershave</t>
        </is>
      </c>
      <c r="D20848" t="inlineStr">
        <is>
          <t>Hermès</t>
        </is>
      </c>
      <c r="E20848" t="n">
        <v>41.59</v>
      </c>
      <c r="F20848" t="n">
        <v>1</v>
      </c>
      <c r="G20848" t="n">
        <v>73</v>
      </c>
      <c r="H20848" s="5">
        <f>HYPERLINK("https://api.qogita.com/variants/link/3346130009726/", "View Product")</f>
        <v/>
      </c>
    </row>
    <row r="20849">
      <c r="A20849" t="inlineStr">
        <is>
          <t>3346130009788</t>
        </is>
      </c>
      <c r="B20849" t="inlineStr">
        <is>
          <t>Hermes Terre D'Hermes After Shave Balm 100ml</t>
        </is>
      </c>
      <c r="C20849" t="inlineStr">
        <is>
          <t>Aftershave</t>
        </is>
      </c>
      <c r="D20849" t="inlineStr">
        <is>
          <t>Hermès</t>
        </is>
      </c>
      <c r="E20849" t="n">
        <v>44.27</v>
      </c>
      <c r="F20849" t="n">
        <v>1</v>
      </c>
      <c r="G20849" t="n">
        <v>5</v>
      </c>
      <c r="H20849" s="5">
        <f>HYPERLINK("https://api.qogita.com/variants/link/3346130009788/", "View Product")</f>
        <v/>
      </c>
    </row>
    <row r="20850">
      <c r="A20850" t="inlineStr">
        <is>
          <t>3346130010340</t>
        </is>
      </c>
      <c r="B20850" t="inlineStr">
        <is>
          <t>Hermes Twilly D'Hermes Eau De Parfum Spray 30ml</t>
        </is>
      </c>
      <c r="C20850" t="inlineStr">
        <is>
          <t>Eau De Parfum</t>
        </is>
      </c>
      <c r="D20850" t="inlineStr">
        <is>
          <t>Hermès</t>
        </is>
      </c>
      <c r="E20850" t="n">
        <v>36.38</v>
      </c>
      <c r="F20850" t="n">
        <v>1</v>
      </c>
      <c r="G20850" t="n">
        <v>7</v>
      </c>
      <c r="H20850" s="5">
        <f>HYPERLINK("https://api.qogita.com/variants/link/3346130010340/", "View Product")</f>
        <v/>
      </c>
    </row>
    <row r="20851">
      <c r="A20851" t="inlineStr">
        <is>
          <t>3346130010357</t>
        </is>
      </c>
      <c r="B20851" t="inlineStr">
        <is>
          <t>Hermes Twilly D'Hermes Eau De Parfum Spray 50ml</t>
        </is>
      </c>
      <c r="C20851" t="inlineStr">
        <is>
          <t>Eau De Parfum</t>
        </is>
      </c>
      <c r="D20851" t="inlineStr">
        <is>
          <t>Hermès</t>
        </is>
      </c>
      <c r="E20851" t="n">
        <v>46.83</v>
      </c>
      <c r="F20851" t="n">
        <v>1</v>
      </c>
      <c r="G20851" t="n">
        <v>159</v>
      </c>
      <c r="H20851" s="5">
        <f>HYPERLINK("https://api.qogita.com/variants/link/3346130010357/", "View Product")</f>
        <v/>
      </c>
    </row>
    <row r="20852">
      <c r="A20852" t="inlineStr">
        <is>
          <t>3346130010647</t>
        </is>
      </c>
      <c r="B20852" t="inlineStr">
        <is>
          <t>Hermes Terre D'Hermes Eau De Toilette Set - 50ml + 50ml</t>
        </is>
      </c>
      <c r="C20852" t="inlineStr">
        <is>
          <t>Fragrance Sets</t>
        </is>
      </c>
      <c r="D20852" t="inlineStr">
        <is>
          <t>Hermès</t>
        </is>
      </c>
      <c r="E20852" t="n">
        <v>89.90000000000001</v>
      </c>
      <c r="F20852" t="n">
        <v>1</v>
      </c>
      <c r="G20852" t="n">
        <v>3</v>
      </c>
      <c r="H20852" s="5">
        <f>HYPERLINK("https://api.qogita.com/variants/link/3346130010647/", "View Product")</f>
        <v/>
      </c>
    </row>
    <row r="20853">
      <c r="A20853" t="inlineStr">
        <is>
          <t>3346130011170</t>
        </is>
      </c>
      <c r="B20853" t="inlineStr">
        <is>
          <t>Hermes Bel Ami Vetiver Eau De Toilette 100ml For Men</t>
        </is>
      </c>
      <c r="C20853" t="inlineStr">
        <is>
          <t>Eau De Toilette</t>
        </is>
      </c>
      <c r="D20853" t="inlineStr">
        <is>
          <t>Hermès</t>
        </is>
      </c>
      <c r="E20853" t="n">
        <v>74.76000000000001</v>
      </c>
      <c r="F20853" t="n">
        <v>1</v>
      </c>
      <c r="G20853" t="n">
        <v>2</v>
      </c>
      <c r="H20853" s="5">
        <f>HYPERLINK("https://api.qogita.com/variants/link/3346130011170/", "View Product")</f>
        <v/>
      </c>
    </row>
    <row r="20854">
      <c r="A20854" t="inlineStr">
        <is>
          <t>3346130011354</t>
        </is>
      </c>
      <c r="B20854" t="inlineStr">
        <is>
          <t>Herms Equipage 100 Ml Men's Fragrance</t>
        </is>
      </c>
      <c r="C20854" t="inlineStr">
        <is>
          <t>Eau De Parfum</t>
        </is>
      </c>
      <c r="D20854" t="inlineStr">
        <is>
          <t>Hermès</t>
        </is>
      </c>
      <c r="E20854" t="n">
        <v>52.87</v>
      </c>
      <c r="F20854" t="n">
        <v>1</v>
      </c>
      <c r="G20854" t="n">
        <v>17</v>
      </c>
      <c r="H20854" s="5">
        <f>HYPERLINK("https://api.qogita.com/variants/link/3346130011354/", "View Product")</f>
        <v/>
      </c>
    </row>
    <row r="20855">
      <c r="A20855" t="inlineStr">
        <is>
          <t>3346130012245</t>
        </is>
      </c>
      <c r="B20855" t="inlineStr">
        <is>
          <t>Hermes Terre D'Hermes Eau Givree Perfumed Water Refillable Spray 100ml</t>
        </is>
      </c>
      <c r="C20855" t="inlineStr">
        <is>
          <t>Refillable Fragrances &amp; Refills</t>
        </is>
      </c>
      <c r="D20855" t="inlineStr">
        <is>
          <t>Hermès</t>
        </is>
      </c>
      <c r="E20855" t="n">
        <v>61.82</v>
      </c>
      <c r="F20855" t="n">
        <v>1</v>
      </c>
      <c r="G20855" t="n">
        <v>59</v>
      </c>
      <c r="H20855" s="5">
        <f>HYPERLINK("https://api.qogita.com/variants/link/3346130012245/", "View Product")</f>
        <v/>
      </c>
    </row>
    <row r="20856">
      <c r="A20856" t="inlineStr">
        <is>
          <t>3346130012726</t>
        </is>
      </c>
      <c r="B20856" t="inlineStr">
        <is>
          <t>HERMES Twilly d'Hermes Eau Ginger Eau de Parfum - Travel Size 15 ml</t>
        </is>
      </c>
      <c r="C20856" t="inlineStr">
        <is>
          <t>Eau De Parfum</t>
        </is>
      </c>
      <c r="D20856" t="inlineStr">
        <is>
          <t>Hermès</t>
        </is>
      </c>
      <c r="E20856" t="n">
        <v>16.67</v>
      </c>
      <c r="F20856" t="n">
        <v>1</v>
      </c>
      <c r="G20856" t="n">
        <v>16</v>
      </c>
      <c r="H20856" s="5">
        <f>HYPERLINK("https://api.qogita.com/variants/link/3346130012726/", "View Product")</f>
        <v/>
      </c>
    </row>
    <row r="20857">
      <c r="A20857" t="inlineStr">
        <is>
          <t>3346130021124</t>
        </is>
      </c>
      <c r="B20857" t="inlineStr">
        <is>
          <t>Hermes Barenia Eau De Parfum Spray 100ml Eau De Parfum Spray 125ml Set</t>
        </is>
      </c>
      <c r="C20857" t="inlineStr">
        <is>
          <t>Fragrance Sets</t>
        </is>
      </c>
      <c r="D20857" t="inlineStr">
        <is>
          <t>Hermès</t>
        </is>
      </c>
      <c r="E20857" t="n">
        <v>69.52</v>
      </c>
      <c r="F20857" t="n">
        <v>1</v>
      </c>
      <c r="G20857" t="n">
        <v>42</v>
      </c>
      <c r="H20857" s="5">
        <f>HYPERLINK("https://api.qogita.com/variants/link/3346130021124/", "View Product")</f>
        <v/>
      </c>
    </row>
    <row r="20858">
      <c r="A20858" t="inlineStr">
        <is>
          <t>3346130411109</t>
        </is>
      </c>
      <c r="B20858" t="inlineStr">
        <is>
          <t>Hermes Eau De Citron Noir Shower Gel</t>
        </is>
      </c>
      <c r="C20858" t="inlineStr">
        <is>
          <t>Shower Gel</t>
        </is>
      </c>
      <c r="D20858" t="inlineStr">
        <is>
          <t>Hermès</t>
        </is>
      </c>
      <c r="E20858" t="n">
        <v>13.36</v>
      </c>
      <c r="F20858" t="n">
        <v>1</v>
      </c>
      <c r="G20858" t="n">
        <v>31</v>
      </c>
      <c r="H20858" s="5">
        <f>HYPERLINK("https://api.qogita.com/variants/link/3346130411109/", "View Product")</f>
        <v/>
      </c>
    </row>
    <row r="20859">
      <c r="A20859" t="inlineStr">
        <is>
          <t>3346130411116</t>
        </is>
      </c>
      <c r="B20859" t="inlineStr">
        <is>
          <t>Hermes Eau De Citron Noir No-Rinse Cleansing Gel</t>
        </is>
      </c>
      <c r="C20859" t="inlineStr">
        <is>
          <t>Shower Gel</t>
        </is>
      </c>
      <c r="D20859" t="inlineStr">
        <is>
          <t>Hermès</t>
        </is>
      </c>
      <c r="E20859" t="n">
        <v>24.06</v>
      </c>
      <c r="F20859" t="n">
        <v>1</v>
      </c>
      <c r="G20859" t="n">
        <v>29</v>
      </c>
      <c r="H20859" s="5">
        <f>HYPERLINK("https://api.qogita.com/variants/link/3346130411116/", "View Product")</f>
        <v/>
      </c>
    </row>
    <row r="20860">
      <c r="A20860" t="inlineStr">
        <is>
          <t>3346130413769</t>
        </is>
      </c>
      <c r="B20860" t="inlineStr">
        <is>
          <t>Herms H24 Eau De Parfum Spray 50ml</t>
        </is>
      </c>
      <c r="C20860" t="inlineStr">
        <is>
          <t>Eau De Parfum</t>
        </is>
      </c>
      <c r="D20860" t="inlineStr">
        <is>
          <t>Hermès</t>
        </is>
      </c>
      <c r="E20860" t="n">
        <v>36.78</v>
      </c>
      <c r="F20860" t="n">
        <v>1</v>
      </c>
      <c r="G20860" t="n">
        <v>360</v>
      </c>
      <c r="H20860" s="5">
        <f>HYPERLINK("https://api.qogita.com/variants/link/3346130413769/", "View Product")</f>
        <v/>
      </c>
    </row>
    <row r="20861">
      <c r="A20861" t="inlineStr">
        <is>
          <t>3346130417248</t>
        </is>
      </c>
      <c r="B20861" t="inlineStr">
        <is>
          <t>Herms Un Jardin Cythre Eau De Toilette Refillable 30ml</t>
        </is>
      </c>
      <c r="C20861" t="inlineStr">
        <is>
          <t>Eau De Toilette</t>
        </is>
      </c>
      <c r="D20861" t="inlineStr">
        <is>
          <t>Hermès</t>
        </is>
      </c>
      <c r="E20861" t="n">
        <v>31.24</v>
      </c>
      <c r="F20861" t="n">
        <v>1</v>
      </c>
      <c r="G20861" t="n">
        <v>37</v>
      </c>
      <c r="H20861" s="5">
        <f>HYPERLINK("https://api.qogita.com/variants/link/3346130417248/", "View Product")</f>
        <v/>
      </c>
    </row>
    <row r="20862">
      <c r="A20862" t="inlineStr">
        <is>
          <t>3346130421337</t>
        </is>
      </c>
      <c r="B20862" t="inlineStr">
        <is>
          <t>Hermes Hermes Barenia Eau De Parfum Spray Rechargeable 100ml</t>
        </is>
      </c>
      <c r="C20862" t="inlineStr">
        <is>
          <t>Eau De Parfum</t>
        </is>
      </c>
      <c r="D20862" t="inlineStr">
        <is>
          <t>Hermès</t>
        </is>
      </c>
      <c r="E20862" t="n">
        <v>71.94</v>
      </c>
      <c r="F20862" t="n">
        <v>1</v>
      </c>
      <c r="G20862" t="n">
        <v>174</v>
      </c>
      <c r="H20862" s="5">
        <f>HYPERLINK("https://api.qogita.com/variants/link/3346130421337/", "View Product")</f>
        <v/>
      </c>
    </row>
    <row r="20863">
      <c r="A20863" t="inlineStr">
        <is>
          <t>3346130422495</t>
        </is>
      </c>
      <c r="B20863" t="inlineStr">
        <is>
          <t>Hermes Tutti Twilly D'Hermes Eau De Parfum Spray 85ml</t>
        </is>
      </c>
      <c r="C20863" t="inlineStr">
        <is>
          <t>Eau De Parfum</t>
        </is>
      </c>
      <c r="D20863" t="inlineStr">
        <is>
          <t>Hermès</t>
        </is>
      </c>
      <c r="E20863" t="n">
        <v>55.16</v>
      </c>
      <c r="F20863" t="n">
        <v>1</v>
      </c>
      <c r="G20863" t="n">
        <v>41</v>
      </c>
      <c r="H20863" s="5">
        <f>HYPERLINK("https://api.qogita.com/variants/link/3346130422495/", "View Product")</f>
        <v/>
      </c>
    </row>
    <row r="20864">
      <c r="A20864" t="inlineStr">
        <is>
          <t>3346130422778</t>
        </is>
      </c>
      <c r="B20864" t="inlineStr">
        <is>
          <t>Hermes Twilly Eau de Parfum 50ml</t>
        </is>
      </c>
      <c r="C20864" t="inlineStr">
        <is>
          <t>Eau De Parfum</t>
        </is>
      </c>
      <c r="D20864" t="inlineStr">
        <is>
          <t>Hermès</t>
        </is>
      </c>
      <c r="E20864" t="n">
        <v>61.51</v>
      </c>
      <c r="F20864" t="n">
        <v>1</v>
      </c>
      <c r="G20864" t="n">
        <v>15</v>
      </c>
      <c r="H20864" s="5">
        <f>HYPERLINK("https://api.qogita.com/variants/link/3346130422778/", "View Product")</f>
        <v/>
      </c>
    </row>
    <row r="20865">
      <c r="A20865" t="inlineStr">
        <is>
          <t>3346130422822</t>
        </is>
      </c>
      <c r="B20865" t="inlineStr">
        <is>
          <t>Herms Terre D'Hermes Eau De Toilette Spray Gift Set 100ml Edt 40ml After Shave 125ml Miniature</t>
        </is>
      </c>
      <c r="C20865" t="inlineStr">
        <is>
          <t>Fragrance Sets</t>
        </is>
      </c>
      <c r="D20865" t="inlineStr">
        <is>
          <t>Hermès</t>
        </is>
      </c>
      <c r="E20865" t="n">
        <v>88.45999999999999</v>
      </c>
      <c r="F20865" t="n">
        <v>1</v>
      </c>
      <c r="G20865" t="n">
        <v>1</v>
      </c>
      <c r="H20865" s="5">
        <f>HYPERLINK("https://api.qogita.com/variants/link/3346130422822/", "View Product")</f>
        <v/>
      </c>
    </row>
    <row r="20866">
      <c r="A20866" t="inlineStr">
        <is>
          <t>3346130422860</t>
        </is>
      </c>
      <c r="B20866" t="inlineStr">
        <is>
          <t>Hermes Un Jardin Sur le Nil EDT 100ml Unisex</t>
        </is>
      </c>
      <c r="C20866" t="inlineStr">
        <is>
          <t>Eau De Toilette</t>
        </is>
      </c>
      <c r="D20866" t="inlineStr">
        <is>
          <t>Hermès</t>
        </is>
      </c>
      <c r="E20866" t="n">
        <v>96.51000000000001</v>
      </c>
      <c r="F20866" t="n">
        <v>1</v>
      </c>
      <c r="G20866" t="n">
        <v>16</v>
      </c>
      <c r="H20866" s="5">
        <f>HYPERLINK("https://api.qogita.com/variants/link/3346130422860/", "View Product")</f>
        <v/>
      </c>
    </row>
    <row r="20867">
      <c r="A20867" t="inlineStr">
        <is>
          <t>3346130424109</t>
        </is>
      </c>
      <c r="B20867" t="inlineStr">
        <is>
          <t>Hermes Terre D'Hermes Parfum Intense Eau De Parfum Vaporisateur 50 Ml</t>
        </is>
      </c>
      <c r="C20867" t="inlineStr">
        <is>
          <t>Eau De Parfum</t>
        </is>
      </c>
      <c r="D20867" t="inlineStr">
        <is>
          <t>Hermès</t>
        </is>
      </c>
      <c r="E20867" t="n">
        <v>65.16</v>
      </c>
      <c r="F20867" t="n">
        <v>1</v>
      </c>
      <c r="G20867" t="n">
        <v>24</v>
      </c>
      <c r="H20867" s="5">
        <f>HYPERLINK("https://api.qogita.com/variants/link/3346130424109/", "View Product")</f>
        <v/>
      </c>
    </row>
    <row r="20868">
      <c r="A20868" t="inlineStr">
        <is>
          <t>3346130432104</t>
        </is>
      </c>
      <c r="B20868" t="inlineStr">
        <is>
          <t>Herms H24 Herbes Vives Eau De Parfum Spray 50ml Refillable</t>
        </is>
      </c>
      <c r="C20868" t="inlineStr">
        <is>
          <t>Eau De Parfum</t>
        </is>
      </c>
      <c r="D20868" t="inlineStr">
        <is>
          <t>Hermès</t>
        </is>
      </c>
      <c r="E20868" t="n">
        <v>58.93</v>
      </c>
      <c r="F20868" t="n">
        <v>1</v>
      </c>
      <c r="G20868" t="n">
        <v>14</v>
      </c>
      <c r="H20868" s="5">
        <f>HYPERLINK("https://api.qogita.com/variants/link/3346130432104/", "View Product")</f>
        <v/>
      </c>
    </row>
    <row r="20869">
      <c r="A20869" t="inlineStr">
        <is>
          <t>3346130432111</t>
        </is>
      </c>
      <c r="B20869" t="inlineStr">
        <is>
          <t>Herms H24 Herbes Vives Eau De Parfum 100ml Refillable</t>
        </is>
      </c>
      <c r="C20869" t="inlineStr">
        <is>
          <t>Eau De Parfum</t>
        </is>
      </c>
      <c r="D20869" t="inlineStr">
        <is>
          <t>Hermès</t>
        </is>
      </c>
      <c r="E20869" t="n">
        <v>78.53</v>
      </c>
      <c r="F20869" t="n">
        <v>1</v>
      </c>
      <c r="G20869" t="n">
        <v>6</v>
      </c>
      <c r="H20869" s="5">
        <f>HYPERLINK("https://api.qogita.com/variants/link/3346130432111/", "View Product")</f>
        <v/>
      </c>
    </row>
    <row r="20870">
      <c r="A20870" t="inlineStr">
        <is>
          <t>3346130434931</t>
        </is>
      </c>
      <c r="B20870" t="inlineStr">
        <is>
          <t>Hermès Terre D'Hermès EDT 100ml and SG 80ml for Men</t>
        </is>
      </c>
      <c r="C20870" t="inlineStr">
        <is>
          <t>Eau De Toilette</t>
        </is>
      </c>
      <c r="D20870" t="inlineStr">
        <is>
          <t>Hermès</t>
        </is>
      </c>
      <c r="E20870" t="n">
        <v>65.56</v>
      </c>
      <c r="F20870" t="n">
        <v>1</v>
      </c>
      <c r="G20870" t="n">
        <v>18</v>
      </c>
      <c r="H20870" s="5">
        <f>HYPERLINK("https://api.qogita.com/variants/link/3346130434931/", "View Product")</f>
        <v/>
      </c>
    </row>
    <row r="20871">
      <c r="A20871" t="inlineStr">
        <is>
          <t>3346130438250</t>
        </is>
      </c>
      <c r="B20871" t="inlineStr">
        <is>
          <t>Hermes Twilly D'Hermes Eau De Parfum Spray 50ml &amp; Hair Mist 50ml</t>
        </is>
      </c>
      <c r="C20871" t="inlineStr">
        <is>
          <t>Eau De Parfum</t>
        </is>
      </c>
      <c r="D20871" t="inlineStr">
        <is>
          <t>Hermès</t>
        </is>
      </c>
      <c r="E20871" t="n">
        <v>44.54</v>
      </c>
      <c r="F20871" t="n">
        <v>1</v>
      </c>
      <c r="G20871" t="n">
        <v>109</v>
      </c>
      <c r="H20871" s="5">
        <f>HYPERLINK("https://api.qogita.com/variants/link/3346130438250/", "View Product")</f>
        <v/>
      </c>
    </row>
    <row r="20872">
      <c r="A20872" t="inlineStr">
        <is>
          <t>3346130490654</t>
        </is>
      </c>
      <c r="B20872" t="inlineStr">
        <is>
          <t>Herms Concentr D'Orange Verte Eau De Toilette Spray 100ml</t>
        </is>
      </c>
      <c r="C20872" t="inlineStr">
        <is>
          <t>Eau De Toilette</t>
        </is>
      </c>
      <c r="D20872" t="inlineStr">
        <is>
          <t>Hermès</t>
        </is>
      </c>
      <c r="E20872" t="n">
        <v>75.22</v>
      </c>
      <c r="F20872" t="n">
        <v>1</v>
      </c>
      <c r="G20872" t="n">
        <v>10</v>
      </c>
      <c r="H20872" s="5">
        <f>HYPERLINK("https://api.qogita.com/variants/link/3346130490654/", "View Product")</f>
        <v/>
      </c>
    </row>
    <row r="20873">
      <c r="A20873" t="inlineStr">
        <is>
          <t>3346130490661</t>
        </is>
      </c>
      <c r="B20873" t="inlineStr">
        <is>
          <t>Herms Hermes Concentr D'Orange Verte Eau De Toilette Spray 200ml</t>
        </is>
      </c>
      <c r="C20873" t="inlineStr">
        <is>
          <t>Eau De Toilette</t>
        </is>
      </c>
      <c r="D20873" t="inlineStr">
        <is>
          <t>Hermès</t>
        </is>
      </c>
      <c r="E20873" t="n">
        <v>106.36</v>
      </c>
      <c r="F20873" t="n">
        <v>1</v>
      </c>
      <c r="G20873" t="n">
        <v>4</v>
      </c>
      <c r="H20873" s="5">
        <f>HYPERLINK("https://api.qogita.com/variants/link/3346130490661/", "View Product")</f>
        <v/>
      </c>
    </row>
    <row r="20874">
      <c r="A20874" t="inlineStr">
        <is>
          <t>3346130493570</t>
        </is>
      </c>
      <c r="B20874" t="inlineStr">
        <is>
          <t>Herms Eau D'Orange Verte Eau De Cologne Spray 200ml</t>
        </is>
      </c>
      <c r="C20874" t="inlineStr">
        <is>
          <t>Eau De Cologne</t>
        </is>
      </c>
      <c r="D20874" t="inlineStr">
        <is>
          <t>Hermès</t>
        </is>
      </c>
      <c r="E20874" t="n">
        <v>78.65000000000001</v>
      </c>
      <c r="F20874" t="n">
        <v>1</v>
      </c>
      <c r="G20874" t="n">
        <v>173</v>
      </c>
      <c r="H20874" s="5">
        <f>HYPERLINK("https://api.qogita.com/variants/link/3346130493570/", "View Product")</f>
        <v/>
      </c>
    </row>
    <row r="20875">
      <c r="A20875" t="inlineStr">
        <is>
          <t>3346130493716</t>
        </is>
      </c>
      <c r="B20875" t="inlineStr">
        <is>
          <t>Hermes Eau D'Orange Verte Eau De Cologne 50ml Refillable Unisex Spray</t>
        </is>
      </c>
      <c r="C20875" t="inlineStr">
        <is>
          <t>Eau De Cologne</t>
        </is>
      </c>
      <c r="D20875" t="inlineStr">
        <is>
          <t>Hermès</t>
        </is>
      </c>
      <c r="E20875" t="n">
        <v>54.09</v>
      </c>
      <c r="F20875" t="n">
        <v>1</v>
      </c>
      <c r="G20875" t="n">
        <v>3</v>
      </c>
      <c r="H20875" s="5">
        <f>HYPERLINK("https://api.qogita.com/variants/link/3346130493716/", "View Product")</f>
        <v/>
      </c>
    </row>
    <row r="20876">
      <c r="A20876" t="inlineStr">
        <is>
          <t>3346130890171</t>
        </is>
      </c>
      <c r="B20876" t="inlineStr">
        <is>
          <t>Hermes Paris Unisex D'Hermes Eau de Toilette 100ml Vaporizer Black</t>
        </is>
      </c>
      <c r="C20876" t="inlineStr">
        <is>
          <t>Eau De Toilette</t>
        </is>
      </c>
      <c r="D20876" t="inlineStr">
        <is>
          <t>Hermès</t>
        </is>
      </c>
      <c r="E20876" t="n">
        <v>65.78</v>
      </c>
      <c r="F20876" t="n">
        <v>1</v>
      </c>
      <c r="G20876" t="n">
        <v>180</v>
      </c>
      <c r="H20876" s="5">
        <f>HYPERLINK("https://api.qogita.com/variants/link/3346130890171/", "View Product")</f>
        <v/>
      </c>
    </row>
    <row r="20877">
      <c r="A20877" t="inlineStr">
        <is>
          <t>3346131797097</t>
        </is>
      </c>
      <c r="B20877" t="inlineStr">
        <is>
          <t>Herms L'Ombre Des Merveilles Eau De Parfum 50ml Women's Spray</t>
        </is>
      </c>
      <c r="C20877" t="inlineStr">
        <is>
          <t>Eau De Parfum</t>
        </is>
      </c>
      <c r="D20877" t="inlineStr">
        <is>
          <t>Hermès</t>
        </is>
      </c>
      <c r="E20877" t="n">
        <v>46.31</v>
      </c>
      <c r="F20877" t="n">
        <v>1</v>
      </c>
      <c r="G20877" t="n">
        <v>19</v>
      </c>
      <c r="H20877" s="5">
        <f>HYPERLINK("https://api.qogita.com/variants/link/3346131797097/", "View Product")</f>
        <v/>
      </c>
    </row>
    <row r="20878">
      <c r="A20878" t="inlineStr">
        <is>
          <t>3346131797103</t>
        </is>
      </c>
      <c r="B20878" t="inlineStr">
        <is>
          <t>Hermes L'Ombre Des Merveilles Eau De Parfum 30ml Unisex Spray</t>
        </is>
      </c>
      <c r="C20878" t="inlineStr">
        <is>
          <t>Eau De Parfum</t>
        </is>
      </c>
      <c r="D20878" t="inlineStr">
        <is>
          <t>Hermès</t>
        </is>
      </c>
      <c r="E20878" t="n">
        <v>28.39</v>
      </c>
      <c r="F20878" t="n">
        <v>1</v>
      </c>
      <c r="G20878" t="n">
        <v>24</v>
      </c>
      <c r="H20878" s="5">
        <f>HYPERLINK("https://api.qogita.com/variants/link/3346131797103/", "View Product")</f>
        <v/>
      </c>
    </row>
    <row r="20879">
      <c r="A20879" t="inlineStr">
        <is>
          <t>3346132000608</t>
        </is>
      </c>
      <c r="B20879" t="inlineStr">
        <is>
          <t>Hermes Hermessence Concentr De Pamplemousse Rose Eau De Toilette 100ml Unisex Spray</t>
        </is>
      </c>
      <c r="C20879" t="inlineStr">
        <is>
          <t>Eau De Toilette</t>
        </is>
      </c>
      <c r="D20879" t="inlineStr">
        <is>
          <t>Hermès</t>
        </is>
      </c>
      <c r="E20879" t="n">
        <v>70.38</v>
      </c>
      <c r="F20879" t="n">
        <v>1</v>
      </c>
      <c r="G20879" t="n">
        <v>3</v>
      </c>
      <c r="H20879" s="5">
        <f>HYPERLINK("https://api.qogita.com/variants/link/3346132000608/", "View Product")</f>
        <v/>
      </c>
    </row>
    <row r="20880">
      <c r="A20880" t="inlineStr">
        <is>
          <t>3346132400705</t>
        </is>
      </c>
      <c r="B20880" t="inlineStr">
        <is>
          <t>Herms Un Jardin Sur Le Toit Eau De Toilette 30ml Unisex Spray</t>
        </is>
      </c>
      <c r="C20880" t="inlineStr">
        <is>
          <t>Eau De Toilette</t>
        </is>
      </c>
      <c r="D20880" t="inlineStr">
        <is>
          <t>Hermès</t>
        </is>
      </c>
      <c r="E20880" t="n">
        <v>36.15</v>
      </c>
      <c r="F20880" t="n">
        <v>1</v>
      </c>
      <c r="G20880" t="n">
        <v>15</v>
      </c>
      <c r="H20880" s="5">
        <f>HYPERLINK("https://api.qogita.com/variants/link/3346132400705/", "View Product")</f>
        <v/>
      </c>
    </row>
    <row r="20881">
      <c r="A20881" t="inlineStr">
        <is>
          <t>3346133500022</t>
        </is>
      </c>
      <c r="B20881" t="inlineStr">
        <is>
          <t>Herms H24 Eau De Toilette 100ml Refillable Spray For Men</t>
        </is>
      </c>
      <c r="C20881" t="inlineStr">
        <is>
          <t>Eau De Toilette</t>
        </is>
      </c>
      <c r="D20881" t="inlineStr">
        <is>
          <t>Hermès</t>
        </is>
      </c>
      <c r="E20881" t="n">
        <v>43.73</v>
      </c>
      <c r="F20881" t="n">
        <v>1</v>
      </c>
      <c r="G20881" t="n">
        <v>29</v>
      </c>
      <c r="H20881" s="5">
        <f>HYPERLINK("https://api.qogita.com/variants/link/3346133500022/", "View Product")</f>
        <v/>
      </c>
    </row>
    <row r="20882">
      <c r="A20882" t="inlineStr">
        <is>
          <t>3346133600029</t>
        </is>
      </c>
      <c r="B20882" t="inlineStr">
        <is>
          <t>Hermes Un Jardin Sur La Lagune Eau De Toilette</t>
        </is>
      </c>
      <c r="C20882" t="inlineStr">
        <is>
          <t>Eau De Toilette</t>
        </is>
      </c>
      <c r="D20882" t="inlineStr">
        <is>
          <t>Hermès</t>
        </is>
      </c>
      <c r="E20882" t="n">
        <v>18.42</v>
      </c>
      <c r="F20882" t="n">
        <v>1</v>
      </c>
      <c r="G20882" t="n">
        <v>15</v>
      </c>
      <c r="H20882" s="5">
        <f>HYPERLINK("https://api.qogita.com/variants/link/3346133600029/", "View Product")</f>
        <v/>
      </c>
    </row>
    <row r="20883">
      <c r="A20883" t="inlineStr">
        <is>
          <t>3346133600050</t>
        </is>
      </c>
      <c r="B20883" t="inlineStr">
        <is>
          <t>Herms Un Jardin Sur La Lagune Eau De Toilette Spray 100ml</t>
        </is>
      </c>
      <c r="C20883" t="inlineStr">
        <is>
          <t>Eau De Toilette</t>
        </is>
      </c>
      <c r="D20883" t="inlineStr">
        <is>
          <t>Hermès</t>
        </is>
      </c>
      <c r="E20883" t="n">
        <v>67.91</v>
      </c>
      <c r="F20883" t="n">
        <v>1</v>
      </c>
      <c r="G20883" t="n">
        <v>3</v>
      </c>
      <c r="H20883" s="5">
        <f>HYPERLINK("https://api.qogita.com/variants/link/3346133600050/", "View Product")</f>
        <v/>
      </c>
    </row>
    <row r="20884">
      <c r="A20884" t="inlineStr">
        <is>
          <t>3348900147324</t>
        </is>
      </c>
      <c r="B20884" t="inlineStr">
        <is>
          <t>Dior Fahrenheit Eau De Toilette 200ml For Men</t>
        </is>
      </c>
      <c r="C20884" t="inlineStr">
        <is>
          <t>Eau De Toilette</t>
        </is>
      </c>
      <c r="D20884" t="inlineStr">
        <is>
          <t>Dior</t>
        </is>
      </c>
      <c r="E20884" t="n">
        <v>136.75</v>
      </c>
      <c r="F20884" t="n">
        <v>1</v>
      </c>
      <c r="G20884" t="n">
        <v>21</v>
      </c>
      <c r="H20884" s="5">
        <f>HYPERLINK("https://api.qogita.com/variants/link/3348900147324/", "View Product")</f>
        <v/>
      </c>
    </row>
    <row r="20885">
      <c r="A20885" t="inlineStr">
        <is>
          <t>3348900425309</t>
        </is>
      </c>
      <c r="B20885" t="inlineStr">
        <is>
          <t>Dior Hypnotic Poison Eau De Toilette Spray 100ml</t>
        </is>
      </c>
      <c r="C20885" t="inlineStr">
        <is>
          <t>Eau De Toilette</t>
        </is>
      </c>
      <c r="D20885" t="inlineStr">
        <is>
          <t>Dior</t>
        </is>
      </c>
      <c r="E20885" t="n">
        <v>100.03</v>
      </c>
      <c r="F20885" t="n">
        <v>1</v>
      </c>
      <c r="G20885" t="n">
        <v>23</v>
      </c>
      <c r="H20885" s="5">
        <f>HYPERLINK("https://api.qogita.com/variants/link/3348900425309/", "View Product")</f>
        <v/>
      </c>
    </row>
    <row r="20886">
      <c r="A20886" t="inlineStr">
        <is>
          <t>3348900489226</t>
        </is>
      </c>
      <c r="B20886" t="inlineStr">
        <is>
          <t>Dior Higher Eau De Toilette 100ml Men Spray</t>
        </is>
      </c>
      <c r="C20886" t="inlineStr">
        <is>
          <t>Eau De Toilette</t>
        </is>
      </c>
      <c r="D20886" t="inlineStr">
        <is>
          <t>Dior</t>
        </is>
      </c>
      <c r="E20886" t="n">
        <v>93.55</v>
      </c>
      <c r="F20886" t="n">
        <v>1</v>
      </c>
      <c r="G20886" t="n">
        <v>5</v>
      </c>
      <c r="H20886" s="5">
        <f>HYPERLINK("https://api.qogita.com/variants/link/3348900489226/", "View Product")</f>
        <v/>
      </c>
    </row>
    <row r="20887">
      <c r="A20887" t="inlineStr">
        <is>
          <t>3348900606708</t>
        </is>
      </c>
      <c r="B20887" t="inlineStr">
        <is>
          <t>Christian Dior Pure Poison Femme Eau De Parfum Spray</t>
        </is>
      </c>
      <c r="C20887" t="inlineStr">
        <is>
          <t>Eau De Parfum</t>
        </is>
      </c>
      <c r="D20887" t="inlineStr">
        <is>
          <t>Dior</t>
        </is>
      </c>
      <c r="E20887" t="n">
        <v>92.06</v>
      </c>
      <c r="F20887" t="n">
        <v>1</v>
      </c>
      <c r="G20887" t="n">
        <v>5</v>
      </c>
      <c r="H20887" s="5">
        <f>HYPERLINK("https://api.qogita.com/variants/link/3348900606708/", "View Product")</f>
        <v/>
      </c>
    </row>
    <row r="20888">
      <c r="A20888" t="inlineStr">
        <is>
          <t>3348900627499</t>
        </is>
      </c>
      <c r="B20888" t="inlineStr">
        <is>
          <t>Dior Eau Sauvage Eau De Toilette Spray 100ml</t>
        </is>
      </c>
      <c r="C20888" t="inlineStr">
        <is>
          <t>Eau De Toilette</t>
        </is>
      </c>
      <c r="D20888" t="inlineStr">
        <is>
          <t>Dior</t>
        </is>
      </c>
      <c r="E20888" t="n">
        <v>89.75</v>
      </c>
      <c r="F20888" t="n">
        <v>1</v>
      </c>
      <c r="G20888" t="n">
        <v>3</v>
      </c>
      <c r="H20888" s="5">
        <f>HYPERLINK("https://api.qogita.com/variants/link/3348900627499/", "View Product")</f>
        <v/>
      </c>
    </row>
    <row r="20889">
      <c r="A20889" t="inlineStr">
        <is>
          <t>3348900627536</t>
        </is>
      </c>
      <c r="B20889" t="inlineStr">
        <is>
          <t>Dior Eau Sauvage Alcohol-Free Deodorant Stick 75g</t>
        </is>
      </c>
      <c r="C20889" t="inlineStr">
        <is>
          <t>Deodorant &amp; Anti-Perspirant</t>
        </is>
      </c>
      <c r="D20889" t="inlineStr">
        <is>
          <t>Dior</t>
        </is>
      </c>
      <c r="E20889" t="n">
        <v>31.37</v>
      </c>
      <c r="F20889" t="n">
        <v>1</v>
      </c>
      <c r="G20889" t="n">
        <v>6</v>
      </c>
      <c r="H20889" s="5">
        <f>HYPERLINK("https://api.qogita.com/variants/link/3348900627536/", "View Product")</f>
        <v/>
      </c>
    </row>
    <row r="20890">
      <c r="A20890" t="inlineStr">
        <is>
          <t>3348900628144</t>
        </is>
      </c>
      <c r="B20890" t="inlineStr">
        <is>
          <t>Dior Eau Sauvage Extreme Eau De Toilette Spray 100ml</t>
        </is>
      </c>
      <c r="C20890" t="inlineStr">
        <is>
          <t>Eau De Toilette</t>
        </is>
      </c>
      <c r="D20890" t="inlineStr">
        <is>
          <t>Dior</t>
        </is>
      </c>
      <c r="E20890" t="n">
        <v>101.2</v>
      </c>
      <c r="F20890" t="n">
        <v>1</v>
      </c>
      <c r="G20890" t="n">
        <v>3</v>
      </c>
      <c r="H20890" s="5">
        <f>HYPERLINK("https://api.qogita.com/variants/link/3348900628144/", "View Product")</f>
        <v/>
      </c>
    </row>
    <row r="20891">
      <c r="A20891" t="inlineStr">
        <is>
          <t>3348900838178</t>
        </is>
      </c>
      <c r="B20891" t="inlineStr">
        <is>
          <t>Dior Homme Intense Eau De Parfum Spray 50ml By Dior</t>
        </is>
      </c>
      <c r="C20891" t="inlineStr">
        <is>
          <t>Eau De Parfum</t>
        </is>
      </c>
      <c r="D20891" t="inlineStr">
        <is>
          <t>Dior</t>
        </is>
      </c>
      <c r="E20891" t="n">
        <v>75.39</v>
      </c>
      <c r="F20891" t="n">
        <v>1</v>
      </c>
      <c r="G20891" t="n">
        <v>8</v>
      </c>
      <c r="H20891" s="5">
        <f>HYPERLINK("https://api.qogita.com/variants/link/3348900838178/", "View Product")</f>
        <v/>
      </c>
    </row>
    <row r="20892">
      <c r="A20892" t="inlineStr">
        <is>
          <t>3348900838185</t>
        </is>
      </c>
      <c r="B20892" t="inlineStr">
        <is>
          <t>Dior Homme Intense Eau De Parfum Spray 100ml By Dior</t>
        </is>
      </c>
      <c r="C20892" t="inlineStr">
        <is>
          <t>Eau De Parfum</t>
        </is>
      </c>
      <c r="D20892" t="inlineStr">
        <is>
          <t>Dior</t>
        </is>
      </c>
      <c r="E20892" t="n">
        <v>106.88</v>
      </c>
      <c r="F20892" t="n">
        <v>1</v>
      </c>
      <c r="G20892" t="n">
        <v>6</v>
      </c>
      <c r="H20892" s="5">
        <f>HYPERLINK("https://api.qogita.com/variants/link/3348900838185/", "View Product")</f>
        <v/>
      </c>
    </row>
    <row r="20893">
      <c r="A20893" t="inlineStr">
        <is>
          <t>3348900863286</t>
        </is>
      </c>
      <c r="B20893" t="inlineStr">
        <is>
          <t>Dior Escale A Portofino Eau De Toilette Spray 75 Ml</t>
        </is>
      </c>
      <c r="C20893" t="inlineStr">
        <is>
          <t>Eau De Toilette</t>
        </is>
      </c>
      <c r="D20893" t="inlineStr">
        <is>
          <t>Dior</t>
        </is>
      </c>
      <c r="E20893" t="n">
        <v>76.69</v>
      </c>
      <c r="F20893" t="n">
        <v>1</v>
      </c>
      <c r="G20893" t="n">
        <v>40</v>
      </c>
      <c r="H20893" s="5">
        <f>HYPERLINK("https://api.qogita.com/variants/link/3348900863286/", "View Product")</f>
        <v/>
      </c>
    </row>
    <row r="20894">
      <c r="A20894" t="inlineStr">
        <is>
          <t>3348900863293</t>
        </is>
      </c>
      <c r="B20894" t="inlineStr">
        <is>
          <t>Dior Escale A Portofino Eau De Toilette 125ml Spray</t>
        </is>
      </c>
      <c r="C20894" t="inlineStr">
        <is>
          <t>Eau De Toilette</t>
        </is>
      </c>
      <c r="D20894" t="inlineStr">
        <is>
          <t>Dior</t>
        </is>
      </c>
      <c r="E20894" t="n">
        <v>107.88</v>
      </c>
      <c r="F20894" t="n">
        <v>1</v>
      </c>
      <c r="G20894" t="n">
        <v>6</v>
      </c>
      <c r="H20894" s="5">
        <f>HYPERLINK("https://api.qogita.com/variants/link/3348900863293/", "View Product")</f>
        <v/>
      </c>
    </row>
    <row r="20895">
      <c r="A20895" t="inlineStr">
        <is>
          <t>3348900911123</t>
        </is>
      </c>
      <c r="B20895" t="inlineStr">
        <is>
          <t>Dior Eau Sauvage After Shave Lotion 200ml</t>
        </is>
      </c>
      <c r="C20895" t="inlineStr">
        <is>
          <t>Aftershave</t>
        </is>
      </c>
      <c r="D20895" t="inlineStr">
        <is>
          <t>Dior</t>
        </is>
      </c>
      <c r="E20895" t="n">
        <v>84.76000000000001</v>
      </c>
      <c r="F20895" t="n">
        <v>1</v>
      </c>
      <c r="G20895" t="n">
        <v>3</v>
      </c>
      <c r="H20895" s="5">
        <f>HYPERLINK("https://api.qogita.com/variants/link/3348900911123/", "View Product")</f>
        <v/>
      </c>
    </row>
    <row r="20896">
      <c r="A20896" t="inlineStr">
        <is>
          <t>3348900929524</t>
        </is>
      </c>
      <c r="B20896" t="inlineStr">
        <is>
          <t>Dior Diorissimo Eau De Parfum Spray 50ml</t>
        </is>
      </c>
      <c r="C20896" t="inlineStr">
        <is>
          <t>Eau De Parfum</t>
        </is>
      </c>
      <c r="D20896" t="inlineStr">
        <is>
          <t>Dior</t>
        </is>
      </c>
      <c r="E20896" t="n">
        <v>91.22</v>
      </c>
      <c r="F20896" t="n">
        <v>1</v>
      </c>
      <c r="G20896" t="n">
        <v>8</v>
      </c>
      <c r="H20896" s="5">
        <f>HYPERLINK("https://api.qogita.com/variants/link/3348900929524/", "View Product")</f>
        <v/>
      </c>
    </row>
    <row r="20897">
      <c r="A20897" t="inlineStr">
        <is>
          <t>3348900943315</t>
        </is>
      </c>
      <c r="B20897" t="inlineStr">
        <is>
          <t>Dior Hypnotic Poison Deodorant Perfume 100ml</t>
        </is>
      </c>
      <c r="C20897" t="inlineStr">
        <is>
          <t>Eau De Parfum</t>
        </is>
      </c>
      <c r="D20897" t="inlineStr">
        <is>
          <t>Dior</t>
        </is>
      </c>
      <c r="E20897" t="n">
        <v>49.85</v>
      </c>
      <c r="F20897" t="n">
        <v>1</v>
      </c>
      <c r="G20897" t="n">
        <v>3</v>
      </c>
      <c r="H20897" s="5">
        <f>HYPERLINK("https://api.qogita.com/variants/link/3348900943315/", "View Product")</f>
        <v/>
      </c>
    </row>
    <row r="20898">
      <c r="A20898" t="inlineStr">
        <is>
          <t>3348901126342</t>
        </is>
      </c>
      <c r="B20898" t="inlineStr">
        <is>
          <t>Dior Dior Homme Cologne Eau De Toilette 75ml</t>
        </is>
      </c>
      <c r="C20898" t="inlineStr">
        <is>
          <t>Eau De Toilette</t>
        </is>
      </c>
      <c r="D20898" t="inlineStr">
        <is>
          <t>Dior</t>
        </is>
      </c>
      <c r="E20898" t="n">
        <v>76.73</v>
      </c>
      <c r="F20898" t="n">
        <v>1</v>
      </c>
      <c r="G20898" t="n">
        <v>5</v>
      </c>
      <c r="H20898" s="5">
        <f>HYPERLINK("https://api.qogita.com/variants/link/3348901126342/", "View Product")</f>
        <v/>
      </c>
    </row>
    <row r="20899">
      <c r="A20899" t="inlineStr">
        <is>
          <t>3348901182362</t>
        </is>
      </c>
      <c r="B20899" t="inlineStr">
        <is>
          <t>Dior Addict Eau Fraiche Eau De Toilette 100ml Women Spray</t>
        </is>
      </c>
      <c r="C20899" t="inlineStr">
        <is>
          <t>Eau De Toilette</t>
        </is>
      </c>
      <c r="D20899" t="inlineStr">
        <is>
          <t>Dior</t>
        </is>
      </c>
      <c r="E20899" t="n">
        <v>100.17</v>
      </c>
      <c r="F20899" t="n">
        <v>1</v>
      </c>
      <c r="G20899" t="n">
        <v>13</v>
      </c>
      <c r="H20899" s="5">
        <f>HYPERLINK("https://api.qogita.com/variants/link/3348901182362/", "View Product")</f>
        <v/>
      </c>
    </row>
    <row r="20900">
      <c r="A20900" t="inlineStr">
        <is>
          <t>3348901206174</t>
        </is>
      </c>
      <c r="B20900" t="inlineStr">
        <is>
          <t>Dior Addict Eau De Toilette Spray 100ml</t>
        </is>
      </c>
      <c r="C20900" t="inlineStr">
        <is>
          <t>Eau De Toilette</t>
        </is>
      </c>
      <c r="D20900" t="inlineStr">
        <is>
          <t>Dior</t>
        </is>
      </c>
      <c r="E20900" t="n">
        <v>98.48</v>
      </c>
      <c r="F20900" t="n">
        <v>1</v>
      </c>
      <c r="G20900" t="n">
        <v>14</v>
      </c>
      <c r="H20900" s="5">
        <f>HYPERLINK("https://api.qogita.com/variants/link/3348901206174/", "View Product")</f>
        <v/>
      </c>
    </row>
    <row r="20901">
      <c r="A20901" t="inlineStr">
        <is>
          <t>3348901250276</t>
        </is>
      </c>
      <c r="B20901" t="inlineStr">
        <is>
          <t>Dior Sauvage Deodorant Spray 150ml</t>
        </is>
      </c>
      <c r="C20901" t="inlineStr">
        <is>
          <t>Deodorant &amp; Anti-Perspirant</t>
        </is>
      </c>
      <c r="D20901" t="inlineStr">
        <is>
          <t>Dior</t>
        </is>
      </c>
      <c r="E20901" t="n">
        <v>34.25</v>
      </c>
      <c r="F20901" t="n">
        <v>1</v>
      </c>
      <c r="G20901" t="n">
        <v>13</v>
      </c>
      <c r="H20901" s="5">
        <f>HYPERLINK("https://api.qogita.com/variants/link/3348901250276/", "View Product")</f>
        <v/>
      </c>
    </row>
    <row r="20902">
      <c r="A20902" t="inlineStr">
        <is>
          <t>3348901282840</t>
        </is>
      </c>
      <c r="B20902" t="inlineStr">
        <is>
          <t>Dior Hypnotic Poison Body Milk 200ml</t>
        </is>
      </c>
      <c r="C20902" t="inlineStr">
        <is>
          <t>Body Lotion</t>
        </is>
      </c>
      <c r="D20902" t="inlineStr">
        <is>
          <t>Dior</t>
        </is>
      </c>
      <c r="E20902" t="n">
        <v>56.17</v>
      </c>
      <c r="F20902" t="n">
        <v>1</v>
      </c>
      <c r="G20902" t="n">
        <v>5</v>
      </c>
      <c r="H20902" s="5">
        <f>HYPERLINK("https://api.qogita.com/variants/link/3348901282840/", "View Product")</f>
        <v/>
      </c>
    </row>
    <row r="20903">
      <c r="A20903" t="inlineStr">
        <is>
          <t>3348901293822</t>
        </is>
      </c>
      <c r="B20903" t="inlineStr">
        <is>
          <t>Dior Poison Girl Eau De Parfum Spray 30ml</t>
        </is>
      </c>
      <c r="C20903" t="inlineStr">
        <is>
          <t>Eau De Parfum</t>
        </is>
      </c>
      <c r="D20903" t="inlineStr">
        <is>
          <t>Dior</t>
        </is>
      </c>
      <c r="E20903" t="n">
        <v>63.35</v>
      </c>
      <c r="F20903" t="n">
        <v>1</v>
      </c>
      <c r="G20903" t="n">
        <v>21</v>
      </c>
      <c r="H20903" s="5">
        <f>HYPERLINK("https://api.qogita.com/variants/link/3348901293822/", "View Product")</f>
        <v/>
      </c>
    </row>
    <row r="20904">
      <c r="A20904" t="inlineStr">
        <is>
          <t>3348901333139</t>
        </is>
      </c>
      <c r="B20904" t="inlineStr">
        <is>
          <t>Dior Miss Dior Deodorant Spray 100ml</t>
        </is>
      </c>
      <c r="C20904" t="inlineStr">
        <is>
          <t>Deodorant &amp; Anti-Perspirant</t>
        </is>
      </c>
      <c r="D20904" t="inlineStr">
        <is>
          <t>Dior</t>
        </is>
      </c>
      <c r="E20904" t="n">
        <v>40.11</v>
      </c>
      <c r="F20904" t="n">
        <v>1</v>
      </c>
      <c r="G20904" t="n">
        <v>1</v>
      </c>
      <c r="H20904" s="5">
        <f>HYPERLINK("https://api.qogita.com/variants/link/3348901333139/", "View Product")</f>
        <v/>
      </c>
    </row>
    <row r="20905">
      <c r="A20905" t="inlineStr">
        <is>
          <t>3348901345729</t>
        </is>
      </c>
      <c r="B20905" t="inlineStr">
        <is>
          <t>Christian Dior Poison Girl Eau De Toilette 50ml Women Spray</t>
        </is>
      </c>
      <c r="C20905" t="inlineStr">
        <is>
          <t>Eau De Toilette</t>
        </is>
      </c>
      <c r="D20905" t="inlineStr">
        <is>
          <t>Christian Dior</t>
        </is>
      </c>
      <c r="E20905" t="n">
        <v>78.84</v>
      </c>
      <c r="F20905" t="n">
        <v>1</v>
      </c>
      <c r="G20905" t="n">
        <v>4</v>
      </c>
      <c r="H20905" s="5">
        <f>HYPERLINK("https://api.qogita.com/variants/link/3348901345729/", "View Product")</f>
        <v/>
      </c>
    </row>
    <row r="20906">
      <c r="A20906" t="inlineStr">
        <is>
          <t>3348901345743</t>
        </is>
      </c>
      <c r="B20906" t="inlineStr">
        <is>
          <t>Dior Poison Girl Eau De Toilette 30ml Women's Fragrance</t>
        </is>
      </c>
      <c r="C20906" t="inlineStr">
        <is>
          <t>Eau De Toilette</t>
        </is>
      </c>
      <c r="D20906" t="inlineStr">
        <is>
          <t>Dior</t>
        </is>
      </c>
      <c r="E20906" t="n">
        <v>57.31</v>
      </c>
      <c r="F20906" t="n">
        <v>1</v>
      </c>
      <c r="G20906" t="n">
        <v>3</v>
      </c>
      <c r="H20906" s="5">
        <f>HYPERLINK("https://api.qogita.com/variants/link/3348901345743/", "View Product")</f>
        <v/>
      </c>
    </row>
    <row r="20907">
      <c r="A20907" t="inlineStr">
        <is>
          <t>3348901363488</t>
        </is>
      </c>
      <c r="B20907" t="inlineStr">
        <is>
          <t>Dior Eau Sauvage Eau De Parfum Spray 100ml</t>
        </is>
      </c>
      <c r="C20907" t="inlineStr">
        <is>
          <t>Eau De Parfum</t>
        </is>
      </c>
      <c r="D20907" t="inlineStr">
        <is>
          <t>Dior</t>
        </is>
      </c>
      <c r="E20907" t="n">
        <v>106.95</v>
      </c>
      <c r="F20907" t="n">
        <v>1</v>
      </c>
      <c r="G20907" t="n">
        <v>4</v>
      </c>
      <c r="H20907" s="5">
        <f>HYPERLINK("https://api.qogita.com/variants/link/3348901363488/", "View Product")</f>
        <v/>
      </c>
    </row>
    <row r="20908">
      <c r="A20908" t="inlineStr">
        <is>
          <t>3348901419345</t>
        </is>
      </c>
      <c r="B20908" t="inlineStr">
        <is>
          <t>Dior Miss Dior Eau De Toilette Spray 50ml</t>
        </is>
      </c>
      <c r="C20908" t="inlineStr">
        <is>
          <t>Eau De Toilette</t>
        </is>
      </c>
      <c r="D20908" t="inlineStr">
        <is>
          <t>Dior</t>
        </is>
      </c>
      <c r="E20908" t="n">
        <v>83.59999999999999</v>
      </c>
      <c r="F20908" t="n">
        <v>1</v>
      </c>
      <c r="G20908" t="n">
        <v>13</v>
      </c>
      <c r="H20908" s="5">
        <f>HYPERLINK("https://api.qogita.com/variants/link/3348901419345/", "View Product")</f>
        <v/>
      </c>
    </row>
    <row r="20909">
      <c r="A20909" t="inlineStr">
        <is>
          <t>3348901428545</t>
        </is>
      </c>
      <c r="B20909" t="inlineStr">
        <is>
          <t>Dior Sauvage Eau De Parfum Spray 200ml</t>
        </is>
      </c>
      <c r="C20909" t="inlineStr">
        <is>
          <t>Eau De Parfum</t>
        </is>
      </c>
      <c r="D20909" t="inlineStr">
        <is>
          <t>Dior</t>
        </is>
      </c>
      <c r="E20909" t="n">
        <v>155.03</v>
      </c>
      <c r="F20909" t="n">
        <v>1</v>
      </c>
      <c r="G20909" t="n">
        <v>12</v>
      </c>
      <c r="H20909" s="5">
        <f>HYPERLINK("https://api.qogita.com/variants/link/3348901428545/", "View Product")</f>
        <v/>
      </c>
    </row>
    <row r="20910">
      <c r="A20910" t="inlineStr">
        <is>
          <t>3348901460002</t>
        </is>
      </c>
      <c r="B20910" t="inlineStr">
        <is>
          <t>Dior J'Adore Dry Oil Satin Body And Hair 145ml</t>
        </is>
      </c>
      <c r="C20910" t="inlineStr">
        <is>
          <t>Body Oil</t>
        </is>
      </c>
      <c r="D20910" t="inlineStr">
        <is>
          <t>Dior</t>
        </is>
      </c>
      <c r="E20910" t="n">
        <v>60.42</v>
      </c>
      <c r="F20910" t="n">
        <v>1</v>
      </c>
      <c r="G20910" t="n">
        <v>3</v>
      </c>
      <c r="H20910" s="5">
        <f>HYPERLINK("https://api.qogita.com/variants/link/3348901460002/", "View Product")</f>
        <v/>
      </c>
    </row>
    <row r="20911">
      <c r="A20911" t="inlineStr">
        <is>
          <t>3348901484879</t>
        </is>
      </c>
      <c r="B20911" t="inlineStr">
        <is>
          <t>Christian Dior Unisex Dior Homme After Shave Balm 100ml</t>
        </is>
      </c>
      <c r="C20911" t="inlineStr">
        <is>
          <t>Aftershave</t>
        </is>
      </c>
      <c r="D20911" t="inlineStr">
        <is>
          <t>Dior</t>
        </is>
      </c>
      <c r="E20911" t="n">
        <v>45.95</v>
      </c>
      <c r="F20911" t="n">
        <v>1</v>
      </c>
      <c r="G20911" t="n">
        <v>3</v>
      </c>
      <c r="H20911" s="5">
        <f>HYPERLINK("https://api.qogita.com/variants/link/3348901484879/", "View Product")</f>
        <v/>
      </c>
    </row>
    <row r="20912">
      <c r="A20912" t="inlineStr">
        <is>
          <t>3348901484909</t>
        </is>
      </c>
      <c r="B20912" t="inlineStr">
        <is>
          <t>Dior Homme Deodorant Spray 150ml - A Premium Deodorant By Dior</t>
        </is>
      </c>
      <c r="C20912" t="inlineStr">
        <is>
          <t>Deodorant &amp; Anti-Perspirant</t>
        </is>
      </c>
      <c r="D20912" t="inlineStr">
        <is>
          <t>Dior</t>
        </is>
      </c>
      <c r="E20912" t="n">
        <v>38.24</v>
      </c>
      <c r="F20912" t="n">
        <v>1</v>
      </c>
      <c r="G20912" t="n">
        <v>2</v>
      </c>
      <c r="H20912" s="5">
        <f>HYPERLINK("https://api.qogita.com/variants/link/3348901484909/", "View Product")</f>
        <v/>
      </c>
    </row>
    <row r="20913">
      <c r="A20913" t="inlineStr">
        <is>
          <t>3348901491228</t>
        </is>
      </c>
      <c r="B20913" t="inlineStr">
        <is>
          <t>Dior Addict Lip Glow Oil 006 Berry 6ml</t>
        </is>
      </c>
      <c r="C20913" t="inlineStr">
        <is>
          <t>Lip Gloss</t>
        </is>
      </c>
      <c r="D20913" t="inlineStr">
        <is>
          <t>Dior</t>
        </is>
      </c>
      <c r="E20913" t="n">
        <v>36.88</v>
      </c>
      <c r="F20913" t="n">
        <v>1</v>
      </c>
      <c r="G20913" t="n">
        <v>15</v>
      </c>
      <c r="H20913" s="5">
        <f>HYPERLINK("https://api.qogita.com/variants/link/3348901491228/", "View Product")</f>
        <v/>
      </c>
    </row>
    <row r="20914">
      <c r="A20914" t="inlineStr">
        <is>
          <t>3348901520065</t>
        </is>
      </c>
      <c r="B20914" t="inlineStr">
        <is>
          <t>Dior Sauvage Parfum Spray 200ml</t>
        </is>
      </c>
      <c r="C20914" t="inlineStr">
        <is>
          <t>Eau De Parfum</t>
        </is>
      </c>
      <c r="D20914" t="inlineStr">
        <is>
          <t>Dior</t>
        </is>
      </c>
      <c r="E20914" t="n">
        <v>183.42</v>
      </c>
      <c r="F20914" t="n">
        <v>1</v>
      </c>
      <c r="G20914" t="n">
        <v>2</v>
      </c>
      <c r="H20914" s="5">
        <f>HYPERLINK("https://api.qogita.com/variants/link/3348901520065/", "View Product")</f>
        <v/>
      </c>
    </row>
    <row r="20915">
      <c r="A20915" t="inlineStr">
        <is>
          <t>3348901523639</t>
        </is>
      </c>
      <c r="B20915" t="inlineStr">
        <is>
          <t>Dior Contour Lipliner Pencil 760 Favorite 12 G</t>
        </is>
      </c>
      <c r="C20915" t="inlineStr">
        <is>
          <t>Lip Liner</t>
        </is>
      </c>
      <c r="D20915" t="inlineStr">
        <is>
          <t>Dior</t>
        </is>
      </c>
      <c r="E20915" t="n">
        <v>19.97</v>
      </c>
      <c r="F20915" t="n">
        <v>1</v>
      </c>
      <c r="G20915" t="n">
        <v>2</v>
      </c>
      <c r="H20915" s="5">
        <f>HYPERLINK("https://api.qogita.com/variants/link/3348901523639/", "View Product")</f>
        <v/>
      </c>
    </row>
    <row r="20916">
      <c r="A20916" t="inlineStr">
        <is>
          <t>3348901561365</t>
        </is>
      </c>
      <c r="B20916" t="inlineStr">
        <is>
          <t>Dior Miss Dior Rose N'Roses Eau De Toilette Spray 150ml</t>
        </is>
      </c>
      <c r="C20916" t="inlineStr">
        <is>
          <t>Eau De Toilette</t>
        </is>
      </c>
      <c r="D20916" t="inlineStr">
        <is>
          <t>Dior</t>
        </is>
      </c>
      <c r="E20916" t="n">
        <v>141</v>
      </c>
      <c r="F20916" t="n">
        <v>1</v>
      </c>
      <c r="G20916" t="n">
        <v>9</v>
      </c>
      <c r="H20916" s="5">
        <f>HYPERLINK("https://api.qogita.com/variants/link/3348901561365/", "View Product")</f>
        <v/>
      </c>
    </row>
    <row r="20917">
      <c r="A20917" t="inlineStr">
        <is>
          <t>3348901561556</t>
        </is>
      </c>
      <c r="B20917" t="inlineStr">
        <is>
          <t>Dior Show Iconic Overcurl Waterproof Mascara 6 G</t>
        </is>
      </c>
      <c r="C20917" t="inlineStr">
        <is>
          <t>Mascara</t>
        </is>
      </c>
      <c r="D20917" t="inlineStr">
        <is>
          <t>Dior</t>
        </is>
      </c>
      <c r="E20917" t="n">
        <v>39.01</v>
      </c>
      <c r="F20917" t="n">
        <v>1</v>
      </c>
      <c r="G20917" t="n">
        <v>2</v>
      </c>
      <c r="H20917" s="5">
        <f>HYPERLINK("https://api.qogita.com/variants/link/3348901561556/", "View Product")</f>
        <v/>
      </c>
    </row>
    <row r="20918">
      <c r="A20918" t="inlineStr">
        <is>
          <t>3348901569859</t>
        </is>
      </c>
      <c r="B20918" t="inlineStr">
        <is>
          <t>Dior J'Adore Infinissime Eau De Parfum Spray 150ml</t>
        </is>
      </c>
      <c r="C20918" t="inlineStr">
        <is>
          <t>Eau De Parfum</t>
        </is>
      </c>
      <c r="D20918" t="inlineStr">
        <is>
          <t>Dior</t>
        </is>
      </c>
      <c r="E20918" t="n">
        <v>183.08</v>
      </c>
      <c r="F20918" t="n">
        <v>1</v>
      </c>
      <c r="G20918" t="n">
        <v>13</v>
      </c>
      <c r="H20918" s="5">
        <f>HYPERLINK("https://api.qogita.com/variants/link/3348901569859/", "View Product")</f>
        <v/>
      </c>
    </row>
    <row r="20919">
      <c r="A20919" t="inlineStr">
        <is>
          <t>3348901577380</t>
        </is>
      </c>
      <c r="B20919" t="inlineStr">
        <is>
          <t>Dior Forever Foundation Spf 20 0n Neutral 30ml Dior</t>
        </is>
      </c>
      <c r="C20919" t="inlineStr">
        <is>
          <t>Foundation</t>
        </is>
      </c>
      <c r="D20919" t="inlineStr">
        <is>
          <t>Dior</t>
        </is>
      </c>
      <c r="E20919" t="n">
        <v>47.05</v>
      </c>
      <c r="F20919" t="n">
        <v>1</v>
      </c>
      <c r="G20919" t="n">
        <v>29</v>
      </c>
      <c r="H20919" s="5">
        <f>HYPERLINK("https://api.qogita.com/variants/link/3348901577380/", "View Product")</f>
        <v/>
      </c>
    </row>
    <row r="20920">
      <c r="A20920" t="inlineStr">
        <is>
          <t>3348901580069</t>
        </is>
      </c>
      <c r="B20920" t="inlineStr">
        <is>
          <t>Dior Homme Sport Eau De Toilette 125ml Men Spray 2021 Edition</t>
        </is>
      </c>
      <c r="C20920" t="inlineStr">
        <is>
          <t>Eau De Toilette</t>
        </is>
      </c>
      <c r="D20920" t="inlineStr">
        <is>
          <t>Dior</t>
        </is>
      </c>
      <c r="E20920" t="n">
        <v>97.8</v>
      </c>
      <c r="F20920" t="n">
        <v>1</v>
      </c>
      <c r="G20920" t="n">
        <v>3</v>
      </c>
      <c r="H20920" s="5">
        <f>HYPERLINK("https://api.qogita.com/variants/link/3348901580069/", "View Product")</f>
        <v/>
      </c>
    </row>
    <row r="20921">
      <c r="A20921" t="inlineStr">
        <is>
          <t>3348901580076</t>
        </is>
      </c>
      <c r="B20921" t="inlineStr">
        <is>
          <t>Christian Dior Dior Homme Sport Eau De Toilette 75ml</t>
        </is>
      </c>
      <c r="C20921" t="inlineStr">
        <is>
          <t>Eau De Toilette</t>
        </is>
      </c>
      <c r="D20921" t="inlineStr">
        <is>
          <t>Dior</t>
        </is>
      </c>
      <c r="E20921" t="n">
        <v>78.51000000000001</v>
      </c>
      <c r="F20921" t="n">
        <v>1</v>
      </c>
      <c r="G20921" t="n">
        <v>9</v>
      </c>
      <c r="H20921" s="5">
        <f>HYPERLINK("https://api.qogita.com/variants/link/3348901580076/", "View Product")</f>
        <v/>
      </c>
    </row>
    <row r="20922">
      <c r="A20922" t="inlineStr">
        <is>
          <t>3348901588447</t>
        </is>
      </c>
      <c r="B20922" t="inlineStr">
        <is>
          <t>Dior Rouge Dior Forever Liquid Highly Pigmented Lipstick 6 Ml</t>
        </is>
      </c>
      <c r="C20922" t="inlineStr">
        <is>
          <t>Lipstick</t>
        </is>
      </c>
      <c r="D20922" t="inlineStr">
        <is>
          <t>Dior</t>
        </is>
      </c>
      <c r="E20922" t="n">
        <v>42.42</v>
      </c>
      <c r="F20922" t="n">
        <v>1</v>
      </c>
      <c r="G20922" t="n">
        <v>5</v>
      </c>
      <c r="H20922" s="5">
        <f>HYPERLINK("https://api.qogita.com/variants/link/3348901588447/", "View Product")</f>
        <v/>
      </c>
    </row>
    <row r="20923">
      <c r="A20923" t="inlineStr">
        <is>
          <t>3348901607339</t>
        </is>
      </c>
      <c r="B20923" t="inlineStr">
        <is>
          <t>Dior Longwear Powder Blush Nude Look 67g Longlasting Highly Pigmented Blush</t>
        </is>
      </c>
      <c r="C20923" t="inlineStr">
        <is>
          <t>Blush</t>
        </is>
      </c>
      <c r="D20923" t="inlineStr">
        <is>
          <t>Dior</t>
        </is>
      </c>
      <c r="E20923" t="n">
        <v>45.57</v>
      </c>
      <c r="F20923" t="n">
        <v>1</v>
      </c>
      <c r="G20923" t="n">
        <v>4</v>
      </c>
      <c r="H20923" s="5">
        <f>HYPERLINK("https://api.qogita.com/variants/link/3348901607339/", "View Product")</f>
        <v/>
      </c>
    </row>
    <row r="20924">
      <c r="A20924" t="inlineStr">
        <is>
          <t>3348901607391</t>
        </is>
      </c>
      <c r="B20924" t="inlineStr">
        <is>
          <t>Dior Rouge Longwear Couture Rouge 6g</t>
        </is>
      </c>
      <c r="C20924" t="inlineStr">
        <is>
          <t>Lipstick</t>
        </is>
      </c>
      <c r="D20924" t="inlineStr">
        <is>
          <t>Christian Dior</t>
        </is>
      </c>
      <c r="E20924" t="n">
        <v>47.36</v>
      </c>
      <c r="F20924" t="n">
        <v>1</v>
      </c>
      <c r="G20924" t="n">
        <v>4</v>
      </c>
      <c r="H20924" s="5">
        <f>HYPERLINK("https://api.qogita.com/variants/link/3348901607391/", "View Product")</f>
        <v/>
      </c>
    </row>
    <row r="20925">
      <c r="A20925" t="inlineStr">
        <is>
          <t>3348901607612</t>
        </is>
      </c>
      <c r="B20925" t="inlineStr">
        <is>
          <t>Dior Forever Natural Velvet Foundation 2n Neutral 10g</t>
        </is>
      </c>
      <c r="C20925" t="inlineStr">
        <is>
          <t>Foundation</t>
        </is>
      </c>
      <c r="D20925" t="inlineStr">
        <is>
          <t>Dior</t>
        </is>
      </c>
      <c r="E20925" t="n">
        <v>55.67</v>
      </c>
      <c r="F20925" t="n">
        <v>1</v>
      </c>
      <c r="G20925" t="n">
        <v>11</v>
      </c>
      <c r="H20925" s="5">
        <f>HYPERLINK("https://api.qogita.com/variants/link/3348901607612/", "View Product")</f>
        <v/>
      </c>
    </row>
    <row r="20926">
      <c r="A20926" t="inlineStr">
        <is>
          <t>3348901607957</t>
        </is>
      </c>
      <c r="B20926" t="inlineStr">
        <is>
          <t>Dior Rouge Blush Satin 959 Charnelle 67 G Longlasting Highly Pigmented Blush</t>
        </is>
      </c>
      <c r="C20926" t="inlineStr">
        <is>
          <t>Blush</t>
        </is>
      </c>
      <c r="D20926" t="inlineStr">
        <is>
          <t>Dior</t>
        </is>
      </c>
      <c r="E20926" t="n">
        <v>42.61</v>
      </c>
      <c r="F20926" t="n">
        <v>1</v>
      </c>
      <c r="G20926" t="n">
        <v>3</v>
      </c>
      <c r="H20926" s="5">
        <f>HYPERLINK("https://api.qogita.com/variants/link/3348901607957/", "View Product")</f>
        <v/>
      </c>
    </row>
    <row r="20927">
      <c r="A20927" t="inlineStr">
        <is>
          <t>3348901609784</t>
        </is>
      </c>
      <c r="B20927" t="inlineStr">
        <is>
          <t>Dior Addict Lipstick 329 Tie &amp; Dior 3.2g</t>
        </is>
      </c>
      <c r="C20927" t="inlineStr">
        <is>
          <t>Lipstick</t>
        </is>
      </c>
      <c r="D20927" t="inlineStr">
        <is>
          <t>Christian Dior</t>
        </is>
      </c>
      <c r="E20927" t="n">
        <v>39.9</v>
      </c>
      <c r="F20927" t="n">
        <v>1</v>
      </c>
      <c r="G20927" t="n">
        <v>5</v>
      </c>
      <c r="H20927" s="5">
        <f>HYPERLINK("https://api.qogita.com/variants/link/3348901609784/", "View Product")</f>
        <v/>
      </c>
    </row>
    <row r="20928">
      <c r="A20928" t="inlineStr">
        <is>
          <t>3348901618120</t>
        </is>
      </c>
      <c r="B20928" t="inlineStr">
        <is>
          <t>Rouge Dior Velvet Nº 300 Lipstick 3.5g</t>
        </is>
      </c>
      <c r="C20928" t="inlineStr">
        <is>
          <t>Lipstick</t>
        </is>
      </c>
      <c r="D20928" t="inlineStr">
        <is>
          <t>Dior</t>
        </is>
      </c>
      <c r="E20928" t="n">
        <v>34.28</v>
      </c>
      <c r="F20928" t="n">
        <v>1</v>
      </c>
      <c r="G20928" t="n">
        <v>5</v>
      </c>
      <c r="H20928" s="5">
        <f>HYPERLINK("https://api.qogita.com/variants/link/3348901618120/", "View Product")</f>
        <v/>
      </c>
    </row>
    <row r="20929">
      <c r="A20929" t="inlineStr">
        <is>
          <t>3348901624411</t>
        </is>
      </c>
      <c r="B20929" t="inlineStr">
        <is>
          <t>Dior Rouge Forever Liquid Lipstick 400 Forever Nude 6ml Highly Pigmented</t>
        </is>
      </c>
      <c r="C20929" t="inlineStr">
        <is>
          <t>Lipstick</t>
        </is>
      </c>
      <c r="D20929" t="inlineStr">
        <is>
          <t>Dior</t>
        </is>
      </c>
      <c r="E20929" t="n">
        <v>31.56</v>
      </c>
      <c r="F20929" t="n">
        <v>1</v>
      </c>
      <c r="G20929" t="n">
        <v>8</v>
      </c>
      <c r="H20929" s="5">
        <f>HYPERLINK("https://api.qogita.com/variants/link/3348901624411/", "View Product")</f>
        <v/>
      </c>
    </row>
    <row r="20930">
      <c r="A20930" t="inlineStr">
        <is>
          <t>3348901637596</t>
        </is>
      </c>
      <c r="B20930" t="inlineStr">
        <is>
          <t>Dior Forever Skin Correct Concealer 3 W Warm Fullcoverage Concealer 11 Ml</t>
        </is>
      </c>
      <c r="C20930" t="inlineStr">
        <is>
          <t>Concealer</t>
        </is>
      </c>
      <c r="D20930" t="inlineStr">
        <is>
          <t>Dior</t>
        </is>
      </c>
      <c r="E20930" t="n">
        <v>35.97</v>
      </c>
      <c r="F20930" t="n">
        <v>1</v>
      </c>
      <c r="G20930" t="n">
        <v>3</v>
      </c>
      <c r="H20930" s="5">
        <f>HYPERLINK("https://api.qogita.com/variants/link/3348901637596/", "View Product")</f>
        <v/>
      </c>
    </row>
    <row r="20931">
      <c r="A20931" t="inlineStr">
        <is>
          <t>3348901640084</t>
        </is>
      </c>
      <c r="B20931" t="inlineStr">
        <is>
          <t>Dior J'Adore Les Adorables Body Milk 200ml</t>
        </is>
      </c>
      <c r="C20931" t="inlineStr">
        <is>
          <t>Body Lotion</t>
        </is>
      </c>
      <c r="D20931" t="inlineStr">
        <is>
          <t>Dior</t>
        </is>
      </c>
      <c r="E20931" t="n">
        <v>49.74</v>
      </c>
      <c r="F20931" t="n">
        <v>1</v>
      </c>
      <c r="G20931" t="n">
        <v>22</v>
      </c>
      <c r="H20931" s="5">
        <f>HYPERLINK("https://api.qogita.com/variants/link/3348901640084/", "View Product")</f>
        <v/>
      </c>
    </row>
    <row r="20932">
      <c r="A20932" t="inlineStr">
        <is>
          <t>3348901640916</t>
        </is>
      </c>
      <c r="B20932" t="inlineStr">
        <is>
          <t>Dior Sauvage Elixir Eau De Parfum 100ml</t>
        </is>
      </c>
      <c r="C20932" t="inlineStr">
        <is>
          <t>Eau De Parfum</t>
        </is>
      </c>
      <c r="D20932" t="inlineStr">
        <is>
          <t>Dior</t>
        </is>
      </c>
      <c r="E20932" t="n">
        <v>183.98</v>
      </c>
      <c r="F20932" t="n">
        <v>1</v>
      </c>
      <c r="G20932" t="n">
        <v>5</v>
      </c>
      <c r="H20932" s="5">
        <f>HYPERLINK("https://api.qogita.com/variants/link/3348901640916/", "View Product")</f>
        <v/>
      </c>
    </row>
    <row r="20933">
      <c r="A20933" t="inlineStr">
        <is>
          <t>3348901641395</t>
        </is>
      </c>
      <c r="B20933" t="inlineStr">
        <is>
          <t>Dior Crme Fine 50ml Day Cream For Mixed To Oily Skin</t>
        </is>
      </c>
      <c r="C20933" t="inlineStr">
        <is>
          <t>Day Cream</t>
        </is>
      </c>
      <c r="D20933" t="inlineStr">
        <is>
          <t>Dior</t>
        </is>
      </c>
      <c r="E20933" t="n">
        <v>341.11</v>
      </c>
      <c r="F20933" t="n">
        <v>1</v>
      </c>
      <c r="G20933" t="n">
        <v>2</v>
      </c>
      <c r="H20933" s="5">
        <f>HYPERLINK("https://api.qogita.com/variants/link/3348901641395/", "View Product")</f>
        <v/>
      </c>
    </row>
    <row r="20934">
      <c r="A20934" t="inlineStr">
        <is>
          <t>3348901652520</t>
        </is>
      </c>
      <c r="B20934" t="inlineStr">
        <is>
          <t>Dior Le Baume Cream 50ml for Hands Lips Body - Brand New</t>
        </is>
      </c>
      <c r="C20934" t="inlineStr">
        <is>
          <t>Hand Cream</t>
        </is>
      </c>
      <c r="D20934" t="inlineStr">
        <is>
          <t>Dior</t>
        </is>
      </c>
      <c r="E20934" t="n">
        <v>47.39</v>
      </c>
      <c r="F20934" t="n">
        <v>1</v>
      </c>
      <c r="G20934" t="n">
        <v>2</v>
      </c>
      <c r="H20934" s="5">
        <f>HYPERLINK("https://api.qogita.com/variants/link/3348901652520/", "View Product")</f>
        <v/>
      </c>
    </row>
    <row r="20935">
      <c r="A20935" t="inlineStr">
        <is>
          <t>3348901658768</t>
        </is>
      </c>
      <c r="B20935" t="inlineStr">
        <is>
          <t>Dior Rouge Dior Lipstick Satin 350g Shade 100</t>
        </is>
      </c>
      <c r="C20935" t="inlineStr">
        <is>
          <t>Lipstick</t>
        </is>
      </c>
      <c r="D20935" t="inlineStr">
        <is>
          <t>Dior</t>
        </is>
      </c>
      <c r="E20935" t="n">
        <v>43.25</v>
      </c>
      <c r="F20935" t="n">
        <v>1</v>
      </c>
      <c r="G20935" t="n">
        <v>5</v>
      </c>
      <c r="H20935" s="5">
        <f>HYPERLINK("https://api.qogita.com/variants/link/3348901658768/", "View Product")</f>
        <v/>
      </c>
    </row>
    <row r="20936">
      <c r="A20936" t="inlineStr">
        <is>
          <t>3348901663151</t>
        </is>
      </c>
      <c r="B20936" t="inlineStr">
        <is>
          <t>Dior Diorshow Stage Crayon Black 099</t>
        </is>
      </c>
      <c r="C20936" t="inlineStr">
        <is>
          <t>Eye Pencil</t>
        </is>
      </c>
      <c r="D20936" t="inlineStr">
        <is>
          <t>Dior</t>
        </is>
      </c>
      <c r="E20936" t="n">
        <v>28.39</v>
      </c>
      <c r="F20936" t="n">
        <v>1</v>
      </c>
      <c r="G20936" t="n">
        <v>5</v>
      </c>
      <c r="H20936" s="5">
        <f>HYPERLINK("https://api.qogita.com/variants/link/3348901663151/", "View Product")</f>
        <v/>
      </c>
    </row>
    <row r="20937">
      <c r="A20937" t="inlineStr">
        <is>
          <t>3348901663168</t>
        </is>
      </c>
      <c r="B20937" t="inlineStr">
        <is>
          <t>Dior Dior Show On Stage Crayon Eye Pencil 254 Blue 12 G</t>
        </is>
      </c>
      <c r="C20937" t="inlineStr">
        <is>
          <t>Eye Pencil</t>
        </is>
      </c>
      <c r="D20937" t="inlineStr">
        <is>
          <t>Dior</t>
        </is>
      </c>
      <c r="E20937" t="n">
        <v>29.85</v>
      </c>
      <c r="F20937" t="n">
        <v>1</v>
      </c>
      <c r="G20937" t="n">
        <v>2</v>
      </c>
      <c r="H20937" s="5">
        <f>HYPERLINK("https://api.qogita.com/variants/link/3348901663168/", "View Product")</f>
        <v/>
      </c>
    </row>
    <row r="20938">
      <c r="A20938" t="inlineStr">
        <is>
          <t>3348901663205</t>
        </is>
      </c>
      <c r="B20938" t="inlineStr">
        <is>
          <t>Dior Diorshow On Stage Eyeliner Waterproof 12g Color Brick</t>
        </is>
      </c>
      <c r="C20938" t="inlineStr">
        <is>
          <t>Eyeliner</t>
        </is>
      </c>
      <c r="D20938" t="inlineStr">
        <is>
          <t>Dior</t>
        </is>
      </c>
      <c r="E20938" t="n">
        <v>22.61</v>
      </c>
      <c r="F20938" t="n">
        <v>1</v>
      </c>
      <c r="G20938" t="n">
        <v>4</v>
      </c>
      <c r="H20938" s="5">
        <f>HYPERLINK("https://api.qogita.com/variants/link/3348901663205/", "View Product")</f>
        <v/>
      </c>
    </row>
    <row r="20939">
      <c r="A20939" t="inlineStr">
        <is>
          <t>3348901663335</t>
        </is>
      </c>
      <c r="B20939" t="inlineStr">
        <is>
          <t>Dior Diorshow Iconic Overcurl Mascara 090 Black 6g</t>
        </is>
      </c>
      <c r="C20939" t="inlineStr">
        <is>
          <t>Mascara</t>
        </is>
      </c>
      <c r="D20939" t="inlineStr">
        <is>
          <t>Dior</t>
        </is>
      </c>
      <c r="E20939" t="n">
        <v>38.64</v>
      </c>
      <c r="F20939" t="n">
        <v>1</v>
      </c>
      <c r="G20939" t="n">
        <v>11</v>
      </c>
      <c r="H20939" s="5">
        <f>HYPERLINK("https://api.qogita.com/variants/link/3348901663335/", "View Product")</f>
        <v/>
      </c>
    </row>
    <row r="20940">
      <c r="A20940" t="inlineStr">
        <is>
          <t>3348901663441</t>
        </is>
      </c>
      <c r="B20940" t="inlineStr">
        <is>
          <t>Dior 5 Couleurs Couture Eyeshadow Palette 073 Pied De Poulle 7g</t>
        </is>
      </c>
      <c r="C20940" t="inlineStr">
        <is>
          <t>Eye Sets &amp; Pallets</t>
        </is>
      </c>
      <c r="D20940" t="inlineStr">
        <is>
          <t>Dior</t>
        </is>
      </c>
      <c r="E20940" t="n">
        <v>61.06</v>
      </c>
      <c r="F20940" t="n">
        <v>1</v>
      </c>
      <c r="G20940" t="n">
        <v>3</v>
      </c>
      <c r="H20940" s="5">
        <f>HYPERLINK("https://api.qogita.com/variants/link/3348901663441/", "View Product")</f>
        <v/>
      </c>
    </row>
    <row r="20941">
      <c r="A20941" t="inlineStr">
        <is>
          <t>3348901663557</t>
        </is>
      </c>
      <c r="B20941" t="inlineStr">
        <is>
          <t>Dior 5 Couleurs Couture Eyeshadow Palette 673 Red Tartan 7g</t>
        </is>
      </c>
      <c r="C20941" t="inlineStr">
        <is>
          <t>Eye Sets &amp; Pallets</t>
        </is>
      </c>
      <c r="D20941" t="inlineStr">
        <is>
          <t>Dior</t>
        </is>
      </c>
      <c r="E20941" t="n">
        <v>58.04</v>
      </c>
      <c r="F20941" t="n">
        <v>1</v>
      </c>
      <c r="G20941" t="n">
        <v>3</v>
      </c>
      <c r="H20941" s="5">
        <f>HYPERLINK("https://api.qogita.com/variants/link/3348901663557/", "View Product")</f>
        <v/>
      </c>
    </row>
    <row r="20942">
      <c r="A20942" t="inlineStr">
        <is>
          <t>3348901663700</t>
        </is>
      </c>
      <c r="B20942" t="inlineStr">
        <is>
          <t>Dior 5 Couleurs Couture Eyeshadow Palette 343 Khaki 7g</t>
        </is>
      </c>
      <c r="C20942" t="inlineStr">
        <is>
          <t>Eye Sets &amp; Pallets</t>
        </is>
      </c>
      <c r="D20942" t="inlineStr">
        <is>
          <t>Dior</t>
        </is>
      </c>
      <c r="E20942" t="n">
        <v>60.91</v>
      </c>
      <c r="F20942" t="n">
        <v>1</v>
      </c>
      <c r="G20942" t="n">
        <v>5</v>
      </c>
      <c r="H20942" s="5">
        <f>HYPERLINK("https://api.qogita.com/variants/link/3348901663700/", "View Product")</f>
        <v/>
      </c>
    </row>
    <row r="20943">
      <c r="A20943" t="inlineStr">
        <is>
          <t>3348901664653</t>
        </is>
      </c>
      <c r="B20943" t="inlineStr">
        <is>
          <t>Dior J'Adore L'Or Essence De Parfum 50ml</t>
        </is>
      </c>
      <c r="C20943" t="inlineStr">
        <is>
          <t>Eau De Parfum</t>
        </is>
      </c>
      <c r="D20943" t="inlineStr">
        <is>
          <t>Dior</t>
        </is>
      </c>
      <c r="E20943" t="n">
        <v>112.16</v>
      </c>
      <c r="F20943" t="n">
        <v>1</v>
      </c>
      <c r="G20943" t="n">
        <v>14</v>
      </c>
      <c r="H20943" s="5">
        <f>HYPERLINK("https://api.qogita.com/variants/link/3348901664653/", "View Product")</f>
        <v/>
      </c>
    </row>
    <row r="20944">
      <c r="A20944" t="inlineStr">
        <is>
          <t>3348901665827</t>
        </is>
      </c>
      <c r="B20944" t="inlineStr">
        <is>
          <t>Dior Backstage Rosy Glow Blush 004 Coral 44g</t>
        </is>
      </c>
      <c r="C20944" t="inlineStr">
        <is>
          <t>Blush</t>
        </is>
      </c>
      <c r="D20944" t="inlineStr">
        <is>
          <t>Dior</t>
        </is>
      </c>
      <c r="E20944" t="n">
        <v>36.73</v>
      </c>
      <c r="F20944" t="n">
        <v>1</v>
      </c>
      <c r="G20944" t="n">
        <v>7</v>
      </c>
      <c r="H20944" s="5">
        <f>HYPERLINK("https://api.qogita.com/variants/link/3348901665827/", "View Product")</f>
        <v/>
      </c>
    </row>
    <row r="20945">
      <c r="A20945" t="inlineStr">
        <is>
          <t>3348901670371</t>
        </is>
      </c>
      <c r="B20945" t="inlineStr">
        <is>
          <t>Dior Forever Skin Perfect Multi-Use Foundation Stick - 10 G</t>
        </is>
      </c>
      <c r="C20945" t="inlineStr">
        <is>
          <t>Foundation</t>
        </is>
      </c>
      <c r="D20945" t="inlineStr">
        <is>
          <t>Dior</t>
        </is>
      </c>
      <c r="E20945" t="n">
        <v>51.64</v>
      </c>
      <c r="F20945" t="n">
        <v>1</v>
      </c>
      <c r="G20945" t="n">
        <v>3</v>
      </c>
      <c r="H20945" s="5">
        <f>HYPERLINK("https://api.qogita.com/variants/link/3348901670371/", "View Product")</f>
        <v/>
      </c>
    </row>
    <row r="20946">
      <c r="A20946" t="inlineStr">
        <is>
          <t>3348901672184</t>
        </is>
      </c>
      <c r="B20946" t="inlineStr">
        <is>
          <t>Dior Vernis Nail Lacquer Huile Abricot 10ml</t>
        </is>
      </c>
      <c r="C20946" t="inlineStr">
        <is>
          <t>Nail Polish</t>
        </is>
      </c>
      <c r="D20946" t="inlineStr">
        <is>
          <t>Dior</t>
        </is>
      </c>
      <c r="E20946" t="n">
        <v>29.03</v>
      </c>
      <c r="F20946" t="n">
        <v>1</v>
      </c>
      <c r="G20946" t="n">
        <v>5</v>
      </c>
      <c r="H20946" s="5">
        <f>HYPERLINK("https://api.qogita.com/variants/link/3348901672184/", "View Product")</f>
        <v/>
      </c>
    </row>
    <row r="20947">
      <c r="A20947" t="inlineStr">
        <is>
          <t>3348901678360</t>
        </is>
      </c>
      <c r="B20947" t="inlineStr">
        <is>
          <t>Dior Vernis Nail Polish 513 Jadore 10 Ml</t>
        </is>
      </c>
      <c r="C20947" t="inlineStr">
        <is>
          <t>Nail Polish</t>
        </is>
      </c>
      <c r="D20947" t="inlineStr">
        <is>
          <t>Dior</t>
        </is>
      </c>
      <c r="E20947" t="n">
        <v>24.43</v>
      </c>
      <c r="F20947" t="n">
        <v>1</v>
      </c>
      <c r="G20947" t="n">
        <v>4</v>
      </c>
      <c r="H20947" s="5">
        <f>HYPERLINK("https://api.qogita.com/variants/link/3348901678360/", "View Product")</f>
        <v/>
      </c>
    </row>
    <row r="20948">
      <c r="A20948" t="inlineStr">
        <is>
          <t>3348901682534</t>
        </is>
      </c>
      <c r="B20948" t="inlineStr">
        <is>
          <t>Christian Dior Dior Homme Parfum - Men's Fragrance</t>
        </is>
      </c>
      <c r="C20948" t="inlineStr">
        <is>
          <t>Eau De Parfum</t>
        </is>
      </c>
      <c r="D20948" t="inlineStr">
        <is>
          <t>Christian Dior</t>
        </is>
      </c>
      <c r="E20948" t="n">
        <v>101.68</v>
      </c>
      <c r="F20948" t="n">
        <v>1</v>
      </c>
      <c r="G20948" t="n">
        <v>2</v>
      </c>
      <c r="H20948" s="5">
        <f>HYPERLINK("https://api.qogita.com/variants/link/3348901682534/", "View Product")</f>
        <v/>
      </c>
    </row>
    <row r="20949">
      <c r="A20949" t="inlineStr">
        <is>
          <t>3348901695404</t>
        </is>
      </c>
      <c r="B20949" t="inlineStr">
        <is>
          <t>Dior Rouge Forever Lipstick Stick No 729 Longlasting Lipstick 32 Grams</t>
        </is>
      </c>
      <c r="C20949" t="inlineStr">
        <is>
          <t>Lipstick</t>
        </is>
      </c>
      <c r="D20949" t="inlineStr">
        <is>
          <t>Dior</t>
        </is>
      </c>
      <c r="E20949" t="n">
        <v>36.47</v>
      </c>
      <c r="F20949" t="n">
        <v>1</v>
      </c>
      <c r="G20949" t="n">
        <v>7</v>
      </c>
      <c r="H20949" s="5">
        <f>HYPERLINK("https://api.qogita.com/variants/link/3348901695404/", "View Product")</f>
        <v/>
      </c>
    </row>
    <row r="20950">
      <c r="A20950" t="inlineStr">
        <is>
          <t>3348901701921</t>
        </is>
      </c>
      <c r="B20950" t="inlineStr">
        <is>
          <t>Dior Diorshow Mono Color Eyeshadow High Color Long Lasting 2 G</t>
        </is>
      </c>
      <c r="C20950" t="inlineStr">
        <is>
          <t>Eyeshadow</t>
        </is>
      </c>
      <c r="D20950" t="inlineStr">
        <is>
          <t>Dior</t>
        </is>
      </c>
      <c r="E20950" t="n">
        <v>34.91</v>
      </c>
      <c r="F20950" t="n">
        <v>1</v>
      </c>
      <c r="G20950" t="n">
        <v>2</v>
      </c>
      <c r="H20950" s="5">
        <f>HYPERLINK("https://api.qogita.com/variants/link/3348901701921/", "View Product")</f>
        <v/>
      </c>
    </row>
    <row r="20951">
      <c r="A20951" t="inlineStr">
        <is>
          <t>3348901703611</t>
        </is>
      </c>
      <c r="B20951" t="inlineStr">
        <is>
          <t>Dior Diorshow 24h Stylo Waterproof Eyeliner Matte Black 03g</t>
        </is>
      </c>
      <c r="C20951" t="inlineStr">
        <is>
          <t>Eyeliner</t>
        </is>
      </c>
      <c r="D20951" t="inlineStr">
        <is>
          <t>Dior</t>
        </is>
      </c>
      <c r="E20951" t="n">
        <v>29.04</v>
      </c>
      <c r="F20951" t="n">
        <v>1</v>
      </c>
      <c r="G20951" t="n">
        <v>6</v>
      </c>
      <c r="H20951" s="5">
        <f>HYPERLINK("https://api.qogita.com/variants/link/3348901703611/", "View Product")</f>
        <v/>
      </c>
    </row>
    <row r="20952">
      <c r="A20952" t="inlineStr">
        <is>
          <t>3348901709477</t>
        </is>
      </c>
      <c r="B20952" t="inlineStr">
        <is>
          <t>Dior Eyeshadow Mono Couleur Couture 2 Grams</t>
        </is>
      </c>
      <c r="C20952" t="inlineStr">
        <is>
          <t>Eyeshadow</t>
        </is>
      </c>
      <c r="D20952" t="inlineStr">
        <is>
          <t>Dior</t>
        </is>
      </c>
      <c r="E20952" t="n">
        <v>31.65</v>
      </c>
      <c r="F20952" t="n">
        <v>1</v>
      </c>
      <c r="G20952" t="n">
        <v>3</v>
      </c>
      <c r="H20952" s="5">
        <f>HYPERLINK("https://api.qogita.com/variants/link/3348901709477/", "View Product")</f>
        <v/>
      </c>
    </row>
    <row r="20953">
      <c r="A20953" t="inlineStr">
        <is>
          <t>3348901725606</t>
        </is>
      </c>
      <c r="B20953" t="inlineStr">
        <is>
          <t>Christian Dior Rouge Dior Floral Care Balm - Natural Couture Color - Rechargeable - 000 Diornatural Satin</t>
        </is>
      </c>
      <c r="C20953" t="inlineStr">
        <is>
          <t>Lip Balm</t>
        </is>
      </c>
      <c r="D20953" t="inlineStr">
        <is>
          <t>Christian Dior</t>
        </is>
      </c>
      <c r="E20953" t="n">
        <v>43.2</v>
      </c>
      <c r="F20953" t="n">
        <v>1</v>
      </c>
      <c r="G20953" t="n">
        <v>8</v>
      </c>
      <c r="H20953" s="5">
        <f>HYPERLINK("https://api.qogita.com/variants/link/3348901725606/", "View Product")</f>
        <v/>
      </c>
    </row>
    <row r="20954">
      <c r="A20954" t="inlineStr">
        <is>
          <t>3348901729307</t>
        </is>
      </c>
      <c r="B20954" t="inlineStr">
        <is>
          <t>Christian Dior Rouge Blush Colour &amp; Glow</t>
        </is>
      </c>
      <c r="C20954" t="inlineStr">
        <is>
          <t>Blush</t>
        </is>
      </c>
      <c r="D20954" t="inlineStr">
        <is>
          <t>Christian Dior</t>
        </is>
      </c>
      <c r="E20954" t="n">
        <v>52.36</v>
      </c>
      <c r="F20954" t="n">
        <v>1</v>
      </c>
      <c r="G20954" t="n">
        <v>5</v>
      </c>
      <c r="H20954" s="5">
        <f>HYPERLINK("https://api.qogita.com/variants/link/3348901729307/", "View Product")</f>
        <v/>
      </c>
    </row>
    <row r="20955">
      <c r="A20955" t="inlineStr">
        <is>
          <t>3348901734035</t>
        </is>
      </c>
      <c r="B20955" t="inlineStr">
        <is>
          <t>Christian Dior Dior Rouge Dior Contour Lipliner 1 G</t>
        </is>
      </c>
      <c r="C20955" t="inlineStr">
        <is>
          <t>Lip Liner</t>
        </is>
      </c>
      <c r="D20955" t="inlineStr">
        <is>
          <t>Christian Dior</t>
        </is>
      </c>
      <c r="E20955" t="n">
        <v>25.01</v>
      </c>
      <c r="F20955" t="n">
        <v>1</v>
      </c>
      <c r="G20955" t="n">
        <v>5</v>
      </c>
      <c r="H20955" s="5">
        <f>HYPERLINK("https://api.qogita.com/variants/link/3348901734035/", "View Product")</f>
        <v/>
      </c>
    </row>
    <row r="20956">
      <c r="A20956" t="inlineStr">
        <is>
          <t>3348901738200</t>
        </is>
      </c>
      <c r="B20956" t="inlineStr">
        <is>
          <t>Dior I Love Eau De Parfum 2025 - 30ml</t>
        </is>
      </c>
      <c r="C20956" t="inlineStr">
        <is>
          <t>Eau De Parfum</t>
        </is>
      </c>
      <c r="D20956" t="inlineStr">
        <is>
          <t>Dior</t>
        </is>
      </c>
      <c r="E20956" t="n">
        <v>66.38</v>
      </c>
      <c r="F20956" t="n">
        <v>1</v>
      </c>
      <c r="G20956" t="n">
        <v>14</v>
      </c>
      <c r="H20956" s="5">
        <f>HYPERLINK("https://api.qogita.com/variants/link/3348901738200/", "View Product")</f>
        <v/>
      </c>
    </row>
    <row r="20957">
      <c r="A20957" t="inlineStr">
        <is>
          <t>3348901756488</t>
        </is>
      </c>
      <c r="B20957" t="inlineStr">
        <is>
          <t>Dior Diorshow Liquid Liner 0.55ml - Shimmer Green 301</t>
        </is>
      </c>
      <c r="C20957" t="inlineStr">
        <is>
          <t>Eyeliner</t>
        </is>
      </c>
      <c r="D20957" t="inlineStr">
        <is>
          <t>Dior</t>
        </is>
      </c>
      <c r="E20957" t="n">
        <v>40.78</v>
      </c>
      <c r="F20957" t="n">
        <v>1</v>
      </c>
      <c r="G20957" t="n">
        <v>3</v>
      </c>
      <c r="H20957" s="5">
        <f>HYPERLINK("https://api.qogita.com/variants/link/3348901756488/", "View Product")</f>
        <v/>
      </c>
    </row>
    <row r="20958">
      <c r="A20958" t="inlineStr">
        <is>
          <t>3348901756495</t>
        </is>
      </c>
      <c r="B20958" t="inlineStr">
        <is>
          <t>Dior Diorshow Liquid Liner - Pearly Emerald 386, 0.55ml</t>
        </is>
      </c>
      <c r="C20958" t="inlineStr">
        <is>
          <t>Eyeliner</t>
        </is>
      </c>
      <c r="D20958" t="inlineStr">
        <is>
          <t>Dior</t>
        </is>
      </c>
      <c r="E20958" t="n">
        <v>40.78</v>
      </c>
      <c r="F20958" t="n">
        <v>1</v>
      </c>
      <c r="G20958" t="n">
        <v>3</v>
      </c>
      <c r="H20958" s="5">
        <f>HYPERLINK("https://api.qogita.com/variants/link/3348901756495/", "View Product")</f>
        <v/>
      </c>
    </row>
    <row r="20959">
      <c r="A20959" t="inlineStr">
        <is>
          <t>3348901756525</t>
        </is>
      </c>
      <c r="B20959" t="inlineStr">
        <is>
          <t>Dior Diorshow Liquid Liner 0.55ml - Shimmer Rose 801</t>
        </is>
      </c>
      <c r="C20959" t="inlineStr">
        <is>
          <t>Eyeliner</t>
        </is>
      </c>
      <c r="D20959" t="inlineStr">
        <is>
          <t>Dior</t>
        </is>
      </c>
      <c r="E20959" t="n">
        <v>40.78</v>
      </c>
      <c r="F20959" t="n">
        <v>1</v>
      </c>
      <c r="G20959" t="n">
        <v>3</v>
      </c>
      <c r="H20959" s="5">
        <f>HYPERLINK("https://api.qogita.com/variants/link/3348901756525/", "View Product")</f>
        <v/>
      </c>
    </row>
    <row r="20960">
      <c r="A20960" t="inlineStr">
        <is>
          <t>3348901757874</t>
        </is>
      </c>
      <c r="B20960" t="inlineStr">
        <is>
          <t>Dior Addict Refill Hydrating Shine Lipstick Intense Color 3.2g - 120 Pink Callisto</t>
        </is>
      </c>
      <c r="C20960" t="inlineStr">
        <is>
          <t>Lipstick</t>
        </is>
      </c>
      <c r="D20960" t="inlineStr">
        <is>
          <t>Dior</t>
        </is>
      </c>
      <c r="E20960" t="n">
        <v>34.11</v>
      </c>
      <c r="F20960" t="n">
        <v>1</v>
      </c>
      <c r="G20960" t="n">
        <v>5</v>
      </c>
      <c r="H20960" s="5">
        <f>HYPERLINK("https://api.qogita.com/variants/link/3348901757874/", "View Product")</f>
        <v/>
      </c>
    </row>
    <row r="20961">
      <c r="A20961" t="inlineStr">
        <is>
          <t>3349666009840</t>
        </is>
      </c>
      <c r="B20961" t="inlineStr">
        <is>
          <t>Paco Rabanne Black XS For Women Eau de Toilette Perfume Spray EDT 2.7oz Vintage</t>
        </is>
      </c>
      <c r="C20961" t="inlineStr">
        <is>
          <t>Eau De Toilette</t>
        </is>
      </c>
      <c r="D20961" t="inlineStr">
        <is>
          <t>Paco Rabanne</t>
        </is>
      </c>
      <c r="E20961" t="n">
        <v>32.02</v>
      </c>
      <c r="F20961" t="n">
        <v>1</v>
      </c>
      <c r="G20961" t="n">
        <v>2</v>
      </c>
      <c r="H20961" s="5">
        <f>HYPERLINK("https://api.qogita.com/variants/link/3349666009840/", "View Product")</f>
        <v/>
      </c>
    </row>
    <row r="20962">
      <c r="A20962" t="inlineStr">
        <is>
          <t>3349666010532</t>
        </is>
      </c>
      <c r="B20962" t="inlineStr">
        <is>
          <t>Paco Rabanne Ultraviolet Eau De Parfum 80ml For Women</t>
        </is>
      </c>
      <c r="C20962" t="inlineStr">
        <is>
          <t>Eau De Parfum</t>
        </is>
      </c>
      <c r="D20962" t="inlineStr">
        <is>
          <t>Paco Rabanne</t>
        </is>
      </c>
      <c r="E20962" t="n">
        <v>36.17</v>
      </c>
      <c r="F20962" t="n">
        <v>1</v>
      </c>
      <c r="G20962" t="n">
        <v>49</v>
      </c>
      <c r="H20962" s="5">
        <f>HYPERLINK("https://api.qogita.com/variants/link/3349666010532/", "View Product")</f>
        <v/>
      </c>
    </row>
    <row r="20963">
      <c r="A20963" t="inlineStr">
        <is>
          <t>3349668022304</t>
        </is>
      </c>
      <c r="B20963" t="inlineStr">
        <is>
          <t>Pour Homme by Paco Rabanne Aftershave For Men 100ml</t>
        </is>
      </c>
      <c r="C20963" t="inlineStr">
        <is>
          <t>Aftershave</t>
        </is>
      </c>
      <c r="D20963" t="inlineStr">
        <is>
          <t>Paco Rabanne</t>
        </is>
      </c>
      <c r="E20963" t="n">
        <v>21.74</v>
      </c>
      <c r="F20963" t="n">
        <v>1</v>
      </c>
      <c r="G20963" t="n">
        <v>1235</v>
      </c>
      <c r="H20963" s="5">
        <f>HYPERLINK("https://api.qogita.com/variants/link/3349668022304/", "View Product")</f>
        <v/>
      </c>
    </row>
    <row r="20964">
      <c r="A20964" t="inlineStr">
        <is>
          <t>3349668111343</t>
        </is>
      </c>
      <c r="B20964" t="inlineStr">
        <is>
          <t>Xs 100ml Eau De Toilette Spray for Men</t>
        </is>
      </c>
      <c r="C20964" t="inlineStr">
        <is>
          <t>Eau De Toilette</t>
        </is>
      </c>
      <c r="D20964" t="inlineStr">
        <is>
          <t>Paco Rabanne</t>
        </is>
      </c>
      <c r="E20964" t="n">
        <v>29.18</v>
      </c>
      <c r="F20964" t="n">
        <v>1</v>
      </c>
      <c r="G20964" t="n">
        <v>194</v>
      </c>
      <c r="H20964" s="5">
        <f>HYPERLINK("https://api.qogita.com/variants/link/3349668111343/", "View Product")</f>
        <v/>
      </c>
    </row>
    <row r="20965">
      <c r="A20965" t="inlineStr">
        <is>
          <t>3349668161348</t>
        </is>
      </c>
      <c r="B20965" t="inlineStr">
        <is>
          <t>Paco Rabanne Black Xs Eau De Toilette 100ml For Men</t>
        </is>
      </c>
      <c r="C20965" t="inlineStr">
        <is>
          <t>Eau De Toilette</t>
        </is>
      </c>
      <c r="D20965" t="inlineStr">
        <is>
          <t>Paco Rabanne</t>
        </is>
      </c>
      <c r="E20965" t="n">
        <v>43.64</v>
      </c>
      <c r="F20965" t="n">
        <v>1</v>
      </c>
      <c r="G20965" t="n">
        <v>86</v>
      </c>
      <c r="H20965" s="5">
        <f>HYPERLINK("https://api.qogita.com/variants/link/3349668161348/", "View Product")</f>
        <v/>
      </c>
    </row>
    <row r="20966">
      <c r="A20966" t="inlineStr">
        <is>
          <t>3349668508471</t>
        </is>
      </c>
      <c r="B20966" t="inlineStr">
        <is>
          <t>Paco Rabanne Lady Million Eau De Parfum Spray 30ml</t>
        </is>
      </c>
      <c r="C20966" t="inlineStr">
        <is>
          <t>Eau De Parfum</t>
        </is>
      </c>
      <c r="D20966" t="inlineStr">
        <is>
          <t>Paco Rabanne</t>
        </is>
      </c>
      <c r="E20966" t="n">
        <v>37.57</v>
      </c>
      <c r="F20966" t="n">
        <v>1</v>
      </c>
      <c r="G20966" t="n">
        <v>4</v>
      </c>
      <c r="H20966" s="5">
        <f>HYPERLINK("https://api.qogita.com/variants/link/3349668508471/", "View Product")</f>
        <v/>
      </c>
    </row>
    <row r="20967">
      <c r="A20967" t="inlineStr">
        <is>
          <t>3349668515660</t>
        </is>
      </c>
      <c r="B20967" t="inlineStr">
        <is>
          <t>Paco Rabanne Invictus Eau De Toilette Spray 100ml</t>
        </is>
      </c>
      <c r="C20967" t="inlineStr">
        <is>
          <t>Eau De Toilette</t>
        </is>
      </c>
      <c r="D20967" t="inlineStr">
        <is>
          <t>Paco Rabanne</t>
        </is>
      </c>
      <c r="E20967" t="n">
        <v>64.38</v>
      </c>
      <c r="F20967" t="n">
        <v>1</v>
      </c>
      <c r="G20967" t="n">
        <v>11</v>
      </c>
      <c r="H20967" s="5">
        <f>HYPERLINK("https://api.qogita.com/variants/link/3349668515660/", "View Product")</f>
        <v/>
      </c>
    </row>
    <row r="20968">
      <c r="A20968" t="inlineStr">
        <is>
          <t>3349668528721</t>
        </is>
      </c>
      <c r="B20968" t="inlineStr">
        <is>
          <t>Paco Rabanne Olympea Body Lotion 200ml</t>
        </is>
      </c>
      <c r="C20968" t="inlineStr">
        <is>
          <t>Body Lotion</t>
        </is>
      </c>
      <c r="D20968" t="inlineStr">
        <is>
          <t>Paco Rabanne</t>
        </is>
      </c>
      <c r="E20968" t="n">
        <v>22.64</v>
      </c>
      <c r="F20968" t="n">
        <v>1</v>
      </c>
      <c r="G20968" t="n">
        <v>14</v>
      </c>
      <c r="H20968" s="5">
        <f>HYPERLINK("https://api.qogita.com/variants/link/3349668528721/", "View Product")</f>
        <v/>
      </c>
    </row>
    <row r="20969">
      <c r="A20969" t="inlineStr">
        <is>
          <t>3349668528745</t>
        </is>
      </c>
      <c r="B20969" t="inlineStr">
        <is>
          <t>Paco Rabanne Olympea Deodorant Spray 150ml</t>
        </is>
      </c>
      <c r="C20969" t="inlineStr">
        <is>
          <t>Deodorant &amp; Anti-Perspirant</t>
        </is>
      </c>
      <c r="D20969" t="inlineStr">
        <is>
          <t>Paco Rabanne</t>
        </is>
      </c>
      <c r="E20969" t="n">
        <v>24.69</v>
      </c>
      <c r="F20969" t="n">
        <v>1</v>
      </c>
      <c r="G20969" t="n">
        <v>5</v>
      </c>
      <c r="H20969" s="5">
        <f>HYPERLINK("https://api.qogita.com/variants/link/3349668528745/", "View Product")</f>
        <v/>
      </c>
    </row>
    <row r="20970">
      <c r="A20970" t="inlineStr">
        <is>
          <t>3349668555093</t>
        </is>
      </c>
      <c r="B20970" t="inlineStr">
        <is>
          <t>Black Xs Paco Rabanne Women's Perfume 50ml EDP Spray</t>
        </is>
      </c>
      <c r="C20970" t="inlineStr">
        <is>
          <t>Eau De Parfum</t>
        </is>
      </c>
      <c r="D20970" t="inlineStr">
        <is>
          <t>Paco Rabanne</t>
        </is>
      </c>
      <c r="E20970" t="n">
        <v>47.15</v>
      </c>
      <c r="F20970" t="n">
        <v>1</v>
      </c>
      <c r="G20970" t="n">
        <v>3</v>
      </c>
      <c r="H20970" s="5">
        <f>HYPERLINK("https://api.qogita.com/variants/link/3349668555093/", "View Product")</f>
        <v/>
      </c>
    </row>
    <row r="20971">
      <c r="A20971" t="inlineStr">
        <is>
          <t>3349668555123</t>
        </is>
      </c>
      <c r="B20971" t="inlineStr">
        <is>
          <t>Paco Rabanne Black XS Her EDP Vapo 30ml</t>
        </is>
      </c>
      <c r="C20971" t="inlineStr">
        <is>
          <t>Eau De Parfum</t>
        </is>
      </c>
      <c r="D20971" t="inlineStr">
        <is>
          <t>Paco Rabanne</t>
        </is>
      </c>
      <c r="E20971" t="n">
        <v>36.39</v>
      </c>
      <c r="F20971" t="n">
        <v>1</v>
      </c>
      <c r="G20971" t="n">
        <v>2</v>
      </c>
      <c r="H20971" s="5">
        <f>HYPERLINK("https://api.qogita.com/variants/link/3349668555123/", "View Product")</f>
        <v/>
      </c>
    </row>
    <row r="20972">
      <c r="A20972" t="inlineStr">
        <is>
          <t>3349668566372</t>
        </is>
      </c>
      <c r="B20972" t="inlineStr">
        <is>
          <t>Paco Rabanne 1 Million Men Eau De Toilette Spray 200ml</t>
        </is>
      </c>
      <c r="C20972" t="inlineStr">
        <is>
          <t>Eau De Toilette</t>
        </is>
      </c>
      <c r="D20972" t="inlineStr">
        <is>
          <t>Paco Rabanne</t>
        </is>
      </c>
      <c r="E20972" t="n">
        <v>81.3</v>
      </c>
      <c r="F20972" t="n">
        <v>1</v>
      </c>
      <c r="G20972" t="n">
        <v>950</v>
      </c>
      <c r="H20972" s="5">
        <f>HYPERLINK("https://api.qogita.com/variants/link/3349668566372/", "View Product")</f>
        <v/>
      </c>
    </row>
    <row r="20973">
      <c r="A20973" t="inlineStr">
        <is>
          <t>3349668568093</t>
        </is>
      </c>
      <c r="B20973" t="inlineStr">
        <is>
          <t>Paco Rabanne Olympea Eau De Parfum Spray 50ml</t>
        </is>
      </c>
      <c r="C20973" t="inlineStr">
        <is>
          <t>Eau De Parfum</t>
        </is>
      </c>
      <c r="D20973" t="inlineStr">
        <is>
          <t>Paco Rabanne</t>
        </is>
      </c>
      <c r="E20973" t="n">
        <v>49.23</v>
      </c>
      <c r="F20973" t="n">
        <v>1</v>
      </c>
      <c r="G20973" t="n">
        <v>62</v>
      </c>
      <c r="H20973" s="5">
        <f>HYPERLINK("https://api.qogita.com/variants/link/3349668568093/", "View Product")</f>
        <v/>
      </c>
    </row>
    <row r="20974">
      <c r="A20974" t="inlineStr">
        <is>
          <t>3349668576111</t>
        </is>
      </c>
      <c r="B20974" t="inlineStr">
        <is>
          <t>Paco Rabanne Black Xs Eau De Toilette 100ml For Men</t>
        </is>
      </c>
      <c r="C20974" t="inlineStr">
        <is>
          <t>Eau De Toilette</t>
        </is>
      </c>
      <c r="D20974" t="inlineStr">
        <is>
          <t>Paco Rabanne</t>
        </is>
      </c>
      <c r="E20974" t="n">
        <v>46.23</v>
      </c>
      <c r="F20974" t="n">
        <v>1</v>
      </c>
      <c r="G20974" t="n">
        <v>26</v>
      </c>
      <c r="H20974" s="5">
        <f>HYPERLINK("https://api.qogita.com/variants/link/3349668576111/", "View Product")</f>
        <v/>
      </c>
    </row>
    <row r="20975">
      <c r="A20975" t="inlineStr">
        <is>
          <t>3349668576128</t>
        </is>
      </c>
      <c r="B20975" t="inlineStr">
        <is>
          <t>Paco Rabanne Black Xs Eau De Toilette Spray 50ml</t>
        </is>
      </c>
      <c r="C20975" t="inlineStr">
        <is>
          <t>Eau De Toilette</t>
        </is>
      </c>
      <c r="D20975" t="inlineStr">
        <is>
          <t>Paco Rabanne</t>
        </is>
      </c>
      <c r="E20975" t="n">
        <v>37.73</v>
      </c>
      <c r="F20975" t="n">
        <v>1</v>
      </c>
      <c r="G20975" t="n">
        <v>3</v>
      </c>
      <c r="H20975" s="5">
        <f>HYPERLINK("https://api.qogita.com/variants/link/3349668576128/", "View Product")</f>
        <v/>
      </c>
    </row>
    <row r="20976">
      <c r="A20976" t="inlineStr">
        <is>
          <t>3349668576173</t>
        </is>
      </c>
      <c r="B20976" t="inlineStr">
        <is>
          <t>Paco Rabanne Pure Xs Eau De Toilette Spray 100ml For Men</t>
        </is>
      </c>
      <c r="C20976" t="inlineStr">
        <is>
          <t>Eau De Toilette</t>
        </is>
      </c>
      <c r="D20976" t="inlineStr">
        <is>
          <t>Paco Rabanne</t>
        </is>
      </c>
      <c r="E20976" t="n">
        <v>56.02</v>
      </c>
      <c r="F20976" t="n">
        <v>1</v>
      </c>
      <c r="G20976" t="n">
        <v>84</v>
      </c>
      <c r="H20976" s="5">
        <f>HYPERLINK("https://api.qogita.com/variants/link/3349668576173/", "View Product")</f>
        <v/>
      </c>
    </row>
    <row r="20977">
      <c r="A20977" t="inlineStr">
        <is>
          <t>3349668579839</t>
        </is>
      </c>
      <c r="B20977" t="inlineStr">
        <is>
          <t>Paco Rabanne 1 Million Parfum Eau De Parfum 100ml</t>
        </is>
      </c>
      <c r="C20977" t="inlineStr">
        <is>
          <t>Eau De Parfum</t>
        </is>
      </c>
      <c r="D20977" t="inlineStr">
        <is>
          <t>Paco Rabanne</t>
        </is>
      </c>
      <c r="E20977" t="n">
        <v>76.88</v>
      </c>
      <c r="F20977" t="n">
        <v>1</v>
      </c>
      <c r="G20977" t="n">
        <v>29</v>
      </c>
      <c r="H20977" s="5">
        <f>HYPERLINK("https://api.qogita.com/variants/link/3349668579839/", "View Product")</f>
        <v/>
      </c>
    </row>
    <row r="20978">
      <c r="A20978" t="inlineStr">
        <is>
          <t>0018084065341</t>
        </is>
      </c>
      <c r="B20978" t="inlineStr">
        <is>
          <t>Aveda Botanical Repair Strengthen And Smooth Styling Essentials Hair Care Gift Set</t>
        </is>
      </c>
      <c r="C20978" t="inlineStr">
        <is>
          <t>Hair Care Sets</t>
        </is>
      </c>
      <c r="D20978" t="inlineStr">
        <is>
          <t>Aveda</t>
        </is>
      </c>
      <c r="E20978" t="n">
        <v>54.89</v>
      </c>
      <c r="F20978" t="n">
        <v>1</v>
      </c>
      <c r="G20978" t="n">
        <v>36</v>
      </c>
      <c r="H20978" s="5">
        <f>HYPERLINK("https://api.qogita.com/variants/link/0018084065341/", "View Product")</f>
        <v/>
      </c>
    </row>
    <row r="20979">
      <c r="A20979" t="inlineStr">
        <is>
          <t>0018084850930</t>
        </is>
      </c>
      <c r="B20979" t="inlineStr">
        <is>
          <t>Aveda Men Pure-Formance Shampoo Mint 300ml</t>
        </is>
      </c>
      <c r="C20979" t="inlineStr">
        <is>
          <t>Shampoo</t>
        </is>
      </c>
      <c r="D20979" t="inlineStr">
        <is>
          <t>Aveda</t>
        </is>
      </c>
      <c r="E20979" t="n">
        <v>23.9</v>
      </c>
      <c r="F20979" t="n">
        <v>1</v>
      </c>
      <c r="G20979" t="n">
        <v>20</v>
      </c>
      <c r="H20979" s="5">
        <f>HYPERLINK("https://api.qogita.com/variants/link/0018084850930/", "View Product")</f>
        <v/>
      </c>
    </row>
    <row r="20980">
      <c r="A20980" t="inlineStr">
        <is>
          <t>0018084850985</t>
        </is>
      </c>
      <c r="B20980" t="inlineStr">
        <is>
          <t>Aveda Men Pure-Formance Conditioner for Men 300ml</t>
        </is>
      </c>
      <c r="C20980" t="inlineStr">
        <is>
          <t>Conditioner</t>
        </is>
      </c>
      <c r="D20980" t="inlineStr">
        <is>
          <t>Aveda</t>
        </is>
      </c>
      <c r="E20980" t="n">
        <v>27.77</v>
      </c>
      <c r="F20980" t="n">
        <v>1</v>
      </c>
      <c r="G20980" t="n">
        <v>5</v>
      </c>
      <c r="H20980" s="5">
        <f>HYPERLINK("https://api.qogita.com/variants/link/0018084850985/", "View Product")</f>
        <v/>
      </c>
    </row>
    <row r="20981">
      <c r="A20981" t="inlineStr">
        <is>
          <t>0018084885000</t>
        </is>
      </c>
      <c r="B20981" t="inlineStr">
        <is>
          <t>Aveda Everyday Botanical Kinetics Hydrating Lotion</t>
        </is>
      </c>
      <c r="C20981" t="inlineStr">
        <is>
          <t>Face Cream</t>
        </is>
      </c>
      <c r="D20981" t="inlineStr">
        <is>
          <t>Aveda</t>
        </is>
      </c>
      <c r="E20981" t="n">
        <v>39.77</v>
      </c>
      <c r="F20981" t="n">
        <v>1</v>
      </c>
      <c r="G20981" t="n">
        <v>3</v>
      </c>
      <c r="H20981" s="5">
        <f>HYPERLINK("https://api.qogita.com/variants/link/0018084885000/", "View Product")</f>
        <v/>
      </c>
    </row>
    <row r="20982">
      <c r="A20982" t="inlineStr">
        <is>
          <t>0018084981047</t>
        </is>
      </c>
      <c r="B20982" t="inlineStr">
        <is>
          <t>Aveda Texture Tonic Hair Spray 125ml</t>
        </is>
      </c>
      <c r="C20982" t="inlineStr">
        <is>
          <t>Hairspray</t>
        </is>
      </c>
      <c r="D20982" t="inlineStr">
        <is>
          <t>Aveda</t>
        </is>
      </c>
      <c r="E20982" t="n">
        <v>25.08</v>
      </c>
      <c r="F20982" t="n">
        <v>1</v>
      </c>
      <c r="G20982" t="n">
        <v>3</v>
      </c>
      <c r="H20982" s="5">
        <f>HYPERLINK("https://api.qogita.com/variants/link/0018084981047/", "View Product")</f>
        <v/>
      </c>
    </row>
    <row r="20983">
      <c r="A20983" t="inlineStr">
        <is>
          <t>0020714000318</t>
        </is>
      </c>
      <c r="B20983" t="inlineStr">
        <is>
          <t>Clinique Rinse off Eye Makeup Solvent 125ml</t>
        </is>
      </c>
      <c r="C20983" t="inlineStr">
        <is>
          <t>Eye Makeup Remover</t>
        </is>
      </c>
      <c r="D20983" t="inlineStr">
        <is>
          <t>Clinique</t>
        </is>
      </c>
      <c r="E20983" t="n">
        <v>16.06</v>
      </c>
      <c r="F20983" t="n">
        <v>1</v>
      </c>
      <c r="G20983" t="n">
        <v>11</v>
      </c>
      <c r="H20983" s="5">
        <f>HYPERLINK("https://api.qogita.com/variants/link/0020714000318/", "View Product")</f>
        <v/>
      </c>
    </row>
    <row r="20984">
      <c r="A20984" t="inlineStr">
        <is>
          <t>0020714005887</t>
        </is>
      </c>
      <c r="B20984" t="inlineStr">
        <is>
          <t>Clinique Aromatics Elixir EDP Spray 0.85 Oz with Aromatic 25ml</t>
        </is>
      </c>
      <c r="C20984" t="inlineStr">
        <is>
          <t>Eau De Parfum</t>
        </is>
      </c>
      <c r="D20984" t="inlineStr">
        <is>
          <t>Clinique</t>
        </is>
      </c>
      <c r="E20984" t="n">
        <v>14.18</v>
      </c>
      <c r="F20984" t="n">
        <v>1</v>
      </c>
      <c r="G20984" t="n">
        <v>5</v>
      </c>
      <c r="H20984" s="5">
        <f>HYPERLINK("https://api.qogita.com/variants/link/0020714005887/", "View Product")</f>
        <v/>
      </c>
    </row>
    <row r="20985">
      <c r="A20985" t="inlineStr">
        <is>
          <t>0020714012786</t>
        </is>
      </c>
      <c r="B20985" t="inlineStr">
        <is>
          <t>Clinique Aromatics Elixir Body Smoother 6.7 Fl Oz 200ml</t>
        </is>
      </c>
      <c r="C20985" t="inlineStr">
        <is>
          <t>Body Lotion</t>
        </is>
      </c>
      <c r="D20985" t="inlineStr">
        <is>
          <t>Clinique</t>
        </is>
      </c>
      <c r="E20985" t="n">
        <v>23.9</v>
      </c>
      <c r="F20985" t="n">
        <v>1</v>
      </c>
      <c r="G20985" t="n">
        <v>14</v>
      </c>
      <c r="H20985" s="5">
        <f>HYPERLINK("https://api.qogita.com/variants/link/0020714012786/", "View Product")</f>
        <v/>
      </c>
    </row>
    <row r="20986">
      <c r="A20986" t="inlineStr">
        <is>
          <t>0020714015459</t>
        </is>
      </c>
      <c r="B20986" t="inlineStr">
        <is>
          <t>Clinique Rinse Off Foaming Cleanser Type II 150ml</t>
        </is>
      </c>
      <c r="C20986" t="inlineStr">
        <is>
          <t>Cleansing Foam</t>
        </is>
      </c>
      <c r="D20986" t="inlineStr">
        <is>
          <t>Clinique</t>
        </is>
      </c>
      <c r="E20986" t="n">
        <v>18.4</v>
      </c>
      <c r="F20986" t="n">
        <v>1</v>
      </c>
      <c r="G20986" t="n">
        <v>13</v>
      </c>
      <c r="H20986" s="5">
        <f>HYPERLINK("https://api.qogita.com/variants/link/0020714015459/", "View Product")</f>
        <v/>
      </c>
    </row>
    <row r="20987">
      <c r="A20987" t="inlineStr">
        <is>
          <t>0020714045159</t>
        </is>
      </c>
      <c r="B20987" t="inlineStr">
        <is>
          <t>Clinique 7 Day Scrub Cream Rinse Off Formula for Unisex 3.4oz</t>
        </is>
      </c>
      <c r="C20987" t="inlineStr">
        <is>
          <t>Facial Scrub &amp; Peeling</t>
        </is>
      </c>
      <c r="D20987" t="inlineStr">
        <is>
          <t>Clinique</t>
        </is>
      </c>
      <c r="E20987" t="n">
        <v>20.98</v>
      </c>
      <c r="F20987" t="n">
        <v>1</v>
      </c>
      <c r="G20987" t="n">
        <v>8</v>
      </c>
      <c r="H20987" s="5">
        <f>HYPERLINK("https://api.qogita.com/variants/link/0020714045159/", "View Product")</f>
        <v/>
      </c>
    </row>
    <row r="20988">
      <c r="A20988" t="inlineStr">
        <is>
          <t>0020714156893</t>
        </is>
      </c>
      <c r="B20988" t="inlineStr">
        <is>
          <t>Clinique Happy for Women EDP Spray 3.4 Fl Oz</t>
        </is>
      </c>
      <c r="C20988" t="inlineStr">
        <is>
          <t>Eau De Parfum</t>
        </is>
      </c>
      <c r="D20988" t="inlineStr">
        <is>
          <t>Clinique</t>
        </is>
      </c>
      <c r="E20988" t="n">
        <v>22.19</v>
      </c>
      <c r="F20988" t="n">
        <v>1</v>
      </c>
      <c r="G20988" t="n">
        <v>459</v>
      </c>
      <c r="H20988" s="5">
        <f>HYPERLINK("https://api.qogita.com/variants/link/0020714156893/", "View Product")</f>
        <v/>
      </c>
    </row>
    <row r="20989">
      <c r="A20989" t="inlineStr">
        <is>
          <t>0020714161682</t>
        </is>
      </c>
      <c r="B20989" t="inlineStr">
        <is>
          <t>Clinique Happy DG 200ml</t>
        </is>
      </c>
      <c r="C20989" t="inlineStr">
        <is>
          <t>Shower Gel</t>
        </is>
      </c>
      <c r="D20989" t="inlineStr">
        <is>
          <t>Clinique</t>
        </is>
      </c>
      <c r="E20989" t="n">
        <v>21.06</v>
      </c>
      <c r="F20989" t="n">
        <v>1</v>
      </c>
      <c r="G20989" t="n">
        <v>3</v>
      </c>
      <c r="H20989" s="5">
        <f>HYPERLINK("https://api.qogita.com/variants/link/0020714161682/", "View Product")</f>
        <v/>
      </c>
    </row>
    <row r="20990">
      <c r="A20990" t="inlineStr">
        <is>
          <t>0020714215552</t>
        </is>
      </c>
      <c r="B20990" t="inlineStr">
        <is>
          <t>Clinique Take The Day Off Cleansing Balm for All Skin Types 125ml</t>
        </is>
      </c>
      <c r="C20990" t="inlineStr">
        <is>
          <t>Makeup Remover</t>
        </is>
      </c>
      <c r="D20990" t="inlineStr">
        <is>
          <t>Clinique</t>
        </is>
      </c>
      <c r="E20990" t="n">
        <v>22.1</v>
      </c>
      <c r="F20990" t="n">
        <v>1</v>
      </c>
      <c r="G20990" t="n">
        <v>21</v>
      </c>
      <c r="H20990" s="5">
        <f>HYPERLINK("https://api.qogita.com/variants/link/0020714215552/", "View Product")</f>
        <v/>
      </c>
    </row>
    <row r="20991">
      <c r="A20991" t="inlineStr">
        <is>
          <t>0020714228040</t>
        </is>
      </c>
      <c r="B20991" t="inlineStr">
        <is>
          <t>Clinique Concealer Brush</t>
        </is>
      </c>
      <c r="C20991" t="inlineStr">
        <is>
          <t>Concealer Brushes</t>
        </is>
      </c>
      <c r="D20991" t="inlineStr">
        <is>
          <t>Clinique</t>
        </is>
      </c>
      <c r="E20991" t="n">
        <v>16.8</v>
      </c>
      <c r="F20991" t="n">
        <v>1</v>
      </c>
      <c r="G20991" t="n">
        <v>5</v>
      </c>
      <c r="H20991" s="5">
        <f>HYPERLINK("https://api.qogita.com/variants/link/0020714228040/", "View Product")</f>
        <v/>
      </c>
    </row>
    <row r="20992">
      <c r="A20992" t="inlineStr">
        <is>
          <t>0020714235871</t>
        </is>
      </c>
      <c r="B20992" t="inlineStr">
        <is>
          <t>Clinique Blushing Blush Powder Blush 6 gr</t>
        </is>
      </c>
      <c r="C20992" t="inlineStr">
        <is>
          <t>Blush</t>
        </is>
      </c>
      <c r="D20992" t="inlineStr">
        <is>
          <t>Clinique</t>
        </is>
      </c>
      <c r="E20992" t="n">
        <v>21.95</v>
      </c>
      <c r="F20992" t="n">
        <v>1</v>
      </c>
      <c r="G20992" t="n">
        <v>5</v>
      </c>
      <c r="H20992" s="5">
        <f>HYPERLINK("https://api.qogita.com/variants/link/0020714235871/", "View Product")</f>
        <v/>
      </c>
    </row>
    <row r="20993">
      <c r="A20993" t="inlineStr">
        <is>
          <t>0020714324605</t>
        </is>
      </c>
      <c r="B20993" t="inlineStr">
        <is>
          <t>Clinique Even Better Liquid Foundation SPF 15 01/CN10 Alabaster 30ml</t>
        </is>
      </c>
      <c r="C20993" t="inlineStr">
        <is>
          <t>Foundation</t>
        </is>
      </c>
      <c r="D20993" t="inlineStr">
        <is>
          <t>Clinique</t>
        </is>
      </c>
      <c r="E20993" t="n">
        <v>26.87</v>
      </c>
      <c r="F20993" t="n">
        <v>1</v>
      </c>
      <c r="G20993" t="n">
        <v>4</v>
      </c>
      <c r="H20993" s="5">
        <f>HYPERLINK("https://api.qogita.com/variants/link/0020714324605/", "View Product")</f>
        <v/>
      </c>
    </row>
    <row r="20994">
      <c r="A20994" t="inlineStr">
        <is>
          <t>0020714330927</t>
        </is>
      </c>
      <c r="B20994" t="inlineStr">
        <is>
          <t>Clinique Anti-Blemish Clearing Concealer No. 01 10ml Brown</t>
        </is>
      </c>
      <c r="C20994" t="inlineStr">
        <is>
          <t>Concealer</t>
        </is>
      </c>
      <c r="D20994" t="inlineStr">
        <is>
          <t>Clinique</t>
        </is>
      </c>
      <c r="E20994" t="n">
        <v>17.34</v>
      </c>
      <c r="F20994" t="n">
        <v>1</v>
      </c>
      <c r="G20994" t="n">
        <v>5</v>
      </c>
      <c r="H20994" s="5">
        <f>HYPERLINK("https://api.qogita.com/variants/link/0020714330927/", "View Product")</f>
        <v/>
      </c>
    </row>
    <row r="20995">
      <c r="A20995" t="inlineStr">
        <is>
          <t>0020714352837</t>
        </is>
      </c>
      <c r="B20995" t="inlineStr">
        <is>
          <t>Clinique Face Cream with SPF50 50ml</t>
        </is>
      </c>
      <c r="C20995" t="inlineStr">
        <is>
          <t>Day Cream</t>
        </is>
      </c>
      <c r="D20995" t="inlineStr">
        <is>
          <t>Clinique</t>
        </is>
      </c>
      <c r="E20995" t="n">
        <v>17.24</v>
      </c>
      <c r="F20995" t="n">
        <v>1</v>
      </c>
      <c r="G20995" t="n">
        <v>14</v>
      </c>
      <c r="H20995" s="5">
        <f>HYPERLINK("https://api.qogita.com/variants/link/0020714352837/", "View Product")</f>
        <v/>
      </c>
    </row>
    <row r="20996">
      <c r="A20996" t="inlineStr">
        <is>
          <t>0020714377793</t>
        </is>
      </c>
      <c r="B20996" t="inlineStr">
        <is>
          <t>Clinique Take The Day Off Makeup Remover 50ml</t>
        </is>
      </c>
      <c r="C20996" t="inlineStr">
        <is>
          <t>Makeup Remover</t>
        </is>
      </c>
      <c r="D20996" t="inlineStr">
        <is>
          <t>Clinique</t>
        </is>
      </c>
      <c r="E20996" t="n">
        <v>8.1</v>
      </c>
      <c r="F20996" t="n">
        <v>1</v>
      </c>
      <c r="G20996" t="n">
        <v>2</v>
      </c>
      <c r="H20996" s="5">
        <f>HYPERLINK("https://api.qogita.com/variants/link/0020714377793/", "View Product")</f>
        <v/>
      </c>
    </row>
    <row r="20997">
      <c r="A20997" t="inlineStr">
        <is>
          <t>0020714434878</t>
        </is>
      </c>
      <c r="B20997" t="inlineStr">
        <is>
          <t>Clinique Instant Relief Mineral Pressed Powder</t>
        </is>
      </c>
      <c r="C20997" t="inlineStr">
        <is>
          <t>Powder</t>
        </is>
      </c>
      <c r="D20997" t="inlineStr">
        <is>
          <t>Clinique</t>
        </is>
      </c>
      <c r="E20997" t="n">
        <v>26.18</v>
      </c>
      <c r="F20997" t="n">
        <v>1</v>
      </c>
      <c r="G20997" t="n">
        <v>2</v>
      </c>
      <c r="H20997" s="5">
        <f>HYPERLINK("https://api.qogita.com/variants/link/0020714434878/", "View Product")</f>
        <v/>
      </c>
    </row>
    <row r="20998">
      <c r="A20998" t="inlineStr">
        <is>
          <t>0020714462772</t>
        </is>
      </c>
      <c r="B20998" t="inlineStr">
        <is>
          <t>Clarifying Lotion 3 for Combination/Oily Skin 200ml</t>
        </is>
      </c>
      <c r="C20998" t="inlineStr">
        <is>
          <t>Oily Skin</t>
        </is>
      </c>
      <c r="D20998" t="inlineStr">
        <is>
          <t>Clinique</t>
        </is>
      </c>
      <c r="E20998" t="n">
        <v>16.83</v>
      </c>
      <c r="F20998" t="n">
        <v>1</v>
      </c>
      <c r="G20998" t="n">
        <v>9</v>
      </c>
      <c r="H20998" s="5">
        <f>HYPERLINK("https://api.qogita.com/variants/link/0020714462772/", "View Product")</f>
        <v/>
      </c>
    </row>
    <row r="20999">
      <c r="A20999" t="inlineStr">
        <is>
          <t>0020714668792</t>
        </is>
      </c>
      <c r="B20999" t="inlineStr">
        <is>
          <t>Clinique Chubby Stick Cheek Color Balm for Women Roly Poly Rosy 0.21 Ounce</t>
        </is>
      </c>
      <c r="C20999" t="inlineStr">
        <is>
          <t>Blush</t>
        </is>
      </c>
      <c r="D20999" t="inlineStr">
        <is>
          <t>Clinique</t>
        </is>
      </c>
      <c r="E20999" t="n">
        <v>20.68</v>
      </c>
      <c r="F20999" t="n">
        <v>1</v>
      </c>
      <c r="G20999" t="n">
        <v>2</v>
      </c>
      <c r="H20999" s="5">
        <f>HYPERLINK("https://api.qogita.com/variants/link/0020714668792/", "View Product")</f>
        <v/>
      </c>
    </row>
    <row r="21000">
      <c r="A21000" t="inlineStr">
        <is>
          <t>0020714672072</t>
        </is>
      </c>
      <c r="B21000" t="inlineStr">
        <is>
          <t>Clinique Skin Supplies For Men Face Wash 200ml</t>
        </is>
      </c>
      <c r="C21000" t="inlineStr">
        <is>
          <t>Cleansing Gel</t>
        </is>
      </c>
      <c r="D21000" t="inlineStr">
        <is>
          <t>Clinique</t>
        </is>
      </c>
      <c r="E21000" t="n">
        <v>16.73</v>
      </c>
      <c r="F21000" t="n">
        <v>1</v>
      </c>
      <c r="G21000" t="n">
        <v>3</v>
      </c>
      <c r="H21000" s="5">
        <f>HYPERLINK("https://api.qogita.com/variants/link/0020714672072/", "View Product")</f>
        <v/>
      </c>
    </row>
    <row r="21001">
      <c r="A21001" t="inlineStr">
        <is>
          <t>0020714711948</t>
        </is>
      </c>
      <c r="B21001" t="inlineStr">
        <is>
          <t>Clinique Shade 11 Honey 30ml</t>
        </is>
      </c>
      <c r="C21001" t="inlineStr">
        <is>
          <t>Foundation</t>
        </is>
      </c>
      <c r="D21001" t="inlineStr">
        <is>
          <t>Clinique</t>
        </is>
      </c>
      <c r="E21001" t="n">
        <v>25.78</v>
      </c>
      <c r="F21001" t="n">
        <v>1</v>
      </c>
      <c r="G21001" t="n">
        <v>3</v>
      </c>
      <c r="H21001" s="5">
        <f>HYPERLINK("https://api.qogita.com/variants/link/0020714711948/", "View Product")</f>
        <v/>
      </c>
    </row>
    <row r="21002">
      <c r="A21002" t="inlineStr">
        <is>
          <t>0020714711979</t>
        </is>
      </c>
      <c r="B21002" t="inlineStr">
        <is>
          <t>Clinique Beyond Perfecting Foundation and Concealer 14 Vanilla 30ml</t>
        </is>
      </c>
      <c r="C21002" t="inlineStr">
        <is>
          <t>Foundation</t>
        </is>
      </c>
      <c r="D21002" t="inlineStr">
        <is>
          <t>Clinique</t>
        </is>
      </c>
      <c r="E21002" t="n">
        <v>29.18</v>
      </c>
      <c r="F21002" t="n">
        <v>1</v>
      </c>
      <c r="G21002" t="n">
        <v>5</v>
      </c>
      <c r="H21002" s="5">
        <f>HYPERLINK("https://api.qogita.com/variants/link/0020714711979/", "View Product")</f>
        <v/>
      </c>
    </row>
    <row r="21003">
      <c r="A21003" t="inlineStr">
        <is>
          <t>0020714711986</t>
        </is>
      </c>
      <c r="B21003" t="inlineStr">
        <is>
          <t>Clinique Beyond Perfecting Foundation and Concealer 15 Beige 30ml</t>
        </is>
      </c>
      <c r="C21003" t="inlineStr">
        <is>
          <t>Foundation</t>
        </is>
      </c>
      <c r="D21003" t="inlineStr">
        <is>
          <t>Clinique</t>
        </is>
      </c>
      <c r="E21003" t="n">
        <v>29.33</v>
      </c>
      <c r="F21003" t="n">
        <v>1</v>
      </c>
      <c r="G21003" t="n">
        <v>8</v>
      </c>
      <c r="H21003" s="5">
        <f>HYPERLINK("https://api.qogita.com/variants/link/0020714711986/", "View Product")</f>
        <v/>
      </c>
    </row>
    <row r="21004">
      <c r="A21004" t="inlineStr">
        <is>
          <t>0020714782702</t>
        </is>
      </c>
      <c r="B21004" t="inlineStr">
        <is>
          <t>CLINIQUE Almost Lipstick Pink Honey 0.07oz/1.98g</t>
        </is>
      </c>
      <c r="C21004" t="inlineStr">
        <is>
          <t>Lipstick</t>
        </is>
      </c>
      <c r="D21004" t="inlineStr">
        <is>
          <t>Clinique</t>
        </is>
      </c>
      <c r="E21004" t="n">
        <v>16.8</v>
      </c>
      <c r="F21004" t="n">
        <v>1</v>
      </c>
      <c r="G21004" t="n">
        <v>2</v>
      </c>
      <c r="H21004" s="5">
        <f>HYPERLINK("https://api.qogita.com/variants/link/0020714782702/", "View Product")</f>
        <v/>
      </c>
    </row>
    <row r="21005">
      <c r="A21005" t="inlineStr">
        <is>
          <t>0020714939472</t>
        </is>
      </c>
      <c r="B21005" t="inlineStr">
        <is>
          <t>Clinique Dramatically Different Hydrating Jelly Moisturiser for All Skin Types 125ml</t>
        </is>
      </c>
      <c r="C21005" t="inlineStr">
        <is>
          <t>Face Cream</t>
        </is>
      </c>
      <c r="D21005" t="inlineStr">
        <is>
          <t>Clinique</t>
        </is>
      </c>
      <c r="E21005" t="n">
        <v>38.71</v>
      </c>
      <c r="F21005" t="n">
        <v>1</v>
      </c>
      <c r="G21005" t="n">
        <v>4</v>
      </c>
      <c r="H21005" s="5">
        <f>HYPERLINK("https://api.qogita.com/variants/link/0020714939472/", "View Product")</f>
        <v/>
      </c>
    </row>
    <row r="21006">
      <c r="A21006" t="inlineStr">
        <is>
          <t>0020714968939</t>
        </is>
      </c>
      <c r="B21006" t="inlineStr">
        <is>
          <t>Clinique Even Better All-Over Concealer Plus Eraser CN70 Vanillia</t>
        </is>
      </c>
      <c r="C21006" t="inlineStr">
        <is>
          <t>Concealer</t>
        </is>
      </c>
      <c r="D21006" t="inlineStr">
        <is>
          <t>Clinique</t>
        </is>
      </c>
      <c r="E21006" t="n">
        <v>21.14</v>
      </c>
      <c r="F21006" t="n">
        <v>1</v>
      </c>
      <c r="G21006" t="n">
        <v>2</v>
      </c>
      <c r="H21006" s="5">
        <f>HYPERLINK("https://api.qogita.com/variants/link/0020714968939/", "View Product")</f>
        <v/>
      </c>
    </row>
    <row r="21007">
      <c r="A21007" t="inlineStr">
        <is>
          <t>0020714974817</t>
        </is>
      </c>
      <c r="B21007" t="inlineStr">
        <is>
          <t>Clinique Dramatically Different Hydrating Jelly 50ml</t>
        </is>
      </c>
      <c r="C21007" t="inlineStr">
        <is>
          <t>Face Cream</t>
        </is>
      </c>
      <c r="D21007" t="inlineStr">
        <is>
          <t>Clinique</t>
        </is>
      </c>
      <c r="E21007" t="n">
        <v>15.47</v>
      </c>
      <c r="F21007" t="n">
        <v>1</v>
      </c>
      <c r="G21007" t="n">
        <v>5</v>
      </c>
      <c r="H21007" s="5">
        <f>HYPERLINK("https://api.qogita.com/variants/link/0020714974817/", "View Product")</f>
        <v/>
      </c>
    </row>
    <row r="21008">
      <c r="A21008" t="inlineStr">
        <is>
          <t>0022548006719</t>
        </is>
      </c>
      <c r="B21008" t="inlineStr">
        <is>
          <t>Aramis Eau De Toilette 110ml Spray</t>
        </is>
      </c>
      <c r="C21008" t="inlineStr">
        <is>
          <t>Eau De Toilette</t>
        </is>
      </c>
      <c r="D21008" t="inlineStr">
        <is>
          <t>Aramis</t>
        </is>
      </c>
      <c r="E21008" t="n">
        <v>15.01</v>
      </c>
      <c r="F21008" t="n">
        <v>1</v>
      </c>
      <c r="G21008" t="n">
        <v>670</v>
      </c>
      <c r="H21008" s="5">
        <f>HYPERLINK("https://api.qogita.com/variants/link/0022548006719/", "View Product")</f>
        <v/>
      </c>
    </row>
    <row r="21009">
      <c r="A21009" t="inlineStr">
        <is>
          <t>0022548155073</t>
        </is>
      </c>
      <c r="B21009" t="inlineStr">
        <is>
          <t>Dkny Be 100% Delicious Eau de Parfum Spray 100ml</t>
        </is>
      </c>
      <c r="C21009" t="inlineStr">
        <is>
          <t>Eau De Parfum</t>
        </is>
      </c>
      <c r="D21009" t="inlineStr">
        <is>
          <t>DKNY</t>
        </is>
      </c>
      <c r="E21009" t="n">
        <v>26.78</v>
      </c>
      <c r="F21009" t="n">
        <v>1</v>
      </c>
      <c r="G21009" t="n">
        <v>4</v>
      </c>
      <c r="H21009" s="5">
        <f>HYPERLINK("https://api.qogita.com/variants/link/0022548155073/", "View Product")</f>
        <v/>
      </c>
    </row>
    <row r="21010">
      <c r="A21010" t="inlineStr">
        <is>
          <t>0022548230947</t>
        </is>
      </c>
      <c r="B21010" t="inlineStr">
        <is>
          <t>DKNY Energizing White Woman Eau De Toilette Spray 50ml</t>
        </is>
      </c>
      <c r="C21010" t="inlineStr">
        <is>
          <t>Eau De Toilette</t>
        </is>
      </c>
      <c r="D21010" t="inlineStr">
        <is>
          <t>DKNY</t>
        </is>
      </c>
      <c r="E21010" t="n">
        <v>33.17</v>
      </c>
      <c r="F21010" t="n">
        <v>1</v>
      </c>
      <c r="G21010" t="n">
        <v>5</v>
      </c>
      <c r="H21010" s="5">
        <f>HYPERLINK("https://api.qogita.com/variants/link/0022548230947/", "View Product")</f>
        <v/>
      </c>
    </row>
    <row r="21011">
      <c r="A21011" t="inlineStr">
        <is>
          <t>0022548298220</t>
        </is>
      </c>
      <c r="B21011" t="inlineStr">
        <is>
          <t>Tommy Hilfiger Freedom Sport Eau de Toilette Spray for Men 3.4 Ounce</t>
        </is>
      </c>
      <c r="C21011" t="inlineStr">
        <is>
          <t>Eau De Toilette</t>
        </is>
      </c>
      <c r="D21011" t="inlineStr">
        <is>
          <t>Tommy Hilfiger</t>
        </is>
      </c>
      <c r="E21011" t="n">
        <v>33.39</v>
      </c>
      <c r="F21011" t="n">
        <v>1</v>
      </c>
      <c r="G21011" t="n">
        <v>4</v>
      </c>
      <c r="H21011" s="5">
        <f>HYPERLINK("https://api.qogita.com/variants/link/0022548298220/", "View Product")</f>
        <v/>
      </c>
    </row>
    <row r="21012">
      <c r="A21012" t="inlineStr">
        <is>
          <t>0022548366455</t>
        </is>
      </c>
      <c r="B21012" t="inlineStr">
        <is>
          <t>Michael Kors Wonderlust Eau de Parfum Spray for Women 50ml</t>
        </is>
      </c>
      <c r="C21012" t="inlineStr">
        <is>
          <t>Eau De Parfum</t>
        </is>
      </c>
      <c r="D21012" t="inlineStr">
        <is>
          <t>Michael Kors</t>
        </is>
      </c>
      <c r="E21012" t="n">
        <v>37.16</v>
      </c>
      <c r="F21012" t="n">
        <v>1</v>
      </c>
      <c r="G21012" t="n">
        <v>9</v>
      </c>
      <c r="H21012" s="5">
        <f>HYPERLINK("https://api.qogita.com/variants/link/0022548366455/", "View Product")</f>
        <v/>
      </c>
    </row>
    <row r="21013">
      <c r="A21013" t="inlineStr">
        <is>
          <t>0022548371053</t>
        </is>
      </c>
      <c r="B21013" t="inlineStr">
        <is>
          <t>Donna Karan Be Tempted Eau So Blush Eau de Parfum 50ml</t>
        </is>
      </c>
      <c r="C21013" t="inlineStr">
        <is>
          <t>Eau De Parfum</t>
        </is>
      </c>
      <c r="D21013" t="inlineStr">
        <is>
          <t>DKNY</t>
        </is>
      </c>
      <c r="E21013" t="n">
        <v>16.49</v>
      </c>
      <c r="F21013" t="n">
        <v>1</v>
      </c>
      <c r="G21013" t="n">
        <v>41</v>
      </c>
      <c r="H21013" s="5">
        <f>HYPERLINK("https://api.qogita.com/variants/link/0022548371053/", "View Product")</f>
        <v/>
      </c>
    </row>
    <row r="21014">
      <c r="A21014" t="inlineStr">
        <is>
          <t>0022548386231</t>
        </is>
      </c>
      <c r="B21014" t="inlineStr">
        <is>
          <t>Aramis Classic Deluxe Edition Eau De Toilette 240ml</t>
        </is>
      </c>
      <c r="C21014" t="inlineStr">
        <is>
          <t>Eau De Toilette</t>
        </is>
      </c>
      <c r="D21014" t="inlineStr">
        <is>
          <t>Aramis</t>
        </is>
      </c>
      <c r="E21014" t="n">
        <v>24.66</v>
      </c>
      <c r="F21014" t="n">
        <v>1</v>
      </c>
      <c r="G21014" t="n">
        <v>242</v>
      </c>
      <c r="H21014" s="5">
        <f>HYPERLINK("https://api.qogita.com/variants/link/0022548386231/", "View Product")</f>
        <v/>
      </c>
    </row>
    <row r="21015">
      <c r="A21015" t="inlineStr">
        <is>
          <t>0022548386934</t>
        </is>
      </c>
      <c r="B21015" t="inlineStr">
        <is>
          <t>DKNY Nectar Love Eau de Parfum Spray 30ml</t>
        </is>
      </c>
      <c r="C21015" t="inlineStr">
        <is>
          <t>Eau De Parfum</t>
        </is>
      </c>
      <c r="D21015" t="inlineStr">
        <is>
          <t>DKNY</t>
        </is>
      </c>
      <c r="E21015" t="n">
        <v>14.08</v>
      </c>
      <c r="F21015" t="n">
        <v>1</v>
      </c>
      <c r="G21015" t="n">
        <v>50</v>
      </c>
      <c r="H21015" s="5">
        <f>HYPERLINK("https://api.qogita.com/variants/link/0022548386934/", "View Product")</f>
        <v/>
      </c>
    </row>
    <row r="21016">
      <c r="A21016" t="inlineStr">
        <is>
          <t>0022548420010</t>
        </is>
      </c>
      <c r="B21016" t="inlineStr">
        <is>
          <t>Gorgeous by Michael Kors for Women 1 Oz EDP Spray 28.35g</t>
        </is>
      </c>
      <c r="C21016" t="inlineStr">
        <is>
          <t>Eau De Parfum</t>
        </is>
      </c>
      <c r="D21016" t="inlineStr">
        <is>
          <t>Michael Kors</t>
        </is>
      </c>
      <c r="E21016" t="n">
        <v>24.41</v>
      </c>
      <c r="F21016" t="n">
        <v>1</v>
      </c>
      <c r="G21016" t="n">
        <v>8</v>
      </c>
      <c r="H21016" s="5">
        <f>HYPERLINK("https://api.qogita.com/variants/link/0022548420010/", "View Product")</f>
        <v/>
      </c>
    </row>
    <row r="21017">
      <c r="A21017" t="inlineStr">
        <is>
          <t>0022548425978</t>
        </is>
      </c>
      <c r="B21017" t="inlineStr">
        <is>
          <t>Michael Kors Wonderlust Eau de Voyage EDP Spray Women 1.7 oz</t>
        </is>
      </c>
      <c r="C21017" t="inlineStr">
        <is>
          <t>Eau De Parfum</t>
        </is>
      </c>
      <c r="D21017" t="inlineStr">
        <is>
          <t>Michael Kors</t>
        </is>
      </c>
      <c r="E21017" t="n">
        <v>35.39</v>
      </c>
      <c r="F21017" t="n">
        <v>1</v>
      </c>
      <c r="G21017" t="n">
        <v>12</v>
      </c>
      <c r="H21017" s="5">
        <f>HYPERLINK("https://api.qogita.com/variants/link/0022548425978/", "View Product")</f>
        <v/>
      </c>
    </row>
    <row r="21018">
      <c r="A21018" t="inlineStr">
        <is>
          <t>0022548426654</t>
        </is>
      </c>
      <c r="B21018" t="inlineStr">
        <is>
          <t>Michael Kors Extreme Journey for Men 1.7 Oz EDT Spray</t>
        </is>
      </c>
      <c r="C21018" t="inlineStr">
        <is>
          <t>Eau De Toilette</t>
        </is>
      </c>
      <c r="D21018" t="inlineStr">
        <is>
          <t>Michael Kors</t>
        </is>
      </c>
      <c r="E21018" t="n">
        <v>24.7</v>
      </c>
      <c r="F21018" t="n">
        <v>1</v>
      </c>
      <c r="G21018" t="n">
        <v>8</v>
      </c>
      <c r="H21018" s="5">
        <f>HYPERLINK("https://api.qogita.com/variants/link/0022548426654/", "View Product")</f>
        <v/>
      </c>
    </row>
    <row r="21019">
      <c r="A21019" t="inlineStr">
        <is>
          <t>0027131043294</t>
        </is>
      </c>
      <c r="B21019" t="inlineStr">
        <is>
          <t>Estee Lauder Pleasures for Her Eau de Parfum 50ml Spray New and Sealed</t>
        </is>
      </c>
      <c r="C21019" t="inlineStr">
        <is>
          <t>Eau De Parfum</t>
        </is>
      </c>
      <c r="D21019" t="inlineStr">
        <is>
          <t>Estée Lauder</t>
        </is>
      </c>
      <c r="E21019" t="n">
        <v>23.07</v>
      </c>
      <c r="F21019" t="n">
        <v>1</v>
      </c>
      <c r="G21019" t="n">
        <v>5</v>
      </c>
      <c r="H21019" s="5">
        <f>HYPERLINK("https://api.qogita.com/variants/link/0027131043294/", "View Product")</f>
        <v/>
      </c>
    </row>
    <row r="21020">
      <c r="A21020" t="inlineStr">
        <is>
          <t>0027131934943</t>
        </is>
      </c>
      <c r="B21020" t="inlineStr">
        <is>
          <t>Estee Lauder Double Wear Stay In Place Makeup SPF10 1N1 Ivory Nude 30ml</t>
        </is>
      </c>
      <c r="C21020" t="inlineStr">
        <is>
          <t>Foundation</t>
        </is>
      </c>
      <c r="D21020" t="inlineStr">
        <is>
          <t>Estée Lauder</t>
        </is>
      </c>
      <c r="E21020" t="n">
        <v>30.55</v>
      </c>
      <c r="F21020" t="n">
        <v>1</v>
      </c>
      <c r="G21020" t="n">
        <v>11</v>
      </c>
      <c r="H21020" s="5">
        <f>HYPERLINK("https://api.qogita.com/variants/link/0027131934943/", "View Product")</f>
        <v/>
      </c>
    </row>
    <row r="21021">
      <c r="A21021" t="inlineStr">
        <is>
          <t>0027131987840</t>
        </is>
      </c>
      <c r="B21021" t="inlineStr">
        <is>
          <t>Estee Lauder Perfectly Clean Multi-Action Foam Cleanser Purifying Mask Unisex Cleanser 5oz</t>
        </is>
      </c>
      <c r="C21021" t="inlineStr">
        <is>
          <t>Cleansing Foam</t>
        </is>
      </c>
      <c r="D21021" t="inlineStr">
        <is>
          <t>Estée Lauder</t>
        </is>
      </c>
      <c r="E21021" t="n">
        <v>26.94</v>
      </c>
      <c r="F21021" t="n">
        <v>1</v>
      </c>
      <c r="G21021" t="n">
        <v>19</v>
      </c>
      <c r="H21021" s="5">
        <f>HYPERLINK("https://api.qogita.com/variants/link/0027131987840/", "View Product")</f>
        <v/>
      </c>
    </row>
    <row r="21022">
      <c r="A21022" t="inlineStr">
        <is>
          <t>0035017008541</t>
        </is>
      </c>
      <c r="B21022" t="inlineStr">
        <is>
          <t>Jovan White Musk Eau De Cologne Spray for Women 59ml</t>
        </is>
      </c>
      <c r="C21022" t="inlineStr">
        <is>
          <t>Eau De Cologne</t>
        </is>
      </c>
      <c r="D21022" t="inlineStr">
        <is>
          <t>Jovan</t>
        </is>
      </c>
      <c r="E21022" t="n">
        <v>6.93</v>
      </c>
      <c r="F21022" t="n">
        <v>1</v>
      </c>
      <c r="G21022" t="n">
        <v>4</v>
      </c>
      <c r="H21022" s="5">
        <f>HYPERLINK("https://api.qogita.com/variants/link/0035017008541/", "View Product")</f>
        <v/>
      </c>
    </row>
    <row r="21023">
      <c r="A21023" t="inlineStr">
        <is>
          <t>0038097105414</t>
        </is>
      </c>
      <c r="B21023" t="inlineStr">
        <is>
          <t>Tweezerman Collapsible Eyelash Comb - Black</t>
        </is>
      </c>
      <c r="C21023" t="inlineStr">
        <is>
          <t>Eyelash Combs</t>
        </is>
      </c>
      <c r="D21023" t="inlineStr">
        <is>
          <t>Tweezerman</t>
        </is>
      </c>
      <c r="E21023" t="n">
        <v>11.55</v>
      </c>
      <c r="F21023" t="n">
        <v>1</v>
      </c>
      <c r="G21023" t="n">
        <v>6</v>
      </c>
      <c r="H21023" s="5">
        <f>HYPERLINK("https://api.qogita.com/variants/link/0038097105414/", "View Product")</f>
        <v/>
      </c>
    </row>
    <row r="21024">
      <c r="A21024" t="inlineStr">
        <is>
          <t>0038097124835</t>
        </is>
      </c>
      <c r="B21024" t="inlineStr">
        <is>
          <t>Tweezerman Mini Tweezer for Eyebrow Plucking Neon Pink</t>
        </is>
      </c>
      <c r="C21024" t="inlineStr">
        <is>
          <t>Other</t>
        </is>
      </c>
      <c r="D21024" t="inlineStr">
        <is>
          <t>Tweezerman</t>
        </is>
      </c>
      <c r="E21024" t="n">
        <v>12.94</v>
      </c>
      <c r="F21024" t="n">
        <v>1</v>
      </c>
      <c r="G21024" t="n">
        <v>4</v>
      </c>
      <c r="H21024" s="5">
        <f>HYPERLINK("https://api.qogita.com/variants/link/0038097124835/", "View Product")</f>
        <v/>
      </c>
    </row>
    <row r="21025">
      <c r="A21025" t="inlineStr">
        <is>
          <t>0038097300406</t>
        </is>
      </c>
      <c r="B21025" t="inlineStr">
        <is>
          <t>Tweezerman Extra Fine and Extra Sharp Stainless Steel Cuticle Scissors</t>
        </is>
      </c>
      <c r="C21025" t="inlineStr">
        <is>
          <t>Nail Clippers &amp; Tools</t>
        </is>
      </c>
      <c r="D21025" t="inlineStr">
        <is>
          <t>Tweezerman</t>
        </is>
      </c>
      <c r="E21025" t="n">
        <v>22.97</v>
      </c>
      <c r="F21025" t="n">
        <v>1</v>
      </c>
      <c r="G21025" t="n">
        <v>8</v>
      </c>
      <c r="H21025" s="5">
        <f>HYPERLINK("https://api.qogita.com/variants/link/0038097300406/", "View Product")</f>
        <v/>
      </c>
    </row>
    <row r="21026">
      <c r="A21026" t="inlineStr">
        <is>
          <t>0038097407310</t>
        </is>
      </c>
      <c r="B21026" t="inlineStr">
        <is>
          <t>Tweezerman Mini Nail Rescue Kit</t>
        </is>
      </c>
      <c r="C21026" t="inlineStr">
        <is>
          <t>Nail Care Sets</t>
        </is>
      </c>
      <c r="D21026" t="inlineStr">
        <is>
          <t>Tweezerman</t>
        </is>
      </c>
      <c r="E21026" t="n">
        <v>22.76</v>
      </c>
      <c r="F21026" t="n">
        <v>1</v>
      </c>
      <c r="G21026" t="n">
        <v>5</v>
      </c>
      <c r="H21026" s="5">
        <f>HYPERLINK("https://api.qogita.com/variants/link/0038097407310/", "View Product")</f>
        <v/>
      </c>
    </row>
    <row r="21027">
      <c r="A21027" t="inlineStr">
        <is>
          <t>0038097506907</t>
        </is>
      </c>
      <c r="B21027" t="inlineStr">
        <is>
          <t>Tweezerman Sole Smoother Antibacterial Callus Stone</t>
        </is>
      </c>
      <c r="C21027" t="inlineStr">
        <is>
          <t>Callus Remover</t>
        </is>
      </c>
      <c r="D21027" t="inlineStr">
        <is>
          <t>Tweezerman</t>
        </is>
      </c>
      <c r="E21027" t="n">
        <v>21.48</v>
      </c>
      <c r="F21027" t="n">
        <v>1</v>
      </c>
      <c r="G21027" t="n">
        <v>3</v>
      </c>
      <c r="H21027" s="5">
        <f>HYPERLINK("https://api.qogita.com/variants/link/0038097506907/", "View Product")</f>
        <v/>
      </c>
    </row>
    <row r="21028">
      <c r="A21028" t="inlineStr">
        <is>
          <t>0044386119369</t>
        </is>
      </c>
      <c r="B21028" t="inlineStr">
        <is>
          <t>Physicians Formula Butter Believe It Face Powder with Murumuru, Cupuaçu, and Tucuma Butter Translucent</t>
        </is>
      </c>
      <c r="C21028" t="inlineStr">
        <is>
          <t>Powder</t>
        </is>
      </c>
      <c r="D21028" t="inlineStr">
        <is>
          <t>Physicians Formula</t>
        </is>
      </c>
      <c r="E21028" t="n">
        <v>7.78</v>
      </c>
      <c r="F21028" t="n">
        <v>1</v>
      </c>
      <c r="G21028" t="n">
        <v>5</v>
      </c>
      <c r="H21028" s="5">
        <f>HYPERLINK("https://api.qogita.com/variants/link/0044386119369/", "View Product")</f>
        <v/>
      </c>
    </row>
    <row r="21029">
      <c r="A21029" t="inlineStr">
        <is>
          <t>0044386119406</t>
        </is>
      </c>
      <c r="B21029" t="inlineStr">
        <is>
          <t>Physicians Formula Matte Monoi Butter Bronzer Powder Face Makeup Deep Bronzer - Vegan and Dermatologist Tested</t>
        </is>
      </c>
      <c r="C21029" t="inlineStr">
        <is>
          <t>Bronzer</t>
        </is>
      </c>
      <c r="D21029" t="inlineStr">
        <is>
          <t>Wet 'N' Wild</t>
        </is>
      </c>
      <c r="E21029" t="n">
        <v>7.77</v>
      </c>
      <c r="F21029" t="n">
        <v>1</v>
      </c>
      <c r="G21029" t="n">
        <v>5</v>
      </c>
      <c r="H21029" s="5">
        <f>HYPERLINK("https://api.qogita.com/variants/link/0044386119406/", "View Product")</f>
        <v/>
      </c>
    </row>
    <row r="21030">
      <c r="A21030" t="inlineStr">
        <is>
          <t>0044386119482</t>
        </is>
      </c>
      <c r="B21030" t="inlineStr">
        <is>
          <t>Physicians Formula Diamond Plumper Lip Plumper with Hydrating Nourishing and Plumping Formula Diamond Marquise</t>
        </is>
      </c>
      <c r="C21030" t="inlineStr">
        <is>
          <t>Lip Plumper</t>
        </is>
      </c>
      <c r="D21030" t="inlineStr">
        <is>
          <t>Physicians Formula</t>
        </is>
      </c>
      <c r="E21030" t="n">
        <v>5.4</v>
      </c>
      <c r="F21030" t="n">
        <v>1</v>
      </c>
      <c r="G21030" t="n">
        <v>5</v>
      </c>
      <c r="H21030" s="5">
        <f>HYPERLINK("https://api.qogita.com/variants/link/0044386119482/", "View Product")</f>
        <v/>
      </c>
    </row>
    <row r="21031">
      <c r="A21031" t="inlineStr">
        <is>
          <t>0044386128644</t>
        </is>
      </c>
      <c r="B21031" t="inlineStr">
        <is>
          <t>Physicians Formula Butter Glow Multi-Use Liquid Concealer Long-Wearing Fair Shade</t>
        </is>
      </c>
      <c r="C21031" t="inlineStr">
        <is>
          <t>Concealer</t>
        </is>
      </c>
      <c r="D21031" t="inlineStr">
        <is>
          <t>Physicians Formula</t>
        </is>
      </c>
      <c r="E21031" t="n">
        <v>6.53</v>
      </c>
      <c r="F21031" t="n">
        <v>1</v>
      </c>
      <c r="G21031" t="n">
        <v>5</v>
      </c>
      <c r="H21031" s="5">
        <f>HYPERLINK("https://api.qogita.com/variants/link/0044386128644/", "View Product")</f>
        <v/>
      </c>
    </row>
    <row r="21032">
      <c r="A21032" t="inlineStr">
        <is>
          <t>0044386412538</t>
        </is>
      </c>
      <c r="B21032" t="inlineStr">
        <is>
          <t>Physicians Formula Butter Lip Tinted Lip Conditioner with Glossy Finish Enriched with Amazonian Butter Beach Bronze 1 count</t>
        </is>
      </c>
      <c r="C21032" t="inlineStr">
        <is>
          <t>Lip Balm</t>
        </is>
      </c>
      <c r="D21032" t="inlineStr">
        <is>
          <t>Physicians Formula</t>
        </is>
      </c>
      <c r="E21032" t="n">
        <v>5.4</v>
      </c>
      <c r="F21032" t="n">
        <v>1</v>
      </c>
      <c r="G21032" t="n">
        <v>5</v>
      </c>
      <c r="H21032" s="5">
        <f>HYPERLINK("https://api.qogita.com/variants/link/0044386412538/", "View Product")</f>
        <v/>
      </c>
    </row>
    <row r="21033">
      <c r="A21033" t="inlineStr">
        <is>
          <t>0067724271116</t>
        </is>
      </c>
      <c r="B21033" t="inlineStr">
        <is>
          <t>Alfred Sung Shi Eau de Parfum Spray 100ml</t>
        </is>
      </c>
      <c r="C21033" t="inlineStr">
        <is>
          <t>Eau De Parfum</t>
        </is>
      </c>
      <c r="D21033" t="inlineStr">
        <is>
          <t>Alfred Sung</t>
        </is>
      </c>
      <c r="E21033" t="n">
        <v>18.4</v>
      </c>
      <c r="F21033" t="n">
        <v>1</v>
      </c>
      <c r="G21033" t="n">
        <v>38</v>
      </c>
      <c r="H21033" s="5">
        <f>HYPERLINK("https://api.qogita.com/variants/link/0067724271116/", "View Product")</f>
        <v/>
      </c>
    </row>
    <row r="21034">
      <c r="A21034" t="inlineStr">
        <is>
          <t>0074469509169</t>
        </is>
      </c>
      <c r="B21034" t="inlineStr">
        <is>
          <t>Joico Defy Damage Protective Conditioner for Unisex 251ml</t>
        </is>
      </c>
      <c r="C21034" t="inlineStr">
        <is>
          <t>Conditioner</t>
        </is>
      </c>
      <c r="D21034" t="inlineStr">
        <is>
          <t>Joico</t>
        </is>
      </c>
      <c r="E21034" t="n">
        <v>11.46</v>
      </c>
      <c r="F21034" t="n">
        <v>1</v>
      </c>
      <c r="G21034" t="n">
        <v>5</v>
      </c>
      <c r="H21034" s="5">
        <f>HYPERLINK("https://api.qogita.com/variants/link/0074469509169/", "View Product")</f>
        <v/>
      </c>
    </row>
    <row r="21035">
      <c r="A21035" t="inlineStr">
        <is>
          <t>0074469512961</t>
        </is>
      </c>
      <c r="B21035" t="inlineStr">
        <is>
          <t>Joico Dream Blowout Thermal Protection Cream 6.7oz</t>
        </is>
      </c>
      <c r="C21035" t="inlineStr">
        <is>
          <t>Heat Protection</t>
        </is>
      </c>
      <c r="D21035" t="inlineStr">
        <is>
          <t>Joico</t>
        </is>
      </c>
      <c r="E21035" t="n">
        <v>12.16</v>
      </c>
      <c r="F21035" t="n">
        <v>1</v>
      </c>
      <c r="G21035" t="n">
        <v>8</v>
      </c>
      <c r="H21035" s="5">
        <f>HYPERLINK("https://api.qogita.com/variants/link/0074469512961/", "View Product")</f>
        <v/>
      </c>
    </row>
    <row r="21036">
      <c r="A21036" t="inlineStr">
        <is>
          <t>0074469513289</t>
        </is>
      </c>
      <c r="B21036" t="inlineStr">
        <is>
          <t>Joico Blonde Life Brightening Shampoo 1000ml</t>
        </is>
      </c>
      <c r="C21036" t="inlineStr">
        <is>
          <t>Shampoo</t>
        </is>
      </c>
      <c r="D21036" t="inlineStr">
        <is>
          <t>Joico</t>
        </is>
      </c>
      <c r="E21036" t="n">
        <v>27.22</v>
      </c>
      <c r="F21036" t="n">
        <v>1</v>
      </c>
      <c r="G21036" t="n">
        <v>30</v>
      </c>
      <c r="H21036" s="5">
        <f>HYPERLINK("https://api.qogita.com/variants/link/0074469513289/", "View Product")</f>
        <v/>
      </c>
    </row>
    <row r="21037">
      <c r="A21037" t="inlineStr">
        <is>
          <t>0074469513463</t>
        </is>
      </c>
      <c r="B21037" t="inlineStr">
        <is>
          <t>Joico Hydrasplash Replenishing Leave-In Treatment 3.38 oz</t>
        </is>
      </c>
      <c r="C21037" t="inlineStr">
        <is>
          <t>Leave-In Conditioner</t>
        </is>
      </c>
      <c r="D21037" t="inlineStr">
        <is>
          <t>Joico</t>
        </is>
      </c>
      <c r="E21037" t="n">
        <v>14.8</v>
      </c>
      <c r="F21037" t="n">
        <v>1</v>
      </c>
      <c r="G21037" t="n">
        <v>3</v>
      </c>
      <c r="H21037" s="5">
        <f>HYPERLINK("https://api.qogita.com/variants/link/0074469513463/", "View Product")</f>
        <v/>
      </c>
    </row>
    <row r="21038">
      <c r="A21038" t="inlineStr">
        <is>
          <t>0074469513944</t>
        </is>
      </c>
      <c r="B21038" t="inlineStr">
        <is>
          <t>Joico Moisture Recovery Shampoo 1000ml</t>
        </is>
      </c>
      <c r="C21038" t="inlineStr">
        <is>
          <t>Shampoo</t>
        </is>
      </c>
      <c r="D21038" t="inlineStr">
        <is>
          <t>Joico</t>
        </is>
      </c>
      <c r="E21038" t="n">
        <v>22.17</v>
      </c>
      <c r="F21038" t="n">
        <v>1</v>
      </c>
      <c r="G21038" t="n">
        <v>37</v>
      </c>
      <c r="H21038" s="5">
        <f>HYPERLINK("https://api.qogita.com/variants/link/0074469513944/", "View Product")</f>
        <v/>
      </c>
    </row>
    <row r="21039">
      <c r="A21039" t="inlineStr">
        <is>
          <t>0074469517027</t>
        </is>
      </c>
      <c r="B21039" t="inlineStr">
        <is>
          <t>Joico Colorful Glow Beyond Anti-Fade Serum for Unisex 2.13oz Clear Serum</t>
        </is>
      </c>
      <c r="C21039" t="inlineStr">
        <is>
          <t>Hair Oil &amp; Hair Serum</t>
        </is>
      </c>
      <c r="D21039" t="inlineStr">
        <is>
          <t>Joico</t>
        </is>
      </c>
      <c r="E21039" t="n">
        <v>14.03</v>
      </c>
      <c r="F21039" t="n">
        <v>1</v>
      </c>
      <c r="G21039" t="n">
        <v>3</v>
      </c>
      <c r="H21039" s="5">
        <f>HYPERLINK("https://api.qogita.com/variants/link/0074469517027/", "View Product")</f>
        <v/>
      </c>
    </row>
    <row r="21040">
      <c r="A21040" t="inlineStr">
        <is>
          <t>0074469517072</t>
        </is>
      </c>
      <c r="B21040" t="inlineStr">
        <is>
          <t>Joico Colorful Anti-Fade Shampoo 1l</t>
        </is>
      </c>
      <c r="C21040" t="inlineStr">
        <is>
          <t>Shampoo</t>
        </is>
      </c>
      <c r="D21040" t="inlineStr">
        <is>
          <t>Joico</t>
        </is>
      </c>
      <c r="E21040" t="n">
        <v>27.43</v>
      </c>
      <c r="F21040" t="n">
        <v>1</v>
      </c>
      <c r="G21040" t="n">
        <v>8</v>
      </c>
      <c r="H21040" s="5">
        <f>HYPERLINK("https://api.qogita.com/variants/link/0074469517072/", "View Product")</f>
        <v/>
      </c>
    </row>
    <row r="21041">
      <c r="A21041" t="inlineStr">
        <is>
          <t>0074469521673</t>
        </is>
      </c>
      <c r="B21041" t="inlineStr">
        <is>
          <t>JOICO Style &amp; Finish Flip Turn Volume Finishing Spray Hair Spray 325ml</t>
        </is>
      </c>
      <c r="C21041" t="inlineStr">
        <is>
          <t>Hairspray</t>
        </is>
      </c>
      <c r="D21041" t="inlineStr">
        <is>
          <t>Joico</t>
        </is>
      </c>
      <c r="E21041" t="n">
        <v>12.26</v>
      </c>
      <c r="F21041" t="n">
        <v>1</v>
      </c>
      <c r="G21041" t="n">
        <v>9</v>
      </c>
      <c r="H21041" s="5">
        <f>HYPERLINK("https://api.qogita.com/variants/link/0074469521673/", "View Product")</f>
        <v/>
      </c>
    </row>
    <row r="21042">
      <c r="A21042" t="inlineStr">
        <is>
          <t>0074469523066</t>
        </is>
      </c>
      <c r="B21042" t="inlineStr">
        <is>
          <t>Joico Joigel 8 Firm Styling Gel 250 ml</t>
        </is>
      </c>
      <c r="C21042" t="inlineStr">
        <is>
          <t>Gel</t>
        </is>
      </c>
      <c r="D21042" t="inlineStr">
        <is>
          <t>Joico</t>
        </is>
      </c>
      <c r="E21042" t="n">
        <v>9.02</v>
      </c>
      <c r="F21042" t="n">
        <v>1</v>
      </c>
      <c r="G21042" t="n">
        <v>2</v>
      </c>
      <c r="H21042" s="5">
        <f>HYPERLINK("https://api.qogita.com/variants/link/0074469523066/", "View Product")</f>
        <v/>
      </c>
    </row>
    <row r="21043">
      <c r="A21043" t="inlineStr">
        <is>
          <t>0074469525022</t>
        </is>
      </c>
      <c r="B21043" t="inlineStr">
        <is>
          <t>Joico InnerJoi Preserve Conditioner for Color Protection and Shine Sulfate and Paraben Free Vegan Formula 10.1 Ounce</t>
        </is>
      </c>
      <c r="C21043" t="inlineStr">
        <is>
          <t>Conditioner</t>
        </is>
      </c>
      <c r="D21043" t="inlineStr">
        <is>
          <t>Joico</t>
        </is>
      </c>
      <c r="E21043" t="n">
        <v>13.65</v>
      </c>
      <c r="F21043" t="n">
        <v>1</v>
      </c>
      <c r="G21043" t="n">
        <v>3</v>
      </c>
      <c r="H21043" s="5">
        <f>HYPERLINK("https://api.qogita.com/variants/link/0074469525022/", "View Product")</f>
        <v/>
      </c>
    </row>
    <row r="21044">
      <c r="A21044" t="inlineStr">
        <is>
          <t>0074764322548</t>
        </is>
      </c>
      <c r="B21044" t="inlineStr">
        <is>
          <t>Ardell Seamless Underlash Extensions Applicator</t>
        </is>
      </c>
      <c r="C21044" t="inlineStr">
        <is>
          <t>Eyelash Extension Accessories</t>
        </is>
      </c>
      <c r="D21044" t="inlineStr">
        <is>
          <t>Ardell</t>
        </is>
      </c>
      <c r="E21044" t="n">
        <v>5.34</v>
      </c>
      <c r="F21044" t="n">
        <v>1</v>
      </c>
      <c r="G21044" t="n">
        <v>3</v>
      </c>
      <c r="H21044" s="5">
        <f>HYPERLINK("https://api.qogita.com/variants/link/0074764322548/", "View Product")</f>
        <v/>
      </c>
    </row>
    <row r="21045">
      <c r="A21045" t="inlineStr">
        <is>
          <t>0074764613103</t>
        </is>
      </c>
      <c r="B21045" t="inlineStr">
        <is>
          <t>Ardell Glamour Lash 113 Black</t>
        </is>
      </c>
      <c r="C21045" t="inlineStr">
        <is>
          <t>False Eyelashes</t>
        </is>
      </c>
      <c r="D21045" t="inlineStr">
        <is>
          <t>Ardell</t>
        </is>
      </c>
      <c r="E21045" t="n">
        <v>3.56</v>
      </c>
      <c r="F21045" t="n">
        <v>1</v>
      </c>
      <c r="G21045" t="n">
        <v>3</v>
      </c>
      <c r="H21045" s="5">
        <f>HYPERLINK("https://api.qogita.com/variants/link/0074764613103/", "View Product")</f>
        <v/>
      </c>
    </row>
    <row r="21046">
      <c r="A21046" t="inlineStr">
        <is>
          <t>0074764641717</t>
        </is>
      </c>
      <c r="B21046" t="inlineStr">
        <is>
          <t>ARDELL Light As Air 522 False Eyelashes with Bonus DUO Adhesive 1g Clear</t>
        </is>
      </c>
      <c r="C21046" t="inlineStr">
        <is>
          <t>False Eyelashes</t>
        </is>
      </c>
      <c r="D21046" t="inlineStr">
        <is>
          <t>Ardell</t>
        </is>
      </c>
      <c r="E21046" t="n">
        <v>4.57</v>
      </c>
      <c r="F21046" t="n">
        <v>1</v>
      </c>
      <c r="G21046" t="n">
        <v>3</v>
      </c>
      <c r="H21046" s="5">
        <f>HYPERLINK("https://api.qogita.com/variants/link/0074764641717/", "View Product")</f>
        <v/>
      </c>
    </row>
    <row r="21047">
      <c r="A21047" t="inlineStr">
        <is>
          <t>0074764648655</t>
        </is>
      </c>
      <c r="B21047" t="inlineStr">
        <is>
          <t>ARDELL Deluxe Pack Real Hair Eyelashes with Duo Eyelash Glue and Easy Applicator for Attaching False Eyelashes 2.5g - Pack of 2</t>
        </is>
      </c>
      <c r="C21047" t="inlineStr">
        <is>
          <t>False Eyelashes</t>
        </is>
      </c>
      <c r="D21047" t="inlineStr">
        <is>
          <t>Ardell</t>
        </is>
      </c>
      <c r="E21047" t="n">
        <v>7.74</v>
      </c>
      <c r="F21047" t="n">
        <v>1</v>
      </c>
      <c r="G21047" t="n">
        <v>3</v>
      </c>
      <c r="H21047" s="5">
        <f>HYPERLINK("https://api.qogita.com/variants/link/0074764648655/", "View Product")</f>
        <v/>
      </c>
    </row>
    <row r="21048">
      <c r="A21048" t="inlineStr">
        <is>
          <t>0074764664662</t>
        </is>
      </c>
      <c r="B21048" t="inlineStr">
        <is>
          <t>ARDELL Mega Volume Lash 252 25g</t>
        </is>
      </c>
      <c r="C21048" t="inlineStr">
        <is>
          <t>False Eyelashes</t>
        </is>
      </c>
      <c r="D21048" t="inlineStr">
        <is>
          <t>Ardell</t>
        </is>
      </c>
      <c r="E21048" t="n">
        <v>6.52</v>
      </c>
      <c r="F21048" t="n">
        <v>1</v>
      </c>
      <c r="G21048" t="n">
        <v>2</v>
      </c>
      <c r="H21048" s="5">
        <f>HYPERLINK("https://api.qogita.com/variants/link/0074764664662/", "View Product")</f>
        <v/>
      </c>
    </row>
    <row r="21049">
      <c r="A21049" t="inlineStr">
        <is>
          <t>0077802140609</t>
        </is>
      </c>
      <c r="B21049" t="inlineStr">
        <is>
          <t>wet n wild Bare Focus Tinted Hydrator with Hyaluronic Acid and Vegan Squalane for Radiant Skin Semi-Matte Finish Light to Medium Coverage Pale Shade</t>
        </is>
      </c>
      <c r="C21049" t="inlineStr">
        <is>
          <t>Foundation</t>
        </is>
      </c>
      <c r="D21049" t="inlineStr">
        <is>
          <t>Wet 'N' Wild</t>
        </is>
      </c>
      <c r="E21049" t="n">
        <v>4.19</v>
      </c>
      <c r="F21049" t="n">
        <v>1</v>
      </c>
      <c r="G21049" t="n">
        <v>4</v>
      </c>
      <c r="H21049" s="5">
        <f>HYPERLINK("https://api.qogita.com/variants/link/0077802140609/", "View Product")</f>
        <v/>
      </c>
    </row>
    <row r="21050">
      <c r="A21050" t="inlineStr">
        <is>
          <t>0079625014624</t>
        </is>
      </c>
      <c r="B21050" t="inlineStr">
        <is>
          <t>Real Techniques Miracle Complexion Makeup Sponge for Full Coverage Foundation - Pack of 2</t>
        </is>
      </c>
      <c r="C21050" t="inlineStr">
        <is>
          <t>Makeup Sponges</t>
        </is>
      </c>
      <c r="D21050" t="inlineStr">
        <is>
          <t>Real Techniques</t>
        </is>
      </c>
      <c r="E21050" t="n">
        <v>11.04</v>
      </c>
      <c r="F21050" t="n">
        <v>1</v>
      </c>
      <c r="G21050" t="n">
        <v>4</v>
      </c>
      <c r="H21050" s="5">
        <f>HYPERLINK("https://api.qogita.com/variants/link/0079625014624/", "View Product")</f>
        <v/>
      </c>
    </row>
    <row r="21051">
      <c r="A21051" t="inlineStr">
        <is>
          <t>0079625014891</t>
        </is>
      </c>
      <c r="B21051" t="inlineStr">
        <is>
          <t>Real Techniques Miracle Complexion Sponge</t>
        </is>
      </c>
      <c r="C21051" t="inlineStr">
        <is>
          <t>Makeup Sponges</t>
        </is>
      </c>
      <c r="D21051" t="inlineStr">
        <is>
          <t>Real Techniques</t>
        </is>
      </c>
      <c r="E21051" t="n">
        <v>4.71</v>
      </c>
      <c r="F21051" t="n">
        <v>1</v>
      </c>
      <c r="G21051" t="n">
        <v>5</v>
      </c>
      <c r="H21051" s="5">
        <f>HYPERLINK("https://api.qogita.com/variants/link/0079625014891/", "View Product")</f>
        <v/>
      </c>
    </row>
    <row r="21052">
      <c r="A21052" t="inlineStr">
        <is>
          <t>0079625017007</t>
        </is>
      </c>
      <c r="B21052" t="inlineStr">
        <is>
          <t>Real Techniques Mini Travel Size Expert Face Makeup Brush for Foundation</t>
        </is>
      </c>
      <c r="C21052" t="inlineStr">
        <is>
          <t>Foundation Brushes</t>
        </is>
      </c>
      <c r="D21052" t="inlineStr">
        <is>
          <t>Real Techniques</t>
        </is>
      </c>
      <c r="E21052" t="n">
        <v>4.42</v>
      </c>
      <c r="F21052" t="n">
        <v>1</v>
      </c>
      <c r="G21052" t="n">
        <v>26</v>
      </c>
      <c r="H21052" s="5">
        <f>HYPERLINK("https://api.qogita.com/variants/link/0079625017007/", "View Product")</f>
        <v/>
      </c>
    </row>
    <row r="21053">
      <c r="A21053" t="inlineStr">
        <is>
          <t>0079625017489</t>
        </is>
      </c>
      <c r="B21053" t="inlineStr">
        <is>
          <t>Real Techniques Shadow Blend &amp; Blur</t>
        </is>
      </c>
      <c r="C21053" t="inlineStr">
        <is>
          <t>Eyeshadow Brushes</t>
        </is>
      </c>
      <c r="D21053" t="inlineStr">
        <is>
          <t>Real Techniques</t>
        </is>
      </c>
      <c r="E21053" t="n">
        <v>11.21</v>
      </c>
      <c r="F21053" t="n">
        <v>1</v>
      </c>
      <c r="G21053" t="n">
        <v>2</v>
      </c>
      <c r="H21053" s="5">
        <f>HYPERLINK("https://api.qogita.com/variants/link/0079625017489/", "View Product")</f>
        <v/>
      </c>
    </row>
    <row r="21054">
      <c r="A21054" t="inlineStr">
        <is>
          <t>0079625019773</t>
        </is>
      </c>
      <c r="B21054" t="inlineStr">
        <is>
          <t>Real Techniques Brightening Concealer Makeup Brush - Kitten Paw</t>
        </is>
      </c>
      <c r="C21054" t="inlineStr">
        <is>
          <t>Concealer Brushes</t>
        </is>
      </c>
      <c r="D21054" t="inlineStr">
        <is>
          <t>Real Techniques</t>
        </is>
      </c>
      <c r="E21054" t="n">
        <v>5.33</v>
      </c>
      <c r="F21054" t="n">
        <v>1</v>
      </c>
      <c r="G21054" t="n">
        <v>14</v>
      </c>
      <c r="H21054" s="5">
        <f>HYPERLINK("https://api.qogita.com/variants/link/0079625019773/", "View Product")</f>
        <v/>
      </c>
    </row>
    <row r="21055">
      <c r="A21055" t="inlineStr">
        <is>
          <t>0079625042849</t>
        </is>
      </c>
      <c r="B21055" t="inlineStr">
        <is>
          <t>Real Techniques Prism Glo Eye Shadow Brow Duo</t>
        </is>
      </c>
      <c r="C21055" t="inlineStr">
        <is>
          <t>Eyeshadow</t>
        </is>
      </c>
      <c r="D21055" t="inlineStr">
        <is>
          <t>Real Techniques</t>
        </is>
      </c>
      <c r="E21055" t="n">
        <v>7.53</v>
      </c>
      <c r="F21055" t="n">
        <v>1</v>
      </c>
      <c r="G21055" t="n">
        <v>17</v>
      </c>
      <c r="H21055" s="5">
        <f>HYPERLINK("https://api.qogita.com/variants/link/0079625042849/", "View Product")</f>
        <v/>
      </c>
    </row>
    <row r="21056">
      <c r="A21056" t="inlineStr">
        <is>
          <t>0079625438475</t>
        </is>
      </c>
      <c r="B21056" t="inlineStr">
        <is>
          <t>Real Techniques Double Ended Eyebrow Brush for Shaping and Plumping</t>
        </is>
      </c>
      <c r="C21056" t="inlineStr">
        <is>
          <t>Eyebrow Brushes</t>
        </is>
      </c>
      <c r="D21056" t="inlineStr">
        <is>
          <t>Real Techniques</t>
        </is>
      </c>
      <c r="E21056" t="n">
        <v>4.19</v>
      </c>
      <c r="F21056" t="n">
        <v>1</v>
      </c>
      <c r="G21056" t="n">
        <v>3</v>
      </c>
      <c r="H21056" s="5">
        <f>HYPERLINK("https://api.qogita.com/variants/link/0079625438475/", "View Product")</f>
        <v/>
      </c>
    </row>
    <row r="21057">
      <c r="A21057" t="inlineStr">
        <is>
          <t>0079625438499</t>
        </is>
      </c>
      <c r="B21057" t="inlineStr">
        <is>
          <t>Real Techniques Brow Styling Set for Lifting and Styling - Dual</t>
        </is>
      </c>
      <c r="C21057" t="inlineStr">
        <is>
          <t>Eyebrow Sets &amp; Pallets</t>
        </is>
      </c>
      <c r="D21057" t="inlineStr">
        <is>
          <t>Real Techniques</t>
        </is>
      </c>
      <c r="E21057" t="n">
        <v>9.35</v>
      </c>
      <c r="F21057" t="n">
        <v>1</v>
      </c>
      <c r="G21057" t="n">
        <v>5</v>
      </c>
      <c r="H21057" s="5">
        <f>HYPERLINK("https://api.qogita.com/variants/link/0079625438499/", "View Product")</f>
        <v/>
      </c>
    </row>
    <row r="21058">
      <c r="A21058" t="inlineStr">
        <is>
          <t>0079625439205</t>
        </is>
      </c>
      <c r="B21058" t="inlineStr">
        <is>
          <t>Collection Nectar Pop So Jelly Eye Makeup Brush Set</t>
        </is>
      </c>
      <c r="C21058" t="inlineStr">
        <is>
          <t>Brush Sets</t>
        </is>
      </c>
      <c r="D21058" t="inlineStr">
        <is>
          <t>Elegant Touch</t>
        </is>
      </c>
      <c r="E21058" t="n">
        <v>14.84</v>
      </c>
      <c r="F21058" t="n">
        <v>1</v>
      </c>
      <c r="G21058" t="n">
        <v>2</v>
      </c>
      <c r="H21058" s="5">
        <f>HYPERLINK("https://api.qogita.com/variants/link/0079625439205/", "View Product")</f>
        <v/>
      </c>
    </row>
    <row r="21059">
      <c r="A21059" t="inlineStr">
        <is>
          <t>0079625440836</t>
        </is>
      </c>
      <c r="B21059" t="inlineStr">
        <is>
          <t>Real Techniques Snatch + Sculpt Contour Makeup Brush for Liquid &amp; Cream Contour &amp; Bronzer Flat Top &amp; Oval Head Blending &amp; Buffing Dense Synthetic Bristles Vegan &amp; Cruelty Free</t>
        </is>
      </c>
      <c r="C21059" t="inlineStr">
        <is>
          <t>Foundation Brushes</t>
        </is>
      </c>
      <c r="D21059" t="inlineStr">
        <is>
          <t>Real Techniques</t>
        </is>
      </c>
      <c r="E21059" t="n">
        <v>9.1</v>
      </c>
      <c r="F21059" t="n">
        <v>1</v>
      </c>
      <c r="G21059" t="n">
        <v>10</v>
      </c>
      <c r="H21059" s="5">
        <f>HYPERLINK("https://api.qogita.com/variants/link/0079625440836/", "View Product")</f>
        <v/>
      </c>
    </row>
    <row r="21060">
      <c r="A21060" t="inlineStr">
        <is>
          <t>0079625440843</t>
        </is>
      </c>
      <c r="B21060" t="inlineStr">
        <is>
          <t>Real Techniques Power Pigment Blush Makeup Brush Cheek Brush For Liquid &amp; Cream Blush Dense Synthetic Bristles Unique Pointed Shape For Precise Application Vegan &amp; Cruelty Free 1 Count</t>
        </is>
      </c>
      <c r="C21060" t="inlineStr">
        <is>
          <t>Blush Brushes</t>
        </is>
      </c>
      <c r="D21060" t="inlineStr">
        <is>
          <t>Real Techniques</t>
        </is>
      </c>
      <c r="E21060" t="n">
        <v>9.1</v>
      </c>
      <c r="F21060" t="n">
        <v>1</v>
      </c>
      <c r="G21060" t="n">
        <v>5</v>
      </c>
      <c r="H21060" s="5">
        <f>HYPERLINK("https://api.qogita.com/variants/link/0079625440843/", "View Product")</f>
        <v/>
      </c>
    </row>
    <row r="21061">
      <c r="A21061" t="inlineStr">
        <is>
          <t>0079625441406</t>
        </is>
      </c>
      <c r="B21061" t="inlineStr">
        <is>
          <t>Real Techniques Solar Power Soft Shadow Contour Brush</t>
        </is>
      </c>
      <c r="C21061" t="inlineStr">
        <is>
          <t>Eyeshadow Brushes</t>
        </is>
      </c>
      <c r="D21061" t="inlineStr">
        <is>
          <t>Real Techniques</t>
        </is>
      </c>
      <c r="E21061" t="n">
        <v>6.28</v>
      </c>
      <c r="F21061" t="n">
        <v>1</v>
      </c>
      <c r="G21061" t="n">
        <v>7</v>
      </c>
      <c r="H21061" s="5">
        <f>HYPERLINK("https://api.qogita.com/variants/link/0079625441406/", "View Product")</f>
        <v/>
      </c>
    </row>
    <row r="21062">
      <c r="A21062" t="inlineStr">
        <is>
          <t>0079625441918</t>
        </is>
      </c>
      <c r="B21062" t="inlineStr">
        <is>
          <t>Real Techniques Solar Power Molten Metallic Eye Set</t>
        </is>
      </c>
      <c r="C21062" t="inlineStr">
        <is>
          <t>Eye Sets &amp; Pallets</t>
        </is>
      </c>
      <c r="D21062" t="inlineStr">
        <is>
          <t>Real Techniques</t>
        </is>
      </c>
      <c r="E21062" t="n">
        <v>14.78</v>
      </c>
      <c r="F21062" t="n">
        <v>1</v>
      </c>
      <c r="G21062" t="n">
        <v>7</v>
      </c>
      <c r="H21062" s="5">
        <f>HYPERLINK("https://api.qogita.com/variants/link/0079625441918/", "View Product")</f>
        <v/>
      </c>
    </row>
    <row r="21063">
      <c r="A21063" t="inlineStr">
        <is>
          <t>0079625442205</t>
        </is>
      </c>
      <c r="B21063" t="inlineStr">
        <is>
          <t>Real Techniques Midi Glow Set - Sada Pro Aplikaci Make-Upu</t>
        </is>
      </c>
      <c r="C21063" t="inlineStr">
        <is>
          <t>Brush Sets</t>
        </is>
      </c>
      <c r="D21063" t="inlineStr">
        <is>
          <t>Real Techniques</t>
        </is>
      </c>
      <c r="E21063" t="n">
        <v>13.17</v>
      </c>
      <c r="F21063" t="n">
        <v>1</v>
      </c>
      <c r="G21063" t="n">
        <v>2</v>
      </c>
      <c r="H21063" s="5">
        <f>HYPERLINK("https://api.qogita.com/variants/link/0079625442205/", "View Product")</f>
        <v/>
      </c>
    </row>
    <row r="21064">
      <c r="A21064" t="inlineStr">
        <is>
          <t>0079625452525</t>
        </is>
      </c>
      <c r="B21064" t="inlineStr">
        <is>
          <t>Real Techniques Perfect Precision Duo 2 Pieces Makeup Brushes</t>
        </is>
      </c>
      <c r="C21064" t="inlineStr">
        <is>
          <t>Brush Sets</t>
        </is>
      </c>
      <c r="D21064" t="inlineStr">
        <is>
          <t>Real Techniques</t>
        </is>
      </c>
      <c r="E21064" t="n">
        <v>11.2</v>
      </c>
      <c r="F21064" t="n">
        <v>1</v>
      </c>
      <c r="G21064" t="n">
        <v>11</v>
      </c>
      <c r="H21064" s="5">
        <f>HYPERLINK("https://api.qogita.com/variants/link/0079625452525/", "View Product")</f>
        <v/>
      </c>
    </row>
    <row r="21065">
      <c r="A21065" t="inlineStr">
        <is>
          <t>0079625915297</t>
        </is>
      </c>
      <c r="B21065" t="inlineStr">
        <is>
          <t>Real Techniques Eye Shade and Blend Eyeshadow Makeup Brush Duo</t>
        </is>
      </c>
      <c r="C21065" t="inlineStr">
        <is>
          <t>Eyeshadow Brushes</t>
        </is>
      </c>
      <c r="D21065" t="inlineStr">
        <is>
          <t>Real Techniques</t>
        </is>
      </c>
      <c r="E21065" t="n">
        <v>6.68</v>
      </c>
      <c r="F21065" t="n">
        <v>1</v>
      </c>
      <c r="G21065" t="n">
        <v>17</v>
      </c>
      <c r="H21065" s="5">
        <f>HYPERLINK("https://api.qogita.com/variants/link/0079625915297/", "View Product")</f>
        <v/>
      </c>
    </row>
    <row r="21066">
      <c r="A21066" t="inlineStr">
        <is>
          <t>0085715001634</t>
        </is>
      </c>
      <c r="B21066" t="inlineStr">
        <is>
          <t>Guess Seductive Homme Blue Eau de Toilette 3.4 Oz 100 Ml</t>
        </is>
      </c>
      <c r="C21066" t="inlineStr">
        <is>
          <t>Eau De Toilette</t>
        </is>
      </c>
      <c r="D21066" t="inlineStr">
        <is>
          <t>Guess</t>
        </is>
      </c>
      <c r="E21066" t="n">
        <v>16.81</v>
      </c>
      <c r="F21066" t="n">
        <v>1</v>
      </c>
      <c r="G21066" t="n">
        <v>86</v>
      </c>
      <c r="H21066" s="5">
        <f>HYPERLINK("https://api.qogita.com/variants/link/0085715001634/", "View Product")</f>
        <v/>
      </c>
    </row>
    <row r="21067">
      <c r="A21067" t="inlineStr">
        <is>
          <t>0085715002631</t>
        </is>
      </c>
      <c r="B21067" t="inlineStr">
        <is>
          <t>Guess Sexy Skin Sweet Sugar Fragrance Mist for Women 8.4 Oz</t>
        </is>
      </c>
      <c r="C21067" t="inlineStr">
        <is>
          <t>Eau De Toilette</t>
        </is>
      </c>
      <c r="D21067" t="inlineStr">
        <is>
          <t>Guess</t>
        </is>
      </c>
      <c r="E21067" t="n">
        <v>7.88</v>
      </c>
      <c r="F21067" t="n">
        <v>1</v>
      </c>
      <c r="G21067" t="n">
        <v>33</v>
      </c>
      <c r="H21067" s="5">
        <f>HYPERLINK("https://api.qogita.com/variants/link/0085715002631/", "View Product")</f>
        <v/>
      </c>
    </row>
    <row r="21068">
      <c r="A21068" t="inlineStr">
        <is>
          <t>0085715064301</t>
        </is>
      </c>
      <c r="B21068" t="inlineStr">
        <is>
          <t>ANNA SUI Sky Eau de Toilette 30ml</t>
        </is>
      </c>
      <c r="C21068" t="inlineStr">
        <is>
          <t>Eau De Toilette</t>
        </is>
      </c>
      <c r="D21068" t="inlineStr">
        <is>
          <t>Anna Sui</t>
        </is>
      </c>
      <c r="E21068" t="n">
        <v>13.85</v>
      </c>
      <c r="F21068" t="n">
        <v>1</v>
      </c>
      <c r="G21068" t="n">
        <v>9</v>
      </c>
      <c r="H21068" s="5">
        <f>HYPERLINK("https://api.qogita.com/variants/link/0085715064301/", "View Product")</f>
        <v/>
      </c>
    </row>
    <row r="21069">
      <c r="A21069" t="inlineStr">
        <is>
          <t>0085715166012</t>
        </is>
      </c>
      <c r="B21069" t="inlineStr">
        <is>
          <t>Abercrombie &amp; Fitch Authentic Men Eau De Toilette 100ml</t>
        </is>
      </c>
      <c r="C21069" t="inlineStr">
        <is>
          <t>Eau De Toilette</t>
        </is>
      </c>
      <c r="D21069" t="inlineStr">
        <is>
          <t>Abercrombie &amp; Fitch</t>
        </is>
      </c>
      <c r="E21069" t="n">
        <v>24.82</v>
      </c>
      <c r="F21069" t="n">
        <v>1</v>
      </c>
      <c r="G21069" t="n">
        <v>5</v>
      </c>
      <c r="H21069" s="5">
        <f>HYPERLINK("https://api.qogita.com/variants/link/0085715166012/", "View Product")</f>
        <v/>
      </c>
    </row>
    <row r="21070">
      <c r="A21070" t="inlineStr">
        <is>
          <t>0085715167804</t>
        </is>
      </c>
      <c r="B21070" t="inlineStr">
        <is>
          <t>Abercrombie &amp; Fitch Naturally Fierce Eau de Parfum 50ml</t>
        </is>
      </c>
      <c r="C21070" t="inlineStr">
        <is>
          <t>Eau De Parfum</t>
        </is>
      </c>
      <c r="D21070" t="inlineStr">
        <is>
          <t>Abercrombie &amp; Fitch</t>
        </is>
      </c>
      <c r="E21070" t="n">
        <v>18.23</v>
      </c>
      <c r="F21070" t="n">
        <v>1</v>
      </c>
      <c r="G21070" t="n">
        <v>2</v>
      </c>
      <c r="H21070" s="5">
        <f>HYPERLINK("https://api.qogita.com/variants/link/0085715167804/", "View Product")</f>
        <v/>
      </c>
    </row>
    <row r="21071">
      <c r="A21071" t="inlineStr">
        <is>
          <t>0085715167828</t>
        </is>
      </c>
      <c r="B21071" t="inlineStr">
        <is>
          <t>Abercrombie &amp; Fitch Naturally Fierce Eau De Parfum 30ml</t>
        </is>
      </c>
      <c r="C21071" t="inlineStr">
        <is>
          <t>Eau De Parfum</t>
        </is>
      </c>
      <c r="D21071" t="inlineStr">
        <is>
          <t>Abercrombie &amp; Fitch</t>
        </is>
      </c>
      <c r="E21071" t="n">
        <v>14.67</v>
      </c>
      <c r="F21071" t="n">
        <v>1</v>
      </c>
      <c r="G21071" t="n">
        <v>5</v>
      </c>
      <c r="H21071" s="5">
        <f>HYPERLINK("https://api.qogita.com/variants/link/0085715167828/", "View Product")</f>
        <v/>
      </c>
    </row>
    <row r="21072">
      <c r="A21072" t="inlineStr">
        <is>
          <t>0085715169006</t>
        </is>
      </c>
      <c r="B21072" t="inlineStr">
        <is>
          <t>Abercrombie &amp; Fitch Authentic Night Women Eau de Parfum 30ml</t>
        </is>
      </c>
      <c r="C21072" t="inlineStr">
        <is>
          <t>Eau De Parfum</t>
        </is>
      </c>
      <c r="D21072" t="inlineStr">
        <is>
          <t>Abercrombie &amp; Fitch</t>
        </is>
      </c>
      <c r="E21072" t="n">
        <v>16.36</v>
      </c>
      <c r="F21072" t="n">
        <v>1</v>
      </c>
      <c r="G21072" t="n">
        <v>2</v>
      </c>
      <c r="H21072" s="5">
        <f>HYPERLINK("https://api.qogita.com/variants/link/0085715169006/", "View Product")</f>
        <v/>
      </c>
    </row>
    <row r="21073">
      <c r="A21073" t="inlineStr">
        <is>
          <t>0085715169570</t>
        </is>
      </c>
      <c r="B21073" t="inlineStr">
        <is>
          <t>Abercrombie &amp; Fitch Fierce Cologne Eau De Cologne 50ml</t>
        </is>
      </c>
      <c r="C21073" t="inlineStr">
        <is>
          <t>Eau De Cologne</t>
        </is>
      </c>
      <c r="D21073" t="inlineStr">
        <is>
          <t>Abercrombie &amp; Fitch</t>
        </is>
      </c>
      <c r="E21073" t="n">
        <v>38.17</v>
      </c>
      <c r="F21073" t="n">
        <v>1</v>
      </c>
      <c r="G21073" t="n">
        <v>63</v>
      </c>
      <c r="H21073" s="5">
        <f>HYPERLINK("https://api.qogita.com/variants/link/0085715169570/", "View Product")</f>
        <v/>
      </c>
    </row>
    <row r="21074">
      <c r="A21074" t="inlineStr">
        <is>
          <t>0085715169617</t>
        </is>
      </c>
      <c r="B21074" t="inlineStr">
        <is>
          <t>Abercrombie &amp; Fitch Authentic Moment Women EDP Spray 50ml</t>
        </is>
      </c>
      <c r="C21074" t="inlineStr">
        <is>
          <t>Eau De Parfum</t>
        </is>
      </c>
      <c r="D21074" t="inlineStr">
        <is>
          <t>Abercrombie &amp; Fitch</t>
        </is>
      </c>
      <c r="E21074" t="n">
        <v>17.91</v>
      </c>
      <c r="F21074" t="n">
        <v>1</v>
      </c>
      <c r="G21074" t="n">
        <v>6</v>
      </c>
      <c r="H21074" s="5">
        <f>HYPERLINK("https://api.qogita.com/variants/link/0085715169617/", "View Product")</f>
        <v/>
      </c>
    </row>
    <row r="21075">
      <c r="A21075" t="inlineStr">
        <is>
          <t>0085715261113</t>
        </is>
      </c>
      <c r="B21075" t="inlineStr">
        <is>
          <t>Hollister Wave 2 For Her Eau de Parfum 100ml</t>
        </is>
      </c>
      <c r="C21075" t="inlineStr">
        <is>
          <t>Eau De Parfum</t>
        </is>
      </c>
      <c r="D21075" t="inlineStr">
        <is>
          <t>Hollister</t>
        </is>
      </c>
      <c r="E21075" t="n">
        <v>16.81</v>
      </c>
      <c r="F21075" t="n">
        <v>1</v>
      </c>
      <c r="G21075" t="n">
        <v>76</v>
      </c>
      <c r="H21075" s="5">
        <f>HYPERLINK("https://api.qogita.com/variants/link/0085715261113/", "View Product")</f>
        <v/>
      </c>
    </row>
    <row r="21076">
      <c r="A21076" t="inlineStr">
        <is>
          <t>0085715265319</t>
        </is>
      </c>
      <c r="B21076" t="inlineStr">
        <is>
          <t>Hollister Free Wave For Her EDP 100</t>
        </is>
      </c>
      <c r="C21076" t="inlineStr">
        <is>
          <t>Eau De Parfum</t>
        </is>
      </c>
      <c r="D21076" t="inlineStr">
        <is>
          <t>Hollister</t>
        </is>
      </c>
      <c r="E21076" t="n">
        <v>14.44</v>
      </c>
      <c r="F21076" t="n">
        <v>1</v>
      </c>
      <c r="G21076" t="n">
        <v>2</v>
      </c>
      <c r="H21076" s="5">
        <f>HYPERLINK("https://api.qogita.com/variants/link/0085715265319/", "View Product")</f>
        <v/>
      </c>
    </row>
    <row r="21077">
      <c r="A21077" t="inlineStr">
        <is>
          <t>0085715266019</t>
        </is>
      </c>
      <c r="B21077" t="inlineStr">
        <is>
          <t>Hollister Ladies Wave X EDP 100ml</t>
        </is>
      </c>
      <c r="C21077" t="inlineStr">
        <is>
          <t>Eau De Parfum</t>
        </is>
      </c>
      <c r="D21077" t="inlineStr">
        <is>
          <t>Hollister</t>
        </is>
      </c>
      <c r="E21077" t="n">
        <v>16.05</v>
      </c>
      <c r="F21077" t="n">
        <v>1</v>
      </c>
      <c r="G21077" t="n">
        <v>9</v>
      </c>
      <c r="H21077" s="5">
        <f>HYPERLINK("https://api.qogita.com/variants/link/0085715266019/", "View Product")</f>
        <v/>
      </c>
    </row>
    <row r="21078">
      <c r="A21078" t="inlineStr">
        <is>
          <t>0085715266316</t>
        </is>
      </c>
      <c r="B21078" t="inlineStr">
        <is>
          <t>Free Wave For Him by Hollister Eau De Toilette Spray 100ml</t>
        </is>
      </c>
      <c r="C21078" t="inlineStr">
        <is>
          <t>Eau De Toilette</t>
        </is>
      </c>
      <c r="D21078" t="inlineStr">
        <is>
          <t>Hollister</t>
        </is>
      </c>
      <c r="E21078" t="n">
        <v>18.23</v>
      </c>
      <c r="F21078" t="n">
        <v>1</v>
      </c>
      <c r="G21078" t="n">
        <v>14</v>
      </c>
      <c r="H21078" s="5">
        <f>HYPERLINK("https://api.qogita.com/variants/link/0085715266316/", "View Product")</f>
        <v/>
      </c>
    </row>
    <row r="21079">
      <c r="A21079" t="inlineStr">
        <is>
          <t>0085715267511</t>
        </is>
      </c>
      <c r="B21079" t="inlineStr">
        <is>
          <t>Hollister Canyon Rush For Her Eau De Perfume Spray 50ml</t>
        </is>
      </c>
      <c r="C21079" t="inlineStr">
        <is>
          <t>Eau De Parfum</t>
        </is>
      </c>
      <c r="D21079" t="inlineStr">
        <is>
          <t>Hollister</t>
        </is>
      </c>
      <c r="E21079" t="n">
        <v>13.79</v>
      </c>
      <c r="F21079" t="n">
        <v>1</v>
      </c>
      <c r="G21079" t="n">
        <v>24</v>
      </c>
      <c r="H21079" s="5">
        <f>HYPERLINK("https://api.qogita.com/variants/link/0085715267511/", "View Product")</f>
        <v/>
      </c>
    </row>
    <row r="21080">
      <c r="A21080" t="inlineStr">
        <is>
          <t>0085715268013</t>
        </is>
      </c>
      <c r="B21080" t="inlineStr">
        <is>
          <t>Hollister Festival Vibes For Her Eau De Parfum 100ml</t>
        </is>
      </c>
      <c r="C21080" t="inlineStr">
        <is>
          <t>Eau De Parfum</t>
        </is>
      </c>
      <c r="D21080" t="inlineStr">
        <is>
          <t>Hollister</t>
        </is>
      </c>
      <c r="E21080" t="n">
        <v>14.18</v>
      </c>
      <c r="F21080" t="n">
        <v>1</v>
      </c>
      <c r="G21080" t="n">
        <v>5</v>
      </c>
      <c r="H21080" s="5">
        <f>HYPERLINK("https://api.qogita.com/variants/link/0085715268013/", "View Product")</f>
        <v/>
      </c>
    </row>
    <row r="21081">
      <c r="A21081" t="inlineStr">
        <is>
          <t>0085715268617</t>
        </is>
      </c>
      <c r="B21081" t="inlineStr">
        <is>
          <t>Hollister Festival Nite for Him Eau de Toilette 100ml</t>
        </is>
      </c>
      <c r="C21081" t="inlineStr">
        <is>
          <t>Eau De Toilette</t>
        </is>
      </c>
      <c r="D21081" t="inlineStr">
        <is>
          <t>Hollister</t>
        </is>
      </c>
      <c r="E21081" t="n">
        <v>15.7</v>
      </c>
      <c r="F21081" t="n">
        <v>1</v>
      </c>
      <c r="G21081" t="n">
        <v>9</v>
      </c>
      <c r="H21081" s="5">
        <f>HYPERLINK("https://api.qogita.com/variants/link/0085715268617/", "View Product")</f>
        <v/>
      </c>
    </row>
    <row r="21082">
      <c r="A21082" t="inlineStr">
        <is>
          <t>0085715269539</t>
        </is>
      </c>
      <c r="B21082" t="inlineStr">
        <is>
          <t>Hollister Citrus Pop Body Mist 125ml</t>
        </is>
      </c>
      <c r="C21082" t="inlineStr">
        <is>
          <t>Eau De Toilette</t>
        </is>
      </c>
      <c r="D21082" t="inlineStr">
        <is>
          <t>Hollister</t>
        </is>
      </c>
      <c r="E21082" t="n">
        <v>4.84</v>
      </c>
      <c r="F21082" t="n">
        <v>1</v>
      </c>
      <c r="G21082" t="n">
        <v>5</v>
      </c>
      <c r="H21082" s="5">
        <f>HYPERLINK("https://api.qogita.com/variants/link/0085715269539/", "View Product")</f>
        <v/>
      </c>
    </row>
    <row r="21083">
      <c r="A21083" t="inlineStr">
        <is>
          <t>0085715295378</t>
        </is>
      </c>
      <c r="B21083" t="inlineStr">
        <is>
          <t>Anna Sui Sundae Pretty Pink 50ml</t>
        </is>
      </c>
      <c r="C21083" t="inlineStr">
        <is>
          <t>Eau De Parfum</t>
        </is>
      </c>
      <c r="D21083" t="inlineStr">
        <is>
          <t>Anna Sui</t>
        </is>
      </c>
      <c r="E21083" t="n">
        <v>22.42</v>
      </c>
      <c r="F21083" t="n">
        <v>1</v>
      </c>
      <c r="G21083" t="n">
        <v>26</v>
      </c>
      <c r="H21083" s="5">
        <f>HYPERLINK("https://api.qogita.com/variants/link/0085715295378/", "View Product")</f>
        <v/>
      </c>
    </row>
    <row r="21084">
      <c r="A21084" t="inlineStr">
        <is>
          <t>0085715320100</t>
        </is>
      </c>
      <c r="B21084" t="inlineStr">
        <is>
          <t>Guess Seductive Eau De Toilette Spray 125ml</t>
        </is>
      </c>
      <c r="C21084" t="inlineStr">
        <is>
          <t>Eau De Toilette</t>
        </is>
      </c>
      <c r="D21084" t="inlineStr">
        <is>
          <t>Guess</t>
        </is>
      </c>
      <c r="E21084" t="n">
        <v>19.91</v>
      </c>
      <c r="F21084" t="n">
        <v>1</v>
      </c>
      <c r="G21084" t="n">
        <v>741</v>
      </c>
      <c r="H21084" s="5">
        <f>HYPERLINK("https://api.qogita.com/variants/link/0085715320100/", "View Product")</f>
        <v/>
      </c>
    </row>
    <row r="21085">
      <c r="A21085" t="inlineStr">
        <is>
          <t>0085715320315</t>
        </is>
      </c>
      <c r="B21085" t="inlineStr">
        <is>
          <t>Guess Seductive Homme EDT Spray 100ml</t>
        </is>
      </c>
      <c r="C21085" t="inlineStr">
        <is>
          <t>Eau De Toilette</t>
        </is>
      </c>
      <c r="D21085" t="inlineStr">
        <is>
          <t>Guess</t>
        </is>
      </c>
      <c r="E21085" t="n">
        <v>16.9</v>
      </c>
      <c r="F21085" t="n">
        <v>1</v>
      </c>
      <c r="G21085" t="n">
        <v>107</v>
      </c>
      <c r="H21085" s="5">
        <f>HYPERLINK("https://api.qogita.com/variants/link/0085715320315/", "View Product")</f>
        <v/>
      </c>
    </row>
    <row r="21086">
      <c r="A21086" t="inlineStr">
        <is>
          <t>0085715320377</t>
        </is>
      </c>
      <c r="B21086" t="inlineStr">
        <is>
          <t>GUESS Seductive Noir Men Eau de Toilette 100ml</t>
        </is>
      </c>
      <c r="C21086" t="inlineStr">
        <is>
          <t>Eau De Toilette</t>
        </is>
      </c>
      <c r="D21086" t="inlineStr">
        <is>
          <t>Guess</t>
        </is>
      </c>
      <c r="E21086" t="n">
        <v>18.47</v>
      </c>
      <c r="F21086" t="n">
        <v>1</v>
      </c>
      <c r="G21086" t="n">
        <v>15</v>
      </c>
      <c r="H21086" s="5">
        <f>HYPERLINK("https://api.qogita.com/variants/link/0085715320377/", "View Product")</f>
        <v/>
      </c>
    </row>
    <row r="21087">
      <c r="A21087" t="inlineStr">
        <is>
          <t>0085715320858</t>
        </is>
      </c>
      <c r="B21087" t="inlineStr">
        <is>
          <t>Guess Girl Fragrance Body Mist Spray 250ml for Women</t>
        </is>
      </c>
      <c r="C21087" t="inlineStr">
        <is>
          <t>Eau De Toilette</t>
        </is>
      </c>
      <c r="D21087" t="inlineStr">
        <is>
          <t>Guess</t>
        </is>
      </c>
      <c r="E21087" t="n">
        <v>7.13</v>
      </c>
      <c r="F21087" t="n">
        <v>1</v>
      </c>
      <c r="G21087" t="n">
        <v>22</v>
      </c>
      <c r="H21087" s="5">
        <f>HYPERLINK("https://api.qogita.com/variants/link/0085715320858/", "View Product")</f>
        <v/>
      </c>
    </row>
    <row r="21088">
      <c r="A21088" t="inlineStr">
        <is>
          <t>0085715321107</t>
        </is>
      </c>
      <c r="B21088" t="inlineStr">
        <is>
          <t>Guess By Marciano Woman Eau de Parfum 100ml</t>
        </is>
      </c>
      <c r="C21088" t="inlineStr">
        <is>
          <t>Eau De Toilette</t>
        </is>
      </c>
      <c r="D21088" t="inlineStr">
        <is>
          <t>Guess</t>
        </is>
      </c>
      <c r="E21088" t="n">
        <v>13</v>
      </c>
      <c r="F21088" t="n">
        <v>1</v>
      </c>
      <c r="G21088" t="n">
        <v>5600</v>
      </c>
      <c r="H21088" s="5">
        <f>HYPERLINK("https://api.qogita.com/variants/link/0085715321107/", "View Product")</f>
        <v/>
      </c>
    </row>
    <row r="21089">
      <c r="A21089" t="inlineStr">
        <is>
          <t>0085715321305</t>
        </is>
      </c>
      <c r="B21089" t="inlineStr">
        <is>
          <t>Guess Marciano M EDT Perfume Spray 354g</t>
        </is>
      </c>
      <c r="C21089" t="inlineStr">
        <is>
          <t>Eau De Toilette</t>
        </is>
      </c>
      <c r="D21089" t="inlineStr">
        <is>
          <t>Guess</t>
        </is>
      </c>
      <c r="E21089" t="n">
        <v>13.12</v>
      </c>
      <c r="F21089" t="n">
        <v>1</v>
      </c>
      <c r="G21089" t="n">
        <v>3049</v>
      </c>
      <c r="H21089" s="5">
        <f>HYPERLINK("https://api.qogita.com/variants/link/0085715321305/", "View Product")</f>
        <v/>
      </c>
    </row>
    <row r="21090">
      <c r="A21090" t="inlineStr">
        <is>
          <t>0085715321411</t>
        </is>
      </c>
      <c r="B21090" t="inlineStr">
        <is>
          <t>Guess Girl Belle Eau De Toilette Spray 100ml 3.4oz</t>
        </is>
      </c>
      <c r="C21090" t="inlineStr">
        <is>
          <t>Eau De Toilette</t>
        </is>
      </c>
      <c r="D21090" t="inlineStr">
        <is>
          <t>Guess</t>
        </is>
      </c>
      <c r="E21090" t="n">
        <v>18.25</v>
      </c>
      <c r="F21090" t="n">
        <v>1</v>
      </c>
      <c r="G21090" t="n">
        <v>52</v>
      </c>
      <c r="H21090" s="5">
        <f>HYPERLINK("https://api.qogita.com/variants/link/0085715321411/", "View Product")</f>
        <v/>
      </c>
    </row>
    <row r="21091">
      <c r="A21091" t="inlineStr">
        <is>
          <t>0085715321510</t>
        </is>
      </c>
      <c r="B21091" t="inlineStr">
        <is>
          <t>Guess 1981 Women EDT 100ml Musk</t>
        </is>
      </c>
      <c r="C21091" t="inlineStr">
        <is>
          <t>Eau De Toilette</t>
        </is>
      </c>
      <c r="D21091" t="inlineStr">
        <is>
          <t>Guess</t>
        </is>
      </c>
      <c r="E21091" t="n">
        <v>16.45</v>
      </c>
      <c r="F21091" t="n">
        <v>1</v>
      </c>
      <c r="G21091" t="n">
        <v>854</v>
      </c>
      <c r="H21091" s="5">
        <f>HYPERLINK("https://api.qogita.com/variants/link/0085715321510/", "View Product")</f>
        <v/>
      </c>
    </row>
    <row r="21092">
      <c r="A21092" t="inlineStr">
        <is>
          <t>0085715321732</t>
        </is>
      </c>
      <c r="B21092" t="inlineStr">
        <is>
          <t>Guess Seductive Red Eau de Toilette for Men Spray 100ml</t>
        </is>
      </c>
      <c r="C21092" t="inlineStr">
        <is>
          <t>Eau De Toilette</t>
        </is>
      </c>
      <c r="D21092" t="inlineStr">
        <is>
          <t>Guess</t>
        </is>
      </c>
      <c r="E21092" t="n">
        <v>17.09</v>
      </c>
      <c r="F21092" t="n">
        <v>1</v>
      </c>
      <c r="G21092" t="n">
        <v>22</v>
      </c>
      <c r="H21092" s="5">
        <f>HYPERLINK("https://api.qogita.com/variants/link/0085715321732/", "View Product")</f>
        <v/>
      </c>
    </row>
    <row r="21093">
      <c r="A21093" t="inlineStr">
        <is>
          <t>0085715321749</t>
        </is>
      </c>
      <c r="B21093" t="inlineStr">
        <is>
          <t>GUESS Seductive Red Men Homme Eau de Toilette Cologne Spray for Men 1.7 Fl Oz</t>
        </is>
      </c>
      <c r="C21093" t="inlineStr">
        <is>
          <t>Eau De Toilette</t>
        </is>
      </c>
      <c r="D21093" t="inlineStr">
        <is>
          <t>Guess</t>
        </is>
      </c>
      <c r="E21093" t="n">
        <v>13.93</v>
      </c>
      <c r="F21093" t="n">
        <v>1</v>
      </c>
      <c r="G21093" t="n">
        <v>205</v>
      </c>
      <c r="H21093" s="5">
        <f>HYPERLINK("https://api.qogita.com/variants/link/0085715321749/", "View Product")</f>
        <v/>
      </c>
    </row>
    <row r="21094">
      <c r="A21094" t="inlineStr">
        <is>
          <t>0085715322111</t>
        </is>
      </c>
      <c r="B21094" t="inlineStr">
        <is>
          <t>Guess 1981 Los Angeles Pour Homme 100ml EDT Spray</t>
        </is>
      </c>
      <c r="C21094" t="inlineStr">
        <is>
          <t>Eau De Toilette</t>
        </is>
      </c>
      <c r="D21094" t="inlineStr">
        <is>
          <t>Guess</t>
        </is>
      </c>
      <c r="E21094" t="n">
        <v>18.25</v>
      </c>
      <c r="F21094" t="n">
        <v>1</v>
      </c>
      <c r="G21094" t="n">
        <v>83</v>
      </c>
      <c r="H21094" s="5">
        <f>HYPERLINK("https://api.qogita.com/variants/link/0085715322111/", "View Product")</f>
        <v/>
      </c>
    </row>
    <row r="21095">
      <c r="A21095" t="inlineStr">
        <is>
          <t>0085715322258</t>
        </is>
      </c>
      <c r="B21095" t="inlineStr">
        <is>
          <t>Guess 1981 Los Angeles Fragrance Body Mist Spray for Women 8.4 fl oz</t>
        </is>
      </c>
      <c r="C21095" t="inlineStr">
        <is>
          <t>Eau De Toilette</t>
        </is>
      </c>
      <c r="D21095" t="inlineStr">
        <is>
          <t>Guess</t>
        </is>
      </c>
      <c r="E21095" t="n">
        <v>7.92</v>
      </c>
      <c r="F21095" t="n">
        <v>1</v>
      </c>
      <c r="G21095" t="n">
        <v>18</v>
      </c>
      <c r="H21095" s="5">
        <f>HYPERLINK("https://api.qogita.com/variants/link/0085715322258/", "View Product")</f>
        <v/>
      </c>
    </row>
    <row r="21096">
      <c r="A21096" t="inlineStr">
        <is>
          <t>0085715322432</t>
        </is>
      </c>
      <c r="B21096" t="inlineStr">
        <is>
          <t>Guess Seductive Red for Women Fragranced Mist 250ml</t>
        </is>
      </c>
      <c r="C21096" t="inlineStr">
        <is>
          <t>Eau De Toilette</t>
        </is>
      </c>
      <c r="D21096" t="inlineStr">
        <is>
          <t>Guess</t>
        </is>
      </c>
      <c r="E21096" t="n">
        <v>7.86</v>
      </c>
      <c r="F21096" t="n">
        <v>1</v>
      </c>
      <c r="G21096" t="n">
        <v>2</v>
      </c>
      <c r="H21096" s="5">
        <f>HYPERLINK("https://api.qogita.com/variants/link/0085715322432/", "View Product")</f>
        <v/>
      </c>
    </row>
    <row r="21097">
      <c r="A21097" t="inlineStr">
        <is>
          <t>0085715323101</t>
        </is>
      </c>
      <c r="B21097" t="inlineStr">
        <is>
          <t>GUESS Seductive 125ml Women's Fragrance</t>
        </is>
      </c>
      <c r="C21097" t="inlineStr">
        <is>
          <t>Eau De Parfum</t>
        </is>
      </c>
      <c r="D21097" t="inlineStr">
        <is>
          <t>Guess</t>
        </is>
      </c>
      <c r="E21097" t="n">
        <v>7.13</v>
      </c>
      <c r="F21097" t="n">
        <v>1</v>
      </c>
      <c r="G21097" t="n">
        <v>10</v>
      </c>
      <c r="H21097" s="5">
        <f>HYPERLINK("https://api.qogita.com/variants/link/0085715323101/", "View Product")</f>
        <v/>
      </c>
    </row>
    <row r="21098">
      <c r="A21098" t="inlineStr">
        <is>
          <t>0085715326553</t>
        </is>
      </c>
      <c r="B21098" t="inlineStr">
        <is>
          <t>Guess Bella Vita Rosa Fragrance Mist 8.4 Fl Oz</t>
        </is>
      </c>
      <c r="C21098" t="inlineStr">
        <is>
          <t>Eau De Toilette</t>
        </is>
      </c>
      <c r="D21098" t="inlineStr">
        <is>
          <t>Guess</t>
        </is>
      </c>
      <c r="E21098" t="n">
        <v>8.449999999999999</v>
      </c>
      <c r="F21098" t="n">
        <v>1</v>
      </c>
      <c r="G21098" t="n">
        <v>15</v>
      </c>
      <c r="H21098" s="5">
        <f>HYPERLINK("https://api.qogita.com/variants/link/0085715326553/", "View Product")</f>
        <v/>
      </c>
    </row>
    <row r="21099">
      <c r="A21099" t="inlineStr">
        <is>
          <t>0085715326652</t>
        </is>
      </c>
      <c r="B21099" t="inlineStr">
        <is>
          <t>Guess Uomo After Shave for Men 3.4 Fl. Oz. Fresh &amp; Elegant Fragrance</t>
        </is>
      </c>
      <c r="C21099" t="inlineStr">
        <is>
          <t>Aftershave</t>
        </is>
      </c>
      <c r="D21099" t="inlineStr">
        <is>
          <t>Guess</t>
        </is>
      </c>
      <c r="E21099" t="n">
        <v>12.58</v>
      </c>
      <c r="F21099" t="n">
        <v>1</v>
      </c>
      <c r="G21099" t="n">
        <v>16</v>
      </c>
      <c r="H21099" s="5">
        <f>HYPERLINK("https://api.qogita.com/variants/link/0085715326652/", "View Product")</f>
        <v/>
      </c>
    </row>
    <row r="21100">
      <c r="A21100" t="inlineStr">
        <is>
          <t>0085715326706</t>
        </is>
      </c>
      <c r="B21100" t="inlineStr">
        <is>
          <t>Guess Uomo Intenso Eau De Parfum Cologne Spray for Men 3.4 Fl Oz</t>
        </is>
      </c>
      <c r="C21100" t="inlineStr">
        <is>
          <t>Eau De Parfum</t>
        </is>
      </c>
      <c r="D21100" t="inlineStr">
        <is>
          <t>Guess</t>
        </is>
      </c>
      <c r="E21100" t="n">
        <v>22.56</v>
      </c>
      <c r="F21100" t="n">
        <v>1</v>
      </c>
      <c r="G21100" t="n">
        <v>7</v>
      </c>
      <c r="H21100" s="5">
        <f>HYPERLINK("https://api.qogita.com/variants/link/0085715326706/", "View Product")</f>
        <v/>
      </c>
    </row>
    <row r="21101">
      <c r="A21101" t="inlineStr">
        <is>
          <t>0085715326973</t>
        </is>
      </c>
      <c r="B21101" t="inlineStr">
        <is>
          <t>Guess Sexy Skin Solar Warmth Fragrance Mist for Women 8.4 Oz</t>
        </is>
      </c>
      <c r="C21101" t="inlineStr">
        <is>
          <t>Eau De Toilette</t>
        </is>
      </c>
      <c r="D21101" t="inlineStr">
        <is>
          <t>Guess</t>
        </is>
      </c>
      <c r="E21101" t="n">
        <v>8.529999999999999</v>
      </c>
      <c r="F21101" t="n">
        <v>1</v>
      </c>
      <c r="G21101" t="n">
        <v>16</v>
      </c>
      <c r="H21101" s="5">
        <f>HYPERLINK("https://api.qogita.com/variants/link/0085715326973/", "View Product")</f>
        <v/>
      </c>
    </row>
    <row r="21102">
      <c r="A21102" t="inlineStr">
        <is>
          <t>0085715327079</t>
        </is>
      </c>
      <c r="B21102" t="inlineStr">
        <is>
          <t>Guess Sexy Skin Metallique Mojito Fragrance Mist for Women 8.4 Fl Oz</t>
        </is>
      </c>
      <c r="C21102" t="inlineStr">
        <is>
          <t>Fragrance Sets</t>
        </is>
      </c>
      <c r="D21102" t="inlineStr">
        <is>
          <t>Guess</t>
        </is>
      </c>
      <c r="E21102" t="n">
        <v>9.83</v>
      </c>
      <c r="F21102" t="n">
        <v>1</v>
      </c>
      <c r="G21102" t="n">
        <v>20</v>
      </c>
      <c r="H21102" s="5">
        <f>HYPERLINK("https://api.qogita.com/variants/link/0085715327079/", "View Product")</f>
        <v/>
      </c>
    </row>
    <row r="21103">
      <c r="A21103" t="inlineStr">
        <is>
          <t>0085715327239</t>
        </is>
      </c>
      <c r="B21103" t="inlineStr">
        <is>
          <t>Guess Effect Boost Hair and Body Wash For Men 6.7oz</t>
        </is>
      </c>
      <c r="C21103" t="inlineStr">
        <is>
          <t>Shower Gel</t>
        </is>
      </c>
      <c r="D21103" t="inlineStr">
        <is>
          <t>Guess</t>
        </is>
      </c>
      <c r="E21103" t="n">
        <v>3.3</v>
      </c>
      <c r="F21103" t="n">
        <v>1</v>
      </c>
      <c r="G21103" t="n">
        <v>5</v>
      </c>
      <c r="H21103" s="5">
        <f>HYPERLINK("https://api.qogita.com/variants/link/0085715327239/", "View Product")</f>
        <v/>
      </c>
    </row>
    <row r="21104">
      <c r="A21104" t="inlineStr">
        <is>
          <t>0085715329967</t>
        </is>
      </c>
      <c r="B21104" t="inlineStr">
        <is>
          <t>Guess Dare Eau de Toilette Set 100ml, 15ml, and Body Lotion 200ml 2023</t>
        </is>
      </c>
      <c r="C21104" t="inlineStr">
        <is>
          <t>Fragrance Sets</t>
        </is>
      </c>
      <c r="D21104" t="inlineStr">
        <is>
          <t>Guess</t>
        </is>
      </c>
      <c r="E21104" t="n">
        <v>23.42</v>
      </c>
      <c r="F21104" t="n">
        <v>1</v>
      </c>
      <c r="G21104" t="n">
        <v>52</v>
      </c>
      <c r="H21104" s="5">
        <f>HYPERLINK("https://api.qogita.com/variants/link/0085715329967/", "View Product")</f>
        <v/>
      </c>
    </row>
    <row r="21105">
      <c r="A21105" t="inlineStr">
        <is>
          <t>0085715331007</t>
        </is>
      </c>
      <c r="B21105" t="inlineStr">
        <is>
          <t>Guess Seductive Kiss for Women 2.5 Oz EDT Spray</t>
        </is>
      </c>
      <c r="C21105" t="inlineStr">
        <is>
          <t>Eau De Toilette</t>
        </is>
      </c>
      <c r="D21105" t="inlineStr">
        <is>
          <t>Guess</t>
        </is>
      </c>
      <c r="E21105" t="n">
        <v>19.62</v>
      </c>
      <c r="F21105" t="n">
        <v>1</v>
      </c>
      <c r="G21105" t="n">
        <v>20</v>
      </c>
      <c r="H21105" s="5">
        <f>HYPERLINK("https://api.qogita.com/variants/link/0085715331007/", "View Product")</f>
        <v/>
      </c>
    </row>
    <row r="21106">
      <c r="A21106" t="inlineStr">
        <is>
          <t>0085715331304</t>
        </is>
      </c>
      <c r="B21106" t="inlineStr">
        <is>
          <t>Guess Seductive Flirt by Guess Eau De Toilette Spray 75ml</t>
        </is>
      </c>
      <c r="C21106" t="inlineStr">
        <is>
          <t>Eau De Toilette</t>
        </is>
      </c>
      <c r="D21106" t="inlineStr">
        <is>
          <t>Guess</t>
        </is>
      </c>
      <c r="E21106" t="n">
        <v>19.6</v>
      </c>
      <c r="F21106" t="n">
        <v>1</v>
      </c>
      <c r="G21106" t="n">
        <v>22</v>
      </c>
      <c r="H21106" s="5">
        <f>HYPERLINK("https://api.qogita.com/variants/link/0085715331304/", "View Product")</f>
        <v/>
      </c>
    </row>
    <row r="21107">
      <c r="A21107" t="inlineStr">
        <is>
          <t>0085715331519</t>
        </is>
      </c>
      <c r="B21107" t="inlineStr">
        <is>
          <t>Guess Seductive Dream Eau De Toilette Perfume Spray for Women 2.5oz</t>
        </is>
      </c>
      <c r="C21107" t="inlineStr">
        <is>
          <t>Eau De Toilette</t>
        </is>
      </c>
      <c r="D21107" t="inlineStr">
        <is>
          <t>Guess</t>
        </is>
      </c>
      <c r="E21107" t="n">
        <v>21.34</v>
      </c>
      <c r="F21107" t="n">
        <v>1</v>
      </c>
      <c r="G21107" t="n">
        <v>5</v>
      </c>
      <c r="H21107" s="5">
        <f>HYPERLINK("https://api.qogita.com/variants/link/0085715331519/", "View Product")</f>
        <v/>
      </c>
    </row>
    <row r="21108">
      <c r="A21108" t="inlineStr">
        <is>
          <t>0085715336644</t>
        </is>
      </c>
      <c r="B21108" t="inlineStr">
        <is>
          <t>GUESS Uomo Acqua Deodorizing Body Spray For Men 6.0 oz.</t>
        </is>
      </c>
      <c r="C21108" t="inlineStr">
        <is>
          <t>Deodorant &amp; Anti-Perspirant</t>
        </is>
      </c>
      <c r="D21108" t="inlineStr">
        <is>
          <t>Guess</t>
        </is>
      </c>
      <c r="E21108" t="n">
        <v>7.5</v>
      </c>
      <c r="F21108" t="n">
        <v>1</v>
      </c>
      <c r="G21108" t="n">
        <v>6</v>
      </c>
      <c r="H21108" s="5">
        <f>HYPERLINK("https://api.qogita.com/variants/link/0085715336644/", "View Product")</f>
        <v/>
      </c>
    </row>
    <row r="21109">
      <c r="A21109" t="inlineStr">
        <is>
          <t>0085715564221</t>
        </is>
      </c>
      <c r="B21109" t="inlineStr">
        <is>
          <t>Oscar De La Renta Bella Rosa Eau de Parfum 30ml</t>
        </is>
      </c>
      <c r="C21109" t="inlineStr">
        <is>
          <t>Eau De Parfum</t>
        </is>
      </c>
      <c r="D21109" t="inlineStr">
        <is>
          <t>Oscar De La Renta</t>
        </is>
      </c>
      <c r="E21109" t="n">
        <v>21.36</v>
      </c>
      <c r="F21109" t="n">
        <v>1</v>
      </c>
      <c r="G21109" t="n">
        <v>13</v>
      </c>
      <c r="H21109" s="5">
        <f>HYPERLINK("https://api.qogita.com/variants/link/0085715564221/", "View Product")</f>
        <v/>
      </c>
    </row>
    <row r="21110">
      <c r="A21110" t="inlineStr">
        <is>
          <t>0085715566003</t>
        </is>
      </c>
      <c r="B21110" t="inlineStr">
        <is>
          <t>Oscar De La Renta Alibi Eau De Parfum 30ml</t>
        </is>
      </c>
      <c r="C21110" t="inlineStr">
        <is>
          <t>Eau De Parfum</t>
        </is>
      </c>
      <c r="D21110" t="inlineStr">
        <is>
          <t>Oscar De La Renta</t>
        </is>
      </c>
      <c r="E21110" t="n">
        <v>16.86</v>
      </c>
      <c r="F21110" t="n">
        <v>1</v>
      </c>
      <c r="G21110" t="n">
        <v>11</v>
      </c>
      <c r="H21110" s="5">
        <f>HYPERLINK("https://api.qogita.com/variants/link/0085715566003/", "View Product")</f>
        <v/>
      </c>
    </row>
    <row r="21111">
      <c r="A21111" t="inlineStr">
        <is>
          <t>0085715566300</t>
        </is>
      </c>
      <c r="B21111" t="inlineStr">
        <is>
          <t>Oscar De La Renta Bella Bouquet Eau De Parfum 100ml</t>
        </is>
      </c>
      <c r="C21111" t="inlineStr">
        <is>
          <t>Eau De Parfum</t>
        </is>
      </c>
      <c r="D21111" t="inlineStr">
        <is>
          <t>Oscar De La Renta</t>
        </is>
      </c>
      <c r="E21111" t="n">
        <v>36.49</v>
      </c>
      <c r="F21111" t="n">
        <v>1</v>
      </c>
      <c r="G21111" t="n">
        <v>6</v>
      </c>
      <c r="H21111" s="5">
        <f>HYPERLINK("https://api.qogita.com/variants/link/0085715566300/", "View Product")</f>
        <v/>
      </c>
    </row>
    <row r="21112">
      <c r="A21112" t="inlineStr">
        <is>
          <t>0085715567222</t>
        </is>
      </c>
      <c r="B21112" t="inlineStr">
        <is>
          <t>Oscar De La Renta Alibi Eau De Toilette 100ml</t>
        </is>
      </c>
      <c r="C21112" t="inlineStr">
        <is>
          <t>Eau De Toilette</t>
        </is>
      </c>
      <c r="D21112" t="inlineStr">
        <is>
          <t>Oscar De La Renta</t>
        </is>
      </c>
      <c r="E21112" t="n">
        <v>24.94</v>
      </c>
      <c r="F21112" t="n">
        <v>1</v>
      </c>
      <c r="G21112" t="n">
        <v>2</v>
      </c>
      <c r="H21112" s="5">
        <f>HYPERLINK("https://api.qogita.com/variants/link/0085715567222/", "View Product")</f>
        <v/>
      </c>
    </row>
    <row r="21113">
      <c r="A21113" t="inlineStr">
        <is>
          <t>0085715568304</t>
        </is>
      </c>
      <c r="B21113" t="inlineStr">
        <is>
          <t>Oscar De La Renta New York Eau De Parfum 30 Ml</t>
        </is>
      </c>
      <c r="C21113" t="inlineStr">
        <is>
          <t>Eau De Parfum</t>
        </is>
      </c>
      <c r="D21113" t="inlineStr">
        <is>
          <t>Oscar De La Renta</t>
        </is>
      </c>
      <c r="E21113" t="n">
        <v>18.23</v>
      </c>
      <c r="F21113" t="n">
        <v>1</v>
      </c>
      <c r="G21113" t="n">
        <v>32</v>
      </c>
      <c r="H21113" s="5">
        <f>HYPERLINK("https://api.qogita.com/variants/link/0085715568304/", "View Product")</f>
        <v/>
      </c>
    </row>
    <row r="21114">
      <c r="A21114" t="inlineStr">
        <is>
          <t>0085715593009</t>
        </is>
      </c>
      <c r="B21114" t="inlineStr">
        <is>
          <t>Oscar De La Renta Oscar Pour Lui 90ml EDT Spray</t>
        </is>
      </c>
      <c r="C21114" t="inlineStr">
        <is>
          <t>Eau De Toilette</t>
        </is>
      </c>
      <c r="D21114" t="inlineStr">
        <is>
          <t>Oscar De La Renta</t>
        </is>
      </c>
      <c r="E21114" t="n">
        <v>16.9</v>
      </c>
      <c r="F21114" t="n">
        <v>1</v>
      </c>
      <c r="G21114" t="n">
        <v>43</v>
      </c>
      <c r="H21114" s="5">
        <f>HYPERLINK("https://api.qogita.com/variants/link/0085715593009/", "View Product")</f>
        <v/>
      </c>
    </row>
    <row r="21115">
      <c r="A21115" t="inlineStr">
        <is>
          <t>0085715673879</t>
        </is>
      </c>
      <c r="B21115" t="inlineStr">
        <is>
          <t>Fcuk 3 Eau De Toilette Spray 3.4 oz by French Connection for Men</t>
        </is>
      </c>
      <c r="C21115" t="inlineStr">
        <is>
          <t>Eau De Toilette</t>
        </is>
      </c>
      <c r="D21115" t="inlineStr">
        <is>
          <t>French Connection</t>
        </is>
      </c>
      <c r="E21115" t="n">
        <v>11.92</v>
      </c>
      <c r="F21115" t="n">
        <v>1</v>
      </c>
      <c r="G21115" t="n">
        <v>2</v>
      </c>
      <c r="H21115" s="5">
        <f>HYPERLINK("https://api.qogita.com/variants/link/0085715673879/", "View Product")</f>
        <v/>
      </c>
    </row>
    <row r="21116">
      <c r="A21116" t="inlineStr">
        <is>
          <t>0085715801555</t>
        </is>
      </c>
      <c r="B21116" t="inlineStr">
        <is>
          <t>Dunhill Desire Blue for Men Eau de Toilette 100ml</t>
        </is>
      </c>
      <c r="C21116" t="inlineStr">
        <is>
          <t>Eau De Toilette</t>
        </is>
      </c>
      <c r="D21116" t="inlineStr">
        <is>
          <t>Dunhill</t>
        </is>
      </c>
      <c r="E21116" t="n">
        <v>23.88</v>
      </c>
      <c r="F21116" t="n">
        <v>1</v>
      </c>
      <c r="G21116" t="n">
        <v>30</v>
      </c>
      <c r="H21116" s="5">
        <f>HYPERLINK("https://api.qogita.com/variants/link/0085715801555/", "View Product")</f>
        <v/>
      </c>
    </row>
    <row r="21117">
      <c r="A21117" t="inlineStr">
        <is>
          <t>0085715801968</t>
        </is>
      </c>
      <c r="B21117" t="inlineStr">
        <is>
          <t>Dunhill Desire Gold Eau De Toilette Spray 100ml</t>
        </is>
      </c>
      <c r="C21117" t="inlineStr">
        <is>
          <t>Eau De Toilette</t>
        </is>
      </c>
      <c r="D21117" t="inlineStr">
        <is>
          <t>Dunhill</t>
        </is>
      </c>
      <c r="E21117" t="n">
        <v>23.82</v>
      </c>
      <c r="F21117" t="n">
        <v>1</v>
      </c>
      <c r="G21117" t="n">
        <v>11</v>
      </c>
      <c r="H21117" s="5">
        <f>HYPERLINK("https://api.qogita.com/variants/link/0085715801968/", "View Product")</f>
        <v/>
      </c>
    </row>
    <row r="21118">
      <c r="A21118" t="inlineStr">
        <is>
          <t>0085715803016</t>
        </is>
      </c>
      <c r="B21118" t="inlineStr">
        <is>
          <t>Dunhill London Eau de Toilette Spray 100ml</t>
        </is>
      </c>
      <c r="C21118" t="inlineStr">
        <is>
          <t>Eau De Toilette</t>
        </is>
      </c>
      <c r="D21118" t="inlineStr">
        <is>
          <t>Alfred Dunhill</t>
        </is>
      </c>
      <c r="E21118" t="n">
        <v>17.86</v>
      </c>
      <c r="F21118" t="n">
        <v>1</v>
      </c>
      <c r="G21118" t="n">
        <v>9</v>
      </c>
      <c r="H21118" s="5">
        <f>HYPERLINK("https://api.qogita.com/variants/link/0085715803016/", "View Product")</f>
        <v/>
      </c>
    </row>
    <row r="21119">
      <c r="A21119" t="inlineStr">
        <is>
          <t>0085715803535</t>
        </is>
      </c>
      <c r="B21119" t="inlineStr">
        <is>
          <t>Dunhill Custom Eau De Toilette Spray 100ml</t>
        </is>
      </c>
      <c r="C21119" t="inlineStr">
        <is>
          <t>Eau De Toilette</t>
        </is>
      </c>
      <c r="D21119" t="inlineStr">
        <is>
          <t>Alfred Dunhill</t>
        </is>
      </c>
      <c r="E21119" t="n">
        <v>16.74</v>
      </c>
      <c r="F21119" t="n">
        <v>1</v>
      </c>
      <c r="G21119" t="n">
        <v>15</v>
      </c>
      <c r="H21119" s="5">
        <f>HYPERLINK("https://api.qogita.com/variants/link/0085715803535/", "View Product")</f>
        <v/>
      </c>
    </row>
    <row r="21120">
      <c r="A21120" t="inlineStr">
        <is>
          <t>0085715804013</t>
        </is>
      </c>
      <c r="B21120" t="inlineStr">
        <is>
          <t>Dunhill Edition by Alfred Dunhill</t>
        </is>
      </c>
      <c r="C21120" t="inlineStr">
        <is>
          <t>Eau De Toilette</t>
        </is>
      </c>
      <c r="D21120" t="inlineStr">
        <is>
          <t>Alfred Dunhill</t>
        </is>
      </c>
      <c r="E21120" t="n">
        <v>19.23</v>
      </c>
      <c r="F21120" t="n">
        <v>1</v>
      </c>
      <c r="G21120" t="n">
        <v>16</v>
      </c>
      <c r="H21120" s="5">
        <f>HYPERLINK("https://api.qogita.com/variants/link/0085715804013/", "View Product")</f>
        <v/>
      </c>
    </row>
    <row r="21121">
      <c r="A21121" t="inlineStr">
        <is>
          <t>0085715807595</t>
        </is>
      </c>
      <c r="B21121" t="inlineStr">
        <is>
          <t>Dunhill Signature Collection Mongolian Cashmere Eau de Parfum 100ml</t>
        </is>
      </c>
      <c r="C21121" t="inlineStr">
        <is>
          <t>Eau De Parfum</t>
        </is>
      </c>
      <c r="D21121" t="inlineStr">
        <is>
          <t>Alfred Dunhill</t>
        </is>
      </c>
      <c r="E21121" t="n">
        <v>44.03</v>
      </c>
      <c r="F21121" t="n">
        <v>1</v>
      </c>
      <c r="G21121" t="n">
        <v>3</v>
      </c>
      <c r="H21121" s="5">
        <f>HYPERLINK("https://api.qogita.com/variants/link/0085715807595/", "View Product")</f>
        <v/>
      </c>
    </row>
    <row r="21122">
      <c r="A21122" t="inlineStr">
        <is>
          <t>0085715940018</t>
        </is>
      </c>
      <c r="B21122" t="inlineStr">
        <is>
          <t>Donna Karan Cashmere Mist Eau de Parfum 3.4 Fl Oz</t>
        </is>
      </c>
      <c r="C21122" t="inlineStr">
        <is>
          <t>Eau De Parfum</t>
        </is>
      </c>
      <c r="D21122" t="inlineStr">
        <is>
          <t>Donna Karan</t>
        </is>
      </c>
      <c r="E21122" t="n">
        <v>75.08</v>
      </c>
      <c r="F21122" t="n">
        <v>1</v>
      </c>
      <c r="G21122" t="n">
        <v>25</v>
      </c>
      <c r="H21122" s="5">
        <f>HYPERLINK("https://api.qogita.com/variants/link/0085715940018/", "View Product")</f>
        <v/>
      </c>
    </row>
    <row r="21123">
      <c r="A21123" t="inlineStr">
        <is>
          <t>0085715940087</t>
        </is>
      </c>
      <c r="B21123" t="inlineStr">
        <is>
          <t>Donna Karan Cashmere Mist Eau de Toilette Spray for Her 100ml</t>
        </is>
      </c>
      <c r="C21123" t="inlineStr">
        <is>
          <t>Eau De Toilette</t>
        </is>
      </c>
      <c r="D21123" t="inlineStr">
        <is>
          <t>Donna Karan</t>
        </is>
      </c>
      <c r="E21123" t="n">
        <v>58.57</v>
      </c>
      <c r="F21123" t="n">
        <v>1</v>
      </c>
      <c r="G21123" t="n">
        <v>4</v>
      </c>
      <c r="H21123" s="5">
        <f>HYPERLINK("https://api.qogita.com/variants/link/0085715940087/", "View Product")</f>
        <v/>
      </c>
    </row>
    <row r="21124">
      <c r="A21124" t="inlineStr">
        <is>
          <t>0085715950000</t>
        </is>
      </c>
      <c r="B21124" t="inlineStr">
        <is>
          <t>DKNY Be Delicious Eau de Parfum 100ml</t>
        </is>
      </c>
      <c r="C21124" t="inlineStr">
        <is>
          <t>Eau De Parfum</t>
        </is>
      </c>
      <c r="D21124" t="inlineStr">
        <is>
          <t>DKNY</t>
        </is>
      </c>
      <c r="E21124" t="n">
        <v>35.4</v>
      </c>
      <c r="F21124" t="n">
        <v>1</v>
      </c>
      <c r="G21124" t="n">
        <v>296</v>
      </c>
      <c r="H21124" s="5">
        <f>HYPERLINK("https://api.qogita.com/variants/link/0085715950000/", "View Product")</f>
        <v/>
      </c>
    </row>
    <row r="21125">
      <c r="A21125" t="inlineStr">
        <is>
          <t>0085715950185</t>
        </is>
      </c>
      <c r="B21125" t="inlineStr">
        <is>
          <t>DKNY Be Tempted Eau de Parfum 1.70 Fl Oz</t>
        </is>
      </c>
      <c r="C21125" t="inlineStr">
        <is>
          <t>Eau De Parfum</t>
        </is>
      </c>
      <c r="D21125" t="inlineStr">
        <is>
          <t>DKNY</t>
        </is>
      </c>
      <c r="E21125" t="n">
        <v>16.49</v>
      </c>
      <c r="F21125" t="n">
        <v>1</v>
      </c>
      <c r="G21125" t="n">
        <v>38</v>
      </c>
      <c r="H21125" s="5">
        <f>HYPERLINK("https://api.qogita.com/variants/link/0085715950185/", "View Product")</f>
        <v/>
      </c>
    </row>
    <row r="21126">
      <c r="A21126" t="inlineStr">
        <is>
          <t>0085715950239</t>
        </is>
      </c>
      <c r="B21126" t="inlineStr">
        <is>
          <t>DKNY Nectar Love Eau de Parfum 1.70 Fl Oz</t>
        </is>
      </c>
      <c r="C21126" t="inlineStr">
        <is>
          <t>Eau De Parfum</t>
        </is>
      </c>
      <c r="D21126" t="inlineStr">
        <is>
          <t>DKNY</t>
        </is>
      </c>
      <c r="E21126" t="n">
        <v>16.49</v>
      </c>
      <c r="F21126" t="n">
        <v>1</v>
      </c>
      <c r="G21126" t="n">
        <v>41</v>
      </c>
      <c r="H21126" s="5">
        <f>HYPERLINK("https://api.qogita.com/variants/link/0085715950239/", "View Product")</f>
        <v/>
      </c>
    </row>
    <row r="21127">
      <c r="A21127" t="inlineStr">
        <is>
          <t>0085715950260</t>
        </is>
      </c>
      <c r="B21127" t="inlineStr">
        <is>
          <t>DKNY Women Eau de Parfum 50ml</t>
        </is>
      </c>
      <c r="C21127" t="inlineStr">
        <is>
          <t>Eau De Parfum</t>
        </is>
      </c>
      <c r="D21127" t="inlineStr">
        <is>
          <t>DKNY</t>
        </is>
      </c>
      <c r="E21127" t="n">
        <v>28.12</v>
      </c>
      <c r="F21127" t="n">
        <v>1</v>
      </c>
      <c r="G21127" t="n">
        <v>172</v>
      </c>
      <c r="H21127" s="5">
        <f>HYPERLINK("https://api.qogita.com/variants/link/0085715950260/", "View Product")</f>
        <v/>
      </c>
    </row>
    <row r="21128">
      <c r="A21128" t="inlineStr">
        <is>
          <t>0085715961075</t>
        </is>
      </c>
      <c r="B21128" t="inlineStr">
        <is>
          <t>Dkny Be Delicious - Eau De Parfum 30 Ml + Shower Gel 150 Ml</t>
        </is>
      </c>
      <c r="C21128" t="inlineStr">
        <is>
          <t>Fragrance Sets</t>
        </is>
      </c>
      <c r="D21128" t="inlineStr">
        <is>
          <t>DKNY</t>
        </is>
      </c>
      <c r="E21128" t="n">
        <v>23.75</v>
      </c>
      <c r="F21128" t="n">
        <v>1</v>
      </c>
      <c r="G21128" t="n">
        <v>33</v>
      </c>
      <c r="H21128" s="5">
        <f>HYPERLINK("https://api.qogita.com/variants/link/0085715961075/", "View Product")</f>
        <v/>
      </c>
    </row>
    <row r="21129">
      <c r="A21129" t="inlineStr">
        <is>
          <t>0085715962102</t>
        </is>
      </c>
      <c r="B21129" t="inlineStr">
        <is>
          <t>DKNY Be Delicious Ice Pop Fragrance Mist for Women Berry Bliss 8.4 Fl Oz</t>
        </is>
      </c>
      <c r="C21129" t="inlineStr">
        <is>
          <t>Eau De Toilette</t>
        </is>
      </c>
      <c r="D21129" t="inlineStr">
        <is>
          <t>DKNY</t>
        </is>
      </c>
      <c r="E21129" t="n">
        <v>10.23</v>
      </c>
      <c r="F21129" t="n">
        <v>1</v>
      </c>
      <c r="G21129" t="n">
        <v>63</v>
      </c>
      <c r="H21129" s="5">
        <f>HYPERLINK("https://api.qogita.com/variants/link/0085715962102/", "View Product")</f>
        <v/>
      </c>
    </row>
    <row r="21130">
      <c r="A21130" t="inlineStr">
        <is>
          <t>0085805036577</t>
        </is>
      </c>
      <c r="B21130" t="inlineStr">
        <is>
          <t>Green Tea Summer Perfume by Elizabeth Arden for Women 100ml</t>
        </is>
      </c>
      <c r="C21130" t="inlineStr">
        <is>
          <t>Eau De Toilette</t>
        </is>
      </c>
      <c r="D21130" t="inlineStr">
        <is>
          <t>Elizabeth Arden</t>
        </is>
      </c>
      <c r="E21130" t="n">
        <v>8.81</v>
      </c>
      <c r="F21130" t="n">
        <v>1</v>
      </c>
      <c r="G21130" t="n">
        <v>30</v>
      </c>
      <c r="H21130" s="5">
        <f>HYPERLINK("https://api.qogita.com/variants/link/0085805036577/", "View Product")</f>
        <v/>
      </c>
    </row>
    <row r="21131">
      <c r="A21131" t="inlineStr">
        <is>
          <t>0085805043476</t>
        </is>
      </c>
      <c r="B21131" t="inlineStr">
        <is>
          <t>Elizabeth Arden 5th Avenue After Five Eau de Parfum Spray</t>
        </is>
      </c>
      <c r="C21131" t="inlineStr">
        <is>
          <t>Eau De Parfum</t>
        </is>
      </c>
      <c r="D21131" t="inlineStr">
        <is>
          <t>Elizabeth Arden</t>
        </is>
      </c>
      <c r="E21131" t="n">
        <v>15.27</v>
      </c>
      <c r="F21131" t="n">
        <v>1</v>
      </c>
      <c r="G21131" t="n">
        <v>21</v>
      </c>
      <c r="H21131" s="5">
        <f>HYPERLINK("https://api.qogita.com/variants/link/0085805043476/", "View Product")</f>
        <v/>
      </c>
    </row>
    <row r="21132">
      <c r="A21132" t="inlineStr">
        <is>
          <t>0085805076450</t>
        </is>
      </c>
      <c r="B21132" t="inlineStr">
        <is>
          <t>Elizabeth Arden Green Tea Lotus Eau De Toilette Spray 100ml</t>
        </is>
      </c>
      <c r="C21132" t="inlineStr">
        <is>
          <t>Eau De Toilette</t>
        </is>
      </c>
      <c r="D21132" t="inlineStr">
        <is>
          <t>Elizabeth Arden</t>
        </is>
      </c>
      <c r="E21132" t="n">
        <v>8.43</v>
      </c>
      <c r="F21132" t="n">
        <v>1</v>
      </c>
      <c r="G21132" t="n">
        <v>33</v>
      </c>
      <c r="H21132" s="5">
        <f>HYPERLINK("https://api.qogita.com/variants/link/0085805076450/", "View Product")</f>
        <v/>
      </c>
    </row>
    <row r="21133">
      <c r="A21133" t="inlineStr">
        <is>
          <t>0085805089412</t>
        </is>
      </c>
      <c r="B21133" t="inlineStr">
        <is>
          <t>Elizabeth Arden Eight Hour Cream Intensive Face Moisturizer with SPF 15 50ml</t>
        </is>
      </c>
      <c r="C21133" t="inlineStr">
        <is>
          <t>Day Cream</t>
        </is>
      </c>
      <c r="D21133" t="inlineStr">
        <is>
          <t>Elizabeth Arden</t>
        </is>
      </c>
      <c r="E21133" t="n">
        <v>18.67</v>
      </c>
      <c r="F21133" t="n">
        <v>1</v>
      </c>
      <c r="G21133" t="n">
        <v>27</v>
      </c>
      <c r="H21133" s="5">
        <f>HYPERLINK("https://api.qogita.com/variants/link/0085805089412/", "View Product")</f>
        <v/>
      </c>
    </row>
    <row r="21134">
      <c r="A21134" t="inlineStr">
        <is>
          <t>0085805105136</t>
        </is>
      </c>
      <c r="B21134" t="inlineStr">
        <is>
          <t>Elizabeth Arden Eight Hour Cream Sun Defense 50 50ml</t>
        </is>
      </c>
      <c r="C21134" t="inlineStr">
        <is>
          <t>Body Sun Protection</t>
        </is>
      </c>
      <c r="D21134" t="inlineStr">
        <is>
          <t>Elizabeth Arden</t>
        </is>
      </c>
      <c r="E21134" t="n">
        <v>12.85</v>
      </c>
      <c r="F21134" t="n">
        <v>1</v>
      </c>
      <c r="G21134" t="n">
        <v>28</v>
      </c>
      <c r="H21134" s="5">
        <f>HYPERLINK("https://api.qogita.com/variants/link/0085805105136/", "View Product")</f>
        <v/>
      </c>
    </row>
    <row r="21135">
      <c r="A21135" t="inlineStr">
        <is>
          <t>0085805118891</t>
        </is>
      </c>
      <c r="B21135" t="inlineStr">
        <is>
          <t>Elizabeth Arden Ceramide Premiere Intense Moisture And Renewal Eye Cream 15ml</t>
        </is>
      </c>
      <c r="C21135" t="inlineStr">
        <is>
          <t>Eye Cream</t>
        </is>
      </c>
      <c r="D21135" t="inlineStr">
        <is>
          <t>Elizabeth Arden</t>
        </is>
      </c>
      <c r="E21135" t="n">
        <v>35.08</v>
      </c>
      <c r="F21135" t="n">
        <v>1</v>
      </c>
      <c r="G21135" t="n">
        <v>2</v>
      </c>
      <c r="H21135" s="5">
        <f>HYPERLINK("https://api.qogita.com/variants/link/0085805118891/", "View Product")</f>
        <v/>
      </c>
    </row>
    <row r="21136">
      <c r="A21136" t="inlineStr">
        <is>
          <t>0085805118907</t>
        </is>
      </c>
      <c r="B21136" t="inlineStr">
        <is>
          <t>Elizabeth Arden Ceramide Premiere Intense Moisture And Renewal Activation Spf 30 Cream 50ml</t>
        </is>
      </c>
      <c r="C21136" t="inlineStr">
        <is>
          <t>Day Cream</t>
        </is>
      </c>
      <c r="D21136" t="inlineStr">
        <is>
          <t>Elizabeth Arden</t>
        </is>
      </c>
      <c r="E21136" t="n">
        <v>46.04</v>
      </c>
      <c r="F21136" t="n">
        <v>1</v>
      </c>
      <c r="G21136" t="n">
        <v>28</v>
      </c>
      <c r="H21136" s="5">
        <f>HYPERLINK("https://api.qogita.com/variants/link/0085805118907/", "View Product")</f>
        <v/>
      </c>
    </row>
    <row r="21137">
      <c r="A21137" t="inlineStr">
        <is>
          <t>0085805141943</t>
        </is>
      </c>
      <c r="B21137" t="inlineStr">
        <is>
          <t>Elizabeth Arden Eight Hour Cream Lip Protectant Moisturizing Balm 13ml - New</t>
        </is>
      </c>
      <c r="C21137" t="inlineStr">
        <is>
          <t>Lip Balm</t>
        </is>
      </c>
      <c r="D21137" t="inlineStr">
        <is>
          <t>Elizabeth Arden</t>
        </is>
      </c>
      <c r="E21137" t="n">
        <v>12.76</v>
      </c>
      <c r="F21137" t="n">
        <v>1</v>
      </c>
      <c r="G21137" t="n">
        <v>5</v>
      </c>
      <c r="H21137" s="5">
        <f>HYPERLINK("https://api.qogita.com/variants/link/0085805141943/", "View Product")</f>
        <v/>
      </c>
    </row>
    <row r="21138">
      <c r="A21138" t="inlineStr">
        <is>
          <t>0085805161682</t>
        </is>
      </c>
      <c r="B21138" t="inlineStr">
        <is>
          <t>Elizabeth Arden Prevage Anti-Aging Treatment Boosting Cleanser 125ml</t>
        </is>
      </c>
      <c r="C21138" t="inlineStr">
        <is>
          <t>Cleansing Foam</t>
        </is>
      </c>
      <c r="D21138" t="inlineStr">
        <is>
          <t>Elizabeth Arden</t>
        </is>
      </c>
      <c r="E21138" t="n">
        <v>22.08</v>
      </c>
      <c r="F21138" t="n">
        <v>1</v>
      </c>
      <c r="G21138" t="n">
        <v>171</v>
      </c>
      <c r="H21138" s="5">
        <f>HYPERLINK("https://api.qogita.com/variants/link/0085805161682/", "View Product")</f>
        <v/>
      </c>
    </row>
    <row r="21139">
      <c r="A21139" t="inlineStr">
        <is>
          <t>0085805189945</t>
        </is>
      </c>
      <c r="B21139" t="inlineStr">
        <is>
          <t>Elizabeth Arden Superstart Skin Renewal Booster 30ml Rose</t>
        </is>
      </c>
      <c r="C21139" t="inlineStr">
        <is>
          <t>Hydrating Serum</t>
        </is>
      </c>
      <c r="D21139" t="inlineStr">
        <is>
          <t>Elizabeth Arden</t>
        </is>
      </c>
      <c r="E21139" t="n">
        <v>22.35</v>
      </c>
      <c r="F21139" t="n">
        <v>1</v>
      </c>
      <c r="G21139" t="n">
        <v>7</v>
      </c>
      <c r="H21139" s="5">
        <f>HYPERLINK("https://api.qogita.com/variants/link/0085805189945/", "View Product")</f>
        <v/>
      </c>
    </row>
    <row r="21140">
      <c r="A21140" t="inlineStr">
        <is>
          <t>0085805197865</t>
        </is>
      </c>
      <c r="B21140" t="inlineStr">
        <is>
          <t>Elizabeth Arden Advanced Ceramide Capsules Daily Youth Restoring Serum 30 Capsules for Face</t>
        </is>
      </c>
      <c r="C21140" t="inlineStr">
        <is>
          <t>Anti-Aging Serum</t>
        </is>
      </c>
      <c r="D21140" t="inlineStr">
        <is>
          <t>Elizabeth Arden</t>
        </is>
      </c>
      <c r="E21140" t="n">
        <v>21.49</v>
      </c>
      <c r="F21140" t="n">
        <v>1</v>
      </c>
      <c r="G21140" t="n">
        <v>27</v>
      </c>
      <c r="H21140" s="5">
        <f>HYPERLINK("https://api.qogita.com/variants/link/0085805197865/", "View Product")</f>
        <v/>
      </c>
    </row>
    <row r="21141">
      <c r="A21141" t="inlineStr">
        <is>
          <t>0085805220761</t>
        </is>
      </c>
      <c r="B21141" t="inlineStr">
        <is>
          <t>Elizabeth Arden Visible Difference Replenishing HydraGel Complex</t>
        </is>
      </c>
      <c r="C21141" t="inlineStr">
        <is>
          <t>Hydrating Serum</t>
        </is>
      </c>
      <c r="D21141" t="inlineStr">
        <is>
          <t>Elizabeth Arden</t>
        </is>
      </c>
      <c r="E21141" t="n">
        <v>12.02</v>
      </c>
      <c r="F21141" t="n">
        <v>1</v>
      </c>
      <c r="G21141" t="n">
        <v>59</v>
      </c>
      <c r="H21141" s="5">
        <f>HYPERLINK("https://api.qogita.com/variants/link/0085805220761/", "View Product")</f>
        <v/>
      </c>
    </row>
    <row r="21142">
      <c r="A21142" t="inlineStr">
        <is>
          <t>0085805240134</t>
        </is>
      </c>
      <c r="B21142" t="inlineStr">
        <is>
          <t>Elizabeth Arden Visible Brightening CicaGlow Concentrate 30ml</t>
        </is>
      </c>
      <c r="C21142" t="inlineStr">
        <is>
          <t>Glow Serum</t>
        </is>
      </c>
      <c r="D21142" t="inlineStr">
        <is>
          <t>Elizabeth Arden</t>
        </is>
      </c>
      <c r="E21142" t="n">
        <v>28.97</v>
      </c>
      <c r="F21142" t="n">
        <v>1</v>
      </c>
      <c r="G21142" t="n">
        <v>5</v>
      </c>
      <c r="H21142" s="5">
        <f>HYPERLINK("https://api.qogita.com/variants/link/0085805240134/", "View Product")</f>
        <v/>
      </c>
    </row>
    <row r="21143">
      <c r="A21143" t="inlineStr">
        <is>
          <t>0085805242435</t>
        </is>
      </c>
      <c r="B21143" t="inlineStr">
        <is>
          <t>Elizabeth Arden Retinol Ceramide Line Erasing Eye Cream 15ml</t>
        </is>
      </c>
      <c r="C21143" t="inlineStr">
        <is>
          <t>Eye Cream</t>
        </is>
      </c>
      <c r="D21143" t="inlineStr">
        <is>
          <t>Elizabeth Arden</t>
        </is>
      </c>
      <c r="E21143" t="n">
        <v>32.44</v>
      </c>
      <c r="F21143" t="n">
        <v>1</v>
      </c>
      <c r="G21143" t="n">
        <v>46</v>
      </c>
      <c r="H21143" s="5">
        <f>HYPERLINK("https://api.qogita.com/variants/link/0085805242435/", "View Product")</f>
        <v/>
      </c>
    </row>
    <row r="21144">
      <c r="A21144" t="inlineStr">
        <is>
          <t>0085805242718</t>
        </is>
      </c>
      <c r="B21144" t="inlineStr">
        <is>
          <t>Elizabeth Arden Green Tea Scent Spray Sakura Blossom 100ml</t>
        </is>
      </c>
      <c r="C21144" t="inlineStr">
        <is>
          <t>Eau De Toilette</t>
        </is>
      </c>
      <c r="D21144" t="inlineStr">
        <is>
          <t>Elizabeth Arden</t>
        </is>
      </c>
      <c r="E21144" t="n">
        <v>9.859999999999999</v>
      </c>
      <c r="F21144" t="n">
        <v>1</v>
      </c>
      <c r="G21144" t="n">
        <v>42</v>
      </c>
      <c r="H21144" s="5">
        <f>HYPERLINK("https://api.qogita.com/variants/link/0085805242718/", "View Product")</f>
        <v/>
      </c>
    </row>
    <row r="21145">
      <c r="A21145" t="inlineStr">
        <is>
          <t>0085805242879</t>
        </is>
      </c>
      <c r="B21145" t="inlineStr">
        <is>
          <t>White Tea Skin Solution Strengthening Two-Phase Oil Serum 30ml</t>
        </is>
      </c>
      <c r="C21145" t="inlineStr">
        <is>
          <t>Hydrating Serum</t>
        </is>
      </c>
      <c r="D21145" t="inlineStr">
        <is>
          <t>Elizabeth Arden</t>
        </is>
      </c>
      <c r="E21145" t="n">
        <v>28.72</v>
      </c>
      <c r="F21145" t="n">
        <v>1</v>
      </c>
      <c r="G21145" t="n">
        <v>7</v>
      </c>
      <c r="H21145" s="5">
        <f>HYPERLINK("https://api.qogita.com/variants/link/0085805242879/", "View Product")</f>
        <v/>
      </c>
    </row>
    <row r="21146">
      <c r="A21146" t="inlineStr">
        <is>
          <t>0085805248734</t>
        </is>
      </c>
      <c r="B21146" t="inlineStr">
        <is>
          <t>Elizabeth Arden Green Tea Lychee Lime Eau de Toilette Spray 100ml</t>
        </is>
      </c>
      <c r="C21146" t="inlineStr">
        <is>
          <t>Eau De Toilette</t>
        </is>
      </c>
      <c r="D21146" t="inlineStr">
        <is>
          <t>Elizabeth Arden</t>
        </is>
      </c>
      <c r="E21146" t="n">
        <v>9.1</v>
      </c>
      <c r="F21146" t="n">
        <v>1</v>
      </c>
      <c r="G21146" t="n">
        <v>19</v>
      </c>
      <c r="H21146" s="5">
        <f>HYPERLINK("https://api.qogita.com/variants/link/0085805248734/", "View Product")</f>
        <v/>
      </c>
    </row>
    <row r="21147">
      <c r="A21147" t="inlineStr">
        <is>
          <t>0085805255602</t>
        </is>
      </c>
      <c r="B21147" t="inlineStr">
        <is>
          <t>Elizabeth Arden Eight Hour Cream Intensive Moisturizing Body Treatment Mega Size 13.5oz</t>
        </is>
      </c>
      <c r="C21147" t="inlineStr">
        <is>
          <t>Body Lotion</t>
        </is>
      </c>
      <c r="D21147" t="inlineStr">
        <is>
          <t>Elizabeth Arden</t>
        </is>
      </c>
      <c r="E21147" t="n">
        <v>32.77</v>
      </c>
      <c r="F21147" t="n">
        <v>1</v>
      </c>
      <c r="G21147" t="n">
        <v>13</v>
      </c>
      <c r="H21147" s="5">
        <f>HYPERLINK("https://api.qogita.com/variants/link/0085805255602/", "View Product")</f>
        <v/>
      </c>
    </row>
    <row r="21148">
      <c r="A21148" t="inlineStr">
        <is>
          <t>0085805260156</t>
        </is>
      </c>
      <c r="B21148" t="inlineStr">
        <is>
          <t>Elizabeth Arden White Tea Eau De Toilette Spray Perfume for Women Eau Florale 3.3 Fl Oz</t>
        </is>
      </c>
      <c r="C21148" t="inlineStr">
        <is>
          <t>Eau De Toilette</t>
        </is>
      </c>
      <c r="D21148" t="inlineStr">
        <is>
          <t>Elizabeth Arden</t>
        </is>
      </c>
      <c r="E21148" t="n">
        <v>20.04</v>
      </c>
      <c r="F21148" t="n">
        <v>1</v>
      </c>
      <c r="G21148" t="n">
        <v>24</v>
      </c>
      <c r="H21148" s="5">
        <f>HYPERLINK("https://api.qogita.com/variants/link/0085805260156/", "View Product")</f>
        <v/>
      </c>
    </row>
    <row r="21149">
      <c r="A21149" t="inlineStr">
        <is>
          <t>0085805260316</t>
        </is>
      </c>
      <c r="B21149" t="inlineStr">
        <is>
          <t>Elizabeth Arden Ceramide Serum</t>
        </is>
      </c>
      <c r="C21149" t="inlineStr">
        <is>
          <t>Anti-Aging Serum</t>
        </is>
      </c>
      <c r="D21149" t="inlineStr">
        <is>
          <t>Elizabeth Arden</t>
        </is>
      </c>
      <c r="E21149" t="n">
        <v>50.41</v>
      </c>
      <c r="F21149" t="n">
        <v>1</v>
      </c>
      <c r="G21149" t="n">
        <v>3</v>
      </c>
      <c r="H21149" s="5">
        <f>HYPERLINK("https://api.qogita.com/variants/link/0085805260316/", "View Product")</f>
        <v/>
      </c>
    </row>
    <row r="21150">
      <c r="A21150" t="inlineStr">
        <is>
          <t>0085805262396</t>
        </is>
      </c>
      <c r="B21150" t="inlineStr">
        <is>
          <t>Grand Entrance Mascara Set Gift Set</t>
        </is>
      </c>
      <c r="C21150" t="inlineStr">
        <is>
          <t>Eye Sets &amp; Pallets</t>
        </is>
      </c>
      <c r="D21150" t="inlineStr">
        <is>
          <t>Elizabeth Arden</t>
        </is>
      </c>
      <c r="E21150" t="n">
        <v>29.49</v>
      </c>
      <c r="F21150" t="n">
        <v>1</v>
      </c>
      <c r="G21150" t="n">
        <v>5</v>
      </c>
      <c r="H21150" s="5">
        <f>HYPERLINK("https://api.qogita.com/variants/link/0085805262396/", "View Product")</f>
        <v/>
      </c>
    </row>
    <row r="21151">
      <c r="A21151" t="inlineStr">
        <is>
          <t>0085805336646</t>
        </is>
      </c>
      <c r="B21151" t="inlineStr">
        <is>
          <t>Elizabeth Arden Green Tea Bath and Shower Gel 200ml</t>
        </is>
      </c>
      <c r="C21151" t="inlineStr">
        <is>
          <t>Shower Gel</t>
        </is>
      </c>
      <c r="D21151" t="inlineStr">
        <is>
          <t>Elizabeth Arden</t>
        </is>
      </c>
      <c r="E21151" t="n">
        <v>5.55</v>
      </c>
      <c r="F21151" t="n">
        <v>1</v>
      </c>
      <c r="G21151" t="n">
        <v>27</v>
      </c>
      <c r="H21151" s="5">
        <f>HYPERLINK("https://api.qogita.com/variants/link/0085805336646/", "View Product")</f>
        <v/>
      </c>
    </row>
    <row r="21152">
      <c r="A21152" t="inlineStr">
        <is>
          <t>0085805390501</t>
        </is>
      </c>
      <c r="B21152" t="inlineStr">
        <is>
          <t>Elizabeth Arden 5th Avenue Eau de Parfum Spray 75ml</t>
        </is>
      </c>
      <c r="C21152" t="inlineStr">
        <is>
          <t>Eau De Parfum</t>
        </is>
      </c>
      <c r="D21152" t="inlineStr">
        <is>
          <t>Elizabeth Arden</t>
        </is>
      </c>
      <c r="E21152" t="n">
        <v>15.15</v>
      </c>
      <c r="F21152" t="n">
        <v>1</v>
      </c>
      <c r="G21152" t="n">
        <v>111</v>
      </c>
      <c r="H21152" s="5">
        <f>HYPERLINK("https://api.qogita.com/variants/link/0085805390501/", "View Product")</f>
        <v/>
      </c>
    </row>
    <row r="21153">
      <c r="A21153" t="inlineStr">
        <is>
          <t>0085805520700</t>
        </is>
      </c>
      <c r="B21153" t="inlineStr">
        <is>
          <t>Elizabeth Arden Visible Difference Skin Balancing Exfoliating Cleanser 125ml</t>
        </is>
      </c>
      <c r="C21153" t="inlineStr">
        <is>
          <t>Facial Scrub &amp; Peeling</t>
        </is>
      </c>
      <c r="D21153" t="inlineStr">
        <is>
          <t>Elizabeth Arden</t>
        </is>
      </c>
      <c r="E21153" t="n">
        <v>10.92</v>
      </c>
      <c r="F21153" t="n">
        <v>1</v>
      </c>
      <c r="G21153" t="n">
        <v>6</v>
      </c>
      <c r="H21153" s="5">
        <f>HYPERLINK("https://api.qogita.com/variants/link/0085805520700/", "View Product")</f>
        <v/>
      </c>
    </row>
    <row r="21154">
      <c r="A21154" t="inlineStr">
        <is>
          <t>0085805542689</t>
        </is>
      </c>
      <c r="B21154" t="inlineStr">
        <is>
          <t>Elizabeth Arden Eight Hour Cream All Over Miracle Oil 100ml</t>
        </is>
      </c>
      <c r="C21154" t="inlineStr">
        <is>
          <t>Body Oil</t>
        </is>
      </c>
      <c r="D21154" t="inlineStr">
        <is>
          <t>Elizabeth Arden</t>
        </is>
      </c>
      <c r="E21154" t="n">
        <v>15.61</v>
      </c>
      <c r="F21154" t="n">
        <v>1</v>
      </c>
      <c r="G21154" t="n">
        <v>45</v>
      </c>
      <c r="H21154" s="5">
        <f>HYPERLINK("https://api.qogita.com/variants/link/0085805542689/", "View Product")</f>
        <v/>
      </c>
    </row>
    <row r="21155">
      <c r="A21155" t="inlineStr">
        <is>
          <t>0085805543518</t>
        </is>
      </c>
      <c r="B21155" t="inlineStr">
        <is>
          <t>Elizabeth Arden Ceramide Replenishing Cleansing Oil 195ml</t>
        </is>
      </c>
      <c r="C21155" t="inlineStr">
        <is>
          <t>Cleansing Oil</t>
        </is>
      </c>
      <c r="D21155" t="inlineStr">
        <is>
          <t>Elizabeth Arden</t>
        </is>
      </c>
      <c r="E21155" t="n">
        <v>16.66</v>
      </c>
      <c r="F21155" t="n">
        <v>1</v>
      </c>
      <c r="G21155" t="n">
        <v>43</v>
      </c>
      <c r="H21155" s="5">
        <f>HYPERLINK("https://api.qogita.com/variants/link/0085805543518/", "View Product")</f>
        <v/>
      </c>
    </row>
    <row r="21156">
      <c r="A21156" t="inlineStr">
        <is>
          <t>0085805556877</t>
        </is>
      </c>
      <c r="B21156" t="inlineStr">
        <is>
          <t>Elizabeth Arden 5th Avenue Eau De Parfum for Women</t>
        </is>
      </c>
      <c r="C21156" t="inlineStr">
        <is>
          <t>Fragrance Sets</t>
        </is>
      </c>
      <c r="D21156" t="inlineStr">
        <is>
          <t>Elizabeth Arden</t>
        </is>
      </c>
      <c r="E21156" t="n">
        <v>13.33</v>
      </c>
      <c r="F21156" t="n">
        <v>1</v>
      </c>
      <c r="G21156" t="n">
        <v>4</v>
      </c>
      <c r="H21156" s="5">
        <f>HYPERLINK("https://api.qogita.com/variants/link/0085805556877/", "View Product")</f>
        <v/>
      </c>
    </row>
    <row r="21157">
      <c r="A21157" t="inlineStr">
        <is>
          <t>0085805574024</t>
        </is>
      </c>
      <c r="B21157" t="inlineStr">
        <is>
          <t>Elizabeth Arden White Tea Eau De Toilette White Tea Mandarin Blossom 100ml</t>
        </is>
      </c>
      <c r="C21157" t="inlineStr">
        <is>
          <t>Eau De Toilette</t>
        </is>
      </c>
      <c r="D21157" t="inlineStr">
        <is>
          <t>Elizabeth Arden</t>
        </is>
      </c>
      <c r="E21157" t="n">
        <v>22.45</v>
      </c>
      <c r="F21157" t="n">
        <v>1</v>
      </c>
      <c r="G21157" t="n">
        <v>21</v>
      </c>
      <c r="H21157" s="5">
        <f>HYPERLINK("https://api.qogita.com/variants/link/0085805574024/", "View Product")</f>
        <v/>
      </c>
    </row>
    <row r="21158">
      <c r="A21158" t="inlineStr">
        <is>
          <t>0085805574116</t>
        </is>
      </c>
      <c r="B21158" t="inlineStr">
        <is>
          <t>Elizabeth Arden White Tea Gingerlily, Eau De Toilette 50ml</t>
        </is>
      </c>
      <c r="C21158" t="inlineStr">
        <is>
          <t>Eau De Toilette</t>
        </is>
      </c>
      <c r="D21158" t="inlineStr">
        <is>
          <t>Elizabeth Arden</t>
        </is>
      </c>
      <c r="E21158" t="n">
        <v>13.91</v>
      </c>
      <c r="F21158" t="n">
        <v>1</v>
      </c>
      <c r="G21158" t="n">
        <v>14</v>
      </c>
      <c r="H21158" s="5">
        <f>HYPERLINK("https://api.qogita.com/variants/link/0085805574116/", "View Product")</f>
        <v/>
      </c>
    </row>
    <row r="21159">
      <c r="A21159" t="inlineStr">
        <is>
          <t>0085805577452</t>
        </is>
      </c>
      <c r="B21159" t="inlineStr">
        <is>
          <t>Elizabeth Arden Beautiful Color 3-in-1 Eye Brow Perfector Ash Brown</t>
        </is>
      </c>
      <c r="C21159" t="inlineStr">
        <is>
          <t>Eyebrow Pencil</t>
        </is>
      </c>
      <c r="D21159" t="inlineStr">
        <is>
          <t>Elizabeth Arden</t>
        </is>
      </c>
      <c r="E21159" t="n">
        <v>16.84</v>
      </c>
      <c r="F21159" t="n">
        <v>1</v>
      </c>
      <c r="G21159" t="n">
        <v>3</v>
      </c>
      <c r="H21159" s="5">
        <f>HYPERLINK("https://api.qogita.com/variants/link/0085805577452/", "View Product")</f>
        <v/>
      </c>
    </row>
    <row r="21160">
      <c r="A21160" t="inlineStr">
        <is>
          <t>0085805758745</t>
        </is>
      </c>
      <c r="B21160" t="inlineStr">
        <is>
          <t>Elizabeth Arden Sunflowers Eau De Toilette Spray 30ml</t>
        </is>
      </c>
      <c r="C21160" t="inlineStr">
        <is>
          <t>Eau De Toilette</t>
        </is>
      </c>
      <c r="D21160" t="inlineStr">
        <is>
          <t>Elizabeth Arden</t>
        </is>
      </c>
      <c r="E21160" t="n">
        <v>5.43</v>
      </c>
      <c r="F21160" t="n">
        <v>1</v>
      </c>
      <c r="G21160" t="n">
        <v>205</v>
      </c>
      <c r="H21160" s="5">
        <f>HYPERLINK("https://api.qogita.com/variants/link/0085805758745/", "View Product")</f>
        <v/>
      </c>
    </row>
    <row r="21161">
      <c r="A21161" t="inlineStr">
        <is>
          <t>0085805950149</t>
        </is>
      </c>
      <c r="B21161" t="inlineStr">
        <is>
          <t>Fifth Avenue by Elizabeth Arden Eau de Parfum Spray 4.2 oz Tester</t>
        </is>
      </c>
      <c r="C21161" t="inlineStr">
        <is>
          <t>Eau De Parfum</t>
        </is>
      </c>
      <c r="D21161" t="inlineStr">
        <is>
          <t>Elizabeth Arden</t>
        </is>
      </c>
      <c r="E21161" t="n">
        <v>12.99</v>
      </c>
      <c r="F21161" t="n">
        <v>1</v>
      </c>
      <c r="G21161" t="n">
        <v>327</v>
      </c>
      <c r="H21161" s="5">
        <f>HYPERLINK("https://api.qogita.com/variants/link/0085805950149/", "View Product")</f>
        <v/>
      </c>
    </row>
    <row r="21162">
      <c r="A21162" t="inlineStr">
        <is>
          <t>0088300049189</t>
        </is>
      </c>
      <c r="B21162" t="inlineStr">
        <is>
          <t>CK ONE Calvin Klein Eau de Toilette 15ml Unisex</t>
        </is>
      </c>
      <c r="C21162" t="inlineStr">
        <is>
          <t>Eau De Toilette</t>
        </is>
      </c>
      <c r="D21162" t="inlineStr">
        <is>
          <t>Calvin Klein</t>
        </is>
      </c>
      <c r="E21162" t="n">
        <v>6.71</v>
      </c>
      <c r="F21162" t="n">
        <v>1</v>
      </c>
      <c r="G21162" t="n">
        <v>37</v>
      </c>
      <c r="H21162" s="5">
        <f>HYPERLINK("https://api.qogita.com/variants/link/0088300049189/", "View Product")</f>
        <v/>
      </c>
    </row>
    <row r="21163">
      <c r="A21163" t="inlineStr">
        <is>
          <t>0088300108978</t>
        </is>
      </c>
      <c r="B21163" t="inlineStr">
        <is>
          <t>Calvin Klein One Men's Deodorant 2.6 oz</t>
        </is>
      </c>
      <c r="C21163" t="inlineStr">
        <is>
          <t>Deodorant &amp; Anti-Perspirant</t>
        </is>
      </c>
      <c r="D21163" t="inlineStr">
        <is>
          <t>Calvin Klein</t>
        </is>
      </c>
      <c r="E21163" t="n">
        <v>8.460000000000001</v>
      </c>
      <c r="F21163" t="n">
        <v>1</v>
      </c>
      <c r="G21163" t="n">
        <v>9</v>
      </c>
      <c r="H21163" s="5">
        <f>HYPERLINK("https://api.qogita.com/variants/link/0088300108978/", "View Product")</f>
        <v/>
      </c>
    </row>
    <row r="21164">
      <c r="A21164" t="inlineStr">
        <is>
          <t>0088300162505</t>
        </is>
      </c>
      <c r="B21164" t="inlineStr">
        <is>
          <t>Calvin Klein Euphoria Eau de Parfum 100ml</t>
        </is>
      </c>
      <c r="C21164" t="inlineStr">
        <is>
          <t>Eau De Parfum</t>
        </is>
      </c>
      <c r="D21164" t="inlineStr">
        <is>
          <t>Calvin Klein</t>
        </is>
      </c>
      <c r="E21164" t="n">
        <v>34.58</v>
      </c>
      <c r="F21164" t="n">
        <v>1</v>
      </c>
      <c r="G21164" t="n">
        <v>81</v>
      </c>
      <c r="H21164" s="5">
        <f>HYPERLINK("https://api.qogita.com/variants/link/0088300162505/", "View Product")</f>
        <v/>
      </c>
    </row>
    <row r="21165">
      <c r="A21165" t="inlineStr">
        <is>
          <t>0088300166152</t>
        </is>
      </c>
      <c r="B21165" t="inlineStr">
        <is>
          <t>Calvin Klein Obsession for Men After Shave Balm 150ml</t>
        </is>
      </c>
      <c r="C21165" t="inlineStr">
        <is>
          <t>Aftershave</t>
        </is>
      </c>
      <c r="D21165" t="inlineStr">
        <is>
          <t>Calvin Klein</t>
        </is>
      </c>
      <c r="E21165" t="n">
        <v>16.48</v>
      </c>
      <c r="F21165" t="n">
        <v>1</v>
      </c>
      <c r="G21165" t="n">
        <v>22</v>
      </c>
      <c r="H21165" s="5">
        <f>HYPERLINK("https://api.qogita.com/variants/link/0088300166152/", "View Product")</f>
        <v/>
      </c>
    </row>
    <row r="21166">
      <c r="A21166" t="inlineStr">
        <is>
          <t>0088300178315</t>
        </is>
      </c>
      <c r="B21166" t="inlineStr">
        <is>
          <t>Calvin Klein Euphoria Men Eau De Toilette Vapo 50ml New Perfume Fragrance Spray</t>
        </is>
      </c>
      <c r="C21166" t="inlineStr">
        <is>
          <t>Eau De Toilette</t>
        </is>
      </c>
      <c r="D21166" t="inlineStr">
        <is>
          <t>Calvin Klein</t>
        </is>
      </c>
      <c r="E21166" t="n">
        <v>18.48</v>
      </c>
      <c r="F21166" t="n">
        <v>1</v>
      </c>
      <c r="G21166" t="n">
        <v>149</v>
      </c>
      <c r="H21166" s="5">
        <f>HYPERLINK("https://api.qogita.com/variants/link/0088300178315/", "View Product")</f>
        <v/>
      </c>
    </row>
    <row r="21167">
      <c r="A21167" t="inlineStr">
        <is>
          <t>0088300178339</t>
        </is>
      </c>
      <c r="B21167" t="inlineStr">
        <is>
          <t>Calvin Klein Euphoria After Shave 100mL</t>
        </is>
      </c>
      <c r="C21167" t="inlineStr">
        <is>
          <t>Aftershave</t>
        </is>
      </c>
      <c r="D21167" t="inlineStr">
        <is>
          <t>Calvin Klein</t>
        </is>
      </c>
      <c r="E21167" t="n">
        <v>13.66</v>
      </c>
      <c r="F21167" t="n">
        <v>1</v>
      </c>
      <c r="G21167" t="n">
        <v>16</v>
      </c>
      <c r="H21167" s="5">
        <f>HYPERLINK("https://api.qogita.com/variants/link/0088300178339/", "View Product")</f>
        <v/>
      </c>
    </row>
    <row r="21168">
      <c r="A21168" t="inlineStr">
        <is>
          <t>0088300188468</t>
        </is>
      </c>
      <c r="B21168" t="inlineStr">
        <is>
          <t>Calvin Klein Ck One Shower Gel 200ml</t>
        </is>
      </c>
      <c r="C21168" t="inlineStr">
        <is>
          <t>Shower Gel</t>
        </is>
      </c>
      <c r="D21168" t="inlineStr">
        <is>
          <t>Calvin Klein</t>
        </is>
      </c>
      <c r="E21168" t="n">
        <v>7.4</v>
      </c>
      <c r="F21168" t="n">
        <v>1</v>
      </c>
      <c r="G21168" t="n">
        <v>14</v>
      </c>
      <c r="H21168" s="5">
        <f>HYPERLINK("https://api.qogita.com/variants/link/0088300188468/", "View Product")</f>
        <v/>
      </c>
    </row>
    <row r="21169">
      <c r="A21169" t="inlineStr">
        <is>
          <t>0088300602513</t>
        </is>
      </c>
      <c r="B21169" t="inlineStr">
        <is>
          <t>Proraso Green Refresh Shaving Foam 300ml</t>
        </is>
      </c>
      <c r="C21169" t="inlineStr">
        <is>
          <t>Aftershave</t>
        </is>
      </c>
      <c r="D21169" t="inlineStr">
        <is>
          <t>Proraso</t>
        </is>
      </c>
      <c r="E21169" t="n">
        <v>22.44</v>
      </c>
      <c r="F21169" t="n">
        <v>1</v>
      </c>
      <c r="G21169" t="n">
        <v>22</v>
      </c>
      <c r="H21169" s="5">
        <f>HYPERLINK("https://api.qogita.com/variants/link/0088300602513/", "View Product")</f>
        <v/>
      </c>
    </row>
    <row r="21170">
      <c r="A21170" t="inlineStr">
        <is>
          <t>0088300603404</t>
        </is>
      </c>
      <c r="B21170" t="inlineStr">
        <is>
          <t>Calvin Klein Obsession for Women Eau de Parfum 100ml</t>
        </is>
      </c>
      <c r="C21170" t="inlineStr">
        <is>
          <t>Eau De Parfum</t>
        </is>
      </c>
      <c r="D21170" t="inlineStr">
        <is>
          <t>Calvin Klein</t>
        </is>
      </c>
      <c r="E21170" t="n">
        <v>17.68</v>
      </c>
      <c r="F21170" t="n">
        <v>1</v>
      </c>
      <c r="G21170" t="n">
        <v>232</v>
      </c>
      <c r="H21170" s="5">
        <f>HYPERLINK("https://api.qogita.com/variants/link/0088300603404/", "View Product")</f>
        <v/>
      </c>
    </row>
    <row r="21171">
      <c r="A21171" t="inlineStr">
        <is>
          <t>0088300605705</t>
        </is>
      </c>
      <c r="B21171" t="inlineStr">
        <is>
          <t>Eternity For Men Deodorant Stick 75g</t>
        </is>
      </c>
      <c r="C21171" t="inlineStr">
        <is>
          <t>Deodorant &amp; Anti-Perspirant</t>
        </is>
      </c>
      <c r="D21171" t="inlineStr">
        <is>
          <t>Calvin Klein</t>
        </is>
      </c>
      <c r="E21171" t="n">
        <v>9.49</v>
      </c>
      <c r="F21171" t="n">
        <v>1</v>
      </c>
      <c r="G21171" t="n">
        <v>7</v>
      </c>
      <c r="H21171" s="5">
        <f>HYPERLINK("https://api.qogita.com/variants/link/0088300605705/", "View Product")</f>
        <v/>
      </c>
    </row>
    <row r="21172">
      <c r="A21172" t="inlineStr">
        <is>
          <t>0088300606511</t>
        </is>
      </c>
      <c r="B21172" t="inlineStr">
        <is>
          <t>Calvin Klein Obsession for Men Eau de Toilette 125ml</t>
        </is>
      </c>
      <c r="C21172" t="inlineStr">
        <is>
          <t>Eau De Toilette</t>
        </is>
      </c>
      <c r="D21172" t="inlineStr">
        <is>
          <t>Calvin Klein</t>
        </is>
      </c>
      <c r="E21172" t="n">
        <v>18.34</v>
      </c>
      <c r="F21172" t="n">
        <v>1</v>
      </c>
      <c r="G21172" t="n">
        <v>81</v>
      </c>
      <c r="H21172" s="5">
        <f>HYPERLINK("https://api.qogita.com/variants/link/0088300606511/", "View Product")</f>
        <v/>
      </c>
    </row>
    <row r="21173">
      <c r="A21173" t="inlineStr">
        <is>
          <t>0088300608409</t>
        </is>
      </c>
      <c r="B21173" t="inlineStr">
        <is>
          <t>Calvin Klein Escape Eau de Parfum 100ml</t>
        </is>
      </c>
      <c r="C21173" t="inlineStr">
        <is>
          <t>Eau De Parfum</t>
        </is>
      </c>
      <c r="D21173" t="inlineStr">
        <is>
          <t>Calvin Klein</t>
        </is>
      </c>
      <c r="E21173" t="n">
        <v>23.52</v>
      </c>
      <c r="F21173" t="n">
        <v>1</v>
      </c>
      <c r="G21173" t="n">
        <v>143</v>
      </c>
      <c r="H21173" s="5">
        <f>HYPERLINK("https://api.qogita.com/variants/link/0088300608409/", "View Product")</f>
        <v/>
      </c>
    </row>
    <row r="21174">
      <c r="A21174" t="inlineStr">
        <is>
          <t>0091000004402</t>
        </is>
      </c>
      <c r="B21174" t="inlineStr">
        <is>
          <t>Revlon Classic Nail Polish Enamel Teak Rose</t>
        </is>
      </c>
      <c r="C21174" t="inlineStr">
        <is>
          <t>Nail Polish</t>
        </is>
      </c>
      <c r="D21174" t="inlineStr">
        <is>
          <t>Revlon</t>
        </is>
      </c>
      <c r="E21174" t="n">
        <v>2.8</v>
      </c>
      <c r="F21174" t="n">
        <v>1</v>
      </c>
      <c r="G21174" t="n">
        <v>11</v>
      </c>
      <c r="H21174" s="5">
        <f>HYPERLINK("https://api.qogita.com/variants/link/0091000004402/", "View Product")</f>
        <v/>
      </c>
    </row>
    <row r="21175">
      <c r="A21175" t="inlineStr">
        <is>
          <t>0094100000237</t>
        </is>
      </c>
      <c r="B21175" t="inlineStr">
        <is>
          <t>OPI Classic Nail Polish Hawaiian Orchid</t>
        </is>
      </c>
      <c r="C21175" t="inlineStr">
        <is>
          <t>Nail Polish</t>
        </is>
      </c>
      <c r="D21175" t="inlineStr">
        <is>
          <t>OPI</t>
        </is>
      </c>
      <c r="E21175" t="n">
        <v>9.380000000000001</v>
      </c>
      <c r="F21175" t="n">
        <v>1</v>
      </c>
      <c r="G21175" t="n">
        <v>2</v>
      </c>
      <c r="H21175" s="5">
        <f>HYPERLINK("https://api.qogita.com/variants/link/0094100000237/", "View Product")</f>
        <v/>
      </c>
    </row>
    <row r="21176">
      <c r="A21176" t="inlineStr">
        <is>
          <t>0094100003559</t>
        </is>
      </c>
      <c r="B21176" t="inlineStr">
        <is>
          <t>OPI Nail Lacquer 0.5 fl oz Classic Formula It's a Girl!</t>
        </is>
      </c>
      <c r="C21176" t="inlineStr">
        <is>
          <t>Nail Polish</t>
        </is>
      </c>
      <c r="D21176" t="inlineStr">
        <is>
          <t>OPI</t>
        </is>
      </c>
      <c r="E21176" t="n">
        <v>9.51</v>
      </c>
      <c r="F21176" t="n">
        <v>1</v>
      </c>
      <c r="G21176" t="n">
        <v>2</v>
      </c>
      <c r="H21176" s="5">
        <f>HYPERLINK("https://api.qogita.com/variants/link/0094100003559/", "View Product")</f>
        <v/>
      </c>
    </row>
    <row r="21177">
      <c r="A21177" t="inlineStr">
        <is>
          <t>0094100004709</t>
        </is>
      </c>
      <c r="B21177" t="inlineStr">
        <is>
          <t>OPI Nail Lacquer Crawfishin' for a Compliment Orange Nail Polish 0.5 fl oz</t>
        </is>
      </c>
      <c r="C21177" t="inlineStr">
        <is>
          <t>Nail Polish</t>
        </is>
      </c>
      <c r="D21177" t="inlineStr">
        <is>
          <t>OPI</t>
        </is>
      </c>
      <c r="E21177" t="n">
        <v>9.470000000000001</v>
      </c>
      <c r="F21177" t="n">
        <v>1</v>
      </c>
      <c r="G21177" t="n">
        <v>4</v>
      </c>
      <c r="H21177" s="5">
        <f>HYPERLINK("https://api.qogita.com/variants/link/0094100004709/", "View Product")</f>
        <v/>
      </c>
    </row>
    <row r="21178">
      <c r="A21178" t="inlineStr">
        <is>
          <t>0094100009384</t>
        </is>
      </c>
      <c r="B21178" t="inlineStr">
        <is>
          <t>OPI Classic Nail Polish Lincoln Park After Dark</t>
        </is>
      </c>
      <c r="C21178" t="inlineStr">
        <is>
          <t>Nail Polish</t>
        </is>
      </c>
      <c r="D21178" t="inlineStr">
        <is>
          <t>OPI</t>
        </is>
      </c>
      <c r="E21178" t="n">
        <v>9.380000000000001</v>
      </c>
      <c r="F21178" t="n">
        <v>1</v>
      </c>
      <c r="G21178" t="n">
        <v>3</v>
      </c>
      <c r="H21178" s="5">
        <f>HYPERLINK("https://api.qogita.com/variants/link/0094100009384/", "View Product")</f>
        <v/>
      </c>
    </row>
    <row r="21179">
      <c r="A21179" t="inlineStr">
        <is>
          <t>0098132129195</t>
        </is>
      </c>
      <c r="B21179" t="inlineStr">
        <is>
          <t>Original Foundation SPF 15 Tan 19</t>
        </is>
      </c>
      <c r="C21179" t="inlineStr">
        <is>
          <t>Face Sun Protection</t>
        </is>
      </c>
      <c r="D21179" t="inlineStr">
        <is>
          <t>Bareminerals</t>
        </is>
      </c>
      <c r="E21179" t="n">
        <v>27.81</v>
      </c>
      <c r="F21179" t="n">
        <v>1</v>
      </c>
      <c r="G21179" t="n">
        <v>2</v>
      </c>
      <c r="H21179" s="5">
        <f>HYPERLINK("https://api.qogita.com/variants/link/0098132129195/", "View Product")</f>
        <v/>
      </c>
    </row>
    <row r="21180">
      <c r="A21180" t="inlineStr">
        <is>
          <t>0098691005039</t>
        </is>
      </c>
      <c r="B21180" t="inlineStr">
        <is>
          <t>Liz Claiborne Curve Kicks Femme Eau de Toilette 50ml</t>
        </is>
      </c>
      <c r="C21180" t="inlineStr">
        <is>
          <t>Eau De Toilette</t>
        </is>
      </c>
      <c r="D21180" t="inlineStr">
        <is>
          <t>Liz Claiborne</t>
        </is>
      </c>
      <c r="E21180" t="n">
        <v>10.61</v>
      </c>
      <c r="F21180" t="n">
        <v>1</v>
      </c>
      <c r="G21180" t="n">
        <v>9</v>
      </c>
      <c r="H21180" s="5">
        <f>HYPERLINK("https://api.qogita.com/variants/link/0098691005039/", "View Product")</f>
        <v/>
      </c>
    </row>
    <row r="21181">
      <c r="A21181" t="inlineStr">
        <is>
          <t>0098691005046</t>
        </is>
      </c>
      <c r="B21181" t="inlineStr">
        <is>
          <t>Liz Claiborne Curve Eau de Toilette for Women 100ml</t>
        </is>
      </c>
      <c r="C21181" t="inlineStr">
        <is>
          <t>Eau De Toilette</t>
        </is>
      </c>
      <c r="D21181" t="inlineStr">
        <is>
          <t>Curve</t>
        </is>
      </c>
      <c r="E21181" t="n">
        <v>17.29</v>
      </c>
      <c r="F21181" t="n">
        <v>1</v>
      </c>
      <c r="G21181" t="n">
        <v>12</v>
      </c>
      <c r="H21181" s="5">
        <f>HYPERLINK("https://api.qogita.com/variants/link/0098691005046/", "View Product")</f>
        <v/>
      </c>
    </row>
    <row r="21182">
      <c r="A21182" t="inlineStr">
        <is>
          <t>0098691024108</t>
        </is>
      </c>
      <c r="B21182" t="inlineStr">
        <is>
          <t>Spark EDC Spray 100ml</t>
        </is>
      </c>
      <c r="C21182" t="inlineStr">
        <is>
          <t>Eau De Toilette</t>
        </is>
      </c>
      <c r="D21182" t="inlineStr">
        <is>
          <t>Liz Claiborne</t>
        </is>
      </c>
      <c r="E21182" t="n">
        <v>38.97</v>
      </c>
      <c r="F21182" t="n">
        <v>1</v>
      </c>
      <c r="G21182" t="n">
        <v>2</v>
      </c>
      <c r="H21182" s="5">
        <f>HYPERLINK("https://api.qogita.com/variants/link/0098691024108/", "View Product")</f>
        <v/>
      </c>
    </row>
    <row r="21183">
      <c r="A21183" t="inlineStr">
        <is>
          <t>0098691026201</t>
        </is>
      </c>
      <c r="B21183" t="inlineStr">
        <is>
          <t>Liz Claiborne Curve Crush for Women Eau De Toilette Spray 3.4 Ounces</t>
        </is>
      </c>
      <c r="C21183" t="inlineStr">
        <is>
          <t>Eau De Toilette</t>
        </is>
      </c>
      <c r="D21183" t="inlineStr">
        <is>
          <t>Liz Claiborne</t>
        </is>
      </c>
      <c r="E21183" t="n">
        <v>21.27</v>
      </c>
      <c r="F21183" t="n">
        <v>1</v>
      </c>
      <c r="G21183" t="n">
        <v>4</v>
      </c>
      <c r="H21183" s="5">
        <f>HYPERLINK("https://api.qogita.com/variants/link/0098691026201/", "View Product")</f>
        <v/>
      </c>
    </row>
    <row r="21184">
      <c r="A21184" t="inlineStr">
        <is>
          <t>0098691030475</t>
        </is>
      </c>
      <c r="B21184" t="inlineStr">
        <is>
          <t>Liz Claiborne Curve Wave Eau de Toilette for Women 100ml</t>
        </is>
      </c>
      <c r="C21184" t="inlineStr">
        <is>
          <t>Eau De Toilette</t>
        </is>
      </c>
      <c r="D21184" t="inlineStr">
        <is>
          <t>Liz Claiborne</t>
        </is>
      </c>
      <c r="E21184" t="n">
        <v>14.88</v>
      </c>
      <c r="F21184" t="n">
        <v>1</v>
      </c>
      <c r="G21184" t="n">
        <v>8</v>
      </c>
      <c r="H21184" s="5">
        <f>HYPERLINK("https://api.qogita.com/variants/link/0098691030475/", "View Product")</f>
        <v/>
      </c>
    </row>
    <row r="21185">
      <c r="A21185" t="inlineStr">
        <is>
          <t>0098691121258</t>
        </is>
      </c>
      <c r="B21185" t="inlineStr">
        <is>
          <t>Liz Claiborne 3.3 oz EDT Spray for Women</t>
        </is>
      </c>
      <c r="C21185" t="inlineStr">
        <is>
          <t>Eau De Toilette</t>
        </is>
      </c>
      <c r="D21185" t="inlineStr">
        <is>
          <t>Liz Claiborne</t>
        </is>
      </c>
      <c r="E21185" t="n">
        <v>25.38</v>
      </c>
      <c r="F21185" t="n">
        <v>1</v>
      </c>
      <c r="G21185" t="n">
        <v>14</v>
      </c>
      <c r="H21185" s="5">
        <f>HYPERLINK("https://api.qogita.com/variants/link/0098691121258/", "View Product")</f>
        <v/>
      </c>
    </row>
    <row r="21186">
      <c r="A21186" t="inlineStr">
        <is>
          <t>0192333074619</t>
        </is>
      </c>
      <c r="B21186" t="inlineStr">
        <is>
          <t>Clinique Superbalanced Makeup CN 63.5 Linen</t>
        </is>
      </c>
      <c r="C21186" t="inlineStr">
        <is>
          <t>Foundation</t>
        </is>
      </c>
      <c r="D21186" t="inlineStr">
        <is>
          <t>Clinique</t>
        </is>
      </c>
      <c r="E21186" t="n">
        <v>26.7</v>
      </c>
      <c r="F21186" t="n">
        <v>1</v>
      </c>
      <c r="G21186" t="n">
        <v>9</v>
      </c>
      <c r="H21186" s="5">
        <f>HYPERLINK("https://api.qogita.com/variants/link/0192333074619/", "View Product")</f>
        <v/>
      </c>
    </row>
    <row r="21187">
      <c r="A21187" t="inlineStr">
        <is>
          <t>0192333074633</t>
        </is>
      </c>
      <c r="B21187" t="inlineStr">
        <is>
          <t>Clinique Superbalanced Makeup CN 62 Porcelain Beige 30ml</t>
        </is>
      </c>
      <c r="C21187" t="inlineStr">
        <is>
          <t>Foundation</t>
        </is>
      </c>
      <c r="D21187" t="inlineStr">
        <is>
          <t>Clinique</t>
        </is>
      </c>
      <c r="E21187" t="n">
        <v>23.07</v>
      </c>
      <c r="F21187" t="n">
        <v>1</v>
      </c>
      <c r="G21187" t="n">
        <v>5</v>
      </c>
      <c r="H21187" s="5">
        <f>HYPERLINK("https://api.qogita.com/variants/link/0192333074633/", "View Product")</f>
        <v/>
      </c>
    </row>
    <row r="21188">
      <c r="A21188" t="inlineStr">
        <is>
          <t>0192333077900</t>
        </is>
      </c>
      <c r="B21188" t="inlineStr">
        <is>
          <t>Clinique Even Better Cream Foundation Spf20 Cn74 Beige 30ml</t>
        </is>
      </c>
      <c r="C21188" t="inlineStr">
        <is>
          <t>Foundation</t>
        </is>
      </c>
      <c r="D21188" t="inlineStr">
        <is>
          <t>Clinique</t>
        </is>
      </c>
      <c r="E21188" t="n">
        <v>32.07</v>
      </c>
      <c r="F21188" t="n">
        <v>1</v>
      </c>
      <c r="G21188" t="n">
        <v>10</v>
      </c>
      <c r="H21188" s="5">
        <f>HYPERLINK("https://api.qogita.com/variants/link/0192333077900/", "View Product")</f>
        <v/>
      </c>
    </row>
    <row r="21189">
      <c r="A21189" t="inlineStr">
        <is>
          <t>0192333102251</t>
        </is>
      </c>
      <c r="B21189" t="inlineStr">
        <is>
          <t>Clinique Blended Face Powder 20 Invisible Blend 25g</t>
        </is>
      </c>
      <c r="C21189" t="inlineStr">
        <is>
          <t>Powder</t>
        </is>
      </c>
      <c r="D21189" t="inlineStr">
        <is>
          <t>Clinique</t>
        </is>
      </c>
      <c r="E21189" t="n">
        <v>30.16</v>
      </c>
      <c r="F21189" t="n">
        <v>1</v>
      </c>
      <c r="G21189" t="n">
        <v>4</v>
      </c>
      <c r="H21189" s="5">
        <f>HYPERLINK("https://api.qogita.com/variants/link/0192333102251/", "View Product")</f>
        <v/>
      </c>
    </row>
    <row r="21190">
      <c r="A21190" t="inlineStr">
        <is>
          <t>0192333128688</t>
        </is>
      </c>
      <c r="B21190" t="inlineStr">
        <is>
          <t>Clinique Quickliner for Brows Soft Chestnut 0.06g</t>
        </is>
      </c>
      <c r="C21190" t="inlineStr">
        <is>
          <t>Eyebrow Pencil</t>
        </is>
      </c>
      <c r="D21190" t="inlineStr">
        <is>
          <t>Clinique</t>
        </is>
      </c>
      <c r="E21190" t="n">
        <v>14.43</v>
      </c>
      <c r="F21190" t="n">
        <v>1</v>
      </c>
      <c r="G21190" t="n">
        <v>3</v>
      </c>
      <c r="H21190" s="5">
        <f>HYPERLINK("https://api.qogita.com/variants/link/0192333128688/", "View Product")</f>
        <v/>
      </c>
    </row>
    <row r="21191">
      <c r="A21191" t="inlineStr">
        <is>
          <t>0192333128701</t>
        </is>
      </c>
      <c r="B21191" t="inlineStr">
        <is>
          <t>Quickliner for Brows G Multi-Coloured 72g</t>
        </is>
      </c>
      <c r="C21191" t="inlineStr">
        <is>
          <t>Eyebrow Pencil</t>
        </is>
      </c>
      <c r="D21191" t="inlineStr">
        <is>
          <t>Clinique</t>
        </is>
      </c>
      <c r="E21191" t="n">
        <v>17.16</v>
      </c>
      <c r="F21191" t="n">
        <v>1</v>
      </c>
      <c r="G21191" t="n">
        <v>3</v>
      </c>
      <c r="H21191" s="5">
        <f>HYPERLINK("https://api.qogita.com/variants/link/0192333128701/", "View Product")</f>
        <v/>
      </c>
    </row>
    <row r="21192">
      <c r="A21192" t="inlineStr">
        <is>
          <t>0192333130308</t>
        </is>
      </c>
      <c r="B21192" t="inlineStr">
        <is>
          <t>Clinique High Impact Zero Gravity Mascara Black for Women 0.27 Oz</t>
        </is>
      </c>
      <c r="C21192" t="inlineStr">
        <is>
          <t>Mascara</t>
        </is>
      </c>
      <c r="D21192" t="inlineStr">
        <is>
          <t>Clinique</t>
        </is>
      </c>
      <c r="E21192" t="n">
        <v>20.42</v>
      </c>
      <c r="F21192" t="n">
        <v>1</v>
      </c>
      <c r="G21192" t="n">
        <v>8</v>
      </c>
      <c r="H21192" s="5">
        <f>HYPERLINK("https://api.qogita.com/variants/link/0192333130308/", "View Product")</f>
        <v/>
      </c>
    </row>
    <row r="21193">
      <c r="A21193" t="inlineStr">
        <is>
          <t>0192333142912</t>
        </is>
      </c>
      <c r="B21193" t="inlineStr">
        <is>
          <t>Clinique Pop Plush Creamy Lip Gloss with Hyaluronic Acid and Aloe Butter</t>
        </is>
      </c>
      <c r="C21193" t="inlineStr">
        <is>
          <t>Lip Gloss</t>
        </is>
      </c>
      <c r="D21193" t="inlineStr">
        <is>
          <t>Clinique</t>
        </is>
      </c>
      <c r="E21193" t="n">
        <v>16.45</v>
      </c>
      <c r="F21193" t="n">
        <v>1</v>
      </c>
      <c r="G21193" t="n">
        <v>4</v>
      </c>
      <c r="H21193" s="5">
        <f>HYPERLINK("https://api.qogita.com/variants/link/0192333142912/", "View Product")</f>
        <v/>
      </c>
    </row>
    <row r="21194">
      <c r="A21194" t="inlineStr">
        <is>
          <t>0192333148020</t>
        </is>
      </c>
      <c r="B21194" t="inlineStr">
        <is>
          <t>Clinique Clinique Pop Longwear Shine Lipstick Sweet Pop 39g</t>
        </is>
      </c>
      <c r="C21194" t="inlineStr">
        <is>
          <t>Lipstick</t>
        </is>
      </c>
      <c r="D21194" t="inlineStr">
        <is>
          <t>Clinique</t>
        </is>
      </c>
      <c r="E21194" t="n">
        <v>18.2</v>
      </c>
      <c r="F21194" t="n">
        <v>1</v>
      </c>
      <c r="G21194" t="n">
        <v>6</v>
      </c>
      <c r="H21194" s="5">
        <f>HYPERLINK("https://api.qogita.com/variants/link/0192333148020/", "View Product")</f>
        <v/>
      </c>
    </row>
    <row r="21195">
      <c r="A21195" t="inlineStr">
        <is>
          <t>0192333148242</t>
        </is>
      </c>
      <c r="B21195" t="inlineStr">
        <is>
          <t>Clinique Clinique Pop Longwear Matte Lipstick Pow Pop 39g</t>
        </is>
      </c>
      <c r="C21195" t="inlineStr">
        <is>
          <t>Lipstick</t>
        </is>
      </c>
      <c r="D21195" t="inlineStr">
        <is>
          <t>Clinique</t>
        </is>
      </c>
      <c r="E21195" t="n">
        <v>16.4</v>
      </c>
      <c r="F21195" t="n">
        <v>1</v>
      </c>
      <c r="G21195" t="n">
        <v>2</v>
      </c>
      <c r="H21195" s="5">
        <f>HYPERLINK("https://api.qogita.com/variants/link/0192333148242/", "View Product")</f>
        <v/>
      </c>
    </row>
    <row r="21196">
      <c r="A21196" t="inlineStr">
        <is>
          <t>0192333149119</t>
        </is>
      </c>
      <c r="B21196" t="inlineStr">
        <is>
          <t>Take the Day Off Charcoal Cleansing Balm 125ml</t>
        </is>
      </c>
      <c r="C21196" t="inlineStr">
        <is>
          <t>Makeup Remover</t>
        </is>
      </c>
      <c r="D21196" t="inlineStr">
        <is>
          <t>Clinique</t>
        </is>
      </c>
      <c r="E21196" t="n">
        <v>23.14</v>
      </c>
      <c r="F21196" t="n">
        <v>1</v>
      </c>
      <c r="G21196" t="n">
        <v>5</v>
      </c>
      <c r="H21196" s="5">
        <f>HYPERLINK("https://api.qogita.com/variants/link/0192333149119/", "View Product")</f>
        <v/>
      </c>
    </row>
    <row r="21197">
      <c r="A21197" t="inlineStr">
        <is>
          <t>0192333150580</t>
        </is>
      </c>
      <c r="B21197" t="inlineStr">
        <is>
          <t>Clinique Moisture Surge Sheer Hydrator SPF 25 for Women 1.7oz</t>
        </is>
      </c>
      <c r="C21197" t="inlineStr">
        <is>
          <t>Day Cream</t>
        </is>
      </c>
      <c r="D21197" t="inlineStr">
        <is>
          <t>Clinique</t>
        </is>
      </c>
      <c r="E21197" t="n">
        <v>27.7</v>
      </c>
      <c r="F21197" t="n">
        <v>1</v>
      </c>
      <c r="G21197" t="n">
        <v>2</v>
      </c>
      <c r="H21197" s="5">
        <f>HYPERLINK("https://api.qogita.com/variants/link/0192333150580/", "View Product")</f>
        <v/>
      </c>
    </row>
    <row r="21198">
      <c r="A21198" t="inlineStr">
        <is>
          <t>0192333163603</t>
        </is>
      </c>
      <c r="B21198" t="inlineStr">
        <is>
          <t>CLQ Moisture Surge F25 30ml</t>
        </is>
      </c>
      <c r="C21198" t="inlineStr">
        <is>
          <t>Face Cream</t>
        </is>
      </c>
      <c r="D21198" t="inlineStr">
        <is>
          <t>Clinique</t>
        </is>
      </c>
      <c r="E21198" t="n">
        <v>19.7</v>
      </c>
      <c r="F21198" t="n">
        <v>1</v>
      </c>
      <c r="G21198" t="n">
        <v>5</v>
      </c>
      <c r="H21198" s="5">
        <f>HYPERLINK("https://api.qogita.com/variants/link/0192333163603/", "View Product")</f>
        <v/>
      </c>
    </row>
    <row r="21199">
      <c r="A21199" t="inlineStr">
        <is>
          <t>0192333192221</t>
        </is>
      </c>
      <c r="B21199" t="inlineStr">
        <is>
          <t>Clinique Pop Longwear Lipstick - Satin 4 G</t>
        </is>
      </c>
      <c r="C21199" t="inlineStr">
        <is>
          <t>Lipstick</t>
        </is>
      </c>
      <c r="D21199" t="inlineStr">
        <is>
          <t>Clinique</t>
        </is>
      </c>
      <c r="E21199" t="n">
        <v>16.74</v>
      </c>
      <c r="F21199" t="n">
        <v>1</v>
      </c>
      <c r="G21199" t="n">
        <v>5</v>
      </c>
      <c r="H21199" s="5">
        <f>HYPERLINK("https://api.qogita.com/variants/link/0192333192221/", "View Product")</f>
        <v/>
      </c>
    </row>
    <row r="21200">
      <c r="A21200" t="inlineStr">
        <is>
          <t>0192333192276</t>
        </is>
      </c>
      <c r="B21200" t="inlineStr">
        <is>
          <t>Clinique Pop Longwear Lipstick - 4 Grams</t>
        </is>
      </c>
      <c r="C21200" t="inlineStr">
        <is>
          <t>Lipstick</t>
        </is>
      </c>
      <c r="D21200" t="inlineStr">
        <is>
          <t>Clinique</t>
        </is>
      </c>
      <c r="E21200" t="n">
        <v>15.53</v>
      </c>
      <c r="F21200" t="n">
        <v>1</v>
      </c>
      <c r="G21200" t="n">
        <v>3</v>
      </c>
      <c r="H21200" s="5">
        <f>HYPERLINK("https://api.qogita.com/variants/link/0192333192276/", "View Product")</f>
        <v/>
      </c>
    </row>
    <row r="21201">
      <c r="A21201" t="inlineStr">
        <is>
          <t>0192333192344</t>
        </is>
      </c>
      <c r="B21201" t="inlineStr">
        <is>
          <t>Clinique Clinique Pop Longwear Matte Lipstick Latte Pop - 39g</t>
        </is>
      </c>
      <c r="C21201" t="inlineStr">
        <is>
          <t>Lipstick</t>
        </is>
      </c>
      <c r="D21201" t="inlineStr">
        <is>
          <t>Clinique</t>
        </is>
      </c>
      <c r="E21201" t="n">
        <v>16.4</v>
      </c>
      <c r="F21201" t="n">
        <v>1</v>
      </c>
      <c r="G21201" t="n">
        <v>2</v>
      </c>
      <c r="H21201" s="5">
        <f>HYPERLINK("https://api.qogita.com/variants/link/0192333192344/", "View Product")</f>
        <v/>
      </c>
    </row>
    <row r="21202">
      <c r="A21202" t="inlineStr">
        <is>
          <t>0192333192368</t>
        </is>
      </c>
      <c r="B21202" t="inlineStr">
        <is>
          <t>Clinique Clinique Pop Longwear Matte Lipstick Petal Pop 39g</t>
        </is>
      </c>
      <c r="C21202" t="inlineStr">
        <is>
          <t>Lipstick</t>
        </is>
      </c>
      <c r="D21202" t="inlineStr">
        <is>
          <t>Clinique</t>
        </is>
      </c>
      <c r="E21202" t="n">
        <v>16.4</v>
      </c>
      <c r="F21202" t="n">
        <v>1</v>
      </c>
      <c r="G21202" t="n">
        <v>3</v>
      </c>
      <c r="H21202" s="5">
        <f>HYPERLINK("https://api.qogita.com/variants/link/0192333192368/", "View Product")</f>
        <v/>
      </c>
    </row>
    <row r="21203">
      <c r="A21203" t="inlineStr">
        <is>
          <t>0192333201558</t>
        </is>
      </c>
      <c r="B21203" t="inlineStr">
        <is>
          <t>Clinique High Impact Shadow Play Shadow And Definer - Ocni Stiny V Tuzce 19 G Rose Truffles</t>
        </is>
      </c>
      <c r="C21203" t="inlineStr">
        <is>
          <t>Eyeshadow</t>
        </is>
      </c>
      <c r="D21203" t="inlineStr">
        <is>
          <t>Clinique</t>
        </is>
      </c>
      <c r="E21203" t="n">
        <v>21.98</v>
      </c>
      <c r="F21203" t="n">
        <v>1</v>
      </c>
      <c r="G21203" t="n">
        <v>5</v>
      </c>
      <c r="H21203" s="5">
        <f>HYPERLINK("https://api.qogita.com/variants/link/0192333201558/", "View Product")</f>
        <v/>
      </c>
    </row>
    <row r="21204">
      <c r="A21204" t="inlineStr">
        <is>
          <t>0192333255001</t>
        </is>
      </c>
      <c r="B21204" t="inlineStr">
        <is>
          <t>Clinique Liquid Make-Up Spf 50 Even Better Clinical Vitamin Make-Up - 30 Ml</t>
        </is>
      </c>
      <c r="C21204" t="inlineStr">
        <is>
          <t>Foundation</t>
        </is>
      </c>
      <c r="D21204" t="inlineStr">
        <is>
          <t>Clinique</t>
        </is>
      </c>
      <c r="E21204" t="n">
        <v>31.58</v>
      </c>
      <c r="F21204" t="n">
        <v>1</v>
      </c>
      <c r="G21204" t="n">
        <v>3</v>
      </c>
      <c r="H21204" s="5">
        <f>HYPERLINK("https://api.qogita.com/variants/link/0192333255001/", "View Product")</f>
        <v/>
      </c>
    </row>
    <row r="21205">
      <c r="A21205" t="inlineStr">
        <is>
          <t>0194248059668</t>
        </is>
      </c>
      <c r="B21205" t="inlineStr">
        <is>
          <t>bareMinerals Mineralist Detailing Micro-Fill Brow Pencil Light Brown</t>
        </is>
      </c>
      <c r="C21205" t="inlineStr">
        <is>
          <t>Eyebrow Pencil</t>
        </is>
      </c>
      <c r="D21205" t="inlineStr">
        <is>
          <t>Bareminerals</t>
        </is>
      </c>
      <c r="E21205" t="n">
        <v>16.76</v>
      </c>
      <c r="F21205" t="n">
        <v>1</v>
      </c>
      <c r="G21205" t="n">
        <v>2</v>
      </c>
      <c r="H21205" s="5">
        <f>HYPERLINK("https://api.qogita.com/variants/link/0194248059668/", "View Product")</f>
        <v/>
      </c>
    </row>
    <row r="21206">
      <c r="A21206" t="inlineStr">
        <is>
          <t>0194248059729</t>
        </is>
      </c>
      <c r="B21206" t="inlineStr">
        <is>
          <t>bareMinerals Mineralist Detailing Micro-Fill Brow Pencil Black</t>
        </is>
      </c>
      <c r="C21206" t="inlineStr">
        <is>
          <t>Eyebrow Pencil</t>
        </is>
      </c>
      <c r="D21206" t="inlineStr">
        <is>
          <t>Bareminerals</t>
        </is>
      </c>
      <c r="E21206" t="n">
        <v>16.76</v>
      </c>
      <c r="F21206" t="n">
        <v>1</v>
      </c>
      <c r="G21206" t="n">
        <v>2</v>
      </c>
      <c r="H21206" s="5">
        <f>HYPERLINK("https://api.qogita.com/variants/link/0194248059729/", "View Product")</f>
        <v/>
      </c>
    </row>
    <row r="21207">
      <c r="A21207" t="inlineStr">
        <is>
          <t>0194248061852</t>
        </is>
      </c>
      <c r="B21207" t="inlineStr">
        <is>
          <t>Bareminerals Bare Pro 24-Hour Matte Comfort Liquid Foundation - 30 Ml</t>
        </is>
      </c>
      <c r="C21207" t="inlineStr">
        <is>
          <t>Foundation</t>
        </is>
      </c>
      <c r="D21207" t="inlineStr">
        <is>
          <t>Bareminerals</t>
        </is>
      </c>
      <c r="E21207" t="n">
        <v>30.63</v>
      </c>
      <c r="F21207" t="n">
        <v>1</v>
      </c>
      <c r="G21207" t="n">
        <v>2</v>
      </c>
      <c r="H21207" s="5">
        <f>HYPERLINK("https://api.qogita.com/variants/link/0194248061852/", "View Product")</f>
        <v/>
      </c>
    </row>
    <row r="21208">
      <c r="A21208" t="inlineStr">
        <is>
          <t>0194248062453</t>
        </is>
      </c>
      <c r="B21208" t="inlineStr">
        <is>
          <t>Bareminerals Barepro 24 Hour Matte Comfort Liquid Foundation Mineral Spf 20 - Light 26 Cool 30 Ml</t>
        </is>
      </c>
      <c r="C21208" t="inlineStr">
        <is>
          <t>Foundation</t>
        </is>
      </c>
      <c r="D21208" t="inlineStr">
        <is>
          <t>Bareminerals</t>
        </is>
      </c>
      <c r="E21208" t="n">
        <v>30.63</v>
      </c>
      <c r="F21208" t="n">
        <v>1</v>
      </c>
      <c r="G21208" t="n">
        <v>3</v>
      </c>
      <c r="H21208" s="5">
        <f>HYPERLINK("https://api.qogita.com/variants/link/0194248062453/", "View Product")</f>
        <v/>
      </c>
    </row>
    <row r="21209">
      <c r="A21209" t="inlineStr">
        <is>
          <t>0194248100186</t>
        </is>
      </c>
      <c r="B21209" t="inlineStr">
        <is>
          <t>bareMinerals Complexion Rescue Liquid Blonzer Blush Bronzer Hybrid Sun-Kissed Glow Buildable Face Cheeks Gel-Cream Vegan Kiss of Copper 0.5 Ounce</t>
        </is>
      </c>
      <c r="C21209" t="inlineStr">
        <is>
          <t>Blush</t>
        </is>
      </c>
      <c r="D21209" t="inlineStr">
        <is>
          <t>Bareminerals</t>
        </is>
      </c>
      <c r="E21209" t="n">
        <v>20.79</v>
      </c>
      <c r="F21209" t="n">
        <v>1</v>
      </c>
      <c r="G21209" t="n">
        <v>3</v>
      </c>
      <c r="H21209" s="5">
        <f>HYPERLINK("https://api.qogita.com/variants/link/0194248100186/", "View Product")</f>
        <v/>
      </c>
    </row>
    <row r="21210">
      <c r="A21210" t="inlineStr">
        <is>
          <t>0194250000085</t>
        </is>
      </c>
      <c r="B21210" t="inlineStr">
        <is>
          <t>Laura Mercier Secret Camouflage Bright &amp; Correct Duo 1C</t>
        </is>
      </c>
      <c r="C21210" t="inlineStr">
        <is>
          <t>Concealer</t>
        </is>
      </c>
      <c r="D21210" t="inlineStr">
        <is>
          <t>Laura Mercier</t>
        </is>
      </c>
      <c r="E21210" t="n">
        <v>24.8</v>
      </c>
      <c r="F21210" t="n">
        <v>1</v>
      </c>
      <c r="G21210" t="n">
        <v>8</v>
      </c>
      <c r="H21210" s="5">
        <f>HYPERLINK("https://api.qogita.com/variants/link/0194250000085/", "View Product")</f>
        <v/>
      </c>
    </row>
    <row r="21211">
      <c r="A21211" t="inlineStr">
        <is>
          <t>0194250000207</t>
        </is>
      </c>
      <c r="B21211" t="inlineStr">
        <is>
          <t>Laura Mercier Secret Camouflage Concealer Duo Stick 2N Light with Neutral Undertones 0.3oz</t>
        </is>
      </c>
      <c r="C21211" t="inlineStr">
        <is>
          <t>Concealer</t>
        </is>
      </c>
      <c r="D21211" t="inlineStr">
        <is>
          <t>Laura Mercier</t>
        </is>
      </c>
      <c r="E21211" t="n">
        <v>24.8</v>
      </c>
      <c r="F21211" t="n">
        <v>1</v>
      </c>
      <c r="G21211" t="n">
        <v>3</v>
      </c>
      <c r="H21211" s="5">
        <f>HYPERLINK("https://api.qogita.com/variants/link/0194250000207/", "View Product")</f>
        <v/>
      </c>
    </row>
    <row r="21212">
      <c r="A21212" t="inlineStr">
        <is>
          <t>0194250000269</t>
        </is>
      </c>
      <c r="B21212" t="inlineStr">
        <is>
          <t>Laura Mercier Secret Camouflage Concealer Duo Stick 3C Medium with Cool Undertones 0.06oz Beige</t>
        </is>
      </c>
      <c r="C21212" t="inlineStr">
        <is>
          <t>Concealer</t>
        </is>
      </c>
      <c r="D21212" t="inlineStr">
        <is>
          <t>Laura Mercier</t>
        </is>
      </c>
      <c r="E21212" t="n">
        <v>24.8</v>
      </c>
      <c r="F21212" t="n">
        <v>1</v>
      </c>
      <c r="G21212" t="n">
        <v>2</v>
      </c>
      <c r="H21212" s="5">
        <f>HYPERLINK("https://api.qogita.com/variants/link/0194250000269/", "View Product")</f>
        <v/>
      </c>
    </row>
    <row r="21213">
      <c r="A21213" t="inlineStr">
        <is>
          <t>0194250002232</t>
        </is>
      </c>
      <c r="B21213" t="inlineStr">
        <is>
          <t>Oil Free Natural Skin Perfector Tinted Moisturizer 50 ml Shade 4N1 Wheat</t>
        </is>
      </c>
      <c r="C21213" t="inlineStr">
        <is>
          <t>Bb Cream &amp; Cc Cream</t>
        </is>
      </c>
      <c r="D21213" t="inlineStr">
        <is>
          <t>Laura Mercier</t>
        </is>
      </c>
      <c r="E21213" t="n">
        <v>31.41</v>
      </c>
      <c r="F21213" t="n">
        <v>1</v>
      </c>
      <c r="G21213" t="n">
        <v>4</v>
      </c>
      <c r="H21213" s="5">
        <f>HYPERLINK("https://api.qogita.com/variants/link/0194250002232/", "View Product")</f>
        <v/>
      </c>
    </row>
    <row r="21214">
      <c r="A21214" t="inlineStr">
        <is>
          <t>0194250007190</t>
        </is>
      </c>
      <c r="B21214" t="inlineStr">
        <is>
          <t>Laura Mercier Blush Colour Infusion Guava 6g</t>
        </is>
      </c>
      <c r="C21214" t="inlineStr">
        <is>
          <t>Blush</t>
        </is>
      </c>
      <c r="D21214" t="inlineStr">
        <is>
          <t>Laura Mercier</t>
        </is>
      </c>
      <c r="E21214" t="n">
        <v>22.12</v>
      </c>
      <c r="F21214" t="n">
        <v>1</v>
      </c>
      <c r="G21214" t="n">
        <v>2</v>
      </c>
      <c r="H21214" s="5">
        <f>HYPERLINK("https://api.qogita.com/variants/link/0194250007190/", "View Product")</f>
        <v/>
      </c>
    </row>
    <row r="21215">
      <c r="A21215" t="inlineStr">
        <is>
          <t>0194250010299</t>
        </is>
      </c>
      <c r="B21215" t="inlineStr">
        <is>
          <t>Laura Mercier Real Flawless Weightless Perfecting Foundation 1 Fl Oz</t>
        </is>
      </c>
      <c r="C21215" t="inlineStr">
        <is>
          <t>Foundation</t>
        </is>
      </c>
      <c r="D21215" t="inlineStr">
        <is>
          <t>Laura Mercier</t>
        </is>
      </c>
      <c r="E21215" t="n">
        <v>39</v>
      </c>
      <c r="F21215" t="n">
        <v>1</v>
      </c>
      <c r="G21215" t="n">
        <v>4</v>
      </c>
      <c r="H21215" s="5">
        <f>HYPERLINK("https://api.qogita.com/variants/link/0194250010299/", "View Product")</f>
        <v/>
      </c>
    </row>
    <row r="21216">
      <c r="A21216" t="inlineStr">
        <is>
          <t>0194250010312</t>
        </is>
      </c>
      <c r="B21216" t="inlineStr">
        <is>
          <t>Laura Mercier Real Flawless Weightless Perfecting Foundation 0W1 Satin 1oz</t>
        </is>
      </c>
      <c r="C21216" t="inlineStr">
        <is>
          <t>Foundation</t>
        </is>
      </c>
      <c r="D21216" t="inlineStr">
        <is>
          <t>Laura Mercier</t>
        </is>
      </c>
      <c r="E21216" t="n">
        <v>39</v>
      </c>
      <c r="F21216" t="n">
        <v>1</v>
      </c>
      <c r="G21216" t="n">
        <v>5</v>
      </c>
      <c r="H21216" s="5">
        <f>HYPERLINK("https://api.qogita.com/variants/link/0194250010312/", "View Product")</f>
        <v/>
      </c>
    </row>
    <row r="21217">
      <c r="A21217" t="inlineStr">
        <is>
          <t>0194250010510</t>
        </is>
      </c>
      <c r="B21217" t="inlineStr">
        <is>
          <t>Laura Mercier Real Flawless Foundation - Liquid Makeup 30 Ml 2n2 Linen</t>
        </is>
      </c>
      <c r="C21217" t="inlineStr">
        <is>
          <t>Foundation</t>
        </is>
      </c>
      <c r="D21217" t="inlineStr">
        <is>
          <t>Laura Mercier</t>
        </is>
      </c>
      <c r="E21217" t="n">
        <v>36.19</v>
      </c>
      <c r="F21217" t="n">
        <v>1</v>
      </c>
      <c r="G21217" t="n">
        <v>5</v>
      </c>
      <c r="H21217" s="5">
        <f>HYPERLINK("https://api.qogita.com/variants/link/0194250010510/", "View Product")</f>
        <v/>
      </c>
    </row>
    <row r="21218">
      <c r="A21218" t="inlineStr">
        <is>
          <t>0194250010534</t>
        </is>
      </c>
      <c r="B21218" t="inlineStr">
        <is>
          <t>Laura Mercier Real Flawless Foundation - 30 Ml</t>
        </is>
      </c>
      <c r="C21218" t="inlineStr">
        <is>
          <t>Foundation</t>
        </is>
      </c>
      <c r="D21218" t="inlineStr">
        <is>
          <t>Laura Mercier</t>
        </is>
      </c>
      <c r="E21218" t="n">
        <v>39</v>
      </c>
      <c r="F21218" t="n">
        <v>1</v>
      </c>
      <c r="G21218" t="n">
        <v>4</v>
      </c>
      <c r="H21218" s="5">
        <f>HYPERLINK("https://api.qogita.com/variants/link/0194250010534/", "View Product")</f>
        <v/>
      </c>
    </row>
    <row r="21219">
      <c r="A21219" t="inlineStr">
        <is>
          <t>0194250018585</t>
        </is>
      </c>
      <c r="B21219" t="inlineStr">
        <is>
          <t>Laura Mercier Women's Tinted Moisturizer Blush Corsica Pink 0.5 oz 15 mL</t>
        </is>
      </c>
      <c r="C21219" t="inlineStr">
        <is>
          <t>Blush</t>
        </is>
      </c>
      <c r="D21219" t="inlineStr">
        <is>
          <t>Laura Mercier</t>
        </is>
      </c>
      <c r="E21219" t="n">
        <v>19.77</v>
      </c>
      <c r="F21219" t="n">
        <v>1</v>
      </c>
      <c r="G21219" t="n">
        <v>4</v>
      </c>
      <c r="H21219" s="5">
        <f>HYPERLINK("https://api.qogita.com/variants/link/0194250018585/", "View Product")</f>
        <v/>
      </c>
    </row>
    <row r="21220">
      <c r="A21220" t="inlineStr">
        <is>
          <t>0194250022254</t>
        </is>
      </c>
      <c r="B21220" t="inlineStr">
        <is>
          <t>Laura Mercier Lip Glace Hydrating Moisturizing Lip Balm Gloss Baby Doll</t>
        </is>
      </c>
      <c r="C21220" t="inlineStr">
        <is>
          <t>Lip Gloss</t>
        </is>
      </c>
      <c r="D21220" t="inlineStr">
        <is>
          <t>Laura Mercier</t>
        </is>
      </c>
      <c r="E21220" t="n">
        <v>22.24</v>
      </c>
      <c r="F21220" t="n">
        <v>1</v>
      </c>
      <c r="G21220" t="n">
        <v>5</v>
      </c>
      <c r="H21220" s="5">
        <f>HYPERLINK("https://api.qogita.com/variants/link/0194250022254/", "View Product")</f>
        <v/>
      </c>
    </row>
    <row r="21221">
      <c r="A21221" t="inlineStr">
        <is>
          <t>0194250033045</t>
        </is>
      </c>
      <c r="B21221" t="inlineStr">
        <is>
          <t>Laura Mercier Lip Glace 420 A La Fraise for Women 0.19oz Lip Gloss Red</t>
        </is>
      </c>
      <c r="C21221" t="inlineStr">
        <is>
          <t>Lip Gloss</t>
        </is>
      </c>
      <c r="D21221" t="inlineStr">
        <is>
          <t>Laura Mercier</t>
        </is>
      </c>
      <c r="E21221" t="n">
        <v>19.77</v>
      </c>
      <c r="F21221" t="n">
        <v>1</v>
      </c>
      <c r="G21221" t="n">
        <v>5</v>
      </c>
      <c r="H21221" s="5">
        <f>HYPERLINK("https://api.qogita.com/variants/link/0194250033045/", "View Product")</f>
        <v/>
      </c>
    </row>
    <row r="21222">
      <c r="A21222" t="inlineStr">
        <is>
          <t>0194250037067</t>
        </is>
      </c>
      <c r="B21222" t="inlineStr">
        <is>
          <t>Laura Mercier Translucent Light Catcher Honey Star Loose Setting Powder 29g</t>
        </is>
      </c>
      <c r="C21222" t="inlineStr">
        <is>
          <t>Powder</t>
        </is>
      </c>
      <c r="D21222" t="inlineStr">
        <is>
          <t>Laura Mercier</t>
        </is>
      </c>
      <c r="E21222" t="n">
        <v>35.75</v>
      </c>
      <c r="F21222" t="n">
        <v>1</v>
      </c>
      <c r="G21222" t="n">
        <v>4</v>
      </c>
      <c r="H21222" s="5">
        <f>HYPERLINK("https://api.qogita.com/variants/link/0194250037067/", "View Product")</f>
        <v/>
      </c>
    </row>
    <row r="21223">
      <c r="A21223" t="inlineStr">
        <is>
          <t>0194250038972</t>
        </is>
      </c>
      <c r="B21223" t="inlineStr">
        <is>
          <t>Roseglow Blush Color Infusion All That Sparkle by Laura Mercier for Women 0.2 oz</t>
        </is>
      </c>
      <c r="C21223" t="inlineStr">
        <is>
          <t>Blush</t>
        </is>
      </c>
      <c r="D21223" t="inlineStr">
        <is>
          <t>Laura Mercier</t>
        </is>
      </c>
      <c r="E21223" t="n">
        <v>25.28</v>
      </c>
      <c r="F21223" t="n">
        <v>1</v>
      </c>
      <c r="G21223" t="n">
        <v>7</v>
      </c>
      <c r="H21223" s="5">
        <f>HYPERLINK("https://api.qogita.com/variants/link/0194250038972/", "View Product")</f>
        <v/>
      </c>
    </row>
    <row r="21224">
      <c r="A21224" t="inlineStr">
        <is>
          <t>0194250038996</t>
        </is>
      </c>
      <c r="B21224" t="inlineStr">
        <is>
          <t>Roseglow Blush Color Infusion Peach Shimmer by Laura Mercier for Women 0.2 oz</t>
        </is>
      </c>
      <c r="C21224" t="inlineStr">
        <is>
          <t>Blush</t>
        </is>
      </c>
      <c r="D21224" t="inlineStr">
        <is>
          <t>Laura Mercier</t>
        </is>
      </c>
      <c r="E21224" t="n">
        <v>27.68</v>
      </c>
      <c r="F21224" t="n">
        <v>1</v>
      </c>
      <c r="G21224" t="n">
        <v>5</v>
      </c>
      <c r="H21224" s="5">
        <f>HYPERLINK("https://api.qogita.com/variants/link/0194250038996/", "View Product")</f>
        <v/>
      </c>
    </row>
    <row r="21225">
      <c r="A21225" t="inlineStr">
        <is>
          <t>0194250039450</t>
        </is>
      </c>
      <c r="B21225" t="inlineStr">
        <is>
          <t>Tinted Moisturizing Skin Cream (Tinted Moisturizer Light Revealer) 50 ml Shade 0N1 Petal</t>
        </is>
      </c>
      <c r="C21225" t="inlineStr">
        <is>
          <t>Bb Cream &amp; Cc Cream</t>
        </is>
      </c>
      <c r="D21225" t="inlineStr">
        <is>
          <t>Laura Mercier</t>
        </is>
      </c>
      <c r="E21225" t="n">
        <v>32.61</v>
      </c>
      <c r="F21225" t="n">
        <v>1</v>
      </c>
      <c r="G21225" t="n">
        <v>2</v>
      </c>
      <c r="H21225" s="5">
        <f>HYPERLINK("https://api.qogita.com/variants/link/0194250039450/", "View Product")</f>
        <v/>
      </c>
    </row>
    <row r="21226">
      <c r="A21226" t="inlineStr">
        <is>
          <t>0194250040050</t>
        </is>
      </c>
      <c r="B21226" t="inlineStr">
        <is>
          <t>Tinted Moisturizing Skin Cream (Tinted Moisturizer Light Revealer) 50 ml Shade 3W1 Bisque</t>
        </is>
      </c>
      <c r="C21226" t="inlineStr">
        <is>
          <t>Tinted Day Cream</t>
        </is>
      </c>
      <c r="D21226" t="inlineStr">
        <is>
          <t>Laura Mercier</t>
        </is>
      </c>
      <c r="E21226" t="n">
        <v>32.49</v>
      </c>
      <c r="F21226" t="n">
        <v>1</v>
      </c>
      <c r="G21226" t="n">
        <v>2</v>
      </c>
      <c r="H21226" s="5">
        <f>HYPERLINK("https://api.qogita.com/variants/link/0194250040050/", "View Product")</f>
        <v/>
      </c>
    </row>
    <row r="21227">
      <c r="A21227" t="inlineStr">
        <is>
          <t>0194250043082</t>
        </is>
      </c>
      <c r="B21227" t="inlineStr">
        <is>
          <t>Laura Mercier Tinted Moisturizer Blush Cherry Orchard For Women 0.5 oz Red Blush 5.03 ml</t>
        </is>
      </c>
      <c r="C21227" t="inlineStr">
        <is>
          <t>Blush</t>
        </is>
      </c>
      <c r="D21227" t="inlineStr">
        <is>
          <t>Laura Mercier</t>
        </is>
      </c>
      <c r="E21227" t="n">
        <v>19.77</v>
      </c>
      <c r="F21227" t="n">
        <v>1</v>
      </c>
      <c r="G21227" t="n">
        <v>3</v>
      </c>
      <c r="H21227" s="5">
        <f>HYPERLINK("https://api.qogita.com/variants/link/0194250043082/", "View Product")</f>
        <v/>
      </c>
    </row>
    <row r="21228">
      <c r="A21228" t="inlineStr">
        <is>
          <t>0194250046595</t>
        </is>
      </c>
      <c r="B21228" t="inlineStr">
        <is>
          <t>Laura Mercier High Vibe Lip Color - Lipstick 2 G 142 Pop</t>
        </is>
      </c>
      <c r="C21228" t="inlineStr">
        <is>
          <t>Lipstick</t>
        </is>
      </c>
      <c r="D21228" t="inlineStr">
        <is>
          <t>Laura Mercier</t>
        </is>
      </c>
      <c r="E21228" t="n">
        <v>24.64</v>
      </c>
      <c r="F21228" t="n">
        <v>1</v>
      </c>
      <c r="G21228" t="n">
        <v>5</v>
      </c>
      <c r="H21228" s="5">
        <f>HYPERLINK("https://api.qogita.com/variants/link/0194250046595/", "View Product")</f>
        <v/>
      </c>
    </row>
    <row r="21229">
      <c r="A21229" t="inlineStr">
        <is>
          <t>0194250047530</t>
        </is>
      </c>
      <c r="B21229" t="inlineStr">
        <is>
          <t>Laura Mercier Ultra-Blur Talc-Free Translucent Loose Setting Powder Medium Deep</t>
        </is>
      </c>
      <c r="C21229" t="inlineStr">
        <is>
          <t>Powder</t>
        </is>
      </c>
      <c r="D21229" t="inlineStr">
        <is>
          <t>Laura Mercier</t>
        </is>
      </c>
      <c r="E21229" t="n">
        <v>41.2</v>
      </c>
      <c r="F21229" t="n">
        <v>1</v>
      </c>
      <c r="G21229" t="n">
        <v>9</v>
      </c>
      <c r="H21229" s="5">
        <f>HYPERLINK("https://api.qogita.com/variants/link/0194250047530/", "View Product")</f>
        <v/>
      </c>
    </row>
    <row r="21230">
      <c r="A21230" t="inlineStr">
        <is>
          <t>0194250047592</t>
        </is>
      </c>
      <c r="B21230" t="inlineStr">
        <is>
          <t>Laura Mercier Mini Ultra-Blur Talc-Free Translucent Loose Setting Powder Medium Deep</t>
        </is>
      </c>
      <c r="C21230" t="inlineStr">
        <is>
          <t>Powder</t>
        </is>
      </c>
      <c r="D21230" t="inlineStr">
        <is>
          <t>Laura Mercier</t>
        </is>
      </c>
      <c r="E21230" t="n">
        <v>21.68</v>
      </c>
      <c r="F21230" t="n">
        <v>1</v>
      </c>
      <c r="G21230" t="n">
        <v>4</v>
      </c>
      <c r="H21230" s="5">
        <f>HYPERLINK("https://api.qogita.com/variants/link/0194250047592/", "View Product")</f>
        <v/>
      </c>
    </row>
    <row r="21231">
      <c r="A21231" t="inlineStr">
        <is>
          <t>0194250050158</t>
        </is>
      </c>
      <c r="B21231" t="inlineStr">
        <is>
          <t>Laura Mercier Real Flawless Luminous Perfecting Talc-Free Pressed Powder Translucent</t>
        </is>
      </c>
      <c r="C21231" t="inlineStr">
        <is>
          <t>Powder</t>
        </is>
      </c>
      <c r="D21231" t="inlineStr">
        <is>
          <t>Laura Mercier</t>
        </is>
      </c>
      <c r="E21231" t="n">
        <v>32.72</v>
      </c>
      <c r="F21231" t="n">
        <v>1</v>
      </c>
      <c r="G21231" t="n">
        <v>12</v>
      </c>
      <c r="H21231" s="5">
        <f>HYPERLINK("https://api.qogita.com/variants/link/0194250050158/", "View Product")</f>
        <v/>
      </c>
    </row>
    <row r="21232">
      <c r="A21232" t="inlineStr">
        <is>
          <t>0194250050172</t>
        </is>
      </c>
      <c r="B21232" t="inlineStr">
        <is>
          <t>Laura Mercier Real Flawless Luminous Perfecting Talc-Free Pressed Powder Translucent Honey</t>
        </is>
      </c>
      <c r="C21232" t="inlineStr">
        <is>
          <t>Powder</t>
        </is>
      </c>
      <c r="D21232" t="inlineStr">
        <is>
          <t>Laura Mercier</t>
        </is>
      </c>
      <c r="E21232" t="n">
        <v>34.64</v>
      </c>
      <c r="F21232" t="n">
        <v>1</v>
      </c>
      <c r="G21232" t="n">
        <v>9</v>
      </c>
      <c r="H21232" s="5">
        <f>HYPERLINK("https://api.qogita.com/variants/link/0194250050172/", "View Product")</f>
        <v/>
      </c>
    </row>
    <row r="21233">
      <c r="A21233" t="inlineStr">
        <is>
          <t>0194250050394</t>
        </is>
      </c>
      <c r="B21233" t="inlineStr">
        <is>
          <t>High Vibe Lip Color 2g Shade 122 Like</t>
        </is>
      </c>
      <c r="C21233" t="inlineStr">
        <is>
          <t>Lipstick</t>
        </is>
      </c>
      <c r="D21233" t="inlineStr">
        <is>
          <t>Laura Mercier</t>
        </is>
      </c>
      <c r="E21233" t="n">
        <v>21.83</v>
      </c>
      <c r="F21233" t="n">
        <v>1</v>
      </c>
      <c r="G21233" t="n">
        <v>3</v>
      </c>
      <c r="H21233" s="5">
        <f>HYPERLINK("https://api.qogita.com/variants/link/0194250050394/", "View Product")</f>
        <v/>
      </c>
    </row>
    <row r="21234">
      <c r="A21234" t="inlineStr">
        <is>
          <t>0194250058727</t>
        </is>
      </c>
      <c r="B21234" t="inlineStr">
        <is>
          <t>Laura Mercier Caviar Stick Eye Shadow Sepia Warm Medium Brown 0.05 Ounce</t>
        </is>
      </c>
      <c r="C21234" t="inlineStr">
        <is>
          <t>Eyeshadow</t>
        </is>
      </c>
      <c r="D21234" t="inlineStr">
        <is>
          <t>Laura Mercier</t>
        </is>
      </c>
      <c r="E21234" t="n">
        <v>24.66</v>
      </c>
      <c r="F21234" t="n">
        <v>1</v>
      </c>
      <c r="G21234" t="n">
        <v>5</v>
      </c>
      <c r="H21234" s="5">
        <f>HYPERLINK("https://api.qogita.com/variants/link/0194250058727/", "View Product")</f>
        <v/>
      </c>
    </row>
    <row r="21235">
      <c r="A21235" t="inlineStr">
        <is>
          <t>0194250058741</t>
        </is>
      </c>
      <c r="B21235" t="inlineStr">
        <is>
          <t>Laura Mercier Caviar Stick Matte Eye Shadow Brick</t>
        </is>
      </c>
      <c r="C21235" t="inlineStr">
        <is>
          <t>Eyeshadow</t>
        </is>
      </c>
      <c r="D21235" t="inlineStr">
        <is>
          <t>Laura Mercier</t>
        </is>
      </c>
      <c r="E21235" t="n">
        <v>24.42</v>
      </c>
      <c r="F21235" t="n">
        <v>1</v>
      </c>
      <c r="G21235" t="n">
        <v>8</v>
      </c>
      <c r="H21235" s="5">
        <f>HYPERLINK("https://api.qogita.com/variants/link/0194250058741/", "View Product")</f>
        <v/>
      </c>
    </row>
    <row r="21236">
      <c r="A21236" t="inlineStr">
        <is>
          <t>0194250066739</t>
        </is>
      </c>
      <c r="B21236" t="inlineStr">
        <is>
          <t>Laura Mercier Caviar Smoothing Matte Lipstick Refill - 3.8 G</t>
        </is>
      </c>
      <c r="C21236" t="inlineStr">
        <is>
          <t>Lipstick</t>
        </is>
      </c>
      <c r="D21236" t="inlineStr">
        <is>
          <t>Laura Mercier</t>
        </is>
      </c>
      <c r="E21236" t="n">
        <v>20.52</v>
      </c>
      <c r="F21236" t="n">
        <v>1</v>
      </c>
      <c r="G21236" t="n">
        <v>5</v>
      </c>
      <c r="H21236" s="5">
        <f>HYPERLINK("https://api.qogita.com/variants/link/0194250066739/", "View Product")</f>
        <v/>
      </c>
    </row>
    <row r="21237">
      <c r="A21237" t="inlineStr">
        <is>
          <t>0194250066883</t>
        </is>
      </c>
      <c r="B21237" t="inlineStr">
        <is>
          <t>Laura Mercier Caviar Perfecting Lip Liner 1.1 G</t>
        </is>
      </c>
      <c r="C21237" t="inlineStr">
        <is>
          <t>Lip Liner</t>
        </is>
      </c>
      <c r="D21237" t="inlineStr">
        <is>
          <t>Laura Mercier</t>
        </is>
      </c>
      <c r="E21237" t="n">
        <v>20.52</v>
      </c>
      <c r="F21237" t="n">
        <v>1</v>
      </c>
      <c r="G21237" t="n">
        <v>3</v>
      </c>
      <c r="H21237" s="5">
        <f>HYPERLINK("https://api.qogita.com/variants/link/0194250066883/", "View Product")</f>
        <v/>
      </c>
    </row>
    <row r="21238">
      <c r="A21238" t="inlineStr">
        <is>
          <t>0194250066906</t>
        </is>
      </c>
      <c r="B21238" t="inlineStr">
        <is>
          <t>Laura Mercier Caviar Perfecting Lip Liner 1.1 G</t>
        </is>
      </c>
      <c r="C21238" t="inlineStr">
        <is>
          <t>Lip Liner</t>
        </is>
      </c>
      <c r="D21238" t="inlineStr">
        <is>
          <t>Laura Mercier</t>
        </is>
      </c>
      <c r="E21238" t="n">
        <v>20.52</v>
      </c>
      <c r="F21238" t="n">
        <v>1</v>
      </c>
      <c r="G21238" t="n">
        <v>2</v>
      </c>
      <c r="H21238" s="5">
        <f>HYPERLINK("https://api.qogita.com/variants/link/0194250066906/", "View Product")</f>
        <v/>
      </c>
    </row>
    <row r="21239">
      <c r="A21239" t="inlineStr">
        <is>
          <t>0194250066920</t>
        </is>
      </c>
      <c r="B21239" t="inlineStr">
        <is>
          <t>Laura Mercier Caviar Smoothing Matte Lipstick - 3.8 Grams</t>
        </is>
      </c>
      <c r="C21239" t="inlineStr">
        <is>
          <t>Lipstick</t>
        </is>
      </c>
      <c r="D21239" t="inlineStr">
        <is>
          <t>Laura Mercier</t>
        </is>
      </c>
      <c r="E21239" t="n">
        <v>33.96</v>
      </c>
      <c r="F21239" t="n">
        <v>1</v>
      </c>
      <c r="G21239" t="n">
        <v>7</v>
      </c>
      <c r="H21239" s="5">
        <f>HYPERLINK("https://api.qogita.com/variants/link/0194250066920/", "View Product")</f>
        <v/>
      </c>
    </row>
    <row r="21240">
      <c r="A21240" t="inlineStr">
        <is>
          <t>0194250066937</t>
        </is>
      </c>
      <c r="B21240" t="inlineStr">
        <is>
          <t>Laura Mercier Caviar Smoothing Matte Lipstick - 3.8 G</t>
        </is>
      </c>
      <c r="C21240" t="inlineStr">
        <is>
          <t>Lipstick</t>
        </is>
      </c>
      <c r="D21240" t="inlineStr">
        <is>
          <t>Laura Mercier</t>
        </is>
      </c>
      <c r="E21240" t="n">
        <v>34.57</v>
      </c>
      <c r="F21240" t="n">
        <v>1</v>
      </c>
      <c r="G21240" t="n">
        <v>3</v>
      </c>
      <c r="H21240" s="5">
        <f>HYPERLINK("https://api.qogita.com/variants/link/0194250066937/", "View Product")</f>
        <v/>
      </c>
    </row>
    <row r="21241">
      <c r="A21241" t="inlineStr">
        <is>
          <t>0194250078664</t>
        </is>
      </c>
      <c r="B21241" t="inlineStr">
        <is>
          <t>Laura Mercier Caviar Stick Eye Shadow - Shimmer Eye Shadow 1.64 G</t>
        </is>
      </c>
      <c r="C21241" t="inlineStr">
        <is>
          <t>Eyeshadow</t>
        </is>
      </c>
      <c r="D21241" t="inlineStr">
        <is>
          <t>Laura Mercier</t>
        </is>
      </c>
      <c r="E21241" t="n">
        <v>27.89</v>
      </c>
      <c r="F21241" t="n">
        <v>1</v>
      </c>
      <c r="G21241" t="n">
        <v>3</v>
      </c>
      <c r="H21241" s="5">
        <f>HYPERLINK("https://api.qogita.com/variants/link/0194250078664/", "View Product")</f>
        <v/>
      </c>
    </row>
    <row r="21242">
      <c r="A21242" t="inlineStr">
        <is>
          <t>0194250078701</t>
        </is>
      </c>
      <c r="B21242" t="inlineStr">
        <is>
          <t>Laura Mercier Caviar Stick Eye Shadow - Shimmer Eye Shadow 1.64 G</t>
        </is>
      </c>
      <c r="C21242" t="inlineStr">
        <is>
          <t>Eyeshadow</t>
        </is>
      </c>
      <c r="D21242" t="inlineStr">
        <is>
          <t>Laura Mercier</t>
        </is>
      </c>
      <c r="E21242" t="n">
        <v>27.89</v>
      </c>
      <c r="F21242" t="n">
        <v>1</v>
      </c>
      <c r="G21242" t="n">
        <v>10</v>
      </c>
      <c r="H21242" s="5">
        <f>HYPERLINK("https://api.qogita.com/variants/link/0194250078701/", "View Product")</f>
        <v/>
      </c>
    </row>
    <row r="21243">
      <c r="A21243" t="inlineStr">
        <is>
          <t>0194250078718</t>
        </is>
      </c>
      <c r="B21243" t="inlineStr">
        <is>
          <t>Laura Mercier Caviar Stick Eye Shadow - Shimmer Eye Shadow 1.64 G</t>
        </is>
      </c>
      <c r="C21243" t="inlineStr">
        <is>
          <t>Eyeshadow</t>
        </is>
      </c>
      <c r="D21243" t="inlineStr">
        <is>
          <t>Laura Mercier</t>
        </is>
      </c>
      <c r="E21243" t="n">
        <v>27.89</v>
      </c>
      <c r="F21243" t="n">
        <v>1</v>
      </c>
      <c r="G21243" t="n">
        <v>3</v>
      </c>
      <c r="H21243" s="5">
        <f>HYPERLINK("https://api.qogita.com/variants/link/0194250078718/", "View Product")</f>
        <v/>
      </c>
    </row>
    <row r="21244">
      <c r="A21244" t="inlineStr">
        <is>
          <t>0194250078763</t>
        </is>
      </c>
      <c r="B21244" t="inlineStr">
        <is>
          <t>Laura Mercier Caviar Stick Eye Shadow - Shimmer Eye Shadow 1.64 G</t>
        </is>
      </c>
      <c r="C21244" t="inlineStr">
        <is>
          <t>Eyeshadow</t>
        </is>
      </c>
      <c r="D21244" t="inlineStr">
        <is>
          <t>Laura Mercier</t>
        </is>
      </c>
      <c r="E21244" t="n">
        <v>27.89</v>
      </c>
      <c r="F21244" t="n">
        <v>1</v>
      </c>
      <c r="G21244" t="n">
        <v>4</v>
      </c>
      <c r="H21244" s="5">
        <f>HYPERLINK("https://api.qogita.com/variants/link/0194250078763/", "View Product")</f>
        <v/>
      </c>
    </row>
    <row r="21245">
      <c r="A21245" t="inlineStr">
        <is>
          <t>0194250078787</t>
        </is>
      </c>
      <c r="B21245" t="inlineStr">
        <is>
          <t>Laura Mercier Caviar Stick Eye Shadow - Shimmer Eye Shadow 1.64 G</t>
        </is>
      </c>
      <c r="C21245" t="inlineStr">
        <is>
          <t>Eyeshadow</t>
        </is>
      </c>
      <c r="D21245" t="inlineStr">
        <is>
          <t>Laura Mercier</t>
        </is>
      </c>
      <c r="E21245" t="n">
        <v>27.89</v>
      </c>
      <c r="F21245" t="n">
        <v>1</v>
      </c>
      <c r="G21245" t="n">
        <v>3</v>
      </c>
      <c r="H21245" s="5">
        <f>HYPERLINK("https://api.qogita.com/variants/link/0194250078787/", "View Product")</f>
        <v/>
      </c>
    </row>
    <row r="21246">
      <c r="A21246" t="inlineStr">
        <is>
          <t>0197575005001</t>
        </is>
      </c>
      <c r="B21246" t="inlineStr">
        <is>
          <t>Victoria's Secret Santal Blossom Body Mist Spray</t>
        </is>
      </c>
      <c r="C21246" t="inlineStr">
        <is>
          <t>Body Care Sets</t>
        </is>
      </c>
      <c r="D21246" t="inlineStr">
        <is>
          <t>Victoria's Secret</t>
        </is>
      </c>
      <c r="E21246" t="n">
        <v>12.52</v>
      </c>
      <c r="F21246" t="n">
        <v>1</v>
      </c>
      <c r="G21246" t="n">
        <v>7</v>
      </c>
      <c r="H21246" s="5">
        <f>HYPERLINK("https://api.qogita.com/variants/link/0197575005001/", "View Product")</f>
        <v/>
      </c>
    </row>
    <row r="21247">
      <c r="A21247" t="inlineStr">
        <is>
          <t>0197575005018</t>
        </is>
      </c>
      <c r="B21247" t="inlineStr">
        <is>
          <t>Victoria's Secret Charming Rose Body Mist Spray</t>
        </is>
      </c>
      <c r="C21247" t="inlineStr">
        <is>
          <t>Body Care Sets</t>
        </is>
      </c>
      <c r="D21247" t="inlineStr">
        <is>
          <t>Victoria's Secret</t>
        </is>
      </c>
      <c r="E21247" t="n">
        <v>12.53</v>
      </c>
      <c r="F21247" t="n">
        <v>1</v>
      </c>
      <c r="G21247" t="n">
        <v>12</v>
      </c>
      <c r="H21247" s="5">
        <f>HYPERLINK("https://api.qogita.com/variants/link/0197575005018/", "View Product")</f>
        <v/>
      </c>
    </row>
    <row r="21248">
      <c r="A21248" t="inlineStr">
        <is>
          <t>0197575027461</t>
        </is>
      </c>
      <c r="B21248" t="inlineStr">
        <is>
          <t>Victoria's Secret Coconut Passion Body Mist 84 Oz</t>
        </is>
      </c>
      <c r="C21248" t="inlineStr">
        <is>
          <t>Body Mist</t>
        </is>
      </c>
      <c r="D21248" t="inlineStr">
        <is>
          <t>Victoria's Secret</t>
        </is>
      </c>
      <c r="E21248" t="n">
        <v>14.97</v>
      </c>
      <c r="F21248" t="n">
        <v>1</v>
      </c>
      <c r="G21248" t="n">
        <v>182</v>
      </c>
      <c r="H21248" s="5">
        <f>HYPERLINK("https://api.qogita.com/variants/link/0197575027461/", "View Product")</f>
        <v/>
      </c>
    </row>
    <row r="21249">
      <c r="A21249" t="inlineStr">
        <is>
          <t>0309974677073</t>
        </is>
      </c>
      <c r="B21249" t="inlineStr">
        <is>
          <t>Revlon Colorstay Foundation for Dry and Normal Skin 250 with Pump 30ml</t>
        </is>
      </c>
      <c r="C21249" t="inlineStr">
        <is>
          <t>Foundation</t>
        </is>
      </c>
      <c r="D21249" t="inlineStr">
        <is>
          <t>Revlon</t>
        </is>
      </c>
      <c r="E21249" t="n">
        <v>5.08</v>
      </c>
      <c r="F21249" t="n">
        <v>1</v>
      </c>
      <c r="G21249" t="n">
        <v>2</v>
      </c>
      <c r="H21249" s="5">
        <f>HYPERLINK("https://api.qogita.com/variants/link/0309974677073/", "View Product")</f>
        <v/>
      </c>
    </row>
    <row r="21250">
      <c r="A21250" t="inlineStr">
        <is>
          <t>0309974677097</t>
        </is>
      </c>
      <c r="B21250" t="inlineStr">
        <is>
          <t>Revlon Colorstay Liquid Foundation Makeup for Normal/Dry Skin SPF 20 Longwear</t>
        </is>
      </c>
      <c r="C21250" t="inlineStr">
        <is>
          <t>Foundation</t>
        </is>
      </c>
      <c r="D21250" t="inlineStr">
        <is>
          <t>Revlon</t>
        </is>
      </c>
      <c r="E21250" t="n">
        <v>5.13</v>
      </c>
      <c r="F21250" t="n">
        <v>1</v>
      </c>
      <c r="G21250" t="n">
        <v>3</v>
      </c>
      <c r="H21250" s="5">
        <f>HYPERLINK("https://api.qogita.com/variants/link/0309974677097/", "View Product")</f>
        <v/>
      </c>
    </row>
    <row r="21251">
      <c r="A21251" t="inlineStr">
        <is>
          <t>0309974700085</t>
        </is>
      </c>
      <c r="B21251" t="inlineStr">
        <is>
          <t>Revlon Colorstay Liquid Foundation Makeup for Combination/Oily Skin SPF 15</t>
        </is>
      </c>
      <c r="C21251" t="inlineStr">
        <is>
          <t>Foundation</t>
        </is>
      </c>
      <c r="D21251" t="inlineStr">
        <is>
          <t>Revlon</t>
        </is>
      </c>
      <c r="E21251" t="n">
        <v>6.47</v>
      </c>
      <c r="F21251" t="n">
        <v>1</v>
      </c>
      <c r="G21251" t="n">
        <v>7</v>
      </c>
      <c r="H21251" s="5">
        <f>HYPERLINK("https://api.qogita.com/variants/link/0309974700085/", "View Product")</f>
        <v/>
      </c>
    </row>
    <row r="21252">
      <c r="A21252" t="inlineStr">
        <is>
          <t>0309979047994</t>
        </is>
      </c>
      <c r="B21252" t="inlineStr">
        <is>
          <t>Revlon Ciara for Women Cologne spray 68ml</t>
        </is>
      </c>
      <c r="C21252" t="inlineStr">
        <is>
          <t>Eau De Cologne</t>
        </is>
      </c>
      <c r="D21252" t="inlineStr">
        <is>
          <t>Revlon Professional</t>
        </is>
      </c>
      <c r="E21252" t="n">
        <v>6.88</v>
      </c>
      <c r="F21252" t="n">
        <v>1</v>
      </c>
      <c r="G21252" t="n">
        <v>68</v>
      </c>
      <c r="H21252" s="5">
        <f>HYPERLINK("https://api.qogita.com/variants/link/0309979047994/", "View Product")</f>
        <v/>
      </c>
    </row>
    <row r="21253">
      <c r="A21253" t="inlineStr">
        <is>
          <t>0603531176536</t>
        </is>
      </c>
      <c r="B21253" t="inlineStr">
        <is>
          <t>Pierre Cardin Men's Eau De Toilette</t>
        </is>
      </c>
      <c r="C21253" t="inlineStr">
        <is>
          <t>Eau De Toilette</t>
        </is>
      </c>
      <c r="D21253" t="inlineStr">
        <is>
          <t>Corine de Farme</t>
        </is>
      </c>
      <c r="E21253" t="n">
        <v>14.58</v>
      </c>
      <c r="F21253" t="n">
        <v>1</v>
      </c>
      <c r="G21253" t="n">
        <v>5</v>
      </c>
      <c r="H21253" s="5">
        <f>HYPERLINK("https://api.qogita.com/variants/link/0603531176536/", "View Product")</f>
        <v/>
      </c>
    </row>
    <row r="21254">
      <c r="A21254" t="inlineStr">
        <is>
          <t>0603531659008</t>
        </is>
      </c>
      <c r="B21254" t="inlineStr">
        <is>
          <t>Michael Jordan 23 for Men 3.4 oz Cologne Spray</t>
        </is>
      </c>
      <c r="C21254" t="inlineStr">
        <is>
          <t>Eau De Cologne</t>
        </is>
      </c>
      <c r="D21254" t="inlineStr">
        <is>
          <t>Michael Kors</t>
        </is>
      </c>
      <c r="E21254" t="n">
        <v>14.94</v>
      </c>
      <c r="F21254" t="n">
        <v>1</v>
      </c>
      <c r="G21254" t="n">
        <v>7</v>
      </c>
      <c r="H21254" s="5">
        <f>HYPERLINK("https://api.qogita.com/variants/link/0603531659008/", "View Product")</f>
        <v/>
      </c>
    </row>
    <row r="21255">
      <c r="A21255" t="inlineStr">
        <is>
          <t>0604079015127</t>
        </is>
      </c>
      <c r="B21255" t="inlineStr">
        <is>
          <t>Philosophy Falling In Love Spray Fragrance Eau De Toilette 2 Oz.</t>
        </is>
      </c>
      <c r="C21255" t="inlineStr">
        <is>
          <t>Eau De Toilette</t>
        </is>
      </c>
      <c r="D21255" t="inlineStr">
        <is>
          <t>Philosophy</t>
        </is>
      </c>
      <c r="E21255" t="n">
        <v>23.69</v>
      </c>
      <c r="F21255" t="n">
        <v>1</v>
      </c>
      <c r="G21255" t="n">
        <v>5</v>
      </c>
      <c r="H21255" s="5">
        <f>HYPERLINK("https://api.qogita.com/variants/link/0604079015127/", "View Product")</f>
        <v/>
      </c>
    </row>
    <row r="21256">
      <c r="A21256" t="inlineStr">
        <is>
          <t>0604565836434</t>
        </is>
      </c>
      <c r="B21256" t="inlineStr">
        <is>
          <t>Superfood Facial Cleansing Soap (Facial Cleansing Bar) 100g</t>
        </is>
      </c>
      <c r="C21256" t="inlineStr">
        <is>
          <t>Facial Soap</t>
        </is>
      </c>
      <c r="D21256" t="inlineStr">
        <is>
          <t>Carbon Theory</t>
        </is>
      </c>
      <c r="E21256" t="n">
        <v>6.64</v>
      </c>
      <c r="F21256" t="n">
        <v>1</v>
      </c>
      <c r="G21256" t="n">
        <v>3</v>
      </c>
      <c r="H21256" s="5">
        <f>HYPERLINK("https://api.qogita.com/variants/link/0604565836434/", "View Product")</f>
        <v/>
      </c>
    </row>
    <row r="21257">
      <c r="A21257" t="inlineStr">
        <is>
          <t>0607710003842</t>
        </is>
      </c>
      <c r="B21257" t="inlineStr">
        <is>
          <t>Smashbox Halo Healthy Glow 4-In-1 Perfecting Pen - 35 Ml</t>
        </is>
      </c>
      <c r="C21257" t="inlineStr">
        <is>
          <t>Bb Cream &amp; Cc Cream</t>
        </is>
      </c>
      <c r="D21257" t="inlineStr">
        <is>
          <t>Smashbox</t>
        </is>
      </c>
      <c r="E21257" t="n">
        <v>20.96</v>
      </c>
      <c r="F21257" t="n">
        <v>1</v>
      </c>
      <c r="G21257" t="n">
        <v>6</v>
      </c>
      <c r="H21257" s="5">
        <f>HYPERLINK("https://api.qogita.com/variants/link/0607710003842/", "View Product")</f>
        <v/>
      </c>
    </row>
    <row r="21258">
      <c r="A21258" t="inlineStr">
        <is>
          <t>0607710006911</t>
        </is>
      </c>
      <c r="B21258" t="inlineStr">
        <is>
          <t>Smashbox Shimmering Skin Perfector Highlighter - 7 Grams</t>
        </is>
      </c>
      <c r="C21258" t="inlineStr">
        <is>
          <t>Highlighter</t>
        </is>
      </c>
      <c r="D21258" t="inlineStr">
        <is>
          <t>Smashbox</t>
        </is>
      </c>
      <c r="E21258" t="n">
        <v>29.97</v>
      </c>
      <c r="F21258" t="n">
        <v>1</v>
      </c>
      <c r="G21258" t="n">
        <v>11</v>
      </c>
      <c r="H21258" s="5">
        <f>HYPERLINK("https://api.qogita.com/variants/link/0607710006911/", "View Product")</f>
        <v/>
      </c>
    </row>
    <row r="21259">
      <c r="A21259" t="inlineStr">
        <is>
          <t>0607710006942</t>
        </is>
      </c>
      <c r="B21259" t="inlineStr">
        <is>
          <t>Smashbox Shimmering Skin Perfector Highlighter - 25 Grams</t>
        </is>
      </c>
      <c r="C21259" t="inlineStr">
        <is>
          <t>Highlighter</t>
        </is>
      </c>
      <c r="D21259" t="inlineStr">
        <is>
          <t>Smashbox</t>
        </is>
      </c>
      <c r="E21259" t="n">
        <v>24.1</v>
      </c>
      <c r="F21259" t="n">
        <v>1</v>
      </c>
      <c r="G21259" t="n">
        <v>2</v>
      </c>
      <c r="H21259" s="5">
        <f>HYPERLINK("https://api.qogita.com/variants/link/0607710006942/", "View Product")</f>
        <v/>
      </c>
    </row>
    <row r="21260">
      <c r="A21260" t="inlineStr">
        <is>
          <t>0607710086234</t>
        </is>
      </c>
      <c r="B21260" t="inlineStr">
        <is>
          <t>Smashbox Always On Skin-Balancing Foundation 30 Ml - Long-Lasting Makeup</t>
        </is>
      </c>
      <c r="C21260" t="inlineStr">
        <is>
          <t>Foundation</t>
        </is>
      </c>
      <c r="D21260" t="inlineStr">
        <is>
          <t>Smashbox</t>
        </is>
      </c>
      <c r="E21260" t="n">
        <v>31.46</v>
      </c>
      <c r="F21260" t="n">
        <v>1</v>
      </c>
      <c r="G21260" t="n">
        <v>9</v>
      </c>
      <c r="H21260" s="5">
        <f>HYPERLINK("https://api.qogita.com/variants/link/0607710086234/", "View Product")</f>
        <v/>
      </c>
    </row>
    <row r="21261">
      <c r="A21261" t="inlineStr">
        <is>
          <t>0607710086241</t>
        </is>
      </c>
      <c r="B21261" t="inlineStr">
        <is>
          <t>Smashbox Always On Skin-Balancing Foundation 30 Ml - Long-Lasting Makeup</t>
        </is>
      </c>
      <c r="C21261" t="inlineStr">
        <is>
          <t>Foundation</t>
        </is>
      </c>
      <c r="D21261" t="inlineStr">
        <is>
          <t>Smashbox</t>
        </is>
      </c>
      <c r="E21261" t="n">
        <v>31.46</v>
      </c>
      <c r="F21261" t="n">
        <v>1</v>
      </c>
      <c r="G21261" t="n">
        <v>10</v>
      </c>
      <c r="H21261" s="5">
        <f>HYPERLINK("https://api.qogita.com/variants/link/0607710086241/", "View Product")</f>
        <v/>
      </c>
    </row>
    <row r="21262">
      <c r="A21262" t="inlineStr">
        <is>
          <t>0607710086418</t>
        </is>
      </c>
      <c r="B21262" t="inlineStr">
        <is>
          <t>Smashbox Always On Skin-Balancing Foundation - 30 Ml</t>
        </is>
      </c>
      <c r="C21262" t="inlineStr">
        <is>
          <t>Foundation</t>
        </is>
      </c>
      <c r="D21262" t="inlineStr">
        <is>
          <t>Smashbox</t>
        </is>
      </c>
      <c r="E21262" t="n">
        <v>32.1</v>
      </c>
      <c r="F21262" t="n">
        <v>1</v>
      </c>
      <c r="G21262" t="n">
        <v>10</v>
      </c>
      <c r="H21262" s="5">
        <f>HYPERLINK("https://api.qogita.com/variants/link/0607710086418/", "View Product")</f>
        <v/>
      </c>
    </row>
    <row r="21263">
      <c r="A21263" t="inlineStr">
        <is>
          <t>0607710087033</t>
        </is>
      </c>
      <c r="B21263" t="inlineStr">
        <is>
          <t>Smashbox Always On Liquid Lipstick Audition Neutral Rose Matte 0.13oz 4ml</t>
        </is>
      </c>
      <c r="C21263" t="inlineStr">
        <is>
          <t>Lipstick</t>
        </is>
      </c>
      <c r="D21263" t="inlineStr">
        <is>
          <t>Smashbox</t>
        </is>
      </c>
      <c r="E21263" t="n">
        <v>18.86</v>
      </c>
      <c r="F21263" t="n">
        <v>1</v>
      </c>
      <c r="G21263" t="n">
        <v>7</v>
      </c>
      <c r="H21263" s="5">
        <f>HYPERLINK("https://api.qogita.com/variants/link/0607710087033/", "View Product")</f>
        <v/>
      </c>
    </row>
    <row r="21264">
      <c r="A21264" t="inlineStr">
        <is>
          <t>0607710089600</t>
        </is>
      </c>
      <c r="B21264" t="inlineStr">
        <is>
          <t>Smashbox Halo Healthy Glow All-In-One Tinted Moisturizer with SPF25</t>
        </is>
      </c>
      <c r="C21264" t="inlineStr">
        <is>
          <t>Tinted Day Cream</t>
        </is>
      </c>
      <c r="D21264" t="inlineStr">
        <is>
          <t>Smashbox</t>
        </is>
      </c>
      <c r="E21264" t="n">
        <v>23.77</v>
      </c>
      <c r="F21264" t="n">
        <v>1</v>
      </c>
      <c r="G21264" t="n">
        <v>9</v>
      </c>
      <c r="H21264" s="5">
        <f>HYPERLINK("https://api.qogita.com/variants/link/0607710089600/", "View Product")</f>
        <v/>
      </c>
    </row>
    <row r="21265">
      <c r="A21265" t="inlineStr">
        <is>
          <t>0607710095960</t>
        </is>
      </c>
      <c r="B21265" t="inlineStr">
        <is>
          <t>Smashbox Halo Healthy Glow All-In-One Tinted Moisturizer With Spf 25, 12 Ml</t>
        </is>
      </c>
      <c r="C21265" t="inlineStr">
        <is>
          <t>Bb Cream &amp; Cc Cream</t>
        </is>
      </c>
      <c r="D21265" t="inlineStr">
        <is>
          <t>Smashbox</t>
        </is>
      </c>
      <c r="E21265" t="n">
        <v>15.39</v>
      </c>
      <c r="F21265" t="n">
        <v>1</v>
      </c>
      <c r="G21265" t="n">
        <v>7</v>
      </c>
      <c r="H21265" s="5">
        <f>HYPERLINK("https://api.qogita.com/variants/link/0607710095960/", "View Product")</f>
        <v/>
      </c>
    </row>
    <row r="21266">
      <c r="A21266" t="inlineStr">
        <is>
          <t>0607710095977</t>
        </is>
      </c>
      <c r="B21266" t="inlineStr">
        <is>
          <t>Smashbox Halo Healthy Glow All-In-One Tinted Moisturizer With Spf 25, 12 Ml</t>
        </is>
      </c>
      <c r="C21266" t="inlineStr">
        <is>
          <t>Bb Cream &amp; Cc Cream</t>
        </is>
      </c>
      <c r="D21266" t="inlineStr">
        <is>
          <t>Smashbox</t>
        </is>
      </c>
      <c r="E21266" t="n">
        <v>19.57</v>
      </c>
      <c r="F21266" t="n">
        <v>1</v>
      </c>
      <c r="G21266" t="n">
        <v>21</v>
      </c>
      <c r="H21266" s="5">
        <f>HYPERLINK("https://api.qogita.com/variants/link/0607710095977/", "View Product")</f>
        <v/>
      </c>
    </row>
    <row r="21267">
      <c r="A21267" t="inlineStr">
        <is>
          <t>0607710095984</t>
        </is>
      </c>
      <c r="B21267" t="inlineStr">
        <is>
          <t>Smashbox Halo Healthy Glow All-In-One Tinted Moisturizer With Spf 25 - 12 Ml</t>
        </is>
      </c>
      <c r="C21267" t="inlineStr">
        <is>
          <t>Bb Cream &amp; Cc Cream</t>
        </is>
      </c>
      <c r="D21267" t="inlineStr">
        <is>
          <t>Smashbox</t>
        </is>
      </c>
      <c r="E21267" t="n">
        <v>19.57</v>
      </c>
      <c r="F21267" t="n">
        <v>1</v>
      </c>
      <c r="G21267" t="n">
        <v>22</v>
      </c>
      <c r="H21267" s="5">
        <f>HYPERLINK("https://api.qogita.com/variants/link/0607710095984/", "View Product")</f>
        <v/>
      </c>
    </row>
    <row r="21268">
      <c r="A21268" t="inlineStr">
        <is>
          <t>0607710098718</t>
        </is>
      </c>
      <c r="B21268" t="inlineStr">
        <is>
          <t>Smashbox Be Legendary Line &amp; Prime Precise Lip Liner Pencil True Red</t>
        </is>
      </c>
      <c r="C21268" t="inlineStr">
        <is>
          <t>Lip Liner</t>
        </is>
      </c>
      <c r="D21268" t="inlineStr">
        <is>
          <t>Smashbox</t>
        </is>
      </c>
      <c r="E21268" t="n">
        <v>16.79</v>
      </c>
      <c r="F21268" t="n">
        <v>1</v>
      </c>
      <c r="G21268" t="n">
        <v>5</v>
      </c>
      <c r="H21268" s="5">
        <f>HYPERLINK("https://api.qogita.com/variants/link/0607710098718/", "View Product")</f>
        <v/>
      </c>
    </row>
    <row r="21269">
      <c r="A21269" t="inlineStr">
        <is>
          <t>0607710098749</t>
        </is>
      </c>
      <c r="B21269" t="inlineStr">
        <is>
          <t>Smashbox Be Legendary Line Prime Pencil - 12 Grams</t>
        </is>
      </c>
      <c r="C21269" t="inlineStr">
        <is>
          <t>Lip Primer</t>
        </is>
      </c>
      <c r="D21269" t="inlineStr">
        <is>
          <t>Smashbox</t>
        </is>
      </c>
      <c r="E21269" t="n">
        <v>16.79</v>
      </c>
      <c r="F21269" t="n">
        <v>1</v>
      </c>
      <c r="G21269" t="n">
        <v>6</v>
      </c>
      <c r="H21269" s="5">
        <f>HYPERLINK("https://api.qogita.com/variants/link/0607710098749/", "View Product")</f>
        <v/>
      </c>
    </row>
    <row r="21270">
      <c r="A21270" t="inlineStr">
        <is>
          <t>0607710098756</t>
        </is>
      </c>
      <c r="B21270" t="inlineStr">
        <is>
          <t>Smashbox Be Legendary Line &amp; Prime Precise Lip Liner Pencil Medium Neutral Rose</t>
        </is>
      </c>
      <c r="C21270" t="inlineStr">
        <is>
          <t>Lip Liner</t>
        </is>
      </c>
      <c r="D21270" t="inlineStr">
        <is>
          <t>Smashbox</t>
        </is>
      </c>
      <c r="E21270" t="n">
        <v>16.79</v>
      </c>
      <c r="F21270" t="n">
        <v>1</v>
      </c>
      <c r="G21270" t="n">
        <v>7</v>
      </c>
      <c r="H21270" s="5">
        <f>HYPERLINK("https://api.qogita.com/variants/link/0607710098756/", "View Product")</f>
        <v/>
      </c>
    </row>
    <row r="21271">
      <c r="A21271" t="inlineStr">
        <is>
          <t>0608587306968</t>
        </is>
      </c>
      <c r="B21271" t="inlineStr">
        <is>
          <t>Les Copains Le Bleu Eau De Toilette 50ml</t>
        </is>
      </c>
      <c r="C21271" t="inlineStr">
        <is>
          <t>Eau De Toilette</t>
        </is>
      </c>
      <c r="D21271" t="inlineStr">
        <is>
          <t>Les Copains</t>
        </is>
      </c>
      <c r="E21271" t="n">
        <v>20.61</v>
      </c>
      <c r="F21271" t="n">
        <v>1</v>
      </c>
      <c r="G21271" t="n">
        <v>6</v>
      </c>
      <c r="H21271" s="5">
        <f>HYPERLINK("https://api.qogita.com/variants/link/0608587306968/", "View Product")</f>
        <v/>
      </c>
    </row>
    <row r="21272">
      <c r="A21272" t="inlineStr">
        <is>
          <t>0608597529425</t>
        </is>
      </c>
      <c r="B21272" t="inlineStr">
        <is>
          <t>Dapper Dan Deluxe Pomade Mens Hair Styling Product Medium Hold Medium Shine Fresh Citrus Vanilla Fragrance 1.7 fl oz</t>
        </is>
      </c>
      <c r="C21272" t="inlineStr">
        <is>
          <t>Styling Creams</t>
        </is>
      </c>
      <c r="D21272" t="inlineStr">
        <is>
          <t>Dapper Dan</t>
        </is>
      </c>
      <c r="E21272" t="n">
        <v>7.12</v>
      </c>
      <c r="F21272" t="n">
        <v>1</v>
      </c>
      <c r="G21272" t="n">
        <v>5</v>
      </c>
      <c r="H21272" s="5">
        <f>HYPERLINK("https://api.qogita.com/variants/link/0608597529425/", "View Product")</f>
        <v/>
      </c>
    </row>
    <row r="21273">
      <c r="A21273" t="inlineStr">
        <is>
          <t>0608940535387</t>
        </is>
      </c>
      <c r="B21273" t="inlineStr">
        <is>
          <t>Fancy by Jessica Simpson Eau De Parfum Spray 3.4 oz 100 ml for Women</t>
        </is>
      </c>
      <c r="C21273" t="inlineStr">
        <is>
          <t>Eau De Parfum</t>
        </is>
      </c>
      <c r="D21273" t="inlineStr">
        <is>
          <t>Jessica Simpson</t>
        </is>
      </c>
      <c r="E21273" t="n">
        <v>25.33</v>
      </c>
      <c r="F21273" t="n">
        <v>1</v>
      </c>
      <c r="G21273" t="n">
        <v>24</v>
      </c>
      <c r="H21273" s="5">
        <f>HYPERLINK("https://api.qogita.com/variants/link/0608940535387/", "View Product")</f>
        <v/>
      </c>
    </row>
    <row r="21274">
      <c r="A21274" t="inlineStr">
        <is>
          <t>0608940546246</t>
        </is>
      </c>
      <c r="B21274" t="inlineStr">
        <is>
          <t>Ecko Blue by Marc Ecko 3.4 Ounce</t>
        </is>
      </c>
      <c r="C21274" t="inlineStr">
        <is>
          <t>Eau De Toilette</t>
        </is>
      </c>
      <c r="D21274" t="inlineStr">
        <is>
          <t>Marc Ecko</t>
        </is>
      </c>
      <c r="E21274" t="n">
        <v>17.39</v>
      </c>
      <c r="F21274" t="n">
        <v>1</v>
      </c>
      <c r="G21274" t="n">
        <v>4</v>
      </c>
      <c r="H21274" s="5">
        <f>HYPERLINK("https://api.qogita.com/variants/link/0608940546246/", "View Product")</f>
        <v/>
      </c>
    </row>
    <row r="21275">
      <c r="A21275" t="inlineStr">
        <is>
          <t>0608940552513</t>
        </is>
      </c>
      <c r="B21275" t="inlineStr">
        <is>
          <t>Vince Camuto Fiore EDP Spray 100ml</t>
        </is>
      </c>
      <c r="C21275" t="inlineStr">
        <is>
          <t>Eau De Parfum</t>
        </is>
      </c>
      <c r="D21275" t="inlineStr">
        <is>
          <t>Vince Camuto</t>
        </is>
      </c>
      <c r="E21275" t="n">
        <v>27.12</v>
      </c>
      <c r="F21275" t="n">
        <v>1</v>
      </c>
      <c r="G21275" t="n">
        <v>3</v>
      </c>
      <c r="H21275" s="5">
        <f>HYPERLINK("https://api.qogita.com/variants/link/0608940552513/", "View Product")</f>
        <v/>
      </c>
    </row>
    <row r="21276">
      <c r="A21276" t="inlineStr">
        <is>
          <t>0608940556009</t>
        </is>
      </c>
      <c r="B21276" t="inlineStr">
        <is>
          <t>Kenneth Cole Mankind for Men 3.4 oz EDT Spray</t>
        </is>
      </c>
      <c r="C21276" t="inlineStr">
        <is>
          <t>Eau De Toilette</t>
        </is>
      </c>
      <c r="D21276" t="inlineStr">
        <is>
          <t>Kenneth Cole</t>
        </is>
      </c>
      <c r="E21276" t="n">
        <v>24.06</v>
      </c>
      <c r="F21276" t="n">
        <v>1</v>
      </c>
      <c r="G21276" t="n">
        <v>23</v>
      </c>
      <c r="H21276" s="5">
        <f>HYPERLINK("https://api.qogita.com/variants/link/0608940556009/", "View Product")</f>
        <v/>
      </c>
    </row>
    <row r="21277">
      <c r="A21277" t="inlineStr">
        <is>
          <t>0608940557037</t>
        </is>
      </c>
      <c r="B21277" t="inlineStr">
        <is>
          <t>Vince Camuto Homme for Men 3.4 Oz EDT Spray 100ml</t>
        </is>
      </c>
      <c r="C21277" t="inlineStr">
        <is>
          <t>Eau De Toilette</t>
        </is>
      </c>
      <c r="D21277" t="inlineStr">
        <is>
          <t>Vince Camuto</t>
        </is>
      </c>
      <c r="E21277" t="n">
        <v>24.57</v>
      </c>
      <c r="F21277" t="n">
        <v>1</v>
      </c>
      <c r="G21277" t="n">
        <v>5</v>
      </c>
      <c r="H21277" s="5">
        <f>HYPERLINK("https://api.qogita.com/variants/link/0608940557037/", "View Product")</f>
        <v/>
      </c>
    </row>
    <row r="21278">
      <c r="A21278" t="inlineStr">
        <is>
          <t>0608940557099</t>
        </is>
      </c>
      <c r="B21278" t="inlineStr">
        <is>
          <t>Vince Camuto Amore EDP Spray 100ml</t>
        </is>
      </c>
      <c r="C21278" t="inlineStr">
        <is>
          <t>Eau De Parfum</t>
        </is>
      </c>
      <c r="D21278" t="inlineStr">
        <is>
          <t>Vince Camuto</t>
        </is>
      </c>
      <c r="E21278" t="n">
        <v>30.51</v>
      </c>
      <c r="F21278" t="n">
        <v>1</v>
      </c>
      <c r="G21278" t="n">
        <v>2</v>
      </c>
      <c r="H21278" s="5">
        <f>HYPERLINK("https://api.qogita.com/variants/link/0608940557099/", "View Product")</f>
        <v/>
      </c>
    </row>
    <row r="21279">
      <c r="A21279" t="inlineStr">
        <is>
          <t>0608940557648</t>
        </is>
      </c>
      <c r="B21279" t="inlineStr">
        <is>
          <t>Kenneth Cole Black for Men Deodorant Spray 170g</t>
        </is>
      </c>
      <c r="C21279" t="inlineStr">
        <is>
          <t>Deodorant &amp; Anti-Perspirant</t>
        </is>
      </c>
      <c r="D21279" t="inlineStr">
        <is>
          <t>Kenneth Cole</t>
        </is>
      </c>
      <c r="E21279" t="n">
        <v>6.85</v>
      </c>
      <c r="F21279" t="n">
        <v>1</v>
      </c>
      <c r="G21279" t="n">
        <v>12</v>
      </c>
      <c r="H21279" s="5">
        <f>HYPERLINK("https://api.qogita.com/variants/link/0608940557648/", "View Product")</f>
        <v/>
      </c>
    </row>
    <row r="21280">
      <c r="A21280" t="inlineStr">
        <is>
          <t>0608940565056</t>
        </is>
      </c>
      <c r="B21280" t="inlineStr">
        <is>
          <t>Paris Hilton Gold Rush For Women 3.4oz EDP Spray</t>
        </is>
      </c>
      <c r="C21280" t="inlineStr">
        <is>
          <t>Eau De Parfum</t>
        </is>
      </c>
      <c r="D21280" t="inlineStr">
        <is>
          <t>Paris Hilton</t>
        </is>
      </c>
      <c r="E21280" t="n">
        <v>20.48</v>
      </c>
      <c r="F21280" t="n">
        <v>1</v>
      </c>
      <c r="G21280" t="n">
        <v>6</v>
      </c>
      <c r="H21280" s="5">
        <f>HYPERLINK("https://api.qogita.com/variants/link/0608940565056/", "View Product")</f>
        <v/>
      </c>
    </row>
    <row r="21281">
      <c r="A21281" t="inlineStr">
        <is>
          <t>0608940566947</t>
        </is>
      </c>
      <c r="B21281" t="inlineStr">
        <is>
          <t>Gold Rush Man Eau de Toilette Spray for Men 3.4 Fl Oz</t>
        </is>
      </c>
      <c r="C21281" t="inlineStr">
        <is>
          <t>Eau De Toilette</t>
        </is>
      </c>
      <c r="D21281" t="inlineStr">
        <is>
          <t>Gold Rush</t>
        </is>
      </c>
      <c r="E21281" t="n">
        <v>18.24</v>
      </c>
      <c r="F21281" t="n">
        <v>1</v>
      </c>
      <c r="G21281" t="n">
        <v>9</v>
      </c>
      <c r="H21281" s="5">
        <f>HYPERLINK("https://api.qogita.com/variants/link/0608940566947/", "View Product")</f>
        <v/>
      </c>
    </row>
    <row r="21282">
      <c r="A21282" t="inlineStr">
        <is>
          <t>0608940575307</t>
        </is>
      </c>
      <c r="B21282" t="inlineStr">
        <is>
          <t>Paris Hilton Eau De Parfum 100ml</t>
        </is>
      </c>
      <c r="C21282" t="inlineStr">
        <is>
          <t>Eau De Parfum</t>
        </is>
      </c>
      <c r="D21282" t="inlineStr">
        <is>
          <t>Paris Hilton</t>
        </is>
      </c>
      <c r="E21282" t="n">
        <v>22.29</v>
      </c>
      <c r="F21282" t="n">
        <v>1</v>
      </c>
      <c r="G21282" t="n">
        <v>19</v>
      </c>
      <c r="H21282" s="5">
        <f>HYPERLINK("https://api.qogita.com/variants/link/0608940575307/", "View Product")</f>
        <v/>
      </c>
    </row>
    <row r="21283">
      <c r="A21283" t="inlineStr">
        <is>
          <t>0608940577615</t>
        </is>
      </c>
      <c r="B21283" t="inlineStr">
        <is>
          <t>Kenneth Cole Energy Unisex 3.4oz EDT Spray</t>
        </is>
      </c>
      <c r="C21283" t="inlineStr">
        <is>
          <t>Eau De Toilette</t>
        </is>
      </c>
      <c r="D21283" t="inlineStr">
        <is>
          <t>Kenneth Cole</t>
        </is>
      </c>
      <c r="E21283" t="n">
        <v>20.31</v>
      </c>
      <c r="F21283" t="n">
        <v>1</v>
      </c>
      <c r="G21283" t="n">
        <v>16</v>
      </c>
      <c r="H21283" s="5">
        <f>HYPERLINK("https://api.qogita.com/variants/link/0608940577615/", "View Product")</f>
        <v/>
      </c>
    </row>
    <row r="21284">
      <c r="A21284" t="inlineStr">
        <is>
          <t>0608940580295</t>
        </is>
      </c>
      <c r="B21284" t="inlineStr">
        <is>
          <t>Electrify by Paris Hilton for Women 3.4 oz EDP Spray 96.39g</t>
        </is>
      </c>
      <c r="C21284" t="inlineStr">
        <is>
          <t>Eau De Parfum</t>
        </is>
      </c>
      <c r="D21284" t="inlineStr">
        <is>
          <t>Paris Hilton</t>
        </is>
      </c>
      <c r="E21284" t="n">
        <v>20.7</v>
      </c>
      <c r="F21284" t="n">
        <v>1</v>
      </c>
      <c r="G21284" t="n">
        <v>5</v>
      </c>
      <c r="H21284" s="5">
        <f>HYPERLINK("https://api.qogita.com/variants/link/0608940580295/", "View Product")</f>
        <v/>
      </c>
    </row>
    <row r="21285">
      <c r="A21285" t="inlineStr">
        <is>
          <t>0614514124017</t>
        </is>
      </c>
      <c r="B21285" t="inlineStr">
        <is>
          <t>Hatem Eau de Parfum for Men by Rasasi Spray 75ml</t>
        </is>
      </c>
      <c r="C21285" t="inlineStr">
        <is>
          <t>Eau De Parfum</t>
        </is>
      </c>
      <c r="D21285" t="inlineStr">
        <is>
          <t>Rasasi</t>
        </is>
      </c>
      <c r="E21285" t="n">
        <v>11.03</v>
      </c>
      <c r="F21285" t="n">
        <v>1</v>
      </c>
      <c r="G21285" t="n">
        <v>17</v>
      </c>
      <c r="H21285" s="5">
        <f>HYPERLINK("https://api.qogita.com/variants/link/0614514124017/", "View Product")</f>
        <v/>
      </c>
    </row>
    <row r="21286">
      <c r="A21286" t="inlineStr">
        <is>
          <t>0614514125021</t>
        </is>
      </c>
      <c r="B21286" t="inlineStr">
        <is>
          <t>Kun Mukthalifan Women by Rasasi EDP 100ml</t>
        </is>
      </c>
      <c r="C21286" t="inlineStr">
        <is>
          <t>Eau De Parfum</t>
        </is>
      </c>
      <c r="D21286" t="inlineStr">
        <is>
          <t>Rasasi</t>
        </is>
      </c>
      <c r="E21286" t="n">
        <v>16.65</v>
      </c>
      <c r="F21286" t="n">
        <v>1</v>
      </c>
      <c r="G21286" t="n">
        <v>5</v>
      </c>
      <c r="H21286" s="5">
        <f>HYPERLINK("https://api.qogita.com/variants/link/0614514125021/", "View Product")</f>
        <v/>
      </c>
    </row>
    <row r="21287">
      <c r="A21287" t="inlineStr">
        <is>
          <t>0614514164013</t>
        </is>
      </c>
      <c r="B21287" t="inlineStr">
        <is>
          <t>Rasasi Egra For Men Eau De Parfum 100ml</t>
        </is>
      </c>
      <c r="C21287" t="inlineStr">
        <is>
          <t>Eau De Parfum</t>
        </is>
      </c>
      <c r="D21287" t="inlineStr">
        <is>
          <t>Rasasi</t>
        </is>
      </c>
      <c r="E21287" t="n">
        <v>12.11</v>
      </c>
      <c r="F21287" t="n">
        <v>1</v>
      </c>
      <c r="G21287" t="n">
        <v>57</v>
      </c>
      <c r="H21287" s="5">
        <f>HYPERLINK("https://api.qogita.com/variants/link/0614514164013/", "View Product")</f>
        <v/>
      </c>
    </row>
    <row r="21288">
      <c r="A21288" t="inlineStr">
        <is>
          <t>0614514175019</t>
        </is>
      </c>
      <c r="B21288" t="inlineStr">
        <is>
          <t>Maa Arwaak for Her Rasasi Eau de Parfum 50ml</t>
        </is>
      </c>
      <c r="C21288" t="inlineStr">
        <is>
          <t>Eau De Parfum</t>
        </is>
      </c>
      <c r="D21288" t="inlineStr">
        <is>
          <t>Rasasi</t>
        </is>
      </c>
      <c r="E21288" t="n">
        <v>12.36</v>
      </c>
      <c r="F21288" t="n">
        <v>1</v>
      </c>
      <c r="G21288" t="n">
        <v>19</v>
      </c>
      <c r="H21288" s="5">
        <f>HYPERLINK("https://api.qogita.com/variants/link/0614514175019/", "View Product")</f>
        <v/>
      </c>
    </row>
    <row r="21289">
      <c r="A21289" t="inlineStr">
        <is>
          <t>0614514204108</t>
        </is>
      </c>
      <c r="B21289" t="inlineStr">
        <is>
          <t>La Yuqawam Ambergris Showers by Rasasi for Unisex 2.53 Oz EDP Spray</t>
        </is>
      </c>
      <c r="C21289" t="inlineStr">
        <is>
          <t>Eau De Parfum</t>
        </is>
      </c>
      <c r="D21289" t="inlineStr">
        <is>
          <t>Rasasi</t>
        </is>
      </c>
      <c r="E21289" t="n">
        <v>45.16</v>
      </c>
      <c r="F21289" t="n">
        <v>1</v>
      </c>
      <c r="G21289" t="n">
        <v>5</v>
      </c>
      <c r="H21289" s="5">
        <f>HYPERLINK("https://api.qogita.com/variants/link/0614514204108/", "View Product")</f>
        <v/>
      </c>
    </row>
    <row r="21290">
      <c r="A21290" t="inlineStr">
        <is>
          <t>0614514228029</t>
        </is>
      </c>
      <c r="B21290" t="inlineStr">
        <is>
          <t>Rasasi Entebaa Pour Homme</t>
        </is>
      </c>
      <c r="C21290" t="inlineStr">
        <is>
          <t>Eau De Parfum</t>
        </is>
      </c>
      <c r="D21290" t="inlineStr">
        <is>
          <t>Rasasi</t>
        </is>
      </c>
      <c r="E21290" t="n">
        <v>17.52</v>
      </c>
      <c r="F21290" t="n">
        <v>1</v>
      </c>
      <c r="G21290" t="n">
        <v>1329</v>
      </c>
      <c r="H21290" s="5">
        <f>HYPERLINK("https://api.qogita.com/variants/link/0614514228029/", "View Product")</f>
        <v/>
      </c>
    </row>
    <row r="21291">
      <c r="A21291" t="inlineStr">
        <is>
          <t>0614514236079</t>
        </is>
      </c>
      <c r="B21291" t="inlineStr">
        <is>
          <t>Oudh Al Boruzz Asrar Indonesia Perfumed Water Spray 50ml</t>
        </is>
      </c>
      <c r="C21291" t="inlineStr">
        <is>
          <t>Eau De Parfum</t>
        </is>
      </c>
      <c r="D21291" t="inlineStr">
        <is>
          <t>Oudh Al Boruzz</t>
        </is>
      </c>
      <c r="E21291" t="n">
        <v>94.16</v>
      </c>
      <c r="F21291" t="n">
        <v>1</v>
      </c>
      <c r="G21291" t="n">
        <v>3</v>
      </c>
      <c r="H21291" s="5">
        <f>HYPERLINK("https://api.qogita.com/variants/link/0614514236079/", "View Product")</f>
        <v/>
      </c>
    </row>
    <row r="21292">
      <c r="A21292" t="inlineStr">
        <is>
          <t>0614514331019</t>
        </is>
      </c>
      <c r="B21292" t="inlineStr">
        <is>
          <t>Hawas By Rasasi For Women 3.38 Oz EDP Spray</t>
        </is>
      </c>
      <c r="C21292" t="inlineStr">
        <is>
          <t>Eau De Parfum</t>
        </is>
      </c>
      <c r="D21292" t="inlineStr">
        <is>
          <t>Rasasi</t>
        </is>
      </c>
      <c r="E21292" t="n">
        <v>16.57</v>
      </c>
      <c r="F21292" t="n">
        <v>1</v>
      </c>
      <c r="G21292" t="n">
        <v>70</v>
      </c>
      <c r="H21292" s="5">
        <f>HYPERLINK("https://api.qogita.com/variants/link/0614514331019/", "View Product")</f>
        <v/>
      </c>
    </row>
    <row r="21293">
      <c r="A21293" t="inlineStr">
        <is>
          <t>0614514331033</t>
        </is>
      </c>
      <c r="B21293" t="inlineStr">
        <is>
          <t>Rasasi Hawas Black Eau De Parfum 100ml</t>
        </is>
      </c>
      <c r="C21293" t="inlineStr">
        <is>
          <t>Eau De Parfum</t>
        </is>
      </c>
      <c r="D21293" t="inlineStr">
        <is>
          <t>Rasasi</t>
        </is>
      </c>
      <c r="E21293" t="n">
        <v>19.86</v>
      </c>
      <c r="F21293" t="n">
        <v>1</v>
      </c>
      <c r="G21293" t="n">
        <v>2487</v>
      </c>
      <c r="H21293" s="5">
        <f>HYPERLINK("https://api.qogita.com/variants/link/0614514331033/", "View Product")</f>
        <v/>
      </c>
    </row>
    <row r="21294">
      <c r="A21294" t="inlineStr">
        <is>
          <t>0614514339206</t>
        </is>
      </c>
      <c r="B21294" t="inlineStr">
        <is>
          <t>Rasasi Hawas Eclat 100ml Eau De Parfum - Long Lasting Luxury Arabic Perfume</t>
        </is>
      </c>
      <c r="C21294" t="inlineStr">
        <is>
          <t>Eau De Parfum</t>
        </is>
      </c>
      <c r="D21294" t="inlineStr">
        <is>
          <t>Rasasi</t>
        </is>
      </c>
      <c r="E21294" t="n">
        <v>26.45</v>
      </c>
      <c r="F21294" t="n">
        <v>1</v>
      </c>
      <c r="G21294" t="n">
        <v>316</v>
      </c>
      <c r="H21294" s="5">
        <f>HYPERLINK("https://api.qogita.com/variants/link/0614514339206/", "View Product")</f>
        <v/>
      </c>
    </row>
    <row r="21295">
      <c r="A21295" t="inlineStr">
        <is>
          <t>0614514425015</t>
        </is>
      </c>
      <c r="B21295" t="inlineStr">
        <is>
          <t>Rasasi Ambar Silk Eau De Parfum 200ml</t>
        </is>
      </c>
      <c r="C21295" t="inlineStr">
        <is>
          <t>Eau De Parfum</t>
        </is>
      </c>
      <c r="D21295" t="inlineStr">
        <is>
          <t>Rasasi</t>
        </is>
      </c>
      <c r="E21295" t="n">
        <v>83.34999999999999</v>
      </c>
      <c r="F21295" t="n">
        <v>1</v>
      </c>
      <c r="G21295" t="n">
        <v>40</v>
      </c>
      <c r="H21295" s="5">
        <f>HYPERLINK("https://api.qogita.com/variants/link/0614514425015/", "View Product")</f>
        <v/>
      </c>
    </row>
    <row r="21296">
      <c r="A21296" t="inlineStr">
        <is>
          <t>0614514425022</t>
        </is>
      </c>
      <c r="B21296" t="inlineStr">
        <is>
          <t>Rasasi Luban Absolute Edp</t>
        </is>
      </c>
      <c r="C21296" t="inlineStr">
        <is>
          <t>Eau De Parfum</t>
        </is>
      </c>
      <c r="D21296" t="inlineStr">
        <is>
          <t>Rasasi</t>
        </is>
      </c>
      <c r="E21296" t="n">
        <v>83.2</v>
      </c>
      <c r="F21296" t="n">
        <v>1</v>
      </c>
      <c r="G21296" t="n">
        <v>5</v>
      </c>
      <c r="H21296" s="5">
        <f>HYPERLINK("https://api.qogita.com/variants/link/0614514425022/", "View Product")</f>
        <v/>
      </c>
    </row>
    <row r="21297">
      <c r="A21297" t="inlineStr">
        <is>
          <t>0614514425176</t>
        </is>
      </c>
      <c r="B21297" t="inlineStr">
        <is>
          <t>RASASI Somow Al Lavender Oud EDP 100ml</t>
        </is>
      </c>
      <c r="C21297" t="inlineStr">
        <is>
          <t>Eau De Parfum</t>
        </is>
      </c>
      <c r="D21297" t="inlineStr">
        <is>
          <t>Rasasi</t>
        </is>
      </c>
      <c r="E21297" t="n">
        <v>86.79000000000001</v>
      </c>
      <c r="F21297" t="n">
        <v>1</v>
      </c>
      <c r="G21297" t="n">
        <v>9</v>
      </c>
      <c r="H21297" s="5">
        <f>HYPERLINK("https://api.qogita.com/variants/link/0614514425176/", "View Product")</f>
        <v/>
      </c>
    </row>
    <row r="21298">
      <c r="A21298" t="inlineStr">
        <is>
          <t>0614514426043</t>
        </is>
      </c>
      <c r="B21298" t="inlineStr">
        <is>
          <t>Rasasi Arabian Prive Nagham Eau De Parfum</t>
        </is>
      </c>
      <c r="C21298" t="inlineStr">
        <is>
          <t>Eau De Parfum</t>
        </is>
      </c>
      <c r="D21298" t="inlineStr">
        <is>
          <t>Rasasi</t>
        </is>
      </c>
      <c r="E21298" t="n">
        <v>175.63</v>
      </c>
      <c r="F21298" t="n">
        <v>1</v>
      </c>
      <c r="G21298" t="n">
        <v>10</v>
      </c>
      <c r="H21298" s="5">
        <f>HYPERLINK("https://api.qogita.com/variants/link/0614514426043/", "View Product")</f>
        <v/>
      </c>
    </row>
    <row r="21299">
      <c r="A21299" t="inlineStr">
        <is>
          <t>0614514840665</t>
        </is>
      </c>
      <c r="B21299" t="inlineStr">
        <is>
          <t>Oudh Al Mubakhar by Rasasi Perfumes</t>
        </is>
      </c>
      <c r="C21299" t="inlineStr">
        <is>
          <t>Eau De Parfum</t>
        </is>
      </c>
      <c r="D21299" t="inlineStr">
        <is>
          <t>Rasasi</t>
        </is>
      </c>
      <c r="E21299" t="n">
        <v>11.12</v>
      </c>
      <c r="F21299" t="n">
        <v>1</v>
      </c>
      <c r="G21299" t="n">
        <v>18</v>
      </c>
      <c r="H21299" s="5">
        <f>HYPERLINK("https://api.qogita.com/variants/link/0614514840665/", "View Product")</f>
        <v/>
      </c>
    </row>
    <row r="21300">
      <c r="A21300" t="inlineStr">
        <is>
          <t>0615908403718</t>
        </is>
      </c>
      <c r="B21300" t="inlineStr">
        <is>
          <t>Bed Head for Men by TIGI Hair Wax Stick Strong Hold Slick Back Hair Styling 73g</t>
        </is>
      </c>
      <c r="C21300" t="inlineStr">
        <is>
          <t>Wax</t>
        </is>
      </c>
      <c r="D21300" t="inlineStr">
        <is>
          <t>Bed Head By Tigi</t>
        </is>
      </c>
      <c r="E21300" t="n">
        <v>8.619999999999999</v>
      </c>
      <c r="F21300" t="n">
        <v>1</v>
      </c>
      <c r="G21300" t="n">
        <v>15</v>
      </c>
      <c r="H21300" s="5">
        <f>HYPERLINK("https://api.qogita.com/variants/link/0615908403718/", "View Product")</f>
        <v/>
      </c>
    </row>
    <row r="21301">
      <c r="A21301" t="inlineStr">
        <is>
          <t>0615908421606</t>
        </is>
      </c>
      <c r="B21301" t="inlineStr">
        <is>
          <t>Catwalk by TIGI Curls Rock Amplifier Curly Hair Cream 150ml</t>
        </is>
      </c>
      <c r="C21301" t="inlineStr">
        <is>
          <t>Styling Creams</t>
        </is>
      </c>
      <c r="D21301" t="inlineStr">
        <is>
          <t>Catwalk</t>
        </is>
      </c>
      <c r="E21301" t="n">
        <v>7.35</v>
      </c>
      <c r="F21301" t="n">
        <v>1</v>
      </c>
      <c r="G21301" t="n">
        <v>27</v>
      </c>
      <c r="H21301" s="5">
        <f>HYPERLINK("https://api.qogita.com/variants/link/0615908421606/", "View Product")</f>
        <v/>
      </c>
    </row>
    <row r="21302">
      <c r="A21302" t="inlineStr">
        <is>
          <t>0615908424683</t>
        </is>
      </c>
      <c r="B21302" t="inlineStr">
        <is>
          <t>Bed Head for Men by TIGI Clean Up Men's Daily Conditioner Ideal for Normal Hair 750ml</t>
        </is>
      </c>
      <c r="C21302" t="inlineStr">
        <is>
          <t>Conditioner</t>
        </is>
      </c>
      <c r="D21302" t="inlineStr">
        <is>
          <t>Tigi</t>
        </is>
      </c>
      <c r="E21302" t="n">
        <v>8.25</v>
      </c>
      <c r="F21302" t="n">
        <v>1</v>
      </c>
      <c r="G21302" t="n">
        <v>5</v>
      </c>
      <c r="H21302" s="5">
        <f>HYPERLINK("https://api.qogita.com/variants/link/0615908424683/", "View Product")</f>
        <v/>
      </c>
    </row>
    <row r="21303">
      <c r="A21303" t="inlineStr">
        <is>
          <t>0615908426632</t>
        </is>
      </c>
      <c r="B21303" t="inlineStr">
        <is>
          <t>Bed Head urban anti-dotes re-energize shampoo 750ml by Tigi</t>
        </is>
      </c>
      <c r="C21303" t="inlineStr">
        <is>
          <t>Shampoo</t>
        </is>
      </c>
      <c r="D21303" t="inlineStr">
        <is>
          <t>Tigi</t>
        </is>
      </c>
      <c r="E21303" t="n">
        <v>10.66</v>
      </c>
      <c r="F21303" t="n">
        <v>1</v>
      </c>
      <c r="G21303" t="n">
        <v>21</v>
      </c>
      <c r="H21303" s="5">
        <f>HYPERLINK("https://api.qogita.com/variants/link/0615908426632/", "View Product")</f>
        <v/>
      </c>
    </row>
    <row r="21304">
      <c r="A21304" t="inlineStr">
        <is>
          <t>0615908426670</t>
        </is>
      </c>
      <c r="B21304" t="inlineStr">
        <is>
          <t>Tigi Bed Head Urban Anti+Dotes Re-Energize Conditioner 750ml 25.36oz</t>
        </is>
      </c>
      <c r="C21304" t="inlineStr">
        <is>
          <t>Conditioner</t>
        </is>
      </c>
      <c r="D21304" t="inlineStr">
        <is>
          <t>Tigi</t>
        </is>
      </c>
      <c r="E21304" t="n">
        <v>8.779999999999999</v>
      </c>
      <c r="F21304" t="n">
        <v>1</v>
      </c>
      <c r="G21304" t="n">
        <v>29</v>
      </c>
      <c r="H21304" s="5">
        <f>HYPERLINK("https://api.qogita.com/variants/link/0615908426670/", "View Product")</f>
        <v/>
      </c>
    </row>
    <row r="21305">
      <c r="A21305" t="inlineStr">
        <is>
          <t>0615908426786</t>
        </is>
      </c>
      <c r="B21305" t="inlineStr">
        <is>
          <t>Tigi Bed Head Clean Up Shampoo 250ml</t>
        </is>
      </c>
      <c r="C21305" t="inlineStr">
        <is>
          <t>Shampoo</t>
        </is>
      </c>
      <c r="D21305" t="inlineStr">
        <is>
          <t>Tigi</t>
        </is>
      </c>
      <c r="E21305" t="n">
        <v>4.83</v>
      </c>
      <c r="F21305" t="n">
        <v>1</v>
      </c>
      <c r="G21305" t="n">
        <v>9</v>
      </c>
      <c r="H21305" s="5">
        <f>HYPERLINK("https://api.qogita.com/variants/link/0615908426786/", "View Product")</f>
        <v/>
      </c>
    </row>
    <row r="21306">
      <c r="A21306" t="inlineStr">
        <is>
          <t>0615908429848</t>
        </is>
      </c>
      <c r="B21306" t="inlineStr">
        <is>
          <t>Tigi Bed Head Colour Goddess Combat Shampoo 750ml</t>
        </is>
      </c>
      <c r="C21306" t="inlineStr">
        <is>
          <t>Shampoo</t>
        </is>
      </c>
      <c r="D21306" t="inlineStr">
        <is>
          <t>Tigi</t>
        </is>
      </c>
      <c r="E21306" t="n">
        <v>8.449999999999999</v>
      </c>
      <c r="F21306" t="n">
        <v>1</v>
      </c>
      <c r="G21306" t="n">
        <v>21</v>
      </c>
      <c r="H21306" s="5">
        <f>HYPERLINK("https://api.qogita.com/variants/link/0615908429848/", "View Product")</f>
        <v/>
      </c>
    </row>
    <row r="21307">
      <c r="A21307" t="inlineStr">
        <is>
          <t>0615908429855</t>
        </is>
      </c>
      <c r="B21307" t="inlineStr">
        <is>
          <t>Bed Head by Tigi Colour Goddess Conditioner 750ml</t>
        </is>
      </c>
      <c r="C21307" t="inlineStr">
        <is>
          <t>Conditioner</t>
        </is>
      </c>
      <c r="D21307" t="inlineStr">
        <is>
          <t>Tigi</t>
        </is>
      </c>
      <c r="E21307" t="n">
        <v>7.69</v>
      </c>
      <c r="F21307" t="n">
        <v>1</v>
      </c>
      <c r="G21307" t="n">
        <v>14</v>
      </c>
      <c r="H21307" s="5">
        <f>HYPERLINK("https://api.qogita.com/variants/link/0615908429855/", "View Product")</f>
        <v/>
      </c>
    </row>
    <row r="21308">
      <c r="A21308" t="inlineStr">
        <is>
          <t>0615908430394</t>
        </is>
      </c>
      <c r="B21308" t="inlineStr">
        <is>
          <t>Tigi Copyright Custom Care Color Conditioner 55ml</t>
        </is>
      </c>
      <c r="C21308" t="inlineStr">
        <is>
          <t>Conditioner</t>
        </is>
      </c>
      <c r="D21308" t="inlineStr">
        <is>
          <t>Tigi</t>
        </is>
      </c>
      <c r="E21308" t="n">
        <v>6.88</v>
      </c>
      <c r="F21308" t="n">
        <v>1</v>
      </c>
      <c r="G21308" t="n">
        <v>133</v>
      </c>
      <c r="H21308" s="5">
        <f>HYPERLINK("https://api.qogita.com/variants/link/0615908430394/", "View Product")</f>
        <v/>
      </c>
    </row>
    <row r="21309">
      <c r="A21309" t="inlineStr">
        <is>
          <t>0615908430448</t>
        </is>
      </c>
      <c r="B21309" t="inlineStr">
        <is>
          <t>TIGI SOS Extreme Recovery Treatment Shampoo 450ml</t>
        </is>
      </c>
      <c r="C21309" t="inlineStr">
        <is>
          <t>Shampoo</t>
        </is>
      </c>
      <c r="D21309" t="inlineStr">
        <is>
          <t>Tigi</t>
        </is>
      </c>
      <c r="E21309" t="n">
        <v>14.42</v>
      </c>
      <c r="F21309" t="n">
        <v>1</v>
      </c>
      <c r="G21309" t="n">
        <v>38</v>
      </c>
      <c r="H21309" s="5">
        <f>HYPERLINK("https://api.qogita.com/variants/link/0615908430448/", "View Product")</f>
        <v/>
      </c>
    </row>
    <row r="21310">
      <c r="A21310" t="inlineStr">
        <is>
          <t>0615908431421</t>
        </is>
      </c>
      <c r="B21310" t="inlineStr">
        <is>
          <t>Bed Head by Tigi After Party Super Smoothing Cream Anti-Frizz Hair Styling</t>
        </is>
      </c>
      <c r="C21310" t="inlineStr">
        <is>
          <t>Styling Creams</t>
        </is>
      </c>
      <c r="D21310" t="inlineStr">
        <is>
          <t>Tigi</t>
        </is>
      </c>
      <c r="E21310" t="n">
        <v>10.08</v>
      </c>
      <c r="F21310" t="n">
        <v>1</v>
      </c>
      <c r="G21310" t="n">
        <v>5</v>
      </c>
      <c r="H21310" s="5">
        <f>HYPERLINK("https://api.qogita.com/variants/link/0615908431421/", "View Product")</f>
        <v/>
      </c>
    </row>
    <row r="21311">
      <c r="A21311" t="inlineStr">
        <is>
          <t>4045787999679</t>
        </is>
      </c>
      <c r="B21311" t="inlineStr">
        <is>
          <t>Osis+ Grip Extra Strong Foam Increasing Hair Volume 200ml</t>
        </is>
      </c>
      <c r="C21311" t="inlineStr">
        <is>
          <t>Mousse</t>
        </is>
      </c>
      <c r="D21311" t="inlineStr">
        <is>
          <t>Osis</t>
        </is>
      </c>
      <c r="E21311" t="n">
        <v>6.09</v>
      </c>
      <c r="F21311" t="n">
        <v>1</v>
      </c>
      <c r="G21311" t="n">
        <v>241</v>
      </c>
      <c r="H21311" s="5">
        <f>HYPERLINK("https://api.qogita.com/variants/link/4045787999679/", "View Product")</f>
        <v/>
      </c>
    </row>
    <row r="21312">
      <c r="A21312" t="inlineStr">
        <is>
          <t>4045787999839</t>
        </is>
      </c>
      <c r="B21312" t="inlineStr">
        <is>
          <t>Osis+ Mess Up Styling Paste 100ml - Hair Styling Product</t>
        </is>
      </c>
      <c r="C21312" t="inlineStr">
        <is>
          <t>Styling Creams</t>
        </is>
      </c>
      <c r="D21312" t="inlineStr">
        <is>
          <t>Osis</t>
        </is>
      </c>
      <c r="E21312" t="n">
        <v>7.01</v>
      </c>
      <c r="F21312" t="n">
        <v>1</v>
      </c>
      <c r="G21312" t="n">
        <v>29</v>
      </c>
      <c r="H21312" s="5">
        <f>HYPERLINK("https://api.qogita.com/variants/link/4045787999839/", "View Product")</f>
        <v/>
      </c>
    </row>
    <row r="21313">
      <c r="A21313" t="inlineStr">
        <is>
          <t>4052136000665</t>
        </is>
      </c>
      <c r="B21313" t="inlineStr">
        <is>
          <t>Artdeco Mineral Eyeshadow Base Sensitive - 7ml</t>
        </is>
      </c>
      <c r="C21313" t="inlineStr">
        <is>
          <t>Eyeshadow Primer</t>
        </is>
      </c>
      <c r="D21313" t="inlineStr">
        <is>
          <t>Artdeco</t>
        </is>
      </c>
      <c r="E21313" t="n">
        <v>8.380000000000001</v>
      </c>
      <c r="F21313" t="n">
        <v>1</v>
      </c>
      <c r="G21313" t="n">
        <v>15</v>
      </c>
      <c r="H21313" s="5">
        <f>HYPERLINK("https://api.qogita.com/variants/link/4052136000665/", "View Product")</f>
        <v/>
      </c>
    </row>
    <row r="21314">
      <c r="A21314" t="inlineStr">
        <is>
          <t>4052136007466</t>
        </is>
      </c>
      <c r="B21314" t="inlineStr">
        <is>
          <t>Artdeco Volume Sensation Mascara 01 Black 15 Ml</t>
        </is>
      </c>
      <c r="C21314" t="inlineStr">
        <is>
          <t>Mascara</t>
        </is>
      </c>
      <c r="D21314" t="inlineStr">
        <is>
          <t>Artdeco</t>
        </is>
      </c>
      <c r="E21314" t="n">
        <v>8.970000000000001</v>
      </c>
      <c r="F21314" t="n">
        <v>1</v>
      </c>
      <c r="G21314" t="n">
        <v>32</v>
      </c>
      <c r="H21314" s="5">
        <f>HYPERLINK("https://api.qogita.com/variants/link/4052136007466/", "View Product")</f>
        <v/>
      </c>
    </row>
    <row r="21315">
      <c r="A21315" t="inlineStr">
        <is>
          <t>4052136031003</t>
        </is>
      </c>
      <c r="B21315" t="inlineStr">
        <is>
          <t>Artdeco Camouflage Cream 11 Porcelain 45 G</t>
        </is>
      </c>
      <c r="C21315" t="inlineStr">
        <is>
          <t>Camouflage Makeup</t>
        </is>
      </c>
      <c r="D21315" t="inlineStr">
        <is>
          <t>Artdeco</t>
        </is>
      </c>
      <c r="E21315" t="n">
        <v>5.25</v>
      </c>
      <c r="F21315" t="n">
        <v>1</v>
      </c>
      <c r="G21315" t="n">
        <v>13</v>
      </c>
      <c r="H21315" s="5">
        <f>HYPERLINK("https://api.qogita.com/variants/link/4052136031003/", "View Product")</f>
        <v/>
      </c>
    </row>
    <row r="21316">
      <c r="A21316" t="inlineStr">
        <is>
          <t>4052136057898</t>
        </is>
      </c>
      <c r="B21316" t="inlineStr">
        <is>
          <t>ARTDECO Sun Protection Powder Foundation SPF 50 Dark Cool Beige 9.5g</t>
        </is>
      </c>
      <c r="C21316" t="inlineStr">
        <is>
          <t>Face Sun Protection</t>
        </is>
      </c>
      <c r="D21316" t="inlineStr">
        <is>
          <t>Artdeco</t>
        </is>
      </c>
      <c r="E21316" t="n">
        <v>14.72</v>
      </c>
      <c r="F21316" t="n">
        <v>1</v>
      </c>
      <c r="G21316" t="n">
        <v>9</v>
      </c>
      <c r="H21316" s="5">
        <f>HYPERLINK("https://api.qogita.com/variants/link/4052136057898/", "View Product")</f>
        <v/>
      </c>
    </row>
    <row r="21317">
      <c r="A21317" t="inlineStr">
        <is>
          <t>4052136058277</t>
        </is>
      </c>
      <c r="B21317" t="inlineStr">
        <is>
          <t>Artdeco Hyaluronic Intensive Eye Gel Skin Yoga Eye Gel 15ml</t>
        </is>
      </c>
      <c r="C21317" t="inlineStr">
        <is>
          <t>Eye Gel</t>
        </is>
      </c>
      <c r="D21317" t="inlineStr">
        <is>
          <t>Artdeco</t>
        </is>
      </c>
      <c r="E21317" t="n">
        <v>9.85</v>
      </c>
      <c r="F21317" t="n">
        <v>1</v>
      </c>
      <c r="G21317" t="n">
        <v>5</v>
      </c>
      <c r="H21317" s="5">
        <f>HYPERLINK("https://api.qogita.com/variants/link/4052136058277/", "View Product")</f>
        <v/>
      </c>
    </row>
    <row r="21318">
      <c r="A21318" t="inlineStr">
        <is>
          <t>4052136084696</t>
        </is>
      </c>
      <c r="B21318" t="inlineStr">
        <is>
          <t>Artdeco Artdeco Nail Lacquer Art Couture Premium Nail Polish</t>
        </is>
      </c>
      <c r="C21318" t="inlineStr">
        <is>
          <t>Nail Polish</t>
        </is>
      </c>
      <c r="D21318" t="inlineStr">
        <is>
          <t>Artdeco</t>
        </is>
      </c>
      <c r="E21318" t="n">
        <v>6.52</v>
      </c>
      <c r="F21318" t="n">
        <v>1</v>
      </c>
      <c r="G21318" t="n">
        <v>2</v>
      </c>
      <c r="H21318" s="5">
        <f>HYPERLINK("https://api.qogita.com/variants/link/4052136084696/", "View Product")</f>
        <v/>
      </c>
    </row>
    <row r="21319">
      <c r="A21319" t="inlineStr">
        <is>
          <t>4052136086690</t>
        </is>
      </c>
      <c r="B21319" t="inlineStr">
        <is>
          <t>Artdeco Ultra Deep Black Lengthening Mascara 8ml</t>
        </is>
      </c>
      <c r="C21319" t="inlineStr">
        <is>
          <t>Mascara</t>
        </is>
      </c>
      <c r="D21319" t="inlineStr">
        <is>
          <t>Artdeco</t>
        </is>
      </c>
      <c r="E21319" t="n">
        <v>8.619999999999999</v>
      </c>
      <c r="F21319" t="n">
        <v>1</v>
      </c>
      <c r="G21319" t="n">
        <v>9</v>
      </c>
      <c r="H21319" s="5">
        <f>HYPERLINK("https://api.qogita.com/variants/link/4052136086690/", "View Product")</f>
        <v/>
      </c>
    </row>
    <row r="21320">
      <c r="A21320" t="inlineStr">
        <is>
          <t>4052136090093</t>
        </is>
      </c>
      <c r="B21320" t="inlineStr">
        <is>
          <t>Artdeco Natural Repair Cream Nail 17ml</t>
        </is>
      </c>
      <c r="C21320" t="inlineStr">
        <is>
          <t>Nail Care Sets</t>
        </is>
      </c>
      <c r="D21320" t="inlineStr">
        <is>
          <t>Artdeco</t>
        </is>
      </c>
      <c r="E21320" t="n">
        <v>8.130000000000001</v>
      </c>
      <c r="F21320" t="n">
        <v>1</v>
      </c>
      <c r="G21320" t="n">
        <v>8</v>
      </c>
      <c r="H21320" s="5">
        <f>HYPERLINK("https://api.qogita.com/variants/link/4052136090093/", "View Product")</f>
        <v/>
      </c>
    </row>
    <row r="21321">
      <c r="A21321" t="inlineStr">
        <is>
          <t>4052136094275</t>
        </is>
      </c>
      <c r="B21321" t="inlineStr">
        <is>
          <t>Art No Color Setting Powder 01 FL19</t>
        </is>
      </c>
      <c r="C21321" t="inlineStr">
        <is>
          <t>Powder</t>
        </is>
      </c>
      <c r="D21321" t="inlineStr">
        <is>
          <t>Artdeco</t>
        </is>
      </c>
      <c r="E21321" t="n">
        <v>16.76</v>
      </c>
      <c r="F21321" t="n">
        <v>1</v>
      </c>
      <c r="G21321" t="n">
        <v>31</v>
      </c>
      <c r="H21321" s="5">
        <f>HYPERLINK("https://api.qogita.com/variants/link/4052136094275/", "View Product")</f>
        <v/>
      </c>
    </row>
    <row r="21322">
      <c r="A21322" t="inlineStr">
        <is>
          <t>4052136095234</t>
        </is>
      </c>
      <c r="B21322" t="inlineStr">
        <is>
          <t>ARTDECO Perfect Teint Foundation Long-Lasting Oil-Free Liquid Foundation 20ml 12 Soft Vanilla</t>
        </is>
      </c>
      <c r="C21322" t="inlineStr">
        <is>
          <t>Foundation</t>
        </is>
      </c>
      <c r="D21322" t="inlineStr">
        <is>
          <t>Artdeco</t>
        </is>
      </c>
      <c r="E21322" t="n">
        <v>12.83</v>
      </c>
      <c r="F21322" t="n">
        <v>1</v>
      </c>
      <c r="G21322" t="n">
        <v>4</v>
      </c>
      <c r="H21322" s="5">
        <f>HYPERLINK("https://api.qogita.com/variants/link/4052136095234/", "View Product")</f>
        <v/>
      </c>
    </row>
    <row r="21323">
      <c r="A21323" t="inlineStr">
        <is>
          <t>4052136095272</t>
        </is>
      </c>
      <c r="B21323" t="inlineStr">
        <is>
          <t>Artdeco Perfect Teint Foundation 52 Golden Biscuit 20ml</t>
        </is>
      </c>
      <c r="C21323" t="inlineStr">
        <is>
          <t>Foundation</t>
        </is>
      </c>
      <c r="D21323" t="inlineStr">
        <is>
          <t>Artdeco</t>
        </is>
      </c>
      <c r="E21323" t="n">
        <v>12.69</v>
      </c>
      <c r="F21323" t="n">
        <v>1</v>
      </c>
      <c r="G21323" t="n">
        <v>6</v>
      </c>
      <c r="H21323" s="5">
        <f>HYPERLINK("https://api.qogita.com/variants/link/4052136095272/", "View Product")</f>
        <v/>
      </c>
    </row>
    <row r="21324">
      <c r="A21324" t="inlineStr">
        <is>
          <t>4052136096026</t>
        </is>
      </c>
      <c r="B21324" t="inlineStr">
        <is>
          <t>Art Skin Yoga Hyaluron Intensive Cream 50ml</t>
        </is>
      </c>
      <c r="C21324" t="inlineStr">
        <is>
          <t>Face Cream</t>
        </is>
      </c>
      <c r="D21324" t="inlineStr">
        <is>
          <t>Artdeco</t>
        </is>
      </c>
      <c r="E21324" t="n">
        <v>16.74</v>
      </c>
      <c r="F21324" t="n">
        <v>1</v>
      </c>
      <c r="G21324" t="n">
        <v>4</v>
      </c>
      <c r="H21324" s="5">
        <f>HYPERLINK("https://api.qogita.com/variants/link/4052136096026/", "View Product")</f>
        <v/>
      </c>
    </row>
    <row r="21325">
      <c r="A21325" t="inlineStr">
        <is>
          <t>4052136096712</t>
        </is>
      </c>
      <c r="B21325" t="inlineStr">
        <is>
          <t>Artdeco Perfect Teint Foundation Longlasting Makeup 20 Ml In Warm Vanilla</t>
        </is>
      </c>
      <c r="C21325" t="inlineStr">
        <is>
          <t>Foundation</t>
        </is>
      </c>
      <c r="D21325" t="inlineStr">
        <is>
          <t>Artdeco</t>
        </is>
      </c>
      <c r="E21325" t="n">
        <v>12.44</v>
      </c>
      <c r="F21325" t="n">
        <v>1</v>
      </c>
      <c r="G21325" t="n">
        <v>6</v>
      </c>
      <c r="H21325" s="5">
        <f>HYPERLINK("https://api.qogita.com/variants/link/4052136096712/", "View Product")</f>
        <v/>
      </c>
    </row>
    <row r="21326">
      <c r="A21326" t="inlineStr">
        <is>
          <t>4052136096736</t>
        </is>
      </c>
      <c r="B21326" t="inlineStr">
        <is>
          <t>Artdeco Perfect Teint Foundation 32 Cool Cashew Longlasting Makeup 20 Ml</t>
        </is>
      </c>
      <c r="C21326" t="inlineStr">
        <is>
          <t>Foundation</t>
        </is>
      </c>
      <c r="D21326" t="inlineStr">
        <is>
          <t>Artdeco</t>
        </is>
      </c>
      <c r="E21326" t="n">
        <v>12.69</v>
      </c>
      <c r="F21326" t="n">
        <v>1</v>
      </c>
      <c r="G21326" t="n">
        <v>4</v>
      </c>
      <c r="H21326" s="5">
        <f>HYPERLINK("https://api.qogita.com/variants/link/4052136096736/", "View Product")</f>
        <v/>
      </c>
    </row>
    <row r="21327">
      <c r="A21327" t="inlineStr">
        <is>
          <t>4052136100037</t>
        </is>
      </c>
      <c r="B21327" t="inlineStr">
        <is>
          <t>Artdeco Asian Spa Super Rich Foot Cream 100ml</t>
        </is>
      </c>
      <c r="C21327" t="inlineStr">
        <is>
          <t>Foot Cream</t>
        </is>
      </c>
      <c r="D21327" t="inlineStr">
        <is>
          <t>Artdeco</t>
        </is>
      </c>
      <c r="E21327" t="n">
        <v>6.06</v>
      </c>
      <c r="F21327" t="n">
        <v>1</v>
      </c>
      <c r="G21327" t="n">
        <v>2</v>
      </c>
      <c r="H21327" s="5">
        <f>HYPERLINK("https://api.qogita.com/variants/link/4052136100037/", "View Product")</f>
        <v/>
      </c>
    </row>
    <row r="21328">
      <c r="A21328" t="inlineStr">
        <is>
          <t>4052136101065</t>
        </is>
      </c>
      <c r="B21328" t="inlineStr">
        <is>
          <t>Art Skin Wonder Skin Primer 20ml</t>
        </is>
      </c>
      <c r="C21328" t="inlineStr">
        <is>
          <t>Primer</t>
        </is>
      </c>
      <c r="D21328" t="inlineStr">
        <is>
          <t>Artdeco</t>
        </is>
      </c>
      <c r="E21328" t="n">
        <v>9.41</v>
      </c>
      <c r="F21328" t="n">
        <v>1</v>
      </c>
      <c r="G21328" t="n">
        <v>17</v>
      </c>
      <c r="H21328" s="5">
        <f>HYPERLINK("https://api.qogita.com/variants/link/4052136101065/", "View Product")</f>
        <v/>
      </c>
    </row>
    <row r="21329">
      <c r="A21329" t="inlineStr">
        <is>
          <t>4052136101591</t>
        </is>
      </c>
      <c r="B21329" t="inlineStr">
        <is>
          <t>Artdeco Long Lasting Liquid Liner Intense - 01 Black, 0.6ml</t>
        </is>
      </c>
      <c r="C21329" t="inlineStr">
        <is>
          <t>Eyeliner</t>
        </is>
      </c>
      <c r="D21329" t="inlineStr">
        <is>
          <t>Artdeco</t>
        </is>
      </c>
      <c r="E21329" t="n">
        <v>8.970000000000001</v>
      </c>
      <c r="F21329" t="n">
        <v>1</v>
      </c>
      <c r="G21329" t="n">
        <v>17</v>
      </c>
      <c r="H21329" s="5">
        <f>HYPERLINK("https://api.qogita.com/variants/link/4052136101591/", "View Product")</f>
        <v/>
      </c>
    </row>
    <row r="21330">
      <c r="A21330" t="inlineStr">
        <is>
          <t>4052136101690</t>
        </is>
      </c>
      <c r="B21330" t="inlineStr">
        <is>
          <t>Artdeco Glamour Eyeshadow Glittery Eye Shadow 08 G</t>
        </is>
      </c>
      <c r="C21330" t="inlineStr">
        <is>
          <t>Eyeshadow</t>
        </is>
      </c>
      <c r="D21330" t="inlineStr">
        <is>
          <t>Artdeco</t>
        </is>
      </c>
      <c r="E21330" t="n">
        <v>2.94</v>
      </c>
      <c r="F21330" t="n">
        <v>1</v>
      </c>
      <c r="G21330" t="n">
        <v>5</v>
      </c>
      <c r="H21330" s="5">
        <f>HYPERLINK("https://api.qogita.com/variants/link/4052136101690/", "View Product")</f>
        <v/>
      </c>
    </row>
    <row r="21331">
      <c r="A21331" t="inlineStr">
        <is>
          <t>4052136103908</t>
        </is>
      </c>
      <c r="B21331" t="inlineStr">
        <is>
          <t>ARTDECO Nail Therapy Hardener 10ml</t>
        </is>
      </c>
      <c r="C21331" t="inlineStr">
        <is>
          <t>Nail Hardener</t>
        </is>
      </c>
      <c r="D21331" t="inlineStr">
        <is>
          <t>Artdeco</t>
        </is>
      </c>
      <c r="E21331" t="n">
        <v>6.53</v>
      </c>
      <c r="F21331" t="n">
        <v>1</v>
      </c>
      <c r="G21331" t="n">
        <v>12</v>
      </c>
      <c r="H21331" s="5">
        <f>HYPERLINK("https://api.qogita.com/variants/link/4052136103908/", "View Product")</f>
        <v/>
      </c>
    </row>
    <row r="21332">
      <c r="A21332" t="inlineStr">
        <is>
          <t>4052136150391</t>
        </is>
      </c>
      <c r="B21332" t="inlineStr">
        <is>
          <t>Artdeco Sun Protection Powder Foundation SPF 50 - Powder Makeup with Sun Protection</t>
        </is>
      </c>
      <c r="C21332" t="inlineStr">
        <is>
          <t>Face Sun Protection</t>
        </is>
      </c>
      <c r="D21332" t="inlineStr">
        <is>
          <t>Artdeco</t>
        </is>
      </c>
      <c r="E21332" t="n">
        <v>14.88</v>
      </c>
      <c r="F21332" t="n">
        <v>1</v>
      </c>
      <c r="G21332" t="n">
        <v>13</v>
      </c>
      <c r="H21332" s="5">
        <f>HYPERLINK("https://api.qogita.com/variants/link/4052136150391/", "View Product")</f>
        <v/>
      </c>
    </row>
    <row r="21333">
      <c r="A21333" t="inlineStr">
        <is>
          <t>4052136151978</t>
        </is>
      </c>
      <c r="B21333" t="inlineStr">
        <is>
          <t>Artdeco Quick Dry Nail Lacquer Cosy Rosy 10ml</t>
        </is>
      </c>
      <c r="C21333" t="inlineStr">
        <is>
          <t>Nail Polish</t>
        </is>
      </c>
      <c r="D21333" t="inlineStr">
        <is>
          <t>Artdeco</t>
        </is>
      </c>
      <c r="E21333" t="n">
        <v>5.64</v>
      </c>
      <c r="F21333" t="n">
        <v>1</v>
      </c>
      <c r="G21333" t="n">
        <v>7</v>
      </c>
      <c r="H21333" s="5">
        <f>HYPERLINK("https://api.qogita.com/variants/link/4052136151978/", "View Product")</f>
        <v/>
      </c>
    </row>
    <row r="21334">
      <c r="A21334" t="inlineStr">
        <is>
          <t>4052136160222</t>
        </is>
      </c>
      <c r="B21334" t="inlineStr">
        <is>
          <t>Artdeco High Performance Eyeshadow Stylo 19 Antique Pottery</t>
        </is>
      </c>
      <c r="C21334" t="inlineStr">
        <is>
          <t>Eyeshadow</t>
        </is>
      </c>
      <c r="D21334" t="inlineStr">
        <is>
          <t>Artdeco</t>
        </is>
      </c>
      <c r="E21334" t="n">
        <v>8.380000000000001</v>
      </c>
      <c r="F21334" t="n">
        <v>1</v>
      </c>
      <c r="G21334" t="n">
        <v>23</v>
      </c>
      <c r="H21334" s="5">
        <f>HYPERLINK("https://api.qogita.com/variants/link/4052136160222/", "View Product")</f>
        <v/>
      </c>
    </row>
    <row r="21335">
      <c r="A21335" t="inlineStr">
        <is>
          <t>4052136160710</t>
        </is>
      </c>
      <c r="B21335" t="inlineStr">
        <is>
          <t>Artdeco Light Luminous Foundation No.08 Neutral Porcelain 25ml</t>
        </is>
      </c>
      <c r="C21335" t="inlineStr">
        <is>
          <t>Foundation</t>
        </is>
      </c>
      <c r="D21335" t="inlineStr">
        <is>
          <t>Artdeco</t>
        </is>
      </c>
      <c r="E21335" t="n">
        <v>8.619999999999999</v>
      </c>
      <c r="F21335" t="n">
        <v>1</v>
      </c>
      <c r="G21335" t="n">
        <v>11</v>
      </c>
      <c r="H21335" s="5">
        <f>HYPERLINK("https://api.qogita.com/variants/link/4052136160710/", "View Product")</f>
        <v/>
      </c>
    </row>
    <row r="21336">
      <c r="A21336" t="inlineStr">
        <is>
          <t>4052136160734</t>
        </is>
      </c>
      <c r="B21336" t="inlineStr">
        <is>
          <t>Artdeco Light Luminous Foundation Illuminating Natural Chiffon 25ml</t>
        </is>
      </c>
      <c r="C21336" t="inlineStr">
        <is>
          <t>Foundation</t>
        </is>
      </c>
      <c r="D21336" t="inlineStr">
        <is>
          <t>Artdeco</t>
        </is>
      </c>
      <c r="E21336" t="n">
        <v>11.44</v>
      </c>
      <c r="F21336" t="n">
        <v>1</v>
      </c>
      <c r="G21336" t="n">
        <v>5</v>
      </c>
      <c r="H21336" s="5">
        <f>HYPERLINK("https://api.qogita.com/variants/link/4052136160734/", "View Product")</f>
        <v/>
      </c>
    </row>
    <row r="21337">
      <c r="A21337" t="inlineStr">
        <is>
          <t>4052136175509</t>
        </is>
      </c>
      <c r="B21337" t="inlineStr">
        <is>
          <t>Artdeco Fluid Camouflage Foundation 20 Ml 28 Cool Porcelain</t>
        </is>
      </c>
      <c r="C21337" t="inlineStr">
        <is>
          <t>Foundation</t>
        </is>
      </c>
      <c r="D21337" t="inlineStr">
        <is>
          <t>Artdeco</t>
        </is>
      </c>
      <c r="E21337" t="n">
        <v>16.5</v>
      </c>
      <c r="F21337" t="n">
        <v>1</v>
      </c>
      <c r="G21337" t="n">
        <v>2</v>
      </c>
      <c r="H21337" s="5">
        <f>HYPERLINK("https://api.qogita.com/variants/link/4052136175509/", "View Product")</f>
        <v/>
      </c>
    </row>
    <row r="21338">
      <c r="A21338" t="inlineStr">
        <is>
          <t>4052136212648</t>
        </is>
      </c>
      <c r="B21338" t="inlineStr">
        <is>
          <t>Artdeco Eyebrow Designer Eyebrow Pencil With Brush 1a Soft Black 1g</t>
        </is>
      </c>
      <c r="C21338" t="inlineStr">
        <is>
          <t>Eyebrow Pencil</t>
        </is>
      </c>
      <c r="D21338" t="inlineStr">
        <is>
          <t>Artdeco</t>
        </is>
      </c>
      <c r="E21338" t="n">
        <v>5.88</v>
      </c>
      <c r="F21338" t="n">
        <v>1</v>
      </c>
      <c r="G21338" t="n">
        <v>7</v>
      </c>
      <c r="H21338" s="5">
        <f>HYPERLINK("https://api.qogita.com/variants/link/4052136212648/", "View Product")</f>
        <v/>
      </c>
    </row>
    <row r="21339">
      <c r="A21339" t="inlineStr">
        <is>
          <t>4052136212990</t>
        </is>
      </c>
      <c r="B21339" t="inlineStr">
        <is>
          <t>ARTDECO Invisible Soft Waterproof Lipliner Long-Lasting Lip Contour Pencil 1.2g</t>
        </is>
      </c>
      <c r="C21339" t="inlineStr">
        <is>
          <t>Lip Liner</t>
        </is>
      </c>
      <c r="D21339" t="inlineStr">
        <is>
          <t>Artdeco</t>
        </is>
      </c>
      <c r="E21339" t="n">
        <v>5.29</v>
      </c>
      <c r="F21339" t="n">
        <v>1</v>
      </c>
      <c r="G21339" t="n">
        <v>3</v>
      </c>
      <c r="H21339" s="5">
        <f>HYPERLINK("https://api.qogita.com/variants/link/4052136212990/", "View Product")</f>
        <v/>
      </c>
    </row>
    <row r="21340">
      <c r="A21340" t="inlineStr">
        <is>
          <t>4052136226409</t>
        </is>
      </c>
      <c r="B21340" t="inlineStr">
        <is>
          <t>ARTDECO Plumping Lip Fluid Lip Gloss for Full Shiny Lips with Wet-Look Shine 1 x 3ml</t>
        </is>
      </c>
      <c r="C21340" t="inlineStr">
        <is>
          <t>Lip Gloss</t>
        </is>
      </c>
      <c r="D21340" t="inlineStr">
        <is>
          <t>Artdeco</t>
        </is>
      </c>
      <c r="E21340" t="n">
        <v>7.3</v>
      </c>
      <c r="F21340" t="n">
        <v>1</v>
      </c>
      <c r="G21340" t="n">
        <v>18</v>
      </c>
      <c r="H21340" s="5">
        <f>HYPERLINK("https://api.qogita.com/variants/link/4052136226409/", "View Product")</f>
        <v/>
      </c>
    </row>
    <row r="21341">
      <c r="A21341" t="inlineStr">
        <is>
          <t>4052199040950</t>
        </is>
      </c>
      <c r="B21341" t="inlineStr">
        <is>
          <t>Bel Set Of Round Makeup Remover Pads Cosmetic 3 X 84 Pieces</t>
        </is>
      </c>
      <c r="C21341" t="inlineStr">
        <is>
          <t>Makeup Remover</t>
        </is>
      </c>
      <c r="D21341" t="inlineStr">
        <is>
          <t>Bel</t>
        </is>
      </c>
      <c r="E21341" t="n">
        <v>4.57</v>
      </c>
      <c r="F21341" t="n">
        <v>1</v>
      </c>
      <c r="G21341" t="n">
        <v>8</v>
      </c>
      <c r="H21341" s="5">
        <f>HYPERLINK("https://api.qogita.com/variants/link/4052199040950/", "View Product")</f>
        <v/>
      </c>
    </row>
    <row r="21342">
      <c r="A21342" t="inlineStr">
        <is>
          <t>4052199624662</t>
        </is>
      </c>
      <c r="B21342" t="inlineStr">
        <is>
          <t>Bel Set Of Oval Makeup Remover Pads Premium 3 X 45 Pieces</t>
        </is>
      </c>
      <c r="C21342" t="inlineStr">
        <is>
          <t>Makeup Remover</t>
        </is>
      </c>
      <c r="D21342" t="inlineStr">
        <is>
          <t>Bel</t>
        </is>
      </c>
      <c r="E21342" t="n">
        <v>5.84</v>
      </c>
      <c r="F21342" t="n">
        <v>1</v>
      </c>
      <c r="G21342" t="n">
        <v>14</v>
      </c>
      <c r="H21342" s="5">
        <f>HYPERLINK("https://api.qogita.com/variants/link/4052199624662/", "View Product")</f>
        <v/>
      </c>
    </row>
    <row r="21343">
      <c r="A21343" t="inlineStr">
        <is>
          <t>4059729241733</t>
        </is>
      </c>
      <c r="B21343" t="inlineStr">
        <is>
          <t>essence Pure Nude Sunlighter Palette 4 Breathtaking Highlighter Shades Vegan Paraben Free Cruelty Free 1 Count</t>
        </is>
      </c>
      <c r="C21343" t="inlineStr">
        <is>
          <t>Highlighter</t>
        </is>
      </c>
      <c r="D21343" t="inlineStr">
        <is>
          <t>Essence</t>
        </is>
      </c>
      <c r="E21343" t="n">
        <v>2.61</v>
      </c>
      <c r="F21343" t="n">
        <v>1</v>
      </c>
      <c r="G21343" t="n">
        <v>23</v>
      </c>
      <c r="H21343" s="5">
        <f>HYPERLINK("https://api.qogita.com/variants/link/4059729241733/", "View Product")</f>
        <v/>
      </c>
    </row>
    <row r="21344">
      <c r="A21344" t="inlineStr">
        <is>
          <t>4059729255433</t>
        </is>
      </c>
      <c r="B21344" t="inlineStr">
        <is>
          <t>Essence Cosmetics Lashes To Impress 07 Artificial Eyelashes</t>
        </is>
      </c>
      <c r="C21344" t="inlineStr">
        <is>
          <t>False Eyelashes</t>
        </is>
      </c>
      <c r="D21344" t="inlineStr">
        <is>
          <t>Essence</t>
        </is>
      </c>
      <c r="E21344" t="n">
        <v>3.1</v>
      </c>
      <c r="F21344" t="n">
        <v>1</v>
      </c>
      <c r="G21344" t="n">
        <v>3</v>
      </c>
      <c r="H21344" s="5">
        <f>HYPERLINK("https://api.qogita.com/variants/link/4059729255433/", "View Product")</f>
        <v/>
      </c>
    </row>
    <row r="21345">
      <c r="A21345" t="inlineStr">
        <is>
          <t>4059729349156</t>
        </is>
      </c>
      <c r="B21345" t="inlineStr">
        <is>
          <t>Essence Cosmetics Gel Nail Colour Laquer 40 Isn't She Minty 8 Ml</t>
        </is>
      </c>
      <c r="C21345" t="inlineStr">
        <is>
          <t>Nail Polish</t>
        </is>
      </c>
      <c r="D21345" t="inlineStr">
        <is>
          <t>Essence</t>
        </is>
      </c>
      <c r="E21345" t="n">
        <v>2</v>
      </c>
      <c r="F21345" t="n">
        <v>1</v>
      </c>
      <c r="G21345" t="n">
        <v>2</v>
      </c>
      <c r="H21345" s="5">
        <f>HYPERLINK("https://api.qogita.com/variants/link/4059729349156/", "View Product")</f>
        <v/>
      </c>
    </row>
    <row r="21346">
      <c r="A21346" t="inlineStr">
        <is>
          <t>4059729360717</t>
        </is>
      </c>
      <c r="B21346" t="inlineStr">
        <is>
          <t>Hello Good Stuff! Glow Serum Primer Hydrating Gel Formula 30ml</t>
        </is>
      </c>
      <c r="C21346" t="inlineStr">
        <is>
          <t>Glow Serum</t>
        </is>
      </c>
      <c r="D21346" t="inlineStr">
        <is>
          <t>Hello Good Stuff!</t>
        </is>
      </c>
      <c r="E21346" t="n">
        <v>5.6</v>
      </c>
      <c r="F21346" t="n">
        <v>1</v>
      </c>
      <c r="G21346" t="n">
        <v>2</v>
      </c>
      <c r="H21346" s="5">
        <f>HYPERLINK("https://api.qogita.com/variants/link/4059729360717/", "View Product")</f>
        <v/>
      </c>
    </row>
    <row r="21347">
      <c r="A21347" t="inlineStr">
        <is>
          <t>4059729436627</t>
        </is>
      </c>
      <c r="B21347" t="inlineStr">
        <is>
          <t>Essence 3d Nail Jewels 02 Mirror Universe</t>
        </is>
      </c>
      <c r="C21347" t="inlineStr">
        <is>
          <t>Artificial Nails &amp; Nail Decoration</t>
        </is>
      </c>
      <c r="D21347" t="inlineStr">
        <is>
          <t>Essence</t>
        </is>
      </c>
      <c r="E21347" t="n">
        <v>1.67</v>
      </c>
      <c r="F21347" t="n">
        <v>1</v>
      </c>
      <c r="G21347" t="n">
        <v>2</v>
      </c>
      <c r="H21347" s="5">
        <f>HYPERLINK("https://api.qogita.com/variants/link/4059729436627/", "View Product")</f>
        <v/>
      </c>
    </row>
    <row r="21348">
      <c r="A21348" t="inlineStr">
        <is>
          <t>4059729490216</t>
        </is>
      </c>
      <c r="B21348" t="inlineStr">
        <is>
          <t>Essence 8 Hour Matte Comfort Lipliner 11 Chestnut Perfection - 1 Gram</t>
        </is>
      </c>
      <c r="C21348" t="inlineStr">
        <is>
          <t>Lip Liner</t>
        </is>
      </c>
      <c r="D21348" t="inlineStr">
        <is>
          <t>Essence</t>
        </is>
      </c>
      <c r="E21348" t="n">
        <v>3.37</v>
      </c>
      <c r="F21348" t="n">
        <v>1</v>
      </c>
      <c r="G21348" t="n">
        <v>2</v>
      </c>
      <c r="H21348" s="5">
        <f>HYPERLINK("https://api.qogita.com/variants/link/4059729490216/", "View Product")</f>
        <v/>
      </c>
    </row>
    <row r="21349">
      <c r="A21349" t="inlineStr">
        <is>
          <t>4059729518705</t>
        </is>
      </c>
      <c r="B21349" t="inlineStr">
        <is>
          <t>Essence Pearly Potion Multi-Reflective Lipgloss No. 01 Nude</t>
        </is>
      </c>
      <c r="C21349" t="inlineStr">
        <is>
          <t>Lip Gloss</t>
        </is>
      </c>
      <c r="D21349" t="inlineStr">
        <is>
          <t>Essence</t>
        </is>
      </c>
      <c r="E21349" t="n">
        <v>4.5</v>
      </c>
      <c r="F21349" t="n">
        <v>1</v>
      </c>
      <c r="G21349" t="n">
        <v>4</v>
      </c>
      <c r="H21349" s="5">
        <f>HYPERLINK("https://api.qogita.com/variants/link/4059729518705/", "View Product")</f>
        <v/>
      </c>
    </row>
    <row r="21350">
      <c r="A21350" t="inlineStr">
        <is>
          <t>4059729518866</t>
        </is>
      </c>
      <c r="B21350" t="inlineStr">
        <is>
          <t>Essence Cosmetics The Ultimate Hybrid Gel Top Coat - Transparent</t>
        </is>
      </c>
      <c r="C21350" t="inlineStr">
        <is>
          <t>Top Coat</t>
        </is>
      </c>
      <c r="D21350" t="inlineStr">
        <is>
          <t>Essence</t>
        </is>
      </c>
      <c r="E21350" t="n">
        <v>4.22</v>
      </c>
      <c r="F21350" t="n">
        <v>1</v>
      </c>
      <c r="G21350" t="n">
        <v>2</v>
      </c>
      <c r="H21350" s="5">
        <f>HYPERLINK("https://api.qogita.com/variants/link/4059729518866/", "View Product")</f>
        <v/>
      </c>
    </row>
    <row r="21351">
      <c r="A21351" t="inlineStr">
        <is>
          <t>4059729518941</t>
        </is>
      </c>
      <c r="B21351" t="inlineStr">
        <is>
          <t>Essence Mini Nail Polish Glossy Jelly 02</t>
        </is>
      </c>
      <c r="C21351" t="inlineStr">
        <is>
          <t>Nail Polish</t>
        </is>
      </c>
      <c r="D21351" t="inlineStr">
        <is>
          <t>Essence</t>
        </is>
      </c>
      <c r="E21351" t="n">
        <v>2.79</v>
      </c>
      <c r="F21351" t="n">
        <v>1</v>
      </c>
      <c r="G21351" t="n">
        <v>2</v>
      </c>
      <c r="H21351" s="5">
        <f>HYPERLINK("https://api.qogita.com/variants/link/4059729518941/", "View Product")</f>
        <v/>
      </c>
    </row>
    <row r="21352">
      <c r="A21352" t="inlineStr">
        <is>
          <t>4063528000736</t>
        </is>
      </c>
      <c r="B21352" t="inlineStr">
        <is>
          <t>Hairhalo Rosie Fortescue Hairband With Crystals Trendy Treasure</t>
        </is>
      </c>
      <c r="C21352" t="inlineStr">
        <is>
          <t>Headbands</t>
        </is>
      </c>
      <c r="D21352" t="inlineStr">
        <is>
          <t>Hairhalo</t>
        </is>
      </c>
      <c r="E21352" t="n">
        <v>11.26</v>
      </c>
      <c r="F21352" t="n">
        <v>1</v>
      </c>
      <c r="G21352" t="n">
        <v>3</v>
      </c>
      <c r="H21352" s="5">
        <f>HYPERLINK("https://api.qogita.com/variants/link/4063528000736/", "View Product")</f>
        <v/>
      </c>
    </row>
    <row r="21353">
      <c r="A21353" t="inlineStr">
        <is>
          <t>4063528004406</t>
        </is>
      </c>
      <c r="B21353" t="inlineStr">
        <is>
          <t>Invisibobble Wrapstar Flores &amp; Bloom Hair Ring</t>
        </is>
      </c>
      <c r="C21353" t="inlineStr">
        <is>
          <t>Hair Elastics</t>
        </is>
      </c>
      <c r="D21353" t="inlineStr">
        <is>
          <t>Invisibobble</t>
        </is>
      </c>
      <c r="E21353" t="n">
        <v>7.86</v>
      </c>
      <c r="F21353" t="n">
        <v>1</v>
      </c>
      <c r="G21353" t="n">
        <v>7</v>
      </c>
      <c r="H21353" s="5">
        <f>HYPERLINK("https://api.qogita.com/variants/link/4063528004406/", "View Product")</f>
        <v/>
      </c>
    </row>
    <row r="21354">
      <c r="A21354" t="inlineStr">
        <is>
          <t>4063528008909</t>
        </is>
      </c>
      <c r="B21354" t="inlineStr">
        <is>
          <t>Foamie Body Bar Kiss Me Argan 80g</t>
        </is>
      </c>
      <c r="C21354" t="inlineStr">
        <is>
          <t>Soap</t>
        </is>
      </c>
      <c r="D21354" t="inlineStr">
        <is>
          <t>Foamie</t>
        </is>
      </c>
      <c r="E21354" t="n">
        <v>5.01</v>
      </c>
      <c r="F21354" t="n">
        <v>1</v>
      </c>
      <c r="G21354" t="n">
        <v>11</v>
      </c>
      <c r="H21354" s="5">
        <f>HYPERLINK("https://api.qogita.com/variants/link/4063528008909/", "View Product")</f>
        <v/>
      </c>
    </row>
    <row r="21355">
      <c r="A21355" t="inlineStr">
        <is>
          <t>4063528013996</t>
        </is>
      </c>
      <c r="B21355" t="inlineStr">
        <is>
          <t>FOAMIE Berry Dry Shampoo for Blonde Hair - Softener-Free, pH-Balanced, Soap-Free, Sulfate-Free, or Paraben-Free Made in the UK Beige</t>
        </is>
      </c>
      <c r="C21355" t="inlineStr">
        <is>
          <t>Dry Shampoo</t>
        </is>
      </c>
      <c r="D21355" t="inlineStr">
        <is>
          <t>Foamie</t>
        </is>
      </c>
      <c r="E21355" t="n">
        <v>5.31</v>
      </c>
      <c r="F21355" t="n">
        <v>1</v>
      </c>
      <c r="G21355" t="n">
        <v>29</v>
      </c>
      <c r="H21355" s="5">
        <f>HYPERLINK("https://api.qogita.com/variants/link/4063528013996/", "View Product")</f>
        <v/>
      </c>
    </row>
    <row r="21356">
      <c r="A21356" t="inlineStr">
        <is>
          <t>4063528017826</t>
        </is>
      </c>
      <c r="B21356" t="inlineStr">
        <is>
          <t>Foamie Seas The Day Shower Body Bar 3 In 1</t>
        </is>
      </c>
      <c r="C21356" t="inlineStr">
        <is>
          <t>Soap</t>
        </is>
      </c>
      <c r="D21356" t="inlineStr">
        <is>
          <t>Foamie</t>
        </is>
      </c>
      <c r="E21356" t="n">
        <v>5.31</v>
      </c>
      <c r="F21356" t="n">
        <v>1</v>
      </c>
      <c r="G21356" t="n">
        <v>11</v>
      </c>
      <c r="H21356" s="5">
        <f>HYPERLINK("https://api.qogita.com/variants/link/4063528017826/", "View Product")</f>
        <v/>
      </c>
    </row>
    <row r="21357">
      <c r="A21357" t="inlineStr">
        <is>
          <t>4063528027504</t>
        </is>
      </c>
      <c r="B21357" t="inlineStr">
        <is>
          <t>Invisibobble Retro Dreamin' Pastel Scrunchie Hair Tie Set 3 Pack for Girls and Women - Pink and Colorful Scrunchies - Designed in the Heart of Munich</t>
        </is>
      </c>
      <c r="C21357" t="inlineStr">
        <is>
          <t>Hair Elastics</t>
        </is>
      </c>
      <c r="D21357" t="inlineStr">
        <is>
          <t>Invisibobble</t>
        </is>
      </c>
      <c r="E21357" t="n">
        <v>4</v>
      </c>
      <c r="F21357" t="n">
        <v>1</v>
      </c>
      <c r="G21357" t="n">
        <v>5</v>
      </c>
      <c r="H21357" s="5">
        <f>HYPERLINK("https://api.qogita.com/variants/link/4063528027504/", "View Product")</f>
        <v/>
      </c>
    </row>
    <row r="21358">
      <c r="A21358" t="inlineStr">
        <is>
          <t>4063528047526</t>
        </is>
      </c>
      <c r="B21358" t="inlineStr">
        <is>
          <t>Natucain Hair Activator Serum Hair Tonic Spray To Support Hair Growth 200 Ml</t>
        </is>
      </c>
      <c r="C21358" t="inlineStr">
        <is>
          <t>Hair Tonic</t>
        </is>
      </c>
      <c r="D21358" t="inlineStr">
        <is>
          <t>Natucain</t>
        </is>
      </c>
      <c r="E21358" t="n">
        <v>94.42</v>
      </c>
      <c r="F21358" t="n">
        <v>1</v>
      </c>
      <c r="G21358" t="n">
        <v>2</v>
      </c>
      <c r="H21358" s="5">
        <f>HYPERLINK("https://api.qogita.com/variants/link/4063528047526/", "View Product")</f>
        <v/>
      </c>
    </row>
    <row r="21359">
      <c r="A21359" t="inlineStr">
        <is>
          <t>4063528047564</t>
        </is>
      </c>
      <c r="B21359" t="inlineStr">
        <is>
          <t>Natucain Lash Growth Serum Increases Lash Length Up to 52% 100% Natural Origin First Results in 6-8 Weeks Lasts Up to 3 Months</t>
        </is>
      </c>
      <c r="C21359" t="inlineStr">
        <is>
          <t>Eyelash Serum &amp; Eyebrow Serum</t>
        </is>
      </c>
      <c r="D21359" t="inlineStr">
        <is>
          <t>Natucain</t>
        </is>
      </c>
      <c r="E21359" t="n">
        <v>49.2</v>
      </c>
      <c r="F21359" t="n">
        <v>1</v>
      </c>
      <c r="G21359" t="n">
        <v>3</v>
      </c>
      <c r="H21359" s="5">
        <f>HYPERLINK("https://api.qogita.com/variants/link/4063528047564/", "View Product")</f>
        <v/>
      </c>
    </row>
    <row r="21360">
      <c r="A21360" t="inlineStr">
        <is>
          <t>4063528051523</t>
        </is>
      </c>
      <c r="B21360" t="inlineStr">
        <is>
          <t>Foamie Face Buddy Storage Box with Lid for Solid Face Cream - Cosmetic Organizer and Travel Gadget - Sustainable and Reusable</t>
        </is>
      </c>
      <c r="C21360" t="inlineStr">
        <is>
          <t>Facial Cleansing Tools</t>
        </is>
      </c>
      <c r="D21360" t="inlineStr">
        <is>
          <t>Foamie</t>
        </is>
      </c>
      <c r="E21360" t="n">
        <v>6.67</v>
      </c>
      <c r="F21360" t="n">
        <v>1</v>
      </c>
      <c r="G21360" t="n">
        <v>5</v>
      </c>
      <c r="H21360" s="5">
        <f>HYPERLINK("https://api.qogita.com/variants/link/4063528051523/", "View Product")</f>
        <v/>
      </c>
    </row>
    <row r="21361">
      <c r="A21361" t="inlineStr">
        <is>
          <t>4063528058737</t>
        </is>
      </c>
      <c r="B21361" t="inlineStr">
        <is>
          <t>Invisibobble Earth Sprunchie Recycled Scrunchie Strong Hold All Day Long 1 pc</t>
        </is>
      </c>
      <c r="C21361" t="inlineStr">
        <is>
          <t>Hair Elastics</t>
        </is>
      </c>
      <c r="D21361" t="inlineStr">
        <is>
          <t>Invisibobble</t>
        </is>
      </c>
      <c r="E21361" t="n">
        <v>5.23</v>
      </c>
      <c r="F21361" t="n">
        <v>1</v>
      </c>
      <c r="G21361" t="n">
        <v>19</v>
      </c>
      <c r="H21361" s="5">
        <f>HYPERLINK("https://api.qogita.com/variants/link/4063528058737/", "View Product")</f>
        <v/>
      </c>
    </row>
    <row r="21362">
      <c r="A21362" t="inlineStr">
        <is>
          <t>4063528060853</t>
        </is>
      </c>
      <c r="B21362" t="inlineStr">
        <is>
          <t>invisibobble Kids Too Good to be Blue Scrunchie and Spiral Hair Tie for Kids Maximum Hold Gentle on Hair Girls Hair Tie</t>
        </is>
      </c>
      <c r="C21362" t="inlineStr">
        <is>
          <t>Hair Elastics</t>
        </is>
      </c>
      <c r="D21362" t="inlineStr">
        <is>
          <t>Invisibobble</t>
        </is>
      </c>
      <c r="E21362" t="n">
        <v>5.64</v>
      </c>
      <c r="F21362" t="n">
        <v>1</v>
      </c>
      <c r="G21362" t="n">
        <v>4</v>
      </c>
      <c r="H21362" s="5">
        <f>HYPERLINK("https://api.qogita.com/variants/link/4063528060853/", "View Product")</f>
        <v/>
      </c>
    </row>
    <row r="21363">
      <c r="A21363" t="inlineStr">
        <is>
          <t>4063528060884</t>
        </is>
      </c>
      <c r="B21363" t="inlineStr">
        <is>
          <t>Invisibobble Kids Puppy Love Colourful Scrunchie &amp; Spiral Hair Scrunchie for Children Maximum Hold Gentle on Hair Girls Hair Scrunchie</t>
        </is>
      </c>
      <c r="C21363" t="inlineStr">
        <is>
          <t>Hair Elastics</t>
        </is>
      </c>
      <c r="D21363" t="inlineStr">
        <is>
          <t>Invisibobble</t>
        </is>
      </c>
      <c r="E21363" t="n">
        <v>6.3</v>
      </c>
      <c r="F21363" t="n">
        <v>1</v>
      </c>
      <c r="G21363" t="n">
        <v>2</v>
      </c>
      <c r="H21363" s="5">
        <f>HYPERLINK("https://api.qogita.com/variants/link/4063528060884/", "View Product")</f>
        <v/>
      </c>
    </row>
    <row r="21364">
      <c r="A21364" t="inlineStr">
        <is>
          <t>4063528061614</t>
        </is>
      </c>
      <c r="B21364" t="inlineStr">
        <is>
          <t>Invisibobble Sprunchie Mystica Merry For Love 2 Pcs Hair Elastic</t>
        </is>
      </c>
      <c r="C21364" t="inlineStr">
        <is>
          <t>Hair Elastics</t>
        </is>
      </c>
      <c r="D21364" t="inlineStr">
        <is>
          <t>Invisibobble</t>
        </is>
      </c>
      <c r="E21364" t="n">
        <v>8.51</v>
      </c>
      <c r="F21364" t="n">
        <v>1</v>
      </c>
      <c r="G21364" t="n">
        <v>5</v>
      </c>
      <c r="H21364" s="5">
        <f>HYPERLINK("https://api.qogita.com/variants/link/4063528061614/", "View Product")</f>
        <v/>
      </c>
    </row>
    <row r="21365">
      <c r="A21365" t="inlineStr">
        <is>
          <t>4063528062321</t>
        </is>
      </c>
      <c r="B21365" t="inlineStr">
        <is>
          <t>Revitalizing Hair Mask 200 ml</t>
        </is>
      </c>
      <c r="C21365" t="inlineStr">
        <is>
          <t>Hair Masks</t>
        </is>
      </c>
      <c r="D21365" t="inlineStr">
        <is>
          <t>Natucain</t>
        </is>
      </c>
      <c r="E21365" t="n">
        <v>20.48</v>
      </c>
      <c r="F21365" t="n">
        <v>1</v>
      </c>
      <c r="G21365" t="n">
        <v>2</v>
      </c>
      <c r="H21365" s="5">
        <f>HYPERLINK("https://api.qogita.com/variants/link/4063528062321/", "View Product")</f>
        <v/>
      </c>
    </row>
    <row r="21366">
      <c r="A21366" t="inlineStr">
        <is>
          <t>4063528063212</t>
        </is>
      </c>
      <c r="B21366" t="inlineStr">
        <is>
          <t>Invisibobble Sprunchie Slim Bella Chrome 2 Pieces</t>
        </is>
      </c>
      <c r="C21366" t="inlineStr">
        <is>
          <t>Hair Elastics</t>
        </is>
      </c>
      <c r="D21366" t="inlineStr">
        <is>
          <t>Invisibobble</t>
        </is>
      </c>
      <c r="E21366" t="n">
        <v>7.23</v>
      </c>
      <c r="F21366" t="n">
        <v>1</v>
      </c>
      <c r="G21366" t="n">
        <v>3</v>
      </c>
      <c r="H21366" s="5">
        <f>HYPERLINK("https://api.qogita.com/variants/link/4063528063212/", "View Product")</f>
        <v/>
      </c>
    </row>
    <row r="21367">
      <c r="A21367" t="inlineStr">
        <is>
          <t>4063528064516</t>
        </is>
      </c>
      <c r="B21367" t="inlineStr">
        <is>
          <t>Invisibobble Kids Disney Original Tiana Pack 6 Hair Bands</t>
        </is>
      </c>
      <c r="C21367" t="inlineStr">
        <is>
          <t>Hair Elastics</t>
        </is>
      </c>
      <c r="D21367" t="inlineStr">
        <is>
          <t>Invisibobble</t>
        </is>
      </c>
      <c r="E21367" t="n">
        <v>6.96</v>
      </c>
      <c r="F21367" t="n">
        <v>1</v>
      </c>
      <c r="G21367" t="n">
        <v>4</v>
      </c>
      <c r="H21367" s="5">
        <f>HYPERLINK("https://api.qogita.com/variants/link/4063528064516/", "View Product")</f>
        <v/>
      </c>
    </row>
    <row r="21368">
      <c r="A21368" t="inlineStr">
        <is>
          <t>4063528067104</t>
        </is>
      </c>
      <c r="B21368" t="inlineStr">
        <is>
          <t>Slim Premium Bronze Hair Elastic Set of 3, from Me Pretty</t>
        </is>
      </c>
      <c r="C21368" t="inlineStr">
        <is>
          <t>Hair Elastics</t>
        </is>
      </c>
      <c r="D21368" t="inlineStr">
        <is>
          <t>Invisibobble</t>
        </is>
      </c>
      <c r="E21368" t="n">
        <v>5.71</v>
      </c>
      <c r="F21368" t="n">
        <v>1</v>
      </c>
      <c r="G21368" t="n">
        <v>5</v>
      </c>
      <c r="H21368" s="5">
        <f>HYPERLINK("https://api.qogita.com/variants/link/4063528067104/", "View Product")</f>
        <v/>
      </c>
    </row>
    <row r="21369">
      <c r="A21369" t="inlineStr">
        <is>
          <t>4063528067753</t>
        </is>
      </c>
      <c r="B21369" t="inlineStr">
        <is>
          <t>Foamie Beach Please Shower Body Bar 80 G</t>
        </is>
      </c>
      <c r="C21369" t="inlineStr">
        <is>
          <t>Soap</t>
        </is>
      </c>
      <c r="D21369" t="inlineStr">
        <is>
          <t>Foamie</t>
        </is>
      </c>
      <c r="E21369" t="n">
        <v>5.01</v>
      </c>
      <c r="F21369" t="n">
        <v>1</v>
      </c>
      <c r="G21369" t="n">
        <v>8</v>
      </c>
      <c r="H21369" s="5">
        <f>HYPERLINK("https://api.qogita.com/variants/link/4063528067753/", "View Product")</f>
        <v/>
      </c>
    </row>
    <row r="21370">
      <c r="A21370" t="inlineStr">
        <is>
          <t>4063528069788</t>
        </is>
      </c>
      <c r="B21370" t="inlineStr">
        <is>
          <t>Invisibobble Modern Beauty Hair Accessory Gift Set</t>
        </is>
      </c>
      <c r="C21370" t="inlineStr">
        <is>
          <t>Hair Elastics</t>
        </is>
      </c>
      <c r="D21370" t="inlineStr">
        <is>
          <t>Invisibobble</t>
        </is>
      </c>
      <c r="E21370" t="n">
        <v>12.26</v>
      </c>
      <c r="F21370" t="n">
        <v>1</v>
      </c>
      <c r="G21370" t="n">
        <v>13</v>
      </c>
      <c r="H21370" s="5">
        <f>HYPERLINK("https://api.qogita.com/variants/link/4063528069788/", "View Product")</f>
        <v/>
      </c>
    </row>
    <row r="21371">
      <c r="A21371" t="inlineStr">
        <is>
          <t>4063528069917</t>
        </is>
      </c>
      <c r="B21371" t="inlineStr">
        <is>
          <t>Star Papaya Body Care Gift Set</t>
        </is>
      </c>
      <c r="C21371" t="inlineStr">
        <is>
          <t>Body Care Sets</t>
        </is>
      </c>
      <c r="D21371" t="inlineStr">
        <is>
          <t>Foamie</t>
        </is>
      </c>
      <c r="E21371" t="n">
        <v>3.8</v>
      </c>
      <c r="F21371" t="n">
        <v>1</v>
      </c>
      <c r="G21371" t="n">
        <v>35</v>
      </c>
      <c r="H21371" s="5">
        <f>HYPERLINK("https://api.qogita.com/variants/link/4063528069917/", "View Product")</f>
        <v/>
      </c>
    </row>
    <row r="21372">
      <c r="A21372" t="inlineStr">
        <is>
          <t>4063528070999</t>
        </is>
      </c>
      <c r="B21372" t="inlineStr">
        <is>
          <t>invisibobble Hairhalo Roarsome Fascia</t>
        </is>
      </c>
      <c r="C21372" t="inlineStr">
        <is>
          <t>Hair Elastics</t>
        </is>
      </c>
      <c r="D21372" t="inlineStr">
        <is>
          <t>Invisibobble</t>
        </is>
      </c>
      <c r="E21372" t="n">
        <v>8.18</v>
      </c>
      <c r="F21372" t="n">
        <v>1</v>
      </c>
      <c r="G21372" t="n">
        <v>5</v>
      </c>
      <c r="H21372" s="5">
        <f>HYPERLINK("https://api.qogita.com/variants/link/4063528070999/", "View Product")</f>
        <v/>
      </c>
    </row>
    <row r="21373">
      <c r="A21373" t="inlineStr">
        <is>
          <t>4063528071200</t>
        </is>
      </c>
      <c r="B21373" t="inlineStr">
        <is>
          <t>Invisibobble Power Crystal Clear Hair Ties 3 Pcs</t>
        </is>
      </c>
      <c r="C21373" t="inlineStr">
        <is>
          <t>Hair Elastics</t>
        </is>
      </c>
      <c r="D21373" t="inlineStr">
        <is>
          <t>Invisibobble</t>
        </is>
      </c>
      <c r="E21373" t="n">
        <v>8.18</v>
      </c>
      <c r="F21373" t="n">
        <v>1</v>
      </c>
      <c r="G21373" t="n">
        <v>3</v>
      </c>
      <c r="H21373" s="5">
        <f>HYPERLINK("https://api.qogita.com/variants/link/4063528071200/", "View Product")</f>
        <v/>
      </c>
    </row>
    <row r="21374">
      <c r="A21374" t="inlineStr">
        <is>
          <t>4063528071323</t>
        </is>
      </c>
      <c r="B21374" t="inlineStr">
        <is>
          <t>Invisibobble Hair Clip Clipstar Clawdia Tortoise Large Hair Clamp Strong Hold &amp; Elegant Design</t>
        </is>
      </c>
      <c r="C21374" t="inlineStr">
        <is>
          <t>Hair Clips &amp; Hair Clamps</t>
        </is>
      </c>
      <c r="D21374" t="inlineStr">
        <is>
          <t>Invisibobble</t>
        </is>
      </c>
      <c r="E21374" t="n">
        <v>7.6</v>
      </c>
      <c r="F21374" t="n">
        <v>1</v>
      </c>
      <c r="G21374" t="n">
        <v>2</v>
      </c>
      <c r="H21374" s="5">
        <f>HYPERLINK("https://api.qogita.com/variants/link/4063528071323/", "View Product")</f>
        <v/>
      </c>
    </row>
    <row r="21375">
      <c r="A21375" t="inlineStr">
        <is>
          <t>4063528072030</t>
        </is>
      </c>
      <c r="B21375" t="inlineStr">
        <is>
          <t>Invisibobble Ecotie Black 5 Units</t>
        </is>
      </c>
      <c r="C21375" t="inlineStr">
        <is>
          <t>Hair Elastics</t>
        </is>
      </c>
      <c r="D21375" t="inlineStr">
        <is>
          <t>Invisibobble</t>
        </is>
      </c>
      <c r="E21375" t="n">
        <v>5.71</v>
      </c>
      <c r="F21375" t="n">
        <v>1</v>
      </c>
      <c r="G21375" t="n">
        <v>5</v>
      </c>
      <c r="H21375" s="5">
        <f>HYPERLINK("https://api.qogita.com/variants/link/4063528072030/", "View Product")</f>
        <v/>
      </c>
    </row>
    <row r="21376">
      <c r="A21376" t="inlineStr">
        <is>
          <t>4063528072511</t>
        </is>
      </c>
      <c r="B21376" t="inlineStr">
        <is>
          <t>INVISIBOBBLE BANDEAU Azure Hair Band - Fashion and Functionality Combined</t>
        </is>
      </c>
      <c r="C21376" t="inlineStr">
        <is>
          <t>Headbands</t>
        </is>
      </c>
      <c r="D21376" t="inlineStr">
        <is>
          <t>Invisibobble</t>
        </is>
      </c>
      <c r="E21376" t="n">
        <v>8.18</v>
      </c>
      <c r="F21376" t="n">
        <v>1</v>
      </c>
      <c r="G21376" t="n">
        <v>3</v>
      </c>
      <c r="H21376" s="5">
        <f>HYPERLINK("https://api.qogita.com/variants/link/4063528072511/", "View Product")</f>
        <v/>
      </c>
    </row>
    <row r="21377">
      <c r="A21377" t="inlineStr">
        <is>
          <t>4063528073181</t>
        </is>
      </c>
      <c r="B21377" t="inlineStr">
        <is>
          <t>Invisibobble Set Of Hair Accessories Apres Ski Date Night 3 Pieces</t>
        </is>
      </c>
      <c r="C21377" t="inlineStr">
        <is>
          <t>Hair Accessories</t>
        </is>
      </c>
      <c r="D21377" t="inlineStr">
        <is>
          <t>Invisibobble</t>
        </is>
      </c>
      <c r="E21377" t="n">
        <v>7.23</v>
      </c>
      <c r="F21377" t="n">
        <v>1</v>
      </c>
      <c r="G21377" t="n">
        <v>5</v>
      </c>
      <c r="H21377" s="5">
        <f>HYPERLINK("https://api.qogita.com/variants/link/4063528073181/", "View Product")</f>
        <v/>
      </c>
    </row>
    <row r="21378">
      <c r="A21378" t="inlineStr">
        <is>
          <t>4063528078223</t>
        </is>
      </c>
      <c r="B21378" t="inlineStr">
        <is>
          <t>NEQI Repair Reveal Conditioner Repairs Deep Hair Damage Sulfate-Free Professional Care at Home 250ml</t>
        </is>
      </c>
      <c r="C21378" t="inlineStr">
        <is>
          <t>Conditioner</t>
        </is>
      </c>
      <c r="D21378" t="inlineStr">
        <is>
          <t>Neqi</t>
        </is>
      </c>
      <c r="E21378" t="n">
        <v>8.710000000000001</v>
      </c>
      <c r="F21378" t="n">
        <v>1</v>
      </c>
      <c r="G21378" t="n">
        <v>3</v>
      </c>
      <c r="H21378" s="5">
        <f>HYPERLINK("https://api.qogita.com/variants/link/4063528078223/", "View Product")</f>
        <v/>
      </c>
    </row>
    <row r="21379">
      <c r="A21379" t="inlineStr">
        <is>
          <t>4063528078285</t>
        </is>
      </c>
      <c r="B21379" t="inlineStr">
        <is>
          <t>NEQI Moisture Mystery Shampoo Deep Moisturizing for Dry and Brittle Hair Professional Care at Home 330ml</t>
        </is>
      </c>
      <c r="C21379" t="inlineStr">
        <is>
          <t>Shampoo</t>
        </is>
      </c>
      <c r="D21379" t="inlineStr">
        <is>
          <t>Neqi</t>
        </is>
      </c>
      <c r="E21379" t="n">
        <v>8.710000000000001</v>
      </c>
      <c r="F21379" t="n">
        <v>1</v>
      </c>
      <c r="G21379" t="n">
        <v>5</v>
      </c>
      <c r="H21379" s="5">
        <f>HYPERLINK("https://api.qogita.com/variants/link/4063528078285/", "View Product")</f>
        <v/>
      </c>
    </row>
    <row r="21380">
      <c r="A21380" t="inlineStr">
        <is>
          <t>4063528078315</t>
        </is>
      </c>
      <c r="B21380" t="inlineStr">
        <is>
          <t>NEQI Moisture Mystery Conditioner Deep Moisturizing for Dry and Brittle Hair Professional Care at Home 250ml</t>
        </is>
      </c>
      <c r="C21380" t="inlineStr">
        <is>
          <t>Conditioner</t>
        </is>
      </c>
      <c r="D21380" t="inlineStr">
        <is>
          <t>Neqi</t>
        </is>
      </c>
      <c r="E21380" t="n">
        <v>8.710000000000001</v>
      </c>
      <c r="F21380" t="n">
        <v>1</v>
      </c>
      <c r="G21380" t="n">
        <v>8</v>
      </c>
      <c r="H21380" s="5">
        <f>HYPERLINK("https://api.qogita.com/variants/link/4063528078315/", "View Product")</f>
        <v/>
      </c>
    </row>
    <row r="21381">
      <c r="A21381" t="inlineStr">
        <is>
          <t>4063528078438</t>
        </is>
      </c>
      <c r="B21381" t="inlineStr">
        <is>
          <t>Neqi Volume Victory Styling Mousse - 150 Ml</t>
        </is>
      </c>
      <c r="C21381" t="inlineStr">
        <is>
          <t>Mousse</t>
        </is>
      </c>
      <c r="D21381" t="inlineStr">
        <is>
          <t>Neqi</t>
        </is>
      </c>
      <c r="E21381" t="n">
        <v>8.710000000000001</v>
      </c>
      <c r="F21381" t="n">
        <v>1</v>
      </c>
      <c r="G21381" t="n">
        <v>4</v>
      </c>
      <c r="H21381" s="5">
        <f>HYPERLINK("https://api.qogita.com/variants/link/4063528078438/", "View Product")</f>
        <v/>
      </c>
    </row>
    <row r="21382">
      <c r="A21382" t="inlineStr">
        <is>
          <t>4063528078469</t>
        </is>
      </c>
      <c r="B21382" t="inlineStr">
        <is>
          <t>NEQI Treatment Treasure Diamond Glass Spray for All Hair Types 180ml</t>
        </is>
      </c>
      <c r="C21382" t="inlineStr">
        <is>
          <t>Hair Oil &amp; Hair Serum</t>
        </is>
      </c>
      <c r="D21382" t="inlineStr">
        <is>
          <t>Neqi</t>
        </is>
      </c>
      <c r="E21382" t="n">
        <v>8.710000000000001</v>
      </c>
      <c r="F21382" t="n">
        <v>1</v>
      </c>
      <c r="G21382" t="n">
        <v>29</v>
      </c>
      <c r="H21382" s="5">
        <f>HYPERLINK("https://api.qogita.com/variants/link/4063528078469/", "View Product")</f>
        <v/>
      </c>
    </row>
    <row r="21383">
      <c r="A21383" t="inlineStr">
        <is>
          <t>4063528078490</t>
        </is>
      </c>
      <c r="B21383" t="inlineStr">
        <is>
          <t>NEQI Treatment Treasure Diamond Glass Spray for Curly Hair 180ml</t>
        </is>
      </c>
      <c r="C21383" t="inlineStr">
        <is>
          <t>Hair Oil &amp; Hair Serum</t>
        </is>
      </c>
      <c r="D21383" t="inlineStr">
        <is>
          <t>Neqi</t>
        </is>
      </c>
      <c r="E21383" t="n">
        <v>8.710000000000001</v>
      </c>
      <c r="F21383" t="n">
        <v>1</v>
      </c>
      <c r="G21383" t="n">
        <v>9</v>
      </c>
      <c r="H21383" s="5">
        <f>HYPERLINK("https://api.qogita.com/variants/link/4063528078490/", "View Product")</f>
        <v/>
      </c>
    </row>
    <row r="21384">
      <c r="A21384" t="inlineStr">
        <is>
          <t>4063528078612</t>
        </is>
      </c>
      <c r="B21384" t="inlineStr">
        <is>
          <t>Invisibobble Extra Shine Hairspray with Instant Shine and UV Protection</t>
        </is>
      </c>
      <c r="C21384" t="inlineStr">
        <is>
          <t>Hairspray</t>
        </is>
      </c>
      <c r="D21384" t="inlineStr">
        <is>
          <t>Invisibobble</t>
        </is>
      </c>
      <c r="E21384" t="n">
        <v>5.84</v>
      </c>
      <c r="F21384" t="n">
        <v>1</v>
      </c>
      <c r="G21384" t="n">
        <v>9</v>
      </c>
      <c r="H21384" s="5">
        <f>HYPERLINK("https://api.qogita.com/variants/link/4063528078612/", "View Product")</f>
        <v/>
      </c>
    </row>
    <row r="21385">
      <c r="A21385" t="inlineStr">
        <is>
          <t>4063528079275</t>
        </is>
      </c>
      <c r="B21385" t="inlineStr">
        <is>
          <t>invisibobble Everclaw Hair Clip 1 piece</t>
        </is>
      </c>
      <c r="C21385" t="inlineStr">
        <is>
          <t>Hair Clips &amp; Hair Clamps</t>
        </is>
      </c>
      <c r="D21385" t="inlineStr">
        <is>
          <t>Invisibobble</t>
        </is>
      </c>
      <c r="E21385" t="n">
        <v>5.71</v>
      </c>
      <c r="F21385" t="n">
        <v>1</v>
      </c>
      <c r="G21385" t="n">
        <v>6</v>
      </c>
      <c r="H21385" s="5">
        <f>HYPERLINK("https://api.qogita.com/variants/link/4063528079275/", "View Product")</f>
        <v/>
      </c>
    </row>
    <row r="21386">
      <c r="A21386" t="inlineStr">
        <is>
          <t>4063528080516</t>
        </is>
      </c>
      <c r="B21386" t="inlineStr">
        <is>
          <t>Invisibobble Cozy Wrap Hair Towel</t>
        </is>
      </c>
      <c r="C21386" t="inlineStr">
        <is>
          <t>Hair Accessories</t>
        </is>
      </c>
      <c r="D21386" t="inlineStr">
        <is>
          <t>Invisibobble</t>
        </is>
      </c>
      <c r="E21386" t="n">
        <v>11.56</v>
      </c>
      <c r="F21386" t="n">
        <v>1</v>
      </c>
      <c r="G21386" t="n">
        <v>11</v>
      </c>
      <c r="H21386" s="5">
        <f>HYPERLINK("https://api.qogita.com/variants/link/4063528080516/", "View Product")</f>
        <v/>
      </c>
    </row>
    <row r="21387">
      <c r="A21387" t="inlineStr">
        <is>
          <t>4063528080981</t>
        </is>
      </c>
      <c r="B21387" t="inlineStr">
        <is>
          <t>Invisibobble Volumize Me Curling Iron Set with Hairlovetech</t>
        </is>
      </c>
      <c r="C21387" t="inlineStr">
        <is>
          <t>Curling Sets</t>
        </is>
      </c>
      <c r="D21387" t="inlineStr">
        <is>
          <t>Invisibobble</t>
        </is>
      </c>
      <c r="E21387" t="n">
        <v>15.39</v>
      </c>
      <c r="F21387" t="n">
        <v>1</v>
      </c>
      <c r="G21387" t="n">
        <v>16</v>
      </c>
      <c r="H21387" s="5">
        <f>HYPERLINK("https://api.qogita.com/variants/link/4063528080981/", "View Product")</f>
        <v/>
      </c>
    </row>
    <row r="21388">
      <c r="A21388" t="inlineStr">
        <is>
          <t>4063528082749</t>
        </is>
      </c>
      <c r="B21388" t="inlineStr">
        <is>
          <t>Invisibobble Snap Clip Kids Happy Sky - Pack of 2</t>
        </is>
      </c>
      <c r="C21388" t="inlineStr">
        <is>
          <t>Hair Clips &amp; Hair Clamps</t>
        </is>
      </c>
      <c r="D21388" t="inlineStr">
        <is>
          <t>Invisibobble</t>
        </is>
      </c>
      <c r="E21388" t="n">
        <v>3.2</v>
      </c>
      <c r="F21388" t="n">
        <v>1</v>
      </c>
      <c r="G21388" t="n">
        <v>9</v>
      </c>
      <c r="H21388" s="5">
        <f>HYPERLINK("https://api.qogita.com/variants/link/4063528082749/", "View Product")</f>
        <v/>
      </c>
    </row>
    <row r="21389">
      <c r="A21389" t="inlineStr">
        <is>
          <t>4063528082862</t>
        </is>
      </c>
      <c r="B21389" t="inlineStr">
        <is>
          <t>Invisibobble Hair Clip Clipstar Frutti Avocado - 2 Pieces</t>
        </is>
      </c>
      <c r="C21389" t="inlineStr">
        <is>
          <t>Hair Clips &amp; Hair Clamps</t>
        </is>
      </c>
      <c r="D21389" t="inlineStr">
        <is>
          <t>Invisibobble</t>
        </is>
      </c>
      <c r="E21389" t="n">
        <v>3.2</v>
      </c>
      <c r="F21389" t="n">
        <v>1</v>
      </c>
      <c r="G21389" t="n">
        <v>7</v>
      </c>
      <c r="H21389" s="5">
        <f>HYPERLINK("https://api.qogita.com/variants/link/4063528082862/", "View Product")</f>
        <v/>
      </c>
    </row>
    <row r="21390">
      <c r="A21390" t="inlineStr">
        <is>
          <t>4063528083463</t>
        </is>
      </c>
      <c r="B21390" t="inlineStr">
        <is>
          <t>Invisibobble Clipstar Xl Pure Pearlfection Hair Clip</t>
        </is>
      </c>
      <c r="C21390" t="inlineStr">
        <is>
          <t>Hair Clips &amp; Hair Clamps</t>
        </is>
      </c>
      <c r="D21390" t="inlineStr">
        <is>
          <t>Invisibobble</t>
        </is>
      </c>
      <c r="E21390" t="n">
        <v>8.82</v>
      </c>
      <c r="F21390" t="n">
        <v>1</v>
      </c>
      <c r="G21390" t="n">
        <v>4</v>
      </c>
      <c r="H21390" s="5">
        <f>HYPERLINK("https://api.qogita.com/variants/link/4063528083463/", "View Product")</f>
        <v/>
      </c>
    </row>
    <row r="21391">
      <c r="A21391" t="inlineStr">
        <is>
          <t>4063528083777</t>
        </is>
      </c>
      <c r="B21391" t="inlineStr">
        <is>
          <t>Invisibobble Clipstar Marathon Runner Hair Clip - Medium Hair Claw</t>
        </is>
      </c>
      <c r="C21391" t="inlineStr">
        <is>
          <t>Hair Clips &amp; Hair Clamps</t>
        </is>
      </c>
      <c r="D21391" t="inlineStr">
        <is>
          <t>Invisibobble</t>
        </is>
      </c>
      <c r="E21391" t="n">
        <v>6.96</v>
      </c>
      <c r="F21391" t="n">
        <v>1</v>
      </c>
      <c r="G21391" t="n">
        <v>2</v>
      </c>
      <c r="H21391" s="5">
        <f>HYPERLINK("https://api.qogita.com/variants/link/4063528083777/", "View Product")</f>
        <v/>
      </c>
    </row>
    <row r="21392">
      <c r="A21392" t="inlineStr">
        <is>
          <t>4063528084095</t>
        </is>
      </c>
      <c r="B21392" t="inlineStr">
        <is>
          <t>Invisibobble Hair Clip Clipstar Xs Oasis Petit Citrus - 4 Pieces</t>
        </is>
      </c>
      <c r="C21392" t="inlineStr">
        <is>
          <t>Hair Clips &amp; Hair Clamps</t>
        </is>
      </c>
      <c r="D21392" t="inlineStr">
        <is>
          <t>Invisibobble</t>
        </is>
      </c>
      <c r="E21392" t="n">
        <v>7.6</v>
      </c>
      <c r="F21392" t="n">
        <v>1</v>
      </c>
      <c r="G21392" t="n">
        <v>3</v>
      </c>
      <c r="H21392" s="5">
        <f>HYPERLINK("https://api.qogita.com/variants/link/4063528084095/", "View Product")</f>
        <v/>
      </c>
    </row>
    <row r="21393">
      <c r="A21393" t="inlineStr">
        <is>
          <t>4063528086297</t>
        </is>
      </c>
      <c r="B21393" t="inlineStr">
        <is>
          <t>Neqi Hair Treatment With Peptides Treatment Treasure Peptide Power 100 Ml</t>
        </is>
      </c>
      <c r="C21393" t="inlineStr">
        <is>
          <t>Hair Masks</t>
        </is>
      </c>
      <c r="D21393" t="inlineStr">
        <is>
          <t>Neqi</t>
        </is>
      </c>
      <c r="E21393" t="n">
        <v>8.710000000000001</v>
      </c>
      <c r="F21393" t="n">
        <v>1</v>
      </c>
      <c r="G21393" t="n">
        <v>5</v>
      </c>
      <c r="H21393" s="5">
        <f>HYPERLINK("https://api.qogita.com/variants/link/4063528086297/", "View Product")</f>
        <v/>
      </c>
    </row>
    <row r="21394">
      <c r="A21394" t="inlineStr">
        <is>
          <t>4063528087140</t>
        </is>
      </c>
      <c r="B21394" t="inlineStr">
        <is>
          <t>Invisibobble Clipstar Evergreen Hair Clip - Medium Hair Claw</t>
        </is>
      </c>
      <c r="C21394" t="inlineStr">
        <is>
          <t>Hair Clips &amp; Hair Clamps</t>
        </is>
      </c>
      <c r="D21394" t="inlineStr">
        <is>
          <t>Invisibobble</t>
        </is>
      </c>
      <c r="E21394" t="n">
        <v>6.96</v>
      </c>
      <c r="F21394" t="n">
        <v>1</v>
      </c>
      <c r="G21394" t="n">
        <v>5</v>
      </c>
      <c r="H21394" s="5">
        <f>HYPERLINK("https://api.qogita.com/variants/link/4063528087140/", "View Product")</f>
        <v/>
      </c>
    </row>
    <row r="21395">
      <c r="A21395" t="inlineStr">
        <is>
          <t>4063528087201</t>
        </is>
      </c>
      <c r="B21395" t="inlineStr">
        <is>
          <t>Invisibobble Clipstar Amber Glow Hair Clip Extra Large</t>
        </is>
      </c>
      <c r="C21395" t="inlineStr">
        <is>
          <t>Hair Clips &amp; Hair Clamps</t>
        </is>
      </c>
      <c r="D21395" t="inlineStr">
        <is>
          <t>Invisibobble</t>
        </is>
      </c>
      <c r="E21395" t="n">
        <v>8.82</v>
      </c>
      <c r="F21395" t="n">
        <v>1</v>
      </c>
      <c r="G21395" t="n">
        <v>4</v>
      </c>
      <c r="H21395" s="5">
        <f>HYPERLINK("https://api.qogita.com/variants/link/4063528087201/", "View Product")</f>
        <v/>
      </c>
    </row>
    <row r="21396">
      <c r="A21396" t="inlineStr">
        <is>
          <t>4063528088437</t>
        </is>
      </c>
      <c r="B21396" t="inlineStr">
        <is>
          <t>Invisibobble Hair Clip Clipstar Xs Petit Rainbow 4 Pcs</t>
        </is>
      </c>
      <c r="C21396" t="inlineStr">
        <is>
          <t>Hair Clips &amp; Hair Clamps</t>
        </is>
      </c>
      <c r="D21396" t="inlineStr">
        <is>
          <t>Invisibobble</t>
        </is>
      </c>
      <c r="E21396" t="n">
        <v>7.6</v>
      </c>
      <c r="F21396" t="n">
        <v>1</v>
      </c>
      <c r="G21396" t="n">
        <v>2</v>
      </c>
      <c r="H21396" s="5">
        <f>HYPERLINK("https://api.qogita.com/variants/link/4063528088437/", "View Product")</f>
        <v/>
      </c>
    </row>
    <row r="21397">
      <c r="A21397" t="inlineStr">
        <is>
          <t>4064665019643</t>
        </is>
      </c>
      <c r="B21397" t="inlineStr">
        <is>
          <t>Opi Nature Strong Force Of Nailture Nail Polish 15 Ml</t>
        </is>
      </c>
      <c r="C21397" t="inlineStr">
        <is>
          <t>Nail Polish</t>
        </is>
      </c>
      <c r="D21397" t="inlineStr">
        <is>
          <t>OPI</t>
        </is>
      </c>
      <c r="E21397" t="n">
        <v>9.82</v>
      </c>
      <c r="F21397" t="n">
        <v>1</v>
      </c>
      <c r="G21397" t="n">
        <v>5</v>
      </c>
      <c r="H21397" s="5">
        <f>HYPERLINK("https://api.qogita.com/variants/link/4064665019643/", "View Product")</f>
        <v/>
      </c>
    </row>
    <row r="21398">
      <c r="A21398" t="inlineStr">
        <is>
          <t>4064665019681</t>
        </is>
      </c>
      <c r="B21398" t="inlineStr">
        <is>
          <t>Opi Nature Strong Nail Polish 15 Ml</t>
        </is>
      </c>
      <c r="C21398" t="inlineStr">
        <is>
          <t>Nail Polish</t>
        </is>
      </c>
      <c r="D21398" t="inlineStr">
        <is>
          <t>OPI</t>
        </is>
      </c>
      <c r="E21398" t="n">
        <v>11.24</v>
      </c>
      <c r="F21398" t="n">
        <v>1</v>
      </c>
      <c r="G21398" t="n">
        <v>2</v>
      </c>
      <c r="H21398" s="5">
        <f>HYPERLINK("https://api.qogita.com/variants/link/4064665019681/", "View Product")</f>
        <v/>
      </c>
    </row>
    <row r="21399">
      <c r="A21399" t="inlineStr">
        <is>
          <t>4064665019797</t>
        </is>
      </c>
      <c r="B21399" t="inlineStr">
        <is>
          <t>OPI Nature Strong Nail Polish 15mL</t>
        </is>
      </c>
      <c r="C21399" t="inlineStr">
        <is>
          <t>Nail Polish</t>
        </is>
      </c>
      <c r="D21399" t="inlineStr">
        <is>
          <t>OPI</t>
        </is>
      </c>
      <c r="E21399" t="n">
        <v>11.24</v>
      </c>
      <c r="F21399" t="n">
        <v>1</v>
      </c>
      <c r="G21399" t="n">
        <v>2</v>
      </c>
      <c r="H21399" s="5">
        <f>HYPERLINK("https://api.qogita.com/variants/link/4064665019797/", "View Product")</f>
        <v/>
      </c>
    </row>
    <row r="21400">
      <c r="A21400" t="inlineStr">
        <is>
          <t>4064665019834</t>
        </is>
      </c>
      <c r="B21400" t="inlineStr">
        <is>
          <t>Opi Nature Strong A Great Fig World Nail Polish 15ml</t>
        </is>
      </c>
      <c r="C21400" t="inlineStr">
        <is>
          <t>Nail Polish</t>
        </is>
      </c>
      <c r="D21400" t="inlineStr">
        <is>
          <t>OPI</t>
        </is>
      </c>
      <c r="E21400" t="n">
        <v>11.24</v>
      </c>
      <c r="F21400" t="n">
        <v>1</v>
      </c>
      <c r="G21400" t="n">
        <v>4</v>
      </c>
      <c r="H21400" s="5">
        <f>HYPERLINK("https://api.qogita.com/variants/link/4064665019834/", "View Product")</f>
        <v/>
      </c>
    </row>
    <row r="21401">
      <c r="A21401" t="inlineStr">
        <is>
          <t>4064665019865</t>
        </is>
      </c>
      <c r="B21401" t="inlineStr">
        <is>
          <t>Opi Nature Strong Onyx Skies Nail Polish 15ml</t>
        </is>
      </c>
      <c r="C21401" t="inlineStr">
        <is>
          <t>Nail Polish</t>
        </is>
      </c>
      <c r="D21401" t="inlineStr">
        <is>
          <t>OPI</t>
        </is>
      </c>
      <c r="E21401" t="n">
        <v>9.82</v>
      </c>
      <c r="F21401" t="n">
        <v>1</v>
      </c>
      <c r="G21401" t="n">
        <v>5</v>
      </c>
      <c r="H21401" s="5">
        <f>HYPERLINK("https://api.qogita.com/variants/link/4064665019865/", "View Product")</f>
        <v/>
      </c>
    </row>
    <row r="21402">
      <c r="A21402" t="inlineStr">
        <is>
          <t>4064665103083</t>
        </is>
      </c>
      <c r="B21402" t="inlineStr">
        <is>
          <t>Opi Nail Lacquer Nail Polish 15 Ml</t>
        </is>
      </c>
      <c r="C21402" t="inlineStr">
        <is>
          <t>Nail Polish</t>
        </is>
      </c>
      <c r="D21402" t="inlineStr">
        <is>
          <t>OPI</t>
        </is>
      </c>
      <c r="E21402" t="n">
        <v>9.44</v>
      </c>
      <c r="F21402" t="n">
        <v>1</v>
      </c>
      <c r="G21402" t="n">
        <v>2</v>
      </c>
      <c r="H21402" s="5">
        <f>HYPERLINK("https://api.qogita.com/variants/link/4064665103083/", "View Product")</f>
        <v/>
      </c>
    </row>
    <row r="21403">
      <c r="A21403" t="inlineStr">
        <is>
          <t>4064665103427</t>
        </is>
      </c>
      <c r="B21403" t="inlineStr">
        <is>
          <t>Opi Infinite Shine Nail Lacquer Nail Polish 15 Ml Stay Out All Bright</t>
        </is>
      </c>
      <c r="C21403" t="inlineStr">
        <is>
          <t>Nail Polish</t>
        </is>
      </c>
      <c r="D21403" t="inlineStr">
        <is>
          <t>OPI</t>
        </is>
      </c>
      <c r="E21403" t="n">
        <v>11.37</v>
      </c>
      <c r="F21403" t="n">
        <v>1</v>
      </c>
      <c r="G21403" t="n">
        <v>3</v>
      </c>
      <c r="H21403" s="5">
        <f>HYPERLINK("https://api.qogita.com/variants/link/4064665103427/", "View Product")</f>
        <v/>
      </c>
    </row>
    <row r="21404">
      <c r="A21404" t="inlineStr">
        <is>
          <t>4064665105506</t>
        </is>
      </c>
      <c r="B21404" t="inlineStr">
        <is>
          <t>Opi Infinite Shine Gellike Lacquer 15 Ml</t>
        </is>
      </c>
      <c r="C21404" t="inlineStr">
        <is>
          <t>Nail Oil</t>
        </is>
      </c>
      <c r="D21404" t="inlineStr">
        <is>
          <t>OPI</t>
        </is>
      </c>
      <c r="E21404" t="n">
        <v>11.13</v>
      </c>
      <c r="F21404" t="n">
        <v>1</v>
      </c>
      <c r="G21404" t="n">
        <v>4</v>
      </c>
      <c r="H21404" s="5">
        <f>HYPERLINK("https://api.qogita.com/variants/link/4064665105506/", "View Product")</f>
        <v/>
      </c>
    </row>
    <row r="21405">
      <c r="A21405" t="inlineStr">
        <is>
          <t>4064665105551</t>
        </is>
      </c>
      <c r="B21405" t="inlineStr">
        <is>
          <t>Opi Infinite Shine Gellike Lacquer Happily Evergreen After 15 Ml</t>
        </is>
      </c>
      <c r="C21405" t="inlineStr">
        <is>
          <t>Nail Polish</t>
        </is>
      </c>
      <c r="D21405" t="inlineStr">
        <is>
          <t>OPI</t>
        </is>
      </c>
      <c r="E21405" t="n">
        <v>13.63</v>
      </c>
      <c r="F21405" t="n">
        <v>1</v>
      </c>
      <c r="G21405" t="n">
        <v>4</v>
      </c>
      <c r="H21405" s="5">
        <f>HYPERLINK("https://api.qogita.com/variants/link/4064665105551/", "View Product")</f>
        <v/>
      </c>
    </row>
    <row r="21406">
      <c r="A21406" t="inlineStr">
        <is>
          <t>4064665105575</t>
        </is>
      </c>
      <c r="B21406" t="inlineStr">
        <is>
          <t>OPI Infinite Shine Long-Wear Dark Shimmer Finish Sheer Purple Nail Polish 0.5 fl oz - AM 2 PM</t>
        </is>
      </c>
      <c r="C21406" t="inlineStr">
        <is>
          <t>Nail Polish</t>
        </is>
      </c>
      <c r="D21406" t="inlineStr">
        <is>
          <t>OPI</t>
        </is>
      </c>
      <c r="E21406" t="n">
        <v>11.13</v>
      </c>
      <c r="F21406" t="n">
        <v>1</v>
      </c>
      <c r="G21406" t="n">
        <v>3</v>
      </c>
      <c r="H21406" s="5">
        <f>HYPERLINK("https://api.qogita.com/variants/link/4064665105575/", "View Product")</f>
        <v/>
      </c>
    </row>
    <row r="21407">
      <c r="A21407" t="inlineStr">
        <is>
          <t>4064665105582</t>
        </is>
      </c>
      <c r="B21407" t="inlineStr">
        <is>
          <t>OPI Infinite Shine Long-Wear Dark Shimmer Sheer Blue Nail Polish 0.5 fl oz</t>
        </is>
      </c>
      <c r="C21407" t="inlineStr">
        <is>
          <t>Nail Polish</t>
        </is>
      </c>
      <c r="D21407" t="inlineStr">
        <is>
          <t>OPI</t>
        </is>
      </c>
      <c r="E21407" t="n">
        <v>11.13</v>
      </c>
      <c r="F21407" t="n">
        <v>1</v>
      </c>
      <c r="G21407" t="n">
        <v>2</v>
      </c>
      <c r="H21407" s="5">
        <f>HYPERLINK("https://api.qogita.com/variants/link/4064665105582/", "View Product")</f>
        <v/>
      </c>
    </row>
    <row r="21408">
      <c r="A21408" t="inlineStr">
        <is>
          <t>4064665105650</t>
        </is>
      </c>
      <c r="B21408" t="inlineStr">
        <is>
          <t>OPI Infinite Shine Long-Wear Soft Crème Finish Opaque Green Nail Polish 0.5 fl oz</t>
        </is>
      </c>
      <c r="C21408" t="inlineStr">
        <is>
          <t>Nail Polish</t>
        </is>
      </c>
      <c r="D21408" t="inlineStr">
        <is>
          <t>OPI</t>
        </is>
      </c>
      <c r="E21408" t="n">
        <v>11.13</v>
      </c>
      <c r="F21408" t="n">
        <v>1</v>
      </c>
      <c r="G21408" t="n">
        <v>4</v>
      </c>
      <c r="H21408" s="5">
        <f>HYPERLINK("https://api.qogita.com/variants/link/4064665105650/", "View Product")</f>
        <v/>
      </c>
    </row>
    <row r="21409">
      <c r="A21409" t="inlineStr">
        <is>
          <t>4064665105773</t>
        </is>
      </c>
      <c r="B21409" t="inlineStr">
        <is>
          <t>Opi Infinite Shine Gellike Lacquer 15 Ml Passion</t>
        </is>
      </c>
      <c r="C21409" t="inlineStr">
        <is>
          <t>Nail Oil</t>
        </is>
      </c>
      <c r="D21409" t="inlineStr">
        <is>
          <t>OPI</t>
        </is>
      </c>
      <c r="E21409" t="n">
        <v>13.63</v>
      </c>
      <c r="F21409" t="n">
        <v>1</v>
      </c>
      <c r="G21409" t="n">
        <v>4</v>
      </c>
      <c r="H21409" s="5">
        <f>HYPERLINK("https://api.qogita.com/variants/link/4064665105773/", "View Product")</f>
        <v/>
      </c>
    </row>
    <row r="21410">
      <c r="A21410" t="inlineStr">
        <is>
          <t>4064665105902</t>
        </is>
      </c>
      <c r="B21410" t="inlineStr">
        <is>
          <t>OPI Classic Nail Polish Long-Lasting Luxury Varnish Original High-Performance Your Way Apricot AF 15ml</t>
        </is>
      </c>
      <c r="C21410" t="inlineStr">
        <is>
          <t>Nail Polish</t>
        </is>
      </c>
      <c r="D21410" t="inlineStr">
        <is>
          <t>OPI</t>
        </is>
      </c>
      <c r="E21410" t="n">
        <v>9.380000000000001</v>
      </c>
      <c r="F21410" t="n">
        <v>1</v>
      </c>
      <c r="G21410" t="n">
        <v>3</v>
      </c>
      <c r="H21410" s="5">
        <f>HYPERLINK("https://api.qogita.com/variants/link/4064665105902/", "View Product")</f>
        <v/>
      </c>
    </row>
    <row r="21411">
      <c r="A21411" t="inlineStr">
        <is>
          <t>4064665105926</t>
        </is>
      </c>
      <c r="B21411" t="inlineStr">
        <is>
          <t>Opi Nail Lacquer Nail Polish Without A Pout 15 Ml</t>
        </is>
      </c>
      <c r="C21411" t="inlineStr">
        <is>
          <t>Nail Polish</t>
        </is>
      </c>
      <c r="D21411" t="inlineStr">
        <is>
          <t>OPI</t>
        </is>
      </c>
      <c r="E21411" t="n">
        <v>9.380000000000001</v>
      </c>
      <c r="F21411" t="n">
        <v>1</v>
      </c>
      <c r="G21411" t="n">
        <v>4</v>
      </c>
      <c r="H21411" s="5">
        <f>HYPERLINK("https://api.qogita.com/variants/link/4064665105926/", "View Product")</f>
        <v/>
      </c>
    </row>
    <row r="21412">
      <c r="A21412" t="inlineStr">
        <is>
          <t>4064665105940</t>
        </is>
      </c>
      <c r="B21412" t="inlineStr">
        <is>
          <t>Opi Nail Lacquer Nail Polish 15 Ml Suga Cookie</t>
        </is>
      </c>
      <c r="C21412" t="inlineStr">
        <is>
          <t>Nail Polish</t>
        </is>
      </c>
      <c r="D21412" t="inlineStr">
        <is>
          <t>OPI</t>
        </is>
      </c>
      <c r="E21412" t="n">
        <v>9.380000000000001</v>
      </c>
      <c r="F21412" t="n">
        <v>1</v>
      </c>
      <c r="G21412" t="n">
        <v>4</v>
      </c>
      <c r="H21412" s="5">
        <f>HYPERLINK("https://api.qogita.com/variants/link/4064665105940/", "View Product")</f>
        <v/>
      </c>
    </row>
    <row r="21413">
      <c r="A21413" t="inlineStr">
        <is>
          <t>4064665105964</t>
        </is>
      </c>
      <c r="B21413" t="inlineStr">
        <is>
          <t>OPI Classic Nail Polish Long-Lasting Luxury Varnish Original High-Performance Your Way Self Made 15ml</t>
        </is>
      </c>
      <c r="C21413" t="inlineStr">
        <is>
          <t>Nail Polish</t>
        </is>
      </c>
      <c r="D21413" t="inlineStr">
        <is>
          <t>OPI</t>
        </is>
      </c>
      <c r="E21413" t="n">
        <v>9.380000000000001</v>
      </c>
      <c r="F21413" t="n">
        <v>1</v>
      </c>
      <c r="G21413" t="n">
        <v>5</v>
      </c>
      <c r="H21413" s="5">
        <f>HYPERLINK("https://api.qogita.com/variants/link/4064665105964/", "View Product")</f>
        <v/>
      </c>
    </row>
    <row r="21414">
      <c r="A21414" t="inlineStr">
        <is>
          <t>4064665105995</t>
        </is>
      </c>
      <c r="B21414" t="inlineStr">
        <is>
          <t>Opi Nail Lacquer Nail Polish 15 Ml Spice Up Your Life</t>
        </is>
      </c>
      <c r="C21414" t="inlineStr">
        <is>
          <t>Nail Polish</t>
        </is>
      </c>
      <c r="D21414" t="inlineStr">
        <is>
          <t>OPI</t>
        </is>
      </c>
      <c r="E21414" t="n">
        <v>9.380000000000001</v>
      </c>
      <c r="F21414" t="n">
        <v>1</v>
      </c>
      <c r="G21414" t="n">
        <v>4</v>
      </c>
      <c r="H21414" s="5">
        <f>HYPERLINK("https://api.qogita.com/variants/link/4064665105995/", "View Product")</f>
        <v/>
      </c>
    </row>
    <row r="21415">
      <c r="A21415" t="inlineStr">
        <is>
          <t>4064665106213</t>
        </is>
      </c>
      <c r="B21415" t="inlineStr">
        <is>
          <t>OPI Nail Polish Infinite Shine Long-wear System 2nd Step Your Way Bleached Brows 15ml</t>
        </is>
      </c>
      <c r="C21415" t="inlineStr">
        <is>
          <t>Nail Polish</t>
        </is>
      </c>
      <c r="D21415" t="inlineStr">
        <is>
          <t>OPI</t>
        </is>
      </c>
      <c r="E21415" t="n">
        <v>10.79</v>
      </c>
      <c r="F21415" t="n">
        <v>1</v>
      </c>
      <c r="G21415" t="n">
        <v>3</v>
      </c>
      <c r="H21415" s="5">
        <f>HYPERLINK("https://api.qogita.com/variants/link/4064665106213/", "View Product")</f>
        <v/>
      </c>
    </row>
    <row r="21416">
      <c r="A21416" t="inlineStr">
        <is>
          <t>4064665106251</t>
        </is>
      </c>
      <c r="B21416" t="inlineStr">
        <is>
          <t>Opi Infinite Shine 24 Carrots Longwear Lacquer 15 Ml</t>
        </is>
      </c>
      <c r="C21416" t="inlineStr">
        <is>
          <t>Nail Polish</t>
        </is>
      </c>
      <c r="D21416" t="inlineStr">
        <is>
          <t>OPI</t>
        </is>
      </c>
      <c r="E21416" t="n">
        <v>10.79</v>
      </c>
      <c r="F21416" t="n">
        <v>1</v>
      </c>
      <c r="G21416" t="n">
        <v>5</v>
      </c>
      <c r="H21416" s="5">
        <f>HYPERLINK("https://api.qogita.com/variants/link/4064665106251/", "View Product")</f>
        <v/>
      </c>
    </row>
    <row r="21417">
      <c r="A21417" t="inlineStr">
        <is>
          <t>4064665106268</t>
        </is>
      </c>
      <c r="B21417" t="inlineStr">
        <is>
          <t>Opi Infinite Shine Get In Lime 15ml Longwear Nail Lacquer</t>
        </is>
      </c>
      <c r="C21417" t="inlineStr">
        <is>
          <t>Nail Polish</t>
        </is>
      </c>
      <c r="D21417" t="inlineStr">
        <is>
          <t>OPI</t>
        </is>
      </c>
      <c r="E21417" t="n">
        <v>10.79</v>
      </c>
      <c r="F21417" t="n">
        <v>1</v>
      </c>
      <c r="G21417" t="n">
        <v>5</v>
      </c>
      <c r="H21417" s="5">
        <f>HYPERLINK("https://api.qogita.com/variants/link/4064665106268/", "View Product")</f>
        <v/>
      </c>
    </row>
    <row r="21418">
      <c r="A21418" t="inlineStr">
        <is>
          <t>4064665106275</t>
        </is>
      </c>
      <c r="B21418" t="inlineStr">
        <is>
          <t>Opi Infinite Shine Longwear Lacquer First Class Tix 15 Ml</t>
        </is>
      </c>
      <c r="C21418" t="inlineStr">
        <is>
          <t>Nail Oil</t>
        </is>
      </c>
      <c r="D21418" t="inlineStr">
        <is>
          <t>OPI</t>
        </is>
      </c>
      <c r="E21418" t="n">
        <v>10.79</v>
      </c>
      <c r="F21418" t="n">
        <v>1</v>
      </c>
      <c r="G21418" t="n">
        <v>5</v>
      </c>
      <c r="H21418" s="5">
        <f>HYPERLINK("https://api.qogita.com/variants/link/4064665106275/", "View Product")</f>
        <v/>
      </c>
    </row>
    <row r="21419">
      <c r="A21419" t="inlineStr">
        <is>
          <t>4064665114744</t>
        </is>
      </c>
      <c r="B21419" t="inlineStr">
        <is>
          <t>OPI Nail Polish Infinite Shine Long-wear System 2nd Step Gel-Like Nail Varnish - Work From Chrome 15ml My Private Jet 15ml</t>
        </is>
      </c>
      <c r="C21419" t="inlineStr">
        <is>
          <t>Nail Polish</t>
        </is>
      </c>
      <c r="D21419" t="inlineStr">
        <is>
          <t>OPI</t>
        </is>
      </c>
      <c r="E21419" t="n">
        <v>11.13</v>
      </c>
      <c r="F21419" t="n">
        <v>1</v>
      </c>
      <c r="G21419" t="n">
        <v>3</v>
      </c>
      <c r="H21419" s="5">
        <f>HYPERLINK("https://api.qogita.com/variants/link/4064665114744/", "View Product")</f>
        <v/>
      </c>
    </row>
    <row r="21420">
      <c r="A21420" t="inlineStr">
        <is>
          <t>4064665114768</t>
        </is>
      </c>
      <c r="B21420" t="inlineStr">
        <is>
          <t>OPI Infinite Shine Long-Wear Soft Crème Finish Sheer Neutral Nail Polish 0.5 fl oz</t>
        </is>
      </c>
      <c r="C21420" t="inlineStr">
        <is>
          <t>Nail Polish</t>
        </is>
      </c>
      <c r="D21420" t="inlineStr">
        <is>
          <t>OPI</t>
        </is>
      </c>
      <c r="E21420" t="n">
        <v>11.13</v>
      </c>
      <c r="F21420" t="n">
        <v>1</v>
      </c>
      <c r="G21420" t="n">
        <v>4</v>
      </c>
      <c r="H21420" s="5">
        <f>HYPERLINK("https://api.qogita.com/variants/link/4064665114768/", "View Product")</f>
        <v/>
      </c>
    </row>
    <row r="21421">
      <c r="A21421" t="inlineStr">
        <is>
          <t>4064665114782</t>
        </is>
      </c>
      <c r="B21421" t="inlineStr">
        <is>
          <t>OPI Nail Polish Infinite Shine Long-wear System 2nd Step Gel-Like Nail Varnish - Werkin' Shine to Five 15ml Princesses Rule!</t>
        </is>
      </c>
      <c r="C21421" t="inlineStr">
        <is>
          <t>Nail Polish</t>
        </is>
      </c>
      <c r="D21421" t="inlineStr">
        <is>
          <t>OPI</t>
        </is>
      </c>
      <c r="E21421" t="n">
        <v>11.13</v>
      </c>
      <c r="F21421" t="n">
        <v>1</v>
      </c>
      <c r="G21421" t="n">
        <v>3</v>
      </c>
      <c r="H21421" s="5">
        <f>HYPERLINK("https://api.qogita.com/variants/link/4064665114782/", "View Product")</f>
        <v/>
      </c>
    </row>
    <row r="21422">
      <c r="A21422" t="inlineStr">
        <is>
          <t>4064665114805</t>
        </is>
      </c>
      <c r="B21422" t="inlineStr">
        <is>
          <t>Opi Infinite Shine Gellike Lacquer Park After Dark 15 Ml</t>
        </is>
      </c>
      <c r="C21422" t="inlineStr">
        <is>
          <t>Nail Oil</t>
        </is>
      </c>
      <c r="D21422" t="inlineStr">
        <is>
          <t>OPI</t>
        </is>
      </c>
      <c r="E21422" t="n">
        <v>13.63</v>
      </c>
      <c r="F21422" t="n">
        <v>1</v>
      </c>
      <c r="G21422" t="n">
        <v>5</v>
      </c>
      <c r="H21422" s="5">
        <f>HYPERLINK("https://api.qogita.com/variants/link/4064665114805/", "View Product")</f>
        <v/>
      </c>
    </row>
    <row r="21423">
      <c r="A21423" t="inlineStr">
        <is>
          <t>4064665114829</t>
        </is>
      </c>
      <c r="B21423" t="inlineStr">
        <is>
          <t>Opi Infinite Shine Gellike Lacquer Do You Sea What I Sea 15 Ml</t>
        </is>
      </c>
      <c r="C21423" t="inlineStr">
        <is>
          <t>Nail Oil</t>
        </is>
      </c>
      <c r="D21423" t="inlineStr">
        <is>
          <t>OPI</t>
        </is>
      </c>
      <c r="E21423" t="n">
        <v>11.13</v>
      </c>
      <c r="F21423" t="n">
        <v>1</v>
      </c>
      <c r="G21423" t="n">
        <v>3</v>
      </c>
      <c r="H21423" s="5">
        <f>HYPERLINK("https://api.qogita.com/variants/link/4064665114829/", "View Product")</f>
        <v/>
      </c>
    </row>
    <row r="21424">
      <c r="A21424" t="inlineStr">
        <is>
          <t>4064665114843</t>
        </is>
      </c>
      <c r="B21424" t="inlineStr">
        <is>
          <t>OPI Infinite Shine - Lady In Black - 15 ml Nail Polish</t>
        </is>
      </c>
      <c r="C21424" t="inlineStr">
        <is>
          <t>Nail Polish</t>
        </is>
      </c>
      <c r="D21424" t="inlineStr">
        <is>
          <t>OPI</t>
        </is>
      </c>
      <c r="E21424" t="n">
        <v>11.13</v>
      </c>
      <c r="F21424" t="n">
        <v>1</v>
      </c>
      <c r="G21424" t="n">
        <v>4</v>
      </c>
      <c r="H21424" s="5">
        <f>HYPERLINK("https://api.qogita.com/variants/link/4064665114843/", "View Product")</f>
        <v/>
      </c>
    </row>
    <row r="21425">
      <c r="A21425" t="inlineStr">
        <is>
          <t>4064665114874</t>
        </is>
      </c>
      <c r="B21425" t="inlineStr">
        <is>
          <t>Opi Infinite Shine 2 Gel Polish It Never Ends 15 Ml</t>
        </is>
      </c>
      <c r="C21425" t="inlineStr">
        <is>
          <t>Nail Oil</t>
        </is>
      </c>
      <c r="D21425" t="inlineStr">
        <is>
          <t>OPI</t>
        </is>
      </c>
      <c r="E21425" t="n">
        <v>11.13</v>
      </c>
      <c r="F21425" t="n">
        <v>1</v>
      </c>
      <c r="G21425" t="n">
        <v>4</v>
      </c>
      <c r="H21425" s="5">
        <f>HYPERLINK("https://api.qogita.com/variants/link/4064665114874/", "View Product")</f>
        <v/>
      </c>
    </row>
    <row r="21426">
      <c r="A21426" t="inlineStr">
        <is>
          <t>4064665114881</t>
        </is>
      </c>
      <c r="B21426" t="inlineStr">
        <is>
          <t>OPI Infinite Shine Long-Wear Dark Crème Finish Opaque Blue Nail Polish 0.5 fl oz</t>
        </is>
      </c>
      <c r="C21426" t="inlineStr">
        <is>
          <t>Nail Polish</t>
        </is>
      </c>
      <c r="D21426" t="inlineStr">
        <is>
          <t>OPI</t>
        </is>
      </c>
      <c r="E21426" t="n">
        <v>11.13</v>
      </c>
      <c r="F21426" t="n">
        <v>1</v>
      </c>
      <c r="G21426" t="n">
        <v>5</v>
      </c>
      <c r="H21426" s="5">
        <f>HYPERLINK("https://api.qogita.com/variants/link/4064665114881/", "View Product")</f>
        <v/>
      </c>
    </row>
    <row r="21427">
      <c r="A21427" t="inlineStr">
        <is>
          <t>4064665115390</t>
        </is>
      </c>
      <c r="B21427" t="inlineStr">
        <is>
          <t>Opi Gelcolor Nail Polish Up To 3 Weeks Wear Smudge Proof Cures In 30</t>
        </is>
      </c>
      <c r="C21427" t="inlineStr">
        <is>
          <t>Gel Polish</t>
        </is>
      </c>
      <c r="D21427" t="inlineStr">
        <is>
          <t>OPI</t>
        </is>
      </c>
      <c r="E21427" t="n">
        <v>25.11</v>
      </c>
      <c r="F21427" t="n">
        <v>1</v>
      </c>
      <c r="G21427" t="n">
        <v>3</v>
      </c>
      <c r="H21427" s="5">
        <f>HYPERLINK("https://api.qogita.com/variants/link/4064665115390/", "View Product")</f>
        <v/>
      </c>
    </row>
    <row r="21428">
      <c r="A21428" t="inlineStr">
        <is>
          <t>4064665116786</t>
        </is>
      </c>
      <c r="B21428" t="inlineStr">
        <is>
          <t>Opi Gelcolor Gel Nail Polish 15 Ml</t>
        </is>
      </c>
      <c r="C21428" t="inlineStr">
        <is>
          <t>Gel Polish</t>
        </is>
      </c>
      <c r="D21428" t="inlineStr">
        <is>
          <t>OPI</t>
        </is>
      </c>
      <c r="E21428" t="n">
        <v>25.11</v>
      </c>
      <c r="F21428" t="n">
        <v>1</v>
      </c>
      <c r="G21428" t="n">
        <v>2</v>
      </c>
      <c r="H21428" s="5">
        <f>HYPERLINK("https://api.qogita.com/variants/link/4064665116786/", "View Product")</f>
        <v/>
      </c>
    </row>
    <row r="21429">
      <c r="A21429" t="inlineStr">
        <is>
          <t>4064665116847</t>
        </is>
      </c>
      <c r="B21429" t="inlineStr">
        <is>
          <t>Opi Gelcolor Gel Nail Polish 15 Ml</t>
        </is>
      </c>
      <c r="C21429" t="inlineStr">
        <is>
          <t>Gel Polish</t>
        </is>
      </c>
      <c r="D21429" t="inlineStr">
        <is>
          <t>OPI</t>
        </is>
      </c>
      <c r="E21429" t="n">
        <v>25.11</v>
      </c>
      <c r="F21429" t="n">
        <v>1</v>
      </c>
      <c r="G21429" t="n">
        <v>3</v>
      </c>
      <c r="H21429" s="5">
        <f>HYPERLINK("https://api.qogita.com/variants/link/4064665116847/", "View Product")</f>
        <v/>
      </c>
    </row>
    <row r="21430">
      <c r="A21430" t="inlineStr">
        <is>
          <t>4064665116908</t>
        </is>
      </c>
      <c r="B21430" t="inlineStr">
        <is>
          <t>Opi Gelcolor Gel Nail Polish Opaque Soft Blue Creme UV Cure</t>
        </is>
      </c>
      <c r="C21430" t="inlineStr">
        <is>
          <t>Gel Polish</t>
        </is>
      </c>
      <c r="D21430" t="inlineStr">
        <is>
          <t>OPI</t>
        </is>
      </c>
      <c r="E21430" t="n">
        <v>25.11</v>
      </c>
      <c r="F21430" t="n">
        <v>1</v>
      </c>
      <c r="G21430" t="n">
        <v>3</v>
      </c>
      <c r="H21430" s="5">
        <f>HYPERLINK("https://api.qogita.com/variants/link/4064665116908/", "View Product")</f>
        <v/>
      </c>
    </row>
    <row r="21431">
      <c r="A21431" t="inlineStr">
        <is>
          <t>4064665124682</t>
        </is>
      </c>
      <c r="B21431" t="inlineStr">
        <is>
          <t>OPI Infinite Shine Long-Wear Bright Crème Finish Opaque Yellow Nail Polish 0.5 fl oz</t>
        </is>
      </c>
      <c r="C21431" t="inlineStr">
        <is>
          <t>Nail Polish</t>
        </is>
      </c>
      <c r="D21431" t="inlineStr">
        <is>
          <t>OPI</t>
        </is>
      </c>
      <c r="E21431" t="n">
        <v>11.13</v>
      </c>
      <c r="F21431" t="n">
        <v>1</v>
      </c>
      <c r="G21431" t="n">
        <v>5</v>
      </c>
      <c r="H21431" s="5">
        <f>HYPERLINK("https://api.qogita.com/variants/link/4064665124682/", "View Product")</f>
        <v/>
      </c>
    </row>
    <row r="21432">
      <c r="A21432" t="inlineStr">
        <is>
          <t>4064665124705</t>
        </is>
      </c>
      <c r="B21432" t="inlineStr">
        <is>
          <t>OPI Infinite Shine Long-Wear Bright Crème Finish Opaque Blue Nail Polish 0.5 fl oz</t>
        </is>
      </c>
      <c r="C21432" t="inlineStr">
        <is>
          <t>Nail Polish</t>
        </is>
      </c>
      <c r="D21432" t="inlineStr">
        <is>
          <t>OPI</t>
        </is>
      </c>
      <c r="E21432" t="n">
        <v>11.13</v>
      </c>
      <c r="F21432" t="n">
        <v>1</v>
      </c>
      <c r="G21432" t="n">
        <v>4</v>
      </c>
      <c r="H21432" s="5">
        <f>HYPERLINK("https://api.qogita.com/variants/link/4064665124705/", "View Product")</f>
        <v/>
      </c>
    </row>
    <row r="21433">
      <c r="A21433" t="inlineStr">
        <is>
          <t>4064665124743</t>
        </is>
      </c>
      <c r="B21433" t="inlineStr">
        <is>
          <t>OPI Infinite Shine Long-Wear Dark Crème Finish Opaque Green Nail Polish 0.5 fl oz</t>
        </is>
      </c>
      <c r="C21433" t="inlineStr">
        <is>
          <t>Nail Polish</t>
        </is>
      </c>
      <c r="D21433" t="inlineStr">
        <is>
          <t>OPI</t>
        </is>
      </c>
      <c r="E21433" t="n">
        <v>11.13</v>
      </c>
      <c r="F21433" t="n">
        <v>1</v>
      </c>
      <c r="G21433" t="n">
        <v>4</v>
      </c>
      <c r="H21433" s="5">
        <f>HYPERLINK("https://api.qogita.com/variants/link/4064665124743/", "View Product")</f>
        <v/>
      </c>
    </row>
    <row r="21434">
      <c r="A21434" t="inlineStr">
        <is>
          <t>4064665124750</t>
        </is>
      </c>
      <c r="B21434" t="inlineStr">
        <is>
          <t>OPI Infinite Shine Long-Wear Soft Crème Finish Opaque Yellow Nail Polish 0.5 fl oz</t>
        </is>
      </c>
      <c r="C21434" t="inlineStr">
        <is>
          <t>Nail Polish</t>
        </is>
      </c>
      <c r="D21434" t="inlineStr">
        <is>
          <t>OPI</t>
        </is>
      </c>
      <c r="E21434" t="n">
        <v>11.13</v>
      </c>
      <c r="F21434" t="n">
        <v>1</v>
      </c>
      <c r="G21434" t="n">
        <v>5</v>
      </c>
      <c r="H21434" s="5">
        <f>HYPERLINK("https://api.qogita.com/variants/link/4064665124750/", "View Product")</f>
        <v/>
      </c>
    </row>
    <row r="21435">
      <c r="A21435" t="inlineStr">
        <is>
          <t>4064665124767</t>
        </is>
      </c>
      <c r="B21435" t="inlineStr">
        <is>
          <t>Opi Infinite Shine Gellike Lacquer No Chips On My Shoulder 15 Ml</t>
        </is>
      </c>
      <c r="C21435" t="inlineStr">
        <is>
          <t>Nail Oil</t>
        </is>
      </c>
      <c r="D21435" t="inlineStr">
        <is>
          <t>OPI</t>
        </is>
      </c>
      <c r="E21435" t="n">
        <v>11.13</v>
      </c>
      <c r="F21435" t="n">
        <v>1</v>
      </c>
      <c r="G21435" t="n">
        <v>5</v>
      </c>
      <c r="H21435" s="5">
        <f>HYPERLINK("https://api.qogita.com/variants/link/4064665124767/", "View Product")</f>
        <v/>
      </c>
    </row>
    <row r="21436">
      <c r="A21436" t="inlineStr">
        <is>
          <t>4064665140873</t>
        </is>
      </c>
      <c r="B21436" t="inlineStr">
        <is>
          <t>Opi Gelcolor Gel Nail Polish 15 Ml</t>
        </is>
      </c>
      <c r="C21436" t="inlineStr">
        <is>
          <t>Gel Polish</t>
        </is>
      </c>
      <c r="D21436" t="inlineStr">
        <is>
          <t>OPI</t>
        </is>
      </c>
      <c r="E21436" t="n">
        <v>25.11</v>
      </c>
      <c r="F21436" t="n">
        <v>1</v>
      </c>
      <c r="G21436" t="n">
        <v>2</v>
      </c>
      <c r="H21436" s="5">
        <f>HYPERLINK("https://api.qogita.com/variants/link/4064665140873/", "View Product")</f>
        <v/>
      </c>
    </row>
    <row r="21437">
      <c r="A21437" t="inlineStr">
        <is>
          <t>4064665140880</t>
        </is>
      </c>
      <c r="B21437" t="inlineStr">
        <is>
          <t>Opi Gelcolor Gel Nail Polish Opaque Dark Black &amp; Gray Creme UV Cure</t>
        </is>
      </c>
      <c r="C21437" t="inlineStr">
        <is>
          <t>Gel Polish</t>
        </is>
      </c>
      <c r="D21437" t="inlineStr">
        <is>
          <t>OPI</t>
        </is>
      </c>
      <c r="E21437" t="n">
        <v>25.11</v>
      </c>
      <c r="F21437" t="n">
        <v>1</v>
      </c>
      <c r="G21437" t="n">
        <v>3</v>
      </c>
      <c r="H21437" s="5">
        <f>HYPERLINK("https://api.qogita.com/variants/link/4064665140880/", "View Product")</f>
        <v/>
      </c>
    </row>
    <row r="21438">
      <c r="A21438" t="inlineStr">
        <is>
          <t>4064665161229</t>
        </is>
      </c>
      <c r="B21438" t="inlineStr">
        <is>
          <t>Opi Nail Lacquer - Oz-Mazing, 15ml, Lasts Up To 7 Days</t>
        </is>
      </c>
      <c r="C21438" t="inlineStr">
        <is>
          <t>Nail Polish</t>
        </is>
      </c>
      <c r="D21438" t="inlineStr">
        <is>
          <t>OPI</t>
        </is>
      </c>
      <c r="E21438" t="n">
        <v>3.66</v>
      </c>
      <c r="F21438" t="n">
        <v>1</v>
      </c>
      <c r="G21438" t="n">
        <v>15</v>
      </c>
      <c r="H21438" s="5">
        <f>HYPERLINK("https://api.qogita.com/variants/link/4064665161229/", "View Product")</f>
        <v/>
      </c>
    </row>
    <row r="21439">
      <c r="A21439" t="inlineStr">
        <is>
          <t>4064666001197</t>
        </is>
      </c>
      <c r="B21439" t="inlineStr">
        <is>
          <t>System Professional Extra Liquid Hair X4L</t>
        </is>
      </c>
      <c r="C21439" t="inlineStr">
        <is>
          <t>Hair Oil &amp; Hair Serum</t>
        </is>
      </c>
      <c r="D21439" t="inlineStr">
        <is>
          <t>System Professional</t>
        </is>
      </c>
      <c r="E21439" t="n">
        <v>64.48</v>
      </c>
      <c r="F21439" t="n">
        <v>1</v>
      </c>
      <c r="G21439" t="n">
        <v>1</v>
      </c>
      <c r="H21439" s="5">
        <f>HYPERLINK("https://api.qogita.com/variants/link/4064666001197/", "View Product")</f>
        <v/>
      </c>
    </row>
    <row r="21440">
      <c r="A21440" t="inlineStr">
        <is>
          <t>4064666005836</t>
        </is>
      </c>
      <c r="B21440" t="inlineStr">
        <is>
          <t>System Professional Volumize Shampoo</t>
        </is>
      </c>
      <c r="C21440" t="inlineStr">
        <is>
          <t>Shampoo</t>
        </is>
      </c>
      <c r="D21440" t="inlineStr">
        <is>
          <t>System Professional</t>
        </is>
      </c>
      <c r="E21440" t="n">
        <v>33.84</v>
      </c>
      <c r="F21440" t="n">
        <v>1</v>
      </c>
      <c r="G21440" t="n">
        <v>9</v>
      </c>
      <c r="H21440" s="5">
        <f>HYPERLINK("https://api.qogita.com/variants/link/4064666005836/", "View Product")</f>
        <v/>
      </c>
    </row>
    <row r="21441">
      <c r="A21441" t="inlineStr">
        <is>
          <t>4064666007038</t>
        </is>
      </c>
      <c r="B21441" t="inlineStr">
        <is>
          <t>System Professional Revitalizing Hair Emulsion Luxeoil - 50 Ml</t>
        </is>
      </c>
      <c r="C21441" t="inlineStr">
        <is>
          <t>Hair Oil &amp; Hair Serum</t>
        </is>
      </c>
      <c r="D21441" t="inlineStr">
        <is>
          <t>System Professional</t>
        </is>
      </c>
      <c r="E21441" t="n">
        <v>9.81</v>
      </c>
      <c r="F21441" t="n">
        <v>1</v>
      </c>
      <c r="G21441" t="n">
        <v>4</v>
      </c>
      <c r="H21441" s="5">
        <f>HYPERLINK("https://api.qogita.com/variants/link/4064666007038/", "View Product")</f>
        <v/>
      </c>
    </row>
    <row r="21442">
      <c r="A21442" t="inlineStr">
        <is>
          <t>4064666007793</t>
        </is>
      </c>
      <c r="B21442" t="inlineStr">
        <is>
          <t>System Professional Colorlock Stabilizing Emulsion For Colored Hair - 50 Ml</t>
        </is>
      </c>
      <c r="C21442" t="inlineStr">
        <is>
          <t>Conditioner</t>
        </is>
      </c>
      <c r="D21442" t="inlineStr">
        <is>
          <t>System Professional</t>
        </is>
      </c>
      <c r="E21442" t="n">
        <v>9.859999999999999</v>
      </c>
      <c r="F21442" t="n">
        <v>1</v>
      </c>
      <c r="G21442" t="n">
        <v>2</v>
      </c>
      <c r="H21442" s="5">
        <f>HYPERLINK("https://api.qogita.com/variants/link/4064666007793/", "View Product")</f>
        <v/>
      </c>
    </row>
    <row r="21443">
      <c r="A21443" t="inlineStr">
        <is>
          <t>4064666036144</t>
        </is>
      </c>
      <c r="B21443" t="inlineStr">
        <is>
          <t>Wella Professionals Elements Calming Shampoo 1000ml Soothing Hair Care</t>
        </is>
      </c>
      <c r="C21443" t="inlineStr">
        <is>
          <t>Shampoo</t>
        </is>
      </c>
      <c r="D21443" t="inlineStr">
        <is>
          <t>Wella Professionals</t>
        </is>
      </c>
      <c r="E21443" t="n">
        <v>19.69</v>
      </c>
      <c r="F21443" t="n">
        <v>1</v>
      </c>
      <c r="G21443" t="n">
        <v>32</v>
      </c>
      <c r="H21443" s="5">
        <f>HYPERLINK("https://api.qogita.com/variants/link/4064666036144/", "View Product")</f>
        <v/>
      </c>
    </row>
    <row r="21444">
      <c r="A21444" t="inlineStr">
        <is>
          <t>4064666041049</t>
        </is>
      </c>
      <c r="B21444" t="inlineStr">
        <is>
          <t>Wella Professionals Nutricurls Waves &amp; Curls Mask Smoothing Mask For Wavy And Curly Hair</t>
        </is>
      </c>
      <c r="C21444" t="inlineStr">
        <is>
          <t>Hair Masks</t>
        </is>
      </c>
      <c r="D21444" t="inlineStr">
        <is>
          <t>Wella Professionals</t>
        </is>
      </c>
      <c r="E21444" t="n">
        <v>11.82</v>
      </c>
      <c r="F21444" t="n">
        <v>1</v>
      </c>
      <c r="G21444" t="n">
        <v>4</v>
      </c>
      <c r="H21444" s="5">
        <f>HYPERLINK("https://api.qogita.com/variants/link/4064666041049/", "View Product")</f>
        <v/>
      </c>
    </row>
    <row r="21445">
      <c r="A21445" t="inlineStr">
        <is>
          <t>4064666041278</t>
        </is>
      </c>
      <c r="B21445" t="inlineStr">
        <is>
          <t>Sp Luxe Oil Keratin Boost Essence Hair Essence 100ml</t>
        </is>
      </c>
      <c r="C21445" t="inlineStr">
        <is>
          <t>Hair Oil &amp; Hair Serum</t>
        </is>
      </c>
      <c r="D21445" t="inlineStr">
        <is>
          <t>Sp</t>
        </is>
      </c>
      <c r="E21445" t="n">
        <v>7.46</v>
      </c>
      <c r="F21445" t="n">
        <v>1</v>
      </c>
      <c r="G21445" t="n">
        <v>54</v>
      </c>
      <c r="H21445" s="5">
        <f>HYPERLINK("https://api.qogita.com/variants/link/4064666041278/", "View Product")</f>
        <v/>
      </c>
    </row>
    <row r="21446">
      <c r="A21446" t="inlineStr">
        <is>
          <t>4064666042657</t>
        </is>
      </c>
      <c r="B21446" t="inlineStr">
        <is>
          <t>Wella Professional Blondor Seal Care Mask - Hair Mask</t>
        </is>
      </c>
      <c r="C21446" t="inlineStr">
        <is>
          <t>Hair Masks</t>
        </is>
      </c>
      <c r="D21446" t="inlineStr">
        <is>
          <t>Wella</t>
        </is>
      </c>
      <c r="E21446" t="n">
        <v>13.62</v>
      </c>
      <c r="F21446" t="n">
        <v>1</v>
      </c>
      <c r="G21446" t="n">
        <v>14</v>
      </c>
      <c r="H21446" s="5">
        <f>HYPERLINK("https://api.qogita.com/variants/link/4064666042657/", "View Product")</f>
        <v/>
      </c>
    </row>
    <row r="21447">
      <c r="A21447" t="inlineStr">
        <is>
          <t>4064666043395</t>
        </is>
      </c>
      <c r="B21447" t="inlineStr">
        <is>
          <t>Wella Professionals Sp Repair Mask Regenerating Hair Mask 400ml</t>
        </is>
      </c>
      <c r="C21447" t="inlineStr">
        <is>
          <t>Hair Masks</t>
        </is>
      </c>
      <c r="D21447" t="inlineStr">
        <is>
          <t>Wella Professionals</t>
        </is>
      </c>
      <c r="E21447" t="n">
        <v>15.15</v>
      </c>
      <c r="F21447" t="n">
        <v>1</v>
      </c>
      <c r="G21447" t="n">
        <v>6</v>
      </c>
      <c r="H21447" s="5">
        <f>HYPERLINK("https://api.qogita.com/variants/link/4064666043395/", "View Product")</f>
        <v/>
      </c>
    </row>
    <row r="21448">
      <c r="A21448" t="inlineStr">
        <is>
          <t>4064666043425</t>
        </is>
      </c>
      <c r="B21448" t="inlineStr">
        <is>
          <t>Wella Professionals Sp Balance Scalp Shampoo Gentle Cleansing Shampoo For Hair And Sensitive Scalp 250ml</t>
        </is>
      </c>
      <c r="C21448" t="inlineStr">
        <is>
          <t>Shampoo</t>
        </is>
      </c>
      <c r="D21448" t="inlineStr">
        <is>
          <t>Wella Professionals</t>
        </is>
      </c>
      <c r="E21448" t="n">
        <v>4.71</v>
      </c>
      <c r="F21448" t="n">
        <v>1</v>
      </c>
      <c r="G21448" t="n">
        <v>8</v>
      </c>
      <c r="H21448" s="5">
        <f>HYPERLINK("https://api.qogita.com/variants/link/4064666043425/", "View Product")</f>
        <v/>
      </c>
    </row>
    <row r="21449">
      <c r="A21449" t="inlineStr">
        <is>
          <t>4064666043609</t>
        </is>
      </c>
      <c r="B21449" t="inlineStr">
        <is>
          <t>Wella Professional Sp Hydrate Mask Hydrating Hair Mask 200ml</t>
        </is>
      </c>
      <c r="C21449" t="inlineStr">
        <is>
          <t>Hair Masks</t>
        </is>
      </c>
      <c r="D21449" t="inlineStr">
        <is>
          <t>Wella Professionals</t>
        </is>
      </c>
      <c r="E21449" t="n">
        <v>8.18</v>
      </c>
      <c r="F21449" t="n">
        <v>1</v>
      </c>
      <c r="G21449" t="n">
        <v>13</v>
      </c>
      <c r="H21449" s="5">
        <f>HYPERLINK("https://api.qogita.com/variants/link/4064666043609/", "View Product")</f>
        <v/>
      </c>
    </row>
    <row r="21450">
      <c r="A21450" t="inlineStr">
        <is>
          <t>4064666044231</t>
        </is>
      </c>
      <c r="B21450" t="inlineStr">
        <is>
          <t>Sebastian Professional Trilliance Shampoo 1000ml Professional Hair Care</t>
        </is>
      </c>
      <c r="C21450" t="inlineStr">
        <is>
          <t>Shampoo</t>
        </is>
      </c>
      <c r="D21450" t="inlineStr">
        <is>
          <t>Sebastian Professional</t>
        </is>
      </c>
      <c r="E21450" t="n">
        <v>28.16</v>
      </c>
      <c r="F21450" t="n">
        <v>1</v>
      </c>
      <c r="G21450" t="n">
        <v>7</v>
      </c>
      <c r="H21450" s="5">
        <f>HYPERLINK("https://api.qogita.com/variants/link/4064666044231/", "View Product")</f>
        <v/>
      </c>
    </row>
    <row r="21451">
      <c r="A21451" t="inlineStr">
        <is>
          <t>4064666052014</t>
        </is>
      </c>
      <c r="B21451" t="inlineStr">
        <is>
          <t>Sp Silver Blond Shampoo For Cool Blonde Shades 250ml</t>
        </is>
      </c>
      <c r="C21451" t="inlineStr">
        <is>
          <t>Shampoo</t>
        </is>
      </c>
      <c r="D21451" t="inlineStr">
        <is>
          <t>Sp</t>
        </is>
      </c>
      <c r="E21451" t="n">
        <v>5.64</v>
      </c>
      <c r="F21451" t="n">
        <v>1</v>
      </c>
      <c r="G21451" t="n">
        <v>90</v>
      </c>
      <c r="H21451" s="5">
        <f>HYPERLINK("https://api.qogita.com/variants/link/4064666052014/", "View Product")</f>
        <v/>
      </c>
    </row>
    <row r="21452">
      <c r="A21452" t="inlineStr">
        <is>
          <t>4064666058139</t>
        </is>
      </c>
      <c r="B21452" t="inlineStr">
        <is>
          <t>Wella Shinefinity Zero Lift Glaze 60ml 00/00</t>
        </is>
      </c>
      <c r="C21452" t="inlineStr">
        <is>
          <t>Color Rinse</t>
        </is>
      </c>
      <c r="D21452" t="inlineStr">
        <is>
          <t>Wella</t>
        </is>
      </c>
      <c r="E21452" t="n">
        <v>7.37</v>
      </c>
      <c r="F21452" t="n">
        <v>1</v>
      </c>
      <c r="G21452" t="n">
        <v>3</v>
      </c>
      <c r="H21452" s="5">
        <f>HYPERLINK("https://api.qogita.com/variants/link/4064666058139/", "View Product")</f>
        <v/>
      </c>
    </row>
    <row r="21453">
      <c r="A21453" t="inlineStr">
        <is>
          <t>4064666066806</t>
        </is>
      </c>
      <c r="B21453" t="inlineStr">
        <is>
          <t>Wella Potion 9 Styling Treatment 500ml By Wella And Sebastian</t>
        </is>
      </c>
      <c r="C21453" t="inlineStr">
        <is>
          <t>Leave-In Conditioner</t>
        </is>
      </c>
      <c r="D21453" t="inlineStr">
        <is>
          <t>Wella</t>
        </is>
      </c>
      <c r="E21453" t="n">
        <v>39.06</v>
      </c>
      <c r="F21453" t="n">
        <v>1</v>
      </c>
      <c r="G21453" t="n">
        <v>2</v>
      </c>
      <c r="H21453" s="5">
        <f>HYPERLINK("https://api.qogita.com/variants/link/4064666066806/", "View Product")</f>
        <v/>
      </c>
    </row>
    <row r="21454">
      <c r="A21454" t="inlineStr">
        <is>
          <t>4064666085784</t>
        </is>
      </c>
      <c r="B21454" t="inlineStr">
        <is>
          <t>System Professional Man Silver Shampoo 250ml</t>
        </is>
      </c>
      <c r="C21454" t="inlineStr">
        <is>
          <t>Shampoo</t>
        </is>
      </c>
      <c r="D21454" t="inlineStr">
        <is>
          <t>System Professional</t>
        </is>
      </c>
      <c r="E21454" t="n">
        <v>13.8</v>
      </c>
      <c r="F21454" t="n">
        <v>1</v>
      </c>
      <c r="G21454" t="n">
        <v>10</v>
      </c>
      <c r="H21454" s="5">
        <f>HYPERLINK("https://api.qogita.com/variants/link/4064666085784/", "View Product")</f>
        <v/>
      </c>
    </row>
    <row r="21455">
      <c r="A21455" t="inlineStr">
        <is>
          <t>4064666097510</t>
        </is>
      </c>
      <c r="B21455" t="inlineStr">
        <is>
          <t>Wella Professionals Sp Color Save Shampoo For Colored Hair 1000ml</t>
        </is>
      </c>
      <c r="C21455" t="inlineStr">
        <is>
          <t>Shampoo</t>
        </is>
      </c>
      <c r="D21455" t="inlineStr">
        <is>
          <t>Wella Professionals</t>
        </is>
      </c>
      <c r="E21455" t="n">
        <v>15.58</v>
      </c>
      <c r="F21455" t="n">
        <v>1</v>
      </c>
      <c r="G21455" t="n">
        <v>130</v>
      </c>
      <c r="H21455" s="5">
        <f>HYPERLINK("https://api.qogita.com/variants/link/4064666097510/", "View Product")</f>
        <v/>
      </c>
    </row>
    <row r="21456">
      <c r="A21456" t="inlineStr">
        <is>
          <t>4064666102382</t>
        </is>
      </c>
      <c r="B21456" t="inlineStr">
        <is>
          <t>Sebastian Professional Dark Oil Lightweight Mask for Smoothening and Nourishing</t>
        </is>
      </c>
      <c r="C21456" t="inlineStr">
        <is>
          <t>Hair Masks</t>
        </is>
      </c>
      <c r="D21456" t="inlineStr">
        <is>
          <t>Sebastian Professional</t>
        </is>
      </c>
      <c r="E21456" t="n">
        <v>38.74</v>
      </c>
      <c r="F21456" t="n">
        <v>1</v>
      </c>
      <c r="G21456" t="n">
        <v>16</v>
      </c>
      <c r="H21456" s="5">
        <f>HYPERLINK("https://api.qogita.com/variants/link/4064666102382/", "View Product")</f>
        <v/>
      </c>
    </row>
    <row r="21457">
      <c r="A21457" t="inlineStr">
        <is>
          <t>4064666102504</t>
        </is>
      </c>
      <c r="B21457" t="inlineStr">
        <is>
          <t>Sebastian Professional Trilliance Conditioner 1000ml</t>
        </is>
      </c>
      <c r="C21457" t="inlineStr">
        <is>
          <t>Conditioner</t>
        </is>
      </c>
      <c r="D21457" t="inlineStr">
        <is>
          <t>Sebastian Professional</t>
        </is>
      </c>
      <c r="E21457" t="n">
        <v>33.87</v>
      </c>
      <c r="F21457" t="n">
        <v>1</v>
      </c>
      <c r="G21457" t="n">
        <v>13</v>
      </c>
      <c r="H21457" s="5">
        <f>HYPERLINK("https://api.qogita.com/variants/link/4064666102504/", "View Product")</f>
        <v/>
      </c>
    </row>
    <row r="21458">
      <c r="A21458" t="inlineStr">
        <is>
          <t>4064666111469</t>
        </is>
      </c>
      <c r="B21458" t="inlineStr">
        <is>
          <t>Sebastian Professional Volupt Hairspray Volumizing Gel Heat</t>
        </is>
      </c>
      <c r="C21458" t="inlineStr">
        <is>
          <t>Hairspray</t>
        </is>
      </c>
      <c r="D21458" t="inlineStr">
        <is>
          <t>Sebastian</t>
        </is>
      </c>
      <c r="E21458" t="n">
        <v>13.62</v>
      </c>
      <c r="F21458" t="n">
        <v>1</v>
      </c>
      <c r="G21458" t="n">
        <v>31</v>
      </c>
      <c r="H21458" s="5">
        <f>HYPERLINK("https://api.qogita.com/variants/link/4064666111469/", "View Product")</f>
        <v/>
      </c>
    </row>
    <row r="21459">
      <c r="A21459" t="inlineStr">
        <is>
          <t>4064666210896</t>
        </is>
      </c>
      <c r="B21459" t="inlineStr">
        <is>
          <t>Sebastian Man Boss Shampoo 250 Milliliters</t>
        </is>
      </c>
      <c r="C21459" t="inlineStr">
        <is>
          <t>Shampoo</t>
        </is>
      </c>
      <c r="D21459" t="inlineStr">
        <is>
          <t>Sebastian</t>
        </is>
      </c>
      <c r="E21459" t="n">
        <v>5.95</v>
      </c>
      <c r="F21459" t="n">
        <v>1</v>
      </c>
      <c r="G21459" t="n">
        <v>7</v>
      </c>
      <c r="H21459" s="5">
        <f>HYPERLINK("https://api.qogita.com/variants/link/4064666210896/", "View Product")</f>
        <v/>
      </c>
    </row>
    <row r="21460">
      <c r="A21460" t="inlineStr">
        <is>
          <t>4064666211831</t>
        </is>
      </c>
      <c r="B21460" t="inlineStr">
        <is>
          <t>Londa Start Off Very Strong Hair Spray 500ml</t>
        </is>
      </c>
      <c r="C21460" t="inlineStr">
        <is>
          <t>Hairspray</t>
        </is>
      </c>
      <c r="D21460" t="inlineStr">
        <is>
          <t>Londa</t>
        </is>
      </c>
      <c r="E21460" t="n">
        <v>7.28</v>
      </c>
      <c r="F21460" t="n">
        <v>1</v>
      </c>
      <c r="G21460" t="n">
        <v>11</v>
      </c>
      <c r="H21460" s="5">
        <f>HYPERLINK("https://api.qogita.com/variants/link/4064666211831/", "View Product")</f>
        <v/>
      </c>
    </row>
    <row r="21461">
      <c r="A21461" t="inlineStr">
        <is>
          <t>4064666212197</t>
        </is>
      </c>
      <c r="B21461" t="inlineStr">
        <is>
          <t>Seb Man The Cooler Refreshing Leave-In Tonic</t>
        </is>
      </c>
      <c r="C21461" t="inlineStr">
        <is>
          <t>Hair Tonic</t>
        </is>
      </c>
      <c r="D21461" t="inlineStr">
        <is>
          <t>Seb Man</t>
        </is>
      </c>
      <c r="E21461" t="n">
        <v>15.54</v>
      </c>
      <c r="F21461" t="n">
        <v>1</v>
      </c>
      <c r="G21461" t="n">
        <v>21</v>
      </c>
      <c r="H21461" s="5">
        <f>HYPERLINK("https://api.qogita.com/variants/link/4064666212197/", "View Product")</f>
        <v/>
      </c>
    </row>
    <row r="21462">
      <c r="A21462" t="inlineStr">
        <is>
          <t>4064666212210</t>
        </is>
      </c>
      <c r="B21462" t="inlineStr">
        <is>
          <t>Wella Welloxon Perfect 6 20 Vol Activating Emulsion For Hair Dyes 1000ml</t>
        </is>
      </c>
      <c r="C21462" t="inlineStr">
        <is>
          <t>Hair Dye</t>
        </is>
      </c>
      <c r="D21462" t="inlineStr">
        <is>
          <t>Wella</t>
        </is>
      </c>
      <c r="E21462" t="n">
        <v>6.78</v>
      </c>
      <c r="F21462" t="n">
        <v>1</v>
      </c>
      <c r="G21462" t="n">
        <v>92</v>
      </c>
      <c r="H21462" s="5">
        <f>HYPERLINK("https://api.qogita.com/variants/link/4064666212210/", "View Product")</f>
        <v/>
      </c>
    </row>
    <row r="21463">
      <c r="A21463" t="inlineStr">
        <is>
          <t>4064666213293</t>
        </is>
      </c>
      <c r="B21463" t="inlineStr">
        <is>
          <t>Wella Professionals Performance Extra Strong Hair Spray 500ml</t>
        </is>
      </c>
      <c r="C21463" t="inlineStr">
        <is>
          <t>Hairspray</t>
        </is>
      </c>
      <c r="D21463" t="inlineStr">
        <is>
          <t>Wella Professionals</t>
        </is>
      </c>
      <c r="E21463" t="n">
        <v>5.19</v>
      </c>
      <c r="F21463" t="n">
        <v>1</v>
      </c>
      <c r="G21463" t="n">
        <v>6</v>
      </c>
      <c r="H21463" s="5">
        <f>HYPERLINK("https://api.qogita.com/variants/link/4064666213293/", "View Product")</f>
        <v/>
      </c>
    </row>
    <row r="21464">
      <c r="A21464" t="inlineStr">
        <is>
          <t>4064666216980</t>
        </is>
      </c>
      <c r="B21464" t="inlineStr">
        <is>
          <t>Londa Londacolor Cream Permanent Hair Color 60ml</t>
        </is>
      </c>
      <c r="C21464" t="inlineStr">
        <is>
          <t>Hair Dye</t>
        </is>
      </c>
      <c r="D21464" t="inlineStr">
        <is>
          <t>Londa</t>
        </is>
      </c>
      <c r="E21464" t="n">
        <v>3.36</v>
      </c>
      <c r="F21464" t="n">
        <v>1</v>
      </c>
      <c r="G21464" t="n">
        <v>5</v>
      </c>
      <c r="H21464" s="5">
        <f>HYPERLINK("https://api.qogita.com/variants/link/4064666216980/", "View Product")</f>
        <v/>
      </c>
    </row>
    <row r="21465">
      <c r="A21465" t="inlineStr">
        <is>
          <t>4064666218090</t>
        </is>
      </c>
      <c r="B21465" t="inlineStr">
        <is>
          <t>Wella Professionals Elements Nourishing Haircare Without Sulfates and Silicones Conditioner &amp; Hair Mask Treatment Leave-In Spray 150ml</t>
        </is>
      </c>
      <c r="C21465" t="inlineStr">
        <is>
          <t>Leave-In Conditioner</t>
        </is>
      </c>
      <c r="D21465" t="inlineStr">
        <is>
          <t>Wella</t>
        </is>
      </c>
      <c r="E21465" t="n">
        <v>12.44</v>
      </c>
      <c r="F21465" t="n">
        <v>1</v>
      </c>
      <c r="G21465" t="n">
        <v>30</v>
      </c>
      <c r="H21465" s="5">
        <f>HYPERLINK("https://api.qogita.com/variants/link/4064666218090/", "View Product")</f>
        <v/>
      </c>
    </row>
    <row r="21466">
      <c r="A21466" t="inlineStr">
        <is>
          <t>4064666225296</t>
        </is>
      </c>
      <c r="B21466" t="inlineStr">
        <is>
          <t>Sebastian Professional Hydre Moisturizing Shampoo For Dry And Damaged Hair 250ml</t>
        </is>
      </c>
      <c r="C21466" t="inlineStr">
        <is>
          <t>Shampoo</t>
        </is>
      </c>
      <c r="D21466" t="inlineStr">
        <is>
          <t>Sebastian Professional</t>
        </is>
      </c>
      <c r="E21466" t="n">
        <v>12.07</v>
      </c>
      <c r="F21466" t="n">
        <v>1</v>
      </c>
      <c r="G21466" t="n">
        <v>5</v>
      </c>
      <c r="H21466" s="5">
        <f>HYPERLINK("https://api.qogita.com/variants/link/4064666225296/", "View Product")</f>
        <v/>
      </c>
    </row>
    <row r="21467">
      <c r="A21467" t="inlineStr">
        <is>
          <t>4064666225395</t>
        </is>
      </c>
      <c r="B21467" t="inlineStr">
        <is>
          <t>Sebastian Professional Flaunt Shine Define 200ml Flexible Hold Shine Spray</t>
        </is>
      </c>
      <c r="C21467" t="inlineStr">
        <is>
          <t>Styling Sprays</t>
        </is>
      </c>
      <c r="D21467" t="inlineStr">
        <is>
          <t>Sebastian</t>
        </is>
      </c>
      <c r="E21467" t="n">
        <v>15.46</v>
      </c>
      <c r="F21467" t="n">
        <v>1</v>
      </c>
      <c r="G21467" t="n">
        <v>35</v>
      </c>
      <c r="H21467" s="5">
        <f>HYPERLINK("https://api.qogita.com/variants/link/4064666225395/", "View Product")</f>
        <v/>
      </c>
    </row>
    <row r="21468">
      <c r="A21468" t="inlineStr">
        <is>
          <t>4064666228976</t>
        </is>
      </c>
      <c r="B21468" t="inlineStr">
        <is>
          <t>EIMI Shape Me 150ml</t>
        </is>
      </c>
      <c r="C21468" t="inlineStr">
        <is>
          <t>Styling Creams</t>
        </is>
      </c>
      <c r="D21468" t="inlineStr">
        <is>
          <t>Eimi</t>
        </is>
      </c>
      <c r="E21468" t="n">
        <v>7.8</v>
      </c>
      <c r="F21468" t="n">
        <v>1</v>
      </c>
      <c r="G21468" t="n">
        <v>2</v>
      </c>
      <c r="H21468" s="5">
        <f>HYPERLINK("https://api.qogita.com/variants/link/4064666228976/", "View Product")</f>
        <v/>
      </c>
    </row>
    <row r="21469">
      <c r="A21469" t="inlineStr">
        <is>
          <t>4064666244242</t>
        </is>
      </c>
      <c r="B21469" t="inlineStr">
        <is>
          <t>Londa Professional Hair Care Pure Shampoo 250 Ml</t>
        </is>
      </c>
      <c r="C21469" t="inlineStr">
        <is>
          <t>Shampoo</t>
        </is>
      </c>
      <c r="D21469" t="inlineStr">
        <is>
          <t>Londa</t>
        </is>
      </c>
      <c r="E21469" t="n">
        <v>4.64</v>
      </c>
      <c r="F21469" t="n">
        <v>1</v>
      </c>
      <c r="G21469" t="n">
        <v>3</v>
      </c>
      <c r="H21469" s="5">
        <f>HYPERLINK("https://api.qogita.com/variants/link/4064666244242/", "View Product")</f>
        <v/>
      </c>
    </row>
    <row r="21470">
      <c r="A21470" t="inlineStr">
        <is>
          <t>4064666244389</t>
        </is>
      </c>
      <c r="B21470" t="inlineStr">
        <is>
          <t>Wella Professional Sp Luxeoil Keratin Conditioning Cream 200ml</t>
        </is>
      </c>
      <c r="C21470" t="inlineStr">
        <is>
          <t>Conditioner</t>
        </is>
      </c>
      <c r="D21470" t="inlineStr">
        <is>
          <t>Wella Professionals</t>
        </is>
      </c>
      <c r="E21470" t="n">
        <v>8.529999999999999</v>
      </c>
      <c r="F21470" t="n">
        <v>1</v>
      </c>
      <c r="G21470" t="n">
        <v>27</v>
      </c>
      <c r="H21470" s="5">
        <f>HYPERLINK("https://api.qogita.com/variants/link/4064666244389/", "View Product")</f>
        <v/>
      </c>
    </row>
    <row r="21471">
      <c r="A21471" t="inlineStr">
        <is>
          <t>4064666244785</t>
        </is>
      </c>
      <c r="B21471" t="inlineStr">
        <is>
          <t>Londa Toneplex Coffee Brown Mask 200 Ml</t>
        </is>
      </c>
      <c r="C21471" t="inlineStr">
        <is>
          <t>Hair Masks</t>
        </is>
      </c>
      <c r="D21471" t="inlineStr">
        <is>
          <t>Londa</t>
        </is>
      </c>
      <c r="E21471" t="n">
        <v>6.64</v>
      </c>
      <c r="F21471" t="n">
        <v>1</v>
      </c>
      <c r="G21471" t="n">
        <v>3</v>
      </c>
      <c r="H21471" s="5">
        <f>HYPERLINK("https://api.qogita.com/variants/link/4064666244785/", "View Product")</f>
        <v/>
      </c>
    </row>
    <row r="21472">
      <c r="A21472" t="inlineStr">
        <is>
          <t>4064666301419</t>
        </is>
      </c>
      <c r="B21472" t="inlineStr">
        <is>
          <t>Londa Professional Fiber Infusion Reconstructing Shampoo 1000ml</t>
        </is>
      </c>
      <c r="C21472" t="inlineStr">
        <is>
          <t>Shampoo</t>
        </is>
      </c>
      <c r="D21472" t="inlineStr">
        <is>
          <t>Londa Professional</t>
        </is>
      </c>
      <c r="E21472" t="n">
        <v>10.04</v>
      </c>
      <c r="F21472" t="n">
        <v>1</v>
      </c>
      <c r="G21472" t="n">
        <v>70</v>
      </c>
      <c r="H21472" s="5">
        <f>HYPERLINK("https://api.qogita.com/variants/link/4064666301419/", "View Product")</f>
        <v/>
      </c>
    </row>
    <row r="21473">
      <c r="A21473" t="inlineStr">
        <is>
          <t>4064666301990</t>
        </is>
      </c>
      <c r="B21473" t="inlineStr">
        <is>
          <t>SEB MAN The Multi-Tasker 3 in 1 Hair Wash for Beard and Body 250ml</t>
        </is>
      </c>
      <c r="C21473" t="inlineStr">
        <is>
          <t>Shower Gel</t>
        </is>
      </c>
      <c r="D21473" t="inlineStr">
        <is>
          <t>Seb Man</t>
        </is>
      </c>
      <c r="E21473" t="n">
        <v>6.15</v>
      </c>
      <c r="F21473" t="n">
        <v>1</v>
      </c>
      <c r="G21473" t="n">
        <v>14</v>
      </c>
      <c r="H21473" s="5">
        <f>HYPERLINK("https://api.qogita.com/variants/link/4064666301990/", "View Product")</f>
        <v/>
      </c>
    </row>
    <row r="21474">
      <c r="A21474" t="inlineStr">
        <is>
          <t>4064666302133</t>
        </is>
      </c>
      <c r="B21474" t="inlineStr">
        <is>
          <t>Londa Professional Velvet Oil Shampoo Nourishing Shampoo With Argan Oil 250ml</t>
        </is>
      </c>
      <c r="C21474" t="inlineStr">
        <is>
          <t>Shampoo</t>
        </is>
      </c>
      <c r="D21474" t="inlineStr">
        <is>
          <t>Londa Professional</t>
        </is>
      </c>
      <c r="E21474" t="n">
        <v>3.83</v>
      </c>
      <c r="F21474" t="n">
        <v>1</v>
      </c>
      <c r="G21474" t="n">
        <v>15</v>
      </c>
      <c r="H21474" s="5">
        <f>HYPERLINK("https://api.qogita.com/variants/link/4064666302133/", "View Product")</f>
        <v/>
      </c>
    </row>
    <row r="21475">
      <c r="A21475" t="inlineStr">
        <is>
          <t>4064666302379</t>
        </is>
      </c>
      <c r="B21475" t="inlineStr">
        <is>
          <t>Wella Professionals Sp Clear Scalp Shampoo Gentle Cleansing Shampoo For Hair And Scalp 250ml</t>
        </is>
      </c>
      <c r="C21475" t="inlineStr">
        <is>
          <t>Shampoo</t>
        </is>
      </c>
      <c r="D21475" t="inlineStr">
        <is>
          <t>Wella Professionals</t>
        </is>
      </c>
      <c r="E21475" t="n">
        <v>4.83</v>
      </c>
      <c r="F21475" t="n">
        <v>1</v>
      </c>
      <c r="G21475" t="n">
        <v>9</v>
      </c>
      <c r="H21475" s="5">
        <f>HYPERLINK("https://api.qogita.com/variants/link/4064666302379/", "View Product")</f>
        <v/>
      </c>
    </row>
    <row r="21476">
      <c r="A21476" t="inlineStr">
        <is>
          <t>4064666302393</t>
        </is>
      </c>
      <c r="B21476" t="inlineStr">
        <is>
          <t>Sp Wella Professional Clear Scalp Shampeeling 150ml Intensive Antidandruff Shampoo</t>
        </is>
      </c>
      <c r="C21476" t="inlineStr">
        <is>
          <t>Shampoo</t>
        </is>
      </c>
      <c r="D21476" t="inlineStr">
        <is>
          <t>Wella Professionals</t>
        </is>
      </c>
      <c r="E21476" t="n">
        <v>7.45</v>
      </c>
      <c r="F21476" t="n">
        <v>1</v>
      </c>
      <c r="G21476" t="n">
        <v>74</v>
      </c>
      <c r="H21476" s="5">
        <f>HYPERLINK("https://api.qogita.com/variants/link/4064666302393/", "View Product")</f>
        <v/>
      </c>
    </row>
    <row r="21477">
      <c r="A21477" t="inlineStr">
        <is>
          <t>4064666302409</t>
        </is>
      </c>
      <c r="B21477" t="inlineStr">
        <is>
          <t>System Professional Purify Shampoo</t>
        </is>
      </c>
      <c r="C21477" t="inlineStr">
        <is>
          <t>Shampoo</t>
        </is>
      </c>
      <c r="D21477" t="inlineStr">
        <is>
          <t>System Professional</t>
        </is>
      </c>
      <c r="E21477" t="n">
        <v>33.19</v>
      </c>
      <c r="F21477" t="n">
        <v>1</v>
      </c>
      <c r="G21477" t="n">
        <v>3</v>
      </c>
      <c r="H21477" s="5">
        <f>HYPERLINK("https://api.qogita.com/variants/link/4064666302409/", "View Product")</f>
        <v/>
      </c>
    </row>
    <row r="21478">
      <c r="A21478" t="inlineStr">
        <is>
          <t>4064666302447</t>
        </is>
      </c>
      <c r="B21478" t="inlineStr">
        <is>
          <t>Seb Man The Purist Purifying Shampoo 250ml</t>
        </is>
      </c>
      <c r="C21478" t="inlineStr">
        <is>
          <t>Shampoo</t>
        </is>
      </c>
      <c r="D21478" t="inlineStr">
        <is>
          <t>Seb Man</t>
        </is>
      </c>
      <c r="E21478" t="n">
        <v>7.62</v>
      </c>
      <c r="F21478" t="n">
        <v>1</v>
      </c>
      <c r="G21478" t="n">
        <v>11</v>
      </c>
      <c r="H21478" s="5">
        <f>HYPERLINK("https://api.qogita.com/variants/link/4064666302447/", "View Product")</f>
        <v/>
      </c>
    </row>
    <row r="21479">
      <c r="A21479" t="inlineStr">
        <is>
          <t>4064666307893</t>
        </is>
      </c>
      <c r="B21479" t="inlineStr">
        <is>
          <t>Londa Professional Scalp Dandruff Control Anti-Dandruff Shampoo 250ml</t>
        </is>
      </c>
      <c r="C21479" t="inlineStr">
        <is>
          <t>Shampoo</t>
        </is>
      </c>
      <c r="D21479" t="inlineStr">
        <is>
          <t>Londa Professional</t>
        </is>
      </c>
      <c r="E21479" t="n">
        <v>3.18</v>
      </c>
      <c r="F21479" t="n">
        <v>1</v>
      </c>
      <c r="G21479" t="n">
        <v>11</v>
      </c>
      <c r="H21479" s="5">
        <f>HYPERLINK("https://api.qogita.com/variants/link/4064666307893/", "View Product")</f>
        <v/>
      </c>
    </row>
    <row r="21480">
      <c r="A21480" t="inlineStr">
        <is>
          <t>4064666309774</t>
        </is>
      </c>
      <c r="B21480" t="inlineStr">
        <is>
          <t>Wella Professionals Eimi Texture Touch Light Mattifying Clay For Hair 75ml</t>
        </is>
      </c>
      <c r="C21480" t="inlineStr">
        <is>
          <t>Wax</t>
        </is>
      </c>
      <c r="D21480" t="inlineStr">
        <is>
          <t>Wella Professionals</t>
        </is>
      </c>
      <c r="E21480" t="n">
        <v>7.45</v>
      </c>
      <c r="F21480" t="n">
        <v>1</v>
      </c>
      <c r="G21480" t="n">
        <v>2</v>
      </c>
      <c r="H21480" s="5">
        <f>HYPERLINK("https://api.qogita.com/variants/link/4064666309774/", "View Product")</f>
        <v/>
      </c>
    </row>
    <row r="21481">
      <c r="A21481" t="inlineStr">
        <is>
          <t>4064666314358</t>
        </is>
      </c>
      <c r="B21481" t="inlineStr">
        <is>
          <t>Londa Shape it Hair Spray without Propellant 250ml</t>
        </is>
      </c>
      <c r="C21481" t="inlineStr">
        <is>
          <t>Hairspray</t>
        </is>
      </c>
      <c r="D21481" t="inlineStr">
        <is>
          <t>Londa</t>
        </is>
      </c>
      <c r="E21481" t="n">
        <v>5.47</v>
      </c>
      <c r="F21481" t="n">
        <v>1</v>
      </c>
      <c r="G21481" t="n">
        <v>7</v>
      </c>
      <c r="H21481" s="5">
        <f>HYPERLINK("https://api.qogita.com/variants/link/4064666314358/", "View Product")</f>
        <v/>
      </c>
    </row>
    <row r="21482">
      <c r="A21482" t="inlineStr">
        <is>
          <t>4064666316147</t>
        </is>
      </c>
      <c r="B21482" t="inlineStr">
        <is>
          <t>Wella Professional Color Motion Structure Mask Regenerating Mask For Colored Hair 150ml</t>
        </is>
      </c>
      <c r="C21482" t="inlineStr">
        <is>
          <t>Hair Masks</t>
        </is>
      </c>
      <c r="D21482" t="inlineStr">
        <is>
          <t>Wella Professionals</t>
        </is>
      </c>
      <c r="E21482" t="n">
        <v>12.33</v>
      </c>
      <c r="F21482" t="n">
        <v>1</v>
      </c>
      <c r="G21482" t="n">
        <v>2</v>
      </c>
      <c r="H21482" s="5">
        <f>HYPERLINK("https://api.qogita.com/variants/link/4064666316147/", "View Product")</f>
        <v/>
      </c>
    </row>
    <row r="21483">
      <c r="A21483" t="inlineStr">
        <is>
          <t>4064666316291</t>
        </is>
      </c>
      <c r="B21483" t="inlineStr">
        <is>
          <t>Wella Professionals Invigo Color Brilliance Conditioner for Coarse Hair 150ml</t>
        </is>
      </c>
      <c r="C21483" t="inlineStr">
        <is>
          <t>Conditioner</t>
        </is>
      </c>
      <c r="D21483" t="inlineStr">
        <is>
          <t>Wella Professionals</t>
        </is>
      </c>
      <c r="E21483" t="n">
        <v>7.19</v>
      </c>
      <c r="F21483" t="n">
        <v>1</v>
      </c>
      <c r="G21483" t="n">
        <v>2</v>
      </c>
      <c r="H21483" s="5">
        <f>HYPERLINK("https://api.qogita.com/variants/link/4064666316291/", "View Product")</f>
        <v/>
      </c>
    </row>
    <row r="21484">
      <c r="A21484" t="inlineStr">
        <is>
          <t>4064666317410</t>
        </is>
      </c>
      <c r="B21484" t="inlineStr">
        <is>
          <t>Sebastian Professional Hydre Conditioner Hydrating Conditioner 1000ml</t>
        </is>
      </c>
      <c r="C21484" t="inlineStr">
        <is>
          <t>Conditioner</t>
        </is>
      </c>
      <c r="D21484" t="inlineStr">
        <is>
          <t>Sebastian Professional</t>
        </is>
      </c>
      <c r="E21484" t="n">
        <v>31.44</v>
      </c>
      <c r="F21484" t="n">
        <v>1</v>
      </c>
      <c r="G21484" t="n">
        <v>2</v>
      </c>
      <c r="H21484" s="5">
        <f>HYPERLINK("https://api.qogita.com/variants/link/4064666317410/", "View Product")</f>
        <v/>
      </c>
    </row>
    <row r="21485">
      <c r="A21485" t="inlineStr">
        <is>
          <t>4064666317984</t>
        </is>
      </c>
      <c r="B21485" t="inlineStr">
        <is>
          <t>Londa Professional Visible Repair Intensive Mask 200ml</t>
        </is>
      </c>
      <c r="C21485" t="inlineStr">
        <is>
          <t>Hair Masks</t>
        </is>
      </c>
      <c r="D21485" t="inlineStr">
        <is>
          <t>Londa</t>
        </is>
      </c>
      <c r="E21485" t="n">
        <v>6.88</v>
      </c>
      <c r="F21485" t="n">
        <v>1</v>
      </c>
      <c r="G21485" t="n">
        <v>7</v>
      </c>
      <c r="H21485" s="5">
        <f>HYPERLINK("https://api.qogita.com/variants/link/4064666317984/", "View Product")</f>
        <v/>
      </c>
    </row>
    <row r="21486">
      <c r="A21486" t="inlineStr">
        <is>
          <t>4064666321486</t>
        </is>
      </c>
      <c r="B21486" t="inlineStr">
        <is>
          <t>Wella System P. Repair Conditioner</t>
        </is>
      </c>
      <c r="C21486" t="inlineStr">
        <is>
          <t>Conditioner</t>
        </is>
      </c>
      <c r="D21486" t="inlineStr">
        <is>
          <t>Sp</t>
        </is>
      </c>
      <c r="E21486" t="n">
        <v>15.34</v>
      </c>
      <c r="F21486" t="n">
        <v>1</v>
      </c>
      <c r="G21486" t="n">
        <v>5</v>
      </c>
      <c r="H21486" s="5">
        <f>HYPERLINK("https://api.qogita.com/variants/link/4064666321486/", "View Product")</f>
        <v/>
      </c>
    </row>
    <row r="21487">
      <c r="A21487" t="inlineStr">
        <is>
          <t>4064666321820</t>
        </is>
      </c>
      <c r="B21487" t="inlineStr">
        <is>
          <t>Nioxin Scalp Recovery Pyrithione Zinc Moisturizing Conditioner Moisturizing Conditioner Against Dandruff</t>
        </is>
      </c>
      <c r="C21487" t="inlineStr">
        <is>
          <t>Conditioner</t>
        </is>
      </c>
      <c r="D21487" t="inlineStr">
        <is>
          <t>Nioxin</t>
        </is>
      </c>
      <c r="E21487" t="n">
        <v>16.9</v>
      </c>
      <c r="F21487" t="n">
        <v>1</v>
      </c>
      <c r="G21487" t="n">
        <v>6</v>
      </c>
      <c r="H21487" s="5">
        <f>HYPERLINK("https://api.qogita.com/variants/link/4064666321820/", "View Product")</f>
        <v/>
      </c>
    </row>
    <row r="21488">
      <c r="A21488" t="inlineStr">
        <is>
          <t>4064666326023</t>
        </is>
      </c>
      <c r="B21488" t="inlineStr">
        <is>
          <t>Sebastian Foundation Penetraitt Overnight Repairing Serum 95ml</t>
        </is>
      </c>
      <c r="C21488" t="inlineStr">
        <is>
          <t>Hair Oil &amp; Hair Serum</t>
        </is>
      </c>
      <c r="D21488" t="inlineStr">
        <is>
          <t>Sebastian</t>
        </is>
      </c>
      <c r="E21488" t="n">
        <v>14.44</v>
      </c>
      <c r="F21488" t="n">
        <v>1</v>
      </c>
      <c r="G21488" t="n">
        <v>14</v>
      </c>
      <c r="H21488" s="5">
        <f>HYPERLINK("https://api.qogita.com/variants/link/4064666326023/", "View Product")</f>
        <v/>
      </c>
    </row>
    <row r="21489">
      <c r="A21489" t="inlineStr">
        <is>
          <t>4064666329680</t>
        </is>
      </c>
      <c r="B21489" t="inlineStr">
        <is>
          <t>Wella Shinefinity Zero Lift Glaze 60ml</t>
        </is>
      </c>
      <c r="C21489" t="inlineStr">
        <is>
          <t>Hair Care Sets</t>
        </is>
      </c>
      <c r="D21489" t="inlineStr">
        <is>
          <t>Wella</t>
        </is>
      </c>
      <c r="E21489" t="n">
        <v>7.37</v>
      </c>
      <c r="F21489" t="n">
        <v>1</v>
      </c>
      <c r="G21489" t="n">
        <v>2</v>
      </c>
      <c r="H21489" s="5">
        <f>HYPERLINK("https://api.qogita.com/variants/link/4064666329680/", "View Product")</f>
        <v/>
      </c>
    </row>
    <row r="21490">
      <c r="A21490" t="inlineStr">
        <is>
          <t>4064666336206</t>
        </is>
      </c>
      <c r="B21490" t="inlineStr">
        <is>
          <t>Wella Professionals Ultimate Repair Conditioner 500ml</t>
        </is>
      </c>
      <c r="C21490" t="inlineStr">
        <is>
          <t>Conditioner</t>
        </is>
      </c>
      <c r="D21490" t="inlineStr">
        <is>
          <t>Wella Professionals</t>
        </is>
      </c>
      <c r="E21490" t="n">
        <v>30.74</v>
      </c>
      <c r="F21490" t="n">
        <v>1</v>
      </c>
      <c r="G21490" t="n">
        <v>3</v>
      </c>
      <c r="H21490" s="5">
        <f>HYPERLINK("https://api.qogita.com/variants/link/4064666336206/", "View Product")</f>
        <v/>
      </c>
    </row>
    <row r="21491">
      <c r="A21491" t="inlineStr">
        <is>
          <t>4064666339061</t>
        </is>
      </c>
      <c r="B21491" t="inlineStr">
        <is>
          <t>Wella Professionals Invigo Blonde Recharge Shampoo 1000ml</t>
        </is>
      </c>
      <c r="C21491" t="inlineStr">
        <is>
          <t>Shampoo</t>
        </is>
      </c>
      <c r="D21491" t="inlineStr">
        <is>
          <t>Wella Professionals</t>
        </is>
      </c>
      <c r="E21491" t="n">
        <v>16.84</v>
      </c>
      <c r="F21491" t="n">
        <v>1</v>
      </c>
      <c r="G21491" t="n">
        <v>21</v>
      </c>
      <c r="H21491" s="5">
        <f>HYPERLINK("https://api.qogita.com/variants/link/4064666339061/", "View Product")</f>
        <v/>
      </c>
    </row>
    <row r="21492">
      <c r="A21492" t="inlineStr">
        <is>
          <t>4064666339085</t>
        </is>
      </c>
      <c r="B21492" t="inlineStr">
        <is>
          <t>Wella Professionals Nourishing Mask For Dry And Damaged Hair Invigo Nutrienrich Deep Nourishing Mask 75ml</t>
        </is>
      </c>
      <c r="C21492" t="inlineStr">
        <is>
          <t>Hair Masks</t>
        </is>
      </c>
      <c r="D21492" t="inlineStr">
        <is>
          <t>Wella Professionals</t>
        </is>
      </c>
      <c r="E21492" t="n">
        <v>4.97</v>
      </c>
      <c r="F21492" t="n">
        <v>1</v>
      </c>
      <c r="G21492" t="n">
        <v>3</v>
      </c>
      <c r="H21492" s="5">
        <f>HYPERLINK("https://api.qogita.com/variants/link/4064666339085/", "View Product")</f>
        <v/>
      </c>
    </row>
    <row r="21493">
      <c r="A21493" t="inlineStr">
        <is>
          <t>4064666339238</t>
        </is>
      </c>
      <c r="B21493" t="inlineStr">
        <is>
          <t>Wella Professionals Invigo Color Brilliance Color Protection Shampoo For Coarse Colored Hair 300ml</t>
        </is>
      </c>
      <c r="C21493" t="inlineStr">
        <is>
          <t>Shampoo</t>
        </is>
      </c>
      <c r="D21493" t="inlineStr">
        <is>
          <t>Wella Professionals</t>
        </is>
      </c>
      <c r="E21493" t="n">
        <v>8.210000000000001</v>
      </c>
      <c r="F21493" t="n">
        <v>1</v>
      </c>
      <c r="G21493" t="n">
        <v>21</v>
      </c>
      <c r="H21493" s="5">
        <f>HYPERLINK("https://api.qogita.com/variants/link/4064666339238/", "View Product")</f>
        <v/>
      </c>
    </row>
    <row r="21494">
      <c r="A21494" t="inlineStr">
        <is>
          <t>4064666339801</t>
        </is>
      </c>
      <c r="B21494" t="inlineStr">
        <is>
          <t>Wella Professionals Invigo Blonde Recharge Shampoo for Highlighted Cool Blonde or Silver Hair 500ml</t>
        </is>
      </c>
      <c r="C21494" t="inlineStr">
        <is>
          <t>Shampoo</t>
        </is>
      </c>
      <c r="D21494" t="inlineStr">
        <is>
          <t>Wella</t>
        </is>
      </c>
      <c r="E21494" t="n">
        <v>11.59</v>
      </c>
      <c r="F21494" t="n">
        <v>1</v>
      </c>
      <c r="G21494" t="n">
        <v>5</v>
      </c>
      <c r="H21494" s="5">
        <f>HYPERLINK("https://api.qogita.com/variants/link/4064666339801/", "View Product")</f>
        <v/>
      </c>
    </row>
    <row r="21495">
      <c r="A21495" t="inlineStr">
        <is>
          <t>4064666579894</t>
        </is>
      </c>
      <c r="B21495" t="inlineStr">
        <is>
          <t>Wella Ultimate Repair Shampoo 100ml</t>
        </is>
      </c>
      <c r="C21495" t="inlineStr">
        <is>
          <t>Shampoo</t>
        </is>
      </c>
      <c r="D21495" t="inlineStr">
        <is>
          <t>Wella</t>
        </is>
      </c>
      <c r="E21495" t="n">
        <v>6.39</v>
      </c>
      <c r="F21495" t="n">
        <v>1</v>
      </c>
      <c r="G21495" t="n">
        <v>5</v>
      </c>
      <c r="H21495" s="5">
        <f>HYPERLINK("https://api.qogita.com/variants/link/4064666579894/", "View Product")</f>
        <v/>
      </c>
    </row>
    <row r="21496">
      <c r="A21496" t="inlineStr">
        <is>
          <t>4064666580005</t>
        </is>
      </c>
      <c r="B21496" t="inlineStr">
        <is>
          <t>Wella Professionals Ultimate Repair Miracle Hair Rescue Spray 30ml</t>
        </is>
      </c>
      <c r="C21496" t="inlineStr">
        <is>
          <t>Leave-In Conditioner</t>
        </is>
      </c>
      <c r="D21496" t="inlineStr">
        <is>
          <t>Wella Professionals</t>
        </is>
      </c>
      <c r="E21496" t="n">
        <v>14.56</v>
      </c>
      <c r="F21496" t="n">
        <v>1</v>
      </c>
      <c r="G21496" t="n">
        <v>32</v>
      </c>
      <c r="H21496" s="5">
        <f>HYPERLINK("https://api.qogita.com/variants/link/4064666580005/", "View Product")</f>
        <v/>
      </c>
    </row>
    <row r="21497">
      <c r="A21497" t="inlineStr">
        <is>
          <t>4064666583389</t>
        </is>
      </c>
      <c r="B21497" t="inlineStr">
        <is>
          <t>Wella Professionals Nutricurls Shampoo For Curly Hair 1000ml</t>
        </is>
      </c>
      <c r="C21497" t="inlineStr">
        <is>
          <t>Shampoo</t>
        </is>
      </c>
      <c r="D21497" t="inlineStr">
        <is>
          <t>Wella Professionals</t>
        </is>
      </c>
      <c r="E21497" t="n">
        <v>23.18</v>
      </c>
      <c r="F21497" t="n">
        <v>1</v>
      </c>
      <c r="G21497" t="n">
        <v>5</v>
      </c>
      <c r="H21497" s="5">
        <f>HYPERLINK("https://api.qogita.com/variants/link/4064666583389/", "View Product")</f>
        <v/>
      </c>
    </row>
    <row r="21498">
      <c r="A21498" t="inlineStr">
        <is>
          <t>4064666583723</t>
        </is>
      </c>
      <c r="B21498" t="inlineStr">
        <is>
          <t>Wella Professionals Elements Renewing Shampoo 250ml</t>
        </is>
      </c>
      <c r="C21498" t="inlineStr">
        <is>
          <t>Shampoo</t>
        </is>
      </c>
      <c r="D21498" t="inlineStr">
        <is>
          <t>Wella Professionals</t>
        </is>
      </c>
      <c r="E21498" t="n">
        <v>8.58</v>
      </c>
      <c r="F21498" t="n">
        <v>1</v>
      </c>
      <c r="G21498" t="n">
        <v>3</v>
      </c>
      <c r="H21498" s="5">
        <f>HYPERLINK("https://api.qogita.com/variants/link/4064666583723/", "View Product")</f>
        <v/>
      </c>
    </row>
    <row r="21499">
      <c r="A21499" t="inlineStr">
        <is>
          <t>4064666585321</t>
        </is>
      </c>
      <c r="B21499" t="inlineStr">
        <is>
          <t>Wella Professionals Invigo Balance Anti Dandruff Shampoo 300ml Soothing Shampoo For Hair With Dandruff And Irritated Scalp</t>
        </is>
      </c>
      <c r="C21499" t="inlineStr">
        <is>
          <t>Shampoo</t>
        </is>
      </c>
      <c r="D21499" t="inlineStr">
        <is>
          <t>Wella Professionals</t>
        </is>
      </c>
      <c r="E21499" t="n">
        <v>8.039999999999999</v>
      </c>
      <c r="F21499" t="n">
        <v>1</v>
      </c>
      <c r="G21499" t="n">
        <v>3</v>
      </c>
      <c r="H21499" s="5">
        <f>HYPERLINK("https://api.qogita.com/variants/link/4064666585321/", "View Product")</f>
        <v/>
      </c>
    </row>
    <row r="21500">
      <c r="A21500" t="inlineStr">
        <is>
          <t>4064666585413</t>
        </is>
      </c>
      <c r="B21500" t="inlineStr">
        <is>
          <t>Wella Professionals Invigo Volume Boost Shampoo 1000ml</t>
        </is>
      </c>
      <c r="C21500" t="inlineStr">
        <is>
          <t>Shampoo</t>
        </is>
      </c>
      <c r="D21500" t="inlineStr">
        <is>
          <t>Wella Professionals</t>
        </is>
      </c>
      <c r="E21500" t="n">
        <v>18.18</v>
      </c>
      <c r="F21500" t="n">
        <v>1</v>
      </c>
      <c r="G21500" t="n">
        <v>27</v>
      </c>
      <c r="H21500" s="5">
        <f>HYPERLINK("https://api.qogita.com/variants/link/4064666585413/", "View Product")</f>
        <v/>
      </c>
    </row>
    <row r="21501">
      <c r="A21501" t="inlineStr">
        <is>
          <t>4064666585437</t>
        </is>
      </c>
      <c r="B21501" t="inlineStr">
        <is>
          <t>Wella Professionals Invigo Volume Boost Shampoo 500ml</t>
        </is>
      </c>
      <c r="C21501" t="inlineStr">
        <is>
          <t>Shampoo</t>
        </is>
      </c>
      <c r="D21501" t="inlineStr">
        <is>
          <t>Wella Professionals</t>
        </is>
      </c>
      <c r="E21501" t="n">
        <v>11.68</v>
      </c>
      <c r="F21501" t="n">
        <v>1</v>
      </c>
      <c r="G21501" t="n">
        <v>6</v>
      </c>
      <c r="H21501" s="5">
        <f>HYPERLINK("https://api.qogita.com/variants/link/4064666585437/", "View Product")</f>
        <v/>
      </c>
    </row>
    <row r="21502">
      <c r="A21502" t="inlineStr">
        <is>
          <t>4064666585444</t>
        </is>
      </c>
      <c r="B21502" t="inlineStr">
        <is>
          <t>Wella Professionals Invigo Volume Boost Shampoo 300ml</t>
        </is>
      </c>
      <c r="C21502" t="inlineStr">
        <is>
          <t>Shampoo</t>
        </is>
      </c>
      <c r="D21502" t="inlineStr">
        <is>
          <t>Wella Professionals</t>
        </is>
      </c>
      <c r="E21502" t="n">
        <v>7.97</v>
      </c>
      <c r="F21502" t="n">
        <v>1</v>
      </c>
      <c r="G21502" t="n">
        <v>5</v>
      </c>
      <c r="H21502" s="5">
        <f>HYPERLINK("https://api.qogita.com/variants/link/4064666585444/", "View Product")</f>
        <v/>
      </c>
    </row>
    <row r="21503">
      <c r="A21503" t="inlineStr">
        <is>
          <t>4064666585499</t>
        </is>
      </c>
      <c r="B21503" t="inlineStr">
        <is>
          <t>Wella Professional Invigo Color Brilliance Vibrant Color Mask 150 Ml</t>
        </is>
      </c>
      <c r="C21503" t="inlineStr">
        <is>
          <t>Hair Masks</t>
        </is>
      </c>
      <c r="D21503" t="inlineStr">
        <is>
          <t>Wella Professionals</t>
        </is>
      </c>
      <c r="E21503" t="n">
        <v>4.73</v>
      </c>
      <c r="F21503" t="n">
        <v>1</v>
      </c>
      <c r="G21503" t="n">
        <v>10</v>
      </c>
      <c r="H21503" s="5">
        <f>HYPERLINK("https://api.qogita.com/variants/link/4064666585499/", "View Product")</f>
        <v/>
      </c>
    </row>
    <row r="21504">
      <c r="A21504" t="inlineStr">
        <is>
          <t>4064666585598</t>
        </is>
      </c>
      <c r="B21504" t="inlineStr">
        <is>
          <t>Wella Professionals Invigo Nutrienrich Mask 150ml</t>
        </is>
      </c>
      <c r="C21504" t="inlineStr">
        <is>
          <t>Hair Masks</t>
        </is>
      </c>
      <c r="D21504" t="inlineStr">
        <is>
          <t>Wella Professionals</t>
        </is>
      </c>
      <c r="E21504" t="n">
        <v>10.48</v>
      </c>
      <c r="F21504" t="n">
        <v>1</v>
      </c>
      <c r="G21504" t="n">
        <v>14</v>
      </c>
      <c r="H21504" s="5">
        <f>HYPERLINK("https://api.qogita.com/variants/link/4064666585598/", "View Product")</f>
        <v/>
      </c>
    </row>
    <row r="21505">
      <c r="A21505" t="inlineStr">
        <is>
          <t>4064666585666</t>
        </is>
      </c>
      <c r="B21505" t="inlineStr">
        <is>
          <t>Wella Professional Invigo Nutrienrich Wonder Balm For Dry And Damaged Hair</t>
        </is>
      </c>
      <c r="C21505" t="inlineStr">
        <is>
          <t>Leave-In Conditioner</t>
        </is>
      </c>
      <c r="D21505" t="inlineStr">
        <is>
          <t>Wella Professionals</t>
        </is>
      </c>
      <c r="E21505" t="n">
        <v>10.64</v>
      </c>
      <c r="F21505" t="n">
        <v>1</v>
      </c>
      <c r="G21505" t="n">
        <v>5</v>
      </c>
      <c r="H21505" s="5">
        <f>HYPERLINK("https://api.qogita.com/variants/link/4064666585666/", "View Product")</f>
        <v/>
      </c>
    </row>
    <row r="21506">
      <c r="A21506" t="inlineStr">
        <is>
          <t>4064666585673</t>
        </is>
      </c>
      <c r="B21506" t="inlineStr">
        <is>
          <t>Wella Professionals Invigo Nutri Enrich Deep Nourishing Mask 500ml</t>
        </is>
      </c>
      <c r="C21506" t="inlineStr">
        <is>
          <t>Hair Masks</t>
        </is>
      </c>
      <c r="D21506" t="inlineStr">
        <is>
          <t>Wella Professionals</t>
        </is>
      </c>
      <c r="E21506" t="n">
        <v>18.67</v>
      </c>
      <c r="F21506" t="n">
        <v>1</v>
      </c>
      <c r="G21506" t="n">
        <v>30</v>
      </c>
      <c r="H21506" s="5">
        <f>HYPERLINK("https://api.qogita.com/variants/link/4064666585673/", "View Product")</f>
        <v/>
      </c>
    </row>
    <row r="21507">
      <c r="A21507" t="inlineStr">
        <is>
          <t>4064666585741</t>
        </is>
      </c>
      <c r="B21507" t="inlineStr">
        <is>
          <t>Wella Professionals Invigo Color Brilliance Mask Fine To Medium Coloured Hair 150ml</t>
        </is>
      </c>
      <c r="C21507" t="inlineStr">
        <is>
          <t>Hair Masks</t>
        </is>
      </c>
      <c r="D21507" t="inlineStr">
        <is>
          <t>Wella Professionals</t>
        </is>
      </c>
      <c r="E21507" t="n">
        <v>9.58</v>
      </c>
      <c r="F21507" t="n">
        <v>1</v>
      </c>
      <c r="G21507" t="n">
        <v>8</v>
      </c>
      <c r="H21507" s="5">
        <f>HYPERLINK("https://api.qogita.com/variants/link/4064666585741/", "View Product")</f>
        <v/>
      </c>
    </row>
    <row r="21508">
      <c r="A21508" t="inlineStr">
        <is>
          <t>4064666715322</t>
        </is>
      </c>
      <c r="B21508" t="inlineStr">
        <is>
          <t>Wella Professional Color Fresh Mask Coloring And Caring Hair Mask 500 Ml Golden Gloss</t>
        </is>
      </c>
      <c r="C21508" t="inlineStr">
        <is>
          <t>Hair Masks</t>
        </is>
      </c>
      <c r="D21508" t="inlineStr">
        <is>
          <t>Wella Professionals</t>
        </is>
      </c>
      <c r="E21508" t="n">
        <v>23.86</v>
      </c>
      <c r="F21508" t="n">
        <v>1</v>
      </c>
      <c r="G21508" t="n">
        <v>6</v>
      </c>
      <c r="H21508" s="5">
        <f>HYPERLINK("https://api.qogita.com/variants/link/4064666715322/", "View Product")</f>
        <v/>
      </c>
    </row>
    <row r="21509">
      <c r="A21509" t="inlineStr">
        <is>
          <t>4064666758336</t>
        </is>
      </c>
      <c r="B21509" t="inlineStr">
        <is>
          <t>System Professional Luxeblond Shampoo For Blond Hair 100ml</t>
        </is>
      </c>
      <c r="C21509" t="inlineStr">
        <is>
          <t>Shampoo</t>
        </is>
      </c>
      <c r="D21509" t="inlineStr">
        <is>
          <t>System Professional</t>
        </is>
      </c>
      <c r="E21509" t="n">
        <v>9.81</v>
      </c>
      <c r="F21509" t="n">
        <v>1</v>
      </c>
      <c r="G21509" t="n">
        <v>6</v>
      </c>
      <c r="H21509" s="5">
        <f>HYPERLINK("https://api.qogita.com/variants/link/4064666758336/", "View Product")</f>
        <v/>
      </c>
    </row>
    <row r="21510">
      <c r="A21510" t="inlineStr">
        <is>
          <t>4064666814759</t>
        </is>
      </c>
      <c r="B21510" t="inlineStr">
        <is>
          <t>Londa Professional Curls In Curl Mousse 200 Ml</t>
        </is>
      </c>
      <c r="C21510" t="inlineStr">
        <is>
          <t>Mousse</t>
        </is>
      </c>
      <c r="D21510" t="inlineStr">
        <is>
          <t>Londa Professional</t>
        </is>
      </c>
      <c r="E21510" t="n">
        <v>4.89</v>
      </c>
      <c r="F21510" t="n">
        <v>1</v>
      </c>
      <c r="G21510" t="n">
        <v>6</v>
      </c>
      <c r="H21510" s="5">
        <f>HYPERLINK("https://api.qogita.com/variants/link/4064666814759/", "View Product")</f>
        <v/>
      </c>
    </row>
    <row r="21511">
      <c r="A21511" t="inlineStr">
        <is>
          <t>4064666842646</t>
        </is>
      </c>
      <c r="B21511" t="inlineStr">
        <is>
          <t>Nioxin Density Defend Volumizing Thickening Hair Mousse 200ml</t>
        </is>
      </c>
      <c r="C21511" t="inlineStr">
        <is>
          <t>Mousse</t>
        </is>
      </c>
      <c r="D21511" t="inlineStr">
        <is>
          <t>Nioxin</t>
        </is>
      </c>
      <c r="E21511" t="n">
        <v>15.19</v>
      </c>
      <c r="F21511" t="n">
        <v>1</v>
      </c>
      <c r="G21511" t="n">
        <v>14</v>
      </c>
      <c r="H21511" s="5">
        <f>HYPERLINK("https://api.qogita.com/variants/link/4064666842646/", "View Product")</f>
        <v/>
      </c>
    </row>
    <row r="21512">
      <c r="A21512" t="inlineStr">
        <is>
          <t>4064666842820</t>
        </is>
      </c>
      <c r="B21512" t="inlineStr">
        <is>
          <t>Nioxin Niox Sys3 Scalp Leave In Treatment 100 Ml</t>
        </is>
      </c>
      <c r="C21512" t="inlineStr">
        <is>
          <t>Scalp Care</t>
        </is>
      </c>
      <c r="D21512" t="inlineStr">
        <is>
          <t>Nioxin</t>
        </is>
      </c>
      <c r="E21512" t="n">
        <v>12.49</v>
      </c>
      <c r="F21512" t="n">
        <v>1</v>
      </c>
      <c r="G21512" t="n">
        <v>14</v>
      </c>
      <c r="H21512" s="5">
        <f>HYPERLINK("https://api.qogita.com/variants/link/4064666842820/", "View Product")</f>
        <v/>
      </c>
    </row>
    <row r="21513">
      <c r="A21513" t="inlineStr">
        <is>
          <t>4064666842912</t>
        </is>
      </c>
      <c r="B21513" t="inlineStr">
        <is>
          <t>Nioxin Scalp + Hair System 4 Shampoo Deep Cleansing Shampoo for Damaged, Visibly Thinning Hair with Biotin, Caffeine &amp; Niacinamide 300ml</t>
        </is>
      </c>
      <c r="C21513" t="inlineStr">
        <is>
          <t>Shampoo</t>
        </is>
      </c>
      <c r="D21513" t="inlineStr">
        <is>
          <t>Nioxin</t>
        </is>
      </c>
      <c r="E21513" t="n">
        <v>10.66</v>
      </c>
      <c r="F21513" t="n">
        <v>1</v>
      </c>
      <c r="G21513" t="n">
        <v>22</v>
      </c>
      <c r="H21513" s="5">
        <f>HYPERLINK("https://api.qogita.com/variants/link/4064666842912/", "View Product")</f>
        <v/>
      </c>
    </row>
    <row r="21514">
      <c r="A21514" t="inlineStr">
        <is>
          <t>4064666843889</t>
        </is>
      </c>
      <c r="B21514" t="inlineStr">
        <is>
          <t>Nioxin Niox Sys1 Trial Kit 150ml 150ml 50ml For Natural Hair With Slight Density Loss</t>
        </is>
      </c>
      <c r="C21514" t="inlineStr">
        <is>
          <t>Hair Care Sets</t>
        </is>
      </c>
      <c r="D21514" t="inlineStr">
        <is>
          <t>Nioxin</t>
        </is>
      </c>
      <c r="E21514" t="n">
        <v>22.55</v>
      </c>
      <c r="F21514" t="n">
        <v>1</v>
      </c>
      <c r="G21514" t="n">
        <v>5</v>
      </c>
      <c r="H21514" s="5">
        <f>HYPERLINK("https://api.qogita.com/variants/link/4064666843889/", "View Product")</f>
        <v/>
      </c>
    </row>
    <row r="21515">
      <c r="A21515" t="inlineStr">
        <is>
          <t>4064666843988</t>
        </is>
      </c>
      <c r="B21515" t="inlineStr">
        <is>
          <t>Nioxin Nioxin System 3 - Kit - Treatment For Colored Hair With Slight Weakness 3 Units</t>
        </is>
      </c>
      <c r="C21515" t="inlineStr">
        <is>
          <t>Hair Care Sets</t>
        </is>
      </c>
      <c r="D21515" t="inlineStr">
        <is>
          <t>Nioxin</t>
        </is>
      </c>
      <c r="E21515" t="n">
        <v>28.1</v>
      </c>
      <c r="F21515" t="n">
        <v>1</v>
      </c>
      <c r="G21515" t="n">
        <v>9</v>
      </c>
      <c r="H21515" s="5">
        <f>HYPERLINK("https://api.qogita.com/variants/link/4064666843988/", "View Product")</f>
        <v/>
      </c>
    </row>
    <row r="21516">
      <c r="A21516" t="inlineStr">
        <is>
          <t>4064666898568</t>
        </is>
      </c>
      <c r="B21516" t="inlineStr">
        <is>
          <t>Nioxin Anti-Hair Loss Shampoo - Shampoo For Hair Loss 475ml</t>
        </is>
      </c>
      <c r="C21516" t="inlineStr">
        <is>
          <t>Shampoo</t>
        </is>
      </c>
      <c r="D21516" t="inlineStr">
        <is>
          <t>Nioxin</t>
        </is>
      </c>
      <c r="E21516" t="n">
        <v>30.14</v>
      </c>
      <c r="F21516" t="n">
        <v>1</v>
      </c>
      <c r="G21516" t="n">
        <v>9</v>
      </c>
      <c r="H21516" s="5">
        <f>HYPERLINK("https://api.qogita.com/variants/link/4064666898568/", "View Product")</f>
        <v/>
      </c>
    </row>
    <row r="21517">
      <c r="A21517" t="inlineStr">
        <is>
          <t>4064666900629</t>
        </is>
      </c>
      <c r="B21517" t="inlineStr">
        <is>
          <t>Wella Color Touch Pure Natural 2/0 Hair Colour</t>
        </is>
      </c>
      <c r="C21517" t="inlineStr">
        <is>
          <t>Hair Dye</t>
        </is>
      </c>
      <c r="D21517" t="inlineStr">
        <is>
          <t>Wella</t>
        </is>
      </c>
      <c r="E21517" t="n">
        <v>7.54</v>
      </c>
      <c r="F21517" t="n">
        <v>1</v>
      </c>
      <c r="G21517" t="n">
        <v>5</v>
      </c>
      <c r="H21517" s="5">
        <f>HYPERLINK("https://api.qogita.com/variants/link/4064666900629/", "View Product")</f>
        <v/>
      </c>
    </row>
    <row r="21518">
      <c r="A21518" t="inlineStr">
        <is>
          <t>4064666900902</t>
        </is>
      </c>
      <c r="B21518" t="inlineStr">
        <is>
          <t>Wella Lightest Blonde 10/0 Hair Colour</t>
        </is>
      </c>
      <c r="C21518" t="inlineStr">
        <is>
          <t>Hair Dye</t>
        </is>
      </c>
      <c r="D21518" t="inlineStr">
        <is>
          <t>Wella</t>
        </is>
      </c>
      <c r="E21518" t="n">
        <v>6.91</v>
      </c>
      <c r="F21518" t="n">
        <v>1</v>
      </c>
      <c r="G21518" t="n">
        <v>2</v>
      </c>
      <c r="H21518" s="5">
        <f>HYPERLINK("https://api.qogita.com/variants/link/4064666900902/", "View Product")</f>
        <v/>
      </c>
    </row>
    <row r="21519">
      <c r="A21519" t="inlineStr">
        <is>
          <t>4064666901183</t>
        </is>
      </c>
      <c r="B21519" t="inlineStr">
        <is>
          <t>Wella Professionals Color Touch 7/1 - Semi-Permanent Hair Color</t>
        </is>
      </c>
      <c r="C21519" t="inlineStr">
        <is>
          <t>Hair Dye</t>
        </is>
      </c>
      <c r="D21519" t="inlineStr">
        <is>
          <t>Wella Professionals</t>
        </is>
      </c>
      <c r="E21519" t="n">
        <v>7.54</v>
      </c>
      <c r="F21519" t="n">
        <v>1</v>
      </c>
      <c r="G21519" t="n">
        <v>5</v>
      </c>
      <c r="H21519" s="5">
        <f>HYPERLINK("https://api.qogita.com/variants/link/4064666901183/", "View Product")</f>
        <v/>
      </c>
    </row>
    <row r="21520">
      <c r="A21520" t="inlineStr">
        <is>
          <t>4064666939551</t>
        </is>
      </c>
      <c r="B21520" t="inlineStr">
        <is>
          <t>Wella Color Touch Emulsion 4 13 Volume 1000 Milliliters - Hair Color Developer</t>
        </is>
      </c>
      <c r="C21520" t="inlineStr">
        <is>
          <t>Hair Dye</t>
        </is>
      </c>
      <c r="D21520" t="inlineStr">
        <is>
          <t>Wella</t>
        </is>
      </c>
      <c r="E21520" t="n">
        <v>6.64</v>
      </c>
      <c r="F21520" t="n">
        <v>1</v>
      </c>
      <c r="G21520" t="n">
        <v>21</v>
      </c>
      <c r="H21520" s="5">
        <f>HYPERLINK("https://api.qogita.com/variants/link/4064666939551/", "View Product")</f>
        <v/>
      </c>
    </row>
    <row r="21521">
      <c r="A21521" t="inlineStr">
        <is>
          <t>4064666939568</t>
        </is>
      </c>
      <c r="B21521" t="inlineStr">
        <is>
          <t>Wella Color Touch Emulsion 19 6 Volume 1000 Milliliters</t>
        </is>
      </c>
      <c r="C21521" t="inlineStr">
        <is>
          <t>Hair Dye</t>
        </is>
      </c>
      <c r="D21521" t="inlineStr">
        <is>
          <t>Wella</t>
        </is>
      </c>
      <c r="E21521" t="n">
        <v>6.52</v>
      </c>
      <c r="F21521" t="n">
        <v>1</v>
      </c>
      <c r="G21521" t="n">
        <v>36</v>
      </c>
      <c r="H21521" s="5">
        <f>HYPERLINK("https://api.qogita.com/variants/link/4064666939568/", "View Product")</f>
        <v/>
      </c>
    </row>
    <row r="21522">
      <c r="A21522" t="inlineStr">
        <is>
          <t>4064666945262</t>
        </is>
      </c>
      <c r="B21522" t="inlineStr">
        <is>
          <t>Wella Professionals Ultimate Smooth Shampoo 1000ml</t>
        </is>
      </c>
      <c r="C21522" t="inlineStr">
        <is>
          <t>Shampoo</t>
        </is>
      </c>
      <c r="D21522" t="inlineStr">
        <is>
          <t>Wella Professionals</t>
        </is>
      </c>
      <c r="E21522" t="n">
        <v>32.8</v>
      </c>
      <c r="F21522" t="n">
        <v>1</v>
      </c>
      <c r="G21522" t="n">
        <v>10</v>
      </c>
      <c r="H21522" s="5">
        <f>HYPERLINK("https://api.qogita.com/variants/link/4064666945262/", "View Product")</f>
        <v/>
      </c>
    </row>
    <row r="21523">
      <c r="A21523" t="inlineStr">
        <is>
          <t>4064941006756</t>
        </is>
      </c>
      <c r="B21523" t="inlineStr">
        <is>
          <t>Kylie Cosmetics Set Matte Liquid Lipstick + Lip Liner</t>
        </is>
      </c>
      <c r="C21523" t="inlineStr">
        <is>
          <t>Lip Sets</t>
        </is>
      </c>
      <c r="D21523" t="inlineStr">
        <is>
          <t>Kylie Cosmetics</t>
        </is>
      </c>
      <c r="E21523" t="n">
        <v>30.34</v>
      </c>
      <c r="F21523" t="n">
        <v>1</v>
      </c>
      <c r="G21523" t="n">
        <v>5</v>
      </c>
      <c r="H21523" s="5">
        <f>HYPERLINK("https://api.qogita.com/variants/link/4064941006756/", "View Product")</f>
        <v/>
      </c>
    </row>
    <row r="21524">
      <c r="A21524" t="inlineStr">
        <is>
          <t>4064941006770</t>
        </is>
      </c>
      <c r="B21524" t="inlineStr">
        <is>
          <t>Kylie Cosmetics Matte Lip Kit 500 Kristen for Women 0.10oz Matte Liquid</t>
        </is>
      </c>
      <c r="C21524" t="inlineStr">
        <is>
          <t>Lip Sets</t>
        </is>
      </c>
      <c r="D21524" t="inlineStr">
        <is>
          <t>Kylie Cosmetics</t>
        </is>
      </c>
      <c r="E21524" t="n">
        <v>30.34</v>
      </c>
      <c r="F21524" t="n">
        <v>1</v>
      </c>
      <c r="G21524" t="n">
        <v>8</v>
      </c>
      <c r="H21524" s="5">
        <f>HYPERLINK("https://api.qogita.com/variants/link/4064941006770/", "View Product")</f>
        <v/>
      </c>
    </row>
    <row r="21525">
      <c r="A21525" t="inlineStr">
        <is>
          <t>4064941006893</t>
        </is>
      </c>
      <c r="B21525" t="inlineStr">
        <is>
          <t>Kylie Cosmetics Matte Lip Kit 102 Extraordinary for Women</t>
        </is>
      </c>
      <c r="C21525" t="inlineStr">
        <is>
          <t>Lip Sets</t>
        </is>
      </c>
      <c r="D21525" t="inlineStr">
        <is>
          <t>Kylie Cosmetics</t>
        </is>
      </c>
      <c r="E21525" t="n">
        <v>30.34</v>
      </c>
      <c r="F21525" t="n">
        <v>1</v>
      </c>
      <c r="G21525" t="n">
        <v>5</v>
      </c>
      <c r="H21525" s="5">
        <f>HYPERLINK("https://api.qogita.com/variants/link/4064941006893/", "View Product")</f>
        <v/>
      </c>
    </row>
    <row r="21526">
      <c r="A21526" t="inlineStr">
        <is>
          <t>4064941007074</t>
        </is>
      </c>
      <c r="B21526" t="inlineStr">
        <is>
          <t>Kylie Cosmetics Matte Liquid Lipstick - 3 Ml</t>
        </is>
      </c>
      <c r="C21526" t="inlineStr">
        <is>
          <t>Lipstick</t>
        </is>
      </c>
      <c r="D21526" t="inlineStr">
        <is>
          <t>Kylie Cosmetics</t>
        </is>
      </c>
      <c r="E21526" t="n">
        <v>18.73</v>
      </c>
      <c r="F21526" t="n">
        <v>1</v>
      </c>
      <c r="G21526" t="n">
        <v>5</v>
      </c>
      <c r="H21526" s="5">
        <f>HYPERLINK("https://api.qogita.com/variants/link/4064941007074/", "View Product")</f>
        <v/>
      </c>
    </row>
    <row r="21527">
      <c r="A21527" t="inlineStr">
        <is>
          <t>4064941007128</t>
        </is>
      </c>
      <c r="B21527" t="inlineStr">
        <is>
          <t>Kylie Cosmetics Matte Liquid Lipstick - 3 Ml</t>
        </is>
      </c>
      <c r="C21527" t="inlineStr">
        <is>
          <t>Lipstick</t>
        </is>
      </c>
      <c r="D21527" t="inlineStr">
        <is>
          <t>Kylie Cosmetics</t>
        </is>
      </c>
      <c r="E21527" t="n">
        <v>18.73</v>
      </c>
      <c r="F21527" t="n">
        <v>1</v>
      </c>
      <c r="G21527" t="n">
        <v>3</v>
      </c>
      <c r="H21527" s="5">
        <f>HYPERLINK("https://api.qogita.com/variants/link/4064941007128/", "View Product")</f>
        <v/>
      </c>
    </row>
    <row r="21528">
      <c r="A21528" t="inlineStr">
        <is>
          <t>4064941007142</t>
        </is>
      </c>
      <c r="B21528" t="inlineStr">
        <is>
          <t>Kylie Cosmetics Matte Liquid Lipstick - 3 Ml</t>
        </is>
      </c>
      <c r="C21528" t="inlineStr">
        <is>
          <t>Lipstick</t>
        </is>
      </c>
      <c r="D21528" t="inlineStr">
        <is>
          <t>Kylie Cosmetics</t>
        </is>
      </c>
      <c r="E21528" t="n">
        <v>18.73</v>
      </c>
      <c r="F21528" t="n">
        <v>1</v>
      </c>
      <c r="G21528" t="n">
        <v>5</v>
      </c>
      <c r="H21528" s="5">
        <f>HYPERLINK("https://api.qogita.com/variants/link/4064941007142/", "View Product")</f>
        <v/>
      </c>
    </row>
    <row r="21529">
      <c r="A21529" t="inlineStr">
        <is>
          <t>4064941007500</t>
        </is>
      </c>
      <c r="B21529" t="inlineStr">
        <is>
          <t>Kylie Cosmetics Matte Liquid Lipstick - 3 Ml</t>
        </is>
      </c>
      <c r="C21529" t="inlineStr">
        <is>
          <t>Lipstick</t>
        </is>
      </c>
      <c r="D21529" t="inlineStr">
        <is>
          <t>Kylie Cosmetics</t>
        </is>
      </c>
      <c r="E21529" t="n">
        <v>18.73</v>
      </c>
      <c r="F21529" t="n">
        <v>1</v>
      </c>
      <c r="G21529" t="n">
        <v>5</v>
      </c>
      <c r="H21529" s="5">
        <f>HYPERLINK("https://api.qogita.com/variants/link/4064941007500/", "View Product")</f>
        <v/>
      </c>
    </row>
    <row r="21530">
      <c r="A21530" t="inlineStr">
        <is>
          <t>4064941008521</t>
        </is>
      </c>
      <c r="B21530" t="inlineStr">
        <is>
          <t>Kylie Cosmetics Pressed Blush Powder 334 Pink Power for Women 0.35 Oz</t>
        </is>
      </c>
      <c r="C21530" t="inlineStr">
        <is>
          <t>Blush</t>
        </is>
      </c>
      <c r="D21530" t="inlineStr">
        <is>
          <t>Kylie Cosmetics</t>
        </is>
      </c>
      <c r="E21530" t="n">
        <v>18.7</v>
      </c>
      <c r="F21530" t="n">
        <v>1</v>
      </c>
      <c r="G21530" t="n">
        <v>4</v>
      </c>
      <c r="H21530" s="5">
        <f>HYPERLINK("https://api.qogita.com/variants/link/4064941008521/", "View Product")</f>
        <v/>
      </c>
    </row>
    <row r="21531">
      <c r="A21531" t="inlineStr">
        <is>
          <t>4064941008620</t>
        </is>
      </c>
      <c r="B21531" t="inlineStr">
        <is>
          <t>Kylie Cosmetics Set Velvet Liquid Lipstick + Lip Liner</t>
        </is>
      </c>
      <c r="C21531" t="inlineStr">
        <is>
          <t>Lip Sets</t>
        </is>
      </c>
      <c r="D21531" t="inlineStr">
        <is>
          <t>Kylie Cosmetics</t>
        </is>
      </c>
      <c r="E21531" t="n">
        <v>30.56</v>
      </c>
      <c r="F21531" t="n">
        <v>1</v>
      </c>
      <c r="G21531" t="n">
        <v>5</v>
      </c>
      <c r="H21531" s="5">
        <f>HYPERLINK("https://api.qogita.com/variants/link/4064941008620/", "View Product")</f>
        <v/>
      </c>
    </row>
    <row r="21532">
      <c r="A21532" t="inlineStr">
        <is>
          <t>4064941008637</t>
        </is>
      </c>
      <c r="B21532" t="inlineStr">
        <is>
          <t>Kylie Cosmetics Set Velvet Liquid Lipstick + Lip Liner</t>
        </is>
      </c>
      <c r="C21532" t="inlineStr">
        <is>
          <t>Lip Sets</t>
        </is>
      </c>
      <c r="D21532" t="inlineStr">
        <is>
          <t>Kylie Cosmetics</t>
        </is>
      </c>
      <c r="E21532" t="n">
        <v>30.56</v>
      </c>
      <c r="F21532" t="n">
        <v>1</v>
      </c>
      <c r="G21532" t="n">
        <v>2</v>
      </c>
      <c r="H21532" s="5">
        <f>HYPERLINK("https://api.qogita.com/variants/link/4064941008637/", "View Product")</f>
        <v/>
      </c>
    </row>
    <row r="21533">
      <c r="A21533" t="inlineStr">
        <is>
          <t>4064941008750</t>
        </is>
      </c>
      <c r="B21533" t="inlineStr">
        <is>
          <t>Kylie Cosmetics Creme Lipstick 3.5 G</t>
        </is>
      </c>
      <c r="C21533" t="inlineStr">
        <is>
          <t>Lipstick</t>
        </is>
      </c>
      <c r="D21533" t="inlineStr">
        <is>
          <t>Kylie Cosmetics</t>
        </is>
      </c>
      <c r="E21533" t="n">
        <v>19</v>
      </c>
      <c r="F21533" t="n">
        <v>1</v>
      </c>
      <c r="G21533" t="n">
        <v>5</v>
      </c>
      <c r="H21533" s="5">
        <f>HYPERLINK("https://api.qogita.com/variants/link/4064941008750/", "View Product")</f>
        <v/>
      </c>
    </row>
    <row r="21534">
      <c r="A21534" t="inlineStr">
        <is>
          <t>4064941008798</t>
        </is>
      </c>
      <c r="B21534" t="inlineStr">
        <is>
          <t>Kylie Cosmetics Creme Lipstick 3.5 G</t>
        </is>
      </c>
      <c r="C21534" t="inlineStr">
        <is>
          <t>Lipstick</t>
        </is>
      </c>
      <c r="D21534" t="inlineStr">
        <is>
          <t>Kylie Cosmetics</t>
        </is>
      </c>
      <c r="E21534" t="n">
        <v>19</v>
      </c>
      <c r="F21534" t="n">
        <v>1</v>
      </c>
      <c r="G21534" t="n">
        <v>10</v>
      </c>
      <c r="H21534" s="5">
        <f>HYPERLINK("https://api.qogita.com/variants/link/4064941008798/", "View Product")</f>
        <v/>
      </c>
    </row>
    <row r="21535">
      <c r="A21535" t="inlineStr">
        <is>
          <t>4064941008842</t>
        </is>
      </c>
      <c r="B21535" t="inlineStr">
        <is>
          <t>Kylie Cosmetics Creme Lipstick 3.5 G</t>
        </is>
      </c>
      <c r="C21535" t="inlineStr">
        <is>
          <t>Lipstick</t>
        </is>
      </c>
      <c r="D21535" t="inlineStr">
        <is>
          <t>Kylie Cosmetics</t>
        </is>
      </c>
      <c r="E21535" t="n">
        <v>19</v>
      </c>
      <c r="F21535" t="n">
        <v>1</v>
      </c>
      <c r="G21535" t="n">
        <v>10</v>
      </c>
      <c r="H21535" s="5">
        <f>HYPERLINK("https://api.qogita.com/variants/link/4064941008842/", "View Product")</f>
        <v/>
      </c>
    </row>
    <row r="21536">
      <c r="A21536" t="inlineStr">
        <is>
          <t>4064941009115</t>
        </is>
      </c>
      <c r="B21536" t="inlineStr">
        <is>
          <t>Kylie Cosmetics Gel Eye Pencil - 1.2 G</t>
        </is>
      </c>
      <c r="C21536" t="inlineStr">
        <is>
          <t>Eye Pencil</t>
        </is>
      </c>
      <c r="D21536" t="inlineStr">
        <is>
          <t>Kylie Cosmetics</t>
        </is>
      </c>
      <c r="E21536" t="n">
        <v>15.31</v>
      </c>
      <c r="F21536" t="n">
        <v>1</v>
      </c>
      <c r="G21536" t="n">
        <v>3</v>
      </c>
      <c r="H21536" s="5">
        <f>HYPERLINK("https://api.qogita.com/variants/link/4064941009115/", "View Product")</f>
        <v/>
      </c>
    </row>
    <row r="21537">
      <c r="A21537" t="inlineStr">
        <is>
          <t>4064941009795</t>
        </is>
      </c>
      <c r="B21537" t="inlineStr">
        <is>
          <t>Kylie Cosmetics Matte Lipstick - 3.5 G</t>
        </is>
      </c>
      <c r="C21537" t="inlineStr">
        <is>
          <t>Lipstick</t>
        </is>
      </c>
      <c r="D21537" t="inlineStr">
        <is>
          <t>Kylie Cosmetics</t>
        </is>
      </c>
      <c r="E21537" t="n">
        <v>20.17</v>
      </c>
      <c r="F21537" t="n">
        <v>1</v>
      </c>
      <c r="G21537" t="n">
        <v>3</v>
      </c>
      <c r="H21537" s="5">
        <f>HYPERLINK("https://api.qogita.com/variants/link/4064941009795/", "View Product")</f>
        <v/>
      </c>
    </row>
    <row r="21538">
      <c r="A21538" t="inlineStr">
        <is>
          <t>4064941011057</t>
        </is>
      </c>
      <c r="B21538" t="inlineStr">
        <is>
          <t>Kylie Cosmetics Lip Gloss High Gloss 33 G</t>
        </is>
      </c>
      <c r="C21538" t="inlineStr">
        <is>
          <t>Lip Gloss</t>
        </is>
      </c>
      <c r="D21538" t="inlineStr">
        <is>
          <t>Kylie Cosmetics</t>
        </is>
      </c>
      <c r="E21538" t="n">
        <v>17.06</v>
      </c>
      <c r="F21538" t="n">
        <v>1</v>
      </c>
      <c r="G21538" t="n">
        <v>7</v>
      </c>
      <c r="H21538" s="5">
        <f>HYPERLINK("https://api.qogita.com/variants/link/4064941011057/", "View Product")</f>
        <v/>
      </c>
    </row>
    <row r="21539">
      <c r="A21539" t="inlineStr">
        <is>
          <t>4064941033585</t>
        </is>
      </c>
      <c r="B21539" t="inlineStr">
        <is>
          <t>Kylie Cosmetics Loose Powder - 5 G</t>
        </is>
      </c>
      <c r="C21539" t="inlineStr">
        <is>
          <t>Powder</t>
        </is>
      </c>
      <c r="D21539" t="inlineStr">
        <is>
          <t>Kylie Cosmetics</t>
        </is>
      </c>
      <c r="E21539" t="n">
        <v>23.75</v>
      </c>
      <c r="F21539" t="n">
        <v>1</v>
      </c>
      <c r="G21539" t="n">
        <v>8</v>
      </c>
      <c r="H21539" s="5">
        <f>HYPERLINK("https://api.qogita.com/variants/link/4064941033585/", "View Product")</f>
        <v/>
      </c>
    </row>
    <row r="21540">
      <c r="A21540" t="inlineStr">
        <is>
          <t>4064941049012</t>
        </is>
      </c>
      <c r="B21540" t="inlineStr">
        <is>
          <t>Kylie Cosmetics Power Plush Longwear Concealer - 5 Ml</t>
        </is>
      </c>
      <c r="C21540" t="inlineStr">
        <is>
          <t>Concealer</t>
        </is>
      </c>
      <c r="D21540" t="inlineStr">
        <is>
          <t>Kylie Cosmetics</t>
        </is>
      </c>
      <c r="E21540" t="n">
        <v>23.46</v>
      </c>
      <c r="F21540" t="n">
        <v>1</v>
      </c>
      <c r="G21540" t="n">
        <v>2</v>
      </c>
      <c r="H21540" s="5">
        <f>HYPERLINK("https://api.qogita.com/variants/link/4064941049012/", "View Product")</f>
        <v/>
      </c>
    </row>
    <row r="21541">
      <c r="A21541" t="inlineStr">
        <is>
          <t>4064941049098</t>
        </is>
      </c>
      <c r="B21541" t="inlineStr">
        <is>
          <t>Kylie Cosmetics Power Plush Longwear Concealer - 5 Ml</t>
        </is>
      </c>
      <c r="C21541" t="inlineStr">
        <is>
          <t>Concealer</t>
        </is>
      </c>
      <c r="D21541" t="inlineStr">
        <is>
          <t>Kylie Cosmetics</t>
        </is>
      </c>
      <c r="E21541" t="n">
        <v>23.46</v>
      </c>
      <c r="F21541" t="n">
        <v>1</v>
      </c>
      <c r="G21541" t="n">
        <v>3</v>
      </c>
      <c r="H21541" s="5">
        <f>HYPERLINK("https://api.qogita.com/variants/link/4064941049098/", "View Product")</f>
        <v/>
      </c>
    </row>
    <row r="21542">
      <c r="A21542" t="inlineStr">
        <is>
          <t>4064941049166</t>
        </is>
      </c>
      <c r="B21542" t="inlineStr">
        <is>
          <t>Kylie Cosmetics Power Plush Longwear Concealer - 5 Ml</t>
        </is>
      </c>
      <c r="C21542" t="inlineStr">
        <is>
          <t>Concealer</t>
        </is>
      </c>
      <c r="D21542" t="inlineStr">
        <is>
          <t>Kylie Cosmetics</t>
        </is>
      </c>
      <c r="E21542" t="n">
        <v>23.46</v>
      </c>
      <c r="F21542" t="n">
        <v>1</v>
      </c>
      <c r="G21542" t="n">
        <v>3</v>
      </c>
      <c r="H21542" s="5">
        <f>HYPERLINK("https://api.qogita.com/variants/link/4064941049166/", "View Product")</f>
        <v/>
      </c>
    </row>
    <row r="21543">
      <c r="A21543" t="inlineStr">
        <is>
          <t>4064941095613</t>
        </is>
      </c>
      <c r="B21543" t="inlineStr">
        <is>
          <t>Kylie By Kylie Jenner Matte Lip Kit</t>
        </is>
      </c>
      <c r="C21543" t="inlineStr">
        <is>
          <t>Lip Sets</t>
        </is>
      </c>
      <c r="D21543" t="inlineStr">
        <is>
          <t>Kylie Cosmetics</t>
        </is>
      </c>
      <c r="E21543" t="n">
        <v>30.34</v>
      </c>
      <c r="F21543" t="n">
        <v>1</v>
      </c>
      <c r="G21543" t="n">
        <v>80</v>
      </c>
      <c r="H21543" s="5">
        <f>HYPERLINK("https://api.qogita.com/variants/link/4064941095613/", "View Product")</f>
        <v/>
      </c>
    </row>
    <row r="21544">
      <c r="A21544" t="inlineStr">
        <is>
          <t>4064941133551</t>
        </is>
      </c>
      <c r="B21544" t="inlineStr">
        <is>
          <t>Kylie Cosmetics Supple Kiss Lip Gloss Lip Glaze - 3 Ml</t>
        </is>
      </c>
      <c r="C21544" t="inlineStr">
        <is>
          <t>Lip Gloss</t>
        </is>
      </c>
      <c r="D21544" t="inlineStr">
        <is>
          <t>Kylie Cosmetics</t>
        </is>
      </c>
      <c r="E21544" t="n">
        <v>16.95</v>
      </c>
      <c r="F21544" t="n">
        <v>1</v>
      </c>
      <c r="G21544" t="n">
        <v>5</v>
      </c>
      <c r="H21544" s="5">
        <f>HYPERLINK("https://api.qogita.com/variants/link/4064941133551/", "View Product")</f>
        <v/>
      </c>
    </row>
    <row r="21545">
      <c r="A21545" t="inlineStr">
        <is>
          <t>4067971039688</t>
        </is>
      </c>
      <c r="B21545" t="inlineStr">
        <is>
          <t>Joico Style &amp; Finish Humidity Blocker+ 180ml</t>
        </is>
      </c>
      <c r="C21545" t="inlineStr">
        <is>
          <t>Hairspray</t>
        </is>
      </c>
      <c r="D21545" t="inlineStr">
        <is>
          <t>Joico</t>
        </is>
      </c>
      <c r="E21545" t="n">
        <v>14.51</v>
      </c>
      <c r="F21545" t="n">
        <v>1</v>
      </c>
      <c r="G21545" t="n">
        <v>6</v>
      </c>
      <c r="H21545" s="5">
        <f>HYPERLINK("https://api.qogita.com/variants/link/4067971039688/", "View Product")</f>
        <v/>
      </c>
    </row>
    <row r="21546">
      <c r="A21546" t="inlineStr">
        <is>
          <t>4067971076041</t>
        </is>
      </c>
      <c r="B21546" t="inlineStr">
        <is>
          <t>Schwarzkopf Bc Moisture Kick Spray Conditioner 400ml</t>
        </is>
      </c>
      <c r="C21546" t="inlineStr">
        <is>
          <t>Conditioner</t>
        </is>
      </c>
      <c r="D21546" t="inlineStr">
        <is>
          <t>Schwarzkopf</t>
        </is>
      </c>
      <c r="E21546" t="n">
        <v>9.26</v>
      </c>
      <c r="F21546" t="n">
        <v>1</v>
      </c>
      <c r="G21546" t="n">
        <v>19</v>
      </c>
      <c r="H21546" s="5">
        <f>HYPERLINK("https://api.qogita.com/variants/link/4067971076041/", "View Product")</f>
        <v/>
      </c>
    </row>
    <row r="21547">
      <c r="A21547" t="inlineStr">
        <is>
          <t>4068359080926</t>
        </is>
      </c>
      <c r="B21547" t="inlineStr">
        <is>
          <t>Wella Professionals Ultimate Repair Mini Gift Set</t>
        </is>
      </c>
      <c r="C21547" t="inlineStr">
        <is>
          <t>Hair Care Sets</t>
        </is>
      </c>
      <c r="D21547" t="inlineStr">
        <is>
          <t>Wella Professionals</t>
        </is>
      </c>
      <c r="E21547" t="n">
        <v>28.31</v>
      </c>
      <c r="F21547" t="n">
        <v>1</v>
      </c>
      <c r="G21547" t="n">
        <v>15</v>
      </c>
      <c r="H21547" s="5">
        <f>HYPERLINK("https://api.qogita.com/variants/link/4068359080926/", "View Product")</f>
        <v/>
      </c>
    </row>
    <row r="21548">
      <c r="A21548" t="inlineStr">
        <is>
          <t>4084500490543</t>
        </is>
      </c>
      <c r="B21548" t="inlineStr">
        <is>
          <t>Old Spice Men's Anti-perspirant Deodorant Stick Gel 25 Different Scents</t>
        </is>
      </c>
      <c r="C21548" t="inlineStr">
        <is>
          <t>Deodorant &amp; Anti-Perspirant</t>
        </is>
      </c>
      <c r="D21548" t="inlineStr">
        <is>
          <t>Old Spice</t>
        </is>
      </c>
      <c r="E21548" t="n">
        <v>2.37</v>
      </c>
      <c r="F21548" t="n">
        <v>1</v>
      </c>
      <c r="G21548" t="n">
        <v>14</v>
      </c>
      <c r="H21548" s="5">
        <f>HYPERLINK("https://api.qogita.com/variants/link/4084500490543/", "View Product")</f>
        <v/>
      </c>
    </row>
    <row r="21549">
      <c r="A21549" t="inlineStr">
        <is>
          <t>4084500582804</t>
        </is>
      </c>
      <c r="B21549" t="inlineStr">
        <is>
          <t>Wella EIMI Dynamic Fix 45 Second Modeling Spray Volume Spray for Perfect Hair Styling 300ml</t>
        </is>
      </c>
      <c r="C21549" t="inlineStr">
        <is>
          <t>Hairspray</t>
        </is>
      </c>
      <c r="D21549" t="inlineStr">
        <is>
          <t>Wella</t>
        </is>
      </c>
      <c r="E21549" t="n">
        <v>8.02</v>
      </c>
      <c r="F21549" t="n">
        <v>1</v>
      </c>
      <c r="G21549" t="n">
        <v>15</v>
      </c>
      <c r="H21549" s="5">
        <f>HYPERLINK("https://api.qogita.com/variants/link/4084500582804/", "View Product")</f>
        <v/>
      </c>
    </row>
    <row r="21550">
      <c r="A21550" t="inlineStr">
        <is>
          <t>4084500607699</t>
        </is>
      </c>
      <c r="B21550" t="inlineStr">
        <is>
          <t>Wella Illumina Color 637 60ml Hair Color</t>
        </is>
      </c>
      <c r="C21550" t="inlineStr">
        <is>
          <t>Hair Dye</t>
        </is>
      </c>
      <c r="D21550" t="inlineStr">
        <is>
          <t>Wella</t>
        </is>
      </c>
      <c r="E21550" t="n">
        <v>7.68</v>
      </c>
      <c r="F21550" t="n">
        <v>1</v>
      </c>
      <c r="G21550" t="n">
        <v>5</v>
      </c>
      <c r="H21550" s="5">
        <f>HYPERLINK("https://api.qogita.com/variants/link/4084500607699/", "View Product")</f>
        <v/>
      </c>
    </row>
    <row r="21551">
      <c r="A21551" t="inlineStr">
        <is>
          <t>4084500978881</t>
        </is>
      </c>
      <c r="B21551" t="inlineStr">
        <is>
          <t>Old Spice Original Shower Gel 400 Ml For Men</t>
        </is>
      </c>
      <c r="C21551" t="inlineStr">
        <is>
          <t>Shower Gel</t>
        </is>
      </c>
      <c r="D21551" t="inlineStr">
        <is>
          <t>Old Spice</t>
        </is>
      </c>
      <c r="E21551" t="n">
        <v>5.98</v>
      </c>
      <c r="F21551" t="n">
        <v>1</v>
      </c>
      <c r="G21551" t="n">
        <v>8</v>
      </c>
      <c r="H21551" s="5">
        <f>HYPERLINK("https://api.qogita.com/variants/link/4084500978881/", "View Product")</f>
        <v/>
      </c>
    </row>
    <row r="21552">
      <c r="A21552" t="inlineStr">
        <is>
          <t>4086900187108</t>
        </is>
      </c>
      <c r="B21552" t="inlineStr">
        <is>
          <t>Primavera Winter Magic Room Spray - 50 Ml</t>
        </is>
      </c>
      <c r="C21552" t="inlineStr">
        <is>
          <t>Diffusers</t>
        </is>
      </c>
      <c r="D21552" t="inlineStr">
        <is>
          <t>Primavera</t>
        </is>
      </c>
      <c r="E21552" t="n">
        <v>10.53</v>
      </c>
      <c r="F21552" t="n">
        <v>1</v>
      </c>
      <c r="G21552" t="n">
        <v>2</v>
      </c>
      <c r="H21552" s="5">
        <f>HYPERLINK("https://api.qogita.com/variants/link/4086900187108/", "View Product")</f>
        <v/>
      </c>
    </row>
    <row r="21553">
      <c r="A21553" t="inlineStr">
        <is>
          <t>4086900195011</t>
        </is>
      </c>
      <c r="B21553" t="inlineStr">
        <is>
          <t>Primavera Room Spray Yoga Flow Bio 50 Ml - Myrtle, Grapefruit And Sandalwood</t>
        </is>
      </c>
      <c r="C21553" t="inlineStr">
        <is>
          <t>Diffusers</t>
        </is>
      </c>
      <c r="D21553" t="inlineStr">
        <is>
          <t>Primavera</t>
        </is>
      </c>
      <c r="E21553" t="n">
        <v>15.32</v>
      </c>
      <c r="F21553" t="n">
        <v>1</v>
      </c>
      <c r="G21553" t="n">
        <v>3</v>
      </c>
      <c r="H21553" s="5">
        <f>HYPERLINK("https://api.qogita.com/variants/link/4086900195011/", "View Product")</f>
        <v/>
      </c>
    </row>
    <row r="21554">
      <c r="A21554" t="inlineStr">
        <is>
          <t>4086900197114</t>
        </is>
      </c>
      <c r="B21554" t="inlineStr">
        <is>
          <t>Primavera Winter Fairy Room Spray - 50 Ml</t>
        </is>
      </c>
      <c r="C21554" t="inlineStr">
        <is>
          <t>Diffusers</t>
        </is>
      </c>
      <c r="D21554" t="inlineStr">
        <is>
          <t>Primavera</t>
        </is>
      </c>
      <c r="E21554" t="n">
        <v>15.51</v>
      </c>
      <c r="F21554" t="n">
        <v>1</v>
      </c>
      <c r="G21554" t="n">
        <v>5</v>
      </c>
      <c r="H21554" s="5">
        <f>HYPERLINK("https://api.qogita.com/variants/link/4086900197114/", "View Product")</f>
        <v/>
      </c>
    </row>
    <row r="21555">
      <c r="A21555" t="inlineStr">
        <is>
          <t>4086900217102</t>
        </is>
      </c>
      <c r="B21555" t="inlineStr">
        <is>
          <t>PRIMAVERA Frauenwohl Hitzewallungsspray Bio 50ml - Refreshing and Balancing Body Spray with Floral Scent - Vegan</t>
        </is>
      </c>
      <c r="C21555" t="inlineStr">
        <is>
          <t>Body Mist</t>
        </is>
      </c>
      <c r="D21555" t="inlineStr">
        <is>
          <t>Primavera</t>
        </is>
      </c>
      <c r="E21555" t="n">
        <v>15.03</v>
      </c>
      <c r="F21555" t="n">
        <v>1</v>
      </c>
      <c r="G21555" t="n">
        <v>3</v>
      </c>
      <c r="H21555" s="5">
        <f>HYPERLINK("https://api.qogita.com/variants/link/4086900217102/", "View Product")</f>
        <v/>
      </c>
    </row>
    <row r="21556">
      <c r="A21556" t="inlineStr">
        <is>
          <t>4086900268005</t>
        </is>
      </c>
      <c r="B21556" t="inlineStr">
        <is>
          <t>Happiness Body Oil (100 ml)</t>
        </is>
      </c>
      <c r="C21556" t="inlineStr">
        <is>
          <t>Body Oil</t>
        </is>
      </c>
      <c r="D21556" t="inlineStr">
        <is>
          <t>Primavera</t>
        </is>
      </c>
      <c r="E21556" t="n">
        <v>21.57</v>
      </c>
      <c r="F21556" t="n">
        <v>1</v>
      </c>
      <c r="G21556" t="n">
        <v>3</v>
      </c>
      <c r="H21556" s="5">
        <f>HYPERLINK("https://api.qogita.com/variants/link/4086900268005/", "View Product")</f>
        <v/>
      </c>
    </row>
    <row r="21557">
      <c r="A21557" t="inlineStr">
        <is>
          <t>4086900274006</t>
        </is>
      </c>
      <c r="B21557" t="inlineStr">
        <is>
          <t>PRIMAVERA Ultra Hydrating Face Toner 100ml - Natural Cosmetics for Normal to Dry Skin - Vegan</t>
        </is>
      </c>
      <c r="C21557" t="inlineStr">
        <is>
          <t>Facial Spray</t>
        </is>
      </c>
      <c r="D21557" t="inlineStr">
        <is>
          <t>Primavera</t>
        </is>
      </c>
      <c r="E21557" t="n">
        <v>19.76</v>
      </c>
      <c r="F21557" t="n">
        <v>1</v>
      </c>
      <c r="G21557" t="n">
        <v>2</v>
      </c>
      <c r="H21557" s="5">
        <f>HYPERLINK("https://api.qogita.com/variants/link/4086900274006/", "View Product")</f>
        <v/>
      </c>
    </row>
    <row r="21558">
      <c r="A21558" t="inlineStr">
        <is>
          <t>4086900275102</t>
        </is>
      </c>
      <c r="B21558" t="inlineStr">
        <is>
          <t>PRIMAVERA Mattifying Cream Fluid 30ml Natural Cosmetics for Oily and Combination Skin - Vegan</t>
        </is>
      </c>
      <c r="C21558" t="inlineStr">
        <is>
          <t>Face Cream</t>
        </is>
      </c>
      <c r="D21558" t="inlineStr">
        <is>
          <t>Primavera</t>
        </is>
      </c>
      <c r="E21558" t="n">
        <v>28.07</v>
      </c>
      <c r="F21558" t="n">
        <v>1</v>
      </c>
      <c r="G21558" t="n">
        <v>2</v>
      </c>
      <c r="H21558" s="5">
        <f>HYPERLINK("https://api.qogita.com/variants/link/4086900275102/", "View Product")</f>
        <v/>
      </c>
    </row>
    <row r="21559">
      <c r="A21559" t="inlineStr">
        <is>
          <t>4086900276307</t>
        </is>
      </c>
      <c r="B21559" t="inlineStr">
        <is>
          <t>PRIMAVERA Regenerating Rich Face Oil 30ml - Natural Cosmetics for Mature and Demanding Skin - Activates Cells and Firms Skin - Vegan</t>
        </is>
      </c>
      <c r="C21559" t="inlineStr">
        <is>
          <t>Facial Oil</t>
        </is>
      </c>
      <c r="D21559" t="inlineStr">
        <is>
          <t>Primavera</t>
        </is>
      </c>
      <c r="E21559" t="n">
        <v>31.07</v>
      </c>
      <c r="F21559" t="n">
        <v>1</v>
      </c>
      <c r="G21559" t="n">
        <v>2</v>
      </c>
      <c r="H21559" s="5">
        <f>HYPERLINK("https://api.qogita.com/variants/link/4086900276307/", "View Product")</f>
        <v/>
      </c>
    </row>
    <row r="21560">
      <c r="A21560" t="inlineStr">
        <is>
          <t>4086900277656</t>
        </is>
      </c>
      <c r="B21560" t="inlineStr">
        <is>
          <t>PRIMAVERA Lip Balm Care &amp; Glow 4.7g Vegan Natural Cosmetics - Nourishing with Natural Color Shine</t>
        </is>
      </c>
      <c r="C21560" t="inlineStr">
        <is>
          <t>Lip Oil</t>
        </is>
      </c>
      <c r="D21560" t="inlineStr">
        <is>
          <t>Primavera</t>
        </is>
      </c>
      <c r="E21560" t="n">
        <v>6.18</v>
      </c>
      <c r="F21560" t="n">
        <v>1</v>
      </c>
      <c r="G21560" t="n">
        <v>3</v>
      </c>
      <c r="H21560" s="5">
        <f>HYPERLINK("https://api.qogita.com/variants/link/4086900277656/", "View Product")</f>
        <v/>
      </c>
    </row>
    <row r="21561">
      <c r="A21561" t="inlineStr">
        <is>
          <t>4086900444959</t>
        </is>
      </c>
      <c r="B21561" t="inlineStr">
        <is>
          <t>PRIMAVERA Hydrating Starter and Travel Set for Normal to Dry Skin - Vegan Skincare Gift Box with Cleanser, Toner, and Moisturizer</t>
        </is>
      </c>
      <c r="C21561" t="inlineStr">
        <is>
          <t>Travel Sets</t>
        </is>
      </c>
      <c r="D21561" t="inlineStr">
        <is>
          <t>Primavera</t>
        </is>
      </c>
      <c r="E21561" t="n">
        <v>16.46</v>
      </c>
      <c r="F21561" t="n">
        <v>1</v>
      </c>
      <c r="G21561" t="n">
        <v>2</v>
      </c>
      <c r="H21561" s="5">
        <f>HYPERLINK("https://api.qogita.com/variants/link/4086900444959/", "View Product")</f>
        <v/>
      </c>
    </row>
    <row r="21562">
      <c r="A21562" t="inlineStr">
        <is>
          <t>4086900742659</t>
        </is>
      </c>
      <c r="B21562" t="inlineStr">
        <is>
          <t>PRIMAVERA Wild Rose Oil Bio 30ml Glass Bottle Aroma Body Oil Natural Cosmetics - Intensively Regenerating, Smoothing, Moisturizing - Vegan</t>
        </is>
      </c>
      <c r="C21562" t="inlineStr">
        <is>
          <t>Body Oil</t>
        </is>
      </c>
      <c r="D21562" t="inlineStr">
        <is>
          <t>Primavera</t>
        </is>
      </c>
      <c r="E21562" t="n">
        <v>18.07</v>
      </c>
      <c r="F21562" t="n">
        <v>1</v>
      </c>
      <c r="G21562" t="n">
        <v>2</v>
      </c>
      <c r="H21562" s="5">
        <f>HYPERLINK("https://api.qogita.com/variants/link/4086900742659/", "View Product")</f>
        <v/>
      </c>
    </row>
    <row r="21563">
      <c r="A21563" t="inlineStr">
        <is>
          <t>4086900752597</t>
        </is>
      </c>
      <c r="B21563" t="inlineStr">
        <is>
          <t>PRIMAVERA Aroma Sauna Set Freshness &amp; Energy Organic 3 x 10ml - Breath Power, Energy Source, Citrus Joy - Sauna Oil, Aromatherapy, Gift - Vegan</t>
        </is>
      </c>
      <c r="C21563" t="inlineStr">
        <is>
          <t>Diffusers</t>
        </is>
      </c>
      <c r="D21563" t="inlineStr">
        <is>
          <t>Primavera</t>
        </is>
      </c>
      <c r="E21563" t="n">
        <v>14.06</v>
      </c>
      <c r="F21563" t="n">
        <v>1</v>
      </c>
      <c r="G21563" t="n">
        <v>3</v>
      </c>
      <c r="H21563" s="5">
        <f>HYPERLINK("https://api.qogita.com/variants/link/4086900752597/", "View Product")</f>
        <v/>
      </c>
    </row>
    <row r="21564">
      <c r="A21564" t="inlineStr">
        <is>
          <t>4103040022806</t>
        </is>
      </c>
      <c r="B21564" t="inlineStr">
        <is>
          <t>Sebamed Baby Protective Facial Cream Ultra Mild Gentle Hydrating Face</t>
        </is>
      </c>
      <c r="C21564" t="inlineStr">
        <is>
          <t>Face Cream</t>
        </is>
      </c>
      <c r="D21564" t="inlineStr">
        <is>
          <t>Sebamed</t>
        </is>
      </c>
      <c r="E21564" t="n">
        <v>16.51</v>
      </c>
      <c r="F21564" t="n">
        <v>1</v>
      </c>
      <c r="G21564" t="n">
        <v>2</v>
      </c>
      <c r="H21564" s="5">
        <f>HYPERLINK("https://api.qogita.com/variants/link/4103040022806/", "View Product")</f>
        <v/>
      </c>
    </row>
    <row r="21565">
      <c r="A21565" t="inlineStr">
        <is>
          <t>4103040028600</t>
        </is>
      </c>
      <c r="B21565" t="inlineStr">
        <is>
          <t>Sebamed Micellar Water For Normal To Dry Skin Anti-Pollution - 200 Ml</t>
        </is>
      </c>
      <c r="C21565" t="inlineStr">
        <is>
          <t>Micellar Water</t>
        </is>
      </c>
      <c r="D21565" t="inlineStr">
        <is>
          <t>Sebamed</t>
        </is>
      </c>
      <c r="E21565" t="n">
        <v>5.34</v>
      </c>
      <c r="F21565" t="n">
        <v>1</v>
      </c>
      <c r="G21565" t="n">
        <v>5</v>
      </c>
      <c r="H21565" s="5">
        <f>HYPERLINK("https://api.qogita.com/variants/link/4103040028600/", "View Product")</f>
        <v/>
      </c>
    </row>
    <row r="21566">
      <c r="A21566" t="inlineStr">
        <is>
          <t>4103040043160</t>
        </is>
      </c>
      <c r="B21566" t="inlineStr">
        <is>
          <t>Sebamed Baby Detangling Shampoo 150 Ml</t>
        </is>
      </c>
      <c r="C21566" t="inlineStr">
        <is>
          <t>Shampoo</t>
        </is>
      </c>
      <c r="D21566" t="inlineStr">
        <is>
          <t>Sebamed</t>
        </is>
      </c>
      <c r="E21566" t="n">
        <v>6.25</v>
      </c>
      <c r="F21566" t="n">
        <v>1</v>
      </c>
      <c r="G21566" t="n">
        <v>6</v>
      </c>
      <c r="H21566" s="5">
        <f>HYPERLINK("https://api.qogita.com/variants/link/4103040043160/", "View Product")</f>
        <v/>
      </c>
    </row>
    <row r="21567">
      <c r="A21567" t="inlineStr">
        <is>
          <t>4103040114204</t>
        </is>
      </c>
      <c r="B21567" t="inlineStr">
        <is>
          <t>Sebamed Children's Baby Shampoo Extra Mild Cleanser for Delicate Baby Hair and Scalp 8.5 Fluid Ounces</t>
        </is>
      </c>
      <c r="C21567" t="inlineStr">
        <is>
          <t>Baby Bath</t>
        </is>
      </c>
      <c r="D21567" t="inlineStr">
        <is>
          <t>Sebamed</t>
        </is>
      </c>
      <c r="E21567" t="n">
        <v>6.37</v>
      </c>
      <c r="F21567" t="n">
        <v>1</v>
      </c>
      <c r="G21567" t="n">
        <v>7</v>
      </c>
      <c r="H21567" s="5">
        <f>HYPERLINK("https://api.qogita.com/variants/link/4103040114204/", "View Product")</f>
        <v/>
      </c>
    </row>
    <row r="21568">
      <c r="A21568" t="inlineStr">
        <is>
          <t>4103040116215</t>
        </is>
      </c>
      <c r="B21568" t="inlineStr">
        <is>
          <t>Sebamed Extra Soft Baby Cream 6.8Fl Oz (200ml) for Delicate Skin with pH Value of 5.5 - Clinically Proven, Free from Nitro-Mochus Compounds, Formaldehyde, Nitrosamines, Dioxan</t>
        </is>
      </c>
      <c r="C21568" t="inlineStr">
        <is>
          <t>Baby &amp; Child</t>
        </is>
      </c>
      <c r="D21568" t="inlineStr">
        <is>
          <t>Sebamed</t>
        </is>
      </c>
      <c r="E21568" t="n">
        <v>7.86</v>
      </c>
      <c r="F21568" t="n">
        <v>1</v>
      </c>
      <c r="G21568" t="n">
        <v>32</v>
      </c>
      <c r="H21568" s="5">
        <f>HYPERLINK("https://api.qogita.com/variants/link/4103040116215/", "View Product")</f>
        <v/>
      </c>
    </row>
    <row r="21569">
      <c r="A21569" t="inlineStr">
        <is>
          <t>4103040122452</t>
        </is>
      </c>
      <c r="B21569" t="inlineStr">
        <is>
          <t>Sebamed Baby Lotion Body Balm For Children And Infants 200ml</t>
        </is>
      </c>
      <c r="C21569" t="inlineStr">
        <is>
          <t>Baby Cream &amp; Oil</t>
        </is>
      </c>
      <c r="D21569" t="inlineStr">
        <is>
          <t>Sebamed</t>
        </is>
      </c>
      <c r="E21569" t="n">
        <v>7.36</v>
      </c>
      <c r="F21569" t="n">
        <v>1</v>
      </c>
      <c r="G21569" t="n">
        <v>3</v>
      </c>
      <c r="H21569" s="5">
        <f>HYPERLINK("https://api.qogita.com/variants/link/4103040122452/", "View Product")</f>
        <v/>
      </c>
    </row>
    <row r="21570">
      <c r="A21570" t="inlineStr">
        <is>
          <t>4103040123206</t>
        </is>
      </c>
      <c r="B21570" t="inlineStr">
        <is>
          <t>Sebamed Hand And Nail Balm Quickly Absorbed Moisturizing Balm For Hands And Nails 75ml</t>
        </is>
      </c>
      <c r="C21570" t="inlineStr">
        <is>
          <t>Hand Cream</t>
        </is>
      </c>
      <c r="D21570" t="inlineStr">
        <is>
          <t>Sebamed</t>
        </is>
      </c>
      <c r="E21570" t="n">
        <v>6.34</v>
      </c>
      <c r="F21570" t="n">
        <v>1</v>
      </c>
      <c r="G21570" t="n">
        <v>10</v>
      </c>
      <c r="H21570" s="5">
        <f>HYPERLINK("https://api.qogita.com/variants/link/4103040123206/", "View Product")</f>
        <v/>
      </c>
    </row>
    <row r="21571">
      <c r="A21571" t="inlineStr">
        <is>
          <t>4103040126481</t>
        </is>
      </c>
      <c r="B21571" t="inlineStr">
        <is>
          <t>Sebamed Classic Range Lip Defense with SPF 30 4.8g</t>
        </is>
      </c>
      <c r="C21571" t="inlineStr">
        <is>
          <t>Lip Balm</t>
        </is>
      </c>
      <c r="D21571" t="inlineStr">
        <is>
          <t>Sebamed</t>
        </is>
      </c>
      <c r="E21571" t="n">
        <v>4</v>
      </c>
      <c r="F21571" t="n">
        <v>1</v>
      </c>
      <c r="G21571" t="n">
        <v>30</v>
      </c>
      <c r="H21571" s="5">
        <f>HYPERLINK("https://api.qogita.com/variants/link/4103040126481/", "View Product")</f>
        <v/>
      </c>
    </row>
    <row r="21572">
      <c r="A21572" t="inlineStr">
        <is>
          <t>4103040143907</t>
        </is>
      </c>
      <c r="B21572" t="inlineStr">
        <is>
          <t>SebaMed Anti-Ageing Q10 Protection 50ml</t>
        </is>
      </c>
      <c r="C21572" t="inlineStr">
        <is>
          <t>Anti-Aging Facial Care</t>
        </is>
      </c>
      <c r="D21572" t="inlineStr">
        <is>
          <t>Sebamed</t>
        </is>
      </c>
      <c r="E21572" t="n">
        <v>9.77</v>
      </c>
      <c r="F21572" t="n">
        <v>1</v>
      </c>
      <c r="G21572" t="n">
        <v>19</v>
      </c>
      <c r="H21572" s="5">
        <f>HYPERLINK("https://api.qogita.com/variants/link/4103040143907/", "View Product")</f>
        <v/>
      </c>
    </row>
    <row r="21573">
      <c r="A21573" t="inlineStr">
        <is>
          <t>4103040144959</t>
        </is>
      </c>
      <c r="B21573" t="inlineStr">
        <is>
          <t>Sebamed Classic Feminine Intimate Wash Sensitive</t>
        </is>
      </c>
      <c r="C21573" t="inlineStr">
        <is>
          <t>Intimate Hygiene</t>
        </is>
      </c>
      <c r="D21573" t="inlineStr">
        <is>
          <t>Sebamed</t>
        </is>
      </c>
      <c r="E21573" t="n">
        <v>6.43</v>
      </c>
      <c r="F21573" t="n">
        <v>1</v>
      </c>
      <c r="G21573" t="n">
        <v>32</v>
      </c>
      <c r="H21573" s="5">
        <f>HYPERLINK("https://api.qogita.com/variants/link/4103040144959/", "View Product")</f>
        <v/>
      </c>
    </row>
    <row r="21574">
      <c r="A21574" t="inlineStr">
        <is>
          <t>4103040171436</t>
        </is>
      </c>
      <c r="B21574" t="inlineStr">
        <is>
          <t>Sebamed Classic Feminine Intimate Wash Menopause 200 Ml Ph 68</t>
        </is>
      </c>
      <c r="C21574" t="inlineStr">
        <is>
          <t>Intimate Hygiene</t>
        </is>
      </c>
      <c r="D21574" t="inlineStr">
        <is>
          <t>Sebamed</t>
        </is>
      </c>
      <c r="E21574" t="n">
        <v>6.48</v>
      </c>
      <c r="F21574" t="n">
        <v>1</v>
      </c>
      <c r="G21574" t="n">
        <v>28</v>
      </c>
      <c r="H21574" s="5">
        <f>HYPERLINK("https://api.qogita.com/variants/link/4103040171436/", "View Product")</f>
        <v/>
      </c>
    </row>
    <row r="21575">
      <c r="A21575" t="inlineStr">
        <is>
          <t>4103040899101</t>
        </is>
      </c>
      <c r="B21575" t="inlineStr">
        <is>
          <t>Sebamed Multi Protect Sun Cream Spf 50 75 Ml</t>
        </is>
      </c>
      <c r="C21575" t="inlineStr">
        <is>
          <t>Face Sun Protection</t>
        </is>
      </c>
      <c r="D21575" t="inlineStr">
        <is>
          <t>Sebamed</t>
        </is>
      </c>
      <c r="E21575" t="n">
        <v>8.859999999999999</v>
      </c>
      <c r="F21575" t="n">
        <v>1</v>
      </c>
      <c r="G21575" t="n">
        <v>4</v>
      </c>
      <c r="H21575" s="5">
        <f>HYPERLINK("https://api.qogita.com/variants/link/4103040899101/", "View Product")</f>
        <v/>
      </c>
    </row>
    <row r="21576">
      <c r="A21576" t="inlineStr">
        <is>
          <t>4210201162735</t>
        </is>
      </c>
      <c r="B21576" t="inlineStr">
        <is>
          <t>Oral-B Cross Action Brush Head Refill CA162735 - Pack of 6</t>
        </is>
      </c>
      <c r="C21576" t="inlineStr">
        <is>
          <t>Toothbrushes &amp; Tongue Cleaners</t>
        </is>
      </c>
      <c r="D21576" t="inlineStr">
        <is>
          <t>Oral-B</t>
        </is>
      </c>
      <c r="E21576" t="n">
        <v>30.09</v>
      </c>
      <c r="F21576" t="n">
        <v>1</v>
      </c>
      <c r="G21576" t="n">
        <v>13</v>
      </c>
      <c r="H21576" s="5">
        <f>HYPERLINK("https://api.qogita.com/variants/link/4210201162735/", "View Product")</f>
        <v/>
      </c>
    </row>
    <row r="21577">
      <c r="A21577" t="inlineStr">
        <is>
          <t>4210201192732</t>
        </is>
      </c>
      <c r="B21577" t="inlineStr">
        <is>
          <t>Braun 3in1 Hair Trimmer Silkpil Fg1100 Pink</t>
        </is>
      </c>
      <c r="C21577" t="inlineStr">
        <is>
          <t>Hair Clippers</t>
        </is>
      </c>
      <c r="D21577" t="inlineStr">
        <is>
          <t>Braun</t>
        </is>
      </c>
      <c r="E21577" t="n">
        <v>27.66</v>
      </c>
      <c r="F21577" t="n">
        <v>1</v>
      </c>
      <c r="G21577" t="n">
        <v>4</v>
      </c>
      <c r="H21577" s="5">
        <f>HYPERLINK("https://api.qogita.com/variants/link/4210201192732/", "View Product")</f>
        <v/>
      </c>
    </row>
    <row r="21578">
      <c r="A21578" t="inlineStr">
        <is>
          <t>4210201410218</t>
        </is>
      </c>
      <c r="B21578" t="inlineStr">
        <is>
          <t>Oral B Io6 Series Duo Pack Electric Toothbrush Black And Pink Sand Extra Handle 2 Pieces</t>
        </is>
      </c>
      <c r="C21578" t="inlineStr">
        <is>
          <t>Electric Toothbrushes</t>
        </is>
      </c>
      <c r="D21578" t="inlineStr">
        <is>
          <t>Oral-B</t>
        </is>
      </c>
      <c r="E21578" t="n">
        <v>242.36</v>
      </c>
      <c r="F21578" t="n">
        <v>1</v>
      </c>
      <c r="G21578" t="n">
        <v>2</v>
      </c>
      <c r="H21578" s="5">
        <f>HYPERLINK("https://api.qogita.com/variants/link/4210201410218/", "View Product")</f>
        <v/>
      </c>
    </row>
    <row r="21579">
      <c r="A21579" t="inlineStr">
        <is>
          <t>4211125574093</t>
        </is>
      </c>
      <c r="B21579" t="inlineStr">
        <is>
          <t>Beurer MP 44 Manicure/Pedicure Replacement Set with 7 High-Quality Felt and Sapphire Grinding Attachments for Hand and Foot Care</t>
        </is>
      </c>
      <c r="C21579" t="inlineStr">
        <is>
          <t>Manicure Sets</t>
        </is>
      </c>
      <c r="D21579" t="inlineStr">
        <is>
          <t>Beurer</t>
        </is>
      </c>
      <c r="E21579" t="n">
        <v>22.27</v>
      </c>
      <c r="F21579" t="n">
        <v>1</v>
      </c>
      <c r="G21579" t="n">
        <v>3</v>
      </c>
      <c r="H21579" s="5">
        <f>HYPERLINK("https://api.qogita.com/variants/link/4211125574093/", "View Product")</f>
        <v/>
      </c>
    </row>
    <row r="21580">
      <c r="A21580" t="inlineStr">
        <is>
          <t>4250120710570</t>
        </is>
      </c>
      <c r="B21580" t="inlineStr">
        <is>
          <t>Vivian Gray 1057 Love Bomb Luxury Eau de Parfum 10ml</t>
        </is>
      </c>
      <c r="C21580" t="inlineStr">
        <is>
          <t>Eau De Parfum</t>
        </is>
      </c>
      <c r="D21580" t="inlineStr">
        <is>
          <t>Vivian Gray</t>
        </is>
      </c>
      <c r="E21580" t="n">
        <v>3.45</v>
      </c>
      <c r="F21580" t="n">
        <v>1</v>
      </c>
      <c r="G21580" t="n">
        <v>22</v>
      </c>
      <c r="H21580" s="5">
        <f>HYPERLINK("https://api.qogita.com/variants/link/4250120710570/", "View Product")</f>
        <v/>
      </c>
    </row>
    <row r="21581">
      <c r="A21581" t="inlineStr">
        <is>
          <t>4250120710679</t>
        </is>
      </c>
      <c r="B21581" t="inlineStr">
        <is>
          <t>Vivian Gray Eau de Parfum Temptation Love Bomb Wild Flowers 10ml</t>
        </is>
      </c>
      <c r="C21581" t="inlineStr">
        <is>
          <t>Eau De Parfum</t>
        </is>
      </c>
      <c r="D21581" t="inlineStr">
        <is>
          <t>Vivian Gray</t>
        </is>
      </c>
      <c r="E21581" t="n">
        <v>3.45</v>
      </c>
      <c r="F21581" t="n">
        <v>1</v>
      </c>
      <c r="G21581" t="n">
        <v>5</v>
      </c>
      <c r="H21581" s="5">
        <f>HYPERLINK("https://api.qogita.com/variants/link/4250120710679/", "View Product")</f>
        <v/>
      </c>
    </row>
    <row r="21582">
      <c r="A21582" t="inlineStr">
        <is>
          <t>4250120710754</t>
        </is>
      </c>
      <c r="B21582" t="inlineStr">
        <is>
          <t>Vivian Gray 1075 Wild Flowers Luxury Hand Lotion Multicolor 30ml</t>
        </is>
      </c>
      <c r="C21582" t="inlineStr">
        <is>
          <t>Hand Cream</t>
        </is>
      </c>
      <c r="D21582" t="inlineStr">
        <is>
          <t>Vivian Gray</t>
        </is>
      </c>
      <c r="E21582" t="n">
        <v>2.94</v>
      </c>
      <c r="F21582" t="n">
        <v>1</v>
      </c>
      <c r="G21582" t="n">
        <v>6</v>
      </c>
      <c r="H21582" s="5">
        <f>HYPERLINK("https://api.qogita.com/variants/link/4250120710754/", "View Product")</f>
        <v/>
      </c>
    </row>
    <row r="21583">
      <c r="A21583" t="inlineStr">
        <is>
          <t>4250120711737</t>
        </is>
      </c>
      <c r="B21583" t="inlineStr">
        <is>
          <t>Vivian Gray Lemon+Tea Hand Soap and Luxury Shower Gel 250ml</t>
        </is>
      </c>
      <c r="C21583" t="inlineStr">
        <is>
          <t>Shower Gel</t>
        </is>
      </c>
      <c r="D21583" t="inlineStr">
        <is>
          <t>Vivian Gray</t>
        </is>
      </c>
      <c r="E21583" t="n">
        <v>3.55</v>
      </c>
      <c r="F21583" t="n">
        <v>1</v>
      </c>
      <c r="G21583" t="n">
        <v>9</v>
      </c>
      <c r="H21583" s="5">
        <f>HYPERLINK("https://api.qogita.com/variants/link/4250120711737/", "View Product")</f>
        <v/>
      </c>
    </row>
    <row r="21584">
      <c r="A21584" t="inlineStr">
        <is>
          <t>4250120713007</t>
        </is>
      </c>
      <c r="B21584" t="inlineStr">
        <is>
          <t>Vivian Gray 1300 Soap Dispenser with Natural Garden Roses Cream Soap 250ml</t>
        </is>
      </c>
      <c r="C21584" t="inlineStr">
        <is>
          <t>Soap &amp; Lotion Dispensers</t>
        </is>
      </c>
      <c r="D21584" t="inlineStr">
        <is>
          <t>Vivian Gray</t>
        </is>
      </c>
      <c r="E21584" t="n">
        <v>3.69</v>
      </c>
      <c r="F21584" t="n">
        <v>1</v>
      </c>
      <c r="G21584" t="n">
        <v>10</v>
      </c>
      <c r="H21584" s="5">
        <f>HYPERLINK("https://api.qogita.com/variants/link/4250120713007/", "View Product")</f>
        <v/>
      </c>
    </row>
    <row r="21585">
      <c r="A21585" t="inlineStr">
        <is>
          <t>4250120715056</t>
        </is>
      </c>
      <c r="B21585" t="inlineStr">
        <is>
          <t>Vivian Gray 1505 Soap Dispenser With Cream Soap Modern Pastel, Grapefruit &amp; Green</t>
        </is>
      </c>
      <c r="C21585" t="inlineStr">
        <is>
          <t>Soap &amp; Lotion Dispensers</t>
        </is>
      </c>
      <c r="D21585" t="inlineStr">
        <is>
          <t>Vivian Gray</t>
        </is>
      </c>
      <c r="E21585" t="n">
        <v>3.86</v>
      </c>
      <c r="F21585" t="n">
        <v>1</v>
      </c>
      <c r="G21585" t="n">
        <v>5</v>
      </c>
      <c r="H21585" s="5">
        <f>HYPERLINK("https://api.qogita.com/variants/link/4250120715056/", "View Product")</f>
        <v/>
      </c>
    </row>
    <row r="21586">
      <c r="A21586" t="inlineStr">
        <is>
          <t>4250120716091</t>
        </is>
      </c>
      <c r="B21586" t="inlineStr">
        <is>
          <t>Vivian Gray Cosmetic Set Sparkling Orange Shower Gel And Body Lotion</t>
        </is>
      </c>
      <c r="C21586" t="inlineStr">
        <is>
          <t>Body Care Sets</t>
        </is>
      </c>
      <c r="D21586" t="inlineStr">
        <is>
          <t>Vivian Gray</t>
        </is>
      </c>
      <c r="E21586" t="n">
        <v>10.8</v>
      </c>
      <c r="F21586" t="n">
        <v>1</v>
      </c>
      <c r="G21586" t="n">
        <v>2</v>
      </c>
      <c r="H21586" s="5">
        <f>HYPERLINK("https://api.qogita.com/variants/link/4250120716091/", "View Product")</f>
        <v/>
      </c>
    </row>
    <row r="21587">
      <c r="A21587" t="inlineStr">
        <is>
          <t>4250120716183</t>
        </is>
      </c>
      <c r="B21587" t="inlineStr">
        <is>
          <t>Vivian Gray Sensual Jasmine Cream Soap And Hand Lotion Cosmetic Set</t>
        </is>
      </c>
      <c r="C21587" t="inlineStr">
        <is>
          <t>Body Care Sets</t>
        </is>
      </c>
      <c r="D21587" t="inlineStr">
        <is>
          <t>Vivian Gray</t>
        </is>
      </c>
      <c r="E21587" t="n">
        <v>10.8</v>
      </c>
      <c r="F21587" t="n">
        <v>1</v>
      </c>
      <c r="G21587" t="n">
        <v>9</v>
      </c>
      <c r="H21587" s="5">
        <f>HYPERLINK("https://api.qogita.com/variants/link/4250120716183/", "View Product")</f>
        <v/>
      </c>
    </row>
    <row r="21588">
      <c r="A21588" t="inlineStr">
        <is>
          <t>4250120716282</t>
        </is>
      </c>
      <c r="B21588" t="inlineStr">
        <is>
          <t>Vivian Gray Wild Orchid Cosmetic Set Cream Soap Hand Lotion</t>
        </is>
      </c>
      <c r="C21588" t="inlineStr">
        <is>
          <t>Body Care Sets</t>
        </is>
      </c>
      <c r="D21588" t="inlineStr">
        <is>
          <t>Vivian Gray</t>
        </is>
      </c>
      <c r="E21588" t="n">
        <v>10.8</v>
      </c>
      <c r="F21588" t="n">
        <v>1</v>
      </c>
      <c r="G21588" t="n">
        <v>2</v>
      </c>
      <c r="H21588" s="5">
        <f>HYPERLINK("https://api.qogita.com/variants/link/4250120716282/", "View Product")</f>
        <v/>
      </c>
    </row>
    <row r="21589">
      <c r="A21589" t="inlineStr">
        <is>
          <t>4250120720159</t>
        </is>
      </c>
      <c r="B21589" t="inlineStr">
        <is>
          <t>Vivian Gray 2015 Aroma Selection Soap Dispenser with White Tea &amp; Magnolia Cream Soap 400ml</t>
        </is>
      </c>
      <c r="C21589" t="inlineStr">
        <is>
          <t>Soap &amp; Lotion Dispensers</t>
        </is>
      </c>
      <c r="D21589" t="inlineStr">
        <is>
          <t>Vivian Gray</t>
        </is>
      </c>
      <c r="E21589" t="n">
        <v>4.78</v>
      </c>
      <c r="F21589" t="n">
        <v>1</v>
      </c>
      <c r="G21589" t="n">
        <v>15</v>
      </c>
      <c r="H21589" s="5">
        <f>HYPERLINK("https://api.qogita.com/variants/link/4250120720159/", "View Product")</f>
        <v/>
      </c>
    </row>
    <row r="21590">
      <c r="A21590" t="inlineStr">
        <is>
          <t>4250120720173</t>
        </is>
      </c>
      <c r="B21590" t="inlineStr">
        <is>
          <t>Vivian Gray 2017 Aroma Selection White Tea &amp; Magnolia Shower Gel 500ml</t>
        </is>
      </c>
      <c r="C21590" t="inlineStr">
        <is>
          <t>Shower Gel</t>
        </is>
      </c>
      <c r="D21590" t="inlineStr">
        <is>
          <t>Vivian Gray</t>
        </is>
      </c>
      <c r="E21590" t="n">
        <v>4.78</v>
      </c>
      <c r="F21590" t="n">
        <v>1</v>
      </c>
      <c r="G21590" t="n">
        <v>4</v>
      </c>
      <c r="H21590" s="5">
        <f>HYPERLINK("https://api.qogita.com/variants/link/4250120720173/", "View Product")</f>
        <v/>
      </c>
    </row>
    <row r="21591">
      <c r="A21591" t="inlineStr">
        <is>
          <t>4250120720302</t>
        </is>
      </c>
      <c r="B21591" t="inlineStr">
        <is>
          <t>Vivian Gray Aroma Selection Cream Soap Grapefruit &amp; Vetiver 13.5 FL oz</t>
        </is>
      </c>
      <c r="C21591" t="inlineStr">
        <is>
          <t>Soap</t>
        </is>
      </c>
      <c r="D21591" t="inlineStr">
        <is>
          <t>Vivian Gray</t>
        </is>
      </c>
      <c r="E21591" t="n">
        <v>4.81</v>
      </c>
      <c r="F21591" t="n">
        <v>1</v>
      </c>
      <c r="G21591" t="n">
        <v>13</v>
      </c>
      <c r="H21591" s="5">
        <f>HYPERLINK("https://api.qogita.com/variants/link/4250120720302/", "View Product")</f>
        <v/>
      </c>
    </row>
    <row r="21592">
      <c r="A21592" t="inlineStr">
        <is>
          <t>4250120730806</t>
        </is>
      </c>
      <c r="B21592" t="inlineStr">
        <is>
          <t>Vivian Gray 3080 Diamonds Soap Dispenser With Cream Soap, Black/White 250 Ml</t>
        </is>
      </c>
      <c r="C21592" t="inlineStr">
        <is>
          <t>Soap &amp; Lotion Dispensers</t>
        </is>
      </c>
      <c r="D21592" t="inlineStr">
        <is>
          <t>Vivian Gray</t>
        </is>
      </c>
      <c r="E21592" t="n">
        <v>6.52</v>
      </c>
      <c r="F21592" t="n">
        <v>1</v>
      </c>
      <c r="G21592" t="n">
        <v>13</v>
      </c>
      <c r="H21592" s="5">
        <f>HYPERLINK("https://api.qogita.com/variants/link/4250120730806/", "View Product")</f>
        <v/>
      </c>
    </row>
    <row r="21593">
      <c r="A21593" t="inlineStr">
        <is>
          <t>4250120735320</t>
        </is>
      </c>
      <c r="B21593" t="inlineStr">
        <is>
          <t>Vivian Gray White Musk &amp; Pineapple Shower Gel 300 Ml</t>
        </is>
      </c>
      <c r="C21593" t="inlineStr">
        <is>
          <t>Shower Gel</t>
        </is>
      </c>
      <c r="D21593" t="inlineStr">
        <is>
          <t>Vivian Gray</t>
        </is>
      </c>
      <c r="E21593" t="n">
        <v>6.65</v>
      </c>
      <c r="F21593" t="n">
        <v>1</v>
      </c>
      <c r="G21593" t="n">
        <v>14</v>
      </c>
      <c r="H21593" s="5">
        <f>HYPERLINK("https://api.qogita.com/variants/link/4250120735320/", "View Product")</f>
        <v/>
      </c>
    </row>
    <row r="21594">
      <c r="A21594" t="inlineStr">
        <is>
          <t>4250120736211</t>
        </is>
      </c>
      <c r="B21594" t="inlineStr">
        <is>
          <t>Wonderful Dark Woods Liquid Soap 500 ml</t>
        </is>
      </c>
      <c r="C21594" t="inlineStr">
        <is>
          <t>Soap</t>
        </is>
      </c>
      <c r="D21594" t="inlineStr">
        <is>
          <t>Vertbaudet</t>
        </is>
      </c>
      <c r="E21594" t="n">
        <v>6.7</v>
      </c>
      <c r="F21594" t="n">
        <v>1</v>
      </c>
      <c r="G21594" t="n">
        <v>10</v>
      </c>
      <c r="H21594" s="5">
        <f>HYPERLINK("https://api.qogita.com/variants/link/4250120736211/", "View Product")</f>
        <v/>
      </c>
    </row>
    <row r="21595">
      <c r="A21595" t="inlineStr">
        <is>
          <t>4250120780306</t>
        </is>
      </c>
      <c r="B21595" t="inlineStr">
        <is>
          <t>Vivian Gray Grapefruit &amp; Vetiver Eau De Toilette</t>
        </is>
      </c>
      <c r="C21595" t="inlineStr">
        <is>
          <t>Eau De Toilette</t>
        </is>
      </c>
      <c r="D21595" t="inlineStr">
        <is>
          <t>Vivian Gray</t>
        </is>
      </c>
      <c r="E21595" t="n">
        <v>8.119999999999999</v>
      </c>
      <c r="F21595" t="n">
        <v>1</v>
      </c>
      <c r="G21595" t="n">
        <v>5</v>
      </c>
      <c r="H21595" s="5">
        <f>HYPERLINK("https://api.qogita.com/variants/link/4250120780306/", "View Product")</f>
        <v/>
      </c>
    </row>
    <row r="21596">
      <c r="A21596" t="inlineStr">
        <is>
          <t>4250120780337</t>
        </is>
      </c>
      <c r="B21596" t="inlineStr">
        <is>
          <t>VIVANEL 8033 Orange Cream Soap 350ml</t>
        </is>
      </c>
      <c r="C21596" t="inlineStr">
        <is>
          <t>Soap</t>
        </is>
      </c>
      <c r="D21596" t="inlineStr">
        <is>
          <t>‎Vivanel</t>
        </is>
      </c>
      <c r="E21596" t="n">
        <v>4.75</v>
      </c>
      <c r="F21596" t="n">
        <v>1</v>
      </c>
      <c r="G21596" t="n">
        <v>11</v>
      </c>
      <c r="H21596" s="5">
        <f>HYPERLINK("https://api.qogita.com/variants/link/4250120780337/", "View Product")</f>
        <v/>
      </c>
    </row>
    <row r="21597">
      <c r="A21597" t="inlineStr">
        <is>
          <t>4250120790114</t>
        </is>
      </c>
      <c r="B21597" t="inlineStr">
        <is>
          <t>Vivian Gray True Nature Ylang &amp; Orange Cream Soap - 300 ml</t>
        </is>
      </c>
      <c r="C21597" t="inlineStr">
        <is>
          <t>Soap</t>
        </is>
      </c>
      <c r="D21597" t="inlineStr">
        <is>
          <t>Vivian Gray</t>
        </is>
      </c>
      <c r="E21597" t="n">
        <v>5.67</v>
      </c>
      <c r="F21597" t="n">
        <v>1</v>
      </c>
      <c r="G21597" t="n">
        <v>9</v>
      </c>
      <c r="H21597" s="5">
        <f>HYPERLINK("https://api.qogita.com/variants/link/4250120790114/", "View Product")</f>
        <v/>
      </c>
    </row>
    <row r="21598">
      <c r="A21598" t="inlineStr">
        <is>
          <t>4250120790343</t>
        </is>
      </c>
      <c r="B21598" t="inlineStr">
        <is>
          <t>Vivian Gray True Nature Cedar Patchouli 75 Ml</t>
        </is>
      </c>
      <c r="C21598" t="inlineStr">
        <is>
          <t>Eau De Parfum</t>
        </is>
      </c>
      <c r="D21598" t="inlineStr">
        <is>
          <t>Vivian Gray</t>
        </is>
      </c>
      <c r="E21598" t="n">
        <v>5</v>
      </c>
      <c r="F21598" t="n">
        <v>1</v>
      </c>
      <c r="G21598" t="n">
        <v>5</v>
      </c>
      <c r="H21598" s="5">
        <f>HYPERLINK("https://api.qogita.com/variants/link/4250120790343/", "View Product")</f>
        <v/>
      </c>
    </row>
    <row r="21599">
      <c r="A21599" t="inlineStr">
        <is>
          <t>4250947598368</t>
        </is>
      </c>
      <c r="B21599" t="inlineStr">
        <is>
          <t>Catrice Prime And Fine Multitalent Fixing Spray 50ml Makeup Fixator</t>
        </is>
      </c>
      <c r="C21599" t="inlineStr">
        <is>
          <t>Setting Spray</t>
        </is>
      </c>
      <c r="D21599" t="inlineStr">
        <is>
          <t>Catrice</t>
        </is>
      </c>
      <c r="E21599" t="n">
        <v>5.88</v>
      </c>
      <c r="F21599" t="n">
        <v>1</v>
      </c>
      <c r="G21599" t="n">
        <v>2</v>
      </c>
      <c r="H21599" s="5">
        <f>HYPERLINK("https://api.qogita.com/variants/link/4250947598368/", "View Product")</f>
        <v/>
      </c>
    </row>
    <row r="21600">
      <c r="A21600" t="inlineStr">
        <is>
          <t>4260180219340</t>
        </is>
      </c>
      <c r="B21600" t="inlineStr">
        <is>
          <t>M2 Beaut Eyelash Awakening Serum 4ml Enhance Your Lashes</t>
        </is>
      </c>
      <c r="C21600" t="inlineStr">
        <is>
          <t>Eyelash Serum &amp; Eyebrow Serum</t>
        </is>
      </c>
      <c r="D21600" t="inlineStr">
        <is>
          <t>M2 Beauté</t>
        </is>
      </c>
      <c r="E21600" t="n">
        <v>43.71</v>
      </c>
      <c r="F21600" t="n">
        <v>1</v>
      </c>
      <c r="G21600" t="n">
        <v>3</v>
      </c>
      <c r="H21600" s="5">
        <f>HYPERLINK("https://api.qogita.com/variants/link/4260180219340/", "View Product")</f>
        <v/>
      </c>
    </row>
    <row r="21601">
      <c r="A21601" t="inlineStr">
        <is>
          <t>4260180219753</t>
        </is>
      </c>
      <c r="B21601" t="inlineStr">
        <is>
          <t>M2 Beaute Eyelash Activating Serum Set Of 2 Pieces</t>
        </is>
      </c>
      <c r="C21601" t="inlineStr">
        <is>
          <t>Eyelash Serum &amp; Eyebrow Serum</t>
        </is>
      </c>
      <c r="D21601" t="inlineStr">
        <is>
          <t>M2 Beauté</t>
        </is>
      </c>
      <c r="E21601" t="n">
        <v>67.23</v>
      </c>
      <c r="F21601" t="n">
        <v>1</v>
      </c>
      <c r="G21601" t="n">
        <v>5</v>
      </c>
      <c r="H21601" s="5">
        <f>HYPERLINK("https://api.qogita.com/variants/link/4260180219753/", "View Product")</f>
        <v/>
      </c>
    </row>
    <row r="21602">
      <c r="A21602" t="inlineStr">
        <is>
          <t>4260285391293</t>
        </is>
      </c>
      <c r="B21602" t="inlineStr">
        <is>
          <t>Bowtique Hair Tie With Bow True Black - Stylish And Functional Hair Accessory</t>
        </is>
      </c>
      <c r="C21602" t="inlineStr">
        <is>
          <t>Hair Elastics</t>
        </is>
      </c>
      <c r="D21602" t="inlineStr">
        <is>
          <t>Bowtique</t>
        </is>
      </c>
      <c r="E21602" t="n">
        <v>3.48</v>
      </c>
      <c r="F21602" t="n">
        <v>1</v>
      </c>
      <c r="G21602" t="n">
        <v>2</v>
      </c>
      <c r="H21602" s="5">
        <f>HYPERLINK("https://api.qogita.com/variants/link/4260285391293/", "View Product")</f>
        <v/>
      </c>
    </row>
    <row r="21603">
      <c r="A21603" t="inlineStr">
        <is>
          <t>4260285395499</t>
        </is>
      </c>
      <c r="B21603" t="inlineStr">
        <is>
          <t>Invisibobble Wrapstar Hair Band With Ribbon Snake It Off</t>
        </is>
      </c>
      <c r="C21603" t="inlineStr">
        <is>
          <t>Hair Elastics</t>
        </is>
      </c>
      <c r="D21603" t="inlineStr">
        <is>
          <t>Invisibobble</t>
        </is>
      </c>
      <c r="E21603" t="n">
        <v>6.71</v>
      </c>
      <c r="F21603" t="n">
        <v>1</v>
      </c>
      <c r="G21603" t="n">
        <v>2</v>
      </c>
      <c r="H21603" s="5">
        <f>HYPERLINK("https://api.qogita.com/variants/link/4260285395499/", "View Product")</f>
        <v/>
      </c>
    </row>
    <row r="21604">
      <c r="A21604" t="inlineStr">
        <is>
          <t>4260393770119</t>
        </is>
      </c>
      <c r="B21604" t="inlineStr">
        <is>
          <t>MAGICSTRIPES Deep Detox Tightening Mask Sachet</t>
        </is>
      </c>
      <c r="C21604" t="inlineStr">
        <is>
          <t>Purifying Mask</t>
        </is>
      </c>
      <c r="D21604" t="inlineStr">
        <is>
          <t>Magicstripes</t>
        </is>
      </c>
      <c r="E21604" t="n">
        <v>11.56</v>
      </c>
      <c r="F21604" t="n">
        <v>1</v>
      </c>
      <c r="G21604" t="n">
        <v>2</v>
      </c>
      <c r="H21604" s="5">
        <f>HYPERLINK("https://api.qogita.com/variants/link/4260393770119/", "View Product")</f>
        <v/>
      </c>
    </row>
    <row r="21605">
      <c r="A21605" t="inlineStr">
        <is>
          <t>4260450830039</t>
        </is>
      </c>
      <c r="B21605" t="inlineStr">
        <is>
          <t>CILAMOUR Eyebrow Serum for Luscious Thicker Longer Natural Healthier Strengthen Fuller Enhanced Eyebrows</t>
        </is>
      </c>
      <c r="C21605" t="inlineStr">
        <is>
          <t>Other</t>
        </is>
      </c>
      <c r="D21605" t="inlineStr">
        <is>
          <t>Cilamour</t>
        </is>
      </c>
      <c r="E21605" t="n">
        <v>36.64</v>
      </c>
      <c r="F21605" t="n">
        <v>1</v>
      </c>
      <c r="G21605" t="n">
        <v>11</v>
      </c>
      <c r="H21605" s="5">
        <f>HYPERLINK("https://api.qogita.com/variants/link/4260450830039/", "View Product")</f>
        <v/>
      </c>
    </row>
    <row r="21606">
      <c r="A21606" t="inlineStr">
        <is>
          <t>4260521261182</t>
        </is>
      </c>
      <c r="B21606" t="inlineStr">
        <is>
          <t>Dr Barbara Sturm The Good C Vitamin C Serum 30ml - Brand New In Box - 100% Genuine</t>
        </is>
      </c>
      <c r="C21606" t="inlineStr">
        <is>
          <t>Vitamin Serum</t>
        </is>
      </c>
      <c r="D21606" t="inlineStr">
        <is>
          <t>Dr. Barbara Sturm</t>
        </is>
      </c>
      <c r="E21606" t="n">
        <v>100.22</v>
      </c>
      <c r="F21606" t="n">
        <v>1</v>
      </c>
      <c r="G21606" t="n">
        <v>2</v>
      </c>
      <c r="H21606" s="5">
        <f>HYPERLINK("https://api.qogita.com/variants/link/4260521261182/", "View Product")</f>
        <v/>
      </c>
    </row>
    <row r="21607">
      <c r="A21607" t="inlineStr">
        <is>
          <t>4260521261915</t>
        </is>
      </c>
      <c r="B21607" t="inlineStr">
        <is>
          <t>Dr. Barbara Sturm Balancing Scalp Serum</t>
        </is>
      </c>
      <c r="C21607" t="inlineStr">
        <is>
          <t>Scalp Care</t>
        </is>
      </c>
      <c r="D21607" t="inlineStr">
        <is>
          <t>Dr. Barbara Sturm</t>
        </is>
      </c>
      <c r="E21607" t="n">
        <v>65.75</v>
      </c>
      <c r="F21607" t="n">
        <v>1</v>
      </c>
      <c r="G21607" t="n">
        <v>8</v>
      </c>
      <c r="H21607" s="5">
        <f>HYPERLINK("https://api.qogita.com/variants/link/4260521261915/", "View Product")</f>
        <v/>
      </c>
    </row>
    <row r="21608">
      <c r="A21608" t="inlineStr">
        <is>
          <t>4743318118741</t>
        </is>
      </c>
      <c r="B21608" t="inlineStr">
        <is>
          <t>Natura Siberica Organic Certified Instant Relief Face Tonic for Sensitive Skin 100ml</t>
        </is>
      </c>
      <c r="C21608" t="inlineStr">
        <is>
          <t>Facial Spray</t>
        </is>
      </c>
      <c r="D21608" t="inlineStr">
        <is>
          <t>Natura Siberica</t>
        </is>
      </c>
      <c r="E21608" t="n">
        <v>7.23</v>
      </c>
      <c r="F21608" t="n">
        <v>1</v>
      </c>
      <c r="G21608" t="n">
        <v>8</v>
      </c>
      <c r="H21608" s="5">
        <f>HYPERLINK("https://api.qogita.com/variants/link/4743318118741/", "View Product")</f>
        <v/>
      </c>
    </row>
    <row r="21609">
      <c r="A21609" t="inlineStr">
        <is>
          <t>4770001333808</t>
        </is>
      </c>
      <c r="B21609" t="inlineStr">
        <is>
          <t>Ecodenta Brilliant Whitening Toothpaste with Fluoride Enamel Strengthening Fighting Tartar Formation 100ml</t>
        </is>
      </c>
      <c r="C21609" t="inlineStr">
        <is>
          <t>Toothpaste</t>
        </is>
      </c>
      <c r="D21609" t="inlineStr">
        <is>
          <t>Ecodenta</t>
        </is>
      </c>
      <c r="E21609" t="n">
        <v>3.14</v>
      </c>
      <c r="F21609" t="n">
        <v>1</v>
      </c>
      <c r="G21609" t="n">
        <v>149</v>
      </c>
      <c r="H21609" s="5">
        <f>HYPERLINK("https://api.qogita.com/variants/link/4770001333808/", "View Product")</f>
        <v/>
      </c>
    </row>
    <row r="21610">
      <c r="A21610" t="inlineStr">
        <is>
          <t>4770001337103</t>
        </is>
      </c>
      <c r="B21610" t="inlineStr">
        <is>
          <t>Ecodenta Whitening Toothpaste With Bergamot Lemon Oil And Calidone 100 Ml</t>
        </is>
      </c>
      <c r="C21610" t="inlineStr">
        <is>
          <t>Toothpaste</t>
        </is>
      </c>
      <c r="D21610" t="inlineStr">
        <is>
          <t>Ecodenta</t>
        </is>
      </c>
      <c r="E21610" t="n">
        <v>3.71</v>
      </c>
      <c r="F21610" t="n">
        <v>1</v>
      </c>
      <c r="G21610" t="n">
        <v>98</v>
      </c>
      <c r="H21610" s="5">
        <f>HYPERLINK("https://api.qogita.com/variants/link/4770001337103/", "View Product")</f>
        <v/>
      </c>
    </row>
    <row r="21611">
      <c r="A21611" t="inlineStr">
        <is>
          <t>4820121590374</t>
        </is>
      </c>
      <c r="B21611" t="inlineStr">
        <is>
          <t>Staleks Smart 10 5 Mm Professional Cuticle Nippers</t>
        </is>
      </c>
      <c r="C21611" t="inlineStr">
        <is>
          <t>Nail Clippers &amp; Tools</t>
        </is>
      </c>
      <c r="D21611" t="inlineStr">
        <is>
          <t>Staleks</t>
        </is>
      </c>
      <c r="E21611" t="n">
        <v>17.35</v>
      </c>
      <c r="F21611" t="n">
        <v>1</v>
      </c>
      <c r="G21611" t="n">
        <v>2</v>
      </c>
      <c r="H21611" s="5">
        <f>HYPERLINK("https://api.qogita.com/variants/link/4820121590374/", "View Product")</f>
        <v/>
      </c>
    </row>
    <row r="21612">
      <c r="A21612" t="inlineStr">
        <is>
          <t>4820121590954</t>
        </is>
      </c>
      <c r="B21612" t="inlineStr">
        <is>
          <t>Staleks Wooden Pedicure Foot File 100180</t>
        </is>
      </c>
      <c r="C21612" t="inlineStr">
        <is>
          <t>Foot Care Sets</t>
        </is>
      </c>
      <c r="D21612" t="inlineStr">
        <is>
          <t>Staleks</t>
        </is>
      </c>
      <c r="E21612" t="n">
        <v>5.81</v>
      </c>
      <c r="F21612" t="n">
        <v>1</v>
      </c>
      <c r="G21612" t="n">
        <v>5</v>
      </c>
      <c r="H21612" s="5">
        <f>HYPERLINK("https://api.qogita.com/variants/link/4820121590954/", "View Product")</f>
        <v/>
      </c>
    </row>
    <row r="21613">
      <c r="A21613" t="inlineStr">
        <is>
          <t>4820121590985</t>
        </is>
      </c>
      <c r="B21613" t="inlineStr">
        <is>
          <t>STALEKS PRO Series Smart 50 Professional Cuticle Nipper 5mm Blade Length</t>
        </is>
      </c>
      <c r="C21613" t="inlineStr">
        <is>
          <t>Nail Clippers &amp; Tools</t>
        </is>
      </c>
      <c r="D21613" t="inlineStr">
        <is>
          <t>Staleks</t>
        </is>
      </c>
      <c r="E21613" t="n">
        <v>17.35</v>
      </c>
      <c r="F21613" t="n">
        <v>1</v>
      </c>
      <c r="G21613" t="n">
        <v>4</v>
      </c>
      <c r="H21613" s="5">
        <f>HYPERLINK("https://api.qogita.com/variants/link/4820121590985/", "View Product")</f>
        <v/>
      </c>
    </row>
    <row r="21614">
      <c r="A21614" t="inlineStr">
        <is>
          <t>4820121591456</t>
        </is>
      </c>
      <c r="B21614" t="inlineStr">
        <is>
          <t>Staleks Expert 60 12 Mm Professional Nail Nippers</t>
        </is>
      </c>
      <c r="C21614" t="inlineStr">
        <is>
          <t>Nail Clippers &amp; Tools</t>
        </is>
      </c>
      <c r="D21614" t="inlineStr">
        <is>
          <t>Staleks</t>
        </is>
      </c>
      <c r="E21614" t="n">
        <v>27.86</v>
      </c>
      <c r="F21614" t="n">
        <v>1</v>
      </c>
      <c r="G21614" t="n">
        <v>2</v>
      </c>
      <c r="H21614" s="5">
        <f>HYPERLINK("https://api.qogita.com/variants/link/4820121591456/", "View Product")</f>
        <v/>
      </c>
    </row>
    <row r="21615">
      <c r="A21615" t="inlineStr">
        <is>
          <t>4820121591791</t>
        </is>
      </c>
      <c r="B21615" t="inlineStr">
        <is>
          <t>Staleks Pro Smart 10 Full Jaw 7mm Professional Cuticle Nippers</t>
        </is>
      </c>
      <c r="C21615" t="inlineStr">
        <is>
          <t>Nail Clippers &amp; Tools</t>
        </is>
      </c>
      <c r="D21615" t="inlineStr">
        <is>
          <t>Staleks Pro</t>
        </is>
      </c>
      <c r="E21615" t="n">
        <v>17.35</v>
      </c>
      <c r="F21615" t="n">
        <v>1</v>
      </c>
      <c r="G21615" t="n">
        <v>2</v>
      </c>
      <c r="H21615" s="5">
        <f>HYPERLINK("https://api.qogita.com/variants/link/4820121591791/", "View Product")</f>
        <v/>
      </c>
    </row>
    <row r="21616">
      <c r="A21616" t="inlineStr">
        <is>
          <t>4820121592910</t>
        </is>
      </c>
      <c r="B21616" t="inlineStr">
        <is>
          <t>Staleks Expert 10 Type 5 Eyebrow Tweezers Precision Tweezers For Eyebrow Grooming</t>
        </is>
      </c>
      <c r="C21616" t="inlineStr">
        <is>
          <t>Other</t>
        </is>
      </c>
      <c r="D21616" t="inlineStr">
        <is>
          <t>Staleks</t>
        </is>
      </c>
      <c r="E21616" t="n">
        <v>7.57</v>
      </c>
      <c r="F21616" t="n">
        <v>1</v>
      </c>
      <c r="G21616" t="n">
        <v>24</v>
      </c>
      <c r="H21616" s="5">
        <f>HYPERLINK("https://api.qogita.com/variants/link/4820121592910/", "View Product")</f>
        <v/>
      </c>
    </row>
    <row r="21617">
      <c r="A21617" t="inlineStr">
        <is>
          <t>4820121593665</t>
        </is>
      </c>
      <c r="B21617" t="inlineStr">
        <is>
          <t>Staleks Eyebrow Tweezers With A Wide Beveled Tip</t>
        </is>
      </c>
      <c r="C21617" t="inlineStr">
        <is>
          <t>Other</t>
        </is>
      </c>
      <c r="D21617" t="inlineStr">
        <is>
          <t>Staleks</t>
        </is>
      </c>
      <c r="E21617" t="n">
        <v>6.11</v>
      </c>
      <c r="F21617" t="n">
        <v>1</v>
      </c>
      <c r="G21617" t="n">
        <v>2</v>
      </c>
      <c r="H21617" s="5">
        <f>HYPERLINK("https://api.qogita.com/variants/link/4820121593665/", "View Product")</f>
        <v/>
      </c>
    </row>
    <row r="21618">
      <c r="A21618" t="inlineStr">
        <is>
          <t>4820121594167</t>
        </is>
      </c>
      <c r="B21618" t="inlineStr">
        <is>
          <t>Staleks Professional Eyelash Tweezers Expert 40 Type 12</t>
        </is>
      </c>
      <c r="C21618" t="inlineStr">
        <is>
          <t>Eyelash Extension Accessories</t>
        </is>
      </c>
      <c r="D21618" t="inlineStr">
        <is>
          <t>Staleks</t>
        </is>
      </c>
      <c r="E21618" t="n">
        <v>11.77</v>
      </c>
      <c r="F21618" t="n">
        <v>1</v>
      </c>
      <c r="G21618" t="n">
        <v>8</v>
      </c>
      <c r="H21618" s="5">
        <f>HYPERLINK("https://api.qogita.com/variants/link/4820121594167/", "View Product")</f>
        <v/>
      </c>
    </row>
    <row r="21619">
      <c r="A21619" t="inlineStr">
        <is>
          <t>4820121595393</t>
        </is>
      </c>
      <c r="B21619" t="inlineStr">
        <is>
          <t>Staleks Beauty &amp; Care Large Nail Clipper With Container 20</t>
        </is>
      </c>
      <c r="C21619" t="inlineStr">
        <is>
          <t>Nail Clippers &amp; Tools</t>
        </is>
      </c>
      <c r="D21619" t="inlineStr">
        <is>
          <t>Staleks</t>
        </is>
      </c>
      <c r="E21619" t="n">
        <v>9.68</v>
      </c>
      <c r="F21619" t="n">
        <v>1</v>
      </c>
      <c r="G21619" t="n">
        <v>2</v>
      </c>
      <c r="H21619" s="5">
        <f>HYPERLINK("https://api.qogita.com/variants/link/4820121595393/", "View Product")</f>
        <v/>
      </c>
    </row>
    <row r="21620">
      <c r="A21620" t="inlineStr">
        <is>
          <t>4820121595614</t>
        </is>
      </c>
      <c r="B21620" t="inlineStr">
        <is>
          <t>VJ Pusher Staleks PRO Podo 20 Professional Excavator and Pusher Barbell PP-20/1</t>
        </is>
      </c>
      <c r="C21620" t="inlineStr">
        <is>
          <t>Sporting Tension</t>
        </is>
      </c>
      <c r="D21620" t="inlineStr">
        <is>
          <t>Staleks</t>
        </is>
      </c>
      <c r="E21620" t="n">
        <v>11.32</v>
      </c>
      <c r="F21620" t="n">
        <v>1</v>
      </c>
      <c r="G21620" t="n">
        <v>2</v>
      </c>
      <c r="H21620" s="5">
        <f>HYPERLINK("https://api.qogita.com/variants/link/4820121595614/", "View Product")</f>
        <v/>
      </c>
    </row>
    <row r="21621">
      <c r="A21621" t="inlineStr">
        <is>
          <t>4820121597229</t>
        </is>
      </c>
      <c r="B21621" t="inlineStr">
        <is>
          <t>Staleks Expert 20 Type 2 Professional Cuticle Scissors</t>
        </is>
      </c>
      <c r="C21621" t="inlineStr">
        <is>
          <t>Nail Clippers &amp; Tools</t>
        </is>
      </c>
      <c r="D21621" t="inlineStr">
        <is>
          <t>Staleks</t>
        </is>
      </c>
      <c r="E21621" t="n">
        <v>14.06</v>
      </c>
      <c r="F21621" t="n">
        <v>1</v>
      </c>
      <c r="G21621" t="n">
        <v>4</v>
      </c>
      <c r="H21621" s="5">
        <f>HYPERLINK("https://api.qogita.com/variants/link/4820121597229/", "View Product")</f>
        <v/>
      </c>
    </row>
    <row r="21622">
      <c r="A21622" t="inlineStr">
        <is>
          <t>4820121599421</t>
        </is>
      </c>
      <c r="B21622" t="inlineStr">
        <is>
          <t>Staleks Smart 31 3 Mm Professional Cuticle Nippers Precision Nail Care Tool</t>
        </is>
      </c>
      <c r="C21622" t="inlineStr">
        <is>
          <t>Nail Clippers &amp; Tools</t>
        </is>
      </c>
      <c r="D21622" t="inlineStr">
        <is>
          <t>Staleks</t>
        </is>
      </c>
      <c r="E21622" t="n">
        <v>17.35</v>
      </c>
      <c r="F21622" t="n">
        <v>1</v>
      </c>
      <c r="G21622" t="n">
        <v>6</v>
      </c>
      <c r="H21622" s="5">
        <f>HYPERLINK("https://api.qogita.com/variants/link/4820121599421/", "View Product")</f>
        <v/>
      </c>
    </row>
    <row r="21623">
      <c r="A21623" t="inlineStr">
        <is>
          <t>4820121599445</t>
        </is>
      </c>
      <c r="B21623" t="inlineStr">
        <is>
          <t>Staleks Smart 31 5 Mm Professional Cuticle Nippers</t>
        </is>
      </c>
      <c r="C21623" t="inlineStr">
        <is>
          <t>Nail Clippers &amp; Tools</t>
        </is>
      </c>
      <c r="D21623" t="inlineStr">
        <is>
          <t>Staleks</t>
        </is>
      </c>
      <c r="E21623" t="n">
        <v>17.35</v>
      </c>
      <c r="F21623" t="n">
        <v>1</v>
      </c>
      <c r="G21623" t="n">
        <v>2</v>
      </c>
      <c r="H21623" s="5">
        <f>HYPERLINK("https://api.qogita.com/variants/link/4820121599445/", "View Product")</f>
        <v/>
      </c>
    </row>
    <row r="21624">
      <c r="A21624" t="inlineStr">
        <is>
          <t>4820121599452</t>
        </is>
      </c>
      <c r="B21624" t="inlineStr">
        <is>
          <t>Staleks Smart Cuticle Nippers 3mm 4mm 5mm 7mm</t>
        </is>
      </c>
      <c r="C21624" t="inlineStr">
        <is>
          <t>Nail Clippers &amp; Tools</t>
        </is>
      </c>
      <c r="D21624" t="inlineStr">
        <is>
          <t>Staleks Pro</t>
        </is>
      </c>
      <c r="E21624" t="n">
        <v>17.35</v>
      </c>
      <c r="F21624" t="n">
        <v>1</v>
      </c>
      <c r="G21624" t="n">
        <v>3</v>
      </c>
      <c r="H21624" s="5">
        <f>HYPERLINK("https://api.qogita.com/variants/link/4820121599452/", "View Product")</f>
        <v/>
      </c>
    </row>
    <row r="21625">
      <c r="A21625" t="inlineStr">
        <is>
          <t>4820121599728</t>
        </is>
      </c>
      <c r="B21625" t="inlineStr">
        <is>
          <t>Staleks Professional Cuticle Nippers Expert 90 7 Mm</t>
        </is>
      </c>
      <c r="C21625" t="inlineStr">
        <is>
          <t>Nail Clippers &amp; Tools</t>
        </is>
      </c>
      <c r="D21625" t="inlineStr">
        <is>
          <t>Staleks</t>
        </is>
      </c>
      <c r="E21625" t="n">
        <v>25.87</v>
      </c>
      <c r="F21625" t="n">
        <v>1</v>
      </c>
      <c r="G21625" t="n">
        <v>17</v>
      </c>
      <c r="H21625" s="5">
        <f>HYPERLINK("https://api.qogita.com/variants/link/4820121599728/", "View Product")</f>
        <v/>
      </c>
    </row>
    <row r="21626">
      <c r="A21626" t="inlineStr">
        <is>
          <t>4820121599759</t>
        </is>
      </c>
      <c r="B21626" t="inlineStr">
        <is>
          <t>Staleks Expert 22 Type 1 Professional Cuticle Scissors</t>
        </is>
      </c>
      <c r="C21626" t="inlineStr">
        <is>
          <t>Nail Clippers &amp; Tools</t>
        </is>
      </c>
      <c r="D21626" t="inlineStr">
        <is>
          <t>Staleks Pro</t>
        </is>
      </c>
      <c r="E21626" t="n">
        <v>14.06</v>
      </c>
      <c r="F21626" t="n">
        <v>1</v>
      </c>
      <c r="G21626" t="n">
        <v>3</v>
      </c>
      <c r="H21626" s="5">
        <f>HYPERLINK("https://api.qogita.com/variants/link/4820121599759/", "View Product")</f>
        <v/>
      </c>
    </row>
    <row r="21627">
      <c r="A21627" t="inlineStr">
        <is>
          <t>4820121599773</t>
        </is>
      </c>
      <c r="B21627" t="inlineStr">
        <is>
          <t>Pro Expert Cuticle Scissors 21mm - Precision Nail Care Tool</t>
        </is>
      </c>
      <c r="C21627" t="inlineStr">
        <is>
          <t>Nail Clippers &amp; Tools</t>
        </is>
      </c>
      <c r="D21627" t="inlineStr">
        <is>
          <t>ProExpert</t>
        </is>
      </c>
      <c r="E21627" t="n">
        <v>14.06</v>
      </c>
      <c r="F21627" t="n">
        <v>1</v>
      </c>
      <c r="G21627" t="n">
        <v>4</v>
      </c>
      <c r="H21627" s="5">
        <f>HYPERLINK("https://api.qogita.com/variants/link/4820121599773/", "View Product")</f>
        <v/>
      </c>
    </row>
    <row r="21628">
      <c r="A21628" t="inlineStr">
        <is>
          <t>4820241060092</t>
        </is>
      </c>
      <c r="B21628" t="inlineStr">
        <is>
          <t>Staleks Beauty &amp; Care 30 Type 1 Manicure Pusher</t>
        </is>
      </c>
      <c r="C21628" t="inlineStr">
        <is>
          <t>Nail Clippers &amp; Tools</t>
        </is>
      </c>
      <c r="D21628" t="inlineStr">
        <is>
          <t>Staleks</t>
        </is>
      </c>
      <c r="E21628" t="n">
        <v>5.38</v>
      </c>
      <c r="F21628" t="n">
        <v>1</v>
      </c>
      <c r="G21628" t="n">
        <v>5</v>
      </c>
      <c r="H21628" s="5">
        <f>HYPERLINK("https://api.qogita.com/variants/link/4820241060092/", "View Product")</f>
        <v/>
      </c>
    </row>
    <row r="21629">
      <c r="A21629" t="inlineStr">
        <is>
          <t>4820241065226</t>
        </is>
      </c>
      <c r="B21629" t="inlineStr">
        <is>
          <t>Staleks Expert 90 Type 5 Manicure Pusher Professional Nail Care Tool</t>
        </is>
      </c>
      <c r="C21629" t="inlineStr">
        <is>
          <t>Nail Clippers &amp; Tools</t>
        </is>
      </c>
      <c r="D21629" t="inlineStr">
        <is>
          <t>Staleks</t>
        </is>
      </c>
      <c r="E21629" t="n">
        <v>6.02</v>
      </c>
      <c r="F21629" t="n">
        <v>1</v>
      </c>
      <c r="G21629" t="n">
        <v>4</v>
      </c>
      <c r="H21629" s="5">
        <f>HYPERLINK("https://api.qogita.com/variants/link/4820241065226/", "View Product")</f>
        <v/>
      </c>
    </row>
    <row r="21630">
      <c r="A21630" t="inlineStr">
        <is>
          <t>4820241065387</t>
        </is>
      </c>
      <c r="B21630" t="inlineStr">
        <is>
          <t>Staleks White Disposable Files for Straight Nail File Soft Base</t>
        </is>
      </c>
      <c r="C21630" t="inlineStr">
        <is>
          <t>Nail Clippers &amp; Tools</t>
        </is>
      </c>
      <c r="D21630" t="inlineStr">
        <is>
          <t>Staleks</t>
        </is>
      </c>
      <c r="E21630" t="n">
        <v>6.02</v>
      </c>
      <c r="F21630" t="n">
        <v>1</v>
      </c>
      <c r="G21630" t="n">
        <v>2</v>
      </c>
      <c r="H21630" s="5">
        <f>HYPERLINK("https://api.qogita.com/variants/link/4820241065387/", "View Product")</f>
        <v/>
      </c>
    </row>
    <row r="21631">
      <c r="A21631" t="inlineStr">
        <is>
          <t>4820241065394</t>
        </is>
      </c>
      <c r="B21631" t="inlineStr">
        <is>
          <t>Staleks White Disposable Files for Straight Nail File Soft Base</t>
        </is>
      </c>
      <c r="C21631" t="inlineStr">
        <is>
          <t>Nail Clippers &amp; Tools</t>
        </is>
      </c>
      <c r="D21631" t="inlineStr">
        <is>
          <t>Staleks</t>
        </is>
      </c>
      <c r="E21631" t="n">
        <v>6.02</v>
      </c>
      <c r="F21631" t="n">
        <v>1</v>
      </c>
      <c r="G21631" t="n">
        <v>5</v>
      </c>
      <c r="H21631" s="5">
        <f>HYPERLINK("https://api.qogita.com/variants/link/4820241065394/", "View Product")</f>
        <v/>
      </c>
    </row>
    <row r="21632">
      <c r="A21632" t="inlineStr">
        <is>
          <t>4820241065776</t>
        </is>
      </c>
      <c r="B21632" t="inlineStr">
        <is>
          <t>Staleks Pro Wooden Depilation Spatula 150x17mm 100pcs</t>
        </is>
      </c>
      <c r="C21632" t="inlineStr">
        <is>
          <t>Care Accessories</t>
        </is>
      </c>
      <c r="D21632" t="inlineStr">
        <is>
          <t>Staleks Pro</t>
        </is>
      </c>
      <c r="E21632" t="n">
        <v>4.12</v>
      </c>
      <c r="F21632" t="n">
        <v>1</v>
      </c>
      <c r="G21632" t="n">
        <v>33</v>
      </c>
      <c r="H21632" s="5">
        <f>HYPERLINK("https://api.qogita.com/variants/link/4820241065776/", "View Product")</f>
        <v/>
      </c>
    </row>
    <row r="21633">
      <c r="A21633" t="inlineStr">
        <is>
          <t>4820241066186</t>
        </is>
      </c>
      <c r="B21633" t="inlineStr">
        <is>
          <t>Staleks Pro Smart 20 Papmam Soft Interchangeable Files Case 30 Pcs</t>
        </is>
      </c>
      <c r="C21633" t="inlineStr">
        <is>
          <t>Nail Clippers &amp; Tools</t>
        </is>
      </c>
      <c r="D21633" t="inlineStr">
        <is>
          <t>Staleks</t>
        </is>
      </c>
      <c r="E21633" t="n">
        <v>4.91</v>
      </c>
      <c r="F21633" t="n">
        <v>1</v>
      </c>
      <c r="G21633" t="n">
        <v>7</v>
      </c>
      <c r="H21633" s="5">
        <f>HYPERLINK("https://api.qogita.com/variants/link/4820241066186/", "View Product")</f>
        <v/>
      </c>
    </row>
    <row r="21634">
      <c r="A21634" t="inlineStr">
        <is>
          <t>4820241066797</t>
        </is>
      </c>
      <c r="B21634" t="inlineStr">
        <is>
          <t>Staleks Replacement Sandpaper With Foam For Pedicure Disc Pro M Coarseness 180 50 Pieces</t>
        </is>
      </c>
      <c r="C21634" t="inlineStr">
        <is>
          <t>Foot Care Sets</t>
        </is>
      </c>
      <c r="D21634" t="inlineStr">
        <is>
          <t>Staleks</t>
        </is>
      </c>
      <c r="E21634" t="n">
        <v>5.32</v>
      </c>
      <c r="F21634" t="n">
        <v>1</v>
      </c>
      <c r="G21634" t="n">
        <v>14</v>
      </c>
      <c r="H21634" s="5">
        <f>HYPERLINK("https://api.qogita.com/variants/link/4820241066797/", "View Product")</f>
        <v/>
      </c>
    </row>
    <row r="21635">
      <c r="A21635" t="inlineStr">
        <is>
          <t>4820241067282</t>
        </is>
      </c>
      <c r="B21635" t="inlineStr">
        <is>
          <t>Pro Expert 52 Double-Sided Cuticle Pusher</t>
        </is>
      </c>
      <c r="C21635" t="inlineStr">
        <is>
          <t>Nail Clippers &amp; Tools</t>
        </is>
      </c>
      <c r="D21635" t="inlineStr">
        <is>
          <t>ProExpert</t>
        </is>
      </c>
      <c r="E21635" t="n">
        <v>6.95</v>
      </c>
      <c r="F21635" t="n">
        <v>1</v>
      </c>
      <c r="G21635" t="n">
        <v>4</v>
      </c>
      <c r="H21635" s="5">
        <f>HYPERLINK("https://api.qogita.com/variants/link/4820241067282/", "View Product")</f>
        <v/>
      </c>
    </row>
    <row r="21636">
      <c r="A21636" t="inlineStr">
        <is>
          <t>4820241067343</t>
        </is>
      </c>
      <c r="B21636" t="inlineStr">
        <is>
          <t>Pro Expert Set Of Replacement Nail File Tips 180/240 25 Pieces</t>
        </is>
      </c>
      <c r="C21636" t="inlineStr">
        <is>
          <t>Nail Clippers &amp; Tools</t>
        </is>
      </c>
      <c r="D21636" t="inlineStr">
        <is>
          <t>Pro-Expert</t>
        </is>
      </c>
      <c r="E21636" t="n">
        <v>6.84</v>
      </c>
      <c r="F21636" t="n">
        <v>1</v>
      </c>
      <c r="G21636" t="n">
        <v>10</v>
      </c>
      <c r="H21636" s="5">
        <f>HYPERLINK("https://api.qogita.com/variants/link/4820241067343/", "View Product")</f>
        <v/>
      </c>
    </row>
    <row r="21637">
      <c r="A21637" t="inlineStr">
        <is>
          <t>4820241069194</t>
        </is>
      </c>
      <c r="B21637" t="inlineStr">
        <is>
          <t>Staleks Gummy Uniq 10 Type 4.2 Manicure Spatula Manicure Pusher</t>
        </is>
      </c>
      <c r="C21637" t="inlineStr">
        <is>
          <t>Nail Clippers &amp; Tools</t>
        </is>
      </c>
      <c r="D21637" t="inlineStr">
        <is>
          <t>Staleks</t>
        </is>
      </c>
      <c r="E21637" t="n">
        <v>6.22</v>
      </c>
      <c r="F21637" t="n">
        <v>1</v>
      </c>
      <c r="G21637" t="n">
        <v>5</v>
      </c>
      <c r="H21637" s="5">
        <f>HYPERLINK("https://api.qogita.com/variants/link/4820241069194/", "View Product")</f>
        <v/>
      </c>
    </row>
    <row r="21638">
      <c r="A21638" t="inlineStr">
        <is>
          <t>4820241069231</t>
        </is>
      </c>
      <c r="B21638" t="inlineStr">
        <is>
          <t>Staleks Gummy Uniq 11 Type 1 Manicure Spatula Manicure Pusher</t>
        </is>
      </c>
      <c r="C21638" t="inlineStr">
        <is>
          <t>Nail Clippers &amp; Tools</t>
        </is>
      </c>
      <c r="D21638" t="inlineStr">
        <is>
          <t>Staleks</t>
        </is>
      </c>
      <c r="E21638" t="n">
        <v>7.27</v>
      </c>
      <c r="F21638" t="n">
        <v>1</v>
      </c>
      <c r="G21638" t="n">
        <v>7</v>
      </c>
      <c r="H21638" s="5">
        <f>HYPERLINK("https://api.qogita.com/variants/link/4820241069231/", "View Product")</f>
        <v/>
      </c>
    </row>
    <row r="21639">
      <c r="A21639" t="inlineStr">
        <is>
          <t>4823126600352</t>
        </is>
      </c>
      <c r="B21639" t="inlineStr">
        <is>
          <t>Staleks Eyelash Lifting Tool Perfect For Enhancing Your Eyelashes</t>
        </is>
      </c>
      <c r="C21639" t="inlineStr">
        <is>
          <t>Eyelash Extension Accessories</t>
        </is>
      </c>
      <c r="D21639" t="inlineStr">
        <is>
          <t>Staleks</t>
        </is>
      </c>
      <c r="E21639" t="n">
        <v>6.15</v>
      </c>
      <c r="F21639" t="n">
        <v>1</v>
      </c>
      <c r="G21639" t="n">
        <v>2</v>
      </c>
      <c r="H21639" s="5">
        <f>HYPERLINK("https://api.qogita.com/variants/link/4823126600352/", "View Product")</f>
        <v/>
      </c>
    </row>
    <row r="21640">
      <c r="A21640" t="inlineStr">
        <is>
          <t>4823126600734</t>
        </is>
      </c>
      <c r="B21640" t="inlineStr">
        <is>
          <t>Staleks Manicure Attachment Combo Uniq 13 Cleaner</t>
        </is>
      </c>
      <c r="C21640" t="inlineStr">
        <is>
          <t>Manicure Sets</t>
        </is>
      </c>
      <c r="D21640" t="inlineStr">
        <is>
          <t>Staleks</t>
        </is>
      </c>
      <c r="E21640" t="n">
        <v>4.07</v>
      </c>
      <c r="F21640" t="n">
        <v>1</v>
      </c>
      <c r="G21640" t="n">
        <v>5</v>
      </c>
      <c r="H21640" s="5">
        <f>HYPERLINK("https://api.qogita.com/variants/link/4823126600734/", "View Product")</f>
        <v/>
      </c>
    </row>
    <row r="21641">
      <c r="A21641" t="inlineStr">
        <is>
          <t>4823126600840</t>
        </is>
      </c>
      <c r="B21641" t="inlineStr">
        <is>
          <t>Staleks Manicure Attachment Combo Uniq 18 Straight Flat Pusher</t>
        </is>
      </c>
      <c r="C21641" t="inlineStr">
        <is>
          <t>Nail Clippers &amp; Tools</t>
        </is>
      </c>
      <c r="D21641" t="inlineStr">
        <is>
          <t>Staleks</t>
        </is>
      </c>
      <c r="E21641" t="n">
        <v>4.07</v>
      </c>
      <c r="F21641" t="n">
        <v>1</v>
      </c>
      <c r="G21641" t="n">
        <v>5</v>
      </c>
      <c r="H21641" s="5">
        <f>HYPERLINK("https://api.qogita.com/variants/link/4823126600840/", "View Product")</f>
        <v/>
      </c>
    </row>
    <row r="21642">
      <c r="A21642" t="inlineStr">
        <is>
          <t>4897028690841</t>
        </is>
      </c>
      <c r="B21642" t="inlineStr">
        <is>
          <t>Travalo Gold Perfume Atomizer Set</t>
        </is>
      </c>
      <c r="C21642" t="inlineStr">
        <is>
          <t>Refillable Fragrances &amp; Refills</t>
        </is>
      </c>
      <c r="D21642" t="inlineStr">
        <is>
          <t>Travalo</t>
        </is>
      </c>
      <c r="E21642" t="n">
        <v>14.11</v>
      </c>
      <c r="F21642" t="n">
        <v>1</v>
      </c>
      <c r="G21642" t="n">
        <v>141</v>
      </c>
      <c r="H21642" s="5">
        <f>HYPERLINK("https://api.qogita.com/variants/link/4897028690841/", "View Product")</f>
        <v/>
      </c>
    </row>
    <row r="21643">
      <c r="A21643" t="inlineStr">
        <is>
          <t>4897028693910</t>
        </is>
      </c>
      <c r="B21643" t="inlineStr">
        <is>
          <t>Classic HD Silver Nail Polish 5ml</t>
        </is>
      </c>
      <c r="C21643" t="inlineStr">
        <is>
          <t>Nail Polish</t>
        </is>
      </c>
      <c r="D21643" t="inlineStr">
        <is>
          <t>Travalo</t>
        </is>
      </c>
      <c r="E21643" t="n">
        <v>7.15</v>
      </c>
      <c r="F21643" t="n">
        <v>1</v>
      </c>
      <c r="G21643" t="n">
        <v>876</v>
      </c>
      <c r="H21643" s="5">
        <f>HYPERLINK("https://api.qogita.com/variants/link/4897028693910/", "View Product")</f>
        <v/>
      </c>
    </row>
    <row r="21644">
      <c r="A21644" t="inlineStr">
        <is>
          <t>4897028693927</t>
        </is>
      </c>
      <c r="B21644" t="inlineStr">
        <is>
          <t>Travalo Classic Black Perfume Atomizer Black 5ml</t>
        </is>
      </c>
      <c r="C21644" t="inlineStr">
        <is>
          <t>Refillable Fragrances &amp; Refills</t>
        </is>
      </c>
      <c r="D21644" t="inlineStr">
        <is>
          <t>Travalo</t>
        </is>
      </c>
      <c r="E21644" t="n">
        <v>7.15</v>
      </c>
      <c r="F21644" t="n">
        <v>1</v>
      </c>
      <c r="G21644" t="n">
        <v>536</v>
      </c>
      <c r="H21644" s="5">
        <f>HYPERLINK("https://api.qogita.com/variants/link/4897028693927/", "View Product")</f>
        <v/>
      </c>
    </row>
    <row r="21645">
      <c r="A21645" t="inlineStr">
        <is>
          <t>4897028694092</t>
        </is>
      </c>
      <c r="B21645" t="inlineStr">
        <is>
          <t>Travalo Classic HD Perfume Atomizer 5ml Refillable - Assorted Colors</t>
        </is>
      </c>
      <c r="C21645" t="inlineStr">
        <is>
          <t>Refillable Fragrances &amp; Refills</t>
        </is>
      </c>
      <c r="D21645" t="inlineStr">
        <is>
          <t>Travalo</t>
        </is>
      </c>
      <c r="E21645" t="n">
        <v>7.15</v>
      </c>
      <c r="F21645" t="n">
        <v>1</v>
      </c>
      <c r="G21645" t="n">
        <v>575</v>
      </c>
      <c r="H21645" s="5">
        <f>HYPERLINK("https://api.qogita.com/variants/link/4897028694092/", "View Product")</f>
        <v/>
      </c>
    </row>
    <row r="21646">
      <c r="A21646" t="inlineStr">
        <is>
          <t>4897028695549</t>
        </is>
      </c>
      <c r="B21646" t="inlineStr">
        <is>
          <t>Travel Perfume Pod Atom White 5ml</t>
        </is>
      </c>
      <c r="C21646" t="inlineStr">
        <is>
          <t>Refillable Fragrances &amp; Refills</t>
        </is>
      </c>
      <c r="D21646" t="inlineStr">
        <is>
          <t>Etravel</t>
        </is>
      </c>
      <c r="E21646" t="n">
        <v>4.66</v>
      </c>
      <c r="F21646" t="n">
        <v>1</v>
      </c>
      <c r="G21646" t="n">
        <v>116</v>
      </c>
      <c r="H21646" s="5">
        <f>HYPERLINK("https://api.qogita.com/variants/link/4897028695549/", "View Product")</f>
        <v/>
      </c>
    </row>
    <row r="21647">
      <c r="A21647" t="inlineStr">
        <is>
          <t>4936968820489</t>
        </is>
      </c>
      <c r="B21647" t="inlineStr">
        <is>
          <t>Lancome Absolue Rose 80 Balm To Foam Cleansing Foam - 150 Ml</t>
        </is>
      </c>
      <c r="C21647" t="inlineStr">
        <is>
          <t>Cleansing Foam</t>
        </is>
      </c>
      <c r="D21647" t="inlineStr">
        <is>
          <t>Lancôme</t>
        </is>
      </c>
      <c r="E21647" t="n">
        <v>101.95</v>
      </c>
      <c r="F21647" t="n">
        <v>1</v>
      </c>
      <c r="G21647" t="n">
        <v>2</v>
      </c>
      <c r="H21647" s="5">
        <f>HYPERLINK("https://api.qogita.com/variants/link/4936968820489/", "View Product")</f>
        <v/>
      </c>
    </row>
    <row r="21648">
      <c r="A21648" t="inlineStr">
        <is>
          <t>4936968873096</t>
        </is>
      </c>
      <c r="B21648" t="inlineStr">
        <is>
          <t>Yves Saint Laurent All Hours Hyper Blur Loose Powder - Shade 02, 10g</t>
        </is>
      </c>
      <c r="C21648" t="inlineStr">
        <is>
          <t>Powder</t>
        </is>
      </c>
      <c r="D21648" t="inlineStr">
        <is>
          <t>Yves Saint Laurent</t>
        </is>
      </c>
      <c r="E21648" t="n">
        <v>49.27</v>
      </c>
      <c r="F21648" t="n">
        <v>1</v>
      </c>
      <c r="G21648" t="n">
        <v>5</v>
      </c>
      <c r="H21648" s="5">
        <f>HYPERLINK("https://api.qogita.com/variants/link/4936968873096/", "View Product")</f>
        <v/>
      </c>
    </row>
    <row r="21649">
      <c r="A21649" t="inlineStr">
        <is>
          <t>4936968873102</t>
        </is>
      </c>
      <c r="B21649" t="inlineStr">
        <is>
          <t>Yves Saint Laurent All Hours Hyper Blur Loose Powder - Shade 03</t>
        </is>
      </c>
      <c r="C21649" t="inlineStr">
        <is>
          <t>Powder</t>
        </is>
      </c>
      <c r="D21649" t="inlineStr">
        <is>
          <t>Yves Saint Laurent</t>
        </is>
      </c>
      <c r="E21649" t="n">
        <v>49.39</v>
      </c>
      <c r="F21649" t="n">
        <v>1</v>
      </c>
      <c r="G21649" t="n">
        <v>5</v>
      </c>
      <c r="H21649" s="5">
        <f>HYPERLINK("https://api.qogita.com/variants/link/4936968873102/", "View Product")</f>
        <v/>
      </c>
    </row>
    <row r="21650">
      <c r="A21650" t="inlineStr">
        <is>
          <t>4973167257432</t>
        </is>
      </c>
      <c r="B21650" t="inlineStr">
        <is>
          <t>Sensai Highlighting Concealer 35 Ml</t>
        </is>
      </c>
      <c r="C21650" t="inlineStr">
        <is>
          <t>Concealer</t>
        </is>
      </c>
      <c r="D21650" t="inlineStr">
        <is>
          <t>Sensai</t>
        </is>
      </c>
      <c r="E21650" t="n">
        <v>31.19</v>
      </c>
      <c r="F21650" t="n">
        <v>1</v>
      </c>
      <c r="G21650" t="n">
        <v>5</v>
      </c>
      <c r="H21650" s="5">
        <f>HYPERLINK("https://api.qogita.com/variants/link/4973167257432/", "View Product")</f>
        <v/>
      </c>
    </row>
    <row r="21651">
      <c r="A21651" t="inlineStr">
        <is>
          <t>4973167257463</t>
        </is>
      </c>
      <c r="B21651" t="inlineStr">
        <is>
          <t>Sensai Highlighting Concealer Hc02 Luminous Sand 35 Ml</t>
        </is>
      </c>
      <c r="C21651" t="inlineStr">
        <is>
          <t>Concealer</t>
        </is>
      </c>
      <c r="D21651" t="inlineStr">
        <is>
          <t>Sensai</t>
        </is>
      </c>
      <c r="E21651" t="n">
        <v>31.29</v>
      </c>
      <c r="F21651" t="n">
        <v>1</v>
      </c>
      <c r="G21651" t="n">
        <v>4</v>
      </c>
      <c r="H21651" s="5">
        <f>HYPERLINK("https://api.qogita.com/variants/link/4973167257463/", "View Product")</f>
        <v/>
      </c>
    </row>
    <row r="21652">
      <c r="A21652" t="inlineStr">
        <is>
          <t>4973167294475</t>
        </is>
      </c>
      <c r="B21652" t="inlineStr">
        <is>
          <t>Sensai Cheek Brush A Highquality Cosmetic Brush For Flawless Application</t>
        </is>
      </c>
      <c r="C21652" t="inlineStr">
        <is>
          <t>Blush Brushes</t>
        </is>
      </c>
      <c r="D21652" t="inlineStr">
        <is>
          <t>Sensai</t>
        </is>
      </c>
      <c r="E21652" t="n">
        <v>43.58</v>
      </c>
      <c r="F21652" t="n">
        <v>1</v>
      </c>
      <c r="G21652" t="n">
        <v>3</v>
      </c>
      <c r="H21652" s="5">
        <f>HYPERLINK("https://api.qogita.com/variants/link/4973167294475/", "View Product")</f>
        <v/>
      </c>
    </row>
    <row r="21653">
      <c r="A21653" t="inlineStr">
        <is>
          <t>4973167323618</t>
        </is>
      </c>
      <c r="B21653" t="inlineStr">
        <is>
          <t>Sensai Absolute Silk Micro Mousse Treatment 90ml</t>
        </is>
      </c>
      <c r="C21653" t="inlineStr">
        <is>
          <t>Hair Masks</t>
        </is>
      </c>
      <c r="D21653" t="inlineStr">
        <is>
          <t>Sensai</t>
        </is>
      </c>
      <c r="E21653" t="n">
        <v>126.4</v>
      </c>
      <c r="F21653" t="n">
        <v>1</v>
      </c>
      <c r="G21653" t="n">
        <v>7</v>
      </c>
      <c r="H21653" s="5">
        <f>HYPERLINK("https://api.qogita.com/variants/link/4973167323618/", "View Product")</f>
        <v/>
      </c>
    </row>
    <row r="21654">
      <c r="A21654" t="inlineStr">
        <is>
          <t>4973167343579</t>
        </is>
      </c>
      <c r="B21654" t="inlineStr">
        <is>
          <t>Sensai Sensai The Lipstick 07 Shakunage Pink Lipstick 35 G And 34 G</t>
        </is>
      </c>
      <c r="C21654" t="inlineStr">
        <is>
          <t>Lipstick</t>
        </is>
      </c>
      <c r="D21654" t="inlineStr">
        <is>
          <t>Sensai</t>
        </is>
      </c>
      <c r="E21654" t="n">
        <v>44.13</v>
      </c>
      <c r="F21654" t="n">
        <v>1</v>
      </c>
      <c r="G21654" t="n">
        <v>5</v>
      </c>
      <c r="H21654" s="5">
        <f>HYPERLINK("https://api.qogita.com/variants/link/4973167343579/", "View Product")</f>
        <v/>
      </c>
    </row>
    <row r="21655">
      <c r="A21655" t="inlineStr">
        <is>
          <t>4973167343692</t>
        </is>
      </c>
      <c r="B21655" t="inlineStr">
        <is>
          <t>Sensai Lip Liner 03 Innocent Pink 1 G</t>
        </is>
      </c>
      <c r="C21655" t="inlineStr">
        <is>
          <t>Lip Liner</t>
        </is>
      </c>
      <c r="D21655" t="inlineStr">
        <is>
          <t>Sensai</t>
        </is>
      </c>
      <c r="E21655" t="n">
        <v>23.46</v>
      </c>
      <c r="F21655" t="n">
        <v>1</v>
      </c>
      <c r="G21655" t="n">
        <v>5</v>
      </c>
      <c r="H21655" s="5">
        <f>HYPERLINK("https://api.qogita.com/variants/link/4973167343692/", "View Product")</f>
        <v/>
      </c>
    </row>
    <row r="21656">
      <c r="A21656" t="inlineStr">
        <is>
          <t>4973167343715</t>
        </is>
      </c>
      <c r="B21656" t="inlineStr">
        <is>
          <t>Sensai Lip Pencil 05 Classy Rose 1 Gram</t>
        </is>
      </c>
      <c r="C21656" t="inlineStr">
        <is>
          <t>Lip Liner</t>
        </is>
      </c>
      <c r="D21656" t="inlineStr">
        <is>
          <t>Sensai</t>
        </is>
      </c>
      <c r="E21656" t="n">
        <v>27.77</v>
      </c>
      <c r="F21656" t="n">
        <v>1</v>
      </c>
      <c r="G21656" t="n">
        <v>5</v>
      </c>
      <c r="H21656" s="5">
        <f>HYPERLINK("https://api.qogita.com/variants/link/4973167343715/", "View Product")</f>
        <v/>
      </c>
    </row>
    <row r="21657">
      <c r="A21657" t="inlineStr">
        <is>
          <t>4973167343722</t>
        </is>
      </c>
      <c r="B21657" t="inlineStr">
        <is>
          <t>Sensai Lip Pencil 06 Stunning Nude 1 Gram</t>
        </is>
      </c>
      <c r="C21657" t="inlineStr">
        <is>
          <t>Lip Liner</t>
        </is>
      </c>
      <c r="D21657" t="inlineStr">
        <is>
          <t>Sensai</t>
        </is>
      </c>
      <c r="E21657" t="n">
        <v>28.04</v>
      </c>
      <c r="F21657" t="n">
        <v>1</v>
      </c>
      <c r="G21657" t="n">
        <v>5</v>
      </c>
      <c r="H21657" s="5">
        <f>HYPERLINK("https://api.qogita.com/variants/link/4973167343722/", "View Product")</f>
        <v/>
      </c>
    </row>
    <row r="21658">
      <c r="A21658" t="inlineStr">
        <is>
          <t>4973167500996</t>
        </is>
      </c>
      <c r="B21658" t="inlineStr">
        <is>
          <t>Sensai Kanebo Sensai Ultimate The Lotion I 125ml</t>
        </is>
      </c>
      <c r="C21658" t="inlineStr">
        <is>
          <t>Facial Care Sets</t>
        </is>
      </c>
      <c r="D21658" t="inlineStr">
        <is>
          <t>Sensai</t>
        </is>
      </c>
      <c r="E21658" t="n">
        <v>186.94</v>
      </c>
      <c r="F21658" t="n">
        <v>1</v>
      </c>
      <c r="G21658" t="n">
        <v>2</v>
      </c>
      <c r="H21658" s="5">
        <f>HYPERLINK("https://api.qogita.com/variants/link/4973167500996/", "View Product")</f>
        <v/>
      </c>
    </row>
    <row r="21659">
      <c r="A21659" t="inlineStr">
        <is>
          <t>4973167501016</t>
        </is>
      </c>
      <c r="B21659" t="inlineStr">
        <is>
          <t>Sensai Ultimate The Emulsion 100ml</t>
        </is>
      </c>
      <c r="C21659" t="inlineStr">
        <is>
          <t>Face Cream</t>
        </is>
      </c>
      <c r="D21659" t="inlineStr">
        <is>
          <t>Sensai</t>
        </is>
      </c>
      <c r="E21659" t="n">
        <v>273.93</v>
      </c>
      <c r="F21659" t="n">
        <v>1</v>
      </c>
      <c r="G21659" t="n">
        <v>6</v>
      </c>
      <c r="H21659" s="5">
        <f>HYPERLINK("https://api.qogita.com/variants/link/4973167501016/", "View Product")</f>
        <v/>
      </c>
    </row>
    <row r="21660">
      <c r="A21660" t="inlineStr">
        <is>
          <t>4973167524015</t>
        </is>
      </c>
      <c r="B21660" t="inlineStr">
        <is>
          <t>Sensai Silky Micro Essence Lotion 125ml</t>
        </is>
      </c>
      <c r="C21660" t="inlineStr">
        <is>
          <t>Facial Care Sets</t>
        </is>
      </c>
      <c r="D21660" t="inlineStr">
        <is>
          <t>Sensai</t>
        </is>
      </c>
      <c r="E21660" t="n">
        <v>118.91</v>
      </c>
      <c r="F21660" t="n">
        <v>1</v>
      </c>
      <c r="G21660" t="n">
        <v>12</v>
      </c>
      <c r="H21660" s="5">
        <f>HYPERLINK("https://api.qogita.com/variants/link/4973167524015/", "View Product")</f>
        <v/>
      </c>
    </row>
    <row r="21661">
      <c r="A21661" t="inlineStr">
        <is>
          <t>4973167525845</t>
        </is>
      </c>
      <c r="B21661" t="inlineStr">
        <is>
          <t>Sensai Total Finish Tf 103 Refill Warm Beige 11g</t>
        </is>
      </c>
      <c r="C21661" t="inlineStr">
        <is>
          <t>Foundation</t>
        </is>
      </c>
      <c r="D21661" t="inlineStr">
        <is>
          <t>Sensai</t>
        </is>
      </c>
      <c r="E21661" t="n">
        <v>35.26</v>
      </c>
      <c r="F21661" t="n">
        <v>1</v>
      </c>
      <c r="G21661" t="n">
        <v>5</v>
      </c>
      <c r="H21661" s="5">
        <f>HYPERLINK("https://api.qogita.com/variants/link/4973167525845/", "View Product")</f>
        <v/>
      </c>
    </row>
    <row r="21662">
      <c r="A21662" t="inlineStr">
        <is>
          <t>4973167525913</t>
        </is>
      </c>
      <c r="B21662" t="inlineStr">
        <is>
          <t>Sensai TF Comp Case</t>
        </is>
      </c>
      <c r="C21662" t="inlineStr">
        <is>
          <t>Makeup Bags</t>
        </is>
      </c>
      <c r="D21662" t="inlineStr">
        <is>
          <t>Sensai</t>
        </is>
      </c>
      <c r="E21662" t="n">
        <v>17.46</v>
      </c>
      <c r="F21662" t="n">
        <v>1</v>
      </c>
      <c r="G21662" t="n">
        <v>5</v>
      </c>
      <c r="H21662" s="5">
        <f>HYPERLINK("https://api.qogita.com/variants/link/4973167525913/", "View Product")</f>
        <v/>
      </c>
    </row>
    <row r="21663">
      <c r="A21663" t="inlineStr">
        <is>
          <t>4973167815250</t>
        </is>
      </c>
      <c r="B21663" t="inlineStr">
        <is>
          <t>Sensai Colours Eye Colour Palette 01 Shiny Foliage 37 G</t>
        </is>
      </c>
      <c r="C21663" t="inlineStr">
        <is>
          <t>Eye Sets &amp; Pallets</t>
        </is>
      </c>
      <c r="D21663" t="inlineStr">
        <is>
          <t>Sensai</t>
        </is>
      </c>
      <c r="E21663" t="n">
        <v>47.96</v>
      </c>
      <c r="F21663" t="n">
        <v>1</v>
      </c>
      <c r="G21663" t="n">
        <v>4</v>
      </c>
      <c r="H21663" s="5">
        <f>HYPERLINK("https://api.qogita.com/variants/link/4973167815250/", "View Product")</f>
        <v/>
      </c>
    </row>
    <row r="21664">
      <c r="A21664" t="inlineStr">
        <is>
          <t>4973167815274</t>
        </is>
      </c>
      <c r="B21664" t="inlineStr">
        <is>
          <t>Sensai Colours Eye Colour Palette 03 Petal Dance 37 G</t>
        </is>
      </c>
      <c r="C21664" t="inlineStr">
        <is>
          <t>Eye Sets &amp; Pallets</t>
        </is>
      </c>
      <c r="D21664" t="inlineStr">
        <is>
          <t>Sensai</t>
        </is>
      </c>
      <c r="E21664" t="n">
        <v>47.62</v>
      </c>
      <c r="F21664" t="n">
        <v>1</v>
      </c>
      <c r="G21664" t="n">
        <v>6</v>
      </c>
      <c r="H21664" s="5">
        <f>HYPERLINK("https://api.qogita.com/variants/link/4973167815274/", "View Product")</f>
        <v/>
      </c>
    </row>
    <row r="21665">
      <c r="A21665" t="inlineStr">
        <is>
          <t>4973167816271</t>
        </is>
      </c>
      <c r="B21665" t="inlineStr">
        <is>
          <t>Sensai Designing Liquid Eyeliner 01 Black 6 Ml</t>
        </is>
      </c>
      <c r="C21665" t="inlineStr">
        <is>
          <t>Eyeliner</t>
        </is>
      </c>
      <c r="D21665" t="inlineStr">
        <is>
          <t>Sensai</t>
        </is>
      </c>
      <c r="E21665" t="n">
        <v>35.18</v>
      </c>
      <c r="F21665" t="n">
        <v>1</v>
      </c>
      <c r="G21665" t="n">
        <v>4</v>
      </c>
      <c r="H21665" s="5">
        <f>HYPERLINK("https://api.qogita.com/variants/link/4973167816271/", "View Product")</f>
        <v/>
      </c>
    </row>
    <row r="21666">
      <c r="A21666" t="inlineStr">
        <is>
          <t>4973167903124</t>
        </is>
      </c>
      <c r="B21666" t="inlineStr">
        <is>
          <t>Sensai Sensai Cellular Performance Mask 100ml Regenerating Face Mask</t>
        </is>
      </c>
      <c r="C21666" t="inlineStr">
        <is>
          <t>Anti-Aging Mask</t>
        </is>
      </c>
      <c r="D21666" t="inlineStr">
        <is>
          <t>Sensai</t>
        </is>
      </c>
      <c r="E21666" t="n">
        <v>63.33</v>
      </c>
      <c r="F21666" t="n">
        <v>1</v>
      </c>
      <c r="G21666" t="n">
        <v>2</v>
      </c>
      <c r="H21666" s="5">
        <f>HYPERLINK("https://api.qogita.com/variants/link/4973167903124/", "View Product")</f>
        <v/>
      </c>
    </row>
    <row r="21667">
      <c r="A21667" t="inlineStr">
        <is>
          <t>4973167904602</t>
        </is>
      </c>
      <c r="B21667" t="inlineStr">
        <is>
          <t>Sensai Silky Purifying Silk Peeling Mask 90ml</t>
        </is>
      </c>
      <c r="C21667" t="inlineStr">
        <is>
          <t>Purifying Mask</t>
        </is>
      </c>
      <c r="D21667" t="inlineStr">
        <is>
          <t>Sensai</t>
        </is>
      </c>
      <c r="E21667" t="n">
        <v>53.56</v>
      </c>
      <c r="F21667" t="n">
        <v>1</v>
      </c>
      <c r="G21667" t="n">
        <v>4</v>
      </c>
      <c r="H21667" s="5">
        <f>HYPERLINK("https://api.qogita.com/variants/link/4973167904602/", "View Product")</f>
        <v/>
      </c>
    </row>
    <row r="21668">
      <c r="A21668" t="inlineStr">
        <is>
          <t>4973167907405</t>
        </is>
      </c>
      <c r="B21668" t="inlineStr">
        <is>
          <t>Sensai Cellular Performance Cream Foundation Cf25 Topaz Beige 30ml</t>
        </is>
      </c>
      <c r="C21668" t="inlineStr">
        <is>
          <t>Foundation</t>
        </is>
      </c>
      <c r="D21668" t="inlineStr">
        <is>
          <t>Sensai</t>
        </is>
      </c>
      <c r="E21668" t="n">
        <v>67.26000000000001</v>
      </c>
      <c r="F21668" t="n">
        <v>1</v>
      </c>
      <c r="G21668" t="n">
        <v>3</v>
      </c>
      <c r="H21668" s="5">
        <f>HYPERLINK("https://api.qogita.com/variants/link/4973167907405/", "View Product")</f>
        <v/>
      </c>
    </row>
    <row r="21669">
      <c r="A21669" t="inlineStr">
        <is>
          <t>4973167909218</t>
        </is>
      </c>
      <c r="B21669" t="inlineStr">
        <is>
          <t>Sensai Cellular Performance Lift Remodelling Cream 40ml</t>
        </is>
      </c>
      <c r="C21669" t="inlineStr">
        <is>
          <t>Anti-Aging Facial Care</t>
        </is>
      </c>
      <c r="D21669" t="inlineStr">
        <is>
          <t>Sensai</t>
        </is>
      </c>
      <c r="E21669" t="n">
        <v>182.56</v>
      </c>
      <c r="F21669" t="n">
        <v>1</v>
      </c>
      <c r="G21669" t="n">
        <v>3</v>
      </c>
      <c r="H21669" s="5">
        <f>HYPERLINK("https://api.qogita.com/variants/link/4973167909218/", "View Product")</f>
        <v/>
      </c>
    </row>
    <row r="21670">
      <c r="A21670" t="inlineStr">
        <is>
          <t>4973167941911</t>
        </is>
      </c>
      <c r="B21670" t="inlineStr">
        <is>
          <t>Sensai Cellular Performance Cream Foundation by Sensai</t>
        </is>
      </c>
      <c r="C21670" t="inlineStr">
        <is>
          <t>Foundation</t>
        </is>
      </c>
      <c r="D21670" t="inlineStr">
        <is>
          <t>Sensai</t>
        </is>
      </c>
      <c r="E21670" t="n">
        <v>64.72</v>
      </c>
      <c r="F21670" t="n">
        <v>1</v>
      </c>
      <c r="G21670" t="n">
        <v>4</v>
      </c>
      <c r="H21670" s="5">
        <f>HYPERLINK("https://api.qogita.com/variants/link/4973167941911/", "View Product")</f>
        <v/>
      </c>
    </row>
    <row r="21671">
      <c r="A21671" t="inlineStr">
        <is>
          <t>4973167941928</t>
        </is>
      </c>
      <c r="B21671" t="inlineStr">
        <is>
          <t>Sensai Cellular Performance Foundations Cream Foundation With Spf 15, 30 Ml</t>
        </is>
      </c>
      <c r="C21671" t="inlineStr">
        <is>
          <t>Foundation</t>
        </is>
      </c>
      <c r="D21671" t="inlineStr">
        <is>
          <t>Sensai</t>
        </is>
      </c>
      <c r="E21671" t="n">
        <v>63.33</v>
      </c>
      <c r="F21671" t="n">
        <v>1</v>
      </c>
      <c r="G21671" t="n">
        <v>2</v>
      </c>
      <c r="H21671" s="5">
        <f>HYPERLINK("https://api.qogita.com/variants/link/4973167941928/", "View Product")</f>
        <v/>
      </c>
    </row>
    <row r="21672">
      <c r="A21672" t="inlineStr">
        <is>
          <t>4973167977279</t>
        </is>
      </c>
      <c r="B21672" t="inlineStr">
        <is>
          <t>Sensai Mascara 38c M1 Black 6ml Highquality Eye Makeup</t>
        </is>
      </c>
      <c r="C21672" t="inlineStr">
        <is>
          <t>Mascara</t>
        </is>
      </c>
      <c r="D21672" t="inlineStr">
        <is>
          <t>Sensai</t>
        </is>
      </c>
      <c r="E21672" t="n">
        <v>21.36</v>
      </c>
      <c r="F21672" t="n">
        <v>1</v>
      </c>
      <c r="G21672" t="n">
        <v>2</v>
      </c>
      <c r="H21672" s="5">
        <f>HYPERLINK("https://api.qogita.com/variants/link/4973167977279/", "View Product")</f>
        <v/>
      </c>
    </row>
    <row r="21673">
      <c r="A21673" t="inlineStr">
        <is>
          <t>4973167977781</t>
        </is>
      </c>
      <c r="B21673" t="inlineStr">
        <is>
          <t>Sensai Sensai Mascara 38c Black Volumising</t>
        </is>
      </c>
      <c r="C21673" t="inlineStr">
        <is>
          <t>Mascara</t>
        </is>
      </c>
      <c r="D21673" t="inlineStr">
        <is>
          <t>Sensai</t>
        </is>
      </c>
      <c r="E21673" t="n">
        <v>28.15</v>
      </c>
      <c r="F21673" t="n">
        <v>1</v>
      </c>
      <c r="G21673" t="n">
        <v>17</v>
      </c>
      <c r="H21673" s="5">
        <f>HYPERLINK("https://api.qogita.com/variants/link/4973167977781/", "View Product")</f>
        <v/>
      </c>
    </row>
    <row r="21674">
      <c r="A21674" t="inlineStr">
        <is>
          <t>4973167977798</t>
        </is>
      </c>
      <c r="B21674" t="inlineStr">
        <is>
          <t>Sensai Sensai Eyelash Base 38c 6 Ml</t>
        </is>
      </c>
      <c r="C21674" t="inlineStr">
        <is>
          <t>Mascara</t>
        </is>
      </c>
      <c r="D21674" t="inlineStr">
        <is>
          <t>Sensai</t>
        </is>
      </c>
      <c r="E21674" t="n">
        <v>21.97</v>
      </c>
      <c r="F21674" t="n">
        <v>1</v>
      </c>
      <c r="G21674" t="n">
        <v>15</v>
      </c>
      <c r="H21674" s="5">
        <f>HYPERLINK("https://api.qogita.com/variants/link/4973167977798/", "View Product")</f>
        <v/>
      </c>
    </row>
    <row r="21675">
      <c r="A21675" t="inlineStr">
        <is>
          <t>4987176102232</t>
        </is>
      </c>
      <c r="B21675" t="inlineStr">
        <is>
          <t>Gillette Mach3 Replacement Blades - Pack of 12</t>
        </is>
      </c>
      <c r="C21675" t="inlineStr">
        <is>
          <t>Shaving</t>
        </is>
      </c>
      <c r="D21675" t="inlineStr">
        <is>
          <t>Gillette</t>
        </is>
      </c>
      <c r="E21675" t="n">
        <v>18.61</v>
      </c>
      <c r="F21675" t="n">
        <v>1</v>
      </c>
      <c r="G21675" t="n">
        <v>44</v>
      </c>
      <c r="H21675" s="5">
        <f>HYPERLINK("https://api.qogita.com/variants/link/4987176102232/", "View Product")</f>
        <v/>
      </c>
    </row>
    <row r="21676">
      <c r="A21676" t="inlineStr">
        <is>
          <t>4987643501025</t>
        </is>
      </c>
      <c r="B21676" t="inlineStr">
        <is>
          <t>APAGARD PREMIO Remineralizing Nano-Hydroxyapatite Toothpaste 100g Premium Type Double Mint Flavor</t>
        </is>
      </c>
      <c r="C21676" t="inlineStr">
        <is>
          <t>Toothpaste</t>
        </is>
      </c>
      <c r="D21676" t="inlineStr">
        <is>
          <t>Apagard</t>
        </is>
      </c>
      <c r="E21676" t="n">
        <v>18.67</v>
      </c>
      <c r="F21676" t="n">
        <v>1</v>
      </c>
      <c r="G21676" t="n">
        <v>8</v>
      </c>
      <c r="H21676" s="5">
        <f>HYPERLINK("https://api.qogita.com/variants/link/4987643501025/", "View Product")</f>
        <v/>
      </c>
    </row>
    <row r="21677">
      <c r="A21677" t="inlineStr">
        <is>
          <t>5000288353879</t>
        </is>
      </c>
      <c r="B21677" t="inlineStr">
        <is>
          <t>Scholl Toenail Clippers</t>
        </is>
      </c>
      <c r="C21677" t="inlineStr">
        <is>
          <t>Nail Clippers &amp; Tools</t>
        </is>
      </c>
      <c r="D21677" t="inlineStr">
        <is>
          <t>Scholl</t>
        </is>
      </c>
      <c r="E21677" t="n">
        <v>6.75</v>
      </c>
      <c r="F21677" t="n">
        <v>1</v>
      </c>
      <c r="G21677" t="n">
        <v>66</v>
      </c>
      <c r="H21677" s="5">
        <f>HYPERLINK("https://api.qogita.com/variants/link/5000288353879/", "View Product")</f>
        <v/>
      </c>
    </row>
    <row r="21678">
      <c r="A21678" t="inlineStr">
        <is>
          <t>5000386004628</t>
        </is>
      </c>
      <c r="B21678" t="inlineStr">
        <is>
          <t>Revlon Charlie Blue Eau De Toilette Spray 100ml</t>
        </is>
      </c>
      <c r="C21678" t="inlineStr">
        <is>
          <t>Eau De Toilette</t>
        </is>
      </c>
      <c r="D21678" t="inlineStr">
        <is>
          <t>Revlon</t>
        </is>
      </c>
      <c r="E21678" t="n">
        <v>3.72</v>
      </c>
      <c r="F21678" t="n">
        <v>1</v>
      </c>
      <c r="G21678" t="n">
        <v>4667</v>
      </c>
      <c r="H21678" s="5">
        <f>HYPERLINK("https://api.qogita.com/variants/link/5000386004628/", "View Product")</f>
        <v/>
      </c>
    </row>
    <row r="21679">
      <c r="A21679" t="inlineStr">
        <is>
          <t>5000386111838</t>
        </is>
      </c>
      <c r="B21679" t="inlineStr">
        <is>
          <t>Revlon Charlie Gold Eau De Toilette Spray 100ml</t>
        </is>
      </c>
      <c r="C21679" t="inlineStr">
        <is>
          <t>Eau De Toilette</t>
        </is>
      </c>
      <c r="D21679" t="inlineStr">
        <is>
          <t>Revlon</t>
        </is>
      </c>
      <c r="E21679" t="n">
        <v>4.51</v>
      </c>
      <c r="F21679" t="n">
        <v>1</v>
      </c>
      <c r="G21679" t="n">
        <v>18</v>
      </c>
      <c r="H21679" s="5">
        <f>HYPERLINK("https://api.qogita.com/variants/link/5000386111838/", "View Product")</f>
        <v/>
      </c>
    </row>
    <row r="21680">
      <c r="A21680" t="inlineStr">
        <is>
          <t>5000386147745</t>
        </is>
      </c>
      <c r="B21680" t="inlineStr">
        <is>
          <t>Revlon Charlie Silver Eau De Toilette Spray 100ml</t>
        </is>
      </c>
      <c r="C21680" t="inlineStr">
        <is>
          <t>Eau De Toilette</t>
        </is>
      </c>
      <c r="D21680" t="inlineStr">
        <is>
          <t>Revlon</t>
        </is>
      </c>
      <c r="E21680" t="n">
        <v>4.14</v>
      </c>
      <c r="F21680" t="n">
        <v>1</v>
      </c>
      <c r="G21680" t="n">
        <v>120</v>
      </c>
      <c r="H21680" s="5">
        <f>HYPERLINK("https://api.qogita.com/variants/link/5000386147745/", "View Product")</f>
        <v/>
      </c>
    </row>
    <row r="21681">
      <c r="A21681" t="inlineStr">
        <is>
          <t>5010123703509</t>
        </is>
      </c>
      <c r="B21681" t="inlineStr">
        <is>
          <t>Listerine Coolmint Mouthwash</t>
        </is>
      </c>
      <c r="C21681" t="inlineStr">
        <is>
          <t>Mouthwash</t>
        </is>
      </c>
      <c r="D21681" t="inlineStr">
        <is>
          <t>Listerine</t>
        </is>
      </c>
      <c r="E21681" t="n">
        <v>4.79</v>
      </c>
      <c r="F21681" t="n">
        <v>1</v>
      </c>
      <c r="G21681" t="n">
        <v>15</v>
      </c>
      <c r="H21681" s="5">
        <f>HYPERLINK("https://api.qogita.com/variants/link/5010123703509/", "View Product")</f>
        <v/>
      </c>
    </row>
    <row r="21682">
      <c r="A21682" t="inlineStr">
        <is>
          <t>5010123703585</t>
        </is>
      </c>
      <c r="B21682" t="inlineStr">
        <is>
          <t>Listerine Coolmint Mouthwash</t>
        </is>
      </c>
      <c r="C21682" t="inlineStr">
        <is>
          <t>Mouthwash</t>
        </is>
      </c>
      <c r="D21682" t="inlineStr">
        <is>
          <t>Listerine</t>
        </is>
      </c>
      <c r="E21682" t="n">
        <v>3.32</v>
      </c>
      <c r="F21682" t="n">
        <v>1</v>
      </c>
      <c r="G21682" t="n">
        <v>20</v>
      </c>
      <c r="H21682" s="5">
        <f>HYPERLINK("https://api.qogita.com/variants/link/5010123703585/", "View Product")</f>
        <v/>
      </c>
    </row>
    <row r="21683">
      <c r="A21683" t="inlineStr">
        <is>
          <t>5010724527511</t>
        </is>
      </c>
      <c r="B21683" t="inlineStr">
        <is>
          <t>Batiste Tropical Dry Shampoo 200ml With Coconut Exotic Fragrance</t>
        </is>
      </c>
      <c r="C21683" t="inlineStr">
        <is>
          <t>Dry Shampoo</t>
        </is>
      </c>
      <c r="D21683" t="inlineStr">
        <is>
          <t>Batiste</t>
        </is>
      </c>
      <c r="E21683" t="n">
        <v>3.2</v>
      </c>
      <c r="F21683" t="n">
        <v>1</v>
      </c>
      <c r="G21683" t="n">
        <v>5</v>
      </c>
      <c r="H21683" s="5">
        <f>HYPERLINK("https://api.qogita.com/variants/link/5010724527511/", "View Product")</f>
        <v/>
      </c>
    </row>
    <row r="21684">
      <c r="A21684" t="inlineStr">
        <is>
          <t>5010724529072</t>
        </is>
      </c>
      <c r="B21684" t="inlineStr">
        <is>
          <t>Batiste Stylist Oomph My Locks Xxl Volume Spray 200ml</t>
        </is>
      </c>
      <c r="C21684" t="inlineStr">
        <is>
          <t>Hairspray</t>
        </is>
      </c>
      <c r="D21684" t="inlineStr">
        <is>
          <t>Batiste</t>
        </is>
      </c>
      <c r="E21684" t="n">
        <v>3.22</v>
      </c>
      <c r="F21684" t="n">
        <v>1</v>
      </c>
      <c r="G21684" t="n">
        <v>76</v>
      </c>
      <c r="H21684" s="5">
        <f>HYPERLINK("https://api.qogita.com/variants/link/5010724529072/", "View Product")</f>
        <v/>
      </c>
    </row>
    <row r="21685">
      <c r="A21685" t="inlineStr">
        <is>
          <t>5010724532997</t>
        </is>
      </c>
      <c r="B21685" t="inlineStr">
        <is>
          <t>Batiste Hair Benefits Damage Control Dry Shampoo 200ml</t>
        </is>
      </c>
      <c r="C21685" t="inlineStr">
        <is>
          <t>Dry Shampoo</t>
        </is>
      </c>
      <c r="D21685" t="inlineStr">
        <is>
          <t>Batiste</t>
        </is>
      </c>
      <c r="E21685" t="n">
        <v>4.21</v>
      </c>
      <c r="F21685" t="n">
        <v>1</v>
      </c>
      <c r="G21685" t="n">
        <v>22</v>
      </c>
      <c r="H21685" s="5">
        <f>HYPERLINK("https://api.qogita.com/variants/link/5010724532997/", "View Product")</f>
        <v/>
      </c>
    </row>
    <row r="21686">
      <c r="A21686" t="inlineStr">
        <is>
          <t>5010724535936</t>
        </is>
      </c>
      <c r="B21686" t="inlineStr">
        <is>
          <t>Batiste Dry Shampoo in Blush 350ml Floral &amp; Flirty Fragrance</t>
        </is>
      </c>
      <c r="C21686" t="inlineStr">
        <is>
          <t>Dry Shampoo</t>
        </is>
      </c>
      <c r="D21686" t="inlineStr">
        <is>
          <t>Batiste</t>
        </is>
      </c>
      <c r="E21686" t="n">
        <v>5</v>
      </c>
      <c r="F21686" t="n">
        <v>1</v>
      </c>
      <c r="G21686" t="n">
        <v>12</v>
      </c>
      <c r="H21686" s="5">
        <f>HYPERLINK("https://api.qogita.com/variants/link/5010724535936/", "View Product")</f>
        <v/>
      </c>
    </row>
    <row r="21687">
      <c r="A21687" t="inlineStr">
        <is>
          <t>5010724535967</t>
        </is>
      </c>
      <c r="B21687" t="inlineStr">
        <is>
          <t>Batiste Dry Shampoo Tropical - 350ml</t>
        </is>
      </c>
      <c r="C21687" t="inlineStr">
        <is>
          <t>Dry Shampoo</t>
        </is>
      </c>
      <c r="D21687" t="inlineStr">
        <is>
          <t>Batiste</t>
        </is>
      </c>
      <c r="E21687" t="n">
        <v>4.54</v>
      </c>
      <c r="F21687" t="n">
        <v>1</v>
      </c>
      <c r="G21687" t="n">
        <v>5</v>
      </c>
      <c r="H21687" s="5">
        <f>HYPERLINK("https://api.qogita.com/variants/link/5010724535967/", "View Product")</f>
        <v/>
      </c>
    </row>
    <row r="21688">
      <c r="A21688" t="inlineStr">
        <is>
          <t>5010724544860</t>
        </is>
      </c>
      <c r="B21688" t="inlineStr">
        <is>
          <t>Batiste Overnight Deep Cleanse Leave-In Dry Shampoo 200ml</t>
        </is>
      </c>
      <c r="C21688" t="inlineStr">
        <is>
          <t>Dry Shampoo</t>
        </is>
      </c>
      <c r="D21688" t="inlineStr">
        <is>
          <t>Batiste</t>
        </is>
      </c>
      <c r="E21688" t="n">
        <v>4.3</v>
      </c>
      <c r="F21688" t="n">
        <v>1</v>
      </c>
      <c r="G21688" t="n">
        <v>5</v>
      </c>
      <c r="H21688" s="5">
        <f>HYPERLINK("https://api.qogita.com/variants/link/5010724544860/", "View Product")</f>
        <v/>
      </c>
    </row>
    <row r="21689">
      <c r="A21689" t="inlineStr">
        <is>
          <t>5011321336124</t>
        </is>
      </c>
      <c r="B21689" t="inlineStr">
        <is>
          <t>Head &amp; Shoulders Sensitive Antidandruff Shampoo For Sensitive Scalp</t>
        </is>
      </c>
      <c r="C21689" t="inlineStr">
        <is>
          <t>Shampoo</t>
        </is>
      </c>
      <c r="D21689" t="inlineStr">
        <is>
          <t>Head And Shoulders</t>
        </is>
      </c>
      <c r="E21689" t="n">
        <v>6.4</v>
      </c>
      <c r="F21689" t="n">
        <v>1</v>
      </c>
      <c r="G21689" t="n">
        <v>5</v>
      </c>
      <c r="H21689" s="5">
        <f>HYPERLINK("https://api.qogita.com/variants/link/5011321336124/", "View Product")</f>
        <v/>
      </c>
    </row>
    <row r="21690">
      <c r="A21690" t="inlineStr">
        <is>
          <t>5011408053814</t>
        </is>
      </c>
      <c r="B21690" t="inlineStr">
        <is>
          <t>L'Oral Professionnel Studio Line Style Rework Out Of Bed Fibre Cream 150 Ml</t>
        </is>
      </c>
      <c r="C21690" t="inlineStr">
        <is>
          <t>Styling Creams</t>
        </is>
      </c>
      <c r="D21690" t="inlineStr">
        <is>
          <t>L'Oréal Professionnel</t>
        </is>
      </c>
      <c r="E21690" t="n">
        <v>6.08</v>
      </c>
      <c r="F21690" t="n">
        <v>1</v>
      </c>
      <c r="G21690" t="n">
        <v>55</v>
      </c>
      <c r="H21690" s="5">
        <f>HYPERLINK("https://api.qogita.com/variants/link/5011408053814/", "View Product")</f>
        <v/>
      </c>
    </row>
    <row r="21691">
      <c r="A21691" t="inlineStr">
        <is>
          <t>5011408054415</t>
        </is>
      </c>
      <c r="B21691" t="inlineStr">
        <is>
          <t>L'Oreal Age Perfect Night Cream 50 Ml</t>
        </is>
      </c>
      <c r="C21691" t="inlineStr">
        <is>
          <t>Night Cream</t>
        </is>
      </c>
      <c r="D21691" t="inlineStr">
        <is>
          <t>L'Oréal</t>
        </is>
      </c>
      <c r="E21691" t="n">
        <v>8.279999999999999</v>
      </c>
      <c r="F21691" t="n">
        <v>1</v>
      </c>
      <c r="G21691" t="n">
        <v>15</v>
      </c>
      <c r="H21691" s="5">
        <f>HYPERLINK("https://api.qogita.com/variants/link/5011408054415/", "View Product")</f>
        <v/>
      </c>
    </row>
    <row r="21692">
      <c r="A21692" t="inlineStr">
        <is>
          <t>5011417572818</t>
        </is>
      </c>
      <c r="B21692" t="inlineStr">
        <is>
          <t>Scholl Inbalance Heel Orthopedic Insoles Pain Relief Insole 1 Pair</t>
        </is>
      </c>
      <c r="C21692" t="inlineStr">
        <is>
          <t>Foot Care Sets</t>
        </is>
      </c>
      <c r="D21692" t="inlineStr">
        <is>
          <t>Scholl</t>
        </is>
      </c>
      <c r="E21692" t="n">
        <v>11.27</v>
      </c>
      <c r="F21692" t="n">
        <v>1</v>
      </c>
      <c r="G21692" t="n">
        <v>8</v>
      </c>
      <c r="H21692" s="5">
        <f>HYPERLINK("https://api.qogita.com/variants/link/5011417572818/", "View Product")</f>
        <v/>
      </c>
    </row>
    <row r="21693">
      <c r="A21693" t="inlineStr">
        <is>
          <t>5012254068144</t>
        </is>
      </c>
      <c r="B21693" t="inlineStr">
        <is>
          <t>TRESemme Salon Finish Freeze Hold Hairspray 250ml</t>
        </is>
      </c>
      <c r="C21693" t="inlineStr">
        <is>
          <t>Hairspray</t>
        </is>
      </c>
      <c r="D21693" t="inlineStr">
        <is>
          <t>TRESemmé</t>
        </is>
      </c>
      <c r="E21693" t="n">
        <v>6.11</v>
      </c>
      <c r="F21693" t="n">
        <v>1</v>
      </c>
      <c r="G21693" t="n">
        <v>5</v>
      </c>
      <c r="H21693" s="5">
        <f>HYPERLINK("https://api.qogita.com/variants/link/5012254068144/", "View Product")</f>
        <v/>
      </c>
    </row>
    <row r="21694">
      <c r="A21694" t="inlineStr">
        <is>
          <t>5012583206682</t>
        </is>
      </c>
      <c r="B21694" t="inlineStr">
        <is>
          <t>Schwarzkopf Got2b Ultra Glued Styling Gel 150ml Hair Gel</t>
        </is>
      </c>
      <c r="C21694" t="inlineStr">
        <is>
          <t>Gel</t>
        </is>
      </c>
      <c r="D21694" t="inlineStr">
        <is>
          <t>Schwarzkopf</t>
        </is>
      </c>
      <c r="E21694" t="n">
        <v>6.23</v>
      </c>
      <c r="F21694" t="n">
        <v>1</v>
      </c>
      <c r="G21694" t="n">
        <v>5</v>
      </c>
      <c r="H21694" s="5">
        <f>HYPERLINK("https://api.qogita.com/variants/link/5012583206682/", "View Product")</f>
        <v/>
      </c>
    </row>
    <row r="21695">
      <c r="A21695" t="inlineStr">
        <is>
          <t>5016221202487</t>
        </is>
      </c>
      <c r="B21695" t="inlineStr">
        <is>
          <t>Marvel Firefly Spiderman Mouthwash 300ml</t>
        </is>
      </c>
      <c r="C21695" t="inlineStr">
        <is>
          <t>Mouthwash</t>
        </is>
      </c>
      <c r="D21695" t="inlineStr">
        <is>
          <t>Marvel</t>
        </is>
      </c>
      <c r="E21695" t="n">
        <v>2.78</v>
      </c>
      <c r="F21695" t="n">
        <v>1</v>
      </c>
      <c r="G21695" t="n">
        <v>2</v>
      </c>
      <c r="H21695" s="5">
        <f>HYPERLINK("https://api.qogita.com/variants/link/5016221202487/", "View Product")</f>
        <v/>
      </c>
    </row>
    <row r="21696">
      <c r="A21696" t="inlineStr">
        <is>
          <t>5016365004268</t>
        </is>
      </c>
      <c r="B21696" t="inlineStr">
        <is>
          <t>Scottish Fine Soaps Ginger, Clove &amp; Mistletoe Gift Cube</t>
        </is>
      </c>
      <c r="C21696" t="inlineStr">
        <is>
          <t>Soap &amp; Lotion Dispensers</t>
        </is>
      </c>
      <c r="D21696" t="inlineStr">
        <is>
          <t>Scottish Fine Soaps</t>
        </is>
      </c>
      <c r="E21696" t="n">
        <v>8.550000000000001</v>
      </c>
      <c r="F21696" t="n">
        <v>1</v>
      </c>
      <c r="G21696" t="n">
        <v>6</v>
      </c>
      <c r="H21696" s="5">
        <f>HYPERLINK("https://api.qogita.com/variants/link/5016365004268/", "View Product")</f>
        <v/>
      </c>
    </row>
    <row r="21697">
      <c r="A21697" t="inlineStr">
        <is>
          <t>5019301202094</t>
        </is>
      </c>
      <c r="B21697" t="inlineStr">
        <is>
          <t>Fresh Face Perfecting Concealer with Hyaluronic Acid Shade 6 6ml</t>
        </is>
      </c>
      <c r="C21697" t="inlineStr">
        <is>
          <t>Concealer</t>
        </is>
      </c>
      <c r="D21697" t="inlineStr">
        <is>
          <t>Barry M</t>
        </is>
      </c>
      <c r="E21697" t="n">
        <v>7.72</v>
      </c>
      <c r="F21697" t="n">
        <v>1</v>
      </c>
      <c r="G21697" t="n">
        <v>2</v>
      </c>
      <c r="H21697" s="5">
        <f>HYPERLINK("https://api.qogita.com/variants/link/5019301202094/", "View Product")</f>
        <v/>
      </c>
    </row>
    <row r="21698">
      <c r="A21698" t="inlineStr">
        <is>
          <t>5019487090812</t>
        </is>
      </c>
      <c r="B21698" t="inlineStr">
        <is>
          <t>Rio Beauty Hard Wax Tablets</t>
        </is>
      </c>
      <c r="C21698" t="inlineStr">
        <is>
          <t>Razors &amp; Hair Removal Tools</t>
        </is>
      </c>
      <c r="D21698" t="inlineStr">
        <is>
          <t>Rio</t>
        </is>
      </c>
      <c r="E21698" t="n">
        <v>9.83</v>
      </c>
      <c r="F21698" t="n">
        <v>1</v>
      </c>
      <c r="G21698" t="n">
        <v>5</v>
      </c>
      <c r="H21698" s="5">
        <f>HYPERLINK("https://api.qogita.com/variants/link/5019487090812/", "View Product")</f>
        <v/>
      </c>
    </row>
    <row r="21699">
      <c r="A21699" t="inlineStr">
        <is>
          <t>5019487091093</t>
        </is>
      </c>
      <c r="B21699" t="inlineStr">
        <is>
          <t>Rio Beauty Hypoallergenic Conductive Gel with Clear Fragrance-Free Formula</t>
        </is>
      </c>
      <c r="C21699" t="inlineStr">
        <is>
          <t>Acne</t>
        </is>
      </c>
      <c r="D21699" t="inlineStr">
        <is>
          <t>Beautycentre</t>
        </is>
      </c>
      <c r="E21699" t="n">
        <v>7.24</v>
      </c>
      <c r="F21699" t="n">
        <v>1</v>
      </c>
      <c r="G21699" t="n">
        <v>5</v>
      </c>
      <c r="H21699" s="5">
        <f>HYPERLINK("https://api.qogita.com/variants/link/5019487091093/", "View Product")</f>
        <v/>
      </c>
    </row>
    <row r="21700">
      <c r="A21700" t="inlineStr">
        <is>
          <t>5025452000458</t>
        </is>
      </c>
      <c r="B21700" t="inlineStr">
        <is>
          <t>Salt Of The Earth Deodorant Spray Lavender &amp; Vanilla Natural Deodorant 100 Ml</t>
        </is>
      </c>
      <c r="C21700" t="inlineStr">
        <is>
          <t>Deodorant &amp; Anti-Perspirant</t>
        </is>
      </c>
      <c r="D21700" t="inlineStr">
        <is>
          <t>Salt Of The Earth</t>
        </is>
      </c>
      <c r="E21700" t="n">
        <v>10.27</v>
      </c>
      <c r="F21700" t="n">
        <v>1</v>
      </c>
      <c r="G21700" t="n">
        <v>9</v>
      </c>
      <c r="H21700" s="5">
        <f>HYPERLINK("https://api.qogita.com/variants/link/5025452000458/", "View Product")</f>
        <v/>
      </c>
    </row>
    <row r="21701">
      <c r="A21701" t="inlineStr">
        <is>
          <t>5025452000779</t>
        </is>
      </c>
      <c r="B21701" t="inlineStr">
        <is>
          <t>Salt of the Earth Refillable Natural Deodorant Spray 100% Natural Origin Ingredients Peony Blossom 100ml</t>
        </is>
      </c>
      <c r="C21701" t="inlineStr">
        <is>
          <t>Deodorant &amp; Anti-Perspirant</t>
        </is>
      </c>
      <c r="D21701" t="inlineStr">
        <is>
          <t>Salt Of The Earth</t>
        </is>
      </c>
      <c r="E21701" t="n">
        <v>10.27</v>
      </c>
      <c r="F21701" t="n">
        <v>1</v>
      </c>
      <c r="G21701" t="n">
        <v>5</v>
      </c>
      <c r="H21701" s="5">
        <f>HYPERLINK("https://api.qogita.com/variants/link/5025452000779/", "View Product")</f>
        <v/>
      </c>
    </row>
    <row r="21702">
      <c r="A21702" t="inlineStr">
        <is>
          <t>5025452001868</t>
        </is>
      </c>
      <c r="B21702" t="inlineStr">
        <is>
          <t>Salt Of The Earth Amber &amp; Sandalwood Natural Rollon Deodorant 75 Ml Refillable</t>
        </is>
      </c>
      <c r="C21702" t="inlineStr">
        <is>
          <t>Deodorant &amp; Anti-Perspirant</t>
        </is>
      </c>
      <c r="D21702" t="inlineStr">
        <is>
          <t>Salt Of The Earth</t>
        </is>
      </c>
      <c r="E21702" t="n">
        <v>9.800000000000001</v>
      </c>
      <c r="F21702" t="n">
        <v>1</v>
      </c>
      <c r="G21702" t="n">
        <v>5</v>
      </c>
      <c r="H21702" s="5">
        <f>HYPERLINK("https://api.qogita.com/variants/link/5025452001868/", "View Product")</f>
        <v/>
      </c>
    </row>
    <row r="21703">
      <c r="A21703" t="inlineStr">
        <is>
          <t>5025452001943</t>
        </is>
      </c>
      <c r="B21703" t="inlineStr">
        <is>
          <t>Salt Of The Earth Neroli &amp; Orange Blossom Deo Rollon 75 Ml</t>
        </is>
      </c>
      <c r="C21703" t="inlineStr">
        <is>
          <t>Deodorant &amp; Anti-Perspirant</t>
        </is>
      </c>
      <c r="D21703" t="inlineStr">
        <is>
          <t>Salt Of The Earth</t>
        </is>
      </c>
      <c r="E21703" t="n">
        <v>9.800000000000001</v>
      </c>
      <c r="F21703" t="n">
        <v>1</v>
      </c>
      <c r="G21703" t="n">
        <v>11</v>
      </c>
      <c r="H21703" s="5">
        <f>HYPERLINK("https://api.qogita.com/variants/link/5025452001943/", "View Product")</f>
        <v/>
      </c>
    </row>
    <row r="21704">
      <c r="A21704" t="inlineStr">
        <is>
          <t>5028197132774</t>
        </is>
      </c>
      <c r="B21704" t="inlineStr">
        <is>
          <t>The Body Shop Almond Milk Hand Balm For Dry Skin</t>
        </is>
      </c>
      <c r="C21704" t="inlineStr">
        <is>
          <t>Hand Cream</t>
        </is>
      </c>
      <c r="D21704" t="inlineStr">
        <is>
          <t>The Body Shop</t>
        </is>
      </c>
      <c r="E21704" t="n">
        <v>12.56</v>
      </c>
      <c r="F21704" t="n">
        <v>1</v>
      </c>
      <c r="G21704" t="n">
        <v>7</v>
      </c>
      <c r="H21704" s="5">
        <f>HYPERLINK("https://api.qogita.com/variants/link/5028197132774/", "View Product")</f>
        <v/>
      </c>
    </row>
    <row r="21705">
      <c r="A21705" t="inlineStr">
        <is>
          <t>5028197180027</t>
        </is>
      </c>
      <c r="B21705" t="inlineStr">
        <is>
          <t>The Body Shop Shea Butter Richly Replenishing Hair Mask 240ml</t>
        </is>
      </c>
      <c r="C21705" t="inlineStr">
        <is>
          <t>Hair Masks</t>
        </is>
      </c>
      <c r="D21705" t="inlineStr">
        <is>
          <t>The Body Shop</t>
        </is>
      </c>
      <c r="E21705" t="n">
        <v>15.62</v>
      </c>
      <c r="F21705" t="n">
        <v>1</v>
      </c>
      <c r="G21705" t="n">
        <v>5</v>
      </c>
      <c r="H21705" s="5">
        <f>HYPERLINK("https://api.qogita.com/variants/link/5028197180027/", "View Product")</f>
        <v/>
      </c>
    </row>
    <row r="21706">
      <c r="A21706" t="inlineStr">
        <is>
          <t>5028197180034</t>
        </is>
      </c>
      <c r="B21706" t="inlineStr">
        <is>
          <t>The Body Shop Tea Tree Purifying &amp; Balancing Hair &amp; Scalp Scrub with Vegan Silk Protein 240ml</t>
        </is>
      </c>
      <c r="C21706" t="inlineStr">
        <is>
          <t>Scalp Care</t>
        </is>
      </c>
      <c r="D21706" t="inlineStr">
        <is>
          <t>The Body Shop</t>
        </is>
      </c>
      <c r="E21706" t="n">
        <v>17.2</v>
      </c>
      <c r="F21706" t="n">
        <v>1</v>
      </c>
      <c r="G21706" t="n">
        <v>6</v>
      </c>
      <c r="H21706" s="5">
        <f>HYPERLINK("https://api.qogita.com/variants/link/5028197180034/", "View Product")</f>
        <v/>
      </c>
    </row>
    <row r="21707">
      <c r="A21707" t="inlineStr">
        <is>
          <t>5028197181253</t>
        </is>
      </c>
      <c r="B21707" t="inlineStr">
        <is>
          <t>The Body Shop British Rose Fresh Plumping Mask 75ml</t>
        </is>
      </c>
      <c r="C21707" t="inlineStr">
        <is>
          <t>Hydrating Mask</t>
        </is>
      </c>
      <c r="D21707" t="inlineStr">
        <is>
          <t>The Body Shop</t>
        </is>
      </c>
      <c r="E21707" t="n">
        <v>23.68</v>
      </c>
      <c r="F21707" t="n">
        <v>1</v>
      </c>
      <c r="G21707" t="n">
        <v>10</v>
      </c>
      <c r="H21707" s="5">
        <f>HYPERLINK("https://api.qogita.com/variants/link/5028197181253/", "View Product")</f>
        <v/>
      </c>
    </row>
    <row r="21708">
      <c r="A21708" t="inlineStr">
        <is>
          <t>5028197182304</t>
        </is>
      </c>
      <c r="B21708" t="inlineStr">
        <is>
          <t>The Body Shop Soothing Aloe Mask 18ml</t>
        </is>
      </c>
      <c r="C21708" t="inlineStr">
        <is>
          <t>Hydrating Mask</t>
        </is>
      </c>
      <c r="D21708" t="inlineStr">
        <is>
          <t>The Body Shop</t>
        </is>
      </c>
      <c r="E21708" t="n">
        <v>5.71</v>
      </c>
      <c r="F21708" t="n">
        <v>1</v>
      </c>
      <c r="G21708" t="n">
        <v>3</v>
      </c>
      <c r="H21708" s="5">
        <f>HYPERLINK("https://api.qogita.com/variants/link/5028197182304/", "View Product")</f>
        <v/>
      </c>
    </row>
    <row r="21709">
      <c r="A21709" t="inlineStr">
        <is>
          <t>5028197235734</t>
        </is>
      </c>
      <c r="B21709" t="inlineStr">
        <is>
          <t>Body Shop Strawberry Shower Gel 250ml</t>
        </is>
      </c>
      <c r="C21709" t="inlineStr">
        <is>
          <t>Shower Gel</t>
        </is>
      </c>
      <c r="D21709" t="inlineStr">
        <is>
          <t>The Body Shop</t>
        </is>
      </c>
      <c r="E21709" t="n">
        <v>7.4</v>
      </c>
      <c r="F21709" t="n">
        <v>1</v>
      </c>
      <c r="G21709" t="n">
        <v>65</v>
      </c>
      <c r="H21709" s="5">
        <f>HYPERLINK("https://api.qogita.com/variants/link/5028197235734/", "View Product")</f>
        <v/>
      </c>
    </row>
    <row r="21710">
      <c r="A21710" t="inlineStr">
        <is>
          <t>5028197250959</t>
        </is>
      </c>
      <c r="B21710" t="inlineStr">
        <is>
          <t>The Body Shop Satsuma Cleansing Face &amp; Body Bar 3.5oz</t>
        </is>
      </c>
      <c r="C21710" t="inlineStr">
        <is>
          <t>Soap</t>
        </is>
      </c>
      <c r="D21710" t="inlineStr">
        <is>
          <t>The Body Shop</t>
        </is>
      </c>
      <c r="E21710" t="n">
        <v>5.72</v>
      </c>
      <c r="F21710" t="n">
        <v>1</v>
      </c>
      <c r="G21710" t="n">
        <v>5</v>
      </c>
      <c r="H21710" s="5">
        <f>HYPERLINK("https://api.qogita.com/variants/link/5028197250959/", "View Product")</f>
        <v/>
      </c>
    </row>
    <row r="21711">
      <c r="A21711" t="inlineStr">
        <is>
          <t>5028197253271</t>
        </is>
      </c>
      <c r="B21711" t="inlineStr">
        <is>
          <t>The Body Shop Peppermint Invigorating Body Gel - 200 Ml</t>
        </is>
      </c>
      <c r="C21711" t="inlineStr">
        <is>
          <t>Body Care Sets</t>
        </is>
      </c>
      <c r="D21711" t="inlineStr">
        <is>
          <t>The Body Shop</t>
        </is>
      </c>
      <c r="E21711" t="n">
        <v>14.64</v>
      </c>
      <c r="F21711" t="n">
        <v>1</v>
      </c>
      <c r="G21711" t="n">
        <v>10</v>
      </c>
      <c r="H21711" s="5">
        <f>HYPERLINK("https://api.qogita.com/variants/link/5028197253271/", "View Product")</f>
        <v/>
      </c>
    </row>
    <row r="21712">
      <c r="A21712" t="inlineStr">
        <is>
          <t>5028197270032</t>
        </is>
      </c>
      <c r="B21712" t="inlineStr">
        <is>
          <t>The Body Shop Vitamin E Night Cream for All Skin Types Vegan 1.6 Oz</t>
        </is>
      </c>
      <c r="C21712" t="inlineStr">
        <is>
          <t>Night Cream</t>
        </is>
      </c>
      <c r="D21712" t="inlineStr">
        <is>
          <t>The Body Shop</t>
        </is>
      </c>
      <c r="E21712" t="n">
        <v>16.2</v>
      </c>
      <c r="F21712" t="n">
        <v>1</v>
      </c>
      <c r="G21712" t="n">
        <v>15</v>
      </c>
      <c r="H21712" s="5">
        <f>HYPERLINK("https://api.qogita.com/variants/link/5028197270032/", "View Product")</f>
        <v/>
      </c>
    </row>
    <row r="21713">
      <c r="A21713" t="inlineStr">
        <is>
          <t>5028197270490</t>
        </is>
      </c>
      <c r="B21713" t="inlineStr">
        <is>
          <t>Camomile Sumptuous Cleansing Butter for All Skin Types 90ml</t>
        </is>
      </c>
      <c r="C21713" t="inlineStr">
        <is>
          <t>Cleansing Cream</t>
        </is>
      </c>
      <c r="D21713" t="inlineStr">
        <is>
          <t>The Body Shop</t>
        </is>
      </c>
      <c r="E21713" t="n">
        <v>16.13</v>
      </c>
      <c r="F21713" t="n">
        <v>1</v>
      </c>
      <c r="G21713" t="n">
        <v>26</v>
      </c>
      <c r="H21713" s="5">
        <f>HYPERLINK("https://api.qogita.com/variants/link/5028197270490/", "View Product")</f>
        <v/>
      </c>
    </row>
    <row r="21714">
      <c r="A21714" t="inlineStr">
        <is>
          <t>5028197277628</t>
        </is>
      </c>
      <c r="B21714" t="inlineStr">
        <is>
          <t>The Body Shop Vitamin C Glow Boosting Moisturiser 50ml</t>
        </is>
      </c>
      <c r="C21714" t="inlineStr">
        <is>
          <t>Day Cream</t>
        </is>
      </c>
      <c r="D21714" t="inlineStr">
        <is>
          <t>The Body Shop</t>
        </is>
      </c>
      <c r="E21714" t="n">
        <v>25.19</v>
      </c>
      <c r="F21714" t="n">
        <v>1</v>
      </c>
      <c r="G21714" t="n">
        <v>46</v>
      </c>
      <c r="H21714" s="5">
        <f>HYPERLINK("https://api.qogita.com/variants/link/5028197277628/", "View Product")</f>
        <v/>
      </c>
    </row>
    <row r="21715">
      <c r="A21715" t="inlineStr">
        <is>
          <t>5028197335922</t>
        </is>
      </c>
      <c r="B21715" t="inlineStr">
        <is>
          <t>The Body Shop Shea Shampoo 400ml</t>
        </is>
      </c>
      <c r="C21715" t="inlineStr">
        <is>
          <t>Shampoo</t>
        </is>
      </c>
      <c r="D21715" t="inlineStr">
        <is>
          <t>The Body Shop</t>
        </is>
      </c>
      <c r="E21715" t="n">
        <v>10.03</v>
      </c>
      <c r="F21715" t="n">
        <v>1</v>
      </c>
      <c r="G21715" t="n">
        <v>13</v>
      </c>
      <c r="H21715" s="5">
        <f>HYPERLINK("https://api.qogita.com/variants/link/5028197335922/", "View Product")</f>
        <v/>
      </c>
    </row>
    <row r="21716">
      <c r="A21716" t="inlineStr">
        <is>
          <t>5028197336011</t>
        </is>
      </c>
      <c r="B21716" t="inlineStr">
        <is>
          <t>The Body Shop Nourishing Banana Conditioner 250 Ml</t>
        </is>
      </c>
      <c r="C21716" t="inlineStr">
        <is>
          <t>Conditioner</t>
        </is>
      </c>
      <c r="D21716" t="inlineStr">
        <is>
          <t>The Body Shop</t>
        </is>
      </c>
      <c r="E21716" t="n">
        <v>9.470000000000001</v>
      </c>
      <c r="F21716" t="n">
        <v>1</v>
      </c>
      <c r="G21716" t="n">
        <v>39</v>
      </c>
      <c r="H21716" s="5">
        <f>HYPERLINK("https://api.qogita.com/variants/link/5028197336011/", "View Product")</f>
        <v/>
      </c>
    </row>
    <row r="21717">
      <c r="A21717" t="inlineStr">
        <is>
          <t>5028197340803</t>
        </is>
      </c>
      <c r="B21717" t="inlineStr">
        <is>
          <t>The Body Shop Full Iris Eau De Parfum 75 Ml</t>
        </is>
      </c>
      <c r="C21717" t="inlineStr">
        <is>
          <t>Eau De Parfum</t>
        </is>
      </c>
      <c r="D21717" t="inlineStr">
        <is>
          <t>The Body Shop</t>
        </is>
      </c>
      <c r="E21717" t="n">
        <v>47.54</v>
      </c>
      <c r="F21717" t="n">
        <v>1</v>
      </c>
      <c r="G21717" t="n">
        <v>9</v>
      </c>
      <c r="H21717" s="5">
        <f>HYPERLINK("https://api.qogita.com/variants/link/5028197340803/", "View Product")</f>
        <v/>
      </c>
    </row>
    <row r="21718">
      <c r="A21718" t="inlineStr">
        <is>
          <t>5028197340858</t>
        </is>
      </c>
      <c r="B21718" t="inlineStr">
        <is>
          <t>The Body Shop Full Orange Blossom Eau De Parfum 75 Ml</t>
        </is>
      </c>
      <c r="C21718" t="inlineStr">
        <is>
          <t>Eau De Parfum</t>
        </is>
      </c>
      <c r="D21718" t="inlineStr">
        <is>
          <t>The Body Shop</t>
        </is>
      </c>
      <c r="E21718" t="n">
        <v>47.54</v>
      </c>
      <c r="F21718" t="n">
        <v>1</v>
      </c>
      <c r="G21718" t="n">
        <v>12</v>
      </c>
      <c r="H21718" s="5">
        <f>HYPERLINK("https://api.qogita.com/variants/link/5028197340858/", "View Product")</f>
        <v/>
      </c>
    </row>
    <row r="21719">
      <c r="A21719" t="inlineStr">
        <is>
          <t>5028197365592</t>
        </is>
      </c>
      <c r="B21719" t="inlineStr">
        <is>
          <t>British Rose Shower Scrub 200 ml - The Body Shop</t>
        </is>
      </c>
      <c r="C21719" t="inlineStr">
        <is>
          <t>Body Scrub &amp; Peeling</t>
        </is>
      </c>
      <c r="D21719" t="inlineStr">
        <is>
          <t>The Body Shop</t>
        </is>
      </c>
      <c r="E21719" t="n">
        <v>14.78</v>
      </c>
      <c r="F21719" t="n">
        <v>1</v>
      </c>
      <c r="G21719" t="n">
        <v>5</v>
      </c>
      <c r="H21719" s="5">
        <f>HYPERLINK("https://api.qogita.com/variants/link/5028197365592/", "View Product")</f>
        <v/>
      </c>
    </row>
    <row r="21720">
      <c r="A21720" t="inlineStr">
        <is>
          <t>5028197383343</t>
        </is>
      </c>
      <c r="B21720" t="inlineStr">
        <is>
          <t>The Body Shop Tea Tree Night Gel For Skin Imperfections Rapid Action Gel - 15 Ml</t>
        </is>
      </c>
      <c r="C21720" t="inlineStr">
        <is>
          <t>Pimple &amp; Blackhead Treatments</t>
        </is>
      </c>
      <c r="D21720" t="inlineStr">
        <is>
          <t>The Body Shop</t>
        </is>
      </c>
      <c r="E21720" t="n">
        <v>27.17</v>
      </c>
      <c r="F21720" t="n">
        <v>1</v>
      </c>
      <c r="G21720" t="n">
        <v>8</v>
      </c>
      <c r="H21720" s="5">
        <f>HYPERLINK("https://api.qogita.com/variants/link/5028197383343/", "View Product")</f>
        <v/>
      </c>
    </row>
    <row r="21721">
      <c r="A21721" t="inlineStr">
        <is>
          <t>5028197389512</t>
        </is>
      </c>
      <c r="B21721" t="inlineStr">
        <is>
          <t>The Body Shop Full Magnolia Eau De Parfum 75 Ml</t>
        </is>
      </c>
      <c r="C21721" t="inlineStr">
        <is>
          <t>Eau De Parfum</t>
        </is>
      </c>
      <c r="D21721" t="inlineStr">
        <is>
          <t>The Body Shop</t>
        </is>
      </c>
      <c r="E21721" t="n">
        <v>47.54</v>
      </c>
      <c r="F21721" t="n">
        <v>1</v>
      </c>
      <c r="G21721" t="n">
        <v>3</v>
      </c>
      <c r="H21721" s="5">
        <f>HYPERLINK("https://api.qogita.com/variants/link/5028197389512/", "View Product")</f>
        <v/>
      </c>
    </row>
    <row r="21722">
      <c r="A21722" t="inlineStr">
        <is>
          <t>5028197420567</t>
        </is>
      </c>
      <c r="B21722" t="inlineStr">
        <is>
          <t>The Body Shop Mango Body Care Gift Set</t>
        </is>
      </c>
      <c r="C21722" t="inlineStr">
        <is>
          <t>Body Care Sets</t>
        </is>
      </c>
      <c r="D21722" t="inlineStr">
        <is>
          <t>The Body Shop</t>
        </is>
      </c>
      <c r="E21722" t="n">
        <v>50.6</v>
      </c>
      <c r="F21722" t="n">
        <v>1</v>
      </c>
      <c r="G21722" t="n">
        <v>32</v>
      </c>
      <c r="H21722" s="5">
        <f>HYPERLINK("https://api.qogita.com/variants/link/5028197420567/", "View Product")</f>
        <v/>
      </c>
    </row>
    <row r="21723">
      <c r="A21723" t="inlineStr">
        <is>
          <t>5028197425531</t>
        </is>
      </c>
      <c r="B21723" t="inlineStr">
        <is>
          <t>The Body Shop Ginger Anti-Dandruff Shampoo</t>
        </is>
      </c>
      <c r="C21723" t="inlineStr">
        <is>
          <t>Shampoo</t>
        </is>
      </c>
      <c r="D21723" t="inlineStr">
        <is>
          <t>The Body Shop</t>
        </is>
      </c>
      <c r="E21723" t="n">
        <v>7.75</v>
      </c>
      <c r="F21723" t="n">
        <v>1</v>
      </c>
      <c r="G21723" t="n">
        <v>87</v>
      </c>
      <c r="H21723" s="5">
        <f>HYPERLINK("https://api.qogita.com/variants/link/5028197425531/", "View Product")</f>
        <v/>
      </c>
    </row>
    <row r="21724">
      <c r="A21724" t="inlineStr">
        <is>
          <t>5028197425746</t>
        </is>
      </c>
      <c r="B21724" t="inlineStr">
        <is>
          <t>The Body Shop Ginger Scalp Care Conditioner</t>
        </is>
      </c>
      <c r="C21724" t="inlineStr">
        <is>
          <t>Conditioner</t>
        </is>
      </c>
      <c r="D21724" t="inlineStr">
        <is>
          <t>The Body Shop</t>
        </is>
      </c>
      <c r="E21724" t="n">
        <v>10.12</v>
      </c>
      <c r="F21724" t="n">
        <v>1</v>
      </c>
      <c r="G21724" t="n">
        <v>28</v>
      </c>
      <c r="H21724" s="5">
        <f>HYPERLINK("https://api.qogita.com/variants/link/5028197425746/", "View Product")</f>
        <v/>
      </c>
    </row>
    <row r="21725">
      <c r="A21725" t="inlineStr">
        <is>
          <t>5028197883614</t>
        </is>
      </c>
      <c r="B21725" t="inlineStr">
        <is>
          <t>The Body Shop Pointed Highlighter Brush with Bamboo Handle and Nylon Bristles</t>
        </is>
      </c>
      <c r="C21725" t="inlineStr">
        <is>
          <t>Powder Brushes</t>
        </is>
      </c>
      <c r="D21725" t="inlineStr">
        <is>
          <t>The Body Shop</t>
        </is>
      </c>
      <c r="E21725" t="n">
        <v>11.99</v>
      </c>
      <c r="F21725" t="n">
        <v>1</v>
      </c>
      <c r="G21725" t="n">
        <v>2</v>
      </c>
      <c r="H21725" s="5">
        <f>HYPERLINK("https://api.qogita.com/variants/link/5028197883614/", "View Product")</f>
        <v/>
      </c>
    </row>
    <row r="21726">
      <c r="A21726" t="inlineStr">
        <is>
          <t>5028197883652</t>
        </is>
      </c>
      <c r="B21726" t="inlineStr">
        <is>
          <t>The Body Shop Eyeshadow Blending Brush with Bamboo Nylon Bristles</t>
        </is>
      </c>
      <c r="C21726" t="inlineStr">
        <is>
          <t>Eyeshadow Brushes</t>
        </is>
      </c>
      <c r="D21726" t="inlineStr">
        <is>
          <t>The Body Shop</t>
        </is>
      </c>
      <c r="E21726" t="n">
        <v>9.369999999999999</v>
      </c>
      <c r="F21726" t="n">
        <v>1</v>
      </c>
      <c r="G21726" t="n">
        <v>4</v>
      </c>
      <c r="H21726" s="5">
        <f>HYPERLINK("https://api.qogita.com/variants/link/5028197883652/", "View Product")</f>
        <v/>
      </c>
    </row>
    <row r="21727">
      <c r="A21727" t="inlineStr">
        <is>
          <t>5028197948009</t>
        </is>
      </c>
      <c r="B21727" t="inlineStr">
        <is>
          <t>The Body Shop Hemp Exfoliating Glove Body Mitt</t>
        </is>
      </c>
      <c r="C21727" t="inlineStr">
        <is>
          <t>Scrub Gloves</t>
        </is>
      </c>
      <c r="D21727" t="inlineStr">
        <is>
          <t>The Body Shop</t>
        </is>
      </c>
      <c r="E21727" t="n">
        <v>14.17</v>
      </c>
      <c r="F21727" t="n">
        <v>1</v>
      </c>
      <c r="G21727" t="n">
        <v>5</v>
      </c>
      <c r="H21727" s="5">
        <f>HYPERLINK("https://api.qogita.com/variants/link/5028197948009/", "View Product")</f>
        <v/>
      </c>
    </row>
    <row r="21728">
      <c r="A21728" t="inlineStr">
        <is>
          <t>5028197962098</t>
        </is>
      </c>
      <c r="B21728" t="inlineStr">
        <is>
          <t>The Body Shop Super Soft Cleansing Brush</t>
        </is>
      </c>
      <c r="C21728" t="inlineStr">
        <is>
          <t>Facial Cleansing Brushes</t>
        </is>
      </c>
      <c r="D21728" t="inlineStr">
        <is>
          <t>The Body Shop</t>
        </is>
      </c>
      <c r="E21728" t="n">
        <v>12.76</v>
      </c>
      <c r="F21728" t="n">
        <v>1</v>
      </c>
      <c r="G21728" t="n">
        <v>16</v>
      </c>
      <c r="H21728" s="5">
        <f>HYPERLINK("https://api.qogita.com/variants/link/5028197962098/", "View Product")</f>
        <v/>
      </c>
    </row>
    <row r="21729">
      <c r="A21729" t="inlineStr">
        <is>
          <t>5028197973636</t>
        </is>
      </c>
      <c r="B21729" t="inlineStr">
        <is>
          <t>The Body Shop Body Butter 24 Hours British Rose 200ml</t>
        </is>
      </c>
      <c r="C21729" t="inlineStr">
        <is>
          <t>Body Butter</t>
        </is>
      </c>
      <c r="D21729" t="inlineStr">
        <is>
          <t>The Body Shop</t>
        </is>
      </c>
      <c r="E21729" t="n">
        <v>15.58</v>
      </c>
      <c r="F21729" t="n">
        <v>1</v>
      </c>
      <c r="G21729" t="n">
        <v>25</v>
      </c>
      <c r="H21729" s="5">
        <f>HYPERLINK("https://api.qogita.com/variants/link/5028197973636/", "View Product")</f>
        <v/>
      </c>
    </row>
    <row r="21730">
      <c r="A21730" t="inlineStr">
        <is>
          <t>5030805000092</t>
        </is>
      </c>
      <c r="B21730" t="inlineStr">
        <is>
          <t>Molton Brown Flora Luminaire Hand Cream 40ml</t>
        </is>
      </c>
      <c r="C21730" t="inlineStr">
        <is>
          <t>Hand Cream</t>
        </is>
      </c>
      <c r="D21730" t="inlineStr">
        <is>
          <t>Molton Brown</t>
        </is>
      </c>
      <c r="E21730" t="n">
        <v>9.960000000000001</v>
      </c>
      <c r="F21730" t="n">
        <v>1</v>
      </c>
      <c r="G21730" t="n">
        <v>28</v>
      </c>
      <c r="H21730" s="5">
        <f>HYPERLINK("https://api.qogita.com/variants/link/5030805000092/", "View Product")</f>
        <v/>
      </c>
    </row>
    <row r="21731">
      <c r="A21731" t="inlineStr">
        <is>
          <t>5030805002560</t>
        </is>
      </c>
      <c r="B21731" t="inlineStr">
        <is>
          <t>Molton Brown Blissful Templetree Body Lotion 300ml</t>
        </is>
      </c>
      <c r="C21731" t="inlineStr">
        <is>
          <t>Body Lotion</t>
        </is>
      </c>
      <c r="D21731" t="inlineStr">
        <is>
          <t>Molton Brown</t>
        </is>
      </c>
      <c r="E21731" t="n">
        <v>20.81</v>
      </c>
      <c r="F21731" t="n">
        <v>1</v>
      </c>
      <c r="G21731" t="n">
        <v>77</v>
      </c>
      <c r="H21731" s="5">
        <f>HYPERLINK("https://api.qogita.com/variants/link/5030805002560/", "View Product")</f>
        <v/>
      </c>
    </row>
    <row r="21732">
      <c r="A21732" t="inlineStr">
        <is>
          <t>5030805002607</t>
        </is>
      </c>
      <c r="B21732" t="inlineStr">
        <is>
          <t>Molton Brown Heavenly Gingerlily Bath and Shower Gel 300ml</t>
        </is>
      </c>
      <c r="C21732" t="inlineStr">
        <is>
          <t>Shower Gel</t>
        </is>
      </c>
      <c r="D21732" t="inlineStr">
        <is>
          <t>Molton Brown</t>
        </is>
      </c>
      <c r="E21732" t="n">
        <v>18.33</v>
      </c>
      <c r="F21732" t="n">
        <v>1</v>
      </c>
      <c r="G21732" t="n">
        <v>36</v>
      </c>
      <c r="H21732" s="5">
        <f>HYPERLINK("https://api.qogita.com/variants/link/5030805002607/", "View Product")</f>
        <v/>
      </c>
    </row>
    <row r="21733">
      <c r="A21733" t="inlineStr">
        <is>
          <t>5030805002942</t>
        </is>
      </c>
      <c r="B21733" t="inlineStr">
        <is>
          <t>Molton Brown Tobacco Absolute Bath &amp; Shower Gel 300 Ml</t>
        </is>
      </c>
      <c r="C21733" t="inlineStr">
        <is>
          <t>Shower Gel</t>
        </is>
      </c>
      <c r="D21733" t="inlineStr">
        <is>
          <t>Molton Brown</t>
        </is>
      </c>
      <c r="E21733" t="n">
        <v>26.21</v>
      </c>
      <c r="F21733" t="n">
        <v>1</v>
      </c>
      <c r="G21733" t="n">
        <v>138</v>
      </c>
      <c r="H21733" s="5">
        <f>HYPERLINK("https://api.qogita.com/variants/link/5030805002942/", "View Product")</f>
        <v/>
      </c>
    </row>
    <row r="21734">
      <c r="A21734" t="inlineStr">
        <is>
          <t>5030805003260</t>
        </is>
      </c>
      <c r="B21734" t="inlineStr">
        <is>
          <t>Molton Brown Lily &amp; Magnolia Blossom Bath &amp; Shower Gel 300ml</t>
        </is>
      </c>
      <c r="C21734" t="inlineStr">
        <is>
          <t>Shower Gel</t>
        </is>
      </c>
      <c r="D21734" t="inlineStr">
        <is>
          <t>Molton Brown</t>
        </is>
      </c>
      <c r="E21734" t="n">
        <v>23.32</v>
      </c>
      <c r="F21734" t="n">
        <v>1</v>
      </c>
      <c r="G21734" t="n">
        <v>32</v>
      </c>
      <c r="H21734" s="5">
        <f>HYPERLINK("https://api.qogita.com/variants/link/5030805003260/", "View Product")</f>
        <v/>
      </c>
    </row>
    <row r="21735">
      <c r="A21735" t="inlineStr">
        <is>
          <t>5030805003482</t>
        </is>
      </c>
      <c r="B21735" t="inlineStr">
        <is>
          <t>Molton Brown Orange and Bergamot Hand Lotion 300ml</t>
        </is>
      </c>
      <c r="C21735" t="inlineStr">
        <is>
          <t>Body Lotion</t>
        </is>
      </c>
      <c r="D21735" t="inlineStr">
        <is>
          <t>Molton Brown</t>
        </is>
      </c>
      <c r="E21735" t="n">
        <v>23.46</v>
      </c>
      <c r="F21735" t="n">
        <v>1</v>
      </c>
      <c r="G21735" t="n">
        <v>27</v>
      </c>
      <c r="H21735" s="5">
        <f>HYPERLINK("https://api.qogita.com/variants/link/5030805003482/", "View Product")</f>
        <v/>
      </c>
    </row>
    <row r="21736">
      <c r="A21736" t="inlineStr">
        <is>
          <t>5030805003567</t>
        </is>
      </c>
      <c r="B21736" t="inlineStr">
        <is>
          <t>Molton Brown Refined White Mulberry Hand Lotion 300ml</t>
        </is>
      </c>
      <c r="C21736" t="inlineStr">
        <is>
          <t>Hand Cream</t>
        </is>
      </c>
      <c r="D21736" t="inlineStr">
        <is>
          <t>Molton Brown</t>
        </is>
      </c>
      <c r="E21736" t="n">
        <v>19.94</v>
      </c>
      <c r="F21736" t="n">
        <v>1</v>
      </c>
      <c r="G21736" t="n">
        <v>18</v>
      </c>
      <c r="H21736" s="5">
        <f>HYPERLINK("https://api.qogita.com/variants/link/5030805003567/", "View Product")</f>
        <v/>
      </c>
    </row>
    <row r="21737">
      <c r="A21737" t="inlineStr">
        <is>
          <t>5030805003628</t>
        </is>
      </c>
      <c r="B21737" t="inlineStr">
        <is>
          <t>Molton Brown Fiery Pink Pepper Fine Liquid Hand Wash</t>
        </is>
      </c>
      <c r="C21737" t="inlineStr">
        <is>
          <t>Hand Soap</t>
        </is>
      </c>
      <c r="D21737" t="inlineStr">
        <is>
          <t>Molton Brown</t>
        </is>
      </c>
      <c r="E21737" t="n">
        <v>18.51</v>
      </c>
      <c r="F21737" t="n">
        <v>1</v>
      </c>
      <c r="G21737" t="n">
        <v>66</v>
      </c>
      <c r="H21737" s="5">
        <f>HYPERLINK("https://api.qogita.com/variants/link/5030805003628/", "View Product")</f>
        <v/>
      </c>
    </row>
    <row r="21738">
      <c r="A21738" t="inlineStr">
        <is>
          <t>5030805003642</t>
        </is>
      </c>
      <c r="B21738" t="inlineStr">
        <is>
          <t>Molton Brown Fiery Pink Pepper Hand Lotion 300ml</t>
        </is>
      </c>
      <c r="C21738" t="inlineStr">
        <is>
          <t>Hand Cream</t>
        </is>
      </c>
      <c r="D21738" t="inlineStr">
        <is>
          <t>Molton Brown</t>
        </is>
      </c>
      <c r="E21738" t="n">
        <v>18.4</v>
      </c>
      <c r="F21738" t="n">
        <v>1</v>
      </c>
      <c r="G21738" t="n">
        <v>41</v>
      </c>
      <c r="H21738" s="5">
        <f>HYPERLINK("https://api.qogita.com/variants/link/5030805003642/", "View Product")</f>
        <v/>
      </c>
    </row>
    <row r="21739">
      <c r="A21739" t="inlineStr">
        <is>
          <t>5030805003666</t>
        </is>
      </c>
      <c r="B21739" t="inlineStr">
        <is>
          <t>Molton Brown Delicious Rhubarb and Rose Hand Lotion 300ml</t>
        </is>
      </c>
      <c r="C21739" t="inlineStr">
        <is>
          <t>Body Lotion</t>
        </is>
      </c>
      <c r="D21739" t="inlineStr">
        <is>
          <t>Molton Brown</t>
        </is>
      </c>
      <c r="E21739" t="n">
        <v>18.83</v>
      </c>
      <c r="F21739" t="n">
        <v>1</v>
      </c>
      <c r="G21739" t="n">
        <v>30</v>
      </c>
      <c r="H21739" s="5">
        <f>HYPERLINK("https://api.qogita.com/variants/link/5030805003666/", "View Product")</f>
        <v/>
      </c>
    </row>
    <row r="21740">
      <c r="A21740" t="inlineStr">
        <is>
          <t>5030805003680</t>
        </is>
      </c>
      <c r="B21740" t="inlineStr">
        <is>
          <t>Molton Brown Delicious Rhubarb and Rose Fine Liquid Hand Wash 300ml</t>
        </is>
      </c>
      <c r="C21740" t="inlineStr">
        <is>
          <t>Hand Soap</t>
        </is>
      </c>
      <c r="D21740" t="inlineStr">
        <is>
          <t>Molton Brown</t>
        </is>
      </c>
      <c r="E21740" t="n">
        <v>18.65</v>
      </c>
      <c r="F21740" t="n">
        <v>1</v>
      </c>
      <c r="G21740" t="n">
        <v>50</v>
      </c>
      <c r="H21740" s="5">
        <f>HYPERLINK("https://api.qogita.com/variants/link/5030805003680/", "View Product")</f>
        <v/>
      </c>
    </row>
    <row r="21741">
      <c r="A21741" t="inlineStr">
        <is>
          <t>5030805003741</t>
        </is>
      </c>
      <c r="B21741" t="inlineStr">
        <is>
          <t>Molton Brown Coastal Cypress and Sea Fennel Fine Liquid Hand Wash 300ml</t>
        </is>
      </c>
      <c r="C21741" t="inlineStr">
        <is>
          <t>Hand Soap</t>
        </is>
      </c>
      <c r="D21741" t="inlineStr">
        <is>
          <t>Molton Brown</t>
        </is>
      </c>
      <c r="E21741" t="n">
        <v>15.36</v>
      </c>
      <c r="F21741" t="n">
        <v>1</v>
      </c>
      <c r="G21741" t="n">
        <v>13</v>
      </c>
      <c r="H21741" s="5">
        <f>HYPERLINK("https://api.qogita.com/variants/link/5030805003741/", "View Product")</f>
        <v/>
      </c>
    </row>
    <row r="21742">
      <c r="A21742" t="inlineStr">
        <is>
          <t>5030805003789</t>
        </is>
      </c>
      <c r="B21742" t="inlineStr">
        <is>
          <t>Molton Brown Flora Luminare Fine Liquid Hand Wash 300ml</t>
        </is>
      </c>
      <c r="C21742" t="inlineStr">
        <is>
          <t>Hand Soap</t>
        </is>
      </c>
      <c r="D21742" t="inlineStr">
        <is>
          <t>Molton Brown</t>
        </is>
      </c>
      <c r="E21742" t="n">
        <v>22.93</v>
      </c>
      <c r="F21742" t="n">
        <v>1</v>
      </c>
      <c r="G21742" t="n">
        <v>66</v>
      </c>
      <c r="H21742" s="5">
        <f>HYPERLINK("https://api.qogita.com/variants/link/5030805003789/", "View Product")</f>
        <v/>
      </c>
    </row>
    <row r="21743">
      <c r="A21743" t="inlineStr">
        <is>
          <t>5030805005028</t>
        </is>
      </c>
      <c r="B21743" t="inlineStr">
        <is>
          <t>Molton Brown Orange &amp; Bergamot Scented Candle 190 G</t>
        </is>
      </c>
      <c r="C21743" t="inlineStr">
        <is>
          <t>Candles</t>
        </is>
      </c>
      <c r="D21743" t="inlineStr">
        <is>
          <t>Molton Brown</t>
        </is>
      </c>
      <c r="E21743" t="n">
        <v>39.33</v>
      </c>
      <c r="F21743" t="n">
        <v>1</v>
      </c>
      <c r="G21743" t="n">
        <v>21</v>
      </c>
      <c r="H21743" s="5">
        <f>HYPERLINK("https://api.qogita.com/variants/link/5030805005028/", "View Product")</f>
        <v/>
      </c>
    </row>
    <row r="21744">
      <c r="A21744" t="inlineStr">
        <is>
          <t>5030805005141</t>
        </is>
      </c>
      <c r="B21744" t="inlineStr">
        <is>
          <t>Molton Brown Recharge Black Pepper Scented Candle 600 G</t>
        </is>
      </c>
      <c r="C21744" t="inlineStr">
        <is>
          <t>Candles</t>
        </is>
      </c>
      <c r="D21744" t="inlineStr">
        <is>
          <t>Molton Brown</t>
        </is>
      </c>
      <c r="E21744" t="n">
        <v>68.86</v>
      </c>
      <c r="F21744" t="n">
        <v>1</v>
      </c>
      <c r="G21744" t="n">
        <v>22</v>
      </c>
      <c r="H21744" s="5">
        <f>HYPERLINK("https://api.qogita.com/variants/link/5030805005141/", "View Product")</f>
        <v/>
      </c>
    </row>
    <row r="21745">
      <c r="A21745" t="inlineStr">
        <is>
          <t>5030805005585</t>
        </is>
      </c>
      <c r="B21745" t="inlineStr">
        <is>
          <t>Molton Brown Milk Musk Body Lotion 300ml</t>
        </is>
      </c>
      <c r="C21745" t="inlineStr">
        <is>
          <t>Body Lotion</t>
        </is>
      </c>
      <c r="D21745" t="inlineStr">
        <is>
          <t>Molton Brown</t>
        </is>
      </c>
      <c r="E21745" t="n">
        <v>21.94</v>
      </c>
      <c r="F21745" t="n">
        <v>1</v>
      </c>
      <c r="G21745" t="n">
        <v>14</v>
      </c>
      <c r="H21745" s="5">
        <f>HYPERLINK("https://api.qogita.com/variants/link/5030805005585/", "View Product")</f>
        <v/>
      </c>
    </row>
    <row r="21746">
      <c r="A21746" t="inlineStr">
        <is>
          <t>5030805006193</t>
        </is>
      </c>
      <c r="B21746" t="inlineStr">
        <is>
          <t>Molton Brown Reviving Rosemary Bath and Shower Oil-in-Gel 300ml</t>
        </is>
      </c>
      <c r="C21746" t="inlineStr">
        <is>
          <t>Shower Oil</t>
        </is>
      </c>
      <c r="D21746" t="inlineStr">
        <is>
          <t>Molton Brown</t>
        </is>
      </c>
      <c r="E21746" t="n">
        <v>21.94</v>
      </c>
      <c r="F21746" t="n">
        <v>1</v>
      </c>
      <c r="G21746" t="n">
        <v>59</v>
      </c>
      <c r="H21746" s="5">
        <f>HYPERLINK("https://api.qogita.com/variants/link/5030805006193/", "View Product")</f>
        <v/>
      </c>
    </row>
    <row r="21747">
      <c r="A21747" t="inlineStr">
        <is>
          <t>5030805009521</t>
        </is>
      </c>
      <c r="B21747" t="inlineStr">
        <is>
          <t>Molton Brown Marvelous Mandarin &amp; Spice Bath And Shower Gel 75 Ml</t>
        </is>
      </c>
      <c r="C21747" t="inlineStr">
        <is>
          <t>Shower Gel</t>
        </is>
      </c>
      <c r="D21747" t="inlineStr">
        <is>
          <t>Molton Brown</t>
        </is>
      </c>
      <c r="E21747" t="n">
        <v>11.18</v>
      </c>
      <c r="F21747" t="n">
        <v>1</v>
      </c>
      <c r="G21747" t="n">
        <v>41</v>
      </c>
      <c r="H21747" s="5">
        <f>HYPERLINK("https://api.qogita.com/variants/link/5030805009521/", "View Product")</f>
        <v/>
      </c>
    </row>
    <row r="21748">
      <c r="A21748" t="inlineStr">
        <is>
          <t>5030805009705</t>
        </is>
      </c>
      <c r="B21748" t="inlineStr">
        <is>
          <t>Molton Brown Merry Berries &amp; Mimosa Bath And Shower Gel 75 Ml</t>
        </is>
      </c>
      <c r="C21748" t="inlineStr">
        <is>
          <t>Shower Gel</t>
        </is>
      </c>
      <c r="D21748" t="inlineStr">
        <is>
          <t>Molton Brown</t>
        </is>
      </c>
      <c r="E21748" t="n">
        <v>11.03</v>
      </c>
      <c r="F21748" t="n">
        <v>1</v>
      </c>
      <c r="G21748" t="n">
        <v>54</v>
      </c>
      <c r="H21748" s="5">
        <f>HYPERLINK("https://api.qogita.com/variants/link/5030805009705/", "View Product")</f>
        <v/>
      </c>
    </row>
    <row r="21749">
      <c r="A21749" t="inlineStr">
        <is>
          <t>5030805010473</t>
        </is>
      </c>
      <c r="B21749" t="inlineStr">
        <is>
          <t>Molton Brown Coastal Cypress &amp; Sea Fennel Hand Care Collection Gift Set</t>
        </is>
      </c>
      <c r="C21749" t="inlineStr">
        <is>
          <t>Hand Care Sets</t>
        </is>
      </c>
      <c r="D21749" t="inlineStr">
        <is>
          <t>Molton Brown</t>
        </is>
      </c>
      <c r="E21749" t="n">
        <v>22.28</v>
      </c>
      <c r="F21749" t="n">
        <v>1</v>
      </c>
      <c r="G21749" t="n">
        <v>11</v>
      </c>
      <c r="H21749" s="5">
        <f>HYPERLINK("https://api.qogita.com/variants/link/5030805010473/", "View Product")</f>
        <v/>
      </c>
    </row>
    <row r="21750">
      <c r="A21750" t="inlineStr">
        <is>
          <t>5030805014587</t>
        </is>
      </c>
      <c r="B21750" t="inlineStr">
        <is>
          <t>Molton Brown Re-charge Black Pepper Infinite Bottle One Size</t>
        </is>
      </c>
      <c r="C21750" t="inlineStr">
        <is>
          <t>Refillable Fragrances &amp; Refills</t>
        </is>
      </c>
      <c r="D21750" t="inlineStr">
        <is>
          <t>Molton Brown</t>
        </is>
      </c>
      <c r="E21750" t="n">
        <v>30.64</v>
      </c>
      <c r="F21750" t="n">
        <v>1</v>
      </c>
      <c r="G21750" t="n">
        <v>28</v>
      </c>
      <c r="H21750" s="5">
        <f>HYPERLINK("https://api.qogita.com/variants/link/5030805014587/", "View Product")</f>
        <v/>
      </c>
    </row>
    <row r="21751">
      <c r="A21751" t="inlineStr">
        <is>
          <t>5030805014624</t>
        </is>
      </c>
      <c r="B21751" t="inlineStr">
        <is>
          <t>Molton Brown Coastal Cypress &amp; Sea Fennel Infinite Bottle 400ml</t>
        </is>
      </c>
      <c r="C21751" t="inlineStr">
        <is>
          <t>Body Mist</t>
        </is>
      </c>
      <c r="D21751" t="inlineStr">
        <is>
          <t>Molton Brown</t>
        </is>
      </c>
      <c r="E21751" t="n">
        <v>35.38</v>
      </c>
      <c r="F21751" t="n">
        <v>1</v>
      </c>
      <c r="G21751" t="n">
        <v>21</v>
      </c>
      <c r="H21751" s="5">
        <f>HYPERLINK("https://api.qogita.com/variants/link/5030805014624/", "View Product")</f>
        <v/>
      </c>
    </row>
    <row r="21752">
      <c r="A21752" t="inlineStr">
        <is>
          <t>5030805015027</t>
        </is>
      </c>
      <c r="B21752" t="inlineStr">
        <is>
          <t>Wild Mint and Lavandin Bath and Shower Gel</t>
        </is>
      </c>
      <c r="C21752" t="inlineStr">
        <is>
          <t>Shower Gel</t>
        </is>
      </c>
      <c r="D21752" t="inlineStr">
        <is>
          <t>Molton Brown</t>
        </is>
      </c>
      <c r="E21752" t="n">
        <v>19.17</v>
      </c>
      <c r="F21752" t="n">
        <v>1</v>
      </c>
      <c r="G21752" t="n">
        <v>67</v>
      </c>
      <c r="H21752" s="5">
        <f>HYPERLINK("https://api.qogita.com/variants/link/5030805015027/", "View Product")</f>
        <v/>
      </c>
    </row>
    <row r="21753">
      <c r="A21753" t="inlineStr">
        <is>
          <t>5030805023060</t>
        </is>
      </c>
      <c r="B21753" t="inlineStr">
        <is>
          <t>Molton Brown Woody &amp; Aromatic Bath &amp; Shower Gel</t>
        </is>
      </c>
      <c r="C21753" t="inlineStr">
        <is>
          <t>Shower Gel</t>
        </is>
      </c>
      <c r="D21753" t="inlineStr">
        <is>
          <t>Molton Brown</t>
        </is>
      </c>
      <c r="E21753" t="n">
        <v>23.03</v>
      </c>
      <c r="F21753" t="n">
        <v>1</v>
      </c>
      <c r="G21753" t="n">
        <v>8</v>
      </c>
      <c r="H21753" s="5">
        <f>HYPERLINK("https://api.qogita.com/variants/link/5030805023060/", "View Product")</f>
        <v/>
      </c>
    </row>
    <row r="21754">
      <c r="A21754" t="inlineStr">
        <is>
          <t>5030805023107</t>
        </is>
      </c>
      <c r="B21754" t="inlineStr">
        <is>
          <t>Molton Brown Pink Pepper Gift Set</t>
        </is>
      </c>
      <c r="C21754" t="inlineStr">
        <is>
          <t>Fragrance</t>
        </is>
      </c>
      <c r="D21754" t="inlineStr">
        <is>
          <t>Molton Brown</t>
        </is>
      </c>
      <c r="E21754" t="n">
        <v>31.29</v>
      </c>
      <c r="F21754" t="n">
        <v>1</v>
      </c>
      <c r="G21754" t="n">
        <v>16</v>
      </c>
      <c r="H21754" s="5">
        <f>HYPERLINK("https://api.qogita.com/variants/link/5030805023107/", "View Product")</f>
        <v/>
      </c>
    </row>
    <row r="21755">
      <c r="A21755" t="inlineStr">
        <is>
          <t>5030805023527</t>
        </is>
      </c>
      <c r="B21755" t="inlineStr">
        <is>
          <t>Molton Brown Vintage Elderflower Bath And Shower Gel 300 Ml</t>
        </is>
      </c>
      <c r="C21755" t="inlineStr">
        <is>
          <t>Shower Gel</t>
        </is>
      </c>
      <c r="D21755" t="inlineStr">
        <is>
          <t>Molton Brown</t>
        </is>
      </c>
      <c r="E21755" t="n">
        <v>28.05</v>
      </c>
      <c r="F21755" t="n">
        <v>1</v>
      </c>
      <c r="G21755" t="n">
        <v>31</v>
      </c>
      <c r="H21755" s="5">
        <f>HYPERLINK("https://api.qogita.com/variants/link/5030805023527/", "View Product")</f>
        <v/>
      </c>
    </row>
    <row r="21756">
      <c r="A21756" t="inlineStr">
        <is>
          <t>5030805023725</t>
        </is>
      </c>
      <c r="B21756" t="inlineStr">
        <is>
          <t>Molton Brown Re-Charge Black Pepper Festive Bauble Bath And Shower Gel 75 Ml</t>
        </is>
      </c>
      <c r="C21756" t="inlineStr">
        <is>
          <t>Shower Gel</t>
        </is>
      </c>
      <c r="D21756" t="inlineStr">
        <is>
          <t>Molton Brown</t>
        </is>
      </c>
      <c r="E21756" t="n">
        <v>14.39</v>
      </c>
      <c r="F21756" t="n">
        <v>1</v>
      </c>
      <c r="G21756" t="n">
        <v>56</v>
      </c>
      <c r="H21756" s="5">
        <f>HYPERLINK("https://api.qogita.com/variants/link/5030805023725/", "View Product")</f>
        <v/>
      </c>
    </row>
    <row r="21757">
      <c r="A21757" t="inlineStr">
        <is>
          <t>5030805023817</t>
        </is>
      </c>
      <c r="B21757" t="inlineStr">
        <is>
          <t>Molton Brown Fiery Pink Pepper Fine Liquid Hand Wash Glass Bottle</t>
        </is>
      </c>
      <c r="C21757" t="inlineStr">
        <is>
          <t>Hand Soap</t>
        </is>
      </c>
      <c r="D21757" t="inlineStr">
        <is>
          <t>Molton Brown</t>
        </is>
      </c>
      <c r="E21757" t="n">
        <v>20.35</v>
      </c>
      <c r="F21757" t="n">
        <v>1</v>
      </c>
      <c r="G21757" t="n">
        <v>41</v>
      </c>
      <c r="H21757" s="5">
        <f>HYPERLINK("https://api.qogita.com/variants/link/5030805023817/", "View Product")</f>
        <v/>
      </c>
    </row>
    <row r="21758">
      <c r="A21758" t="inlineStr">
        <is>
          <t>5030805025019</t>
        </is>
      </c>
      <c r="B21758" t="inlineStr">
        <is>
          <t>Molton Brown Marvellous Mandarin and Spice Hand Lotion 300ml</t>
        </is>
      </c>
      <c r="C21758" t="inlineStr">
        <is>
          <t>Hand Cream</t>
        </is>
      </c>
      <c r="D21758" t="inlineStr">
        <is>
          <t>Molton Brown</t>
        </is>
      </c>
      <c r="E21758" t="n">
        <v>26.85</v>
      </c>
      <c r="F21758" t="n">
        <v>1</v>
      </c>
      <c r="G21758" t="n">
        <v>53</v>
      </c>
      <c r="H21758" s="5">
        <f>HYPERLINK("https://api.qogita.com/variants/link/5030805025019/", "View Product")</f>
        <v/>
      </c>
    </row>
    <row r="21759">
      <c r="A21759" t="inlineStr">
        <is>
          <t>5030805025712</t>
        </is>
      </c>
      <c r="B21759" t="inlineStr">
        <is>
          <t>Molton Brown Heavenly Gingerlily Bath and Shower Gel 400ml</t>
        </is>
      </c>
      <c r="C21759" t="inlineStr">
        <is>
          <t>Shower Gel</t>
        </is>
      </c>
      <c r="D21759" t="inlineStr">
        <is>
          <t>Molton Brown</t>
        </is>
      </c>
      <c r="E21759" t="n">
        <v>27.13</v>
      </c>
      <c r="F21759" t="n">
        <v>1</v>
      </c>
      <c r="G21759" t="n">
        <v>34</v>
      </c>
      <c r="H21759" s="5">
        <f>HYPERLINK("https://api.qogita.com/variants/link/5030805025712/", "View Product")</f>
        <v/>
      </c>
    </row>
    <row r="21760">
      <c r="A21760" t="inlineStr">
        <is>
          <t>5030805027075</t>
        </is>
      </c>
      <c r="B21760" t="inlineStr">
        <is>
          <t>Molton Brown Milk Musk Bath &amp; Shower Gel 290ml</t>
        </is>
      </c>
      <c r="C21760" t="inlineStr">
        <is>
          <t>Shower Gel</t>
        </is>
      </c>
      <c r="D21760" t="inlineStr">
        <is>
          <t>Molton Brown</t>
        </is>
      </c>
      <c r="E21760" t="n">
        <v>19.97</v>
      </c>
      <c r="F21760" t="n">
        <v>1</v>
      </c>
      <c r="G21760" t="n">
        <v>25</v>
      </c>
      <c r="H21760" s="5">
        <f>HYPERLINK("https://api.qogita.com/variants/link/5030805027075/", "View Product")</f>
        <v/>
      </c>
    </row>
    <row r="21761">
      <c r="A21761" t="inlineStr">
        <is>
          <t>5031550000290</t>
        </is>
      </c>
      <c r="B21761" t="inlineStr">
        <is>
          <t>Fudge Professional All Blonde Colour Lock Shampoo for Blonde Colour Protection</t>
        </is>
      </c>
      <c r="C21761" t="inlineStr">
        <is>
          <t>Shampoo</t>
        </is>
      </c>
      <c r="D21761" t="inlineStr">
        <is>
          <t>Fudge</t>
        </is>
      </c>
      <c r="E21761" t="n">
        <v>6.25</v>
      </c>
      <c r="F21761" t="n">
        <v>1</v>
      </c>
      <c r="G21761" t="n">
        <v>11</v>
      </c>
      <c r="H21761" s="5">
        <f>HYPERLINK("https://api.qogita.com/variants/link/5031550000290/", "View Product")</f>
        <v/>
      </c>
    </row>
    <row r="21762">
      <c r="A21762" t="inlineStr">
        <is>
          <t>5034843001271</t>
        </is>
      </c>
      <c r="B21762" t="inlineStr">
        <is>
          <t>La Riche Directions Semipermanent Conditioning Hair Color In Vermillion Red</t>
        </is>
      </c>
      <c r="C21762" t="inlineStr">
        <is>
          <t>Hair Dye</t>
        </is>
      </c>
      <c r="D21762" t="inlineStr">
        <is>
          <t>La Riche</t>
        </is>
      </c>
      <c r="E21762" t="n">
        <v>3.92</v>
      </c>
      <c r="F21762" t="n">
        <v>1</v>
      </c>
      <c r="G21762" t="n">
        <v>3</v>
      </c>
      <c r="H21762" s="5">
        <f>HYPERLINK("https://api.qogita.com/variants/link/5034843001271/", "View Product")</f>
        <v/>
      </c>
    </row>
    <row r="21763">
      <c r="A21763" t="inlineStr">
        <is>
          <t>5034843001288</t>
        </is>
      </c>
      <c r="B21763" t="inlineStr">
        <is>
          <t>La Riche Directions Semi-Permanent Hair Color 88ml Tubs Flame - Pack of 2</t>
        </is>
      </c>
      <c r="C21763" t="inlineStr">
        <is>
          <t>Hair Dye</t>
        </is>
      </c>
      <c r="D21763" t="inlineStr">
        <is>
          <t>La Riche</t>
        </is>
      </c>
      <c r="E21763" t="n">
        <v>4.46</v>
      </c>
      <c r="F21763" t="n">
        <v>1</v>
      </c>
      <c r="G21763" t="n">
        <v>6</v>
      </c>
      <c r="H21763" s="5">
        <f>HYPERLINK("https://api.qogita.com/variants/link/5034843001288/", "View Product")</f>
        <v/>
      </c>
    </row>
    <row r="21764">
      <c r="A21764" t="inlineStr">
        <is>
          <t>5034843001790</t>
        </is>
      </c>
      <c r="B21764" t="inlineStr">
        <is>
          <t>La Riche Directions Semi-Permanent Hair Color 100ml Deep Purple</t>
        </is>
      </c>
      <c r="C21764" t="inlineStr">
        <is>
          <t>Hair Dye</t>
        </is>
      </c>
      <c r="D21764" t="inlineStr">
        <is>
          <t>La Riche</t>
        </is>
      </c>
      <c r="E21764" t="n">
        <v>3.96</v>
      </c>
      <c r="F21764" t="n">
        <v>1</v>
      </c>
      <c r="G21764" t="n">
        <v>4</v>
      </c>
      <c r="H21764" s="5">
        <f>HYPERLINK("https://api.qogita.com/variants/link/5034843001790/", "View Product")</f>
        <v/>
      </c>
    </row>
    <row r="21765">
      <c r="A21765" t="inlineStr">
        <is>
          <t>5037028265505</t>
        </is>
      </c>
      <c r="B21765" t="inlineStr">
        <is>
          <t>Get Elfy Bad Blaster 160g</t>
        </is>
      </c>
      <c r="C21765" t="inlineStr">
        <is>
          <t>Body Care Sets</t>
        </is>
      </c>
      <c r="D21765" t="inlineStr">
        <is>
          <t>Bomb Cosmetics</t>
        </is>
      </c>
      <c r="E21765" t="n">
        <v>4.3</v>
      </c>
      <c r="F21765" t="n">
        <v>1</v>
      </c>
      <c r="G21765" t="n">
        <v>3</v>
      </c>
      <c r="H21765" s="5">
        <f>HYPERLINK("https://api.qogita.com/variants/link/5037028265505/", "View Product")</f>
        <v/>
      </c>
    </row>
    <row r="21766">
      <c r="A21766" t="inlineStr">
        <is>
          <t>5037028274248</t>
        </is>
      </c>
      <c r="B21766" t="inlineStr">
        <is>
          <t>Bomb Cosmetics Nutcracker Cracker Gift Set</t>
        </is>
      </c>
      <c r="C21766" t="inlineStr">
        <is>
          <t>Toiletries Bags</t>
        </is>
      </c>
      <c r="D21766" t="inlineStr">
        <is>
          <t>Bomb Cosmetics</t>
        </is>
      </c>
      <c r="E21766" t="n">
        <v>11.1</v>
      </c>
      <c r="F21766" t="n">
        <v>1</v>
      </c>
      <c r="G21766" t="n">
        <v>4</v>
      </c>
      <c r="H21766" s="5">
        <f>HYPERLINK("https://api.qogita.com/variants/link/5037028274248/", "View Product")</f>
        <v/>
      </c>
    </row>
    <row r="21767">
      <c r="A21767" t="inlineStr">
        <is>
          <t>5037028276556</t>
        </is>
      </c>
      <c r="B21767" t="inlineStr">
        <is>
          <t>Bomb Cosmetics Flower Power Giftpack Gift Set</t>
        </is>
      </c>
      <c r="C21767" t="inlineStr">
        <is>
          <t>Toiletries Bags</t>
        </is>
      </c>
      <c r="D21767" t="inlineStr">
        <is>
          <t>Bomb Cosmetics</t>
        </is>
      </c>
      <c r="E21767" t="n">
        <v>16.46</v>
      </c>
      <c r="F21767" t="n">
        <v>1</v>
      </c>
      <c r="G21767" t="n">
        <v>3</v>
      </c>
      <c r="H21767" s="5">
        <f>HYPERLINK("https://api.qogita.com/variants/link/5037028276556/", "View Product")</f>
        <v/>
      </c>
    </row>
    <row r="21768">
      <c r="A21768" t="inlineStr">
        <is>
          <t>5037028276570</t>
        </is>
      </c>
      <c r="B21768" t="inlineStr">
        <is>
          <t>Bomb Cosmetics Gift Baskets Multi-Colour</t>
        </is>
      </c>
      <c r="C21768" t="inlineStr">
        <is>
          <t>Toiletries Bags</t>
        </is>
      </c>
      <c r="D21768" t="inlineStr">
        <is>
          <t>Bomb Cosmetics</t>
        </is>
      </c>
      <c r="E21768" t="n">
        <v>16.46</v>
      </c>
      <c r="F21768" t="n">
        <v>1</v>
      </c>
      <c r="G21768" t="n">
        <v>9</v>
      </c>
      <c r="H21768" s="5">
        <f>HYPERLINK("https://api.qogita.com/variants/link/5037028276570/", "View Product")</f>
        <v/>
      </c>
    </row>
    <row r="21769">
      <c r="A21769" t="inlineStr">
        <is>
          <t>5037028278444</t>
        </is>
      </c>
      <c r="B21769" t="inlineStr">
        <is>
          <t>Bomb Cosmetics Merry Gonkmas Bath Bomb Set - 3 Pieces</t>
        </is>
      </c>
      <c r="C21769" t="inlineStr">
        <is>
          <t>Bath Salts &amp; Bath Bombs</t>
        </is>
      </c>
      <c r="D21769" t="inlineStr">
        <is>
          <t>Bomb Cosmetics</t>
        </is>
      </c>
      <c r="E21769" t="n">
        <v>15.81</v>
      </c>
      <c r="F21769" t="n">
        <v>1</v>
      </c>
      <c r="G21769" t="n">
        <v>52</v>
      </c>
      <c r="H21769" s="5">
        <f>HYPERLINK("https://api.qogita.com/variants/link/5037028278444/", "View Product")</f>
        <v/>
      </c>
    </row>
    <row r="21770">
      <c r="A21770" t="inlineStr">
        <is>
          <t>5037028278536</t>
        </is>
      </c>
      <c r="B21770" t="inlineStr">
        <is>
          <t>Bomb Cosmetics Whats Cracking Bath Bomb Set 4 Pieces + Soap 1 Piece</t>
        </is>
      </c>
      <c r="C21770" t="inlineStr">
        <is>
          <t>Bath Salts &amp; Bath Bombs</t>
        </is>
      </c>
      <c r="D21770" t="inlineStr">
        <is>
          <t>Bomb Cosmetics</t>
        </is>
      </c>
      <c r="E21770" t="n">
        <v>16.46</v>
      </c>
      <c r="F21770" t="n">
        <v>1</v>
      </c>
      <c r="G21770" t="n">
        <v>14</v>
      </c>
      <c r="H21770" s="5">
        <f>HYPERLINK("https://api.qogita.com/variants/link/5037028278536/", "View Product")</f>
        <v/>
      </c>
    </row>
    <row r="21771">
      <c r="A21771" t="inlineStr">
        <is>
          <t>5038483233399</t>
        </is>
      </c>
      <c r="B21771" t="inlineStr">
        <is>
          <t>Scholl Gel Activ Heel Cushions 2 Pieces</t>
        </is>
      </c>
      <c r="C21771" t="inlineStr">
        <is>
          <t>Foot Care Sets</t>
        </is>
      </c>
      <c r="D21771" t="inlineStr">
        <is>
          <t>Scholl</t>
        </is>
      </c>
      <c r="E21771" t="n">
        <v>7.55</v>
      </c>
      <c r="F21771" t="n">
        <v>1</v>
      </c>
      <c r="G21771" t="n">
        <v>11</v>
      </c>
      <c r="H21771" s="5">
        <f>HYPERLINK("https://api.qogita.com/variants/link/5038483233399/", "View Product")</f>
        <v/>
      </c>
    </row>
    <row r="21772">
      <c r="A21772" t="inlineStr">
        <is>
          <t>5038483501092</t>
        </is>
      </c>
      <c r="B21772" t="inlineStr">
        <is>
          <t>Scholl Softening Cream For Hard Skin On Feet 75 Ml</t>
        </is>
      </c>
      <c r="C21772" t="inlineStr">
        <is>
          <t>Foot Cream</t>
        </is>
      </c>
      <c r="D21772" t="inlineStr">
        <is>
          <t>Scholl</t>
        </is>
      </c>
      <c r="E21772" t="n">
        <v>6.26</v>
      </c>
      <c r="F21772" t="n">
        <v>1</v>
      </c>
      <c r="G21772" t="n">
        <v>23</v>
      </c>
      <c r="H21772" s="5">
        <f>HYPERLINK("https://api.qogita.com/variants/link/5038483501092/", "View Product")</f>
        <v/>
      </c>
    </row>
    <row r="21773">
      <c r="A21773" t="inlineStr">
        <is>
          <t>5038483512722</t>
        </is>
      </c>
      <c r="B21773" t="inlineStr">
        <is>
          <t>Scholl Foot File for Hard Skin</t>
        </is>
      </c>
      <c r="C21773" t="inlineStr">
        <is>
          <t>Callus Remover</t>
        </is>
      </c>
      <c r="D21773" t="inlineStr">
        <is>
          <t>Scholl</t>
        </is>
      </c>
      <c r="E21773" t="n">
        <v>4.47</v>
      </c>
      <c r="F21773" t="n">
        <v>1</v>
      </c>
      <c r="G21773" t="n">
        <v>41</v>
      </c>
      <c r="H21773" s="5">
        <f>HYPERLINK("https://api.qogita.com/variants/link/5038483512722/", "View Product")</f>
        <v/>
      </c>
    </row>
    <row r="21774">
      <c r="A21774" t="inlineStr">
        <is>
          <t>5038580000436</t>
        </is>
      </c>
      <c r="B21774" t="inlineStr">
        <is>
          <t>Yankee Candle Fragrant Votive Candle Mango Peach Salsa 49 G</t>
        </is>
      </c>
      <c r="C21774" t="inlineStr">
        <is>
          <t>Candles</t>
        </is>
      </c>
      <c r="D21774" t="inlineStr">
        <is>
          <t>Yankee Candle</t>
        </is>
      </c>
      <c r="E21774" t="n">
        <v>1.15</v>
      </c>
      <c r="F21774" t="n">
        <v>1</v>
      </c>
      <c r="G21774" t="n">
        <v>67</v>
      </c>
      <c r="H21774" s="5">
        <f>HYPERLINK("https://api.qogita.com/variants/link/5038580000436/", "View Product")</f>
        <v/>
      </c>
    </row>
    <row r="21775">
      <c r="A21775" t="inlineStr">
        <is>
          <t>5038580001228</t>
        </is>
      </c>
      <c r="B21775" t="inlineStr">
        <is>
          <t>Yankee Candle Baby Powder Candle Aromatic Candle Classic Medium 411 G</t>
        </is>
      </c>
      <c r="C21775" t="inlineStr">
        <is>
          <t>Candles</t>
        </is>
      </c>
      <c r="D21775" t="inlineStr">
        <is>
          <t>Yankee Candle</t>
        </is>
      </c>
      <c r="E21775" t="n">
        <v>13.85</v>
      </c>
      <c r="F21775" t="n">
        <v>1</v>
      </c>
      <c r="G21775" t="n">
        <v>206</v>
      </c>
      <c r="H21775" s="5">
        <f>HYPERLINK("https://api.qogita.com/variants/link/5038580001228/", "View Product")</f>
        <v/>
      </c>
    </row>
    <row r="21776">
      <c r="A21776" t="inlineStr">
        <is>
          <t>5038580004472</t>
        </is>
      </c>
      <c r="B21776" t="inlineStr">
        <is>
          <t>Yankee Candle Classic Small Candle Midnight Jasmine 104 G</t>
        </is>
      </c>
      <c r="C21776" t="inlineStr">
        <is>
          <t>Candles</t>
        </is>
      </c>
      <c r="D21776" t="inlineStr">
        <is>
          <t>Yankee Candle</t>
        </is>
      </c>
      <c r="E21776" t="n">
        <v>7.32</v>
      </c>
      <c r="F21776" t="n">
        <v>1</v>
      </c>
      <c r="G21776" t="n">
        <v>79</v>
      </c>
      <c r="H21776" s="5">
        <f>HYPERLINK("https://api.qogita.com/variants/link/5038580004472/", "View Product")</f>
        <v/>
      </c>
    </row>
    <row r="21777">
      <c r="A21777" t="inlineStr">
        <is>
          <t>5038580005684</t>
        </is>
      </c>
      <c r="B21777" t="inlineStr">
        <is>
          <t>Yankee Candle Black Cherry Ultimate Car Jar Luxury Car Tag 1 Piece</t>
        </is>
      </c>
      <c r="C21777" t="inlineStr">
        <is>
          <t>Candles</t>
        </is>
      </c>
      <c r="D21777" t="inlineStr">
        <is>
          <t>Yankee Candle</t>
        </is>
      </c>
      <c r="E21777" t="n">
        <v>4.56</v>
      </c>
      <c r="F21777" t="n">
        <v>1</v>
      </c>
      <c r="G21777" t="n">
        <v>26</v>
      </c>
      <c r="H21777" s="5">
        <f>HYPERLINK("https://api.qogita.com/variants/link/5038580005684/", "View Product")</f>
        <v/>
      </c>
    </row>
    <row r="21778">
      <c r="A21778" t="inlineStr">
        <is>
          <t>5038580061512</t>
        </is>
      </c>
      <c r="B21778" t="inlineStr">
        <is>
          <t>Yankee Candle Red Raspberry Candle Aromatic Votive Candle</t>
        </is>
      </c>
      <c r="C21778" t="inlineStr">
        <is>
          <t>Candles</t>
        </is>
      </c>
      <c r="D21778" t="inlineStr">
        <is>
          <t>Yankee Candle</t>
        </is>
      </c>
      <c r="E21778" t="n">
        <v>1.91</v>
      </c>
      <c r="F21778" t="n">
        <v>1</v>
      </c>
      <c r="G21778" t="n">
        <v>8</v>
      </c>
      <c r="H21778" s="5">
        <f>HYPERLINK("https://api.qogita.com/variants/link/5038580061512/", "View Product")</f>
        <v/>
      </c>
    </row>
    <row r="21779">
      <c r="A21779" t="inlineStr">
        <is>
          <t>5038580083118</t>
        </is>
      </c>
      <c r="B21779" t="inlineStr">
        <is>
          <t>Yankee Candle Snow In Love Scenterpiece Easy Meltcup 61 G</t>
        </is>
      </c>
      <c r="C21779" t="inlineStr">
        <is>
          <t>Candles</t>
        </is>
      </c>
      <c r="D21779" t="inlineStr">
        <is>
          <t>Yankee Candle</t>
        </is>
      </c>
      <c r="E21779" t="n">
        <v>7.6</v>
      </c>
      <c r="F21779" t="n">
        <v>1</v>
      </c>
      <c r="G21779" t="n">
        <v>7</v>
      </c>
      <c r="H21779" s="5">
        <f>HYPERLINK("https://api.qogita.com/variants/link/5038580083118/", "View Product")</f>
        <v/>
      </c>
    </row>
    <row r="21780">
      <c r="A21780" t="inlineStr">
        <is>
          <t>5038580088038</t>
        </is>
      </c>
      <c r="B21780" t="inlineStr">
        <is>
          <t>Yankee Candle Car Jar Ultimate Air Freshener Red Raspberry</t>
        </is>
      </c>
      <c r="C21780" t="inlineStr">
        <is>
          <t>Incense</t>
        </is>
      </c>
      <c r="D21780" t="inlineStr">
        <is>
          <t>Yankee Candle</t>
        </is>
      </c>
      <c r="E21780" t="n">
        <v>4.56</v>
      </c>
      <c r="F21780" t="n">
        <v>1</v>
      </c>
      <c r="G21780" t="n">
        <v>13</v>
      </c>
      <c r="H21780" s="5">
        <f>HYPERLINK("https://api.qogita.com/variants/link/5038580088038/", "View Product")</f>
        <v/>
      </c>
    </row>
    <row r="21781">
      <c r="A21781" t="inlineStr">
        <is>
          <t>5038580088045</t>
        </is>
      </c>
      <c r="B21781" t="inlineStr">
        <is>
          <t>Yankee Candle Car Jar Ultimate Air Freshener Soft Blanket</t>
        </is>
      </c>
      <c r="C21781" t="inlineStr">
        <is>
          <t>Incense</t>
        </is>
      </c>
      <c r="D21781" t="inlineStr">
        <is>
          <t>Yankee Candle</t>
        </is>
      </c>
      <c r="E21781" t="n">
        <v>4.56</v>
      </c>
      <c r="F21781" t="n">
        <v>1</v>
      </c>
      <c r="G21781" t="n">
        <v>48</v>
      </c>
      <c r="H21781" s="5">
        <f>HYPERLINK("https://api.qogita.com/variants/link/5038580088045/", "View Product")</f>
        <v/>
      </c>
    </row>
    <row r="21782">
      <c r="A21782" t="inlineStr">
        <is>
          <t>5038581019963</t>
        </is>
      </c>
      <c r="B21782" t="inlineStr">
        <is>
          <t>Yankee Candle Home Inspiration Cosy Up Scented Candle Large 538 G</t>
        </is>
      </c>
      <c r="C21782" t="inlineStr">
        <is>
          <t>Candles</t>
        </is>
      </c>
      <c r="D21782" t="inlineStr">
        <is>
          <t>Yankee Candle</t>
        </is>
      </c>
      <c r="E21782" t="n">
        <v>13.44</v>
      </c>
      <c r="F21782" t="n">
        <v>1</v>
      </c>
      <c r="G21782" t="n">
        <v>77</v>
      </c>
      <c r="H21782" s="5">
        <f>HYPERLINK("https://api.qogita.com/variants/link/5038581019963/", "View Product")</f>
        <v/>
      </c>
    </row>
    <row r="21783">
      <c r="A21783" t="inlineStr">
        <is>
          <t>5038581033723</t>
        </is>
      </c>
      <c r="B21783" t="inlineStr">
        <is>
          <t>Yankee Candle Coconut Splash Candle Scented Candle</t>
        </is>
      </c>
      <c r="C21783" t="inlineStr">
        <is>
          <t>Candles</t>
        </is>
      </c>
      <c r="D21783" t="inlineStr">
        <is>
          <t>Yankee Candle</t>
        </is>
      </c>
      <c r="E21783" t="n">
        <v>16.05</v>
      </c>
      <c r="F21783" t="n">
        <v>1</v>
      </c>
      <c r="G21783" t="n">
        <v>7</v>
      </c>
      <c r="H21783" s="5">
        <f>HYPERLINK("https://api.qogita.com/variants/link/5038581033723/", "View Product")</f>
        <v/>
      </c>
    </row>
    <row r="21784">
      <c r="A21784" t="inlineStr">
        <is>
          <t>5038581054247</t>
        </is>
      </c>
      <c r="B21784" t="inlineStr">
        <is>
          <t>Woodwick Caf Sweets Trilogy Vase Coffee Sweets Scented Candle</t>
        </is>
      </c>
      <c r="C21784" t="inlineStr">
        <is>
          <t>Candles</t>
        </is>
      </c>
      <c r="D21784" t="inlineStr">
        <is>
          <t>Woodwick</t>
        </is>
      </c>
      <c r="E21784" t="n">
        <v>15.51</v>
      </c>
      <c r="F21784" t="n">
        <v>1</v>
      </c>
      <c r="G21784" t="n">
        <v>64</v>
      </c>
      <c r="H21784" s="5">
        <f>HYPERLINK("https://api.qogita.com/variants/link/5038581054247/", "View Product")</f>
        <v/>
      </c>
    </row>
    <row r="21785">
      <c r="A21785" t="inlineStr">
        <is>
          <t>5038581054261</t>
        </is>
      </c>
      <c r="B21785" t="inlineStr">
        <is>
          <t>Woodwick Calming Retreat Trilogy Vase Peaceful Refuge Scented Candle 6095 G</t>
        </is>
      </c>
      <c r="C21785" t="inlineStr">
        <is>
          <t>Candles</t>
        </is>
      </c>
      <c r="D21785" t="inlineStr">
        <is>
          <t>Woodwick</t>
        </is>
      </c>
      <c r="E21785" t="n">
        <v>20.26</v>
      </c>
      <c r="F21785" t="n">
        <v>1</v>
      </c>
      <c r="G21785" t="n">
        <v>139</v>
      </c>
      <c r="H21785" s="5">
        <f>HYPERLINK("https://api.qogita.com/variants/link/5038581054261/", "View Product")</f>
        <v/>
      </c>
    </row>
    <row r="21786">
      <c r="A21786" t="inlineStr">
        <is>
          <t>5038581054278</t>
        </is>
      </c>
      <c r="B21786" t="inlineStr">
        <is>
          <t>Woodwick Medium Hourglass Trilogy Scented Candle Calming Retreat with Crackling Wick Burn Time Up to 60 Hours</t>
        </is>
      </c>
      <c r="C21786" t="inlineStr">
        <is>
          <t>Candles</t>
        </is>
      </c>
      <c r="D21786" t="inlineStr">
        <is>
          <t>Woodwick</t>
        </is>
      </c>
      <c r="E21786" t="n">
        <v>14.73</v>
      </c>
      <c r="F21786" t="n">
        <v>1</v>
      </c>
      <c r="G21786" t="n">
        <v>19</v>
      </c>
      <c r="H21786" s="5">
        <f>HYPERLINK("https://api.qogita.com/variants/link/5038581054278/", "View Product")</f>
        <v/>
      </c>
    </row>
    <row r="21787">
      <c r="A21787" t="inlineStr">
        <is>
          <t>5038581054650</t>
        </is>
      </c>
      <c r="B21787" t="inlineStr">
        <is>
          <t>Woodwick Fireside Scented Candle Vase 6095 Grams</t>
        </is>
      </c>
      <c r="C21787" t="inlineStr">
        <is>
          <t>Candles</t>
        </is>
      </c>
      <c r="D21787" t="inlineStr">
        <is>
          <t>Woodwick</t>
        </is>
      </c>
      <c r="E21787" t="n">
        <v>22.7</v>
      </c>
      <c r="F21787" t="n">
        <v>1</v>
      </c>
      <c r="G21787" t="n">
        <v>2</v>
      </c>
      <c r="H21787" s="5">
        <f>HYPERLINK("https://api.qogita.com/variants/link/5038581054650/", "View Product")</f>
        <v/>
      </c>
    </row>
    <row r="21788">
      <c r="A21788" t="inlineStr">
        <is>
          <t>5038581054759</t>
        </is>
      </c>
      <c r="B21788" t="inlineStr">
        <is>
          <t>Woodwick Sand &amp; Driftwood Scented Candle Vase Large 6095 G</t>
        </is>
      </c>
      <c r="C21788" t="inlineStr">
        <is>
          <t>Candles</t>
        </is>
      </c>
      <c r="D21788" t="inlineStr">
        <is>
          <t>Woodwick</t>
        </is>
      </c>
      <c r="E21788" t="n">
        <v>19.76</v>
      </c>
      <c r="F21788" t="n">
        <v>1</v>
      </c>
      <c r="G21788" t="n">
        <v>67</v>
      </c>
      <c r="H21788" s="5">
        <f>HYPERLINK("https://api.qogita.com/variants/link/5038581054759/", "View Product")</f>
        <v/>
      </c>
    </row>
    <row r="21789">
      <c r="A21789" t="inlineStr">
        <is>
          <t>5038581054834</t>
        </is>
      </c>
      <c r="B21789" t="inlineStr">
        <is>
          <t>Woodwick Seaside Mimosa Scented Candle Vase 6095 G</t>
        </is>
      </c>
      <c r="C21789" t="inlineStr">
        <is>
          <t>Candles</t>
        </is>
      </c>
      <c r="D21789" t="inlineStr">
        <is>
          <t>Woodwick</t>
        </is>
      </c>
      <c r="E21789" t="n">
        <v>20.45</v>
      </c>
      <c r="F21789" t="n">
        <v>1</v>
      </c>
      <c r="G21789" t="n">
        <v>307</v>
      </c>
      <c r="H21789" s="5">
        <f>HYPERLINK("https://api.qogita.com/variants/link/5038581054834/", "View Product")</f>
        <v/>
      </c>
    </row>
    <row r="21790">
      <c r="A21790" t="inlineStr">
        <is>
          <t>5038581054889</t>
        </is>
      </c>
      <c r="B21790" t="inlineStr">
        <is>
          <t>Woodwick Crimson Berries Scented Candle Vase Available In 275 G And 609 G</t>
        </is>
      </c>
      <c r="C21790" t="inlineStr">
        <is>
          <t>Candles</t>
        </is>
      </c>
      <c r="D21790" t="inlineStr">
        <is>
          <t>Woodwick</t>
        </is>
      </c>
      <c r="E21790" t="n">
        <v>20.39</v>
      </c>
      <c r="F21790" t="n">
        <v>1</v>
      </c>
      <c r="G21790" t="n">
        <v>136</v>
      </c>
      <c r="H21790" s="5">
        <f>HYPERLINK("https://api.qogita.com/variants/link/5038581054889/", "View Product")</f>
        <v/>
      </c>
    </row>
    <row r="21791">
      <c r="A21791" t="inlineStr">
        <is>
          <t>5038581055299</t>
        </is>
      </c>
      <c r="B21791" t="inlineStr">
        <is>
          <t>Woodwick Vanilla Sea Salt Vase Scented Candle 275 G</t>
        </is>
      </c>
      <c r="C21791" t="inlineStr">
        <is>
          <t>Candles</t>
        </is>
      </c>
      <c r="D21791" t="inlineStr">
        <is>
          <t>Woodwick</t>
        </is>
      </c>
      <c r="E21791" t="n">
        <v>14.5</v>
      </c>
      <c r="F21791" t="n">
        <v>1</v>
      </c>
      <c r="G21791" t="n">
        <v>2</v>
      </c>
      <c r="H21791" s="5">
        <f>HYPERLINK("https://api.qogita.com/variants/link/5038581055299/", "View Product")</f>
        <v/>
      </c>
    </row>
    <row r="21792">
      <c r="A21792" t="inlineStr">
        <is>
          <t>5038581056500</t>
        </is>
      </c>
      <c r="B21792" t="inlineStr">
        <is>
          <t>Woodwick Island Coconut Vase Juicy Coconut Scented Candle 85 Grams</t>
        </is>
      </c>
      <c r="C21792" t="inlineStr">
        <is>
          <t>Candles</t>
        </is>
      </c>
      <c r="D21792" t="inlineStr">
        <is>
          <t>Woodwick</t>
        </is>
      </c>
      <c r="E21792" t="n">
        <v>7.69</v>
      </c>
      <c r="F21792" t="n">
        <v>1</v>
      </c>
      <c r="G21792" t="n">
        <v>114</v>
      </c>
      <c r="H21792" s="5">
        <f>HYPERLINK("https://api.qogita.com/variants/link/5038581056500/", "View Product")</f>
        <v/>
      </c>
    </row>
    <row r="21793">
      <c r="A21793" t="inlineStr">
        <is>
          <t>5038581056838</t>
        </is>
      </c>
      <c r="B21793" t="inlineStr">
        <is>
          <t>Woodwick Cinnamon Chai Ellipse Candle Scented Candle 453 Grams</t>
        </is>
      </c>
      <c r="C21793" t="inlineStr">
        <is>
          <t>Candles</t>
        </is>
      </c>
      <c r="D21793" t="inlineStr">
        <is>
          <t>Woodwick</t>
        </is>
      </c>
      <c r="E21793" t="n">
        <v>20.59</v>
      </c>
      <c r="F21793" t="n">
        <v>1</v>
      </c>
      <c r="G21793" t="n">
        <v>973</v>
      </c>
      <c r="H21793" s="5">
        <f>HYPERLINK("https://api.qogita.com/variants/link/5038581056838/", "View Product")</f>
        <v/>
      </c>
    </row>
    <row r="21794">
      <c r="A21794" t="inlineStr">
        <is>
          <t>5038581056951</t>
        </is>
      </c>
      <c r="B21794" t="inlineStr">
        <is>
          <t>Woodwick Ellipse Scented Candle with Crackling Wick Vanilla Bean Up to 50 Hours Burn Time</t>
        </is>
      </c>
      <c r="C21794" t="inlineStr">
        <is>
          <t>Candles</t>
        </is>
      </c>
      <c r="D21794" t="inlineStr">
        <is>
          <t>Woodwick</t>
        </is>
      </c>
      <c r="E21794" t="n">
        <v>22.02</v>
      </c>
      <c r="F21794" t="n">
        <v>1</v>
      </c>
      <c r="G21794" t="n">
        <v>83</v>
      </c>
      <c r="H21794" s="5">
        <f>HYPERLINK("https://api.qogita.com/variants/link/5038581056951/", "View Product")</f>
        <v/>
      </c>
    </row>
    <row r="21795">
      <c r="A21795" t="inlineStr">
        <is>
          <t>5038581056999</t>
        </is>
      </c>
      <c r="B21795" t="inlineStr">
        <is>
          <t>Woodwick Coastal Sunset Scented Candle 4536 G</t>
        </is>
      </c>
      <c r="C21795" t="inlineStr">
        <is>
          <t>Candles</t>
        </is>
      </c>
      <c r="D21795" t="inlineStr">
        <is>
          <t>Woodwick</t>
        </is>
      </c>
      <c r="E21795" t="n">
        <v>20.34</v>
      </c>
      <c r="F21795" t="n">
        <v>1</v>
      </c>
      <c r="G21795" t="n">
        <v>654</v>
      </c>
      <c r="H21795" s="5">
        <f>HYPERLINK("https://api.qogita.com/variants/link/5038581056999/", "View Product")</f>
        <v/>
      </c>
    </row>
    <row r="21796">
      <c r="A21796" t="inlineStr">
        <is>
          <t>5038581057064</t>
        </is>
      </c>
      <c r="B21796" t="inlineStr">
        <is>
          <t>Woodwick Scented Candle Boat Crimson Berries 453 G</t>
        </is>
      </c>
      <c r="C21796" t="inlineStr">
        <is>
          <t>Candles</t>
        </is>
      </c>
      <c r="D21796" t="inlineStr">
        <is>
          <t>Woodwick</t>
        </is>
      </c>
      <c r="E21796" t="n">
        <v>20.55</v>
      </c>
      <c r="F21796" t="n">
        <v>1</v>
      </c>
      <c r="G21796" t="n">
        <v>778</v>
      </c>
      <c r="H21796" s="5">
        <f>HYPERLINK("https://api.qogita.com/variants/link/5038581057064/", "View Product")</f>
        <v/>
      </c>
    </row>
    <row r="21797">
      <c r="A21797" t="inlineStr">
        <is>
          <t>5038581057873</t>
        </is>
      </c>
      <c r="B21797" t="inlineStr">
        <is>
          <t>Woodwick Linen Vase Scented Candle 275 G</t>
        </is>
      </c>
      <c r="C21797" t="inlineStr">
        <is>
          <t>Candles</t>
        </is>
      </c>
      <c r="D21797" t="inlineStr">
        <is>
          <t>Woodwick</t>
        </is>
      </c>
      <c r="E21797" t="n">
        <v>14.73</v>
      </c>
      <c r="F21797" t="n">
        <v>1</v>
      </c>
      <c r="G21797" t="n">
        <v>113</v>
      </c>
      <c r="H21797" s="5">
        <f>HYPERLINK("https://api.qogita.com/variants/link/5038581057873/", "View Product")</f>
        <v/>
      </c>
    </row>
    <row r="21798">
      <c r="A21798" t="inlineStr">
        <is>
          <t>5038581058078</t>
        </is>
      </c>
      <c r="B21798" t="inlineStr">
        <is>
          <t>Woodwick Scented Candle Vase Crimson Berries 275 G</t>
        </is>
      </c>
      <c r="C21798" t="inlineStr">
        <is>
          <t>Candles</t>
        </is>
      </c>
      <c r="D21798" t="inlineStr">
        <is>
          <t>Woodwick</t>
        </is>
      </c>
      <c r="E21798" t="n">
        <v>14.73</v>
      </c>
      <c r="F21798" t="n">
        <v>1</v>
      </c>
      <c r="G21798" t="n">
        <v>72</v>
      </c>
      <c r="H21798" s="5">
        <f>HYPERLINK("https://api.qogita.com/variants/link/5038581058078/", "View Product")</f>
        <v/>
      </c>
    </row>
    <row r="21799">
      <c r="A21799" t="inlineStr">
        <is>
          <t>5038581062129</t>
        </is>
      </c>
      <c r="B21799" t="inlineStr">
        <is>
          <t>Woodwick Scented Candle Boat White Teak 4536 G</t>
        </is>
      </c>
      <c r="C21799" t="inlineStr">
        <is>
          <t>Candles</t>
        </is>
      </c>
      <c r="D21799" t="inlineStr">
        <is>
          <t>Woodwick</t>
        </is>
      </c>
      <c r="E21799" t="n">
        <v>19.68</v>
      </c>
      <c r="F21799" t="n">
        <v>1</v>
      </c>
      <c r="G21799" t="n">
        <v>74</v>
      </c>
      <c r="H21799" s="5">
        <f>HYPERLINK("https://api.qogita.com/variants/link/5038581062129/", "View Product")</f>
        <v/>
      </c>
    </row>
    <row r="21800">
      <c r="A21800" t="inlineStr">
        <is>
          <t>5038581062143</t>
        </is>
      </c>
      <c r="B21800" t="inlineStr">
        <is>
          <t>Woodwick White Teak Scented Candle</t>
        </is>
      </c>
      <c r="C21800" t="inlineStr">
        <is>
          <t>Candles</t>
        </is>
      </c>
      <c r="D21800" t="inlineStr">
        <is>
          <t>Woodwick</t>
        </is>
      </c>
      <c r="E21800" t="n">
        <v>14.73</v>
      </c>
      <c r="F21800" t="n">
        <v>1</v>
      </c>
      <c r="G21800" t="n">
        <v>34</v>
      </c>
      <c r="H21800" s="5">
        <f>HYPERLINK("https://api.qogita.com/variants/link/5038581062143/", "View Product")</f>
        <v/>
      </c>
    </row>
    <row r="21801">
      <c r="A21801" t="inlineStr">
        <is>
          <t>5038581063645</t>
        </is>
      </c>
      <c r="B21801" t="inlineStr">
        <is>
          <t>Yankee Candle Seaside Woods Small Jar Candle</t>
        </is>
      </c>
      <c r="C21801" t="inlineStr">
        <is>
          <t>Candles</t>
        </is>
      </c>
      <c r="D21801" t="inlineStr">
        <is>
          <t>Yankee Candle</t>
        </is>
      </c>
      <c r="E21801" t="n">
        <v>6.07</v>
      </c>
      <c r="F21801" t="n">
        <v>1</v>
      </c>
      <c r="G21801" t="n">
        <v>11</v>
      </c>
      <c r="H21801" s="5">
        <f>HYPERLINK("https://api.qogita.com/variants/link/5038581063645/", "View Product")</f>
        <v/>
      </c>
    </row>
    <row r="21802">
      <c r="A21802" t="inlineStr">
        <is>
          <t>5038581065878</t>
        </is>
      </c>
      <c r="B21802" t="inlineStr">
        <is>
          <t>Yankee Candle Home Inspiration Scented Candle Cherry Vanilla 104 G</t>
        </is>
      </c>
      <c r="C21802" t="inlineStr">
        <is>
          <t>Candles</t>
        </is>
      </c>
      <c r="D21802" t="inlineStr">
        <is>
          <t>Yankee Candle</t>
        </is>
      </c>
      <c r="E21802" t="n">
        <v>7.13</v>
      </c>
      <c r="F21802" t="n">
        <v>1</v>
      </c>
      <c r="G21802" t="n">
        <v>58</v>
      </c>
      <c r="H21802" s="5">
        <f>HYPERLINK("https://api.qogita.com/variants/link/5038581065878/", "View Product")</f>
        <v/>
      </c>
    </row>
    <row r="21803">
      <c r="A21803" t="inlineStr">
        <is>
          <t>5038581065885</t>
        </is>
      </c>
      <c r="B21803" t="inlineStr">
        <is>
          <t>Yankee Candle Home Inspiration Cozy Up Scented Candle 104 Grams</t>
        </is>
      </c>
      <c r="C21803" t="inlineStr">
        <is>
          <t>Candles</t>
        </is>
      </c>
      <c r="D21803" t="inlineStr">
        <is>
          <t>Yankee Candle</t>
        </is>
      </c>
      <c r="E21803" t="n">
        <v>7.13</v>
      </c>
      <c r="F21803" t="n">
        <v>1</v>
      </c>
      <c r="G21803" t="n">
        <v>84</v>
      </c>
      <c r="H21803" s="5">
        <f>HYPERLINK("https://api.qogita.com/variants/link/5038581065885/", "View Product")</f>
        <v/>
      </c>
    </row>
    <row r="21804">
      <c r="A21804" t="inlineStr">
        <is>
          <t>5038581065946</t>
        </is>
      </c>
      <c r="B21804" t="inlineStr">
        <is>
          <t>Yankee Candle Scented Candle Home Inspiration Small Soft Cotton 104 G</t>
        </is>
      </c>
      <c r="C21804" t="inlineStr">
        <is>
          <t>Candles</t>
        </is>
      </c>
      <c r="D21804" t="inlineStr">
        <is>
          <t>Yankee Candle</t>
        </is>
      </c>
      <c r="E21804" t="n">
        <v>7.13</v>
      </c>
      <c r="F21804" t="n">
        <v>1</v>
      </c>
      <c r="G21804" t="n">
        <v>102</v>
      </c>
      <c r="H21804" s="5">
        <f>HYPERLINK("https://api.qogita.com/variants/link/5038581065946/", "View Product")</f>
        <v/>
      </c>
    </row>
    <row r="21805">
      <c r="A21805" t="inlineStr">
        <is>
          <t>5038581077826</t>
        </is>
      </c>
      <c r="B21805" t="inlineStr">
        <is>
          <t>Woodwick White Honey Scented Candle Vase 6095 G</t>
        </is>
      </c>
      <c r="C21805" t="inlineStr">
        <is>
          <t>Candles</t>
        </is>
      </c>
      <c r="D21805" t="inlineStr">
        <is>
          <t>Woodwick</t>
        </is>
      </c>
      <c r="E21805" t="n">
        <v>20.55</v>
      </c>
      <c r="F21805" t="n">
        <v>1</v>
      </c>
      <c r="G21805" t="n">
        <v>409</v>
      </c>
      <c r="H21805" s="5">
        <f>HYPERLINK("https://api.qogita.com/variants/link/5038581077826/", "View Product")</f>
        <v/>
      </c>
    </row>
    <row r="21806">
      <c r="A21806" t="inlineStr">
        <is>
          <t>5038581077963</t>
        </is>
      </c>
      <c r="B21806" t="inlineStr">
        <is>
          <t>Woodwick Rosewood Scented Candle 275 G</t>
        </is>
      </c>
      <c r="C21806" t="inlineStr">
        <is>
          <t>Candles</t>
        </is>
      </c>
      <c r="D21806" t="inlineStr">
        <is>
          <t>Woodwick</t>
        </is>
      </c>
      <c r="E21806" t="n">
        <v>14.5</v>
      </c>
      <c r="F21806" t="n">
        <v>1</v>
      </c>
      <c r="G21806" t="n">
        <v>3</v>
      </c>
      <c r="H21806" s="5">
        <f>HYPERLINK("https://api.qogita.com/variants/link/5038581077963/", "View Product")</f>
        <v/>
      </c>
    </row>
    <row r="21807">
      <c r="A21807" t="inlineStr">
        <is>
          <t>5038581077987</t>
        </is>
      </c>
      <c r="B21807" t="inlineStr">
        <is>
          <t>Woodwick Elipse Rosewood Scented Candle 4536 G</t>
        </is>
      </c>
      <c r="C21807" t="inlineStr">
        <is>
          <t>Candles</t>
        </is>
      </c>
      <c r="D21807" t="inlineStr">
        <is>
          <t>Woodwick</t>
        </is>
      </c>
      <c r="E21807" t="n">
        <v>20.45</v>
      </c>
      <c r="F21807" t="n">
        <v>1</v>
      </c>
      <c r="G21807" t="n">
        <v>746</v>
      </c>
      <c r="H21807" s="5">
        <f>HYPERLINK("https://api.qogita.com/variants/link/5038581077987/", "View Product")</f>
        <v/>
      </c>
    </row>
    <row r="21808">
      <c r="A21808" t="inlineStr">
        <is>
          <t>5038581087153</t>
        </is>
      </c>
      <c r="B21808" t="inlineStr">
        <is>
          <t>Woodwick Solar Ylang Scented Candle 453 Grams</t>
        </is>
      </c>
      <c r="C21808" t="inlineStr">
        <is>
          <t>Candles</t>
        </is>
      </c>
      <c r="D21808" t="inlineStr">
        <is>
          <t>Woodwick</t>
        </is>
      </c>
      <c r="E21808" t="n">
        <v>20.34</v>
      </c>
      <c r="F21808" t="n">
        <v>1</v>
      </c>
      <c r="G21808" t="n">
        <v>773</v>
      </c>
      <c r="H21808" s="5">
        <f>HYPERLINK("https://api.qogita.com/variants/link/5038581087153/", "View Product")</f>
        <v/>
      </c>
    </row>
    <row r="21809">
      <c r="A21809" t="inlineStr">
        <is>
          <t>5038581091419</t>
        </is>
      </c>
      <c r="B21809" t="inlineStr">
        <is>
          <t>Yankee Candle Aromatic Candle Classic Small Camellia Blossom 104 G</t>
        </is>
      </c>
      <c r="C21809" t="inlineStr">
        <is>
          <t>Candles</t>
        </is>
      </c>
      <c r="D21809" t="inlineStr">
        <is>
          <t>Yankee Candle</t>
        </is>
      </c>
      <c r="E21809" t="n">
        <v>8.710000000000001</v>
      </c>
      <c r="F21809" t="n">
        <v>1</v>
      </c>
      <c r="G21809" t="n">
        <v>5</v>
      </c>
      <c r="H21809" s="5">
        <f>HYPERLINK("https://api.qogita.com/variants/link/5038581091419/", "View Product")</f>
        <v/>
      </c>
    </row>
    <row r="21810">
      <c r="A21810" t="inlineStr">
        <is>
          <t>5038581096896</t>
        </is>
      </c>
      <c r="B21810" t="inlineStr">
        <is>
          <t>Yankee Candle Scented Candle Home Inspiration Small Sugared Blossom 104 G</t>
        </is>
      </c>
      <c r="C21810" t="inlineStr">
        <is>
          <t>Candles</t>
        </is>
      </c>
      <c r="D21810" t="inlineStr">
        <is>
          <t>Yankee Candle</t>
        </is>
      </c>
      <c r="E21810" t="n">
        <v>7.13</v>
      </c>
      <c r="F21810" t="n">
        <v>1</v>
      </c>
      <c r="G21810" t="n">
        <v>53</v>
      </c>
      <c r="H21810" s="5">
        <f>HYPERLINK("https://api.qogita.com/variants/link/5038581096896/", "View Product")</f>
        <v/>
      </c>
    </row>
    <row r="21811">
      <c r="A21811" t="inlineStr">
        <is>
          <t>5038581098920</t>
        </is>
      </c>
      <c r="B21811" t="inlineStr">
        <is>
          <t>Yankee Candle Elevation Vetiver &amp; Black Cypress Candle 96 G</t>
        </is>
      </c>
      <c r="C21811" t="inlineStr">
        <is>
          <t>Candles</t>
        </is>
      </c>
      <c r="D21811" t="inlineStr">
        <is>
          <t>Yankee Candle</t>
        </is>
      </c>
      <c r="E21811" t="n">
        <v>7.27</v>
      </c>
      <c r="F21811" t="n">
        <v>1</v>
      </c>
      <c r="G21811" t="n">
        <v>7</v>
      </c>
      <c r="H21811" s="5">
        <f>HYPERLINK("https://api.qogita.com/variants/link/5038581098920/", "View Product")</f>
        <v/>
      </c>
    </row>
    <row r="21812">
      <c r="A21812" t="inlineStr">
        <is>
          <t>5038581101897</t>
        </is>
      </c>
      <c r="B21812" t="inlineStr">
        <is>
          <t>Yankee Candle Replacement Filling For The Electric Diffuser Organic Kit Midsummers Night 2 X 185 Ml</t>
        </is>
      </c>
      <c r="C21812" t="inlineStr">
        <is>
          <t>Diffusers</t>
        </is>
      </c>
      <c r="D21812" t="inlineStr">
        <is>
          <t>Yankee Candle</t>
        </is>
      </c>
      <c r="E21812" t="n">
        <v>8.18</v>
      </c>
      <c r="F21812" t="n">
        <v>1</v>
      </c>
      <c r="G21812" t="n">
        <v>11</v>
      </c>
      <c r="H21812" s="5">
        <f>HYPERLINK("https://api.qogita.com/variants/link/5038581101897/", "View Product")</f>
        <v/>
      </c>
    </row>
    <row r="21813">
      <c r="A21813" t="inlineStr">
        <is>
          <t>5038581102139</t>
        </is>
      </c>
      <c r="B21813" t="inlineStr">
        <is>
          <t>Yankee Candle Scentplug Starter Kit Black Cherry 185 Ml Electric Diffuser For Fragrant Electrical Outlet</t>
        </is>
      </c>
      <c r="C21813" t="inlineStr">
        <is>
          <t>Diffusers</t>
        </is>
      </c>
      <c r="D21813" t="inlineStr">
        <is>
          <t>Yankee Candle</t>
        </is>
      </c>
      <c r="E21813" t="n">
        <v>9.16</v>
      </c>
      <c r="F21813" t="n">
        <v>1</v>
      </c>
      <c r="G21813" t="n">
        <v>25</v>
      </c>
      <c r="H21813" s="5">
        <f>HYPERLINK("https://api.qogita.com/variants/link/5038581102139/", "View Product")</f>
        <v/>
      </c>
    </row>
    <row r="21814">
      <c r="A21814" t="inlineStr">
        <is>
          <t>5038581111131</t>
        </is>
      </c>
      <c r="B21814" t="inlineStr">
        <is>
          <t>Yankee Candle Large Jar Scented Candle Rice Cream 623g</t>
        </is>
      </c>
      <c r="C21814" t="inlineStr">
        <is>
          <t>Candles</t>
        </is>
      </c>
      <c r="D21814" t="inlineStr">
        <is>
          <t>Yankee Candle</t>
        </is>
      </c>
      <c r="E21814" t="n">
        <v>16.37</v>
      </c>
      <c r="F21814" t="n">
        <v>1</v>
      </c>
      <c r="G21814" t="n">
        <v>9</v>
      </c>
      <c r="H21814" s="5">
        <f>HYPERLINK("https://api.qogita.com/variants/link/5038581111131/", "View Product")</f>
        <v/>
      </c>
    </row>
    <row r="21815">
      <c r="A21815" t="inlineStr">
        <is>
          <t>5038581113593</t>
        </is>
      </c>
      <c r="B21815" t="inlineStr">
        <is>
          <t>Woodwick Hourglass Medium Glass Scented Candle With Crackling Wick | Chili</t>
        </is>
      </c>
      <c r="C21815" t="inlineStr">
        <is>
          <t>Candles</t>
        </is>
      </c>
      <c r="D21815" t="inlineStr">
        <is>
          <t>Woodwick</t>
        </is>
      </c>
      <c r="E21815" t="n">
        <v>18.36</v>
      </c>
      <c r="F21815" t="n">
        <v>1</v>
      </c>
      <c r="G21815" t="n">
        <v>2</v>
      </c>
      <c r="H21815" s="5">
        <f>HYPERLINK("https://api.qogita.com/variants/link/5038581113593/", "View Product")</f>
        <v/>
      </c>
    </row>
    <row r="21816">
      <c r="A21816" t="inlineStr">
        <is>
          <t>5038581113616</t>
        </is>
      </c>
      <c r="B21816" t="inlineStr">
        <is>
          <t>Woodwick Ellipse Scented Candle with Crackling Wick Chilli Pepper Gelato 50 Hours Burn Time</t>
        </is>
      </c>
      <c r="C21816" t="inlineStr">
        <is>
          <t>Candles</t>
        </is>
      </c>
      <c r="D21816" t="inlineStr">
        <is>
          <t>Yankee Candle</t>
        </is>
      </c>
      <c r="E21816" t="n">
        <v>20.29</v>
      </c>
      <c r="F21816" t="n">
        <v>1</v>
      </c>
      <c r="G21816" t="n">
        <v>242</v>
      </c>
      <c r="H21816" s="5">
        <f>HYPERLINK("https://api.qogita.com/variants/link/5038581113616/", "View Product")</f>
        <v/>
      </c>
    </row>
    <row r="21817">
      <c r="A21817" t="inlineStr">
        <is>
          <t>5038581114217</t>
        </is>
      </c>
      <c r="B21817" t="inlineStr">
        <is>
          <t>Chesapeake Bay Strength Energy Candle Three Wicks</t>
        </is>
      </c>
      <c r="C21817" t="inlineStr">
        <is>
          <t>Candles</t>
        </is>
      </c>
      <c r="D21817" t="inlineStr">
        <is>
          <t>Chesapeake Bay</t>
        </is>
      </c>
      <c r="E21817" t="n">
        <v>6.85</v>
      </c>
      <c r="F21817" t="n">
        <v>1</v>
      </c>
      <c r="G21817" t="n">
        <v>2</v>
      </c>
      <c r="H21817" s="5">
        <f>HYPERLINK("https://api.qogita.com/variants/link/5038581114217/", "View Product")</f>
        <v/>
      </c>
    </row>
    <row r="21818">
      <c r="A21818" t="inlineStr">
        <is>
          <t>5038581114255</t>
        </is>
      </c>
      <c r="B21818" t="inlineStr">
        <is>
          <t>Chesapeake Bay Stillness Purity Candle Tumbler Small Scented Candle</t>
        </is>
      </c>
      <c r="C21818" t="inlineStr">
        <is>
          <t>Candles</t>
        </is>
      </c>
      <c r="D21818" t="inlineStr">
        <is>
          <t>Chesapeake Bay Candle</t>
        </is>
      </c>
      <c r="E21818" t="n">
        <v>7.19</v>
      </c>
      <c r="F21818" t="n">
        <v>1</v>
      </c>
      <c r="G21818" t="n">
        <v>6</v>
      </c>
      <c r="H21818" s="5">
        <f>HYPERLINK("https://api.qogita.com/variants/link/5038581114255/", "View Product")</f>
        <v/>
      </c>
    </row>
    <row r="21819">
      <c r="A21819" t="inlineStr">
        <is>
          <t>5038581114286</t>
        </is>
      </c>
      <c r="B21819" t="inlineStr">
        <is>
          <t>Chesapeake Bay Reflection Clarity Candle Tumbler Medium Scented Candle</t>
        </is>
      </c>
      <c r="C21819" t="inlineStr">
        <is>
          <t>Candles</t>
        </is>
      </c>
      <c r="D21819" t="inlineStr">
        <is>
          <t>Chesapeake Bay Candle</t>
        </is>
      </c>
      <c r="E21819" t="n">
        <v>12.42</v>
      </c>
      <c r="F21819" t="n">
        <v>1</v>
      </c>
      <c r="G21819" t="n">
        <v>4</v>
      </c>
      <c r="H21819" s="5">
        <f>HYPERLINK("https://api.qogita.com/variants/link/5038581114286/", "View Product")</f>
        <v/>
      </c>
    </row>
    <row r="21820">
      <c r="A21820" t="inlineStr">
        <is>
          <t>5038581114361</t>
        </is>
      </c>
      <c r="B21820" t="inlineStr">
        <is>
          <t>Chesapeake Bay Peace Tranquility Candle Tumbler Large Scented Candle</t>
        </is>
      </c>
      <c r="C21820" t="inlineStr">
        <is>
          <t>Candles</t>
        </is>
      </c>
      <c r="D21820" t="inlineStr">
        <is>
          <t>Chesapeake Bay Candle</t>
        </is>
      </c>
      <c r="E21820" t="n">
        <v>17.13</v>
      </c>
      <c r="F21820" t="n">
        <v>1</v>
      </c>
      <c r="G21820" t="n">
        <v>7</v>
      </c>
      <c r="H21820" s="5">
        <f>HYPERLINK("https://api.qogita.com/variants/link/5038581114361/", "View Product")</f>
        <v/>
      </c>
    </row>
    <row r="21821">
      <c r="A21821" t="inlineStr">
        <is>
          <t>5038581114408</t>
        </is>
      </c>
      <c r="B21821" t="inlineStr">
        <is>
          <t>Chesapeake Bay Joy Laughter Candle Tumbler Large Scented Candle</t>
        </is>
      </c>
      <c r="C21821" t="inlineStr">
        <is>
          <t>Candles</t>
        </is>
      </c>
      <c r="D21821" t="inlineStr">
        <is>
          <t>Chesapeake Bay Candle</t>
        </is>
      </c>
      <c r="E21821" t="n">
        <v>17.13</v>
      </c>
      <c r="F21821" t="n">
        <v>1</v>
      </c>
      <c r="G21821" t="n">
        <v>3</v>
      </c>
      <c r="H21821" s="5">
        <f>HYPERLINK("https://api.qogita.com/variants/link/5038581114408/", "View Product")</f>
        <v/>
      </c>
    </row>
    <row r="21822">
      <c r="A21822" t="inlineStr">
        <is>
          <t>5038581114491</t>
        </is>
      </c>
      <c r="B21822" t="inlineStr">
        <is>
          <t>Chesapeake Bay Reflection Clarity Candle Three Wicks</t>
        </is>
      </c>
      <c r="C21822" t="inlineStr">
        <is>
          <t>Candles</t>
        </is>
      </c>
      <c r="D21822" t="inlineStr">
        <is>
          <t>Chesapeake Bay</t>
        </is>
      </c>
      <c r="E21822" t="n">
        <v>19.11</v>
      </c>
      <c r="F21822" t="n">
        <v>1</v>
      </c>
      <c r="G21822" t="n">
        <v>5</v>
      </c>
      <c r="H21822" s="5">
        <f>HYPERLINK("https://api.qogita.com/variants/link/5038581114491/", "View Product")</f>
        <v/>
      </c>
    </row>
    <row r="21823">
      <c r="A21823" t="inlineStr">
        <is>
          <t>5038581114514</t>
        </is>
      </c>
      <c r="B21823" t="inlineStr">
        <is>
          <t>Chesapeake Bay Joy Laughter Candle - Vonna Svicka</t>
        </is>
      </c>
      <c r="C21823" t="inlineStr">
        <is>
          <t>Candles</t>
        </is>
      </c>
      <c r="D21823" t="inlineStr">
        <is>
          <t>Chesapeake Bay</t>
        </is>
      </c>
      <c r="E21823" t="n">
        <v>19.11</v>
      </c>
      <c r="F21823" t="n">
        <v>1</v>
      </c>
      <c r="G21823" t="n">
        <v>6</v>
      </c>
      <c r="H21823" s="5">
        <f>HYPERLINK("https://api.qogita.com/variants/link/5038581114514/", "View Product")</f>
        <v/>
      </c>
    </row>
    <row r="21824">
      <c r="A21824" t="inlineStr">
        <is>
          <t>5038581114521</t>
        </is>
      </c>
      <c r="B21824" t="inlineStr">
        <is>
          <t>Chesapeake Bay Strength Energy Candle With Three Wicks</t>
        </is>
      </c>
      <c r="C21824" t="inlineStr">
        <is>
          <t>Candles</t>
        </is>
      </c>
      <c r="D21824" t="inlineStr">
        <is>
          <t>Chesapeake Bay Candle</t>
        </is>
      </c>
      <c r="E21824" t="n">
        <v>19.11</v>
      </c>
      <c r="F21824" t="n">
        <v>1</v>
      </c>
      <c r="G21824" t="n">
        <v>8</v>
      </c>
      <c r="H21824" s="5">
        <f>HYPERLINK("https://api.qogita.com/variants/link/5038581114521/", "View Product")</f>
        <v/>
      </c>
    </row>
    <row r="21825">
      <c r="A21825" t="inlineStr">
        <is>
          <t>5038581123578</t>
        </is>
      </c>
      <c r="B21825" t="inlineStr">
        <is>
          <t>Yankee Candle Farm Fresh Peach Candle 623 G</t>
        </is>
      </c>
      <c r="C21825" t="inlineStr">
        <is>
          <t>Candles</t>
        </is>
      </c>
      <c r="D21825" t="inlineStr">
        <is>
          <t>Yankee Candle</t>
        </is>
      </c>
      <c r="E21825" t="n">
        <v>18.09</v>
      </c>
      <c r="F21825" t="n">
        <v>1</v>
      </c>
      <c r="G21825" t="n">
        <v>9</v>
      </c>
      <c r="H21825" s="5">
        <f>HYPERLINK("https://api.qogita.com/variants/link/5038581123578/", "View Product")</f>
        <v/>
      </c>
    </row>
    <row r="21826">
      <c r="A21826" t="inlineStr">
        <is>
          <t>5038581123783</t>
        </is>
      </c>
      <c r="B21826" t="inlineStr">
        <is>
          <t>Woodwick Scented Candle Gift Set | Fireside, Elliptical Scented Candle With</t>
        </is>
      </c>
      <c r="C21826" t="inlineStr">
        <is>
          <t>Candles</t>
        </is>
      </c>
      <c r="D21826" t="inlineStr">
        <is>
          <t>Woodwick</t>
        </is>
      </c>
      <c r="E21826" t="n">
        <v>27.44</v>
      </c>
      <c r="F21826" t="n">
        <v>1</v>
      </c>
      <c r="G21826" t="n">
        <v>40</v>
      </c>
      <c r="H21826" s="5">
        <f>HYPERLINK("https://api.qogita.com/variants/link/5038581123783/", "View Product")</f>
        <v/>
      </c>
    </row>
    <row r="21827">
      <c r="A21827" t="inlineStr">
        <is>
          <t>5038581124933</t>
        </is>
      </c>
      <c r="B21827" t="inlineStr">
        <is>
          <t>Yankee Candle Cinnamon Stick Signature Candle</t>
        </is>
      </c>
      <c r="C21827" t="inlineStr">
        <is>
          <t>Candles</t>
        </is>
      </c>
      <c r="D21827" t="inlineStr">
        <is>
          <t>Yankee Candle</t>
        </is>
      </c>
      <c r="E21827" t="n">
        <v>19.45</v>
      </c>
      <c r="F21827" t="n">
        <v>1</v>
      </c>
      <c r="G21827" t="n">
        <v>33</v>
      </c>
      <c r="H21827" s="5">
        <f>HYPERLINK("https://api.qogita.com/variants/link/5038581124933/", "View Product")</f>
        <v/>
      </c>
    </row>
    <row r="21828">
      <c r="A21828" t="inlineStr">
        <is>
          <t>5038581124964</t>
        </is>
      </c>
      <c r="B21828" t="inlineStr">
        <is>
          <t>Yankee Candle Signature Scented Candle ; Large Long Burning Candle "Red</t>
        </is>
      </c>
      <c r="C21828" t="inlineStr">
        <is>
          <t>Candles</t>
        </is>
      </c>
      <c r="D21828" t="inlineStr">
        <is>
          <t>Yankee Candle</t>
        </is>
      </c>
      <c r="E21828" t="n">
        <v>20.95</v>
      </c>
      <c r="F21828" t="n">
        <v>1</v>
      </c>
      <c r="G21828" t="n">
        <v>3</v>
      </c>
      <c r="H21828" s="5">
        <f>HYPERLINK("https://api.qogita.com/variants/link/5038581124964/", "View Product")</f>
        <v/>
      </c>
    </row>
    <row r="21829">
      <c r="A21829" t="inlineStr">
        <is>
          <t>5038581125015</t>
        </is>
      </c>
      <c r="B21829" t="inlineStr">
        <is>
          <t>Yankee Candle Black Cherry Signature Candle</t>
        </is>
      </c>
      <c r="C21829" t="inlineStr">
        <is>
          <t>Candles</t>
        </is>
      </c>
      <c r="D21829" t="inlineStr">
        <is>
          <t>Yankee Candle</t>
        </is>
      </c>
      <c r="E21829" t="n">
        <v>20.33</v>
      </c>
      <c r="F21829" t="n">
        <v>1</v>
      </c>
      <c r="G21829" t="n">
        <v>14</v>
      </c>
      <c r="H21829" s="5">
        <f>HYPERLINK("https://api.qogita.com/variants/link/5038581125015/", "View Product")</f>
        <v/>
      </c>
    </row>
    <row r="21830">
      <c r="A21830" t="inlineStr">
        <is>
          <t>5038581125022</t>
        </is>
      </c>
      <c r="B21830" t="inlineStr">
        <is>
          <t>Yankee Candle Baby Powder Signature Candle Aromatic Candle In Medium Signature Glass 368 G</t>
        </is>
      </c>
      <c r="C21830" t="inlineStr">
        <is>
          <t>Candles</t>
        </is>
      </c>
      <c r="D21830" t="inlineStr">
        <is>
          <t>Yankee Candle</t>
        </is>
      </c>
      <c r="E21830" t="n">
        <v>14.18</v>
      </c>
      <c r="F21830" t="n">
        <v>1</v>
      </c>
      <c r="G21830" t="n">
        <v>7</v>
      </c>
      <c r="H21830" s="5">
        <f>HYPERLINK("https://api.qogita.com/variants/link/5038581125022/", "View Product")</f>
        <v/>
      </c>
    </row>
    <row r="21831">
      <c r="A21831" t="inlineStr">
        <is>
          <t>5038581125046</t>
        </is>
      </c>
      <c r="B21831" t="inlineStr">
        <is>
          <t>Yankee Candle Cinnamon Stick Scented Candle 368g</t>
        </is>
      </c>
      <c r="C21831" t="inlineStr">
        <is>
          <t>Candles</t>
        </is>
      </c>
      <c r="D21831" t="inlineStr">
        <is>
          <t>Yankee Candle</t>
        </is>
      </c>
      <c r="E21831" t="n">
        <v>16.24</v>
      </c>
      <c r="F21831" t="n">
        <v>1</v>
      </c>
      <c r="G21831" t="n">
        <v>35</v>
      </c>
      <c r="H21831" s="5">
        <f>HYPERLINK("https://api.qogita.com/variants/link/5038581125046/", "View Product")</f>
        <v/>
      </c>
    </row>
    <row r="21832">
      <c r="A21832" t="inlineStr">
        <is>
          <t>5038581125053</t>
        </is>
      </c>
      <c r="B21832" t="inlineStr">
        <is>
          <t>Yankee Candle A Calm &amp; Quiet Place Scented Candle 368g</t>
        </is>
      </c>
      <c r="C21832" t="inlineStr">
        <is>
          <t>Candles</t>
        </is>
      </c>
      <c r="D21832" t="inlineStr">
        <is>
          <t>Yankee Candle</t>
        </is>
      </c>
      <c r="E21832" t="n">
        <v>14.53</v>
      </c>
      <c r="F21832" t="n">
        <v>1</v>
      </c>
      <c r="G21832" t="n">
        <v>34</v>
      </c>
      <c r="H21832" s="5">
        <f>HYPERLINK("https://api.qogita.com/variants/link/5038581125053/", "View Product")</f>
        <v/>
      </c>
    </row>
    <row r="21833">
      <c r="A21833" t="inlineStr">
        <is>
          <t>5038581125077</t>
        </is>
      </c>
      <c r="B21833" t="inlineStr">
        <is>
          <t>Yankee Candle Signature Scented Candle | Red Raspberry Medium Jar Candle With</t>
        </is>
      </c>
      <c r="C21833" t="inlineStr">
        <is>
          <t>Candles</t>
        </is>
      </c>
      <c r="D21833" t="inlineStr">
        <is>
          <t>Yankee Candle</t>
        </is>
      </c>
      <c r="E21833" t="n">
        <v>15.99</v>
      </c>
      <c r="F21833" t="n">
        <v>1</v>
      </c>
      <c r="G21833" t="n">
        <v>6</v>
      </c>
      <c r="H21833" s="5">
        <f>HYPERLINK("https://api.qogita.com/variants/link/5038581125077/", "View Product")</f>
        <v/>
      </c>
    </row>
    <row r="21834">
      <c r="A21834" t="inlineStr">
        <is>
          <t>5038581125114</t>
        </is>
      </c>
      <c r="B21834" t="inlineStr">
        <is>
          <t>Yankee Candle Warm Cashmere Signature Candle Medium Glass 368 G</t>
        </is>
      </c>
      <c r="C21834" t="inlineStr">
        <is>
          <t>Candles</t>
        </is>
      </c>
      <c r="D21834" t="inlineStr">
        <is>
          <t>Yankee Candle</t>
        </is>
      </c>
      <c r="E21834" t="n">
        <v>15.35</v>
      </c>
      <c r="F21834" t="n">
        <v>1</v>
      </c>
      <c r="G21834" t="n">
        <v>8</v>
      </c>
      <c r="H21834" s="5">
        <f>HYPERLINK("https://api.qogita.com/variants/link/5038581125114/", "View Product")</f>
        <v/>
      </c>
    </row>
    <row r="21835">
      <c r="A21835" t="inlineStr">
        <is>
          <t>5038581125671</t>
        </is>
      </c>
      <c r="B21835" t="inlineStr">
        <is>
          <t>Yankee Candle Midsummers Night Filled Votive Candle</t>
        </is>
      </c>
      <c r="C21835" t="inlineStr">
        <is>
          <t>Candles</t>
        </is>
      </c>
      <c r="D21835" t="inlineStr">
        <is>
          <t>Yankee Candle</t>
        </is>
      </c>
      <c r="E21835" t="n">
        <v>3.04</v>
      </c>
      <c r="F21835" t="n">
        <v>1</v>
      </c>
      <c r="G21835" t="n">
        <v>10</v>
      </c>
      <c r="H21835" s="5">
        <f>HYPERLINK("https://api.qogita.com/variants/link/5038581125671/", "View Product")</f>
        <v/>
      </c>
    </row>
    <row r="21836">
      <c r="A21836" t="inlineStr">
        <is>
          <t>5038581128917</t>
        </is>
      </c>
      <c r="B21836" t="inlineStr">
        <is>
          <t>Yankee Candle Seaside Woods Signature Candle 567 G</t>
        </is>
      </c>
      <c r="C21836" t="inlineStr">
        <is>
          <t>Candles</t>
        </is>
      </c>
      <c r="D21836" t="inlineStr">
        <is>
          <t>Yankee Candle</t>
        </is>
      </c>
      <c r="E21836" t="n">
        <v>19.87</v>
      </c>
      <c r="F21836" t="n">
        <v>1</v>
      </c>
      <c r="G21836" t="n">
        <v>32</v>
      </c>
      <c r="H21836" s="5">
        <f>HYPERLINK("https://api.qogita.com/variants/link/5038581128917/", "View Product")</f>
        <v/>
      </c>
    </row>
    <row r="21837">
      <c r="A21837" t="inlineStr">
        <is>
          <t>5038581128924</t>
        </is>
      </c>
      <c r="B21837" t="inlineStr">
        <is>
          <t>Yankee Candle Midnight Jasmine Signature Candle Large Aromatic Candle 567 G</t>
        </is>
      </c>
      <c r="C21837" t="inlineStr">
        <is>
          <t>Candles</t>
        </is>
      </c>
      <c r="D21837" t="inlineStr">
        <is>
          <t>Yankee Candle</t>
        </is>
      </c>
      <c r="E21837" t="n">
        <v>18.61</v>
      </c>
      <c r="F21837" t="n">
        <v>1</v>
      </c>
      <c r="G21837" t="n">
        <v>14</v>
      </c>
      <c r="H21837" s="5">
        <f>HYPERLINK("https://api.qogita.com/variants/link/5038581128924/", "View Product")</f>
        <v/>
      </c>
    </row>
    <row r="21838">
      <c r="A21838" t="inlineStr">
        <is>
          <t>5038581128979</t>
        </is>
      </c>
      <c r="B21838" t="inlineStr">
        <is>
          <t>Yankee Candle Clean Cotton Scented Candle 368g</t>
        </is>
      </c>
      <c r="C21838" t="inlineStr">
        <is>
          <t>Candles</t>
        </is>
      </c>
      <c r="D21838" t="inlineStr">
        <is>
          <t>Yankee Candle</t>
        </is>
      </c>
      <c r="E21838" t="n">
        <v>14.89</v>
      </c>
      <c r="F21838" t="n">
        <v>1</v>
      </c>
      <c r="G21838" t="n">
        <v>16</v>
      </c>
      <c r="H21838" s="5">
        <f>HYPERLINK("https://api.qogita.com/variants/link/5038581128979/", "View Product")</f>
        <v/>
      </c>
    </row>
    <row r="21839">
      <c r="A21839" t="inlineStr">
        <is>
          <t>5038581129006</t>
        </is>
      </c>
      <c r="B21839" t="inlineStr">
        <is>
          <t>Yankee Candle Iced Berry Lemonade Signature Candle 567 G</t>
        </is>
      </c>
      <c r="C21839" t="inlineStr">
        <is>
          <t>Candles</t>
        </is>
      </c>
      <c r="D21839" t="inlineStr">
        <is>
          <t>Yankee Candle</t>
        </is>
      </c>
      <c r="E21839" t="n">
        <v>20.5</v>
      </c>
      <c r="F21839" t="n">
        <v>1</v>
      </c>
      <c r="G21839" t="n">
        <v>2</v>
      </c>
      <c r="H21839" s="5">
        <f>HYPERLINK("https://api.qogita.com/variants/link/5038581129006/", "View Product")</f>
        <v/>
      </c>
    </row>
    <row r="21840">
      <c r="A21840" t="inlineStr">
        <is>
          <t>5038581129129</t>
        </is>
      </c>
      <c r="B21840" t="inlineStr">
        <is>
          <t>Yankee Candle Pink Sands Signature Candle Large Glass 567 G</t>
        </is>
      </c>
      <c r="C21840" t="inlineStr">
        <is>
          <t>Candles</t>
        </is>
      </c>
      <c r="D21840" t="inlineStr">
        <is>
          <t>Yankee Candle</t>
        </is>
      </c>
      <c r="E21840" t="n">
        <v>18.87</v>
      </c>
      <c r="F21840" t="n">
        <v>1</v>
      </c>
      <c r="G21840" t="n">
        <v>3</v>
      </c>
      <c r="H21840" s="5">
        <f>HYPERLINK("https://api.qogita.com/variants/link/5038581129129/", "View Product")</f>
        <v/>
      </c>
    </row>
    <row r="21841">
      <c r="A21841" t="inlineStr">
        <is>
          <t>5038581129143</t>
        </is>
      </c>
      <c r="B21841" t="inlineStr">
        <is>
          <t>Yankee Candle Fresh Cut Roses Scented Candle 368g</t>
        </is>
      </c>
      <c r="C21841" t="inlineStr">
        <is>
          <t>Candles</t>
        </is>
      </c>
      <c r="D21841" t="inlineStr">
        <is>
          <t>Yankee Candle</t>
        </is>
      </c>
      <c r="E21841" t="n">
        <v>18.85</v>
      </c>
      <c r="F21841" t="n">
        <v>1</v>
      </c>
      <c r="G21841" t="n">
        <v>5</v>
      </c>
      <c r="H21841" s="5">
        <f>HYPERLINK("https://api.qogita.com/variants/link/5038581129143/", "View Product")</f>
        <v/>
      </c>
    </row>
    <row r="21842">
      <c r="A21842" t="inlineStr">
        <is>
          <t>5038581129150</t>
        </is>
      </c>
      <c r="B21842" t="inlineStr">
        <is>
          <t>Yankee Candle Amber &amp; Sandalwood Signature Candle Large 567 G</t>
        </is>
      </c>
      <c r="C21842" t="inlineStr">
        <is>
          <t>Candles</t>
        </is>
      </c>
      <c r="D21842" t="inlineStr">
        <is>
          <t>Yankee Candle</t>
        </is>
      </c>
      <c r="E21842" t="n">
        <v>19.49</v>
      </c>
      <c r="F21842" t="n">
        <v>1</v>
      </c>
      <c r="G21842" t="n">
        <v>44</v>
      </c>
      <c r="H21842" s="5">
        <f>HYPERLINK("https://api.qogita.com/variants/link/5038581129150/", "View Product")</f>
        <v/>
      </c>
    </row>
    <row r="21843">
      <c r="A21843" t="inlineStr">
        <is>
          <t>5038581129198</t>
        </is>
      </c>
      <c r="B21843" t="inlineStr">
        <is>
          <t>Yankee Candle Lemon Lavender Signature Candle Large 567 G</t>
        </is>
      </c>
      <c r="C21843" t="inlineStr">
        <is>
          <t>Candles</t>
        </is>
      </c>
      <c r="D21843" t="inlineStr">
        <is>
          <t>Yankee Candle</t>
        </is>
      </c>
      <c r="E21843" t="n">
        <v>20.47</v>
      </c>
      <c r="F21843" t="n">
        <v>1</v>
      </c>
      <c r="G21843" t="n">
        <v>12</v>
      </c>
      <c r="H21843" s="5">
        <f>HYPERLINK("https://api.qogita.com/variants/link/5038581129198/", "View Product")</f>
        <v/>
      </c>
    </row>
    <row r="21844">
      <c r="A21844" t="inlineStr">
        <is>
          <t>5038581129259</t>
        </is>
      </c>
      <c r="B21844" t="inlineStr">
        <is>
          <t>Yankee Candle Scented Candle Amber &amp; Sandalwood 368g</t>
        </is>
      </c>
      <c r="C21844" t="inlineStr">
        <is>
          <t>Candles</t>
        </is>
      </c>
      <c r="D21844" t="inlineStr">
        <is>
          <t>Yankee Candle</t>
        </is>
      </c>
      <c r="E21844" t="n">
        <v>17.26</v>
      </c>
      <c r="F21844" t="n">
        <v>1</v>
      </c>
      <c r="G21844" t="n">
        <v>15</v>
      </c>
      <c r="H21844" s="5">
        <f>HYPERLINK("https://api.qogita.com/variants/link/5038581129259/", "View Product")</f>
        <v/>
      </c>
    </row>
    <row r="21845">
      <c r="A21845" t="inlineStr">
        <is>
          <t>5038581129310</t>
        </is>
      </c>
      <c r="B21845" t="inlineStr">
        <is>
          <t>Yankee Candle Black Tea &amp; Lemon Signature Candle 368 G</t>
        </is>
      </c>
      <c r="C21845" t="inlineStr">
        <is>
          <t>Candles</t>
        </is>
      </c>
      <c r="D21845" t="inlineStr">
        <is>
          <t>Yankee Candle</t>
        </is>
      </c>
      <c r="E21845" t="n">
        <v>18.85</v>
      </c>
      <c r="F21845" t="n">
        <v>1</v>
      </c>
      <c r="G21845" t="n">
        <v>5</v>
      </c>
      <c r="H21845" s="5">
        <f>HYPERLINK("https://api.qogita.com/variants/link/5038581129310/", "View Product")</f>
        <v/>
      </c>
    </row>
    <row r="21846">
      <c r="A21846" t="inlineStr">
        <is>
          <t>5038581129334</t>
        </is>
      </c>
      <c r="B21846" t="inlineStr">
        <is>
          <t>Yankee Candle Fresh Cut Roses Signature Candle Large Aromatic Candle 567 G</t>
        </is>
      </c>
      <c r="C21846" t="inlineStr">
        <is>
          <t>Candles</t>
        </is>
      </c>
      <c r="D21846" t="inlineStr">
        <is>
          <t>Yankee Candle</t>
        </is>
      </c>
      <c r="E21846" t="n">
        <v>19.59</v>
      </c>
      <c r="F21846" t="n">
        <v>1</v>
      </c>
      <c r="G21846" t="n">
        <v>34</v>
      </c>
      <c r="H21846" s="5">
        <f>HYPERLINK("https://api.qogita.com/variants/link/5038581129334/", "View Product")</f>
        <v/>
      </c>
    </row>
    <row r="21847">
      <c r="A21847" t="inlineStr">
        <is>
          <t>5038581129518</t>
        </is>
      </c>
      <c r="B21847" t="inlineStr">
        <is>
          <t>Yankee Candle Aromatic Candle Signature Large Glass Black Tea &amp; Lemon 567 G</t>
        </is>
      </c>
      <c r="C21847" t="inlineStr">
        <is>
          <t>Candles</t>
        </is>
      </c>
      <c r="D21847" t="inlineStr">
        <is>
          <t>Yankee Candle</t>
        </is>
      </c>
      <c r="E21847" t="n">
        <v>19.43</v>
      </c>
      <c r="F21847" t="n">
        <v>1</v>
      </c>
      <c r="G21847" t="n">
        <v>25</v>
      </c>
      <c r="H21847" s="5">
        <f>HYPERLINK("https://api.qogita.com/variants/link/5038581129518/", "View Product")</f>
        <v/>
      </c>
    </row>
    <row r="21848">
      <c r="A21848" t="inlineStr">
        <is>
          <t>5038581129976</t>
        </is>
      </c>
      <c r="B21848" t="inlineStr">
        <is>
          <t>Woodwick Scented Candle Vase Large Wild Berry &amp; Beets 6095 G</t>
        </is>
      </c>
      <c r="C21848" t="inlineStr">
        <is>
          <t>Candles</t>
        </is>
      </c>
      <c r="D21848" t="inlineStr">
        <is>
          <t>Woodwick</t>
        </is>
      </c>
      <c r="E21848" t="n">
        <v>20.46</v>
      </c>
      <c r="F21848" t="n">
        <v>1</v>
      </c>
      <c r="G21848" t="n">
        <v>219</v>
      </c>
      <c r="H21848" s="5">
        <f>HYPERLINK("https://api.qogita.com/variants/link/5038581129976/", "View Product")</f>
        <v/>
      </c>
    </row>
    <row r="21849">
      <c r="A21849" t="inlineStr">
        <is>
          <t>5038581130439</t>
        </is>
      </c>
      <c r="B21849" t="inlineStr">
        <is>
          <t>Yankee Candle Pink Sands Filled Votive Candle</t>
        </is>
      </c>
      <c r="C21849" t="inlineStr">
        <is>
          <t>Candles</t>
        </is>
      </c>
      <c r="D21849" t="inlineStr">
        <is>
          <t>Yankee Candle</t>
        </is>
      </c>
      <c r="E21849" t="n">
        <v>3.04</v>
      </c>
      <c r="F21849" t="n">
        <v>1</v>
      </c>
      <c r="G21849" t="n">
        <v>15</v>
      </c>
      <c r="H21849" s="5">
        <f>HYPERLINK("https://api.qogita.com/variants/link/5038581130439/", "View Product")</f>
        <v/>
      </c>
    </row>
    <row r="21850">
      <c r="A21850" t="inlineStr">
        <is>
          <t>5038581134093</t>
        </is>
      </c>
      <c r="B21850" t="inlineStr">
        <is>
          <t>Yankee Candle Berry Mochi Candle Scented Candle Classic Medium 411 G</t>
        </is>
      </c>
      <c r="C21850" t="inlineStr">
        <is>
          <t>Candles</t>
        </is>
      </c>
      <c r="D21850" t="inlineStr">
        <is>
          <t>Yankee Candle</t>
        </is>
      </c>
      <c r="E21850" t="n">
        <v>15.01</v>
      </c>
      <c r="F21850" t="n">
        <v>1</v>
      </c>
      <c r="G21850" t="n">
        <v>67</v>
      </c>
      <c r="H21850" s="5">
        <f>HYPERLINK("https://api.qogita.com/variants/link/5038581134093/", "View Product")</f>
        <v/>
      </c>
    </row>
    <row r="21851">
      <c r="A21851" t="inlineStr">
        <is>
          <t>5038581134109</t>
        </is>
      </c>
      <c r="B21851" t="inlineStr">
        <is>
          <t>Yankee Candle Sweet Plum Sake Candle Aromatic Candle Classic Small 104 G</t>
        </is>
      </c>
      <c r="C21851" t="inlineStr">
        <is>
          <t>Candles</t>
        </is>
      </c>
      <c r="D21851" t="inlineStr">
        <is>
          <t>Yankee Candle</t>
        </is>
      </c>
      <c r="E21851" t="n">
        <v>7.42</v>
      </c>
      <c r="F21851" t="n">
        <v>1</v>
      </c>
      <c r="G21851" t="n">
        <v>107</v>
      </c>
      <c r="H21851" s="5">
        <f>HYPERLINK("https://api.qogita.com/variants/link/5038581134109/", "View Product")</f>
        <v/>
      </c>
    </row>
    <row r="21852">
      <c r="A21852" t="inlineStr">
        <is>
          <t>5038581134147</t>
        </is>
      </c>
      <c r="B21852" t="inlineStr">
        <is>
          <t>Yankee Candle Mango Ice Cream Candle Aromatic Candle Classic Medium 411 G</t>
        </is>
      </c>
      <c r="C21852" t="inlineStr">
        <is>
          <t>Candles</t>
        </is>
      </c>
      <c r="D21852" t="inlineStr">
        <is>
          <t>Yankee Candle</t>
        </is>
      </c>
      <c r="E21852" t="n">
        <v>15.39</v>
      </c>
      <c r="F21852" t="n">
        <v>1</v>
      </c>
      <c r="G21852" t="n">
        <v>72</v>
      </c>
      <c r="H21852" s="5">
        <f>HYPERLINK("https://api.qogita.com/variants/link/5038581134147/", "View Product")</f>
        <v/>
      </c>
    </row>
    <row r="21853">
      <c r="A21853" t="inlineStr">
        <is>
          <t>5038581134185</t>
        </is>
      </c>
      <c r="B21853" t="inlineStr">
        <is>
          <t>Yankee Candle Berry Mochi Candle Scented Aromatic Candle Classic Small 104 G</t>
        </is>
      </c>
      <c r="C21853" t="inlineStr">
        <is>
          <t>Candles</t>
        </is>
      </c>
      <c r="D21853" t="inlineStr">
        <is>
          <t>Yankee Candle</t>
        </is>
      </c>
      <c r="E21853" t="n">
        <v>7.38</v>
      </c>
      <c r="F21853" t="n">
        <v>1</v>
      </c>
      <c r="G21853" t="n">
        <v>84</v>
      </c>
      <c r="H21853" s="5">
        <f>HYPERLINK("https://api.qogita.com/variants/link/5038581134185/", "View Product")</f>
        <v/>
      </c>
    </row>
    <row r="21854">
      <c r="A21854" t="inlineStr">
        <is>
          <t>5038581134369</t>
        </is>
      </c>
      <c r="B21854" t="inlineStr">
        <is>
          <t>Yankee Candle Sweet Plum Sake Candle Aromatic Candle Classic Medium 411 G</t>
        </is>
      </c>
      <c r="C21854" t="inlineStr">
        <is>
          <t>Candles</t>
        </is>
      </c>
      <c r="D21854" t="inlineStr">
        <is>
          <t>Yankee Candle</t>
        </is>
      </c>
      <c r="E21854" t="n">
        <v>15.07</v>
      </c>
      <c r="F21854" t="n">
        <v>1</v>
      </c>
      <c r="G21854" t="n">
        <v>37</v>
      </c>
      <c r="H21854" s="5">
        <f>HYPERLINK("https://api.qogita.com/variants/link/5038581134369/", "View Product")</f>
        <v/>
      </c>
    </row>
    <row r="21855">
      <c r="A21855" t="inlineStr">
        <is>
          <t>5038581134390</t>
        </is>
      </c>
      <c r="B21855" t="inlineStr">
        <is>
          <t>Yankee Candle Sweet Plum Sake Candle</t>
        </is>
      </c>
      <c r="C21855" t="inlineStr">
        <is>
          <t>Candles</t>
        </is>
      </c>
      <c r="D21855" t="inlineStr">
        <is>
          <t>Yankee Candle</t>
        </is>
      </c>
      <c r="E21855" t="n">
        <v>1.15</v>
      </c>
      <c r="F21855" t="n">
        <v>1</v>
      </c>
      <c r="G21855" t="n">
        <v>139</v>
      </c>
      <c r="H21855" s="5">
        <f>HYPERLINK("https://api.qogita.com/variants/link/5038581134390/", "View Product")</f>
        <v/>
      </c>
    </row>
    <row r="21856">
      <c r="A21856" t="inlineStr">
        <is>
          <t>5038581136783</t>
        </is>
      </c>
      <c r="B21856" t="inlineStr">
        <is>
          <t>Yankee Candle Home Inspiration Candle Pumpkin Harvest Scented Candle Small 104 Grams</t>
        </is>
      </c>
      <c r="C21856" t="inlineStr">
        <is>
          <t>Candles</t>
        </is>
      </c>
      <c r="D21856" t="inlineStr">
        <is>
          <t>Yankee Candle</t>
        </is>
      </c>
      <c r="E21856" t="n">
        <v>7.19</v>
      </c>
      <c r="F21856" t="n">
        <v>1</v>
      </c>
      <c r="G21856" t="n">
        <v>110</v>
      </c>
      <c r="H21856" s="5">
        <f>HYPERLINK("https://api.qogita.com/variants/link/5038581136783/", "View Product")</f>
        <v/>
      </c>
    </row>
    <row r="21857">
      <c r="A21857" t="inlineStr">
        <is>
          <t>5038581140254</t>
        </is>
      </c>
      <c r="B21857" t="inlineStr">
        <is>
          <t>Yankee Candle Gift Set | 2 Medium Jar Scented Candles | Snow Globe</t>
        </is>
      </c>
      <c r="C21857" t="inlineStr">
        <is>
          <t>Candles</t>
        </is>
      </c>
      <c r="D21857" t="inlineStr">
        <is>
          <t>Yankee Candle</t>
        </is>
      </c>
      <c r="E21857" t="n">
        <v>33.13</v>
      </c>
      <c r="F21857" t="n">
        <v>1</v>
      </c>
      <c r="G21857" t="n">
        <v>15</v>
      </c>
      <c r="H21857" s="5">
        <f>HYPERLINK("https://api.qogita.com/variants/link/5038581140254/", "View Product")</f>
        <v/>
      </c>
    </row>
    <row r="21858">
      <c r="A21858" t="inlineStr">
        <is>
          <t>5038581141466</t>
        </is>
      </c>
      <c r="B21858" t="inlineStr">
        <is>
          <t>Yankee Candle Aromatic Candle Classic Large Peppermint Pinwheels 623 G</t>
        </is>
      </c>
      <c r="C21858" t="inlineStr">
        <is>
          <t>Candles</t>
        </is>
      </c>
      <c r="D21858" t="inlineStr">
        <is>
          <t>Yankee Candle</t>
        </is>
      </c>
      <c r="E21858" t="n">
        <v>19.15</v>
      </c>
      <c r="F21858" t="n">
        <v>1</v>
      </c>
      <c r="G21858" t="n">
        <v>2</v>
      </c>
      <c r="H21858" s="5">
        <f>HYPERLINK("https://api.qogita.com/variants/link/5038581141466/", "View Product")</f>
        <v/>
      </c>
    </row>
    <row r="21859">
      <c r="A21859" t="inlineStr">
        <is>
          <t>5038581141695</t>
        </is>
      </c>
      <c r="B21859" t="inlineStr">
        <is>
          <t>Yankee Candle Soft Wool &amp; Amber Signature Candle 567 G</t>
        </is>
      </c>
      <c r="C21859" t="inlineStr">
        <is>
          <t>Candles</t>
        </is>
      </c>
      <c r="D21859" t="inlineStr">
        <is>
          <t>Yankee Candle</t>
        </is>
      </c>
      <c r="E21859" t="n">
        <v>19.48</v>
      </c>
      <c r="F21859" t="n">
        <v>1</v>
      </c>
      <c r="G21859" t="n">
        <v>41</v>
      </c>
      <c r="H21859" s="5">
        <f>HYPERLINK("https://api.qogita.com/variants/link/5038581141695/", "View Product")</f>
        <v/>
      </c>
    </row>
    <row r="21860">
      <c r="A21860" t="inlineStr">
        <is>
          <t>5038581141992</t>
        </is>
      </c>
      <c r="B21860" t="inlineStr">
        <is>
          <t>Woodwick Cashmere Ship Scented Candle</t>
        </is>
      </c>
      <c r="C21860" t="inlineStr">
        <is>
          <t>Candles</t>
        </is>
      </c>
      <c r="D21860" t="inlineStr">
        <is>
          <t>Woodwick</t>
        </is>
      </c>
      <c r="E21860" t="n">
        <v>20.59</v>
      </c>
      <c r="F21860" t="n">
        <v>1</v>
      </c>
      <c r="G21860" t="n">
        <v>344</v>
      </c>
      <c r="H21860" s="5">
        <f>HYPERLINK("https://api.qogita.com/variants/link/5038581141992/", "View Product")</f>
        <v/>
      </c>
    </row>
    <row r="21861">
      <c r="A21861" t="inlineStr">
        <is>
          <t>5038581142838</t>
        </is>
      </c>
      <c r="B21861" t="inlineStr">
        <is>
          <t>Yankee Candle Wedding Day Signature Tumbler Candle 567 G</t>
        </is>
      </c>
      <c r="C21861" t="inlineStr">
        <is>
          <t>Candles</t>
        </is>
      </c>
      <c r="D21861" t="inlineStr">
        <is>
          <t>Yankee Candle</t>
        </is>
      </c>
      <c r="E21861" t="n">
        <v>20.56</v>
      </c>
      <c r="F21861" t="n">
        <v>1</v>
      </c>
      <c r="G21861" t="n">
        <v>41</v>
      </c>
      <c r="H21861" s="5">
        <f>HYPERLINK("https://api.qogita.com/variants/link/5038581142838/", "View Product")</f>
        <v/>
      </c>
    </row>
    <row r="21862">
      <c r="A21862" t="inlineStr">
        <is>
          <t>5038581142845</t>
        </is>
      </c>
      <c r="B21862" t="inlineStr">
        <is>
          <t>Yankee Candle Sage Citrus Signature Tumbler Candle 567 G</t>
        </is>
      </c>
      <c r="C21862" t="inlineStr">
        <is>
          <t>Candles</t>
        </is>
      </c>
      <c r="D21862" t="inlineStr">
        <is>
          <t>Yankee Candle</t>
        </is>
      </c>
      <c r="E21862" t="n">
        <v>20.26</v>
      </c>
      <c r="F21862" t="n">
        <v>1</v>
      </c>
      <c r="G21862" t="n">
        <v>135</v>
      </c>
      <c r="H21862" s="5">
        <f>HYPERLINK("https://api.qogita.com/variants/link/5038581142845/", "View Product")</f>
        <v/>
      </c>
    </row>
    <row r="21863">
      <c r="A21863" t="inlineStr">
        <is>
          <t>5038581142890</t>
        </is>
      </c>
      <c r="B21863" t="inlineStr">
        <is>
          <t>Yankee Candle Christmas Eve Large Tumbler Jar Candle</t>
        </is>
      </c>
      <c r="C21863" t="inlineStr">
        <is>
          <t>Candles</t>
        </is>
      </c>
      <c r="D21863" t="inlineStr">
        <is>
          <t>Yankee Candle</t>
        </is>
      </c>
      <c r="E21863" t="n">
        <v>21.49</v>
      </c>
      <c r="F21863" t="n">
        <v>1</v>
      </c>
      <c r="G21863" t="n">
        <v>23</v>
      </c>
      <c r="H21863" s="5">
        <f>HYPERLINK("https://api.qogita.com/variants/link/5038581142890/", "View Product")</f>
        <v/>
      </c>
    </row>
    <row r="21864">
      <c r="A21864" t="inlineStr">
        <is>
          <t>5038581142999</t>
        </is>
      </c>
      <c r="B21864" t="inlineStr">
        <is>
          <t>Yankee Candle Pink Sands Signature Tumbler Candle Medium 340 G</t>
        </is>
      </c>
      <c r="C21864" t="inlineStr">
        <is>
          <t>Candles</t>
        </is>
      </c>
      <c r="D21864" t="inlineStr">
        <is>
          <t>Yankee Candle</t>
        </is>
      </c>
      <c r="E21864" t="n">
        <v>17.4</v>
      </c>
      <c r="F21864" t="n">
        <v>1</v>
      </c>
      <c r="G21864" t="n">
        <v>9</v>
      </c>
      <c r="H21864" s="5">
        <f>HYPERLINK("https://api.qogita.com/variants/link/5038581142999/", "View Product")</f>
        <v/>
      </c>
    </row>
    <row r="21865">
      <c r="A21865" t="inlineStr">
        <is>
          <t>5038581143057</t>
        </is>
      </c>
      <c r="B21865" t="inlineStr">
        <is>
          <t>Yankee Candle Pink Sands Signature Tumbler Candle 567 G</t>
        </is>
      </c>
      <c r="C21865" t="inlineStr">
        <is>
          <t>Candles</t>
        </is>
      </c>
      <c r="D21865" t="inlineStr">
        <is>
          <t>Yankee Candle</t>
        </is>
      </c>
      <c r="E21865" t="n">
        <v>18.74</v>
      </c>
      <c r="F21865" t="n">
        <v>1</v>
      </c>
      <c r="G21865" t="n">
        <v>35</v>
      </c>
      <c r="H21865" s="5">
        <f>HYPERLINK("https://api.qogita.com/variants/link/5038581143057/", "View Product")</f>
        <v/>
      </c>
    </row>
    <row r="21866">
      <c r="A21866" t="inlineStr">
        <is>
          <t>5038581143118</t>
        </is>
      </c>
      <c r="B21866" t="inlineStr">
        <is>
          <t>Yankee Candle Signature Scented Candle | Vanilla Lime Large Tumbler Candle With</t>
        </is>
      </c>
      <c r="C21866" t="inlineStr">
        <is>
          <t>Candles</t>
        </is>
      </c>
      <c r="D21866" t="inlineStr">
        <is>
          <t>Yankee Candle</t>
        </is>
      </c>
      <c r="E21866" t="n">
        <v>19.93</v>
      </c>
      <c r="F21866" t="n">
        <v>1</v>
      </c>
      <c r="G21866" t="n">
        <v>56</v>
      </c>
      <c r="H21866" s="5">
        <f>HYPERLINK("https://api.qogita.com/variants/link/5038581143118/", "View Product")</f>
        <v/>
      </c>
    </row>
    <row r="21867">
      <c r="A21867" t="inlineStr">
        <is>
          <t>5038581143200</t>
        </is>
      </c>
      <c r="B21867" t="inlineStr">
        <is>
          <t>Yankee Candle Amber &amp; Sandalwood Signature Tumbler Medium 340 G</t>
        </is>
      </c>
      <c r="C21867" t="inlineStr">
        <is>
          <t>Candles</t>
        </is>
      </c>
      <c r="D21867" t="inlineStr">
        <is>
          <t>Yankee Candle</t>
        </is>
      </c>
      <c r="E21867" t="n">
        <v>20.62</v>
      </c>
      <c r="F21867" t="n">
        <v>1</v>
      </c>
      <c r="G21867" t="n">
        <v>31</v>
      </c>
      <c r="H21867" s="5">
        <f>HYPERLINK("https://api.qogita.com/variants/link/5038581143200/", "View Product")</f>
        <v/>
      </c>
    </row>
    <row r="21868">
      <c r="A21868" t="inlineStr">
        <is>
          <t>5038581143248</t>
        </is>
      </c>
      <c r="B21868" t="inlineStr">
        <is>
          <t>Yankee Candle Lilac Blossoms Signature Tumbler Candle Large 567 G</t>
        </is>
      </c>
      <c r="C21868" t="inlineStr">
        <is>
          <t>Candles</t>
        </is>
      </c>
      <c r="D21868" t="inlineStr">
        <is>
          <t>Yankee Candle</t>
        </is>
      </c>
      <c r="E21868" t="n">
        <v>19.11</v>
      </c>
      <c r="F21868" t="n">
        <v>1</v>
      </c>
      <c r="G21868" t="n">
        <v>6</v>
      </c>
      <c r="H21868" s="5">
        <f>HYPERLINK("https://api.qogita.com/variants/link/5038581143248/", "View Product")</f>
        <v/>
      </c>
    </row>
    <row r="21869">
      <c r="A21869" t="inlineStr">
        <is>
          <t>5038581143682</t>
        </is>
      </c>
      <c r="B21869" t="inlineStr">
        <is>
          <t>Yankee Candle Vanilla Bean Espresso Signature Tumbler Large 567 G</t>
        </is>
      </c>
      <c r="C21869" t="inlineStr">
        <is>
          <t>Candles</t>
        </is>
      </c>
      <c r="D21869" t="inlineStr">
        <is>
          <t>Yankee Candle</t>
        </is>
      </c>
      <c r="E21869" t="n">
        <v>19.86</v>
      </c>
      <c r="F21869" t="n">
        <v>1</v>
      </c>
      <c r="G21869" t="n">
        <v>14</v>
      </c>
      <c r="H21869" s="5">
        <f>HYPERLINK("https://api.qogita.com/variants/link/5038581143682/", "View Product")</f>
        <v/>
      </c>
    </row>
    <row r="21870">
      <c r="A21870" t="inlineStr">
        <is>
          <t>5038581143743</t>
        </is>
      </c>
      <c r="B21870" t="inlineStr">
        <is>
          <t>Yankee Candle Bayside Cedar Signature Tumbler Candle Large 567 G</t>
        </is>
      </c>
      <c r="C21870" t="inlineStr">
        <is>
          <t>Candles</t>
        </is>
      </c>
      <c r="D21870" t="inlineStr">
        <is>
          <t>Yankee Candle</t>
        </is>
      </c>
      <c r="E21870" t="n">
        <v>20.21</v>
      </c>
      <c r="F21870" t="n">
        <v>1</v>
      </c>
      <c r="G21870" t="n">
        <v>101</v>
      </c>
      <c r="H21870" s="5">
        <f>HYPERLINK("https://api.qogita.com/variants/link/5038581143743/", "View Product")</f>
        <v/>
      </c>
    </row>
    <row r="21871">
      <c r="A21871" t="inlineStr">
        <is>
          <t>5038581143750</t>
        </is>
      </c>
      <c r="B21871" t="inlineStr">
        <is>
          <t>Yankee Candle Autumn Sunset Signature Tumbler Candle Large 567 G</t>
        </is>
      </c>
      <c r="C21871" t="inlineStr">
        <is>
          <t>Candles</t>
        </is>
      </c>
      <c r="D21871" t="inlineStr">
        <is>
          <t>Yankee Candle</t>
        </is>
      </c>
      <c r="E21871" t="n">
        <v>20.21</v>
      </c>
      <c r="F21871" t="n">
        <v>1</v>
      </c>
      <c r="G21871" t="n">
        <v>2</v>
      </c>
      <c r="H21871" s="5">
        <f>HYPERLINK("https://api.qogita.com/variants/link/5038581143750/", "View Product")</f>
        <v/>
      </c>
    </row>
    <row r="21872">
      <c r="A21872" t="inlineStr">
        <is>
          <t>5038581143774</t>
        </is>
      </c>
      <c r="B21872" t="inlineStr">
        <is>
          <t>Yankee Candle Seaside Woods Signature Tumbler Candle 567 G</t>
        </is>
      </c>
      <c r="C21872" t="inlineStr">
        <is>
          <t>Candles</t>
        </is>
      </c>
      <c r="D21872" t="inlineStr">
        <is>
          <t>Yankee Candle</t>
        </is>
      </c>
      <c r="E21872" t="n">
        <v>20.14</v>
      </c>
      <c r="F21872" t="n">
        <v>1</v>
      </c>
      <c r="G21872" t="n">
        <v>20</v>
      </c>
      <c r="H21872" s="5">
        <f>HYPERLINK("https://api.qogita.com/variants/link/5038581143774/", "View Product")</f>
        <v/>
      </c>
    </row>
    <row r="21873">
      <c r="A21873" t="inlineStr">
        <is>
          <t>5038581144634</t>
        </is>
      </c>
      <c r="B21873" t="inlineStr">
        <is>
          <t>Yankee Candle Mango Ice Cream Scented Candle 368g</t>
        </is>
      </c>
      <c r="C21873" t="inlineStr">
        <is>
          <t>Candles</t>
        </is>
      </c>
      <c r="D21873" t="inlineStr">
        <is>
          <t>Yankee Candle</t>
        </is>
      </c>
      <c r="E21873" t="n">
        <v>15.71</v>
      </c>
      <c r="F21873" t="n">
        <v>1</v>
      </c>
      <c r="G21873" t="n">
        <v>56</v>
      </c>
      <c r="H21873" s="5">
        <f>HYPERLINK("https://api.qogita.com/variants/link/5038581144634/", "View Product")</f>
        <v/>
      </c>
    </row>
    <row r="21874">
      <c r="A21874" t="inlineStr">
        <is>
          <t>5038581145075</t>
        </is>
      </c>
      <c r="B21874" t="inlineStr">
        <is>
          <t>Woodwick Evening Onyx Scented Candle Vase Large 6095 G</t>
        </is>
      </c>
      <c r="C21874" t="inlineStr">
        <is>
          <t>Candles</t>
        </is>
      </c>
      <c r="D21874" t="inlineStr">
        <is>
          <t>Woodwick</t>
        </is>
      </c>
      <c r="E21874" t="n">
        <v>20.43</v>
      </c>
      <c r="F21874" t="n">
        <v>1</v>
      </c>
      <c r="G21874" t="n">
        <v>220</v>
      </c>
      <c r="H21874" s="5">
        <f>HYPERLINK("https://api.qogita.com/variants/link/5038581145075/", "View Product")</f>
        <v/>
      </c>
    </row>
    <row r="21875">
      <c r="A21875" t="inlineStr">
        <is>
          <t>5038581145174</t>
        </is>
      </c>
      <c r="B21875" t="inlineStr">
        <is>
          <t>Ww Candle Elipse Warm Wool 1725446e</t>
        </is>
      </c>
      <c r="C21875" t="inlineStr">
        <is>
          <t>Candles</t>
        </is>
      </c>
      <c r="D21875" t="inlineStr">
        <is>
          <t>Woodwick</t>
        </is>
      </c>
      <c r="E21875" t="n">
        <v>20.56</v>
      </c>
      <c r="F21875" t="n">
        <v>1</v>
      </c>
      <c r="G21875" t="n">
        <v>282</v>
      </c>
      <c r="H21875" s="5">
        <f>HYPERLINK("https://api.qogita.com/variants/link/5038581145174/", "View Product")</f>
        <v/>
      </c>
    </row>
    <row r="21876">
      <c r="A21876" t="inlineStr">
        <is>
          <t>5038581145549</t>
        </is>
      </c>
      <c r="B21876" t="inlineStr">
        <is>
          <t>Woodwick Pomegranate Ship Pomegranate Scented Candle</t>
        </is>
      </c>
      <c r="C21876" t="inlineStr">
        <is>
          <t>Candles</t>
        </is>
      </c>
      <c r="D21876" t="inlineStr">
        <is>
          <t>Woodwick</t>
        </is>
      </c>
      <c r="E21876" t="n">
        <v>20.54</v>
      </c>
      <c r="F21876" t="n">
        <v>1</v>
      </c>
      <c r="G21876" t="n">
        <v>417</v>
      </c>
      <c r="H21876" s="5">
        <f>HYPERLINK("https://api.qogita.com/variants/link/5038581145549/", "View Product")</f>
        <v/>
      </c>
    </row>
    <row r="21877">
      <c r="A21877" t="inlineStr">
        <is>
          <t>5038581148403</t>
        </is>
      </c>
      <c r="B21877" t="inlineStr">
        <is>
          <t>Woodwick Renew Black Currant &amp; Rose Scented Candle 184 G</t>
        </is>
      </c>
      <c r="C21877" t="inlineStr">
        <is>
          <t>Candles</t>
        </is>
      </c>
      <c r="D21877" t="inlineStr">
        <is>
          <t>Woodwick</t>
        </is>
      </c>
      <c r="E21877" t="n">
        <v>15.39</v>
      </c>
      <c r="F21877" t="n">
        <v>1</v>
      </c>
      <c r="G21877" t="n">
        <v>76</v>
      </c>
      <c r="H21877" s="5">
        <f>HYPERLINK("https://api.qogita.com/variants/link/5038581148403/", "View Product")</f>
        <v/>
      </c>
    </row>
    <row r="21878">
      <c r="A21878" t="inlineStr">
        <is>
          <t>5038581148465</t>
        </is>
      </c>
      <c r="B21878" t="inlineStr">
        <is>
          <t>Woodwick Scented Candle Renew Large Glass Black Currant &amp; Rose 368 G</t>
        </is>
      </c>
      <c r="C21878" t="inlineStr">
        <is>
          <t>Candles</t>
        </is>
      </c>
      <c r="D21878" t="inlineStr">
        <is>
          <t>Woodwick</t>
        </is>
      </c>
      <c r="E21878" t="n">
        <v>20.55</v>
      </c>
      <c r="F21878" t="n">
        <v>1</v>
      </c>
      <c r="G21878" t="n">
        <v>40</v>
      </c>
      <c r="H21878" s="5">
        <f>HYPERLINK("https://api.qogita.com/variants/link/5038581148465/", "View Product")</f>
        <v/>
      </c>
    </row>
    <row r="21879">
      <c r="A21879" t="inlineStr">
        <is>
          <t>5038581148595</t>
        </is>
      </c>
      <c r="B21879" t="inlineStr">
        <is>
          <t>Woodwick Sagewood Seagrass Vase Scented Candle 609 G</t>
        </is>
      </c>
      <c r="C21879" t="inlineStr">
        <is>
          <t>Candles</t>
        </is>
      </c>
      <c r="D21879" t="inlineStr">
        <is>
          <t>Woodwick</t>
        </is>
      </c>
      <c r="E21879" t="n">
        <v>20.21</v>
      </c>
      <c r="F21879" t="n">
        <v>1</v>
      </c>
      <c r="G21879" t="n">
        <v>128</v>
      </c>
      <c r="H21879" s="5">
        <f>HYPERLINK("https://api.qogita.com/variants/link/5038581148595/", "View Product")</f>
        <v/>
      </c>
    </row>
    <row r="21880">
      <c r="A21880" t="inlineStr">
        <is>
          <t>5038581148663</t>
        </is>
      </c>
      <c r="B21880" t="inlineStr">
        <is>
          <t>WoodWick Trilogy Blooming Orchard Large Candle 609.5g</t>
        </is>
      </c>
      <c r="C21880" t="inlineStr">
        <is>
          <t>Candles</t>
        </is>
      </c>
      <c r="D21880" t="inlineStr">
        <is>
          <t>Woodwick</t>
        </is>
      </c>
      <c r="E21880" t="n">
        <v>20.21</v>
      </c>
      <c r="F21880" t="n">
        <v>1</v>
      </c>
      <c r="G21880" t="n">
        <v>66</v>
      </c>
      <c r="H21880" s="5">
        <f>HYPERLINK("https://api.qogita.com/variants/link/5038581148663/", "View Product")</f>
        <v/>
      </c>
    </row>
    <row r="21881">
      <c r="A21881" t="inlineStr">
        <is>
          <t>5038581149462</t>
        </is>
      </c>
      <c r="B21881" t="inlineStr">
        <is>
          <t>Yankee Candle Home Inspiration Sugared Strawberries Scented Candle 104 G</t>
        </is>
      </c>
      <c r="C21881" t="inlineStr">
        <is>
          <t>Candles</t>
        </is>
      </c>
      <c r="D21881" t="inlineStr">
        <is>
          <t>Yankee Candle</t>
        </is>
      </c>
      <c r="E21881" t="n">
        <v>7.13</v>
      </c>
      <c r="F21881" t="n">
        <v>1</v>
      </c>
      <c r="G21881" t="n">
        <v>66</v>
      </c>
      <c r="H21881" s="5">
        <f>HYPERLINK("https://api.qogita.com/variants/link/5038581149462/", "View Product")</f>
        <v/>
      </c>
    </row>
    <row r="21882">
      <c r="A21882" t="inlineStr">
        <is>
          <t>5038581151076</t>
        </is>
      </c>
      <c r="B21882" t="inlineStr">
        <is>
          <t>Yankee Candle Art In The Park Signature Candle Large 567 G</t>
        </is>
      </c>
      <c r="C21882" t="inlineStr">
        <is>
          <t>Candles</t>
        </is>
      </c>
      <c r="D21882" t="inlineStr">
        <is>
          <t>Yankee Candle</t>
        </is>
      </c>
      <c r="E21882" t="n">
        <v>16.57</v>
      </c>
      <c r="F21882" t="n">
        <v>1</v>
      </c>
      <c r="G21882" t="n">
        <v>3</v>
      </c>
      <c r="H21882" s="5">
        <f>HYPERLINK("https://api.qogita.com/variants/link/5038581151076/", "View Product")</f>
        <v/>
      </c>
    </row>
    <row r="21883">
      <c r="A21883" t="inlineStr">
        <is>
          <t>5038581151120</t>
        </is>
      </c>
      <c r="B21883" t="inlineStr">
        <is>
          <t>Yankee Candle Twilight Tunes Signature Candle Large 567 G</t>
        </is>
      </c>
      <c r="C21883" t="inlineStr">
        <is>
          <t>Candles</t>
        </is>
      </c>
      <c r="D21883" t="inlineStr">
        <is>
          <t>Yankee Candle</t>
        </is>
      </c>
      <c r="E21883" t="n">
        <v>19.87</v>
      </c>
      <c r="F21883" t="n">
        <v>1</v>
      </c>
      <c r="G21883" t="n">
        <v>13</v>
      </c>
      <c r="H21883" s="5">
        <f>HYPERLINK("https://api.qogita.com/variants/link/5038581151120/", "View Product")</f>
        <v/>
      </c>
    </row>
    <row r="21884">
      <c r="A21884" t="inlineStr">
        <is>
          <t>5038581151182</t>
        </is>
      </c>
      <c r="B21884" t="inlineStr">
        <is>
          <t>Yankee Candle Twilight Tunes Signature Candle 368 G</t>
        </is>
      </c>
      <c r="C21884" t="inlineStr">
        <is>
          <t>Candles</t>
        </is>
      </c>
      <c r="D21884" t="inlineStr">
        <is>
          <t>Yankee Candle</t>
        </is>
      </c>
      <c r="E21884" t="n">
        <v>18.85</v>
      </c>
      <c r="F21884" t="n">
        <v>1</v>
      </c>
      <c r="G21884" t="n">
        <v>3</v>
      </c>
      <c r="H21884" s="5">
        <f>HYPERLINK("https://api.qogita.com/variants/link/5038581151182/", "View Product")</f>
        <v/>
      </c>
    </row>
    <row r="21885">
      <c r="A21885" t="inlineStr">
        <is>
          <t>5038581151199</t>
        </is>
      </c>
      <c r="B21885" t="inlineStr">
        <is>
          <t>Yankee Candle Fragrant Candle Watercolour Skies 368g</t>
        </is>
      </c>
      <c r="C21885" t="inlineStr">
        <is>
          <t>Candles</t>
        </is>
      </c>
      <c r="D21885" t="inlineStr">
        <is>
          <t>Yankee Candle</t>
        </is>
      </c>
      <c r="E21885" t="n">
        <v>15.35</v>
      </c>
      <c r="F21885" t="n">
        <v>1</v>
      </c>
      <c r="G21885" t="n">
        <v>19</v>
      </c>
      <c r="H21885" s="5">
        <f>HYPERLINK("https://api.qogita.com/variants/link/5038581151199/", "View Product")</f>
        <v/>
      </c>
    </row>
    <row r="21886">
      <c r="A21886" t="inlineStr">
        <is>
          <t>5038581151229</t>
        </is>
      </c>
      <c r="B21886" t="inlineStr">
        <is>
          <t>Yankee Candle Cucumber Mint Cooler Signature Tumbler Candle 567 G</t>
        </is>
      </c>
      <c r="C21886" t="inlineStr">
        <is>
          <t>Candles</t>
        </is>
      </c>
      <c r="D21886" t="inlineStr">
        <is>
          <t>Yankee Candle</t>
        </is>
      </c>
      <c r="E21886" t="n">
        <v>20.08</v>
      </c>
      <c r="F21886" t="n">
        <v>1</v>
      </c>
      <c r="G21886" t="n">
        <v>49</v>
      </c>
      <c r="H21886" s="5">
        <f>HYPERLINK("https://api.qogita.com/variants/link/5038581151229/", "View Product")</f>
        <v/>
      </c>
    </row>
    <row r="21887">
      <c r="A21887" t="inlineStr">
        <is>
          <t>5038581152820</t>
        </is>
      </c>
      <c r="B21887" t="inlineStr">
        <is>
          <t>Yankee Candle Scented Candle Home Inspiration Small Pink Pine 104 G</t>
        </is>
      </c>
      <c r="C21887" t="inlineStr">
        <is>
          <t>Candles</t>
        </is>
      </c>
      <c r="D21887" t="inlineStr">
        <is>
          <t>Yankee Candle</t>
        </is>
      </c>
      <c r="E21887" t="n">
        <v>7.13</v>
      </c>
      <c r="F21887" t="n">
        <v>1</v>
      </c>
      <c r="G21887" t="n">
        <v>74</v>
      </c>
      <c r="H21887" s="5">
        <f>HYPERLINK("https://api.qogita.com/variants/link/5038581152820/", "View Product")</f>
        <v/>
      </c>
    </row>
    <row r="21888">
      <c r="A21888" t="inlineStr">
        <is>
          <t>5038581152875</t>
        </is>
      </c>
      <c r="B21888" t="inlineStr">
        <is>
          <t>Yankee Candle Home Inspiration Candle Chocolate Orange Scented Candle 538 G</t>
        </is>
      </c>
      <c r="C21888" t="inlineStr">
        <is>
          <t>Candles</t>
        </is>
      </c>
      <c r="D21888" t="inlineStr">
        <is>
          <t>Yankee Candle</t>
        </is>
      </c>
      <c r="E21888" t="n">
        <v>13.79</v>
      </c>
      <c r="F21888" t="n">
        <v>1</v>
      </c>
      <c r="G21888" t="n">
        <v>37</v>
      </c>
      <c r="H21888" s="5">
        <f>HYPERLINK("https://api.qogita.com/variants/link/5038581152875/", "View Product")</f>
        <v/>
      </c>
    </row>
    <row r="21889">
      <c r="A21889" t="inlineStr">
        <is>
          <t>5038581152882</t>
        </is>
      </c>
      <c r="B21889" t="inlineStr">
        <is>
          <t>Yankee Candle Home Inspiration Scented Candle Large Pink Pine 538 G</t>
        </is>
      </c>
      <c r="C21889" t="inlineStr">
        <is>
          <t>Candles</t>
        </is>
      </c>
      <c r="D21889" t="inlineStr">
        <is>
          <t>Yankee Candle</t>
        </is>
      </c>
      <c r="E21889" t="n">
        <v>13.44</v>
      </c>
      <c r="F21889" t="n">
        <v>1</v>
      </c>
      <c r="G21889" t="n">
        <v>60</v>
      </c>
      <c r="H21889" s="5">
        <f>HYPERLINK("https://api.qogita.com/variants/link/5038581152882/", "View Product")</f>
        <v/>
      </c>
    </row>
    <row r="21890">
      <c r="A21890" t="inlineStr">
        <is>
          <t>5038581153889</t>
        </is>
      </c>
      <c r="B21890" t="inlineStr">
        <is>
          <t>Yankee Candle Evening Riverwalk Signature Candle Large 567 G</t>
        </is>
      </c>
      <c r="C21890" t="inlineStr">
        <is>
          <t>Candles</t>
        </is>
      </c>
      <c r="D21890" t="inlineStr">
        <is>
          <t>Yankee Candle</t>
        </is>
      </c>
      <c r="E21890" t="n">
        <v>19.7</v>
      </c>
      <c r="F21890" t="n">
        <v>1</v>
      </c>
      <c r="G21890" t="n">
        <v>55</v>
      </c>
      <c r="H21890" s="5">
        <f>HYPERLINK("https://api.qogita.com/variants/link/5038581153889/", "View Product")</f>
        <v/>
      </c>
    </row>
    <row r="21891">
      <c r="A21891" t="inlineStr">
        <is>
          <t>5038581153926</t>
        </is>
      </c>
      <c r="B21891" t="inlineStr">
        <is>
          <t>Yankee Candle Holiday Cheer Tumbler Candle</t>
        </is>
      </c>
      <c r="C21891" t="inlineStr">
        <is>
          <t>Candles</t>
        </is>
      </c>
      <c r="D21891" t="inlineStr">
        <is>
          <t>Yankee Candle</t>
        </is>
      </c>
      <c r="E21891" t="n">
        <v>20.56</v>
      </c>
      <c r="F21891" t="n">
        <v>1</v>
      </c>
      <c r="G21891" t="n">
        <v>3</v>
      </c>
      <c r="H21891" s="5">
        <f>HYPERLINK("https://api.qogita.com/variants/link/5038581153926/", "View Product")</f>
        <v/>
      </c>
    </row>
    <row r="21892">
      <c r="A21892" t="inlineStr">
        <is>
          <t>5038581154060</t>
        </is>
      </c>
      <c r="B21892" t="inlineStr">
        <is>
          <t>Yankee Candle Magical Bright Lights Large Jar White Candle</t>
        </is>
      </c>
      <c r="C21892" t="inlineStr">
        <is>
          <t>Candles</t>
        </is>
      </c>
      <c r="D21892" t="inlineStr">
        <is>
          <t>Yankee Candle</t>
        </is>
      </c>
      <c r="E21892" t="n">
        <v>20.21</v>
      </c>
      <c r="F21892" t="n">
        <v>1</v>
      </c>
      <c r="G21892" t="n">
        <v>18</v>
      </c>
      <c r="H21892" s="5">
        <f>HYPERLINK("https://api.qogita.com/variants/link/5038581154060/", "View Product")</f>
        <v/>
      </c>
    </row>
    <row r="21893">
      <c r="A21893" t="inlineStr">
        <is>
          <t>5038581154169</t>
        </is>
      </c>
      <c r="B21893" t="inlineStr">
        <is>
          <t>Yankee Candle Magical Bright Lights Large Tumbler Jar Candle White</t>
        </is>
      </c>
      <c r="C21893" t="inlineStr">
        <is>
          <t>Candles</t>
        </is>
      </c>
      <c r="D21893" t="inlineStr">
        <is>
          <t>Yankee Candle</t>
        </is>
      </c>
      <c r="E21893" t="n">
        <v>20.97</v>
      </c>
      <c r="F21893" t="n">
        <v>1</v>
      </c>
      <c r="G21893" t="n">
        <v>5</v>
      </c>
      <c r="H21893" s="5">
        <f>HYPERLINK("https://api.qogita.com/variants/link/5038581154169/", "View Product")</f>
        <v/>
      </c>
    </row>
    <row r="21894">
      <c r="A21894" t="inlineStr">
        <is>
          <t>5038581155456</t>
        </is>
      </c>
      <c r="B21894" t="inlineStr">
        <is>
          <t>Yankee Candle Black Cherry Scented Candle 122g</t>
        </is>
      </c>
      <c r="C21894" t="inlineStr">
        <is>
          <t>Candles</t>
        </is>
      </c>
      <c r="D21894" t="inlineStr">
        <is>
          <t>Yankee Candle</t>
        </is>
      </c>
      <c r="E21894" t="n">
        <v>7.29</v>
      </c>
      <c r="F21894" t="n">
        <v>1</v>
      </c>
      <c r="G21894" t="n">
        <v>71</v>
      </c>
      <c r="H21894" s="5">
        <f>HYPERLINK("https://api.qogita.com/variants/link/5038581155456/", "View Product")</f>
        <v/>
      </c>
    </row>
    <row r="21895">
      <c r="A21895" t="inlineStr">
        <is>
          <t>5038581155647</t>
        </is>
      </c>
      <c r="B21895" t="inlineStr">
        <is>
          <t>Woodwick Hinoki Dahlia Scented Candle 4536 G</t>
        </is>
      </c>
      <c r="C21895" t="inlineStr">
        <is>
          <t>Candles</t>
        </is>
      </c>
      <c r="D21895" t="inlineStr">
        <is>
          <t>Woodwick</t>
        </is>
      </c>
      <c r="E21895" t="n">
        <v>20.69</v>
      </c>
      <c r="F21895" t="n">
        <v>1</v>
      </c>
      <c r="G21895" t="n">
        <v>77</v>
      </c>
      <c r="H21895" s="5">
        <f>HYPERLINK("https://api.qogita.com/variants/link/5038581155647/", "View Product")</f>
        <v/>
      </c>
    </row>
    <row r="21896">
      <c r="A21896" t="inlineStr">
        <is>
          <t>5038581155708</t>
        </is>
      </c>
      <c r="B21896" t="inlineStr">
        <is>
          <t>Woodwick Hinoki Dahlia Vase Scented Candle Vase Large 6095 G</t>
        </is>
      </c>
      <c r="C21896" t="inlineStr">
        <is>
          <t>Candles</t>
        </is>
      </c>
      <c r="D21896" t="inlineStr">
        <is>
          <t>Woodwick</t>
        </is>
      </c>
      <c r="E21896" t="n">
        <v>20.33</v>
      </c>
      <c r="F21896" t="n">
        <v>1</v>
      </c>
      <c r="G21896" t="n">
        <v>63</v>
      </c>
      <c r="H21896" s="5">
        <f>HYPERLINK("https://api.qogita.com/variants/link/5038581155708/", "View Product")</f>
        <v/>
      </c>
    </row>
    <row r="21897">
      <c r="A21897" t="inlineStr">
        <is>
          <t>5038581155715</t>
        </is>
      </c>
      <c r="B21897" t="inlineStr">
        <is>
          <t>Woodwick Evergreen Cashmere Scented Candle Vase 6095 G</t>
        </is>
      </c>
      <c r="C21897" t="inlineStr">
        <is>
          <t>Candles</t>
        </is>
      </c>
      <c r="D21897" t="inlineStr">
        <is>
          <t>Woodwick</t>
        </is>
      </c>
      <c r="E21897" t="n">
        <v>20.55</v>
      </c>
      <c r="F21897" t="n">
        <v>1</v>
      </c>
      <c r="G21897" t="n">
        <v>89</v>
      </c>
      <c r="H21897" s="5">
        <f>HYPERLINK("https://api.qogita.com/variants/link/5038581155715/", "View Product")</f>
        <v/>
      </c>
    </row>
    <row r="21898">
      <c r="A21898" t="inlineStr">
        <is>
          <t>5038581155784</t>
        </is>
      </c>
      <c r="B21898" t="inlineStr">
        <is>
          <t>Woodwick Evergreen Cashmere Vase Scented Candle Vase 275 G</t>
        </is>
      </c>
      <c r="C21898" t="inlineStr">
        <is>
          <t>Candles</t>
        </is>
      </c>
      <c r="D21898" t="inlineStr">
        <is>
          <t>Woodwick</t>
        </is>
      </c>
      <c r="E21898" t="n">
        <v>14.73</v>
      </c>
      <c r="F21898" t="n">
        <v>1</v>
      </c>
      <c r="G21898" t="n">
        <v>77</v>
      </c>
      <c r="H21898" s="5">
        <f>HYPERLINK("https://api.qogita.com/variants/link/5038581155784/", "View Product")</f>
        <v/>
      </c>
    </row>
    <row r="21899">
      <c r="A21899" t="inlineStr">
        <is>
          <t>5038581155791</t>
        </is>
      </c>
      <c r="B21899" t="inlineStr">
        <is>
          <t>WoodWick Santal Myrrh Medium Candle</t>
        </is>
      </c>
      <c r="C21899" t="inlineStr">
        <is>
          <t>Candles</t>
        </is>
      </c>
      <c r="D21899" t="inlineStr">
        <is>
          <t>Woodwick</t>
        </is>
      </c>
      <c r="E21899" t="n">
        <v>14.73</v>
      </c>
      <c r="F21899" t="n">
        <v>1</v>
      </c>
      <c r="G21899" t="n">
        <v>18</v>
      </c>
      <c r="H21899" s="5">
        <f>HYPERLINK("https://api.qogita.com/variants/link/5038581155791/", "View Product")</f>
        <v/>
      </c>
    </row>
    <row r="21900">
      <c r="A21900" t="inlineStr">
        <is>
          <t>5038581155814</t>
        </is>
      </c>
      <c r="B21900" t="inlineStr">
        <is>
          <t>Woodwick Evening Luxe Trilogy Vase Scented Candle 275 G</t>
        </is>
      </c>
      <c r="C21900" t="inlineStr">
        <is>
          <t>Candles</t>
        </is>
      </c>
      <c r="D21900" t="inlineStr">
        <is>
          <t>Woodwick</t>
        </is>
      </c>
      <c r="E21900" t="n">
        <v>15.18</v>
      </c>
      <c r="F21900" t="n">
        <v>1</v>
      </c>
      <c r="G21900" t="n">
        <v>52</v>
      </c>
      <c r="H21900" s="5">
        <f>HYPERLINK("https://api.qogita.com/variants/link/5038581155814/", "View Product")</f>
        <v/>
      </c>
    </row>
    <row r="21901">
      <c r="A21901" t="inlineStr">
        <is>
          <t>5038581155852</t>
        </is>
      </c>
      <c r="B21901" t="inlineStr">
        <is>
          <t>Scented Candle Vase Evergreen Cashmere 85g</t>
        </is>
      </c>
      <c r="C21901" t="inlineStr">
        <is>
          <t>Candles</t>
        </is>
      </c>
      <c r="D21901" t="inlineStr">
        <is>
          <t>Woodwick</t>
        </is>
      </c>
      <c r="E21901" t="n">
        <v>7.53</v>
      </c>
      <c r="F21901" t="n">
        <v>1</v>
      </c>
      <c r="G21901" t="n">
        <v>47</v>
      </c>
      <c r="H21901" s="5">
        <f>HYPERLINK("https://api.qogita.com/variants/link/5038581155852/", "View Product")</f>
        <v/>
      </c>
    </row>
    <row r="21902">
      <c r="A21902" t="inlineStr">
        <is>
          <t>5038581156026</t>
        </is>
      </c>
      <c r="B21902" t="inlineStr">
        <is>
          <t>Yankee Candle Signature Bayside Cedar Reed Diffuser Refill 200 Ml</t>
        </is>
      </c>
      <c r="C21902" t="inlineStr">
        <is>
          <t>Diffusers</t>
        </is>
      </c>
      <c r="D21902" t="inlineStr">
        <is>
          <t>Yankee Candle</t>
        </is>
      </c>
      <c r="E21902" t="n">
        <v>8.06</v>
      </c>
      <c r="F21902" t="n">
        <v>1</v>
      </c>
      <c r="G21902" t="n">
        <v>13</v>
      </c>
      <c r="H21902" s="5">
        <f>HYPERLINK("https://api.qogita.com/variants/link/5038581156026/", "View Product")</f>
        <v/>
      </c>
    </row>
    <row r="21903">
      <c r="A21903" t="inlineStr">
        <is>
          <t>5038581158334</t>
        </is>
      </c>
      <c r="B21903" t="inlineStr">
        <is>
          <t>Yankee Candle Home Inspiration Calming Cabana Scented Candle 104 G</t>
        </is>
      </c>
      <c r="C21903" t="inlineStr">
        <is>
          <t>Candles</t>
        </is>
      </c>
      <c r="D21903" t="inlineStr">
        <is>
          <t>Yankee Candle</t>
        </is>
      </c>
      <c r="E21903" t="n">
        <v>7.13</v>
      </c>
      <c r="F21903" t="n">
        <v>1</v>
      </c>
      <c r="G21903" t="n">
        <v>65</v>
      </c>
      <c r="H21903" s="5">
        <f>HYPERLINK("https://api.qogita.com/variants/link/5038581158334/", "View Product")</f>
        <v/>
      </c>
    </row>
    <row r="21904">
      <c r="A21904" t="inlineStr">
        <is>
          <t>5038581158747</t>
        </is>
      </c>
      <c r="B21904" t="inlineStr">
        <is>
          <t>Yankee Candle Sweet Vanilla Horchata Scented Candle 567g</t>
        </is>
      </c>
      <c r="C21904" t="inlineStr">
        <is>
          <t>Candles</t>
        </is>
      </c>
      <c r="D21904" t="inlineStr">
        <is>
          <t>Yankee Candle</t>
        </is>
      </c>
      <c r="E21904" t="n">
        <v>19.68</v>
      </c>
      <c r="F21904" t="n">
        <v>1</v>
      </c>
      <c r="G21904" t="n">
        <v>30</v>
      </c>
      <c r="H21904" s="5">
        <f>HYPERLINK("https://api.qogita.com/variants/link/5038581158747/", "View Product")</f>
        <v/>
      </c>
    </row>
    <row r="21905">
      <c r="A21905" t="inlineStr">
        <is>
          <t>5038581158778</t>
        </is>
      </c>
      <c r="B21905" t="inlineStr">
        <is>
          <t>Yankee Candle Aloe Agave Signature Candle Large 567 G</t>
        </is>
      </c>
      <c r="C21905" t="inlineStr">
        <is>
          <t>Candles</t>
        </is>
      </c>
      <c r="D21905" t="inlineStr">
        <is>
          <t>Yankee Candle</t>
        </is>
      </c>
      <c r="E21905" t="n">
        <v>19.4</v>
      </c>
      <c r="F21905" t="n">
        <v>1</v>
      </c>
      <c r="G21905" t="n">
        <v>43</v>
      </c>
      <c r="H21905" s="5">
        <f>HYPERLINK("https://api.qogita.com/variants/link/5038581158778/", "View Product")</f>
        <v/>
      </c>
    </row>
    <row r="21906">
      <c r="A21906" t="inlineStr">
        <is>
          <t>5038581158907</t>
        </is>
      </c>
      <c r="B21906" t="inlineStr">
        <is>
          <t>Yankee Candle Desert Blooms Signature Candle Medium Glass 368 G</t>
        </is>
      </c>
      <c r="C21906" t="inlineStr">
        <is>
          <t>Candles</t>
        </is>
      </c>
      <c r="D21906" t="inlineStr">
        <is>
          <t>Yankee Candle</t>
        </is>
      </c>
      <c r="E21906" t="n">
        <v>16.57</v>
      </c>
      <c r="F21906" t="n">
        <v>1</v>
      </c>
      <c r="G21906" t="n">
        <v>27</v>
      </c>
      <c r="H21906" s="5">
        <f>HYPERLINK("https://api.qogita.com/variants/link/5038581158907/", "View Product")</f>
        <v/>
      </c>
    </row>
    <row r="21907">
      <c r="A21907" t="inlineStr">
        <is>
          <t>5038581160191</t>
        </is>
      </c>
      <c r="B21907" t="inlineStr">
        <is>
          <t>WoodWick Manuka Honey Scented Decor Gift Candle</t>
        </is>
      </c>
      <c r="C21907" t="inlineStr">
        <is>
          <t>Candles</t>
        </is>
      </c>
      <c r="D21907" t="inlineStr">
        <is>
          <t>Woodwick</t>
        </is>
      </c>
      <c r="E21907" t="n">
        <v>20.6</v>
      </c>
      <c r="F21907" t="n">
        <v>1</v>
      </c>
      <c r="G21907" t="n">
        <v>49</v>
      </c>
      <c r="H21907" s="5">
        <f>HYPERLINK("https://api.qogita.com/variants/link/5038581160191/", "View Product")</f>
        <v/>
      </c>
    </row>
    <row r="21908">
      <c r="A21908" t="inlineStr">
        <is>
          <t>5038581160313</t>
        </is>
      </c>
      <c r="B21908" t="inlineStr">
        <is>
          <t>Woodwick Tempest Vase Scented Candle 275 G</t>
        </is>
      </c>
      <c r="C21908" t="inlineStr">
        <is>
          <t>Candles</t>
        </is>
      </c>
      <c r="D21908" t="inlineStr">
        <is>
          <t>Woodwick</t>
        </is>
      </c>
      <c r="E21908" t="n">
        <v>14.73</v>
      </c>
      <c r="F21908" t="n">
        <v>1</v>
      </c>
      <c r="G21908" t="n">
        <v>79</v>
      </c>
      <c r="H21908" s="5">
        <f>HYPERLINK("https://api.qogita.com/variants/link/5038581160313/", "View Product")</f>
        <v/>
      </c>
    </row>
    <row r="21909">
      <c r="A21909" t="inlineStr">
        <is>
          <t>5038581161440</t>
        </is>
      </c>
      <c r="B21909" t="inlineStr">
        <is>
          <t>Yankee Candle Votive Candle Afternoon Scrapbooking Home Perfume Ambiance</t>
        </is>
      </c>
      <c r="C21909" t="inlineStr">
        <is>
          <t>Candles</t>
        </is>
      </c>
      <c r="D21909" t="inlineStr">
        <is>
          <t>Yankee Candle</t>
        </is>
      </c>
      <c r="E21909" t="n">
        <v>22.89</v>
      </c>
      <c r="F21909" t="n">
        <v>1</v>
      </c>
      <c r="G21909" t="n">
        <v>6</v>
      </c>
      <c r="H21909" s="5">
        <f>HYPERLINK("https://api.qogita.com/variants/link/5038581161440/", "View Product")</f>
        <v/>
      </c>
    </row>
    <row r="21910">
      <c r="A21910" t="inlineStr">
        <is>
          <t>5038581162362</t>
        </is>
      </c>
      <c r="B21910" t="inlineStr">
        <is>
          <t>Woodwick Hypnoflora Vase Monthly Flower Scented Candle</t>
        </is>
      </c>
      <c r="C21910" t="inlineStr">
        <is>
          <t>Candles</t>
        </is>
      </c>
      <c r="D21910" t="inlineStr">
        <is>
          <t>Woodwick</t>
        </is>
      </c>
      <c r="E21910" t="n">
        <v>20.1</v>
      </c>
      <c r="F21910" t="n">
        <v>1</v>
      </c>
      <c r="G21910" t="n">
        <v>166</v>
      </c>
      <c r="H21910" s="5">
        <f>HYPERLINK("https://api.qogita.com/variants/link/5038581162362/", "View Product")</f>
        <v/>
      </c>
    </row>
    <row r="21911">
      <c r="A21911" t="inlineStr">
        <is>
          <t>5038581162416</t>
        </is>
      </c>
      <c r="B21911" t="inlineStr">
        <is>
          <t>Woodwick Scented Candle Ship Hypnoflora 4536 G</t>
        </is>
      </c>
      <c r="C21911" t="inlineStr">
        <is>
          <t>Candles</t>
        </is>
      </c>
      <c r="D21911" t="inlineStr">
        <is>
          <t>Woodwick</t>
        </is>
      </c>
      <c r="E21911" t="n">
        <v>20.58</v>
      </c>
      <c r="F21911" t="n">
        <v>1</v>
      </c>
      <c r="G21911" t="n">
        <v>153</v>
      </c>
      <c r="H21911" s="5">
        <f>HYPERLINK("https://api.qogita.com/variants/link/5038581162416/", "View Product")</f>
        <v/>
      </c>
    </row>
    <row r="21912">
      <c r="A21912" t="inlineStr">
        <is>
          <t>5038581162454</t>
        </is>
      </c>
      <c r="B21912" t="inlineStr">
        <is>
          <t>Woodwick Scented Candle Vase Medium Hypnoflora 275 Grams</t>
        </is>
      </c>
      <c r="C21912" t="inlineStr">
        <is>
          <t>Candles</t>
        </is>
      </c>
      <c r="D21912" t="inlineStr">
        <is>
          <t>Woodwick</t>
        </is>
      </c>
      <c r="E21912" t="n">
        <v>14.73</v>
      </c>
      <c r="F21912" t="n">
        <v>1</v>
      </c>
      <c r="G21912" t="n">
        <v>127</v>
      </c>
      <c r="H21912" s="5">
        <f>HYPERLINK("https://api.qogita.com/variants/link/5038581162454/", "View Product")</f>
        <v/>
      </c>
    </row>
    <row r="21913">
      <c r="A21913" t="inlineStr">
        <is>
          <t>5038581167541</t>
        </is>
      </c>
      <c r="B21913" t="inlineStr">
        <is>
          <t>Yankee Candle Aromatic Candle Signature Tumbler Small Sage Citrus 122 G</t>
        </is>
      </c>
      <c r="C21913" t="inlineStr">
        <is>
          <t>Candles</t>
        </is>
      </c>
      <c r="D21913" t="inlineStr">
        <is>
          <t>Yankee Candle</t>
        </is>
      </c>
      <c r="E21913" t="n">
        <v>7.46</v>
      </c>
      <c r="F21913" t="n">
        <v>1</v>
      </c>
      <c r="G21913" t="n">
        <v>36</v>
      </c>
      <c r="H21913" s="5">
        <f>HYPERLINK("https://api.qogita.com/variants/link/5038581167541/", "View Product")</f>
        <v/>
      </c>
    </row>
    <row r="21914">
      <c r="A21914" t="inlineStr">
        <is>
          <t>5038581167558</t>
        </is>
      </c>
      <c r="B21914" t="inlineStr">
        <is>
          <t>Yankee Candle Aromatic Candle Signature Tumbler Small Red Raspberry 122 Grams</t>
        </is>
      </c>
      <c r="C21914" t="inlineStr">
        <is>
          <t>Candles</t>
        </is>
      </c>
      <c r="D21914" t="inlineStr">
        <is>
          <t>Yankee Candle</t>
        </is>
      </c>
      <c r="E21914" t="n">
        <v>7.46</v>
      </c>
      <c r="F21914" t="n">
        <v>1</v>
      </c>
      <c r="G21914" t="n">
        <v>23</v>
      </c>
      <c r="H21914" s="5">
        <f>HYPERLINK("https://api.qogita.com/variants/link/5038581167558/", "View Product")</f>
        <v/>
      </c>
    </row>
    <row r="21915">
      <c r="A21915" t="inlineStr">
        <is>
          <t>5038633042284</t>
        </is>
      </c>
      <c r="B21915" t="inlineStr">
        <is>
          <t>Mayfair Fleur Bath and Shower Gel 250ml</t>
        </is>
      </c>
      <c r="C21915" t="inlineStr">
        <is>
          <t>Shower Gel</t>
        </is>
      </c>
      <c r="D21915" t="inlineStr">
        <is>
          <t>Mayfair</t>
        </is>
      </c>
      <c r="E21915" t="n">
        <v>3.12</v>
      </c>
      <c r="F21915" t="n">
        <v>1</v>
      </c>
      <c r="G21915" t="n">
        <v>4</v>
      </c>
      <c r="H21915" s="5">
        <f>HYPERLINK("https://api.qogita.com/variants/link/5038633042284/", "View Product")</f>
        <v/>
      </c>
    </row>
    <row r="21916">
      <c r="A21916" t="inlineStr">
        <is>
          <t>5050456073801</t>
        </is>
      </c>
      <c r="B21916" t="inlineStr">
        <is>
          <t>Jennifer Lopez JLo J Lust EDP Spray 30ml</t>
        </is>
      </c>
      <c r="C21916" t="inlineStr">
        <is>
          <t>Eau De Parfum</t>
        </is>
      </c>
      <c r="D21916" t="inlineStr">
        <is>
          <t>Jennifer Lopez</t>
        </is>
      </c>
      <c r="E21916" t="n">
        <v>15.9</v>
      </c>
      <c r="F21916" t="n">
        <v>1</v>
      </c>
      <c r="G21916" t="n">
        <v>5</v>
      </c>
      <c r="H21916" s="5">
        <f>HYPERLINK("https://api.qogita.com/variants/link/5050456073801/", "View Product")</f>
        <v/>
      </c>
    </row>
    <row r="21917">
      <c r="A21917" t="inlineStr">
        <is>
          <t>5050456081301</t>
        </is>
      </c>
      <c r="B21917" t="inlineStr">
        <is>
          <t>Jennifer Lopez JLove Fragrance Body Mist Spray 8 fl oz</t>
        </is>
      </c>
      <c r="C21917" t="inlineStr">
        <is>
          <t>Fragrance Sets</t>
        </is>
      </c>
      <c r="D21917" t="inlineStr">
        <is>
          <t>Jennifer Lopez</t>
        </is>
      </c>
      <c r="E21917" t="n">
        <v>7.12</v>
      </c>
      <c r="F21917" t="n">
        <v>1</v>
      </c>
      <c r="G21917" t="n">
        <v>16</v>
      </c>
      <c r="H21917" s="5">
        <f>HYPERLINK("https://api.qogita.com/variants/link/5050456081301/", "View Product")</f>
        <v/>
      </c>
    </row>
    <row r="21918">
      <c r="A21918" t="inlineStr">
        <is>
          <t>5050456081608</t>
        </is>
      </c>
      <c r="B21918" t="inlineStr">
        <is>
          <t>Jennifer Lopez Jluxe Fragrance Mist Body Spray 240ml</t>
        </is>
      </c>
      <c r="C21918" t="inlineStr">
        <is>
          <t>Eau De Toilette</t>
        </is>
      </c>
      <c r="D21918" t="inlineStr">
        <is>
          <t>Jennifer Lopez</t>
        </is>
      </c>
      <c r="E21918" t="n">
        <v>6.95</v>
      </c>
      <c r="F21918" t="n">
        <v>1</v>
      </c>
      <c r="G21918" t="n">
        <v>32</v>
      </c>
      <c r="H21918" s="5">
        <f>HYPERLINK("https://api.qogita.com/variants/link/5050456081608/", "View Product")</f>
        <v/>
      </c>
    </row>
    <row r="21919">
      <c r="A21919" t="inlineStr">
        <is>
          <t>5050456101108</t>
        </is>
      </c>
      <c r="B21919" t="inlineStr">
        <is>
          <t>Porsche Design Titan Eau De Toilette Spray 100ml</t>
        </is>
      </c>
      <c r="C21919" t="inlineStr">
        <is>
          <t>Eau De Toilette</t>
        </is>
      </c>
      <c r="D21919" t="inlineStr">
        <is>
          <t>Porsche Design</t>
        </is>
      </c>
      <c r="E21919" t="n">
        <v>28.65</v>
      </c>
      <c r="F21919" t="n">
        <v>1</v>
      </c>
      <c r="G21919" t="n">
        <v>2</v>
      </c>
      <c r="H21919" s="5">
        <f>HYPERLINK("https://api.qogita.com/variants/link/5050456101108/", "View Product")</f>
        <v/>
      </c>
    </row>
    <row r="21920">
      <c r="A21920" t="inlineStr">
        <is>
          <t>5050456120802</t>
        </is>
      </c>
      <c r="B21920" t="inlineStr">
        <is>
          <t>Jean Patou L'Heure Attendue Heritage Collection Eau de Parfum Spray for Women 100ml</t>
        </is>
      </c>
      <c r="C21920" t="inlineStr">
        <is>
          <t>Eau De Parfum</t>
        </is>
      </c>
      <c r="D21920" t="inlineStr">
        <is>
          <t>Jean Patou</t>
        </is>
      </c>
      <c r="E21920" t="n">
        <v>57.81</v>
      </c>
      <c r="F21920" t="n">
        <v>1</v>
      </c>
      <c r="G21920" t="n">
        <v>5</v>
      </c>
      <c r="H21920" s="5">
        <f>HYPERLINK("https://api.qogita.com/variants/link/5050456120802/", "View Product")</f>
        <v/>
      </c>
    </row>
    <row r="21921">
      <c r="A21921" t="inlineStr">
        <is>
          <t>5050456311217</t>
        </is>
      </c>
      <c r="B21921" t="inlineStr">
        <is>
          <t>Ghost Sweetheart Eau De Toilette 30ml For Women</t>
        </is>
      </c>
      <c r="C21921" t="inlineStr">
        <is>
          <t>Eau De Toilette</t>
        </is>
      </c>
      <c r="D21921" t="inlineStr">
        <is>
          <t>Ghost</t>
        </is>
      </c>
      <c r="E21921" t="n">
        <v>16.44</v>
      </c>
      <c r="F21921" t="n">
        <v>1</v>
      </c>
      <c r="G21921" t="n">
        <v>11</v>
      </c>
      <c r="H21921" s="5">
        <f>HYPERLINK("https://api.qogita.com/variants/link/5050456311217/", "View Product")</f>
        <v/>
      </c>
    </row>
    <row r="21922">
      <c r="A21922" t="inlineStr">
        <is>
          <t>5050456434251</t>
        </is>
      </c>
      <c r="B21922" t="inlineStr">
        <is>
          <t>Hawaiian Tropic Island Resort Fragrance Mist 250ml</t>
        </is>
      </c>
      <c r="C21922" t="inlineStr">
        <is>
          <t>Eau De Toilette</t>
        </is>
      </c>
      <c r="D21922" t="inlineStr">
        <is>
          <t>Hawaiian Tropic</t>
        </is>
      </c>
      <c r="E21922" t="n">
        <v>6.88</v>
      </c>
      <c r="F21922" t="n">
        <v>1</v>
      </c>
      <c r="G21922" t="n">
        <v>8</v>
      </c>
      <c r="H21922" s="5">
        <f>HYPERLINK("https://api.qogita.com/variants/link/5050456434251/", "View Product")</f>
        <v/>
      </c>
    </row>
    <row r="21923">
      <c r="A21923" t="inlineStr">
        <is>
          <t>5050456522729</t>
        </is>
      </c>
      <c r="B21923" t="inlineStr">
        <is>
          <t>Cerruti 1881 Pour Femme Eau De Toilette Spray 50ml</t>
        </is>
      </c>
      <c r="C21923" t="inlineStr">
        <is>
          <t>Eau De Toilette</t>
        </is>
      </c>
      <c r="D21923" t="inlineStr">
        <is>
          <t xml:space="preserve">Cerruti </t>
        </is>
      </c>
      <c r="E21923" t="n">
        <v>15.69</v>
      </c>
      <c r="F21923" t="n">
        <v>1</v>
      </c>
      <c r="G21923" t="n">
        <v>88</v>
      </c>
      <c r="H21923" s="5">
        <f>HYPERLINK("https://api.qogita.com/variants/link/5050456522729/", "View Product")</f>
        <v/>
      </c>
    </row>
    <row r="21924">
      <c r="A21924" t="inlineStr">
        <is>
          <t>5050456524372</t>
        </is>
      </c>
      <c r="B21924" t="inlineStr">
        <is>
          <t>Cerruti 1881 Men Deodorant Spray 150ml</t>
        </is>
      </c>
      <c r="C21924" t="inlineStr">
        <is>
          <t>Deodorant &amp; Anti-Perspirant</t>
        </is>
      </c>
      <c r="D21924" t="inlineStr">
        <is>
          <t xml:space="preserve">Cerruti </t>
        </is>
      </c>
      <c r="E21924" t="n">
        <v>7.28</v>
      </c>
      <c r="F21924" t="n">
        <v>1</v>
      </c>
      <c r="G21924" t="n">
        <v>166</v>
      </c>
      <c r="H21924" s="5">
        <f>HYPERLINK("https://api.qogita.com/variants/link/5050456524372/", "View Product")</f>
        <v/>
      </c>
    </row>
    <row r="21925">
      <c r="A21925" t="inlineStr">
        <is>
          <t>5051198586017</t>
        </is>
      </c>
      <c r="B21925" t="inlineStr">
        <is>
          <t>Miller Harris Poirier d'un Eau de Parfum Soir 100ml</t>
        </is>
      </c>
      <c r="C21925" t="inlineStr">
        <is>
          <t>Eau De Parfum</t>
        </is>
      </c>
      <c r="D21925" t="inlineStr">
        <is>
          <t>Miller Harris</t>
        </is>
      </c>
      <c r="E21925" t="n">
        <v>88.88</v>
      </c>
      <c r="F21925" t="n">
        <v>1</v>
      </c>
      <c r="G21925" t="n">
        <v>2</v>
      </c>
      <c r="H21925" s="5">
        <f>HYPERLINK("https://api.qogita.com/variants/link/5051198586017/", "View Product")</f>
        <v/>
      </c>
    </row>
    <row r="21926">
      <c r="A21926" t="inlineStr">
        <is>
          <t>5051198597655</t>
        </is>
      </c>
      <c r="B21926" t="inlineStr">
        <is>
          <t>Miller Harris Coeur De Jardin Eau De Parfum Spray 50ml</t>
        </is>
      </c>
      <c r="C21926" t="inlineStr">
        <is>
          <t>Eau De Parfum</t>
        </is>
      </c>
      <c r="D21926" t="inlineStr">
        <is>
          <t>Miller Harris</t>
        </is>
      </c>
      <c r="E21926" t="n">
        <v>72.48999999999999</v>
      </c>
      <c r="F21926" t="n">
        <v>1</v>
      </c>
      <c r="G21926" t="n">
        <v>5</v>
      </c>
      <c r="H21926" s="5">
        <f>HYPERLINK("https://api.qogita.com/variants/link/5051198597655/", "View Product")</f>
        <v/>
      </c>
    </row>
    <row r="21927">
      <c r="A21927" t="inlineStr">
        <is>
          <t>5051198680678</t>
        </is>
      </c>
      <c r="B21927" t="inlineStr">
        <is>
          <t>Miller Harris Etui Noir - Unisex Eau De Parfum 1.7 Oz</t>
        </is>
      </c>
      <c r="C21927" t="inlineStr">
        <is>
          <t>Eau De Parfum</t>
        </is>
      </c>
      <c r="D21927" t="inlineStr">
        <is>
          <t>Miller Harris</t>
        </is>
      </c>
      <c r="E21927" t="n">
        <v>69.62</v>
      </c>
      <c r="F21927" t="n">
        <v>1</v>
      </c>
      <c r="G21927" t="n">
        <v>5</v>
      </c>
      <c r="H21927" s="5">
        <f>HYPERLINK("https://api.qogita.com/variants/link/5051198680678/", "View Product")</f>
        <v/>
      </c>
    </row>
    <row r="21928">
      <c r="A21928" t="inlineStr">
        <is>
          <t>5051198770072</t>
        </is>
      </c>
      <c r="B21928" t="inlineStr">
        <is>
          <t>Miller Harris Peau Santal Eau De Parfum Spray 100ml</t>
        </is>
      </c>
      <c r="C21928" t="inlineStr">
        <is>
          <t>Eau De Parfum</t>
        </is>
      </c>
      <c r="D21928" t="inlineStr">
        <is>
          <t>Miller Harris</t>
        </is>
      </c>
      <c r="E21928" t="n">
        <v>91</v>
      </c>
      <c r="F21928" t="n">
        <v>1</v>
      </c>
      <c r="G21928" t="n">
        <v>3</v>
      </c>
      <c r="H21928" s="5">
        <f>HYPERLINK("https://api.qogita.com/variants/link/5051198770072/", "View Product")</f>
        <v/>
      </c>
    </row>
    <row r="21929">
      <c r="A21929" t="inlineStr">
        <is>
          <t>5051198891036</t>
        </is>
      </c>
      <c r="B21929" t="inlineStr">
        <is>
          <t>Miller Harris Reverie De Bergamote Eau De Parfum Spray 50ml</t>
        </is>
      </c>
      <c r="C21929" t="inlineStr">
        <is>
          <t>Eau De Parfum</t>
        </is>
      </c>
      <c r="D21929" t="inlineStr">
        <is>
          <t>Miller Harris</t>
        </is>
      </c>
      <c r="E21929" t="n">
        <v>72.48999999999999</v>
      </c>
      <c r="F21929" t="n">
        <v>1</v>
      </c>
      <c r="G21929" t="n">
        <v>7</v>
      </c>
      <c r="H21929" s="5">
        <f>HYPERLINK("https://api.qogita.com/variants/link/5051198891036/", "View Product")</f>
        <v/>
      </c>
    </row>
    <row r="21930">
      <c r="A21930" t="inlineStr">
        <is>
          <t>5051198895034</t>
        </is>
      </c>
      <c r="B21930" t="inlineStr">
        <is>
          <t>Miller Harris Leather Rouge Eau de Parfum 100ml</t>
        </is>
      </c>
      <c r="C21930" t="inlineStr">
        <is>
          <t>Eau De Parfum</t>
        </is>
      </c>
      <c r="D21930" t="inlineStr">
        <is>
          <t>Miller Harris</t>
        </is>
      </c>
      <c r="E21930" t="n">
        <v>115.82</v>
      </c>
      <c r="F21930" t="n">
        <v>1</v>
      </c>
      <c r="G21930" t="n">
        <v>5</v>
      </c>
      <c r="H21930" s="5">
        <f>HYPERLINK("https://api.qogita.com/variants/link/5051198895034/", "View Product")</f>
        <v/>
      </c>
    </row>
    <row r="21931">
      <c r="A21931" t="inlineStr">
        <is>
          <t>5052197038033</t>
        </is>
      </c>
      <c r="B21931" t="inlineStr">
        <is>
          <t>Scholl Gel Active Everyday Gel Insoles For Women 1 Pair</t>
        </is>
      </c>
      <c r="C21931" t="inlineStr">
        <is>
          <t>Foot Care Sets</t>
        </is>
      </c>
      <c r="D21931" t="inlineStr">
        <is>
          <t>Scholl</t>
        </is>
      </c>
      <c r="E21931" t="n">
        <v>10.84</v>
      </c>
      <c r="F21931" t="n">
        <v>1</v>
      </c>
      <c r="G21931" t="n">
        <v>2</v>
      </c>
      <c r="H21931" s="5">
        <f>HYPERLINK("https://api.qogita.com/variants/link/5052197038033/", "View Product")</f>
        <v/>
      </c>
    </row>
    <row r="21932">
      <c r="A21932" t="inlineStr">
        <is>
          <t>5054563948328</t>
        </is>
      </c>
      <c r="B21932" t="inlineStr">
        <is>
          <t>Parodontax Complete Protection - Extra Fresh 75ml Toothpaste</t>
        </is>
      </c>
      <c r="C21932" t="inlineStr">
        <is>
          <t>Toothpaste</t>
        </is>
      </c>
      <c r="D21932" t="inlineStr">
        <is>
          <t>Parodontax</t>
        </is>
      </c>
      <c r="E21932" t="n">
        <v>4.11</v>
      </c>
      <c r="F21932" t="n">
        <v>1</v>
      </c>
      <c r="G21932" t="n">
        <v>123</v>
      </c>
      <c r="H21932" s="5">
        <f>HYPERLINK("https://api.qogita.com/variants/link/5054563948328/", "View Product")</f>
        <v/>
      </c>
    </row>
    <row r="21933">
      <c r="A21933" t="inlineStr">
        <is>
          <t>5055810007935</t>
        </is>
      </c>
      <c r="B21933" t="inlineStr">
        <is>
          <t>Al Wataniah Bareeq Al Dhahab - Unisex Fragrance</t>
        </is>
      </c>
      <c r="C21933" t="inlineStr">
        <is>
          <t>Eau De Parfum</t>
        </is>
      </c>
      <c r="D21933" t="inlineStr">
        <is>
          <t>Al Wataniah</t>
        </is>
      </c>
      <c r="E21933" t="n">
        <v>12.99</v>
      </c>
      <c r="F21933" t="n">
        <v>1</v>
      </c>
      <c r="G21933" t="n">
        <v>3</v>
      </c>
      <c r="H21933" s="5">
        <f>HYPERLINK("https://api.qogita.com/variants/link/5055810007935/", "View Product")</f>
        <v/>
      </c>
    </row>
    <row r="21934">
      <c r="A21934" t="inlineStr">
        <is>
          <t>5055810012151</t>
        </is>
      </c>
      <c r="B21934" t="inlineStr">
        <is>
          <t>Al Wataniah Marjaan Unisex Perfume</t>
        </is>
      </c>
      <c r="C21934" t="inlineStr">
        <is>
          <t>Eau De Parfum</t>
        </is>
      </c>
      <c r="D21934" t="inlineStr">
        <is>
          <t>Al Wataniah</t>
        </is>
      </c>
      <c r="E21934" t="n">
        <v>12.5</v>
      </c>
      <c r="F21934" t="n">
        <v>1</v>
      </c>
      <c r="G21934" t="n">
        <v>31</v>
      </c>
      <c r="H21934" s="5">
        <f>HYPERLINK("https://api.qogita.com/variants/link/5055810012151/", "View Product")</f>
        <v/>
      </c>
    </row>
    <row r="21935">
      <c r="A21935" t="inlineStr">
        <is>
          <t>5055810014926</t>
        </is>
      </c>
      <c r="B21935" t="inlineStr">
        <is>
          <t>Al Wataniah Thahaani Eau De Parfum Spray 100ml</t>
        </is>
      </c>
      <c r="C21935" t="inlineStr">
        <is>
          <t>Eau De Parfum</t>
        </is>
      </c>
      <c r="D21935" t="inlineStr">
        <is>
          <t>Al Wataniah</t>
        </is>
      </c>
      <c r="E21935" t="n">
        <v>10.16</v>
      </c>
      <c r="F21935" t="n">
        <v>1</v>
      </c>
      <c r="G21935" t="n">
        <v>80</v>
      </c>
      <c r="H21935" s="5">
        <f>HYPERLINK("https://api.qogita.com/variants/link/5055810014926/", "View Product")</f>
        <v/>
      </c>
    </row>
    <row r="21936">
      <c r="A21936" t="inlineStr">
        <is>
          <t>5055810030131</t>
        </is>
      </c>
      <c r="B21936" t="inlineStr">
        <is>
          <t>Al Wataniah Oud Mystery Intense Eau De Parfum Spray 100ml</t>
        </is>
      </c>
      <c r="C21936" t="inlineStr">
        <is>
          <t>Eau De Parfum</t>
        </is>
      </c>
      <c r="D21936" t="inlineStr">
        <is>
          <t>Al Wataniah</t>
        </is>
      </c>
      <c r="E21936" t="n">
        <v>12.31</v>
      </c>
      <c r="F21936" t="n">
        <v>1</v>
      </c>
      <c r="G21936" t="n">
        <v>12</v>
      </c>
      <c r="H21936" s="5">
        <f>HYPERLINK("https://api.qogita.com/variants/link/5055810030131/", "View Product")</f>
        <v/>
      </c>
    </row>
    <row r="21937">
      <c r="A21937" t="inlineStr">
        <is>
          <t>5055810030285</t>
        </is>
      </c>
      <c r="B21937" t="inlineStr">
        <is>
          <t>Al Wataniah Selena Eau De Parfum 100ml Spray</t>
        </is>
      </c>
      <c r="C21937" t="inlineStr">
        <is>
          <t>Eau De Parfum</t>
        </is>
      </c>
      <c r="D21937" t="inlineStr">
        <is>
          <t>Al Wataniah</t>
        </is>
      </c>
      <c r="E21937" t="n">
        <v>16.24</v>
      </c>
      <c r="F21937" t="n">
        <v>1</v>
      </c>
      <c r="G21937" t="n">
        <v>21</v>
      </c>
      <c r="H21937" s="5">
        <f>HYPERLINK("https://api.qogita.com/variants/link/5055810030285/", "View Product")</f>
        <v/>
      </c>
    </row>
    <row r="21938">
      <c r="A21938" t="inlineStr">
        <is>
          <t>5055810030421</t>
        </is>
      </c>
      <c r="B21938" t="inlineStr">
        <is>
          <t>Al Wataniah Kayaan Gold Luxury Perfume for Men Eau De Parfum 100ml</t>
        </is>
      </c>
      <c r="C21938" t="inlineStr">
        <is>
          <t>Eau De Parfum</t>
        </is>
      </c>
      <c r="D21938" t="inlineStr">
        <is>
          <t>Al Wataniah</t>
        </is>
      </c>
      <c r="E21938" t="n">
        <v>16.37</v>
      </c>
      <c r="F21938" t="n">
        <v>1</v>
      </c>
      <c r="G21938" t="n">
        <v>33</v>
      </c>
      <c r="H21938" s="5">
        <f>HYPERLINK("https://api.qogita.com/variants/link/5055810030421/", "View Product")</f>
        <v/>
      </c>
    </row>
    <row r="21939">
      <c r="A21939" t="inlineStr">
        <is>
          <t>5055810039028</t>
        </is>
      </c>
      <c r="B21939" t="inlineStr">
        <is>
          <t>Al Wataniah Amethyst Eau De Parfum For Women</t>
        </is>
      </c>
      <c r="C21939" t="inlineStr">
        <is>
          <t>Eau De Parfum</t>
        </is>
      </c>
      <c r="D21939" t="inlineStr">
        <is>
          <t>Al Wataniah</t>
        </is>
      </c>
      <c r="E21939" t="n">
        <v>11.96</v>
      </c>
      <c r="F21939" t="n">
        <v>1</v>
      </c>
      <c r="G21939" t="n">
        <v>8</v>
      </c>
      <c r="H21939" s="5">
        <f>HYPERLINK("https://api.qogita.com/variants/link/5055810039028/", "View Product")</f>
        <v/>
      </c>
    </row>
    <row r="21940">
      <c r="A21940" t="inlineStr">
        <is>
          <t>5055810039141</t>
        </is>
      </c>
      <c r="B21940" t="inlineStr">
        <is>
          <t>Tubbees Strawberry Cheesecake Eau De Parfum for Kids and Women 50ml 1.7oz</t>
        </is>
      </c>
      <c r="C21940" t="inlineStr">
        <is>
          <t>Eau De Parfum</t>
        </is>
      </c>
      <c r="D21940" t="inlineStr">
        <is>
          <t>Tejan</t>
        </is>
      </c>
      <c r="E21940" t="n">
        <v>6.86</v>
      </c>
      <c r="F21940" t="n">
        <v>1</v>
      </c>
      <c r="G21940" t="n">
        <v>5</v>
      </c>
      <c r="H21940" s="5">
        <f>HYPERLINK("https://api.qogita.com/variants/link/5055810039141/", "View Product")</f>
        <v/>
      </c>
    </row>
    <row r="21941">
      <c r="A21941" t="inlineStr">
        <is>
          <t>5055810039196</t>
        </is>
      </c>
      <c r="B21941" t="inlineStr">
        <is>
          <t>Nwb Malaki By Grandeur Eau De Parfum 100ml</t>
        </is>
      </c>
      <c r="C21941" t="inlineStr">
        <is>
          <t>Eau De Parfum</t>
        </is>
      </c>
      <c r="D21941" t="inlineStr">
        <is>
          <t>Grandeur</t>
        </is>
      </c>
      <c r="E21941" t="n">
        <v>6.86</v>
      </c>
      <c r="F21941" t="n">
        <v>1</v>
      </c>
      <c r="G21941" t="n">
        <v>11</v>
      </c>
      <c r="H21941" s="5">
        <f>HYPERLINK("https://api.qogita.com/variants/link/5055810039196/", "View Product")</f>
        <v/>
      </c>
    </row>
    <row r="21942">
      <c r="A21942" t="inlineStr">
        <is>
          <t>5055810042806</t>
        </is>
      </c>
      <c r="B21942" t="inlineStr">
        <is>
          <t>Al Wataniah Tibyan Eau De Parfum Spray 100ml</t>
        </is>
      </c>
      <c r="C21942" t="inlineStr">
        <is>
          <t>Eau De Parfum</t>
        </is>
      </c>
      <c r="D21942" t="inlineStr">
        <is>
          <t>Al Wataniah</t>
        </is>
      </c>
      <c r="E21942" t="n">
        <v>11.74</v>
      </c>
      <c r="F21942" t="n">
        <v>1</v>
      </c>
      <c r="G21942" t="n">
        <v>31</v>
      </c>
      <c r="H21942" s="5">
        <f>HYPERLINK("https://api.qogita.com/variants/link/5055810042806/", "View Product")</f>
        <v/>
      </c>
    </row>
    <row r="21943">
      <c r="A21943" t="inlineStr">
        <is>
          <t>5055810042813</t>
        </is>
      </c>
      <c r="B21943" t="inlineStr">
        <is>
          <t>Al Wataniah Al Wataniah Hayat Eau De Parfum Spray 100ml</t>
        </is>
      </c>
      <c r="C21943" t="inlineStr">
        <is>
          <t>Eau De Parfum</t>
        </is>
      </c>
      <c r="D21943" t="inlineStr">
        <is>
          <t>Al Wataniah</t>
        </is>
      </c>
      <c r="E21943" t="n">
        <v>11.94</v>
      </c>
      <c r="F21943" t="n">
        <v>1</v>
      </c>
      <c r="G21943" t="n">
        <v>108</v>
      </c>
      <c r="H21943" s="5">
        <f>HYPERLINK("https://api.qogita.com/variants/link/5055810042813/", "View Product")</f>
        <v/>
      </c>
    </row>
    <row r="21944">
      <c r="A21944" t="inlineStr">
        <is>
          <t>5055810043049</t>
        </is>
      </c>
      <c r="B21944" t="inlineStr">
        <is>
          <t>Al Wataniah Massad Royale - Eau De Parfum</t>
        </is>
      </c>
      <c r="C21944" t="inlineStr">
        <is>
          <t>Eau De Parfum</t>
        </is>
      </c>
      <c r="D21944" t="inlineStr">
        <is>
          <t>Al Wataniah</t>
        </is>
      </c>
      <c r="E21944" t="n">
        <v>26.63</v>
      </c>
      <c r="F21944" t="n">
        <v>1</v>
      </c>
      <c r="G21944" t="n">
        <v>131</v>
      </c>
      <c r="H21944" s="5">
        <f>HYPERLINK("https://api.qogita.com/variants/link/5055810043049/", "View Product")</f>
        <v/>
      </c>
    </row>
    <row r="21945">
      <c r="A21945" t="inlineStr">
        <is>
          <t>5055810099152</t>
        </is>
      </c>
      <c r="B21945" t="inlineStr">
        <is>
          <t>Al Wataniah Castilla Eau De Parfum</t>
        </is>
      </c>
      <c r="C21945" t="inlineStr">
        <is>
          <t>Eau De Parfum</t>
        </is>
      </c>
      <c r="D21945" t="inlineStr">
        <is>
          <t>Al Wataniah</t>
        </is>
      </c>
      <c r="E21945" t="n">
        <v>12.57</v>
      </c>
      <c r="F21945" t="n">
        <v>1</v>
      </c>
      <c r="G21945" t="n">
        <v>2</v>
      </c>
      <c r="H21945" s="5">
        <f>HYPERLINK("https://api.qogita.com/variants/link/5055810099152/", "View Product")</f>
        <v/>
      </c>
    </row>
    <row r="21946">
      <c r="A21946" t="inlineStr">
        <is>
          <t>5055810099619</t>
        </is>
      </c>
      <c r="B21946" t="inlineStr">
        <is>
          <t>Al Wataniah Musk Collection Candy Musk Body Mist 250ml</t>
        </is>
      </c>
      <c r="C21946" t="inlineStr">
        <is>
          <t>Eau De Toilette</t>
        </is>
      </c>
      <c r="D21946" t="inlineStr">
        <is>
          <t>Al Wataniah</t>
        </is>
      </c>
      <c r="E21946" t="n">
        <v>4.41</v>
      </c>
      <c r="F21946" t="n">
        <v>1</v>
      </c>
      <c r="G21946" t="n">
        <v>21</v>
      </c>
      <c r="H21946" s="5">
        <f>HYPERLINK("https://api.qogita.com/variants/link/5055810099619/", "View Product")</f>
        <v/>
      </c>
    </row>
    <row r="21947">
      <c r="A21947" t="inlineStr">
        <is>
          <t>5056245010811</t>
        </is>
      </c>
      <c r="B21947" t="inlineStr">
        <is>
          <t>Penhaligon's The World According To Arthur Eau De Parfum Spray 75ml</t>
        </is>
      </c>
      <c r="C21947" t="inlineStr">
        <is>
          <t>Eau De Parfum</t>
        </is>
      </c>
      <c r="D21947" t="inlineStr">
        <is>
          <t>Penhaligon's London</t>
        </is>
      </c>
      <c r="E21947" t="n">
        <v>210.17</v>
      </c>
      <c r="F21947" t="n">
        <v>1</v>
      </c>
      <c r="G21947" t="n">
        <v>1</v>
      </c>
      <c r="H21947" s="5">
        <f>HYPERLINK("https://api.qogita.com/variants/link/5056245010811/", "View Product")</f>
        <v/>
      </c>
    </row>
    <row r="21948">
      <c r="A21948" t="inlineStr">
        <is>
          <t>5056245011290</t>
        </is>
      </c>
      <c r="B21948" t="inlineStr">
        <is>
          <t>Penhaligon's Artemisia Eau De Parfum Spray 100ml</t>
        </is>
      </c>
      <c r="C21948" t="inlineStr">
        <is>
          <t>Eau De Parfum</t>
        </is>
      </c>
      <c r="D21948" t="inlineStr">
        <is>
          <t>Penhaligon's London</t>
        </is>
      </c>
      <c r="E21948" t="n">
        <v>135.58</v>
      </c>
      <c r="F21948" t="n">
        <v>1</v>
      </c>
      <c r="G21948" t="n">
        <v>23</v>
      </c>
      <c r="H21948" s="5">
        <f>HYPERLINK("https://api.qogita.com/variants/link/5056245011290/", "View Product")</f>
        <v/>
      </c>
    </row>
    <row r="21949">
      <c r="A21949" t="inlineStr">
        <is>
          <t>5056245011528</t>
        </is>
      </c>
      <c r="B21949" t="inlineStr">
        <is>
          <t>Penhaligon's Quercus Eau De Cologne Spray 100ml</t>
        </is>
      </c>
      <c r="C21949" t="inlineStr">
        <is>
          <t>Eau De Cologne</t>
        </is>
      </c>
      <c r="D21949" t="inlineStr">
        <is>
          <t>Penhaligon's London</t>
        </is>
      </c>
      <c r="E21949" t="n">
        <v>110.91</v>
      </c>
      <c r="F21949" t="n">
        <v>1</v>
      </c>
      <c r="G21949" t="n">
        <v>34</v>
      </c>
      <c r="H21949" s="5">
        <f>HYPERLINK("https://api.qogita.com/variants/link/5056245011528/", "View Product")</f>
        <v/>
      </c>
    </row>
    <row r="21950">
      <c r="A21950" t="inlineStr">
        <is>
          <t>5056245021572</t>
        </is>
      </c>
      <c r="B21950" t="inlineStr">
        <is>
          <t>Penhaligon's Halfeti Leather Eau De Parfum 100ml</t>
        </is>
      </c>
      <c r="C21950" t="inlineStr">
        <is>
          <t>Eau De Parfum</t>
        </is>
      </c>
      <c r="D21950" t="inlineStr">
        <is>
          <t>Penhaligon's London</t>
        </is>
      </c>
      <c r="E21950" t="n">
        <v>222.27</v>
      </c>
      <c r="F21950" t="n">
        <v>1</v>
      </c>
      <c r="G21950" t="n">
        <v>2</v>
      </c>
      <c r="H21950" s="5">
        <f>HYPERLINK("https://api.qogita.com/variants/link/5056245021572/", "View Product")</f>
        <v/>
      </c>
    </row>
    <row r="21951">
      <c r="A21951" t="inlineStr">
        <is>
          <t>5056245026317</t>
        </is>
      </c>
      <c r="B21951" t="inlineStr">
        <is>
          <t>Penhaligon's Highgrove Bouquet Eau De Parfum Spray 100ml</t>
        </is>
      </c>
      <c r="C21951" t="inlineStr">
        <is>
          <t>Eau De Parfum</t>
        </is>
      </c>
      <c r="D21951" t="inlineStr">
        <is>
          <t>Penhaligon's London</t>
        </is>
      </c>
      <c r="E21951" t="n">
        <v>151.02</v>
      </c>
      <c r="F21951" t="n">
        <v>1</v>
      </c>
      <c r="G21951" t="n">
        <v>3</v>
      </c>
      <c r="H21951" s="5">
        <f>HYPERLINK("https://api.qogita.com/variants/link/5056245026317/", "View Product")</f>
        <v/>
      </c>
    </row>
    <row r="21952">
      <c r="A21952" t="inlineStr">
        <is>
          <t>5056245026423</t>
        </is>
      </c>
      <c r="B21952" t="inlineStr">
        <is>
          <t>Penhaligon's Eau The Audacity Eau De Parfum 100ml</t>
        </is>
      </c>
      <c r="C21952" t="inlineStr">
        <is>
          <t>Eau De Parfum</t>
        </is>
      </c>
      <c r="D21952" t="inlineStr">
        <is>
          <t>Penhaligon's London</t>
        </is>
      </c>
      <c r="E21952" t="n">
        <v>165.44</v>
      </c>
      <c r="F21952" t="n">
        <v>1</v>
      </c>
      <c r="G21952" t="n">
        <v>4</v>
      </c>
      <c r="H21952" s="5">
        <f>HYPERLINK("https://api.qogita.com/variants/link/5056245026423/", "View Product")</f>
        <v/>
      </c>
    </row>
    <row r="21953">
      <c r="A21953" t="inlineStr">
        <is>
          <t>5056245026430</t>
        </is>
      </c>
      <c r="B21953" t="inlineStr">
        <is>
          <t>Penhaligon's A Kiss Of Bliss Perfume</t>
        </is>
      </c>
      <c r="C21953" t="inlineStr">
        <is>
          <t>Eau De Parfum</t>
        </is>
      </c>
      <c r="D21953" t="inlineStr">
        <is>
          <t>Penhaligon's London</t>
        </is>
      </c>
      <c r="E21953" t="n">
        <v>162.82</v>
      </c>
      <c r="F21953" t="n">
        <v>1</v>
      </c>
      <c r="G21953" t="n">
        <v>3</v>
      </c>
      <c r="H21953" s="5">
        <f>HYPERLINK("https://api.qogita.com/variants/link/5056245026430/", "View Product")</f>
        <v/>
      </c>
    </row>
    <row r="21954">
      <c r="A21954" t="inlineStr">
        <is>
          <t>5056245045387</t>
        </is>
      </c>
      <c r="B21954" t="inlineStr">
        <is>
          <t>Penhaligon's The Dandy Eau De Parfum - 100ml</t>
        </is>
      </c>
      <c r="C21954" t="inlineStr">
        <is>
          <t>Eau De Parfum</t>
        </is>
      </c>
      <c r="D21954" t="inlineStr">
        <is>
          <t>Penhaligon's London</t>
        </is>
      </c>
      <c r="E21954" t="n">
        <v>135.74</v>
      </c>
      <c r="F21954" t="n">
        <v>1</v>
      </c>
      <c r="G21954" t="n">
        <v>5</v>
      </c>
      <c r="H21954" s="5">
        <f>HYPERLINK("https://api.qogita.com/variants/link/5056245045387/", "View Product")</f>
        <v/>
      </c>
    </row>
    <row r="21955">
      <c r="A21955" t="inlineStr">
        <is>
          <t>5056264705583</t>
        </is>
      </c>
      <c r="B21955" t="inlineStr">
        <is>
          <t>Ren Glow and Protect Vitamin C Serum 30ml Antioxidant Brightening Serum</t>
        </is>
      </c>
      <c r="C21955" t="inlineStr">
        <is>
          <t>Vitamin Serum</t>
        </is>
      </c>
      <c r="D21955" t="inlineStr">
        <is>
          <t>Ren Clean Skincare</t>
        </is>
      </c>
      <c r="E21955" t="n">
        <v>45.89</v>
      </c>
      <c r="F21955" t="n">
        <v>1</v>
      </c>
      <c r="G21955" t="n">
        <v>3</v>
      </c>
      <c r="H21955" s="5">
        <f>HYPERLINK("https://api.qogita.com/variants/link/5056264705583/", "View Product")</f>
        <v/>
      </c>
    </row>
    <row r="21956">
      <c r="A21956" t="inlineStr">
        <is>
          <t>5056264707723</t>
        </is>
      </c>
      <c r="B21956" t="inlineStr">
        <is>
          <t>Everhydrate Marine Moisture-Restore Serum Hydrating Face Serum 30ml</t>
        </is>
      </c>
      <c r="C21956" t="inlineStr">
        <is>
          <t>Hydrating Serum</t>
        </is>
      </c>
      <c r="D21956" t="inlineStr">
        <is>
          <t>Everhydrate</t>
        </is>
      </c>
      <c r="E21956" t="n">
        <v>23.26</v>
      </c>
      <c r="F21956" t="n">
        <v>1</v>
      </c>
      <c r="G21956" t="n">
        <v>5</v>
      </c>
      <c r="H21956" s="5">
        <f>HYPERLINK("https://api.qogita.com/variants/link/5056264707723/", "View Product")</f>
        <v/>
      </c>
    </row>
    <row r="21957">
      <c r="A21957" t="inlineStr">
        <is>
          <t>5056379590838</t>
        </is>
      </c>
      <c r="B21957" t="inlineStr">
        <is>
          <t>Christophe Robin Colour Shield Cleansing Mask 250ml</t>
        </is>
      </c>
      <c r="C21957" t="inlineStr">
        <is>
          <t>Hair Masks</t>
        </is>
      </c>
      <c r="D21957" t="inlineStr">
        <is>
          <t>Christophe Robin</t>
        </is>
      </c>
      <c r="E21957" t="n">
        <v>21.78</v>
      </c>
      <c r="F21957" t="n">
        <v>1</v>
      </c>
      <c r="G21957" t="n">
        <v>2</v>
      </c>
      <c r="H21957" s="5">
        <f>HYPERLINK("https://api.qogita.com/variants/link/5056379590838/", "View Product")</f>
        <v/>
      </c>
    </row>
    <row r="21958">
      <c r="A21958" t="inlineStr">
        <is>
          <t>5056585800042</t>
        </is>
      </c>
      <c r="B21958" t="inlineStr">
        <is>
          <t>Scholl In-Balance Plantar Fasciitis Insole - 1 Pair</t>
        </is>
      </c>
      <c r="C21958" t="inlineStr">
        <is>
          <t>Foot Cream</t>
        </is>
      </c>
      <c r="D21958" t="inlineStr">
        <is>
          <t>Scholl</t>
        </is>
      </c>
      <c r="E21958" t="n">
        <v>11.55</v>
      </c>
      <c r="F21958" t="n">
        <v>1</v>
      </c>
      <c r="G21958" t="n">
        <v>3</v>
      </c>
      <c r="H21958" s="5">
        <f>HYPERLINK("https://api.qogita.com/variants/link/5056585800042/", "View Product")</f>
        <v/>
      </c>
    </row>
    <row r="21959">
      <c r="A21959" t="inlineStr">
        <is>
          <t>5056634204845</t>
        </is>
      </c>
      <c r="B21959" t="inlineStr">
        <is>
          <t>Grace Cole Body Care Gift Set Pear Nectarine Flower 5 Pieces</t>
        </is>
      </c>
      <c r="C21959" t="inlineStr">
        <is>
          <t>Body Care Sets</t>
        </is>
      </c>
      <c r="D21959" t="inlineStr">
        <is>
          <t>Grace Cole</t>
        </is>
      </c>
      <c r="E21959" t="n">
        <v>17.13</v>
      </c>
      <c r="F21959" t="n">
        <v>1</v>
      </c>
      <c r="G21959" t="n">
        <v>2</v>
      </c>
      <c r="H21959" s="5">
        <f>HYPERLINK("https://api.qogita.com/variants/link/5056634204845/", "View Product")</f>
        <v/>
      </c>
    </row>
    <row r="21960">
      <c r="A21960" t="inlineStr">
        <is>
          <t>5056634207013</t>
        </is>
      </c>
      <c r="B21960" t="inlineStr">
        <is>
          <t>Grace Cole Gift Set Hand Cream And Mug - Christmas Sweets Cocoa Vanilla</t>
        </is>
      </c>
      <c r="C21960" t="inlineStr">
        <is>
          <t>Hand Care Sets</t>
        </is>
      </c>
      <c r="D21960" t="inlineStr">
        <is>
          <t>Grace Cole</t>
        </is>
      </c>
      <c r="E21960" t="n">
        <v>10.63</v>
      </c>
      <c r="F21960" t="n">
        <v>1</v>
      </c>
      <c r="G21960" t="n">
        <v>4</v>
      </c>
      <c r="H21960" s="5">
        <f>HYPERLINK("https://api.qogita.com/variants/link/5056634207013/", "View Product")</f>
        <v/>
      </c>
    </row>
    <row r="21961">
      <c r="A21961" t="inlineStr">
        <is>
          <t>5056634207532</t>
        </is>
      </c>
      <c r="B21961" t="inlineStr">
        <is>
          <t>Grace Cole Body Care Gift Set Vanilla Almond 4 Pieces</t>
        </is>
      </c>
      <c r="C21961" t="inlineStr">
        <is>
          <t>Body Care Sets</t>
        </is>
      </c>
      <c r="D21961" t="inlineStr">
        <is>
          <t>Grace Cole</t>
        </is>
      </c>
      <c r="E21961" t="n">
        <v>10.7</v>
      </c>
      <c r="F21961" t="n">
        <v>1</v>
      </c>
      <c r="G21961" t="n">
        <v>5</v>
      </c>
      <c r="H21961" s="5">
        <f>HYPERLINK("https://api.qogita.com/variants/link/5056634207532/", "View Product")</f>
        <v/>
      </c>
    </row>
    <row r="21962">
      <c r="A21962" t="inlineStr">
        <is>
          <t>5056634217814</t>
        </is>
      </c>
      <c r="B21962" t="inlineStr">
        <is>
          <t>Grace Cole Hand Care Gift Set Vanilla - 2 Pieces</t>
        </is>
      </c>
      <c r="C21962" t="inlineStr">
        <is>
          <t>Hand Care Sets</t>
        </is>
      </c>
      <c r="D21962" t="inlineStr">
        <is>
          <t>Grace Cole</t>
        </is>
      </c>
      <c r="E21962" t="n">
        <v>11.77</v>
      </c>
      <c r="F21962" t="n">
        <v>1</v>
      </c>
      <c r="G21962" t="n">
        <v>5</v>
      </c>
      <c r="H21962" s="5">
        <f>HYPERLINK("https://api.qogita.com/variants/link/5056634217814/", "View Product")</f>
        <v/>
      </c>
    </row>
    <row r="21963">
      <c r="A21963" t="inlineStr">
        <is>
          <t>5056634220463</t>
        </is>
      </c>
      <c r="B21963" t="inlineStr">
        <is>
          <t>Gift Set Orange &amp; Ylang Ylang 4 pcs</t>
        </is>
      </c>
      <c r="C21963" t="inlineStr">
        <is>
          <t>Diffusers</t>
        </is>
      </c>
      <c r="D21963" t="inlineStr">
        <is>
          <t>Grace Cole</t>
        </is>
      </c>
      <c r="E21963" t="n">
        <v>14.25</v>
      </c>
      <c r="F21963" t="n">
        <v>1</v>
      </c>
      <c r="G21963" t="n">
        <v>15</v>
      </c>
      <c r="H21963" s="5">
        <f>HYPERLINK("https://api.qogita.com/variants/link/5056634220463/", "View Product")</f>
        <v/>
      </c>
    </row>
    <row r="21964">
      <c r="A21964" t="inlineStr">
        <is>
          <t>5056634229879</t>
        </is>
      </c>
      <c r="B21964" t="inlineStr">
        <is>
          <t>Grace Cole Body Care Gift Set In A Bag Peony Peach Raspberry 5 Pieces</t>
        </is>
      </c>
      <c r="C21964" t="inlineStr">
        <is>
          <t>Body Care Sets</t>
        </is>
      </c>
      <c r="D21964" t="inlineStr">
        <is>
          <t>Grace Cole</t>
        </is>
      </c>
      <c r="E21964" t="n">
        <v>17.13</v>
      </c>
      <c r="F21964" t="n">
        <v>1</v>
      </c>
      <c r="G21964" t="n">
        <v>2</v>
      </c>
      <c r="H21964" s="5">
        <f>HYPERLINK("https://api.qogita.com/variants/link/5056634229879/", "View Product")</f>
        <v/>
      </c>
    </row>
    <row r="21965">
      <c r="A21965" t="inlineStr">
        <is>
          <t>5056634246418</t>
        </is>
      </c>
      <c r="B21965" t="inlineStr">
        <is>
          <t>Grace Cole Fig Cranberry Bath Foam Bath Soak - 600 Ml</t>
        </is>
      </c>
      <c r="C21965" t="inlineStr">
        <is>
          <t>Bath Foam</t>
        </is>
      </c>
      <c r="D21965" t="inlineStr">
        <is>
          <t>Grace Cole</t>
        </is>
      </c>
      <c r="E21965" t="n">
        <v>14.97</v>
      </c>
      <c r="F21965" t="n">
        <v>1</v>
      </c>
      <c r="G21965" t="n">
        <v>38</v>
      </c>
      <c r="H21965" s="5">
        <f>HYPERLINK("https://api.qogita.com/variants/link/5056634246418/", "View Product")</f>
        <v/>
      </c>
    </row>
    <row r="21966">
      <c r="A21966" t="inlineStr">
        <is>
          <t>5056634254222</t>
        </is>
      </c>
      <c r="B21966" t="inlineStr">
        <is>
          <t>Grace Cole Body Care Gift Set In A Tin Can Vanilla Almond 4 Pieces</t>
        </is>
      </c>
      <c r="C21966" t="inlineStr">
        <is>
          <t>Body Care Sets</t>
        </is>
      </c>
      <c r="D21966" t="inlineStr">
        <is>
          <t>Grace Cole</t>
        </is>
      </c>
      <c r="E21966" t="n">
        <v>12.83</v>
      </c>
      <c r="F21966" t="n">
        <v>1</v>
      </c>
      <c r="G21966" t="n">
        <v>4</v>
      </c>
      <c r="H21966" s="5">
        <f>HYPERLINK("https://api.qogita.com/variants/link/5056634254222/", "View Product")</f>
        <v/>
      </c>
    </row>
    <row r="21967">
      <c r="A21967" t="inlineStr">
        <is>
          <t>5056634256134</t>
        </is>
      </c>
      <c r="B21967" t="inlineStr">
        <is>
          <t>Grace Cole Vanilla Body Care Set 3 Pieces</t>
        </is>
      </c>
      <c r="C21967" t="inlineStr">
        <is>
          <t>Body Care Sets</t>
        </is>
      </c>
      <c r="D21967" t="inlineStr">
        <is>
          <t>Grace Cole</t>
        </is>
      </c>
      <c r="E21967" t="n">
        <v>9.16</v>
      </c>
      <c r="F21967" t="n">
        <v>1</v>
      </c>
      <c r="G21967" t="n">
        <v>8</v>
      </c>
      <c r="H21967" s="5">
        <f>HYPERLINK("https://api.qogita.com/variants/link/5056634256134/", "View Product")</f>
        <v/>
      </c>
    </row>
    <row r="21968">
      <c r="A21968" t="inlineStr">
        <is>
          <t>5056634266256</t>
        </is>
      </c>
      <c r="B21968" t="inlineStr">
        <is>
          <t>Grace Cole Lavender Body Care Gift Set - 4 Pieces</t>
        </is>
      </c>
      <c r="C21968" t="inlineStr">
        <is>
          <t>Body Care Sets</t>
        </is>
      </c>
      <c r="D21968" t="inlineStr">
        <is>
          <t>Grace Cole</t>
        </is>
      </c>
      <c r="E21968" t="n">
        <v>10.7</v>
      </c>
      <c r="F21968" t="n">
        <v>1</v>
      </c>
      <c r="G21968" t="n">
        <v>22</v>
      </c>
      <c r="H21968" s="5">
        <f>HYPERLINK("https://api.qogita.com/variants/link/5056634266256/", "View Product")</f>
        <v/>
      </c>
    </row>
    <row r="21969">
      <c r="A21969" t="inlineStr">
        <is>
          <t>5056634274381</t>
        </is>
      </c>
      <c r="B21969" t="inlineStr">
        <is>
          <t>Grace Cole Body Care Gift Set In Tin Can Creme Brulee Orange Blossom - 4 Pieces</t>
        </is>
      </c>
      <c r="C21969" t="inlineStr">
        <is>
          <t>Body Care Sets</t>
        </is>
      </c>
      <c r="D21969" t="inlineStr">
        <is>
          <t>Grace Cole</t>
        </is>
      </c>
      <c r="E21969" t="n">
        <v>12.83</v>
      </c>
      <c r="F21969" t="n">
        <v>1</v>
      </c>
      <c r="G21969" t="n">
        <v>4</v>
      </c>
      <c r="H21969" s="5">
        <f>HYPERLINK("https://api.qogita.com/variants/link/5056634274381/", "View Product")</f>
        <v/>
      </c>
    </row>
    <row r="21970">
      <c r="A21970" t="inlineStr">
        <is>
          <t>5056634275869</t>
        </is>
      </c>
      <c r="B21970" t="inlineStr">
        <is>
          <t>Grace Cole Body Care Gift Set In Tin Can With Bergamot, Ginger, And Lemongrass - 5 Pieces</t>
        </is>
      </c>
      <c r="C21970" t="inlineStr">
        <is>
          <t>Body Care Sets</t>
        </is>
      </c>
      <c r="D21970" t="inlineStr">
        <is>
          <t>Grace Cole</t>
        </is>
      </c>
      <c r="E21970" t="n">
        <v>18.18</v>
      </c>
      <c r="F21970" t="n">
        <v>1</v>
      </c>
      <c r="G21970" t="n">
        <v>18</v>
      </c>
      <c r="H21970" s="5">
        <f>HYPERLINK("https://api.qogita.com/variants/link/5056634275869/", "View Product")</f>
        <v/>
      </c>
    </row>
    <row r="21971">
      <c r="A21971" t="inlineStr">
        <is>
          <t>5056634281303</t>
        </is>
      </c>
      <c r="B21971" t="inlineStr">
        <is>
          <t>Grace Cole Sparkling Pear Hand Care Set Pear &amp; Nectarine Flower 2 Pieces</t>
        </is>
      </c>
      <c r="C21971" t="inlineStr">
        <is>
          <t>Hand Care Sets</t>
        </is>
      </c>
      <c r="D21971" t="inlineStr">
        <is>
          <t>Grace Cole</t>
        </is>
      </c>
      <c r="E21971" t="n">
        <v>16.95</v>
      </c>
      <c r="F21971" t="n">
        <v>1</v>
      </c>
      <c r="G21971" t="n">
        <v>8</v>
      </c>
      <c r="H21971" s="5">
        <f>HYPERLINK("https://api.qogita.com/variants/link/5056634281303/", "View Product")</f>
        <v/>
      </c>
    </row>
    <row r="21972">
      <c r="A21972" t="inlineStr">
        <is>
          <t>5056634299148</t>
        </is>
      </c>
      <c r="B21972" t="inlineStr">
        <is>
          <t>Grace Cole Bath Soak Bubble Fig Cranberry 250 Ml</t>
        </is>
      </c>
      <c r="C21972" t="inlineStr">
        <is>
          <t>Bath Foam</t>
        </is>
      </c>
      <c r="D21972" t="inlineStr">
        <is>
          <t>Grace Cole</t>
        </is>
      </c>
      <c r="E21972" t="n">
        <v>6.71</v>
      </c>
      <c r="F21972" t="n">
        <v>1</v>
      </c>
      <c r="G21972" t="n">
        <v>5</v>
      </c>
      <c r="H21972" s="5">
        <f>HYPERLINK("https://api.qogita.com/variants/link/5056634299148/", "View Product")</f>
        <v/>
      </c>
    </row>
    <row r="21973">
      <c r="A21973" t="inlineStr">
        <is>
          <t>5056663800322</t>
        </is>
      </c>
      <c r="B21973" t="inlineStr">
        <is>
          <t>Roja Parfums Reckless Eau De Parfum Spray 75ml</t>
        </is>
      </c>
      <c r="C21973" t="inlineStr">
        <is>
          <t>Eau De Parfum</t>
        </is>
      </c>
      <c r="D21973" t="inlineStr">
        <is>
          <t>Roja Parfums</t>
        </is>
      </c>
      <c r="E21973" t="n">
        <v>134.78</v>
      </c>
      <c r="F21973" t="n">
        <v>1</v>
      </c>
      <c r="G21973" t="n">
        <v>4</v>
      </c>
      <c r="H21973" s="5">
        <f>HYPERLINK("https://api.qogita.com/variants/link/5056663800322/", "View Product")</f>
        <v/>
      </c>
    </row>
    <row r="21974">
      <c r="A21974" t="inlineStr">
        <is>
          <t>5056663800469</t>
        </is>
      </c>
      <c r="B21974" t="inlineStr">
        <is>
          <t>Roja Parfums Roja Neu Elysium Pour Femme Eau De Parfum 75 Ml</t>
        </is>
      </c>
      <c r="C21974" t="inlineStr">
        <is>
          <t>Eau De Parfum</t>
        </is>
      </c>
      <c r="D21974" t="inlineStr">
        <is>
          <t>Roja Parfums</t>
        </is>
      </c>
      <c r="E21974" t="n">
        <v>156.55</v>
      </c>
      <c r="F21974" t="n">
        <v>1</v>
      </c>
      <c r="G21974" t="n">
        <v>27</v>
      </c>
      <c r="H21974" s="5">
        <f>HYPERLINK("https://api.qogita.com/variants/link/5056663800469/", "View Product")</f>
        <v/>
      </c>
    </row>
    <row r="21975">
      <c r="A21975" t="inlineStr">
        <is>
          <t>5056663800629</t>
        </is>
      </c>
      <c r="B21975" t="inlineStr">
        <is>
          <t>Roja Parfums Roja Amber Aoud Parfum 50 Ml</t>
        </is>
      </c>
      <c r="C21975" t="inlineStr">
        <is>
          <t>Eau De Parfum</t>
        </is>
      </c>
      <c r="D21975" t="inlineStr">
        <is>
          <t>Roja Parfums</t>
        </is>
      </c>
      <c r="E21975" t="n">
        <v>189.31</v>
      </c>
      <c r="F21975" t="n">
        <v>1</v>
      </c>
      <c r="G21975" t="n">
        <v>7</v>
      </c>
      <c r="H21975" s="5">
        <f>HYPERLINK("https://api.qogita.com/variants/link/5056663800629/", "View Product")</f>
        <v/>
      </c>
    </row>
    <row r="21976">
      <c r="A21976" t="inlineStr">
        <is>
          <t>5056663801244</t>
        </is>
      </c>
      <c r="B21976" t="inlineStr">
        <is>
          <t>Roja Parfums Enigma Aoud Parfum Spray 50ml</t>
        </is>
      </c>
      <c r="C21976" t="inlineStr">
        <is>
          <t>Eau De Parfum</t>
        </is>
      </c>
      <c r="D21976" t="inlineStr">
        <is>
          <t>Roja Parfums</t>
        </is>
      </c>
      <c r="E21976" t="n">
        <v>163.53</v>
      </c>
      <c r="F21976" t="n">
        <v>1</v>
      </c>
      <c r="G21976" t="n">
        <v>6</v>
      </c>
      <c r="H21976" s="5">
        <f>HYPERLINK("https://api.qogita.com/variants/link/5056663801244/", "View Product")</f>
        <v/>
      </c>
    </row>
    <row r="21977">
      <c r="A21977" t="inlineStr">
        <is>
          <t>5057566027045</t>
        </is>
      </c>
      <c r="B21977" t="inlineStr">
        <is>
          <t>Makeup Revolution Renaissance Lipliner Waterproof Lip Pencil Untouched 1 G</t>
        </is>
      </c>
      <c r="C21977" t="inlineStr">
        <is>
          <t>Lip Liner</t>
        </is>
      </c>
      <c r="D21977" t="inlineStr">
        <is>
          <t>Makeup Revolution</t>
        </is>
      </c>
      <c r="E21977" t="n">
        <v>3.48</v>
      </c>
      <c r="F21977" t="n">
        <v>1</v>
      </c>
      <c r="G21977" t="n">
        <v>8</v>
      </c>
      <c r="H21977" s="5">
        <f>HYPERLINK("https://api.qogita.com/variants/link/5057566027045/", "View Product")</f>
        <v/>
      </c>
    </row>
    <row r="21978">
      <c r="A21978" t="inlineStr">
        <is>
          <t>5057566028523</t>
        </is>
      </c>
      <c r="B21978" t="inlineStr">
        <is>
          <t>Makeup Revolution Revolution Pro Matte Nude Lipstick Collection Set Of Five Lipsticks 5 X 32 G</t>
        </is>
      </c>
      <c r="C21978" t="inlineStr">
        <is>
          <t>Lip Sets</t>
        </is>
      </c>
      <c r="D21978" t="inlineStr">
        <is>
          <t>Makeup Revolution</t>
        </is>
      </c>
      <c r="E21978" t="n">
        <v>8.77</v>
      </c>
      <c r="F21978" t="n">
        <v>1</v>
      </c>
      <c r="G21978" t="n">
        <v>5</v>
      </c>
      <c r="H21978" s="5">
        <f>HYPERLINK("https://api.qogita.com/variants/link/5057566028523/", "View Product")</f>
        <v/>
      </c>
    </row>
    <row r="21979">
      <c r="A21979" t="inlineStr">
        <is>
          <t>5057566040006</t>
        </is>
      </c>
      <c r="B21979" t="inlineStr">
        <is>
          <t>Makeup Revolution Parental Advisory Pandemonium Palette 12 G</t>
        </is>
      </c>
      <c r="C21979" t="inlineStr">
        <is>
          <t>Eye Sets &amp; Pallets</t>
        </is>
      </c>
      <c r="D21979" t="inlineStr">
        <is>
          <t>Makeup Revolution</t>
        </is>
      </c>
      <c r="E21979" t="n">
        <v>12.41</v>
      </c>
      <c r="F21979" t="n">
        <v>1</v>
      </c>
      <c r="G21979" t="n">
        <v>2</v>
      </c>
      <c r="H21979" s="5">
        <f>HYPERLINK("https://api.qogita.com/variants/link/5057566040006/", "View Product")</f>
        <v/>
      </c>
    </row>
    <row r="21980">
      <c r="A21980" t="inlineStr">
        <is>
          <t>5057566040761</t>
        </is>
      </c>
      <c r="B21980" t="inlineStr">
        <is>
          <t>Revolution Conceal and Define Supersize Concealer C4</t>
        </is>
      </c>
      <c r="C21980" t="inlineStr">
        <is>
          <t>Concealer</t>
        </is>
      </c>
      <c r="D21980" t="inlineStr">
        <is>
          <t>Makeup Revolution</t>
        </is>
      </c>
      <c r="E21980" t="n">
        <v>5.76</v>
      </c>
      <c r="F21980" t="n">
        <v>1</v>
      </c>
      <c r="G21980" t="n">
        <v>5</v>
      </c>
      <c r="H21980" s="5">
        <f>HYPERLINK("https://api.qogita.com/variants/link/5057566040761/", "View Product")</f>
        <v/>
      </c>
    </row>
    <row r="21981">
      <c r="A21981" t="inlineStr">
        <is>
          <t>5057566064859</t>
        </is>
      </c>
      <c r="B21981" t="inlineStr">
        <is>
          <t>Makeup Revolution Cheek Kit Fresh Perspective Face Bronzing Highlighter Palette 4 Shades 8.8g</t>
        </is>
      </c>
      <c r="C21981" t="inlineStr">
        <is>
          <t>Highlighter</t>
        </is>
      </c>
      <c r="D21981" t="inlineStr">
        <is>
          <t>Makeup Revolution</t>
        </is>
      </c>
      <c r="E21981" t="n">
        <v>6.18</v>
      </c>
      <c r="F21981" t="n">
        <v>1</v>
      </c>
      <c r="G21981" t="n">
        <v>8</v>
      </c>
      <c r="H21981" s="5">
        <f>HYPERLINK("https://api.qogita.com/variants/link/5057566064859/", "View Product")</f>
        <v/>
      </c>
    </row>
    <row r="21982">
      <c r="A21982" t="inlineStr">
        <is>
          <t>5057566072137</t>
        </is>
      </c>
      <c r="B21982" t="inlineStr">
        <is>
          <t>Makeup Revolution Luxury Powder Mineral Powder 32 G Banana</t>
        </is>
      </c>
      <c r="C21982" t="inlineStr">
        <is>
          <t>Powder</t>
        </is>
      </c>
      <c r="D21982" t="inlineStr">
        <is>
          <t>Makeup Revolution</t>
        </is>
      </c>
      <c r="E21982" t="n">
        <v>7.04</v>
      </c>
      <c r="F21982" t="n">
        <v>1</v>
      </c>
      <c r="G21982" t="n">
        <v>9</v>
      </c>
      <c r="H21982" s="5">
        <f>HYPERLINK("https://api.qogita.com/variants/link/5057566072137/", "View Product")</f>
        <v/>
      </c>
    </row>
    <row r="21983">
      <c r="A21983" t="inlineStr">
        <is>
          <t>5057566085878</t>
        </is>
      </c>
      <c r="B21983" t="inlineStr">
        <is>
          <t>Makeup Revolution Reloaded Highlighter Highly Pigmented Face Powder</t>
        </is>
      </c>
      <c r="C21983" t="inlineStr">
        <is>
          <t>Highlighter</t>
        </is>
      </c>
      <c r="D21983" t="inlineStr">
        <is>
          <t>Revolution Beauty</t>
        </is>
      </c>
      <c r="E21983" t="n">
        <v>5.35</v>
      </c>
      <c r="F21983" t="n">
        <v>1</v>
      </c>
      <c r="G21983" t="n">
        <v>2</v>
      </c>
      <c r="H21983" s="5">
        <f>HYPERLINK("https://api.qogita.com/variants/link/5057566085878/", "View Product")</f>
        <v/>
      </c>
    </row>
    <row r="21984">
      <c r="A21984" t="inlineStr">
        <is>
          <t>5057566085922</t>
        </is>
      </c>
      <c r="B21984" t="inlineStr">
        <is>
          <t>Makeup Revolution Reloaded Highlighter Brightener Shade Make An Impact 100 G</t>
        </is>
      </c>
      <c r="C21984" t="inlineStr">
        <is>
          <t>Highlighter</t>
        </is>
      </c>
      <c r="D21984" t="inlineStr">
        <is>
          <t>Makeup Revolution</t>
        </is>
      </c>
      <c r="E21984" t="n">
        <v>5.35</v>
      </c>
      <c r="F21984" t="n">
        <v>1</v>
      </c>
      <c r="G21984" t="n">
        <v>5</v>
      </c>
      <c r="H21984" s="5">
        <f>HYPERLINK("https://api.qogita.com/variants/link/5057566085922/", "View Product")</f>
        <v/>
      </c>
    </row>
    <row r="21985">
      <c r="A21985" t="inlineStr">
        <is>
          <t>5057566086820</t>
        </is>
      </c>
      <c r="B21985" t="inlineStr">
        <is>
          <t>Makeup Revolution Reloaded Long Weekend Powder Bronzer Baked Bronzer 15 G</t>
        </is>
      </c>
      <c r="C21985" t="inlineStr">
        <is>
          <t>Bronzer</t>
        </is>
      </c>
      <c r="D21985" t="inlineStr">
        <is>
          <t>Makeup Revolution</t>
        </is>
      </c>
      <c r="E21985" t="n">
        <v>5.35</v>
      </c>
      <c r="F21985" t="n">
        <v>1</v>
      </c>
      <c r="G21985" t="n">
        <v>23</v>
      </c>
      <c r="H21985" s="5">
        <f>HYPERLINK("https://api.qogita.com/variants/link/5057566086820/", "View Product")</f>
        <v/>
      </c>
    </row>
    <row r="21986">
      <c r="A21986" t="inlineStr">
        <is>
          <t>5057566095310</t>
        </is>
      </c>
      <c r="B21986" t="inlineStr">
        <is>
          <t>Makeup Revolution Loose Baking Powder Banana Light Transparent Powder 320 G</t>
        </is>
      </c>
      <c r="C21986" t="inlineStr">
        <is>
          <t>Powder</t>
        </is>
      </c>
      <c r="D21986" t="inlineStr">
        <is>
          <t>Makeup Revolution</t>
        </is>
      </c>
      <c r="E21986" t="n">
        <v>7.04</v>
      </c>
      <c r="F21986" t="n">
        <v>1</v>
      </c>
      <c r="G21986" t="n">
        <v>15</v>
      </c>
      <c r="H21986" s="5">
        <f>HYPERLINK("https://api.qogita.com/variants/link/5057566095310/", "View Product")</f>
        <v/>
      </c>
    </row>
    <row r="21987">
      <c r="A21987" t="inlineStr">
        <is>
          <t>5057566099448</t>
        </is>
      </c>
      <c r="B21987" t="inlineStr">
        <is>
          <t>Makeup Revolution Reloaded Palette Iconic 30 Eyeshadow Palette 165 G</t>
        </is>
      </c>
      <c r="C21987" t="inlineStr">
        <is>
          <t>Eye Sets &amp; Pallets</t>
        </is>
      </c>
      <c r="D21987" t="inlineStr">
        <is>
          <t>Makeup Revolution</t>
        </is>
      </c>
      <c r="E21987" t="n">
        <v>6.56</v>
      </c>
      <c r="F21987" t="n">
        <v>1</v>
      </c>
      <c r="G21987" t="n">
        <v>24</v>
      </c>
      <c r="H21987" s="5">
        <f>HYPERLINK("https://api.qogita.com/variants/link/5057566099448/", "View Product")</f>
        <v/>
      </c>
    </row>
    <row r="21988">
      <c r="A21988" t="inlineStr">
        <is>
          <t>5057566133517</t>
        </is>
      </c>
      <c r="B21988" t="inlineStr">
        <is>
          <t>Revolution Maxi Reloaded Eyeshadow Dream Big 60.75g</t>
        </is>
      </c>
      <c r="C21988" t="inlineStr">
        <is>
          <t>Eyeshadow</t>
        </is>
      </c>
      <c r="D21988" t="inlineStr">
        <is>
          <t>Makeup Revolution</t>
        </is>
      </c>
      <c r="E21988" t="n">
        <v>7.15</v>
      </c>
      <c r="F21988" t="n">
        <v>1</v>
      </c>
      <c r="G21988" t="n">
        <v>19</v>
      </c>
      <c r="H21988" s="5">
        <f>HYPERLINK("https://api.qogita.com/variants/link/5057566133517/", "View Product")</f>
        <v/>
      </c>
    </row>
    <row r="21989">
      <c r="A21989" t="inlineStr">
        <is>
          <t>5057566137461</t>
        </is>
      </c>
      <c r="B21989" t="inlineStr">
        <is>
          <t>Revolution Skincare 3% Vitamin C Serum Clear</t>
        </is>
      </c>
      <c r="C21989" t="inlineStr">
        <is>
          <t>Vitamin Serum</t>
        </is>
      </c>
      <c r="D21989" t="inlineStr">
        <is>
          <t>Revolution Skincare</t>
        </is>
      </c>
      <c r="E21989" t="n">
        <v>9.52</v>
      </c>
      <c r="F21989" t="n">
        <v>1</v>
      </c>
      <c r="G21989" t="n">
        <v>5</v>
      </c>
      <c r="H21989" s="5">
        <f>HYPERLINK("https://api.qogita.com/variants/link/5057566137461/", "View Product")</f>
        <v/>
      </c>
    </row>
    <row r="21990">
      <c r="A21990" t="inlineStr">
        <is>
          <t>5057566137935</t>
        </is>
      </c>
      <c r="B21990" t="inlineStr">
        <is>
          <t>Makeup Revolution Star Bath Fizzer Kit Gift Set 3 X 40 G Coconut Scented Bath Bombs</t>
        </is>
      </c>
      <c r="C21990" t="inlineStr">
        <is>
          <t>Bath Salts &amp; Bath Bombs</t>
        </is>
      </c>
      <c r="D21990" t="inlineStr">
        <is>
          <t>Makeup Revolution</t>
        </is>
      </c>
      <c r="E21990" t="n">
        <v>5.92</v>
      </c>
      <c r="F21990" t="n">
        <v>1</v>
      </c>
      <c r="G21990" t="n">
        <v>5</v>
      </c>
      <c r="H21990" s="5">
        <f>HYPERLINK("https://api.qogita.com/variants/link/5057566137935/", "View Product")</f>
        <v/>
      </c>
    </row>
    <row r="21991">
      <c r="A21991" t="inlineStr">
        <is>
          <t>5057566146623</t>
        </is>
      </c>
      <c r="B21991" t="inlineStr">
        <is>
          <t>Revolution Skincare Rose Quartz Roller 1 Piece For Skin Care</t>
        </is>
      </c>
      <c r="C21991" t="inlineStr">
        <is>
          <t>Facial Massage</t>
        </is>
      </c>
      <c r="D21991" t="inlineStr">
        <is>
          <t>Revolution Skincare</t>
        </is>
      </c>
      <c r="E21991" t="n">
        <v>13.34</v>
      </c>
      <c r="F21991" t="n">
        <v>1</v>
      </c>
      <c r="G21991" t="n">
        <v>5</v>
      </c>
      <c r="H21991" s="5">
        <f>HYPERLINK("https://api.qogita.com/variants/link/5057566146623/", "View Product")</f>
        <v/>
      </c>
    </row>
    <row r="21992">
      <c r="A21992" t="inlineStr">
        <is>
          <t>5057566157636</t>
        </is>
      </c>
      <c r="B21992" t="inlineStr">
        <is>
          <t>Makeup Revolution Pout Bomb Plumping Gloss Lip Plumper with Vitamin E 4.6ml Candy</t>
        </is>
      </c>
      <c r="C21992" t="inlineStr">
        <is>
          <t>Lip Plumper</t>
        </is>
      </c>
      <c r="D21992" t="inlineStr">
        <is>
          <t>Makeup Revolution</t>
        </is>
      </c>
      <c r="E21992" t="n">
        <v>7.04</v>
      </c>
      <c r="F21992" t="n">
        <v>1</v>
      </c>
      <c r="G21992" t="n">
        <v>7</v>
      </c>
      <c r="H21992" s="5">
        <f>HYPERLINK("https://api.qogita.com/variants/link/5057566157636/", "View Product")</f>
        <v/>
      </c>
    </row>
    <row r="21993">
      <c r="A21993" t="inlineStr">
        <is>
          <t>5057566157643</t>
        </is>
      </c>
      <c r="B21993" t="inlineStr">
        <is>
          <t>Makeup Revolution Pout Bomb Plumping Lip Gloss 46 Ml Peachy</t>
        </is>
      </c>
      <c r="C21993" t="inlineStr">
        <is>
          <t>Lip Gloss</t>
        </is>
      </c>
      <c r="D21993" t="inlineStr">
        <is>
          <t>Makeup Revolution</t>
        </is>
      </c>
      <c r="E21993" t="n">
        <v>7.04</v>
      </c>
      <c r="F21993" t="n">
        <v>1</v>
      </c>
      <c r="G21993" t="n">
        <v>5</v>
      </c>
      <c r="H21993" s="5">
        <f>HYPERLINK("https://api.qogita.com/variants/link/5057566157643/", "View Product")</f>
        <v/>
      </c>
    </row>
    <row r="21994">
      <c r="A21994" t="inlineStr">
        <is>
          <t>5057566157681</t>
        </is>
      </c>
      <c r="B21994" t="inlineStr">
        <is>
          <t>Makeup Revolution Pout Bomb Plumping Lip Gloss 46 Ml</t>
        </is>
      </c>
      <c r="C21994" t="inlineStr">
        <is>
          <t>Lip Gloss</t>
        </is>
      </c>
      <c r="D21994" t="inlineStr">
        <is>
          <t>Makeup Revolution</t>
        </is>
      </c>
      <c r="E21994" t="n">
        <v>7.04</v>
      </c>
      <c r="F21994" t="n">
        <v>1</v>
      </c>
      <c r="G21994" t="n">
        <v>3</v>
      </c>
      <c r="H21994" s="5">
        <f>HYPERLINK("https://api.qogita.com/variants/link/5057566157681/", "View Product")</f>
        <v/>
      </c>
    </row>
    <row r="21995">
      <c r="A21995" t="inlineStr">
        <is>
          <t>5057566172677</t>
        </is>
      </c>
      <c r="B21995" t="inlineStr">
        <is>
          <t>Makeup Revolution Revolution Pro Nath Collection Neutrals Shadow Palette 165 G</t>
        </is>
      </c>
      <c r="C21995" t="inlineStr">
        <is>
          <t>Eye Sets &amp; Pallets</t>
        </is>
      </c>
      <c r="D21995" t="inlineStr">
        <is>
          <t>Makeup Revolution</t>
        </is>
      </c>
      <c r="E21995" t="n">
        <v>5.84</v>
      </c>
      <c r="F21995" t="n">
        <v>1</v>
      </c>
      <c r="G21995" t="n">
        <v>11</v>
      </c>
      <c r="H21995" s="5">
        <f>HYPERLINK("https://api.qogita.com/variants/link/5057566172677/", "View Product")</f>
        <v/>
      </c>
    </row>
    <row r="21996">
      <c r="A21996" t="inlineStr">
        <is>
          <t>5057566176095</t>
        </is>
      </c>
      <c r="B21996" t="inlineStr">
        <is>
          <t>Revolution Skincare Skincare Acid Peel Peeling Solution 30 Ml For Oily Skin</t>
        </is>
      </c>
      <c r="C21996" t="inlineStr">
        <is>
          <t>Facial Scrub &amp; Peeling</t>
        </is>
      </c>
      <c r="D21996" t="inlineStr">
        <is>
          <t>Revolution Skincare</t>
        </is>
      </c>
      <c r="E21996" t="n">
        <v>11.6</v>
      </c>
      <c r="F21996" t="n">
        <v>1</v>
      </c>
      <c r="G21996" t="n">
        <v>4</v>
      </c>
      <c r="H21996" s="5">
        <f>HYPERLINK("https://api.qogita.com/variants/link/5057566176095/", "View Product")</f>
        <v/>
      </c>
    </row>
    <row r="21997">
      <c r="A21997" t="inlineStr">
        <is>
          <t>5057566176408</t>
        </is>
      </c>
      <c r="B21997" t="inlineStr">
        <is>
          <t>Makeup Revolution Brow Sculpt Kit Dark 2.2g</t>
        </is>
      </c>
      <c r="C21997" t="inlineStr">
        <is>
          <t>Eyebrow Sets &amp; Pallets</t>
        </is>
      </c>
      <c r="D21997" t="inlineStr">
        <is>
          <t>Makeup Revolution</t>
        </is>
      </c>
      <c r="E21997" t="n">
        <v>6.56</v>
      </c>
      <c r="F21997" t="n">
        <v>1</v>
      </c>
      <c r="G21997" t="n">
        <v>4</v>
      </c>
      <c r="H21997" s="5">
        <f>HYPERLINK("https://api.qogita.com/variants/link/5057566176408/", "View Product")</f>
        <v/>
      </c>
    </row>
    <row r="21998">
      <c r="A21998" t="inlineStr">
        <is>
          <t>5057566176415</t>
        </is>
      </c>
      <c r="B21998" t="inlineStr">
        <is>
          <t>Makeup Revolution Brow Sculpt Kit Eyebrow Set 22 G Brown</t>
        </is>
      </c>
      <c r="C21998" t="inlineStr">
        <is>
          <t>Eyebrow Sets &amp; Pallets</t>
        </is>
      </c>
      <c r="D21998" t="inlineStr">
        <is>
          <t>Makeup Revolution</t>
        </is>
      </c>
      <c r="E21998" t="n">
        <v>6.56</v>
      </c>
      <c r="F21998" t="n">
        <v>1</v>
      </c>
      <c r="G21998" t="n">
        <v>7</v>
      </c>
      <c r="H21998" s="5">
        <f>HYPERLINK("https://api.qogita.com/variants/link/5057566176415/", "View Product")</f>
        <v/>
      </c>
    </row>
    <row r="21999">
      <c r="A21999" t="inlineStr">
        <is>
          <t>5057566176422</t>
        </is>
      </c>
      <c r="B21999" t="inlineStr">
        <is>
          <t>Makeup Revolution Brow Sculpt Kit Eyebrow Set 22 G Medium Brown</t>
        </is>
      </c>
      <c r="C21999" t="inlineStr">
        <is>
          <t>Eyebrow Sets &amp; Pallets</t>
        </is>
      </c>
      <c r="D21999" t="inlineStr">
        <is>
          <t>Makeup Revolution</t>
        </is>
      </c>
      <c r="E21999" t="n">
        <v>5.49</v>
      </c>
      <c r="F21999" t="n">
        <v>1</v>
      </c>
      <c r="G21999" t="n">
        <v>3</v>
      </c>
      <c r="H21999" s="5">
        <f>HYPERLINK("https://api.qogita.com/variants/link/5057566176422/", "View Product")</f>
        <v/>
      </c>
    </row>
    <row r="22000">
      <c r="A22000" t="inlineStr">
        <is>
          <t>5057566180351</t>
        </is>
      </c>
      <c r="B22000" t="inlineStr">
        <is>
          <t>Makeup Revolution Forever Flawless Bird Of Paradise Eyeshadow Palette 198 G</t>
        </is>
      </c>
      <c r="C22000" t="inlineStr">
        <is>
          <t>Eye Sets &amp; Pallets</t>
        </is>
      </c>
      <c r="D22000" t="inlineStr">
        <is>
          <t>Makeup Revolution</t>
        </is>
      </c>
      <c r="E22000" t="n">
        <v>12.53</v>
      </c>
      <c r="F22000" t="n">
        <v>1</v>
      </c>
      <c r="G22000" t="n">
        <v>2</v>
      </c>
      <c r="H22000" s="5">
        <f>HYPERLINK("https://api.qogita.com/variants/link/5057566180351/", "View Product")</f>
        <v/>
      </c>
    </row>
    <row r="22001">
      <c r="A22001" t="inlineStr">
        <is>
          <t>5057566198417</t>
        </is>
      </c>
      <c r="B22001" t="inlineStr">
        <is>
          <t>Revolution Pro Cc Perfecting Foundation Spf 30 Multifunctional Makeup For Dry To Combination Skin 26 Ml</t>
        </is>
      </c>
      <c r="C22001" t="inlineStr">
        <is>
          <t>Foundation</t>
        </is>
      </c>
      <c r="D22001" t="inlineStr">
        <is>
          <t>Makeup Revolution</t>
        </is>
      </c>
      <c r="E22001" t="n">
        <v>11.06</v>
      </c>
      <c r="F22001" t="n">
        <v>1</v>
      </c>
      <c r="G22001" t="n">
        <v>4</v>
      </c>
      <c r="H22001" s="5">
        <f>HYPERLINK("https://api.qogita.com/variants/link/5057566198417/", "View Product")</f>
        <v/>
      </c>
    </row>
    <row r="22002">
      <c r="A22002" t="inlineStr">
        <is>
          <t>5057566199445</t>
        </is>
      </c>
      <c r="B22002" t="inlineStr">
        <is>
          <t>Revolution Pro CC Perfecting Pressed Powder Beige</t>
        </is>
      </c>
      <c r="C22002" t="inlineStr">
        <is>
          <t>Powder</t>
        </is>
      </c>
      <c r="D22002" t="inlineStr">
        <is>
          <t>Revolution Beauty</t>
        </is>
      </c>
      <c r="E22002" t="n">
        <v>4.54</v>
      </c>
      <c r="F22002" t="n">
        <v>1</v>
      </c>
      <c r="G22002" t="n">
        <v>23</v>
      </c>
      <c r="H22002" s="5">
        <f>HYPERLINK("https://api.qogita.com/variants/link/5057566199445/", "View Product")</f>
        <v/>
      </c>
    </row>
    <row r="22003">
      <c r="A22003" t="inlineStr">
        <is>
          <t>5057566199551</t>
        </is>
      </c>
      <c r="B22003" t="inlineStr">
        <is>
          <t>Revolution Pro CC Perfecting Pressed Powder Cool Maple 5g</t>
        </is>
      </c>
      <c r="C22003" t="inlineStr">
        <is>
          <t>Powder</t>
        </is>
      </c>
      <c r="D22003" t="inlineStr">
        <is>
          <t>Revolution Beauty</t>
        </is>
      </c>
      <c r="E22003" t="n">
        <v>4.54</v>
      </c>
      <c r="F22003" t="n">
        <v>1</v>
      </c>
      <c r="G22003" t="n">
        <v>20</v>
      </c>
      <c r="H22003" s="5">
        <f>HYPERLINK("https://api.qogita.com/variants/link/5057566199551/", "View Product")</f>
        <v/>
      </c>
    </row>
    <row r="22004">
      <c r="A22004" t="inlineStr">
        <is>
          <t>5057566223355</t>
        </is>
      </c>
      <c r="B22004" t="inlineStr">
        <is>
          <t>Reloaded Golden Lights Highlighter Brightener 10g</t>
        </is>
      </c>
      <c r="C22004" t="inlineStr">
        <is>
          <t>Highlighter</t>
        </is>
      </c>
      <c r="D22004" t="inlineStr">
        <is>
          <t>Revolution Beauty</t>
        </is>
      </c>
      <c r="E22004" t="n">
        <v>5.35</v>
      </c>
      <c r="F22004" t="n">
        <v>1</v>
      </c>
      <c r="G22004" t="n">
        <v>5</v>
      </c>
      <c r="H22004" s="5">
        <f>HYPERLINK("https://api.qogita.com/variants/link/5057566223355/", "View Product")</f>
        <v/>
      </c>
    </row>
    <row r="22005">
      <c r="A22005" t="inlineStr">
        <is>
          <t>5057566262774</t>
        </is>
      </c>
      <c r="B22005" t="inlineStr">
        <is>
          <t>Makeup Remover Luxe Oil 150ml</t>
        </is>
      </c>
      <c r="C22005" t="inlineStr">
        <is>
          <t>Makeup Remover</t>
        </is>
      </c>
      <c r="D22005" t="inlineStr">
        <is>
          <t>Revolution Skincare</t>
        </is>
      </c>
      <c r="E22005" t="n">
        <v>11.38</v>
      </c>
      <c r="F22005" t="n">
        <v>1</v>
      </c>
      <c r="G22005" t="n">
        <v>2</v>
      </c>
      <c r="H22005" s="5">
        <f>HYPERLINK("https://api.qogita.com/variants/link/5057566262774/", "View Product")</f>
        <v/>
      </c>
    </row>
    <row r="22006">
      <c r="A22006" t="inlineStr">
        <is>
          <t>5057566283298</t>
        </is>
      </c>
      <c r="B22006" t="inlineStr">
        <is>
          <t>Makeup Revolution R12 Ultimate Powder Brush</t>
        </is>
      </c>
      <c r="C22006" t="inlineStr">
        <is>
          <t>Powder Brushes</t>
        </is>
      </c>
      <c r="D22006" t="inlineStr">
        <is>
          <t>Makeup Revolution</t>
        </is>
      </c>
      <c r="E22006" t="n">
        <v>9.01</v>
      </c>
      <c r="F22006" t="n">
        <v>1</v>
      </c>
      <c r="G22006" t="n">
        <v>2</v>
      </c>
      <c r="H22006" s="5">
        <f>HYPERLINK("https://api.qogita.com/variants/link/5057566283298/", "View Product")</f>
        <v/>
      </c>
    </row>
    <row r="22007">
      <c r="A22007" t="inlineStr">
        <is>
          <t>5057566289504</t>
        </is>
      </c>
      <c r="B22007" t="inlineStr">
        <is>
          <t>Makeup Revolution Revolution Pro Ultimate Brow Longlasting Eyebrow Fixation Gel 58 Ml In Medium Brown</t>
        </is>
      </c>
      <c r="C22007" t="inlineStr">
        <is>
          <t>Eyebrow Gel</t>
        </is>
      </c>
      <c r="D22007" t="inlineStr">
        <is>
          <t>Makeup Revolution</t>
        </is>
      </c>
      <c r="E22007" t="n">
        <v>9.68</v>
      </c>
      <c r="F22007" t="n">
        <v>1</v>
      </c>
      <c r="G22007" t="n">
        <v>5</v>
      </c>
      <c r="H22007" s="5">
        <f>HYPERLINK("https://api.qogita.com/variants/link/5057566289504/", "View Product")</f>
        <v/>
      </c>
    </row>
    <row r="22008">
      <c r="A22008" t="inlineStr">
        <is>
          <t>5057566296496</t>
        </is>
      </c>
      <c r="B22008" t="inlineStr">
        <is>
          <t>Makeup Revolution 5d Lash Extra Dimension Mascara Volume And Lengthening Mascara 14 Ml Super Black</t>
        </is>
      </c>
      <c r="C22008" t="inlineStr">
        <is>
          <t>Mascara</t>
        </is>
      </c>
      <c r="D22008" t="inlineStr">
        <is>
          <t>Makeup Revolution</t>
        </is>
      </c>
      <c r="E22008" t="n">
        <v>9.68</v>
      </c>
      <c r="F22008" t="n">
        <v>1</v>
      </c>
      <c r="G22008" t="n">
        <v>5</v>
      </c>
      <c r="H22008" s="5">
        <f>HYPERLINK("https://api.qogita.com/variants/link/5057566296496/", "View Product")</f>
        <v/>
      </c>
    </row>
    <row r="22009">
      <c r="A22009" t="inlineStr">
        <is>
          <t>5057566296533</t>
        </is>
      </c>
      <c r="B22009" t="inlineStr">
        <is>
          <t>Revolution Beauty X Friends Phoebe Lip Gloss 4.6ml</t>
        </is>
      </c>
      <c r="C22009" t="inlineStr">
        <is>
          <t>Lip Gloss</t>
        </is>
      </c>
      <c r="D22009" t="inlineStr">
        <is>
          <t>Makeup Revolution</t>
        </is>
      </c>
      <c r="E22009" t="n">
        <v>3.75</v>
      </c>
      <c r="F22009" t="n">
        <v>1</v>
      </c>
      <c r="G22009" t="n">
        <v>5</v>
      </c>
      <c r="H22009" s="5">
        <f>HYPERLINK("https://api.qogita.com/variants/link/5057566296533/", "View Product")</f>
        <v/>
      </c>
    </row>
    <row r="22010">
      <c r="A22010" t="inlineStr">
        <is>
          <t>5057566336970</t>
        </is>
      </c>
      <c r="B22010" t="inlineStr">
        <is>
          <t>Makeup Revolution SuperDewy Tinted Moisturizer 55ml</t>
        </is>
      </c>
      <c r="C22010" t="inlineStr">
        <is>
          <t>Bb Cream &amp; Cc Cream</t>
        </is>
      </c>
      <c r="D22010" t="inlineStr">
        <is>
          <t>Makeup Revolution</t>
        </is>
      </c>
      <c r="E22010" t="n">
        <v>9.199999999999999</v>
      </c>
      <c r="F22010" t="n">
        <v>1</v>
      </c>
      <c r="G22010" t="n">
        <v>3</v>
      </c>
      <c r="H22010" s="5">
        <f>HYPERLINK("https://api.qogita.com/variants/link/5057566336970/", "View Product")</f>
        <v/>
      </c>
    </row>
    <row r="22011">
      <c r="A22011" t="inlineStr">
        <is>
          <t>5057566361927</t>
        </is>
      </c>
      <c r="B22011" t="inlineStr">
        <is>
          <t>Makeup Revolution Forever Flawless Dynamic Eyeshadow Palette 8 G</t>
        </is>
      </c>
      <c r="C22011" t="inlineStr">
        <is>
          <t>Eye Sets &amp; Pallets</t>
        </is>
      </c>
      <c r="D22011" t="inlineStr">
        <is>
          <t>Makeup Revolution</t>
        </is>
      </c>
      <c r="E22011" t="n">
        <v>8.06</v>
      </c>
      <c r="F22011" t="n">
        <v>1</v>
      </c>
      <c r="G22011" t="n">
        <v>5</v>
      </c>
      <c r="H22011" s="5">
        <f>HYPERLINK("https://api.qogita.com/variants/link/5057566361927/", "View Product")</f>
        <v/>
      </c>
    </row>
    <row r="22012">
      <c r="A22012" t="inlineStr">
        <is>
          <t>5057566409698</t>
        </is>
      </c>
      <c r="B22012" t="inlineStr">
        <is>
          <t>Makeup Revolution False Lash Mink Effect Mascara 8 G</t>
        </is>
      </c>
      <c r="C22012" t="inlineStr">
        <is>
          <t>Mascara</t>
        </is>
      </c>
      <c r="D22012" t="inlineStr">
        <is>
          <t>Makeup Revolution</t>
        </is>
      </c>
      <c r="E22012" t="n">
        <v>8.85</v>
      </c>
      <c r="F22012" t="n">
        <v>1</v>
      </c>
      <c r="G22012" t="n">
        <v>5</v>
      </c>
      <c r="H22012" s="5">
        <f>HYPERLINK("https://api.qogita.com/variants/link/5057566409698/", "View Product")</f>
        <v/>
      </c>
    </row>
    <row r="22013">
      <c r="A22013" t="inlineStr">
        <is>
          <t>5057566424134</t>
        </is>
      </c>
      <c r="B22013" t="inlineStr">
        <is>
          <t>Revolution Pro Rescue Lip Oil Caring Lip Oil 8 Ml</t>
        </is>
      </c>
      <c r="C22013" t="inlineStr">
        <is>
          <t>Lip Gloss</t>
        </is>
      </c>
      <c r="D22013" t="inlineStr">
        <is>
          <t>Revolution Pro</t>
        </is>
      </c>
      <c r="E22013" t="n">
        <v>9.68</v>
      </c>
      <c r="F22013" t="n">
        <v>1</v>
      </c>
      <c r="G22013" t="n">
        <v>6</v>
      </c>
      <c r="H22013" s="5">
        <f>HYPERLINK("https://api.qogita.com/variants/link/5057566424134/", "View Product")</f>
        <v/>
      </c>
    </row>
    <row r="22014">
      <c r="A22014" t="inlineStr">
        <is>
          <t>5057566430593</t>
        </is>
      </c>
      <c r="B22014" t="inlineStr">
        <is>
          <t>Makeup Revolution Forever Flawless Dynamic Allure Palette 8g</t>
        </is>
      </c>
      <c r="C22014" t="inlineStr">
        <is>
          <t>Eye Sets &amp; Pallets</t>
        </is>
      </c>
      <c r="D22014" t="inlineStr">
        <is>
          <t>Makeup Revolution</t>
        </is>
      </c>
      <c r="E22014" t="n">
        <v>8.06</v>
      </c>
      <c r="F22014" t="n">
        <v>1</v>
      </c>
      <c r="G22014" t="n">
        <v>3</v>
      </c>
      <c r="H22014" s="5">
        <f>HYPERLINK("https://api.qogita.com/variants/link/5057566430593/", "View Product")</f>
        <v/>
      </c>
    </row>
    <row r="22015">
      <c r="A22015" t="inlineStr">
        <is>
          <t>5057566440417</t>
        </is>
      </c>
      <c r="B22015" t="inlineStr">
        <is>
          <t>Stimulating Scalp Massager</t>
        </is>
      </c>
      <c r="C22015" t="inlineStr">
        <is>
          <t>Scalp Care</t>
        </is>
      </c>
      <c r="D22015" t="inlineStr">
        <is>
          <t>Revolution Beauty</t>
        </is>
      </c>
      <c r="E22015" t="n">
        <v>7.76</v>
      </c>
      <c r="F22015" t="n">
        <v>1</v>
      </c>
      <c r="G22015" t="n">
        <v>26</v>
      </c>
      <c r="H22015" s="5">
        <f>HYPERLINK("https://api.qogita.com/variants/link/5057566440417/", "View Product")</f>
        <v/>
      </c>
    </row>
    <row r="22016">
      <c r="A22016" t="inlineStr">
        <is>
          <t>5057566447546</t>
        </is>
      </c>
      <c r="B22016" t="inlineStr">
        <is>
          <t>Makeup Revolution Revolution Pro Rockstar Brow Styler Dark Brown 025 G</t>
        </is>
      </c>
      <c r="C22016" t="inlineStr">
        <is>
          <t>Eyebrow Pencil</t>
        </is>
      </c>
      <c r="D22016" t="inlineStr">
        <is>
          <t>Makeup Revolution</t>
        </is>
      </c>
      <c r="E22016" t="n">
        <v>7.04</v>
      </c>
      <c r="F22016" t="n">
        <v>1</v>
      </c>
      <c r="G22016" t="n">
        <v>2</v>
      </c>
      <c r="H22016" s="5">
        <f>HYPERLINK("https://api.qogita.com/variants/link/5057566447546/", "View Product")</f>
        <v/>
      </c>
    </row>
    <row r="22017">
      <c r="A22017" t="inlineStr">
        <is>
          <t>5057566450119</t>
        </is>
      </c>
      <c r="B22017" t="inlineStr">
        <is>
          <t>Revolution X Soph Face Highlighter Duo Palette Sugar Frosting - New and Boxed</t>
        </is>
      </c>
      <c r="C22017" t="inlineStr">
        <is>
          <t>Highlighter</t>
        </is>
      </c>
      <c r="D22017" t="inlineStr">
        <is>
          <t>Palette</t>
        </is>
      </c>
      <c r="E22017" t="n">
        <v>4</v>
      </c>
      <c r="F22017" t="n">
        <v>1</v>
      </c>
      <c r="G22017" t="n">
        <v>3</v>
      </c>
      <c r="H22017" s="5">
        <f>HYPERLINK("https://api.qogita.com/variants/link/5057566450119/", "View Product")</f>
        <v/>
      </c>
    </row>
    <row r="22018">
      <c r="A22018" t="inlineStr">
        <is>
          <t>5057566454988</t>
        </is>
      </c>
      <c r="B22018" t="inlineStr">
        <is>
          <t>Revolution Haircare Salicylic Cleansing Shampoo Scalp Clarifying Shampoo 250 Ml</t>
        </is>
      </c>
      <c r="C22018" t="inlineStr">
        <is>
          <t>Shampoo</t>
        </is>
      </c>
      <c r="D22018" t="inlineStr">
        <is>
          <t>Revolution Haircare</t>
        </is>
      </c>
      <c r="E22018" t="n">
        <v>10.66</v>
      </c>
      <c r="F22018" t="n">
        <v>1</v>
      </c>
      <c r="G22018" t="n">
        <v>9</v>
      </c>
      <c r="H22018" s="5">
        <f>HYPERLINK("https://api.qogita.com/variants/link/5057566454988/", "View Product")</f>
        <v/>
      </c>
    </row>
    <row r="22019">
      <c r="A22019" t="inlineStr">
        <is>
          <t>5057566456050</t>
        </is>
      </c>
      <c r="B22019" t="inlineStr">
        <is>
          <t>Satin Black Cosmetic Headband (Curl Protector)</t>
        </is>
      </c>
      <c r="C22019" t="inlineStr">
        <is>
          <t>Headbands</t>
        </is>
      </c>
      <c r="D22019" t="inlineStr">
        <is>
          <t>Revolution Beauty</t>
        </is>
      </c>
      <c r="E22019" t="n">
        <v>3.75</v>
      </c>
      <c r="F22019" t="n">
        <v>1</v>
      </c>
      <c r="G22019" t="n">
        <v>6</v>
      </c>
      <c r="H22019" s="5">
        <f>HYPERLINK("https://api.qogita.com/variants/link/5057566456050/", "View Product")</f>
        <v/>
      </c>
    </row>
    <row r="22020">
      <c r="A22020" t="inlineStr">
        <is>
          <t>5057566468251</t>
        </is>
      </c>
      <c r="B22020" t="inlineStr">
        <is>
          <t>Makeup Revolution Forever Butterfly Lip Gloss 55 Ml</t>
        </is>
      </c>
      <c r="C22020" t="inlineStr">
        <is>
          <t>Lip Gloss</t>
        </is>
      </c>
      <c r="D22020" t="inlineStr">
        <is>
          <t>Makeup Revolution</t>
        </is>
      </c>
      <c r="E22020" t="n">
        <v>8.630000000000001</v>
      </c>
      <c r="F22020" t="n">
        <v>1</v>
      </c>
      <c r="G22020" t="n">
        <v>3</v>
      </c>
      <c r="H22020" s="5">
        <f>HYPERLINK("https://api.qogita.com/variants/link/5057566468251/", "View Product")</f>
        <v/>
      </c>
    </row>
    <row r="22021">
      <c r="A22021" t="inlineStr">
        <is>
          <t>5057566479387</t>
        </is>
      </c>
      <c r="B22021" t="inlineStr">
        <is>
          <t>Revolution Relove Super Serum Foundation F2</t>
        </is>
      </c>
      <c r="C22021" t="inlineStr">
        <is>
          <t>Foundation</t>
        </is>
      </c>
      <c r="D22021" t="inlineStr">
        <is>
          <t>Revolution Relove</t>
        </is>
      </c>
      <c r="E22021" t="n">
        <v>6.65</v>
      </c>
      <c r="F22021" t="n">
        <v>1</v>
      </c>
      <c r="G22021" t="n">
        <v>3</v>
      </c>
      <c r="H22021" s="5">
        <f>HYPERLINK("https://api.qogita.com/variants/link/5057566479387/", "View Product")</f>
        <v/>
      </c>
    </row>
    <row r="22022">
      <c r="A22022" t="inlineStr">
        <is>
          <t>5057566496117</t>
        </is>
      </c>
      <c r="B22022" t="inlineStr">
        <is>
          <t>Eternal Rose Pink Lust 10 grams</t>
        </is>
      </c>
      <c r="C22022" t="inlineStr">
        <is>
          <t>Incense</t>
        </is>
      </c>
      <c r="D22022" t="inlineStr">
        <is>
          <t>Revolution Beauty</t>
        </is>
      </c>
      <c r="E22022" t="n">
        <v>16.95</v>
      </c>
      <c r="F22022" t="n">
        <v>1</v>
      </c>
      <c r="G22022" t="n">
        <v>2</v>
      </c>
      <c r="H22022" s="5">
        <f>HYPERLINK("https://api.qogita.com/variants/link/5057566496117/", "View Product")</f>
        <v/>
      </c>
    </row>
    <row r="22023">
      <c r="A22023" t="inlineStr">
        <is>
          <t>5057566496216</t>
        </is>
      </c>
      <c r="B22023" t="inlineStr">
        <is>
          <t>Revolution Pro Rockstar Felt Eyeliner Longlasting 1 Ml</t>
        </is>
      </c>
      <c r="C22023" t="inlineStr">
        <is>
          <t>Eyeliner</t>
        </is>
      </c>
      <c r="D22023" t="inlineStr">
        <is>
          <t>Revolution Pro</t>
        </is>
      </c>
      <c r="E22023" t="n">
        <v>7.3</v>
      </c>
      <c r="F22023" t="n">
        <v>1</v>
      </c>
      <c r="G22023" t="n">
        <v>5</v>
      </c>
      <c r="H22023" s="5">
        <f>HYPERLINK("https://api.qogita.com/variants/link/5057566496216/", "View Product")</f>
        <v/>
      </c>
    </row>
    <row r="22024">
      <c r="A22024" t="inlineStr">
        <is>
          <t>5057566502801</t>
        </is>
      </c>
      <c r="B22024" t="inlineStr">
        <is>
          <t>Sonic Facial Cleansing Brush</t>
        </is>
      </c>
      <c r="C22024" t="inlineStr">
        <is>
          <t>Facial Cleansing Brushes</t>
        </is>
      </c>
      <c r="D22024" t="inlineStr">
        <is>
          <t>Revolution Beauty</t>
        </is>
      </c>
      <c r="E22024" t="n">
        <v>23.21</v>
      </c>
      <c r="F22024" t="n">
        <v>1</v>
      </c>
      <c r="G22024" t="n">
        <v>4</v>
      </c>
      <c r="H22024" s="5">
        <f>HYPERLINK("https://api.qogita.com/variants/link/5057566502801/", "View Product")</f>
        <v/>
      </c>
    </row>
    <row r="22025">
      <c r="A22025" t="inlineStr">
        <is>
          <t>5057566517164</t>
        </is>
      </c>
      <c r="B22025" t="inlineStr">
        <is>
          <t>Makeup Revolution Medium Fast Base Contour Stick 86 Grams</t>
        </is>
      </c>
      <c r="C22025" t="inlineStr">
        <is>
          <t>Contouring</t>
        </is>
      </c>
      <c r="D22025" t="inlineStr">
        <is>
          <t>Makeup Revolution</t>
        </is>
      </c>
      <c r="E22025" t="n">
        <v>7.88</v>
      </c>
      <c r="F22025" t="n">
        <v>1</v>
      </c>
      <c r="G22025" t="n">
        <v>15</v>
      </c>
      <c r="H22025" s="5">
        <f>HYPERLINK("https://api.qogita.com/variants/link/5057566517164/", "View Product")</f>
        <v/>
      </c>
    </row>
    <row r="22026">
      <c r="A22026" t="inlineStr">
        <is>
          <t>5057566520362</t>
        </is>
      </c>
      <c r="B22026" t="inlineStr">
        <is>
          <t>Makeup Obsession Best Behaviour Eyeshadow Palette</t>
        </is>
      </c>
      <c r="C22026" t="inlineStr">
        <is>
          <t>Eye Sets &amp; Pallets</t>
        </is>
      </c>
      <c r="D22026" t="inlineStr">
        <is>
          <t>Makeup Obsession</t>
        </is>
      </c>
      <c r="E22026" t="n">
        <v>3.78</v>
      </c>
      <c r="F22026" t="n">
        <v>1</v>
      </c>
      <c r="G22026" t="n">
        <v>26</v>
      </c>
      <c r="H22026" s="5">
        <f>HYPERLINK("https://api.qogita.com/variants/link/5057566520362/", "View Product")</f>
        <v/>
      </c>
    </row>
    <row r="22027">
      <c r="A22027" t="inlineStr">
        <is>
          <t>5057566521161</t>
        </is>
      </c>
      <c r="B22027" t="inlineStr">
        <is>
          <t>Makeup Revolution Fast Base Blush 14 G Rose</t>
        </is>
      </c>
      <c r="C22027" t="inlineStr">
        <is>
          <t>Blush</t>
        </is>
      </c>
      <c r="D22027" t="inlineStr">
        <is>
          <t>Makeup Revolution</t>
        </is>
      </c>
      <c r="E22027" t="n">
        <v>7.3</v>
      </c>
      <c r="F22027" t="n">
        <v>1</v>
      </c>
      <c r="G22027" t="n">
        <v>5</v>
      </c>
      <c r="H22027" s="5">
        <f>HYPERLINK("https://api.qogita.com/variants/link/5057566521161/", "View Product")</f>
        <v/>
      </c>
    </row>
    <row r="22028">
      <c r="A22028" t="inlineStr">
        <is>
          <t>5057566522076</t>
        </is>
      </c>
      <c r="B22028" t="inlineStr">
        <is>
          <t>Glam Mood Party Time 6 x 2 g palette</t>
        </is>
      </c>
      <c r="C22028" t="inlineStr">
        <is>
          <t>Eye Sets &amp; Pallets</t>
        </is>
      </c>
      <c r="D22028" t="inlineStr">
        <is>
          <t>Revolution Beauty</t>
        </is>
      </c>
      <c r="E22028" t="n">
        <v>7.23</v>
      </c>
      <c r="F22028" t="n">
        <v>1</v>
      </c>
      <c r="G22028" t="n">
        <v>2</v>
      </c>
      <c r="H22028" s="5">
        <f>HYPERLINK("https://api.qogita.com/variants/link/5057566522076/", "View Product")</f>
        <v/>
      </c>
    </row>
    <row r="22029">
      <c r="A22029" t="inlineStr">
        <is>
          <t>5057566522106</t>
        </is>
      </c>
      <c r="B22029" t="inlineStr">
        <is>
          <t>Revolution Pro Glam Mood Golden Hour Palette 6 X 2 G Eyeshadow Palette</t>
        </is>
      </c>
      <c r="C22029" t="inlineStr">
        <is>
          <t>Eye Sets &amp; Pallets</t>
        </is>
      </c>
      <c r="D22029" t="inlineStr">
        <is>
          <t>Revolution Pro</t>
        </is>
      </c>
      <c r="E22029" t="n">
        <v>7.3</v>
      </c>
      <c r="F22029" t="n">
        <v>1</v>
      </c>
      <c r="G22029" t="n">
        <v>5</v>
      </c>
      <c r="H22029" s="5">
        <f>HYPERLINK("https://api.qogita.com/variants/link/5057566522106/", "View Product")</f>
        <v/>
      </c>
    </row>
    <row r="22030">
      <c r="A22030" t="inlineStr">
        <is>
          <t>5057566526296</t>
        </is>
      </c>
      <c r="B22030" t="inlineStr">
        <is>
          <t>Revolution Skincare Chocolate Caramel Night Lip Sleeping Mask 10 G</t>
        </is>
      </c>
      <c r="C22030" t="inlineStr">
        <is>
          <t>Lip Mask</t>
        </is>
      </c>
      <c r="D22030" t="inlineStr">
        <is>
          <t>Revolution Skincare</t>
        </is>
      </c>
      <c r="E22030" t="n">
        <v>7.61</v>
      </c>
      <c r="F22030" t="n">
        <v>1</v>
      </c>
      <c r="G22030" t="n">
        <v>9</v>
      </c>
      <c r="H22030" s="5">
        <f>HYPERLINK("https://api.qogita.com/variants/link/5057566526296/", "View Product")</f>
        <v/>
      </c>
    </row>
    <row r="22031">
      <c r="A22031" t="inlineStr">
        <is>
          <t>5057566526678</t>
        </is>
      </c>
      <c r="B22031" t="inlineStr">
        <is>
          <t>Revolution Skincare Gentle Exfoliating Tonic X Sali Hughes Placid 5acid Daily Exfoliant 150 Ml</t>
        </is>
      </c>
      <c r="C22031" t="inlineStr">
        <is>
          <t>Facial Scrub &amp; Peeling</t>
        </is>
      </c>
      <c r="D22031" t="inlineStr">
        <is>
          <t>Revolution Skincare</t>
        </is>
      </c>
      <c r="E22031" t="n">
        <v>16.24</v>
      </c>
      <c r="F22031" t="n">
        <v>1</v>
      </c>
      <c r="G22031" t="n">
        <v>5</v>
      </c>
      <c r="H22031" s="5">
        <f>HYPERLINK("https://api.qogita.com/variants/link/5057566526678/", "View Product")</f>
        <v/>
      </c>
    </row>
    <row r="22032">
      <c r="A22032" t="inlineStr">
        <is>
          <t>5057566546980</t>
        </is>
      </c>
      <c r="B22032" t="inlineStr">
        <is>
          <t>Makeup Revolution Eye Master Lash Curler Comb Set</t>
        </is>
      </c>
      <c r="C22032" t="inlineStr">
        <is>
          <t>Eyelash Curlers</t>
        </is>
      </c>
      <c r="D22032" t="inlineStr">
        <is>
          <t>Makeup Revolution</t>
        </is>
      </c>
      <c r="E22032" t="n">
        <v>10.81</v>
      </c>
      <c r="F22032" t="n">
        <v>1</v>
      </c>
      <c r="G22032" t="n">
        <v>3</v>
      </c>
      <c r="H22032" s="5">
        <f>HYPERLINK("https://api.qogita.com/variants/link/5057566546980/", "View Product")</f>
        <v/>
      </c>
    </row>
    <row r="22033">
      <c r="A22033" t="inlineStr">
        <is>
          <t>5057566550574</t>
        </is>
      </c>
      <c r="B22033" t="inlineStr">
        <is>
          <t>Revolution Pro Cosmetic Set For Lips X Marilyn Nude 378 G</t>
        </is>
      </c>
      <c r="C22033" t="inlineStr">
        <is>
          <t>Lip Sets</t>
        </is>
      </c>
      <c r="D22033" t="inlineStr">
        <is>
          <t>Makeup Revolution</t>
        </is>
      </c>
      <c r="E22033" t="n">
        <v>16</v>
      </c>
      <c r="F22033" t="n">
        <v>1</v>
      </c>
      <c r="G22033" t="n">
        <v>5</v>
      </c>
      <c r="H22033" s="5">
        <f>HYPERLINK("https://api.qogita.com/variants/link/5057566550574/", "View Product")</f>
        <v/>
      </c>
    </row>
    <row r="22034">
      <c r="A22034" t="inlineStr">
        <is>
          <t>5057566554251</t>
        </is>
      </c>
      <c r="B22034" t="inlineStr">
        <is>
          <t>Revolution Beauty Revolutionary Noir 10ml Purse Spray Women's Perfume</t>
        </is>
      </c>
      <c r="C22034" t="inlineStr">
        <is>
          <t>Eau De Parfum</t>
        </is>
      </c>
      <c r="D22034" t="inlineStr">
        <is>
          <t>Makeup Revolution</t>
        </is>
      </c>
      <c r="E22034" t="n">
        <v>5.58</v>
      </c>
      <c r="F22034" t="n">
        <v>1</v>
      </c>
      <c r="G22034" t="n">
        <v>4</v>
      </c>
      <c r="H22034" s="5">
        <f>HYPERLINK("https://api.qogita.com/variants/link/5057566554251/", "View Product")</f>
        <v/>
      </c>
    </row>
    <row r="22035">
      <c r="A22035" t="inlineStr">
        <is>
          <t>5057566555357</t>
        </is>
      </c>
      <c r="B22035" t="inlineStr">
        <is>
          <t>Power Brow Fix</t>
        </is>
      </c>
      <c r="C22035" t="inlineStr">
        <is>
          <t>Other</t>
        </is>
      </c>
      <c r="D22035" t="inlineStr">
        <is>
          <t>Revolution</t>
        </is>
      </c>
      <c r="E22035" t="n">
        <v>5.35</v>
      </c>
      <c r="F22035" t="n">
        <v>1</v>
      </c>
      <c r="G22035" t="n">
        <v>8</v>
      </c>
      <c r="H22035" s="5">
        <f>HYPERLINK("https://api.qogita.com/variants/link/5057566555357/", "View Product")</f>
        <v/>
      </c>
    </row>
    <row r="22036">
      <c r="A22036" t="inlineStr">
        <is>
          <t>5057566564564</t>
        </is>
      </c>
      <c r="B22036" t="inlineStr">
        <is>
          <t>Makeup Revolution 90's Baby 6 Pan Eyeshadow Palette 6.6g</t>
        </is>
      </c>
      <c r="C22036" t="inlineStr">
        <is>
          <t>Eye Sets &amp; Pallets</t>
        </is>
      </c>
      <c r="D22036" t="inlineStr">
        <is>
          <t>Makeup Revolution</t>
        </is>
      </c>
      <c r="E22036" t="n">
        <v>7.23</v>
      </c>
      <c r="F22036" t="n">
        <v>1</v>
      </c>
      <c r="G22036" t="n">
        <v>2</v>
      </c>
      <c r="H22036" s="5">
        <f>HYPERLINK("https://api.qogita.com/variants/link/5057566564564/", "View Product")</f>
        <v/>
      </c>
    </row>
    <row r="22037">
      <c r="A22037" t="inlineStr">
        <is>
          <t>5057566581653</t>
        </is>
      </c>
      <c r="B22037" t="inlineStr">
        <is>
          <t>Makeup Revolution Blush Bomb Cream Blusher 46 Ml Peach Filter</t>
        </is>
      </c>
      <c r="C22037" t="inlineStr">
        <is>
          <t>Blush</t>
        </is>
      </c>
      <c r="D22037" t="inlineStr">
        <is>
          <t>Makeup Revolution</t>
        </is>
      </c>
      <c r="E22037" t="n">
        <v>7.82</v>
      </c>
      <c r="F22037" t="n">
        <v>1</v>
      </c>
      <c r="G22037" t="n">
        <v>3</v>
      </c>
      <c r="H22037" s="5">
        <f>HYPERLINK("https://api.qogita.com/variants/link/5057566581653/", "View Product")</f>
        <v/>
      </c>
    </row>
    <row r="22038">
      <c r="A22038" t="inlineStr">
        <is>
          <t>5057566585446</t>
        </is>
      </c>
      <c r="B22038" t="inlineStr">
        <is>
          <t>Revolution Beauty London Hyaluronic Acid 2 Serum - 18 Ml</t>
        </is>
      </c>
      <c r="C22038" t="inlineStr">
        <is>
          <t>Hyaluronic Acid Serum</t>
        </is>
      </c>
      <c r="D22038" t="inlineStr">
        <is>
          <t>Revolution Beauty</t>
        </is>
      </c>
      <c r="E22038" t="n">
        <v>5.46</v>
      </c>
      <c r="F22038" t="n">
        <v>1</v>
      </c>
      <c r="G22038" t="n">
        <v>2</v>
      </c>
      <c r="H22038" s="5">
        <f>HYPERLINK("https://api.qogita.com/variants/link/5057566585446/", "View Product")</f>
        <v/>
      </c>
    </row>
    <row r="22039">
      <c r="A22039" t="inlineStr">
        <is>
          <t>5057566592215</t>
        </is>
      </c>
      <c r="B22039" t="inlineStr">
        <is>
          <t>Revolution Beauty Buildable Face Tanning Drops Self Fake Tan 50ml</t>
        </is>
      </c>
      <c r="C22039" t="inlineStr">
        <is>
          <t>Face Self-Tanner</t>
        </is>
      </c>
      <c r="D22039" t="inlineStr">
        <is>
          <t>Makeup Revolution</t>
        </is>
      </c>
      <c r="E22039" t="n">
        <v>14.92</v>
      </c>
      <c r="F22039" t="n">
        <v>1</v>
      </c>
      <c r="G22039" t="n">
        <v>2</v>
      </c>
      <c r="H22039" s="5">
        <f>HYPERLINK("https://api.qogita.com/variants/link/5057566592215/", "View Product")</f>
        <v/>
      </c>
    </row>
    <row r="22040">
      <c r="A22040" t="inlineStr">
        <is>
          <t>5057566617888</t>
        </is>
      </c>
      <c r="B22040" t="inlineStr">
        <is>
          <t>Revolution Skincare Moisturizing Skin Serum Mushroom Serum 30 Ml</t>
        </is>
      </c>
      <c r="C22040" t="inlineStr">
        <is>
          <t>Hydrating Serum</t>
        </is>
      </c>
      <c r="D22040" t="inlineStr">
        <is>
          <t>Revolution Skincare</t>
        </is>
      </c>
      <c r="E22040" t="n">
        <v>5.58</v>
      </c>
      <c r="F22040" t="n">
        <v>1</v>
      </c>
      <c r="G22040" t="n">
        <v>4</v>
      </c>
      <c r="H22040" s="5">
        <f>HYPERLINK("https://api.qogita.com/variants/link/5057566617888/", "View Product")</f>
        <v/>
      </c>
    </row>
    <row r="22041">
      <c r="A22041" t="inlineStr">
        <is>
          <t>5057566621410</t>
        </is>
      </c>
      <c r="B22041" t="inlineStr">
        <is>
          <t>Collagen Boosting Overnight Mask Restore (Collagen Boosting Overnight Mask) 50 ml</t>
        </is>
      </c>
      <c r="C22041" t="inlineStr">
        <is>
          <t>Anti-Aging Mask</t>
        </is>
      </c>
      <c r="D22041" t="inlineStr">
        <is>
          <t>Revolution Beauty</t>
        </is>
      </c>
      <c r="E22041" t="n">
        <v>11.59</v>
      </c>
      <c r="F22041" t="n">
        <v>1</v>
      </c>
      <c r="G22041" t="n">
        <v>8</v>
      </c>
      <c r="H22041" s="5">
        <f>HYPERLINK("https://api.qogita.com/variants/link/5057566621410/", "View Product")</f>
        <v/>
      </c>
    </row>
    <row r="22042">
      <c r="A22042" t="inlineStr">
        <is>
          <t>5057566624091</t>
        </is>
      </c>
      <c r="B22042" t="inlineStr">
        <is>
          <t>Keep It Slick Rose Gold Hair Comb (Tail Comb)</t>
        </is>
      </c>
      <c r="C22042" t="inlineStr">
        <is>
          <t>Combs</t>
        </is>
      </c>
      <c r="D22042" t="inlineStr">
        <is>
          <t>Revolution Beauty</t>
        </is>
      </c>
      <c r="E22042" t="n">
        <v>4.89</v>
      </c>
      <c r="F22042" t="n">
        <v>1</v>
      </c>
      <c r="G22042" t="n">
        <v>2</v>
      </c>
      <c r="H22042" s="5">
        <f>HYPERLINK("https://api.qogita.com/variants/link/5057566624091/", "View Product")</f>
        <v/>
      </c>
    </row>
    <row r="22043">
      <c r="A22043" t="inlineStr">
        <is>
          <t>5057566631433</t>
        </is>
      </c>
      <c r="B22043" t="inlineStr">
        <is>
          <t>Revolution Skincare Retinol Vitamins Hyaluronic 03</t>
        </is>
      </c>
      <c r="C22043" t="inlineStr">
        <is>
          <t>Anti-Aging Serum</t>
        </is>
      </c>
      <c r="D22043" t="inlineStr">
        <is>
          <t>Revolution Beauty</t>
        </is>
      </c>
      <c r="E22043" t="n">
        <v>11.6</v>
      </c>
      <c r="F22043" t="n">
        <v>1</v>
      </c>
      <c r="G22043" t="n">
        <v>3</v>
      </c>
      <c r="H22043" s="5">
        <f>HYPERLINK("https://api.qogita.com/variants/link/5057566631433/", "View Product")</f>
        <v/>
      </c>
    </row>
    <row r="22044">
      <c r="A22044" t="inlineStr">
        <is>
          <t>5057566631457</t>
        </is>
      </c>
      <c r="B22044" t="inlineStr">
        <is>
          <t>Revolution Beauty London Skincare Hyaluronic Acid Serum 2% Solution Fragrance Free 30ml</t>
        </is>
      </c>
      <c r="C22044" t="inlineStr">
        <is>
          <t>Hyaluronic Acid Serum</t>
        </is>
      </c>
      <c r="D22044" t="inlineStr">
        <is>
          <t>Revolution Skincare</t>
        </is>
      </c>
      <c r="E22044" t="n">
        <v>8.56</v>
      </c>
      <c r="F22044" t="n">
        <v>1</v>
      </c>
      <c r="G22044" t="n">
        <v>30</v>
      </c>
      <c r="H22044" s="5">
        <f>HYPERLINK("https://api.qogita.com/variants/link/5057566631457/", "View Product")</f>
        <v/>
      </c>
    </row>
    <row r="22045">
      <c r="A22045" t="inlineStr">
        <is>
          <t>5057566631679</t>
        </is>
      </c>
      <c r="B22045" t="inlineStr">
        <is>
          <t>Revolution Skincare Biodegradable Hydrating Hyaluronic Acid Sheet Mask - A Set Of Face Masks</t>
        </is>
      </c>
      <c r="C22045" t="inlineStr">
        <is>
          <t>Sheet Mask</t>
        </is>
      </c>
      <c r="D22045" t="inlineStr">
        <is>
          <t>Revolution Skincare</t>
        </is>
      </c>
      <c r="E22045" t="n">
        <v>6.02</v>
      </c>
      <c r="F22045" t="n">
        <v>1</v>
      </c>
      <c r="G22045" t="n">
        <v>14</v>
      </c>
      <c r="H22045" s="5">
        <f>HYPERLINK("https://api.qogita.com/variants/link/5057566631679/", "View Product")</f>
        <v/>
      </c>
    </row>
    <row r="22046">
      <c r="A22046" t="inlineStr">
        <is>
          <t>5057566631723</t>
        </is>
      </c>
      <c r="B22046" t="inlineStr">
        <is>
          <t>Revolution Skincare Pickmenot Blemish Patches Salicylic Acid 60 Cleansing Patches For Problematic Skin</t>
        </is>
      </c>
      <c r="C22046" t="inlineStr">
        <is>
          <t>Pimple &amp; Blackhead Treatments</t>
        </is>
      </c>
      <c r="D22046" t="inlineStr">
        <is>
          <t>Revolution Skincare</t>
        </is>
      </c>
      <c r="E22046" t="n">
        <v>7.61</v>
      </c>
      <c r="F22046" t="n">
        <v>1</v>
      </c>
      <c r="G22046" t="n">
        <v>6</v>
      </c>
      <c r="H22046" s="5">
        <f>HYPERLINK("https://api.qogita.com/variants/link/5057566631723/", "View Product")</f>
        <v/>
      </c>
    </row>
    <row r="22047">
      <c r="A22047" t="inlineStr">
        <is>
          <t>5057566651936</t>
        </is>
      </c>
      <c r="B22047" t="inlineStr">
        <is>
          <t>Plex Bond Skin Restoring Serum 30 ml</t>
        </is>
      </c>
      <c r="C22047" t="inlineStr">
        <is>
          <t>Hydrating Serum</t>
        </is>
      </c>
      <c r="D22047" t="inlineStr">
        <is>
          <t>Revolution Beauty</t>
        </is>
      </c>
      <c r="E22047" t="n">
        <v>9.4</v>
      </c>
      <c r="F22047" t="n">
        <v>1</v>
      </c>
      <c r="G22047" t="n">
        <v>3</v>
      </c>
      <c r="H22047" s="5">
        <f>HYPERLINK("https://api.qogita.com/variants/link/5057566651936/", "View Product")</f>
        <v/>
      </c>
    </row>
    <row r="22048">
      <c r="A22048" t="inlineStr">
        <is>
          <t>5057566707497</t>
        </is>
      </c>
      <c r="B22048" t="inlineStr">
        <is>
          <t>Revolution Pro Miracle Oil 30 Ml Skin Oil</t>
        </is>
      </c>
      <c r="C22048" t="inlineStr">
        <is>
          <t>Facial Oil</t>
        </is>
      </c>
      <c r="D22048" t="inlineStr">
        <is>
          <t>Revolution Pro</t>
        </is>
      </c>
      <c r="E22048" t="n">
        <v>13.41</v>
      </c>
      <c r="F22048" t="n">
        <v>1</v>
      </c>
      <c r="G22048" t="n">
        <v>4</v>
      </c>
      <c r="H22048" s="5">
        <f>HYPERLINK("https://api.qogita.com/variants/link/5057566707497/", "View Product")</f>
        <v/>
      </c>
    </row>
    <row r="22049">
      <c r="A22049" t="inlineStr">
        <is>
          <t>5057566827157</t>
        </is>
      </c>
      <c r="B22049" t="inlineStr">
        <is>
          <t>Revolution Make Up Ultimate Nude Lip Set 6 Pieces</t>
        </is>
      </c>
      <c r="C22049" t="inlineStr">
        <is>
          <t>Lip Sets</t>
        </is>
      </c>
      <c r="D22049" t="inlineStr">
        <is>
          <t>Revolution</t>
        </is>
      </c>
      <c r="E22049" t="n">
        <v>19.18</v>
      </c>
      <c r="F22049" t="n">
        <v>1</v>
      </c>
      <c r="G22049" t="n">
        <v>6</v>
      </c>
      <c r="H22049" s="5">
        <f>HYPERLINK("https://api.qogita.com/variants/link/5057566827157/", "View Product")</f>
        <v/>
      </c>
    </row>
    <row r="22050">
      <c r="A22050" t="inlineStr">
        <is>
          <t>5060063490526</t>
        </is>
      </c>
      <c r="B22050" t="inlineStr">
        <is>
          <t>The Organic Pharmacy Herbal Toner 150ml</t>
        </is>
      </c>
      <c r="C22050" t="inlineStr">
        <is>
          <t>Facial Spray</t>
        </is>
      </c>
      <c r="D22050" t="inlineStr">
        <is>
          <t>The Organic Pharmacy</t>
        </is>
      </c>
      <c r="E22050" t="n">
        <v>26.12</v>
      </c>
      <c r="F22050" t="n">
        <v>1</v>
      </c>
      <c r="G22050" t="n">
        <v>2</v>
      </c>
      <c r="H22050" s="5">
        <f>HYPERLINK("https://api.qogita.com/variants/link/5060063490526/", "View Product")</f>
        <v/>
      </c>
    </row>
    <row r="22051">
      <c r="A22051" t="inlineStr">
        <is>
          <t>5060103310043</t>
        </is>
      </c>
      <c r="B22051" t="inlineStr">
        <is>
          <t>Escentric Molecules Molecule 02 Eau De Parfum 100ml Unisex Spray</t>
        </is>
      </c>
      <c r="C22051" t="inlineStr">
        <is>
          <t>Eau De Parfum</t>
        </is>
      </c>
      <c r="D22051" t="inlineStr">
        <is>
          <t>Escentric Molecules</t>
        </is>
      </c>
      <c r="E22051" t="n">
        <v>146.38</v>
      </c>
      <c r="F22051" t="n">
        <v>1</v>
      </c>
      <c r="G22051" t="n">
        <v>9</v>
      </c>
      <c r="H22051" s="5">
        <f>HYPERLINK("https://api.qogita.com/variants/link/5060103310043/", "View Product")</f>
        <v/>
      </c>
    </row>
    <row r="22052">
      <c r="A22052" t="inlineStr">
        <is>
          <t>5060103310807</t>
        </is>
      </c>
      <c r="B22052" t="inlineStr">
        <is>
          <t>Escentric Molecules Molecule 01 Ginger Eau De Toilette Spray 100ml</t>
        </is>
      </c>
      <c r="C22052" t="inlineStr">
        <is>
          <t>Eau De Toilette</t>
        </is>
      </c>
      <c r="D22052" t="inlineStr">
        <is>
          <t>Escentric Molecules</t>
        </is>
      </c>
      <c r="E22052" t="n">
        <v>123.37</v>
      </c>
      <c r="F22052" t="n">
        <v>1</v>
      </c>
      <c r="G22052" t="n">
        <v>2</v>
      </c>
      <c r="H22052" s="5">
        <f>HYPERLINK("https://api.qogita.com/variants/link/5060103310807/", "View Product")</f>
        <v/>
      </c>
    </row>
    <row r="22053">
      <c r="A22053" t="inlineStr">
        <is>
          <t>5060120164346</t>
        </is>
      </c>
      <c r="B22053" t="inlineStr">
        <is>
          <t>Argan Oil Heat Defense Leave-In Spray with Moroccan Argan Oil Extract 150ml</t>
        </is>
      </c>
      <c r="C22053" t="inlineStr">
        <is>
          <t>Leave-In Conditioner</t>
        </is>
      </c>
      <c r="D22053" t="inlineStr">
        <is>
          <t>Moroccanoil</t>
        </is>
      </c>
      <c r="E22053" t="n">
        <v>1.89</v>
      </c>
      <c r="F22053" t="n">
        <v>1</v>
      </c>
      <c r="G22053" t="n">
        <v>14</v>
      </c>
      <c r="H22053" s="5">
        <f>HYPERLINK("https://api.qogita.com/variants/link/5060120164346/", "View Product")</f>
        <v/>
      </c>
    </row>
    <row r="22054">
      <c r="A22054" t="inlineStr">
        <is>
          <t>5060120165879</t>
        </is>
      </c>
      <c r="B22054" t="inlineStr">
        <is>
          <t>Stalwart 165879-ITP Macadamia Oil Conditioner 400ml</t>
        </is>
      </c>
      <c r="C22054" t="inlineStr">
        <is>
          <t>Conditioner</t>
        </is>
      </c>
      <c r="D22054" t="inlineStr">
        <is>
          <t>Stalwart</t>
        </is>
      </c>
      <c r="E22054" t="n">
        <v>1.71</v>
      </c>
      <c r="F22054" t="n">
        <v>1</v>
      </c>
      <c r="G22054" t="n">
        <v>5</v>
      </c>
      <c r="H22054" s="5">
        <f>HYPERLINK("https://api.qogita.com/variants/link/5060120165879/", "View Product")</f>
        <v/>
      </c>
    </row>
    <row r="22055">
      <c r="A22055" t="inlineStr">
        <is>
          <t>5060120168764</t>
        </is>
      </c>
      <c r="B22055" t="inlineStr">
        <is>
          <t>Tea Tree Essential Oil 100% 30ml</t>
        </is>
      </c>
      <c r="C22055" t="inlineStr">
        <is>
          <t>Aromatherapy &amp; Essential Oils</t>
        </is>
      </c>
      <c r="D22055" t="inlineStr">
        <is>
          <t>Xpel</t>
        </is>
      </c>
      <c r="E22055" t="n">
        <v>2.72</v>
      </c>
      <c r="F22055" t="n">
        <v>1</v>
      </c>
      <c r="G22055" t="n">
        <v>2</v>
      </c>
      <c r="H22055" s="5">
        <f>HYPERLINK("https://api.qogita.com/variants/link/5060120168764/", "View Product")</f>
        <v/>
      </c>
    </row>
    <row r="22056">
      <c r="A22056" t="inlineStr">
        <is>
          <t>5060120169310</t>
        </is>
      </c>
      <c r="B22056" t="inlineStr">
        <is>
          <t>XHC Nourishing Banana Conditioner</t>
        </is>
      </c>
      <c r="C22056" t="inlineStr">
        <is>
          <t>Conditioner</t>
        </is>
      </c>
      <c r="D22056" t="inlineStr">
        <is>
          <t>Xhc</t>
        </is>
      </c>
      <c r="E22056" t="n">
        <v>1.71</v>
      </c>
      <c r="F22056" t="n">
        <v>1</v>
      </c>
      <c r="G22056" t="n">
        <v>5</v>
      </c>
      <c r="H22056" s="5">
        <f>HYPERLINK("https://api.qogita.com/variants/link/5060120169310/", "View Product")</f>
        <v/>
      </c>
    </row>
    <row r="22057">
      <c r="A22057" t="inlineStr">
        <is>
          <t>5060120176721</t>
        </is>
      </c>
      <c r="B22057" t="inlineStr">
        <is>
          <t>Shampoo Moisturizes and Hydrates with Coconut Water Extract Sunday Vegetable Volume</t>
        </is>
      </c>
      <c r="C22057" t="inlineStr">
        <is>
          <t>Shampoo</t>
        </is>
      </c>
      <c r="D22057" t="inlineStr">
        <is>
          <t>S.U.N.D.A.Y</t>
        </is>
      </c>
      <c r="E22057" t="n">
        <v>2.18</v>
      </c>
      <c r="F22057" t="n">
        <v>1</v>
      </c>
      <c r="G22057" t="n">
        <v>5</v>
      </c>
      <c r="H22057" s="5">
        <f>HYPERLINK("https://api.qogita.com/variants/link/5060120176721/", "View Product")</f>
        <v/>
      </c>
    </row>
    <row r="22058">
      <c r="A22058" t="inlineStr">
        <is>
          <t>5060143207860</t>
        </is>
      </c>
      <c r="B22058" t="inlineStr">
        <is>
          <t>Dark Stag Light Shine Pomade Medium Hold Hair Pomade For Men 100ml 3.5oz</t>
        </is>
      </c>
      <c r="C22058" t="inlineStr">
        <is>
          <t>Gel</t>
        </is>
      </c>
      <c r="D22058" t="inlineStr">
        <is>
          <t>Dark Stag</t>
        </is>
      </c>
      <c r="E22058" t="n">
        <v>8.619999999999999</v>
      </c>
      <c r="F22058" t="n">
        <v>1</v>
      </c>
      <c r="G22058" t="n">
        <v>9</v>
      </c>
      <c r="H22058" s="5">
        <f>HYPERLINK("https://api.qogita.com/variants/link/5060143207860/", "View Product")</f>
        <v/>
      </c>
    </row>
    <row r="22059">
      <c r="A22059" t="inlineStr">
        <is>
          <t>5060143207884</t>
        </is>
      </c>
      <c r="B22059" t="inlineStr">
        <is>
          <t>Dark Stag Texturizing Powder Styling Powder Weightless Volume Volumizing Powder for Hair Professional Matte for Women Men Water Soluble Easy Wash Out Medium Hold 20g</t>
        </is>
      </c>
      <c r="C22059" t="inlineStr">
        <is>
          <t>Volume Powder</t>
        </is>
      </c>
      <c r="D22059" t="inlineStr">
        <is>
          <t>Dark Stag</t>
        </is>
      </c>
      <c r="E22059" t="n">
        <v>7.34</v>
      </c>
      <c r="F22059" t="n">
        <v>1</v>
      </c>
      <c r="G22059" t="n">
        <v>5</v>
      </c>
      <c r="H22059" s="5">
        <f>HYPERLINK("https://api.qogita.com/variants/link/5060143207884/", "View Product")</f>
        <v/>
      </c>
    </row>
    <row r="22060">
      <c r="A22060" t="inlineStr">
        <is>
          <t>5060144642813</t>
        </is>
      </c>
      <c r="B22060" t="inlineStr">
        <is>
          <t>Bulldog Skincare for Men Original Face Scrub 125ml</t>
        </is>
      </c>
      <c r="C22060" t="inlineStr">
        <is>
          <t>Facial Scrub &amp; Peeling</t>
        </is>
      </c>
      <c r="D22060" t="inlineStr">
        <is>
          <t>Bulldog</t>
        </is>
      </c>
      <c r="E22060" t="n">
        <v>5.93</v>
      </c>
      <c r="F22060" t="n">
        <v>1</v>
      </c>
      <c r="G22060" t="n">
        <v>9</v>
      </c>
      <c r="H22060" s="5">
        <f>HYPERLINK("https://api.qogita.com/variants/link/5060144642813/", "View Product")</f>
        <v/>
      </c>
    </row>
    <row r="22061">
      <c r="A22061" t="inlineStr">
        <is>
          <t>5060144646231</t>
        </is>
      </c>
      <c r="B22061" t="inlineStr">
        <is>
          <t>Bulldog Original Shower Gel 500 Ml</t>
        </is>
      </c>
      <c r="C22061" t="inlineStr">
        <is>
          <t>Shower Gel</t>
        </is>
      </c>
      <c r="D22061" t="inlineStr">
        <is>
          <t>Bulldog</t>
        </is>
      </c>
      <c r="E22061" t="n">
        <v>7.3</v>
      </c>
      <c r="F22061" t="n">
        <v>1</v>
      </c>
      <c r="G22061" t="n">
        <v>5</v>
      </c>
      <c r="H22061" s="5">
        <f>HYPERLINK("https://api.qogita.com/variants/link/5060144646231/", "View Product")</f>
        <v/>
      </c>
    </row>
    <row r="22062">
      <c r="A22062" t="inlineStr">
        <is>
          <t>5060144646347</t>
        </is>
      </c>
      <c r="B22062" t="inlineStr">
        <is>
          <t>Bulldog Original Bamboo Razor With 2 Blade</t>
        </is>
      </c>
      <c r="C22062" t="inlineStr">
        <is>
          <t>Razors &amp; Hair Removal Tools</t>
        </is>
      </c>
      <c r="D22062" t="inlineStr">
        <is>
          <t>Bulldog</t>
        </is>
      </c>
      <c r="E22062" t="n">
        <v>11.5</v>
      </c>
      <c r="F22062" t="n">
        <v>1</v>
      </c>
      <c r="G22062" t="n">
        <v>2</v>
      </c>
      <c r="H22062" s="5">
        <f>HYPERLINK("https://api.qogita.com/variants/link/5060144646347/", "View Product")</f>
        <v/>
      </c>
    </row>
    <row r="22063">
      <c r="A22063" t="inlineStr">
        <is>
          <t>5060144646361</t>
        </is>
      </c>
      <c r="B22063" t="inlineStr">
        <is>
          <t>Bulldog Men's Wet Shave Original Razor Blades 5-Blade - Pack of 4</t>
        </is>
      </c>
      <c r="C22063" t="inlineStr">
        <is>
          <t>Aftershave</t>
        </is>
      </c>
      <c r="D22063" t="inlineStr">
        <is>
          <t>Bulldog</t>
        </is>
      </c>
      <c r="E22063" t="n">
        <v>10.48</v>
      </c>
      <c r="F22063" t="n">
        <v>1</v>
      </c>
      <c r="G22063" t="n">
        <v>2</v>
      </c>
      <c r="H22063" s="5">
        <f>HYPERLINK("https://api.qogita.com/variants/link/5060144646361/", "View Product")</f>
        <v/>
      </c>
    </row>
    <row r="22064">
      <c r="A22064" t="inlineStr">
        <is>
          <t>5060150182105</t>
        </is>
      </c>
      <c r="B22064" t="inlineStr">
        <is>
          <t>Color WoW Color Security Shampoo 75 Ml</t>
        </is>
      </c>
      <c r="C22064" t="inlineStr">
        <is>
          <t>Hair Care Sets</t>
        </is>
      </c>
      <c r="D22064" t="inlineStr">
        <is>
          <t>Color Wow</t>
        </is>
      </c>
      <c r="E22064" t="n">
        <v>11.61</v>
      </c>
      <c r="F22064" t="n">
        <v>1</v>
      </c>
      <c r="G22064" t="n">
        <v>10</v>
      </c>
      <c r="H22064" s="5">
        <f>HYPERLINK("https://api.qogita.com/variants/link/5060150182105/", "View Product")</f>
        <v/>
      </c>
    </row>
    <row r="22065">
      <c r="A22065" t="inlineStr">
        <is>
          <t>5060150185069</t>
        </is>
      </c>
      <c r="B22065" t="inlineStr">
        <is>
          <t>Color Wow Dream Filter Pre-Shampoo Cleansing Spray 470ml</t>
        </is>
      </c>
      <c r="C22065" t="inlineStr">
        <is>
          <t>Shampoo</t>
        </is>
      </c>
      <c r="D22065" t="inlineStr">
        <is>
          <t>Color Wow</t>
        </is>
      </c>
      <c r="E22065" t="n">
        <v>55.43</v>
      </c>
      <c r="F22065" t="n">
        <v>1</v>
      </c>
      <c r="G22065" t="n">
        <v>4</v>
      </c>
      <c r="H22065" s="5">
        <f>HYPERLINK("https://api.qogita.com/variants/link/5060150185069/", "View Product")</f>
        <v/>
      </c>
    </row>
    <row r="22066">
      <c r="A22066" t="inlineStr">
        <is>
          <t>5060150185106</t>
        </is>
      </c>
      <c r="B22066" t="inlineStr">
        <is>
          <t>Color Wow Color Security Shampoo For Color-Treated Hair 250ml</t>
        </is>
      </c>
      <c r="C22066" t="inlineStr">
        <is>
          <t>Shampoo</t>
        </is>
      </c>
      <c r="D22066" t="inlineStr">
        <is>
          <t>Color Wow</t>
        </is>
      </c>
      <c r="E22066" t="n">
        <v>20.77</v>
      </c>
      <c r="F22066" t="n">
        <v>1</v>
      </c>
      <c r="G22066" t="n">
        <v>5</v>
      </c>
      <c r="H22066" s="5">
        <f>HYPERLINK("https://api.qogita.com/variants/link/5060150185106/", "View Product")</f>
        <v/>
      </c>
    </row>
    <row r="22067">
      <c r="A22067" t="inlineStr">
        <is>
          <t>5060150185120</t>
        </is>
      </c>
      <c r="B22067" t="inlineStr">
        <is>
          <t>Color Wow Color Security Conditioner Normalthick For Normal To Thick Hair Color Protection Conditioner</t>
        </is>
      </c>
      <c r="C22067" t="inlineStr">
        <is>
          <t>Conditioner</t>
        </is>
      </c>
      <c r="D22067" t="inlineStr">
        <is>
          <t>Color Wow</t>
        </is>
      </c>
      <c r="E22067" t="n">
        <v>20.77</v>
      </c>
      <c r="F22067" t="n">
        <v>1</v>
      </c>
      <c r="G22067" t="n">
        <v>4</v>
      </c>
      <c r="H22067" s="5">
        <f>HYPERLINK("https://api.qogita.com/variants/link/5060150185120/", "View Product")</f>
        <v/>
      </c>
    </row>
    <row r="22068">
      <c r="A22068" t="inlineStr">
        <is>
          <t>5060150185168</t>
        </is>
      </c>
      <c r="B22068" t="inlineStr">
        <is>
          <t>Color Wow Dream Cocktail Kale-Infused Thermal Active Treatment For Damaged Hair 200ml</t>
        </is>
      </c>
      <c r="C22068" t="inlineStr">
        <is>
          <t>Hair Masks</t>
        </is>
      </c>
      <c r="D22068" t="inlineStr">
        <is>
          <t>Color Wow</t>
        </is>
      </c>
      <c r="E22068" t="n">
        <v>23.29</v>
      </c>
      <c r="F22068" t="n">
        <v>1</v>
      </c>
      <c r="G22068" t="n">
        <v>15</v>
      </c>
      <c r="H22068" s="5">
        <f>HYPERLINK("https://api.qogita.com/variants/link/5060150185168/", "View Product")</f>
        <v/>
      </c>
    </row>
    <row r="22069">
      <c r="A22069" t="inlineStr">
        <is>
          <t>5060150185175</t>
        </is>
      </c>
      <c r="B22069" t="inlineStr">
        <is>
          <t>COLOR WOW Color Security Shampoo 1L</t>
        </is>
      </c>
      <c r="C22069" t="inlineStr">
        <is>
          <t>Shampoo</t>
        </is>
      </c>
      <c r="D22069" t="inlineStr">
        <is>
          <t>Color Wow</t>
        </is>
      </c>
      <c r="E22069" t="n">
        <v>66.5</v>
      </c>
      <c r="F22069" t="n">
        <v>1</v>
      </c>
      <c r="G22069" t="n">
        <v>3</v>
      </c>
      <c r="H22069" s="5">
        <f>HYPERLINK("https://api.qogita.com/variants/link/5060150185175/", "View Product")</f>
        <v/>
      </c>
    </row>
    <row r="22070">
      <c r="A22070" t="inlineStr">
        <is>
          <t>5060150185229</t>
        </is>
      </c>
      <c r="B22070" t="inlineStr">
        <is>
          <t>Color Wow One-Minute Transformation Smoothing Cream For Hair 120ml</t>
        </is>
      </c>
      <c r="C22070" t="inlineStr">
        <is>
          <t>Leave-In Conditioner</t>
        </is>
      </c>
      <c r="D22070" t="inlineStr">
        <is>
          <t>Color Wow</t>
        </is>
      </c>
      <c r="E22070" t="n">
        <v>20.42</v>
      </c>
      <c r="F22070" t="n">
        <v>1</v>
      </c>
      <c r="G22070" t="n">
        <v>8</v>
      </c>
      <c r="H22070" s="5">
        <f>HYPERLINK("https://api.qogita.com/variants/link/5060150185229/", "View Product")</f>
        <v/>
      </c>
    </row>
    <row r="22071">
      <c r="A22071" t="inlineStr">
        <is>
          <t>5060150185472</t>
        </is>
      </c>
      <c r="B22071" t="inlineStr">
        <is>
          <t>Color Wow Root Cover Up Dark Blonde Powder For Roots 2.1g</t>
        </is>
      </c>
      <c r="C22071" t="inlineStr">
        <is>
          <t>Hairline Paint</t>
        </is>
      </c>
      <c r="D22071" t="inlineStr">
        <is>
          <t>Color Wow</t>
        </is>
      </c>
      <c r="E22071" t="n">
        <v>25.35</v>
      </c>
      <c r="F22071" t="n">
        <v>1</v>
      </c>
      <c r="G22071" t="n">
        <v>5</v>
      </c>
      <c r="H22071" s="5">
        <f>HYPERLINK("https://api.qogita.com/variants/link/5060150185472/", "View Product")</f>
        <v/>
      </c>
    </row>
    <row r="22072">
      <c r="A22072" t="inlineStr">
        <is>
          <t>5060150185489</t>
        </is>
      </c>
      <c r="B22072" t="inlineStr">
        <is>
          <t>Color Wow Dream Filter Pre-Shampoo Cleansing Spray 200ml</t>
        </is>
      </c>
      <c r="C22072" t="inlineStr">
        <is>
          <t>Shampoo</t>
        </is>
      </c>
      <c r="D22072" t="inlineStr">
        <is>
          <t>Color Wow</t>
        </is>
      </c>
      <c r="E22072" t="n">
        <v>23.07</v>
      </c>
      <c r="F22072" t="n">
        <v>1</v>
      </c>
      <c r="G22072" t="n">
        <v>29</v>
      </c>
      <c r="H22072" s="5">
        <f>HYPERLINK("https://api.qogita.com/variants/link/5060150185489/", "View Product")</f>
        <v/>
      </c>
    </row>
    <row r="22073">
      <c r="A22073" t="inlineStr">
        <is>
          <t>5060150185717</t>
        </is>
      </c>
      <c r="B22073" t="inlineStr">
        <is>
          <t>Color Wow Curl Wow Shook Mixfix Bundling Spray 295 Ml</t>
        </is>
      </c>
      <c r="C22073" t="inlineStr">
        <is>
          <t>Styling Sprays</t>
        </is>
      </c>
      <c r="D22073" t="inlineStr">
        <is>
          <t>Color Wow</t>
        </is>
      </c>
      <c r="E22073" t="n">
        <v>26.83</v>
      </c>
      <c r="F22073" t="n">
        <v>1</v>
      </c>
      <c r="G22073" t="n">
        <v>42</v>
      </c>
      <c r="H22073" s="5">
        <f>HYPERLINK("https://api.qogita.com/variants/link/5060150185717/", "View Product")</f>
        <v/>
      </c>
    </row>
    <row r="22074">
      <c r="A22074" t="inlineStr">
        <is>
          <t>5060150185748</t>
        </is>
      </c>
      <c r="B22074" t="inlineStr">
        <is>
          <t>Color Wow Extra Strength Dream Coat Anti Frizz Moisturizer Size 200 Ml</t>
        </is>
      </c>
      <c r="C22074" t="inlineStr">
        <is>
          <t>Leave-In Conditioner</t>
        </is>
      </c>
      <c r="D22074" t="inlineStr">
        <is>
          <t>Color Wow</t>
        </is>
      </c>
      <c r="E22074" t="n">
        <v>32.38</v>
      </c>
      <c r="F22074" t="n">
        <v>1</v>
      </c>
      <c r="G22074" t="n">
        <v>23</v>
      </c>
      <c r="H22074" s="5">
        <f>HYPERLINK("https://api.qogita.com/variants/link/5060150185748/", "View Product")</f>
        <v/>
      </c>
    </row>
    <row r="22075">
      <c r="A22075" t="inlineStr">
        <is>
          <t>5060150185793</t>
        </is>
      </c>
      <c r="B22075" t="inlineStr">
        <is>
          <t>Color Wow Youth Juice Collagen Scalp Treatment</t>
        </is>
      </c>
      <c r="C22075" t="inlineStr">
        <is>
          <t>Scalp Care</t>
        </is>
      </c>
      <c r="D22075" t="inlineStr">
        <is>
          <t>Color Wow</t>
        </is>
      </c>
      <c r="E22075" t="n">
        <v>45.72</v>
      </c>
      <c r="F22075" t="n">
        <v>1</v>
      </c>
      <c r="G22075" t="n">
        <v>6</v>
      </c>
      <c r="H22075" s="5">
        <f>HYPERLINK("https://api.qogita.com/variants/link/5060150185793/", "View Product")</f>
        <v/>
      </c>
    </row>
    <row r="22076">
      <c r="A22076" t="inlineStr">
        <is>
          <t>5060173370015</t>
        </is>
      </c>
      <c r="B22076" t="inlineStr">
        <is>
          <t>Tangle Teezer The Original Hairbrush - Panther Black</t>
        </is>
      </c>
      <c r="C22076" t="inlineStr">
        <is>
          <t>Detanglers</t>
        </is>
      </c>
      <c r="D22076" t="inlineStr">
        <is>
          <t>Tangle Teezer</t>
        </is>
      </c>
      <c r="E22076" t="n">
        <v>9.02</v>
      </c>
      <c r="F22076" t="n">
        <v>1</v>
      </c>
      <c r="G22076" t="n">
        <v>29</v>
      </c>
      <c r="H22076" s="5">
        <f>HYPERLINK("https://api.qogita.com/variants/link/5060173370015/", "View Product")</f>
        <v/>
      </c>
    </row>
    <row r="22077">
      <c r="A22077" t="inlineStr">
        <is>
          <t>5060173378356</t>
        </is>
      </c>
      <c r="B22077" t="inlineStr">
        <is>
          <t>Tangle Teezer Large Pet Teezer De-Shedding Grooming Brush for Dry Hair or Bath</t>
        </is>
      </c>
      <c r="C22077" t="inlineStr">
        <is>
          <t>Detanglers</t>
        </is>
      </c>
      <c r="D22077" t="inlineStr">
        <is>
          <t>Tangle Teezer</t>
        </is>
      </c>
      <c r="E22077" t="n">
        <v>5.76</v>
      </c>
      <c r="F22077" t="n">
        <v>1</v>
      </c>
      <c r="G22077" t="n">
        <v>8</v>
      </c>
      <c r="H22077" s="5">
        <f>HYPERLINK("https://api.qogita.com/variants/link/5060173378356/", "View Product")</f>
        <v/>
      </c>
    </row>
    <row r="22078">
      <c r="A22078" t="inlineStr">
        <is>
          <t>5060215062205</t>
        </is>
      </c>
      <c r="B22078" t="inlineStr">
        <is>
          <t>Boadicea The Victorious Imperial Oud Eau De Parfum Spray 100ml</t>
        </is>
      </c>
      <c r="C22078" t="inlineStr">
        <is>
          <t>Eau De Parfum</t>
        </is>
      </c>
      <c r="D22078" t="inlineStr">
        <is>
          <t>Boadicea The Victorious</t>
        </is>
      </c>
      <c r="E22078" t="n">
        <v>169.35</v>
      </c>
      <c r="F22078" t="n">
        <v>1</v>
      </c>
      <c r="G22078" t="n">
        <v>6</v>
      </c>
      <c r="H22078" s="5">
        <f>HYPERLINK("https://api.qogita.com/variants/link/5060215062205/", "View Product")</f>
        <v/>
      </c>
    </row>
    <row r="22079">
      <c r="A22079" t="inlineStr">
        <is>
          <t>5060236972972</t>
        </is>
      </c>
      <c r="B22079" t="inlineStr">
        <is>
          <t>Nip + Fab Glycolic Acid Fix Serum for Face with Aloe Vera 30ml</t>
        </is>
      </c>
      <c r="C22079" t="inlineStr">
        <is>
          <t>Hydrating Serum</t>
        </is>
      </c>
      <c r="D22079" t="inlineStr">
        <is>
          <t>Nip + Fab</t>
        </is>
      </c>
      <c r="E22079" t="n">
        <v>15.39</v>
      </c>
      <c r="F22079" t="n">
        <v>1</v>
      </c>
      <c r="G22079" t="n">
        <v>3</v>
      </c>
      <c r="H22079" s="5">
        <f>HYPERLINK("https://api.qogita.com/variants/link/5060236972972/", "View Product")</f>
        <v/>
      </c>
    </row>
    <row r="22080">
      <c r="A22080" t="inlineStr">
        <is>
          <t>5060238286084</t>
        </is>
      </c>
      <c r="B22080" t="inlineStr">
        <is>
          <t>Ormonde Jayne Osmanthus - Unisex Fragrance</t>
        </is>
      </c>
      <c r="C22080" t="inlineStr">
        <is>
          <t>Eau De Parfum</t>
        </is>
      </c>
      <c r="D22080" t="inlineStr">
        <is>
          <t>Ormonde Jayne</t>
        </is>
      </c>
      <c r="E22080" t="n">
        <v>122.95</v>
      </c>
      <c r="F22080" t="n">
        <v>1</v>
      </c>
      <c r="G22080" t="n">
        <v>2</v>
      </c>
      <c r="H22080" s="5">
        <f>HYPERLINK("https://api.qogita.com/variants/link/5060238286084/", "View Product")</f>
        <v/>
      </c>
    </row>
    <row r="22081">
      <c r="A22081" t="inlineStr">
        <is>
          <t>5060238286114</t>
        </is>
      </c>
      <c r="B22081" t="inlineStr">
        <is>
          <t>Ormonde Jayne Ta'if Women's Fragrance</t>
        </is>
      </c>
      <c r="C22081" t="inlineStr">
        <is>
          <t>Eau De Parfum</t>
        </is>
      </c>
      <c r="D22081" t="inlineStr">
        <is>
          <t>Ormonde Jayne</t>
        </is>
      </c>
      <c r="E22081" t="n">
        <v>124.95</v>
      </c>
      <c r="F22081" t="n">
        <v>1</v>
      </c>
      <c r="G22081" t="n">
        <v>4</v>
      </c>
      <c r="H22081" s="5">
        <f>HYPERLINK("https://api.qogita.com/variants/link/5060238286114/", "View Product")</f>
        <v/>
      </c>
    </row>
    <row r="22082">
      <c r="A22082" t="inlineStr">
        <is>
          <t>5060270290124</t>
        </is>
      </c>
      <c r="B22082" t="inlineStr">
        <is>
          <t>Roja Parfums Danger Eau De Parfum Spray 50ml</t>
        </is>
      </c>
      <c r="C22082" t="inlineStr">
        <is>
          <t>Eau De Parfum</t>
        </is>
      </c>
      <c r="D22082" t="inlineStr">
        <is>
          <t>Roja Parfums</t>
        </is>
      </c>
      <c r="E22082" t="n">
        <v>213.17</v>
      </c>
      <c r="F22082" t="n">
        <v>1</v>
      </c>
      <c r="G22082" t="n">
        <v>16</v>
      </c>
      <c r="H22082" s="5">
        <f>HYPERLINK("https://api.qogita.com/variants/link/5060270290124/", "View Product")</f>
        <v/>
      </c>
    </row>
    <row r="22083">
      <c r="A22083" t="inlineStr">
        <is>
          <t>5060270290186</t>
        </is>
      </c>
      <c r="B22083" t="inlineStr">
        <is>
          <t>Roja Parfums Aoud Parfum 100ml For Unisex</t>
        </is>
      </c>
      <c r="C22083" t="inlineStr">
        <is>
          <t>Eau De Parfum</t>
        </is>
      </c>
      <c r="D22083" t="inlineStr">
        <is>
          <t>Roja Parfums</t>
        </is>
      </c>
      <c r="E22083" t="n">
        <v>284.24</v>
      </c>
      <c r="F22083" t="n">
        <v>1</v>
      </c>
      <c r="G22083" t="n">
        <v>3</v>
      </c>
      <c r="H22083" s="5">
        <f>HYPERLINK("https://api.qogita.com/variants/link/5060270290186/", "View Product")</f>
        <v/>
      </c>
    </row>
    <row r="22084">
      <c r="A22084" t="inlineStr">
        <is>
          <t>5060270292234</t>
        </is>
      </c>
      <c r="B22084" t="inlineStr">
        <is>
          <t>Roja Danger Parfum Pour Homme 50ml</t>
        </is>
      </c>
      <c r="C22084" t="inlineStr">
        <is>
          <t>Eau De Parfum</t>
        </is>
      </c>
      <c r="D22084" t="inlineStr">
        <is>
          <t>Roja Parfums</t>
        </is>
      </c>
      <c r="E22084" t="n">
        <v>203.11</v>
      </c>
      <c r="F22084" t="n">
        <v>1</v>
      </c>
      <c r="G22084" t="n">
        <v>3</v>
      </c>
      <c r="H22084" s="5">
        <f>HYPERLINK("https://api.qogita.com/variants/link/5060270292234/", "View Product")</f>
        <v/>
      </c>
    </row>
    <row r="22085">
      <c r="A22085" t="inlineStr">
        <is>
          <t>5060270295631</t>
        </is>
      </c>
      <c r="B22085" t="inlineStr">
        <is>
          <t>Roja Parfums Reckless Pour Homme Parfum Spray 50ml</t>
        </is>
      </c>
      <c r="C22085" t="inlineStr">
        <is>
          <t>Eau De Parfum</t>
        </is>
      </c>
      <c r="D22085" t="inlineStr">
        <is>
          <t>Roja Parfums</t>
        </is>
      </c>
      <c r="E22085" t="n">
        <v>233.1</v>
      </c>
      <c r="F22085" t="n">
        <v>1</v>
      </c>
      <c r="G22085" t="n">
        <v>6</v>
      </c>
      <c r="H22085" s="5">
        <f>HYPERLINK("https://api.qogita.com/variants/link/5060270295631/", "View Product")</f>
        <v/>
      </c>
    </row>
    <row r="22086">
      <c r="A22086" t="inlineStr">
        <is>
          <t>5060338440058</t>
        </is>
      </c>
      <c r="B22086" t="inlineStr">
        <is>
          <t>Captain Fawcett Private Stock Beard Oil 50ml</t>
        </is>
      </c>
      <c r="C22086" t="inlineStr">
        <is>
          <t>Beard Care Accessories</t>
        </is>
      </c>
      <c r="D22086" t="inlineStr">
        <is>
          <t>Captain Fawcett</t>
        </is>
      </c>
      <c r="E22086" t="n">
        <v>39.03</v>
      </c>
      <c r="F22086" t="n">
        <v>1</v>
      </c>
      <c r="G22086" t="n">
        <v>5</v>
      </c>
      <c r="H22086" s="5">
        <f>HYPERLINK("https://api.qogita.com/variants/link/5060338440058/", "View Product")</f>
        <v/>
      </c>
    </row>
    <row r="22087">
      <c r="A22087" t="inlineStr">
        <is>
          <t>5060338440133</t>
        </is>
      </c>
      <c r="B22087" t="inlineStr">
        <is>
          <t>Captain Fawcett Ylang Ylang Mustache Wax 15 Ml</t>
        </is>
      </c>
      <c r="C22087" t="inlineStr">
        <is>
          <t>Beard Care Accessories</t>
        </is>
      </c>
      <c r="D22087" t="inlineStr">
        <is>
          <t>Captain Fawcett</t>
        </is>
      </c>
      <c r="E22087" t="n">
        <v>12.43</v>
      </c>
      <c r="F22087" t="n">
        <v>1</v>
      </c>
      <c r="G22087" t="n">
        <v>3</v>
      </c>
      <c r="H22087" s="5">
        <f>HYPERLINK("https://api.qogita.com/variants/link/5060338440133/", "View Product")</f>
        <v/>
      </c>
    </row>
    <row r="22088">
      <c r="A22088" t="inlineStr">
        <is>
          <t>5060338440430</t>
        </is>
      </c>
      <c r="B22088" t="inlineStr">
        <is>
          <t>Captain Fawcett Beard Balm 60 Ml</t>
        </is>
      </c>
      <c r="C22088" t="inlineStr">
        <is>
          <t>Beard Care Accessories</t>
        </is>
      </c>
      <c r="D22088" t="inlineStr">
        <is>
          <t>Captain Fawcett</t>
        </is>
      </c>
      <c r="E22088" t="n">
        <v>18.67</v>
      </c>
      <c r="F22088" t="n">
        <v>1</v>
      </c>
      <c r="G22088" t="n">
        <v>4</v>
      </c>
      <c r="H22088" s="5">
        <f>HYPERLINK("https://api.qogita.com/variants/link/5060338440430/", "View Product")</f>
        <v/>
      </c>
    </row>
    <row r="22089">
      <c r="A22089" t="inlineStr">
        <is>
          <t>5060338440447</t>
        </is>
      </c>
      <c r="B22089" t="inlineStr">
        <is>
          <t>Captain Fawcett Beard Balm Booze Baccy by Ricki Hall 60ml</t>
        </is>
      </c>
      <c r="C22089" t="inlineStr">
        <is>
          <t>Beard Care Accessories</t>
        </is>
      </c>
      <c r="D22089" t="inlineStr">
        <is>
          <t>Captain Fawcett</t>
        </is>
      </c>
      <c r="E22089" t="n">
        <v>18.67</v>
      </c>
      <c r="F22089" t="n">
        <v>1</v>
      </c>
      <c r="G22089" t="n">
        <v>3</v>
      </c>
      <c r="H22089" s="5">
        <f>HYPERLINK("https://api.qogita.com/variants/link/5060338440447/", "View Product")</f>
        <v/>
      </c>
    </row>
    <row r="22090">
      <c r="A22090" t="inlineStr">
        <is>
          <t>5060338440553</t>
        </is>
      </c>
      <c r="B22090" t="inlineStr">
        <is>
          <t>Ricki Hall Booze &amp; Baccy Grooming Survival Kit</t>
        </is>
      </c>
      <c r="C22090" t="inlineStr">
        <is>
          <t>Beard Care Sets</t>
        </is>
      </c>
      <c r="D22090" t="inlineStr">
        <is>
          <t>Captain Fawcett</t>
        </is>
      </c>
      <c r="E22090" t="n">
        <v>39.03</v>
      </c>
      <c r="F22090" t="n">
        <v>1</v>
      </c>
      <c r="G22090" t="n">
        <v>5</v>
      </c>
      <c r="H22090" s="5">
        <f>HYPERLINK("https://api.qogita.com/variants/link/5060338440553/", "View Product")</f>
        <v/>
      </c>
    </row>
    <row r="22091">
      <c r="A22091" t="inlineStr">
        <is>
          <t>5060338440713</t>
        </is>
      </c>
      <c r="B22091" t="inlineStr">
        <is>
          <t>Captain Fawcett Triumphant Moustache Wax 15 Ml</t>
        </is>
      </c>
      <c r="C22091" t="inlineStr">
        <is>
          <t>Beard Care Accessories</t>
        </is>
      </c>
      <c r="D22091" t="inlineStr">
        <is>
          <t>Captain Fawcett</t>
        </is>
      </c>
      <c r="E22091" t="n">
        <v>11.77</v>
      </c>
      <c r="F22091" t="n">
        <v>1</v>
      </c>
      <c r="G22091" t="n">
        <v>5</v>
      </c>
      <c r="H22091" s="5">
        <f>HYPERLINK("https://api.qogita.com/variants/link/5060338440713/", "View Product")</f>
        <v/>
      </c>
    </row>
    <row r="22092">
      <c r="A22092" t="inlineStr">
        <is>
          <t>5060338441376</t>
        </is>
      </c>
      <c r="B22092" t="inlineStr">
        <is>
          <t>Whisky Beard Oil CF.209 10ml Travel Size</t>
        </is>
      </c>
      <c r="C22092" t="inlineStr">
        <is>
          <t>Beard Care Accessories</t>
        </is>
      </c>
      <c r="D22092" t="inlineStr">
        <is>
          <t>Captain Fawcett</t>
        </is>
      </c>
      <c r="E22092" t="n">
        <v>14.41</v>
      </c>
      <c r="F22092" t="n">
        <v>1</v>
      </c>
      <c r="G22092" t="n">
        <v>3</v>
      </c>
      <c r="H22092" s="5">
        <f>HYPERLINK("https://api.qogita.com/variants/link/5060338441376/", "View Product")</f>
        <v/>
      </c>
    </row>
    <row r="22093">
      <c r="A22093" t="inlineStr">
        <is>
          <t>5060338441475</t>
        </is>
      </c>
      <c r="B22093" t="inlineStr">
        <is>
          <t>CAPTAIN FAWCETT Maharajah Beard Oil 10ml Citrus</t>
        </is>
      </c>
      <c r="C22093" t="inlineStr">
        <is>
          <t>Beard Care Accessories</t>
        </is>
      </c>
      <c r="D22093" t="inlineStr">
        <is>
          <t>Captain Fawcett</t>
        </is>
      </c>
      <c r="E22093" t="n">
        <v>15.71</v>
      </c>
      <c r="F22093" t="n">
        <v>1</v>
      </c>
      <c r="G22093" t="n">
        <v>2</v>
      </c>
      <c r="H22093" s="5">
        <f>HYPERLINK("https://api.qogita.com/variants/link/5060338441475/", "View Product")</f>
        <v/>
      </c>
    </row>
    <row r="22094">
      <c r="A22094" t="inlineStr">
        <is>
          <t>5060338441680</t>
        </is>
      </c>
      <c r="B22094" t="inlineStr">
        <is>
          <t>Captain Fawcett John Petrucci's Nebula Beard Oil</t>
        </is>
      </c>
      <c r="C22094" t="inlineStr">
        <is>
          <t>Beard Care Accessories</t>
        </is>
      </c>
      <c r="D22094" t="inlineStr">
        <is>
          <t>Captain Fawcett</t>
        </is>
      </c>
      <c r="E22094" t="n">
        <v>15.71</v>
      </c>
      <c r="F22094" t="n">
        <v>1</v>
      </c>
      <c r="G22094" t="n">
        <v>2</v>
      </c>
      <c r="H22094" s="5">
        <f>HYPERLINK("https://api.qogita.com/variants/link/5060338441680/", "View Product")</f>
        <v/>
      </c>
    </row>
    <row r="22095">
      <c r="A22095" t="inlineStr">
        <is>
          <t>5060338441710</t>
        </is>
      </c>
      <c r="B22095" t="inlineStr">
        <is>
          <t>Ricki Hall's Booze &amp; Baccy Shampoo 250ml</t>
        </is>
      </c>
      <c r="C22095" t="inlineStr">
        <is>
          <t>Shampoo</t>
        </is>
      </c>
      <c r="D22095" t="inlineStr">
        <is>
          <t>Captain Fawcett</t>
        </is>
      </c>
      <c r="E22095" t="n">
        <v>19.26</v>
      </c>
      <c r="F22095" t="n">
        <v>1</v>
      </c>
      <c r="G22095" t="n">
        <v>2</v>
      </c>
      <c r="H22095" s="5">
        <f>HYPERLINK("https://api.qogita.com/variants/link/5060338441710/", "View Product")</f>
        <v/>
      </c>
    </row>
    <row r="22096">
      <c r="A22096" t="inlineStr">
        <is>
          <t>5060338441772</t>
        </is>
      </c>
      <c r="B22096" t="inlineStr">
        <is>
          <t>Captain Fawcett Expedition Reserve Shower Gel A Rich Luxurious &amp; Cleansing Body Wash 250 Ml</t>
        </is>
      </c>
      <c r="C22096" t="inlineStr">
        <is>
          <t>Shower Gel</t>
        </is>
      </c>
      <c r="D22096" t="inlineStr">
        <is>
          <t>Captain Fawcett</t>
        </is>
      </c>
      <c r="E22096" t="n">
        <v>16.3</v>
      </c>
      <c r="F22096" t="n">
        <v>1</v>
      </c>
      <c r="G22096" t="n">
        <v>3</v>
      </c>
      <c r="H22096" s="5">
        <f>HYPERLINK("https://api.qogita.com/variants/link/5060338441772/", "View Product")</f>
        <v/>
      </c>
    </row>
    <row r="22097">
      <c r="A22097" t="inlineStr">
        <is>
          <t>5060338442328</t>
        </is>
      </c>
      <c r="B22097" t="inlineStr">
        <is>
          <t>Captain Fawcett's Clay Pomade</t>
        </is>
      </c>
      <c r="C22097" t="inlineStr">
        <is>
          <t>Wax</t>
        </is>
      </c>
      <c r="D22097" t="inlineStr">
        <is>
          <t>Captain Fawcett</t>
        </is>
      </c>
      <c r="E22097" t="n">
        <v>21.29</v>
      </c>
      <c r="F22097" t="n">
        <v>1</v>
      </c>
      <c r="G22097" t="n">
        <v>2</v>
      </c>
      <c r="H22097" s="5">
        <f>HYPERLINK("https://api.qogita.com/variants/link/5060338442328/", "View Product")</f>
        <v/>
      </c>
    </row>
    <row r="22098">
      <c r="A22098" t="inlineStr">
        <is>
          <t>5060338442342</t>
        </is>
      </c>
      <c r="B22098" t="inlineStr">
        <is>
          <t>Captain Fawcett Hair Pomade Classic</t>
        </is>
      </c>
      <c r="C22098" t="inlineStr">
        <is>
          <t>Wax</t>
        </is>
      </c>
      <c r="D22098" t="inlineStr">
        <is>
          <t>Captain Fawcett</t>
        </is>
      </c>
      <c r="E22098" t="n">
        <v>21.29</v>
      </c>
      <c r="F22098" t="n">
        <v>1</v>
      </c>
      <c r="G22098" t="n">
        <v>2</v>
      </c>
      <c r="H22098" s="5">
        <f>HYPERLINK("https://api.qogita.com/variants/link/5060338442342/", "View Product")</f>
        <v/>
      </c>
    </row>
    <row r="22099">
      <c r="A22099" t="inlineStr">
        <is>
          <t>5060338442472</t>
        </is>
      </c>
      <c r="B22099" t="inlineStr">
        <is>
          <t>Captain Fawcett's Expedition Reserve Matt Styling and Volumising Hair Powder</t>
        </is>
      </c>
      <c r="C22099" t="inlineStr">
        <is>
          <t>Volume Powder</t>
        </is>
      </c>
      <c r="D22099" t="inlineStr">
        <is>
          <t>Captain Fawcett</t>
        </is>
      </c>
      <c r="E22099" t="n">
        <v>16.37</v>
      </c>
      <c r="F22099" t="n">
        <v>1</v>
      </c>
      <c r="G22099" t="n">
        <v>5</v>
      </c>
      <c r="H22099" s="5">
        <f>HYPERLINK("https://api.qogita.com/variants/link/5060338442472/", "View Product")</f>
        <v/>
      </c>
    </row>
    <row r="22100">
      <c r="A22100" t="inlineStr">
        <is>
          <t>5060370911561</t>
        </is>
      </c>
      <c r="B22100" t="inlineStr">
        <is>
          <t>Roja Parfums Elixir Parfum Spray 50ml</t>
        </is>
      </c>
      <c r="C22100" t="inlineStr">
        <is>
          <t>Eau De Parfum</t>
        </is>
      </c>
      <c r="D22100" t="inlineStr">
        <is>
          <t>Roja Parfums</t>
        </is>
      </c>
      <c r="E22100" t="n">
        <v>217.58</v>
      </c>
      <c r="F22100" t="n">
        <v>1</v>
      </c>
      <c r="G22100" t="n">
        <v>9</v>
      </c>
      <c r="H22100" s="5">
        <f>HYPERLINK("https://api.qogita.com/variants/link/5060370911561/", "View Product")</f>
        <v/>
      </c>
    </row>
    <row r="22101">
      <c r="A22101" t="inlineStr">
        <is>
          <t>5060370916924</t>
        </is>
      </c>
      <c r="B22101" t="inlineStr">
        <is>
          <t>Roja Parfums Danger Parfum Cologne Spray 100ml</t>
        </is>
      </c>
      <c r="C22101" t="inlineStr">
        <is>
          <t>Eau De Parfum</t>
        </is>
      </c>
      <c r="D22101" t="inlineStr">
        <is>
          <t>Roja Parfums</t>
        </is>
      </c>
      <c r="E22101" t="n">
        <v>156.37</v>
      </c>
      <c r="F22101" t="n">
        <v>1</v>
      </c>
      <c r="G22101" t="n">
        <v>10</v>
      </c>
      <c r="H22101" s="5">
        <f>HYPERLINK("https://api.qogita.com/variants/link/5060370916924/", "View Product")</f>
        <v/>
      </c>
    </row>
    <row r="22102">
      <c r="A22102" t="inlineStr">
        <is>
          <t>5060370917013</t>
        </is>
      </c>
      <c r="B22102" t="inlineStr">
        <is>
          <t>Roja Parfums Scandal Eau De Parfum Spray for Men 100ml</t>
        </is>
      </c>
      <c r="C22102" t="inlineStr">
        <is>
          <t>Eau De Parfum</t>
        </is>
      </c>
      <c r="D22102" t="inlineStr">
        <is>
          <t>Roja Parfums</t>
        </is>
      </c>
      <c r="E22102" t="n">
        <v>158.54</v>
      </c>
      <c r="F22102" t="n">
        <v>1</v>
      </c>
      <c r="G22102" t="n">
        <v>4</v>
      </c>
      <c r="H22102" s="5">
        <f>HYPERLINK("https://api.qogita.com/variants/link/5060370917013/", "View Product")</f>
        <v/>
      </c>
    </row>
    <row r="22103">
      <c r="A22103" t="inlineStr">
        <is>
          <t>5060370918881</t>
        </is>
      </c>
      <c r="B22103" t="inlineStr">
        <is>
          <t>Burlington 1819 Eau De Parfum Spray 100ml</t>
        </is>
      </c>
      <c r="C22103" t="inlineStr">
        <is>
          <t>Eau De Parfum</t>
        </is>
      </c>
      <c r="D22103" t="inlineStr">
        <is>
          <t>Burlington</t>
        </is>
      </c>
      <c r="E22103" t="n">
        <v>221.06</v>
      </c>
      <c r="F22103" t="n">
        <v>1</v>
      </c>
      <c r="G22103" t="n">
        <v>2</v>
      </c>
      <c r="H22103" s="5">
        <f>HYPERLINK("https://api.qogita.com/variants/link/5060370918881/", "View Product")</f>
        <v/>
      </c>
    </row>
    <row r="22104">
      <c r="A22104" t="inlineStr">
        <is>
          <t>5060370919321</t>
        </is>
      </c>
      <c r="B22104" t="inlineStr">
        <is>
          <t>Roja Parfums Scandal Pour Femme Essence De Parfum 100ml 3.4oz</t>
        </is>
      </c>
      <c r="C22104" t="inlineStr">
        <is>
          <t>Eau De Parfum</t>
        </is>
      </c>
      <c r="D22104" t="inlineStr">
        <is>
          <t>Roja Dove</t>
        </is>
      </c>
      <c r="E22104" t="n">
        <v>154.91</v>
      </c>
      <c r="F22104" t="n">
        <v>1</v>
      </c>
      <c r="G22104" t="n">
        <v>5</v>
      </c>
      <c r="H22104" s="5">
        <f>HYPERLINK("https://api.qogita.com/variants/link/5060370919321/", "View Product")</f>
        <v/>
      </c>
    </row>
    <row r="22105">
      <c r="A22105" t="inlineStr">
        <is>
          <t>5060399672528</t>
        </is>
      </c>
      <c r="B22105" t="inlineStr">
        <is>
          <t>Roja Parfums Qatar Parfum Spray 50ml</t>
        </is>
      </c>
      <c r="C22105" t="inlineStr">
        <is>
          <t>Eau De Parfum</t>
        </is>
      </c>
      <c r="D22105" t="inlineStr">
        <is>
          <t>Roja Parfums</t>
        </is>
      </c>
      <c r="E22105" t="n">
        <v>237.2</v>
      </c>
      <c r="F22105" t="n">
        <v>1</v>
      </c>
      <c r="G22105" t="n">
        <v>11</v>
      </c>
      <c r="H22105" s="5">
        <f>HYPERLINK("https://api.qogita.com/variants/link/5060399672528/", "View Product")</f>
        <v/>
      </c>
    </row>
    <row r="22106">
      <c r="A22106" t="inlineStr">
        <is>
          <t>5060399676540</t>
        </is>
      </c>
      <c r="B22106" t="inlineStr">
        <is>
          <t>Roja Parfums Vetiver Pour Homme Parfum</t>
        </is>
      </c>
      <c r="C22106" t="inlineStr">
        <is>
          <t>Eau De Parfum</t>
        </is>
      </c>
      <c r="D22106" t="inlineStr">
        <is>
          <t>Roja Parfums</t>
        </is>
      </c>
      <c r="E22106" t="n">
        <v>222.08</v>
      </c>
      <c r="F22106" t="n">
        <v>1</v>
      </c>
      <c r="G22106" t="n">
        <v>2</v>
      </c>
      <c r="H22106" s="5">
        <f>HYPERLINK("https://api.qogita.com/variants/link/5060399676540/", "View Product")</f>
        <v/>
      </c>
    </row>
    <row r="22107">
      <c r="A22107" t="inlineStr">
        <is>
          <t>5060412110181</t>
        </is>
      </c>
      <c r="B22107" t="inlineStr">
        <is>
          <t>Thomas Kosmala No.9 Bukhoor Elixir De Parfum Spray 100ml</t>
        </is>
      </c>
      <c r="C22107" t="inlineStr">
        <is>
          <t>Eau De Parfum</t>
        </is>
      </c>
      <c r="D22107" t="inlineStr">
        <is>
          <t>Thomas Kosmala</t>
        </is>
      </c>
      <c r="E22107" t="n">
        <v>78.62</v>
      </c>
      <c r="F22107" t="n">
        <v>1</v>
      </c>
      <c r="G22107" t="n">
        <v>4</v>
      </c>
      <c r="H22107" s="5">
        <f>HYPERLINK("https://api.qogita.com/variants/link/5060412110181/", "View Product")</f>
        <v/>
      </c>
    </row>
    <row r="22108">
      <c r="A22108" t="inlineStr">
        <is>
          <t>5060412110228</t>
        </is>
      </c>
      <c r="B22108" t="inlineStr">
        <is>
          <t>Thomas Kosmala No.3 Crepuscule Ardent Eau De Parfum Spray 3.4 Oz</t>
        </is>
      </c>
      <c r="C22108" t="inlineStr">
        <is>
          <t>Eau De Parfum</t>
        </is>
      </c>
      <c r="D22108" t="inlineStr">
        <is>
          <t>Thomas Kosmala</t>
        </is>
      </c>
      <c r="E22108" t="n">
        <v>79.15000000000001</v>
      </c>
      <c r="F22108" t="n">
        <v>1</v>
      </c>
      <c r="G22108" t="n">
        <v>3</v>
      </c>
      <c r="H22108" s="5">
        <f>HYPERLINK("https://api.qogita.com/variants/link/5060412110228/", "View Product")</f>
        <v/>
      </c>
    </row>
    <row r="22109">
      <c r="A22109" t="inlineStr">
        <is>
          <t>5060412110488</t>
        </is>
      </c>
      <c r="B22109" t="inlineStr">
        <is>
          <t>No 11 Super Amber Unisex Adult 3.3 Oz EDP Spray</t>
        </is>
      </c>
      <c r="C22109" t="inlineStr">
        <is>
          <t>Eau De Parfum</t>
        </is>
      </c>
      <c r="D22109" t="inlineStr">
        <is>
          <t>Thomas Kosmala</t>
        </is>
      </c>
      <c r="E22109" t="n">
        <v>68.83</v>
      </c>
      <c r="F22109" t="n">
        <v>1</v>
      </c>
      <c r="G22109" t="n">
        <v>4</v>
      </c>
      <c r="H22109" s="5">
        <f>HYPERLINK("https://api.qogita.com/variants/link/5060412110488/", "View Product")</f>
        <v/>
      </c>
    </row>
    <row r="22110">
      <c r="A22110" t="inlineStr">
        <is>
          <t>5060412110518</t>
        </is>
      </c>
      <c r="B22110" t="inlineStr">
        <is>
          <t>Thomas Kosmala Arabian Passion Eau De Parfum Spray 100ml</t>
        </is>
      </c>
      <c r="C22110" t="inlineStr">
        <is>
          <t>Eau De Parfum</t>
        </is>
      </c>
      <c r="D22110" t="inlineStr">
        <is>
          <t>Thomas Kosmala</t>
        </is>
      </c>
      <c r="E22110" t="n">
        <v>57.53</v>
      </c>
      <c r="F22110" t="n">
        <v>1</v>
      </c>
      <c r="G22110" t="n">
        <v>11</v>
      </c>
      <c r="H22110" s="5">
        <f>HYPERLINK("https://api.qogita.com/variants/link/5060412110518/", "View Product")</f>
        <v/>
      </c>
    </row>
    <row r="22111">
      <c r="A22111" t="inlineStr">
        <is>
          <t>5060412110525</t>
        </is>
      </c>
      <c r="B22111" t="inlineStr">
        <is>
          <t>Thomas Kosmala Light Of Grace Eau De Parfum Spray 100ml</t>
        </is>
      </c>
      <c r="C22111" t="inlineStr">
        <is>
          <t>Eau De Parfum</t>
        </is>
      </c>
      <c r="D22111" t="inlineStr">
        <is>
          <t>Thomas Kosmala</t>
        </is>
      </c>
      <c r="E22111" t="n">
        <v>80.27</v>
      </c>
      <c r="F22111" t="n">
        <v>1</v>
      </c>
      <c r="G22111" t="n">
        <v>4</v>
      </c>
      <c r="H22111" s="5">
        <f>HYPERLINK("https://api.qogita.com/variants/link/5060412110525/", "View Product")</f>
        <v/>
      </c>
    </row>
    <row r="22112">
      <c r="A22112" t="inlineStr">
        <is>
          <t>5060420335514</t>
        </is>
      </c>
      <c r="B22112" t="inlineStr">
        <is>
          <t>Fudge Professional Damage Rewind Hair Repairing Shampoo 250ml</t>
        </is>
      </c>
      <c r="C22112" t="inlineStr">
        <is>
          <t>Shampoo</t>
        </is>
      </c>
      <c r="D22112" t="inlineStr">
        <is>
          <t>Fudge Professional</t>
        </is>
      </c>
      <c r="E22112" t="n">
        <v>5.54</v>
      </c>
      <c r="F22112" t="n">
        <v>1</v>
      </c>
      <c r="G22112" t="n">
        <v>5</v>
      </c>
      <c r="H22112" s="5">
        <f>HYPERLINK("https://api.qogita.com/variants/link/5060420335514/", "View Product")</f>
        <v/>
      </c>
    </row>
    <row r="22113">
      <c r="A22113" t="inlineStr">
        <is>
          <t>5060420335590</t>
        </is>
      </c>
      <c r="B22113" t="inlineStr">
        <is>
          <t>Fudge Professional Xpander Volumizing Conditioner 180% Denser Hair</t>
        </is>
      </c>
      <c r="C22113" t="inlineStr">
        <is>
          <t>Conditioner</t>
        </is>
      </c>
      <c r="D22113" t="inlineStr">
        <is>
          <t>Fudge</t>
        </is>
      </c>
      <c r="E22113" t="n">
        <v>7.09</v>
      </c>
      <c r="F22113" t="n">
        <v>1</v>
      </c>
      <c r="G22113" t="n">
        <v>3</v>
      </c>
      <c r="H22113" s="5">
        <f>HYPERLINK("https://api.qogita.com/variants/link/5060420335590/", "View Product")</f>
        <v/>
      </c>
    </row>
    <row r="22114">
      <c r="A22114" t="inlineStr">
        <is>
          <t>5060420335682</t>
        </is>
      </c>
      <c r="B22114" t="inlineStr">
        <is>
          <t>Fudge Professional Xpander Volumizing Conditioner 1000ml</t>
        </is>
      </c>
      <c r="C22114" t="inlineStr">
        <is>
          <t>Conditioner</t>
        </is>
      </c>
      <c r="D22114" t="inlineStr">
        <is>
          <t>Fudge</t>
        </is>
      </c>
      <c r="E22114" t="n">
        <v>13.74</v>
      </c>
      <c r="F22114" t="n">
        <v>1</v>
      </c>
      <c r="G22114" t="n">
        <v>7</v>
      </c>
      <c r="H22114" s="5">
        <f>HYPERLINK("https://api.qogita.com/variants/link/5060420335682/", "View Product")</f>
        <v/>
      </c>
    </row>
    <row r="22115">
      <c r="A22115" t="inlineStr">
        <is>
          <t>5060426150456</t>
        </is>
      </c>
      <c r="B22115" t="inlineStr">
        <is>
          <t>Sarah Jessica Parker Lovely Sheer Eau De Parfum 100ml For Women</t>
        </is>
      </c>
      <c r="C22115" t="inlineStr">
        <is>
          <t>Eau De Parfum</t>
        </is>
      </c>
      <c r="D22115" t="inlineStr">
        <is>
          <t>Sarah Jessica Parker</t>
        </is>
      </c>
      <c r="E22115" t="n">
        <v>16.48</v>
      </c>
      <c r="F22115" t="n">
        <v>1</v>
      </c>
      <c r="G22115" t="n">
        <v>16</v>
      </c>
      <c r="H22115" s="5">
        <f>HYPERLINK("https://api.qogita.com/variants/link/5060426150456/", "View Product")</f>
        <v/>
      </c>
    </row>
    <row r="22116">
      <c r="A22116" t="inlineStr">
        <is>
          <t>5060426151972</t>
        </is>
      </c>
      <c r="B22116" t="inlineStr">
        <is>
          <t>SJP NYC By SJP Body Mist For Women Adventure and Seduction Scent 250ml</t>
        </is>
      </c>
      <c r="C22116" t="inlineStr">
        <is>
          <t>Eau De Toilette</t>
        </is>
      </c>
      <c r="D22116" t="inlineStr">
        <is>
          <t>Sarah Jessica Parker</t>
        </is>
      </c>
      <c r="E22116" t="n">
        <v>11.41</v>
      </c>
      <c r="F22116" t="n">
        <v>1</v>
      </c>
      <c r="G22116" t="n">
        <v>10</v>
      </c>
      <c r="H22116" s="5">
        <f>HYPERLINK("https://api.qogita.com/variants/link/5060426151972/", "View Product")</f>
        <v/>
      </c>
    </row>
    <row r="22117">
      <c r="A22117" t="inlineStr">
        <is>
          <t>5060426157844</t>
        </is>
      </c>
      <c r="B22117" t="inlineStr">
        <is>
          <t>Sarah Jessica Parker Lovely Lights Eau de Parfum Spray 50ml</t>
        </is>
      </c>
      <c r="C22117" t="inlineStr">
        <is>
          <t>Eau De Parfum</t>
        </is>
      </c>
      <c r="D22117" t="inlineStr">
        <is>
          <t>Sarah Jessica Parker</t>
        </is>
      </c>
      <c r="E22117" t="n">
        <v>16.04</v>
      </c>
      <c r="F22117" t="n">
        <v>1</v>
      </c>
      <c r="G22117" t="n">
        <v>3</v>
      </c>
      <c r="H22117" s="5">
        <f>HYPERLINK("https://api.qogita.com/variants/link/5060426157844/", "View Product")</f>
        <v/>
      </c>
    </row>
    <row r="22118">
      <c r="A22118" t="inlineStr">
        <is>
          <t>5060485381938</t>
        </is>
      </c>
      <c r="B22118" t="inlineStr">
        <is>
          <t>Electimuss Nero Capua Extrait De Parfum</t>
        </is>
      </c>
      <c r="C22118" t="inlineStr">
        <is>
          <t>Extrait De Parfum</t>
        </is>
      </c>
      <c r="D22118" t="inlineStr">
        <is>
          <t>Electimuss</t>
        </is>
      </c>
      <c r="E22118" t="n">
        <v>116.85</v>
      </c>
      <c r="F22118" t="n">
        <v>1</v>
      </c>
      <c r="G22118" t="n">
        <v>4</v>
      </c>
      <c r="H22118" s="5">
        <f>HYPERLINK("https://api.qogita.com/variants/link/5060485381938/", "View Product")</f>
        <v/>
      </c>
    </row>
    <row r="22119">
      <c r="A22119" t="inlineStr">
        <is>
          <t>5060486266470</t>
        </is>
      </c>
      <c r="B22119" t="inlineStr">
        <is>
          <t>Q+A Ceramide Shower Cream with Squalane, Jojoba Oil, and Sustainable Pineapple Ceramide Extract 250ml</t>
        </is>
      </c>
      <c r="C22119" t="inlineStr">
        <is>
          <t>Shower Gel</t>
        </is>
      </c>
      <c r="D22119" t="inlineStr">
        <is>
          <t>Q+A</t>
        </is>
      </c>
      <c r="E22119" t="n">
        <v>8.51</v>
      </c>
      <c r="F22119" t="n">
        <v>1</v>
      </c>
      <c r="G22119" t="n">
        <v>3</v>
      </c>
      <c r="H22119" s="5">
        <f>HYPERLINK("https://api.qogita.com/variants/link/5060486266470/", "View Product")</f>
        <v/>
      </c>
    </row>
    <row r="22120">
      <c r="A22120" t="inlineStr">
        <is>
          <t>5060524510961</t>
        </is>
      </c>
      <c r="B22120" t="inlineStr">
        <is>
          <t>Cristiano Ronaldo Cr7 Game On Deodorant Spray 150ml</t>
        </is>
      </c>
      <c r="C22120" t="inlineStr">
        <is>
          <t>Deodorant &amp; Anti-Perspirant</t>
        </is>
      </c>
      <c r="D22120" t="inlineStr">
        <is>
          <t>Cristiano Ronaldo</t>
        </is>
      </c>
      <c r="E22120" t="n">
        <v>5.21</v>
      </c>
      <c r="F22120" t="n">
        <v>1</v>
      </c>
      <c r="G22120" t="n">
        <v>8</v>
      </c>
      <c r="H22120" s="5">
        <f>HYPERLINK("https://api.qogita.com/variants/link/5060524510961/", "View Product")</f>
        <v/>
      </c>
    </row>
    <row r="22121">
      <c r="A22121" t="inlineStr">
        <is>
          <t>5060548390006</t>
        </is>
      </c>
      <c r="B22121" t="inlineStr">
        <is>
          <t>My White Secret Whitening Strips Without Peroxide for 2 Weeks 14 Pairs</t>
        </is>
      </c>
      <c r="C22121" t="inlineStr">
        <is>
          <t>Teeth Whiteners</t>
        </is>
      </c>
      <c r="D22121" t="inlineStr">
        <is>
          <t>My White Secret</t>
        </is>
      </c>
      <c r="E22121" t="n">
        <v>24.77</v>
      </c>
      <c r="F22121" t="n">
        <v>1</v>
      </c>
      <c r="G22121" t="n">
        <v>29</v>
      </c>
      <c r="H22121" s="5">
        <f>HYPERLINK("https://api.qogita.com/variants/link/5060548390006/", "View Product")</f>
        <v/>
      </c>
    </row>
    <row r="22122">
      <c r="A22122" t="inlineStr">
        <is>
          <t>5060548390044</t>
        </is>
      </c>
      <c r="B22122" t="inlineStr">
        <is>
          <t>My White Secret Bamboo Toothbrush 4 Pack</t>
        </is>
      </c>
      <c r="C22122" t="inlineStr">
        <is>
          <t>Toothbrushes &amp; Tongue Cleaners</t>
        </is>
      </c>
      <c r="D22122" t="inlineStr">
        <is>
          <t>My White Secret</t>
        </is>
      </c>
      <c r="E22122" t="n">
        <v>11.13</v>
      </c>
      <c r="F22122" t="n">
        <v>1</v>
      </c>
      <c r="G22122" t="n">
        <v>7</v>
      </c>
      <c r="H22122" s="5">
        <f>HYPERLINK("https://api.qogita.com/variants/link/5060548390044/", "View Product")</f>
        <v/>
      </c>
    </row>
    <row r="22123">
      <c r="A22123" t="inlineStr">
        <is>
          <t>5060548390822</t>
        </is>
      </c>
      <c r="B22123" t="inlineStr">
        <is>
          <t>My White Secret Activated Charcoal Whitening Mouthwash - 250 Ml</t>
        </is>
      </c>
      <c r="C22123" t="inlineStr">
        <is>
          <t>Mouthwash</t>
        </is>
      </c>
      <c r="D22123" t="inlineStr">
        <is>
          <t>My White Secret</t>
        </is>
      </c>
      <c r="E22123" t="n">
        <v>7.54</v>
      </c>
      <c r="F22123" t="n">
        <v>1</v>
      </c>
      <c r="G22123" t="n">
        <v>4</v>
      </c>
      <c r="H22123" s="5">
        <f>HYPERLINK("https://api.qogita.com/variants/link/5060548390822/", "View Product")</f>
        <v/>
      </c>
    </row>
    <row r="22124">
      <c r="A22124" t="inlineStr">
        <is>
          <t>5060548390846</t>
        </is>
      </c>
      <c r="B22124" t="inlineStr">
        <is>
          <t>My White Secret Grape Wine Toothpaste - 60 G</t>
        </is>
      </c>
      <c r="C22124" t="inlineStr">
        <is>
          <t>Toothpaste</t>
        </is>
      </c>
      <c r="D22124" t="inlineStr">
        <is>
          <t>My White Secret</t>
        </is>
      </c>
      <c r="E22124" t="n">
        <v>6.09</v>
      </c>
      <c r="F22124" t="n">
        <v>1</v>
      </c>
      <c r="G22124" t="n">
        <v>8</v>
      </c>
      <c r="H22124" s="5">
        <f>HYPERLINK("https://api.qogita.com/variants/link/5060548390846/", "View Product")</f>
        <v/>
      </c>
    </row>
    <row r="22125">
      <c r="A22125" t="inlineStr">
        <is>
          <t>5060548390853</t>
        </is>
      </c>
      <c r="B22125" t="inlineStr">
        <is>
          <t>My White Secret Strawberry Toothpaste - 60 G</t>
        </is>
      </c>
      <c r="C22125" t="inlineStr">
        <is>
          <t>Toothpaste</t>
        </is>
      </c>
      <c r="D22125" t="inlineStr">
        <is>
          <t>My White Secret</t>
        </is>
      </c>
      <c r="E22125" t="n">
        <v>6.09</v>
      </c>
      <c r="F22125" t="n">
        <v>1</v>
      </c>
      <c r="G22125" t="n">
        <v>5</v>
      </c>
      <c r="H22125" s="5">
        <f>HYPERLINK("https://api.qogita.com/variants/link/5060548390853/", "View Product")</f>
        <v/>
      </c>
    </row>
    <row r="22126">
      <c r="A22126" t="inlineStr">
        <is>
          <t>5060630042707</t>
        </is>
      </c>
      <c r="B22126" t="inlineStr">
        <is>
          <t>Tangle Teezer The Original Mini Unicorn Magic Professional Hair Brush For Children</t>
        </is>
      </c>
      <c r="C22126" t="inlineStr">
        <is>
          <t>Detanglers</t>
        </is>
      </c>
      <c r="D22126" t="inlineStr">
        <is>
          <t>Tangle Teezer</t>
        </is>
      </c>
      <c r="E22126" t="n">
        <v>7.57</v>
      </c>
      <c r="F22126" t="n">
        <v>1</v>
      </c>
      <c r="G22126" t="n">
        <v>37</v>
      </c>
      <c r="H22126" s="5">
        <f>HYPERLINK("https://api.qogita.com/variants/link/5060630042707/", "View Product")</f>
        <v/>
      </c>
    </row>
    <row r="22127">
      <c r="A22127" t="inlineStr">
        <is>
          <t>5060630042998</t>
        </is>
      </c>
      <c r="B22127" t="inlineStr">
        <is>
          <t>Tangle Teezer Original Anti-Pull Hairbrush Pink for Fine Hair</t>
        </is>
      </c>
      <c r="C22127" t="inlineStr">
        <is>
          <t>Detanglers</t>
        </is>
      </c>
      <c r="D22127" t="inlineStr">
        <is>
          <t>Tangle Teezer</t>
        </is>
      </c>
      <c r="E22127" t="n">
        <v>7.23</v>
      </c>
      <c r="F22127" t="n">
        <v>1</v>
      </c>
      <c r="G22127" t="n">
        <v>11</v>
      </c>
      <c r="H22127" s="5">
        <f>HYPERLINK("https://api.qogita.com/variants/link/5060630042998/", "View Product")</f>
        <v/>
      </c>
    </row>
    <row r="22128">
      <c r="A22128" t="inlineStr">
        <is>
          <t>5060630044152</t>
        </is>
      </c>
      <c r="B22128" t="inlineStr">
        <is>
          <t>Tangle Teezer Large Ultimate Detangler In Black Gloss</t>
        </is>
      </c>
      <c r="C22128" t="inlineStr">
        <is>
          <t>Detanglers</t>
        </is>
      </c>
      <c r="D22128" t="inlineStr">
        <is>
          <t>Tangle Teezer</t>
        </is>
      </c>
      <c r="E22128" t="n">
        <v>13.66</v>
      </c>
      <c r="F22128" t="n">
        <v>1</v>
      </c>
      <c r="G22128" t="n">
        <v>18</v>
      </c>
      <c r="H22128" s="5">
        <f>HYPERLINK("https://api.qogita.com/variants/link/5060630044152/", "View Product")</f>
        <v/>
      </c>
    </row>
    <row r="22129">
      <c r="A22129" t="inlineStr">
        <is>
          <t>5060630044343</t>
        </is>
      </c>
      <c r="B22129" t="inlineStr">
        <is>
          <t>Tangle Teezer Ultimate Detangler Thick &amp; Curly Purple Passion Hairbrush</t>
        </is>
      </c>
      <c r="C22129" t="inlineStr">
        <is>
          <t>Detanglers</t>
        </is>
      </c>
      <c r="D22129" t="inlineStr">
        <is>
          <t>Tangle Teezer</t>
        </is>
      </c>
      <c r="E22129" t="n">
        <v>12.19</v>
      </c>
      <c r="F22129" t="n">
        <v>1</v>
      </c>
      <c r="G22129" t="n">
        <v>10</v>
      </c>
      <c r="H22129" s="5">
        <f>HYPERLINK("https://api.qogita.com/variants/link/5060630044343/", "View Product")</f>
        <v/>
      </c>
    </row>
    <row r="22130">
      <c r="A22130" t="inlineStr">
        <is>
          <t>5060630046545</t>
        </is>
      </c>
      <c r="B22130" t="inlineStr">
        <is>
          <t>Tangle Teezer Everyday Detangling Cream Spray For Curly Hair 150ml</t>
        </is>
      </c>
      <c r="C22130" t="inlineStr">
        <is>
          <t>Leave-In Conditioner</t>
        </is>
      </c>
      <c r="D22130" t="inlineStr">
        <is>
          <t>Tangle Teezer</t>
        </is>
      </c>
      <c r="E22130" t="n">
        <v>9.35</v>
      </c>
      <c r="F22130" t="n">
        <v>1</v>
      </c>
      <c r="G22130" t="n">
        <v>5</v>
      </c>
      <c r="H22130" s="5">
        <f>HYPERLINK("https://api.qogita.com/variants/link/5060630046545/", "View Product")</f>
        <v/>
      </c>
    </row>
    <row r="22131">
      <c r="A22131" t="inlineStr">
        <is>
          <t>5060630047382</t>
        </is>
      </c>
      <c r="B22131" t="inlineStr">
        <is>
          <t>Tangle Teezer The Wet Detangler Large Hairbrush Pink Hibiscus</t>
        </is>
      </c>
      <c r="C22131" t="inlineStr">
        <is>
          <t>Detanglers</t>
        </is>
      </c>
      <c r="D22131" t="inlineStr">
        <is>
          <t>Tangle Teezer</t>
        </is>
      </c>
      <c r="E22131" t="n">
        <v>10.29</v>
      </c>
      <c r="F22131" t="n">
        <v>1</v>
      </c>
      <c r="G22131" t="n">
        <v>14</v>
      </c>
      <c r="H22131" s="5">
        <f>HYPERLINK("https://api.qogita.com/variants/link/5060630047382/", "View Product")</f>
        <v/>
      </c>
    </row>
    <row r="22132">
      <c r="A22132" t="inlineStr">
        <is>
          <t>5060630047955</t>
        </is>
      </c>
      <c r="B22132" t="inlineStr">
        <is>
          <t>Tangle Teezer The Ultimate Styler Hairbrush - Black</t>
        </is>
      </c>
      <c r="C22132" t="inlineStr">
        <is>
          <t>Detanglers</t>
        </is>
      </c>
      <c r="D22132" t="inlineStr">
        <is>
          <t>Tangle Teezer</t>
        </is>
      </c>
      <c r="E22132" t="n">
        <v>11.08</v>
      </c>
      <c r="F22132" t="n">
        <v>1</v>
      </c>
      <c r="G22132" t="n">
        <v>32</v>
      </c>
      <c r="H22132" s="5">
        <f>HYPERLINK("https://api.qogita.com/variants/link/5060630047955/", "View Product")</f>
        <v/>
      </c>
    </row>
    <row r="22133">
      <c r="A22133" t="inlineStr">
        <is>
          <t>5060630048013</t>
        </is>
      </c>
      <c r="B22133" t="inlineStr">
        <is>
          <t>Tangle Teezer The Ultimate Styler Hairbrush In Sweet Pink</t>
        </is>
      </c>
      <c r="C22133" t="inlineStr">
        <is>
          <t>Detanglers</t>
        </is>
      </c>
      <c r="D22133" t="inlineStr">
        <is>
          <t>Tangle Teezer</t>
        </is>
      </c>
      <c r="E22133" t="n">
        <v>10.56</v>
      </c>
      <c r="F22133" t="n">
        <v>1</v>
      </c>
      <c r="G22133" t="n">
        <v>12</v>
      </c>
      <c r="H22133" s="5">
        <f>HYPERLINK("https://api.qogita.com/variants/link/5060630048013/", "View Product")</f>
        <v/>
      </c>
    </row>
    <row r="22134">
      <c r="A22134" t="inlineStr">
        <is>
          <t>5060630048761</t>
        </is>
      </c>
      <c r="B22134" t="inlineStr">
        <is>
          <t>Tangle Teezer The Wet Detangler Mini Hairbrush Marshmallow Duo</t>
        </is>
      </c>
      <c r="C22134" t="inlineStr">
        <is>
          <t>Detanglers</t>
        </is>
      </c>
      <c r="D22134" t="inlineStr">
        <is>
          <t>Tangle Teezer</t>
        </is>
      </c>
      <c r="E22134" t="n">
        <v>7.97</v>
      </c>
      <c r="F22134" t="n">
        <v>1</v>
      </c>
      <c r="G22134" t="n">
        <v>32</v>
      </c>
      <c r="H22134" s="5">
        <f>HYPERLINK("https://api.qogita.com/variants/link/5060630048761/", "View Product")</f>
        <v/>
      </c>
    </row>
    <row r="22135">
      <c r="A22135" t="inlineStr">
        <is>
          <t>5060656210890</t>
        </is>
      </c>
      <c r="B22135" t="inlineStr">
        <is>
          <t>Slick Gorilla Medium Hold Styling Cream - 100 Ml</t>
        </is>
      </c>
      <c r="C22135" t="inlineStr">
        <is>
          <t>Styling Creams</t>
        </is>
      </c>
      <c r="D22135" t="inlineStr">
        <is>
          <t>Slick Gorilla</t>
        </is>
      </c>
      <c r="E22135" t="n">
        <v>12.47</v>
      </c>
      <c r="F22135" t="n">
        <v>1</v>
      </c>
      <c r="G22135" t="n">
        <v>6</v>
      </c>
      <c r="H22135" s="5">
        <f>HYPERLINK("https://api.qogita.com/variants/link/5060656210890/", "View Product")</f>
        <v/>
      </c>
    </row>
    <row r="22136">
      <c r="A22136" t="inlineStr">
        <is>
          <t>5060896571294</t>
        </is>
      </c>
      <c r="B22136" t="inlineStr">
        <is>
          <t>Bulldog Original Hair Styling Clay for Men Matte Finish and Firm Hold 75g</t>
        </is>
      </c>
      <c r="C22136" t="inlineStr">
        <is>
          <t>Wax</t>
        </is>
      </c>
      <c r="D22136" t="inlineStr">
        <is>
          <t>Bulldog</t>
        </is>
      </c>
      <c r="E22136" t="n">
        <v>8.09</v>
      </c>
      <c r="F22136" t="n">
        <v>1</v>
      </c>
      <c r="G22136" t="n">
        <v>8</v>
      </c>
      <c r="H22136" s="5">
        <f>HYPERLINK("https://api.qogita.com/variants/link/5060896571294/", "View Product")</f>
        <v/>
      </c>
    </row>
    <row r="22137">
      <c r="A22137" t="inlineStr">
        <is>
          <t>5060905831852</t>
        </is>
      </c>
      <c r="B22137" t="inlineStr">
        <is>
          <t>Thameen Peacock Throne Extrait De Parfum - 50ml</t>
        </is>
      </c>
      <c r="C22137" t="inlineStr">
        <is>
          <t>Extrait De Parfum</t>
        </is>
      </c>
      <c r="D22137" t="inlineStr">
        <is>
          <t>Thameen</t>
        </is>
      </c>
      <c r="E22137" t="n">
        <v>63.97</v>
      </c>
      <c r="F22137" t="n">
        <v>1</v>
      </c>
      <c r="G22137" t="n">
        <v>2</v>
      </c>
      <c r="H22137" s="5">
        <f>HYPERLINK("https://api.qogita.com/variants/link/5060905831852/", "View Product")</f>
        <v/>
      </c>
    </row>
    <row r="22138">
      <c r="A22138" t="inlineStr">
        <is>
          <t>5060926680613</t>
        </is>
      </c>
      <c r="B22138" t="inlineStr">
        <is>
          <t>Tangle Teezer Wet Detangler Hairbrush Ultimate Rose</t>
        </is>
      </c>
      <c r="C22138" t="inlineStr">
        <is>
          <t>Detanglers</t>
        </is>
      </c>
      <c r="D22138" t="inlineStr">
        <is>
          <t>Tangle Teezer</t>
        </is>
      </c>
      <c r="E22138" t="n">
        <v>12.34</v>
      </c>
      <c r="F22138" t="n">
        <v>1</v>
      </c>
      <c r="G22138" t="n">
        <v>14</v>
      </c>
      <c r="H22138" s="5">
        <f>HYPERLINK("https://api.qogita.com/variants/link/5060926680613/", "View Product")</f>
        <v/>
      </c>
    </row>
    <row r="22139">
      <c r="A22139" t="inlineStr">
        <is>
          <t>5060926680828</t>
        </is>
      </c>
      <c r="B22139" t="inlineStr">
        <is>
          <t>Tangle Teezer Fine And Fragile Detangling Hairbrush Hairbrush Berry Bright</t>
        </is>
      </c>
      <c r="C22139" t="inlineStr">
        <is>
          <t>Detanglers</t>
        </is>
      </c>
      <c r="D22139" t="inlineStr">
        <is>
          <t>Tangle Teezer</t>
        </is>
      </c>
      <c r="E22139" t="n">
        <v>9.130000000000001</v>
      </c>
      <c r="F22139" t="n">
        <v>1</v>
      </c>
      <c r="G22139" t="n">
        <v>5</v>
      </c>
      <c r="H22139" s="5">
        <f>HYPERLINK("https://api.qogita.com/variants/link/5060926680828/", "View Product")</f>
        <v/>
      </c>
    </row>
    <row r="22140">
      <c r="A22140" t="inlineStr">
        <is>
          <t>5060926681047</t>
        </is>
      </c>
      <c r="B22140" t="inlineStr">
        <is>
          <t>Tangle Teezer The Wet Detangler Large Hairbrush Cappuccino</t>
        </is>
      </c>
      <c r="C22140" t="inlineStr">
        <is>
          <t>Detanglers</t>
        </is>
      </c>
      <c r="D22140" t="inlineStr">
        <is>
          <t>Tangle Teezer</t>
        </is>
      </c>
      <c r="E22140" t="n">
        <v>10.25</v>
      </c>
      <c r="F22140" t="n">
        <v>1</v>
      </c>
      <c r="G22140" t="n">
        <v>55</v>
      </c>
      <c r="H22140" s="5">
        <f>HYPERLINK("https://api.qogita.com/variants/link/5060926681047/", "View Product")</f>
        <v/>
      </c>
    </row>
    <row r="22141">
      <c r="A22141" t="inlineStr">
        <is>
          <t>5060926681481</t>
        </is>
      </c>
      <c r="B22141" t="inlineStr">
        <is>
          <t>Tangle Teezer The Original Hairbrush In Lilac Cloud</t>
        </is>
      </c>
      <c r="C22141" t="inlineStr">
        <is>
          <t>Detanglers</t>
        </is>
      </c>
      <c r="D22141" t="inlineStr">
        <is>
          <t>Tangle Teezer</t>
        </is>
      </c>
      <c r="E22141" t="n">
        <v>8.93</v>
      </c>
      <c r="F22141" t="n">
        <v>1</v>
      </c>
      <c r="G22141" t="n">
        <v>7</v>
      </c>
      <c r="H22141" s="5">
        <f>HYPERLINK("https://api.qogita.com/variants/link/5060926681481/", "View Product")</f>
        <v/>
      </c>
    </row>
    <row r="22142">
      <c r="A22142" t="inlineStr">
        <is>
          <t>5060926682730</t>
        </is>
      </c>
      <c r="B22142" t="inlineStr">
        <is>
          <t>Tangle Teezer Plant Brush Hair Brush Deep Sea Blue</t>
        </is>
      </c>
      <c r="C22142" t="inlineStr">
        <is>
          <t>Detanglers</t>
        </is>
      </c>
      <c r="D22142" t="inlineStr">
        <is>
          <t>Tangle Teezer</t>
        </is>
      </c>
      <c r="E22142" t="n">
        <v>10.88</v>
      </c>
      <c r="F22142" t="n">
        <v>1</v>
      </c>
      <c r="G22142" t="n">
        <v>10</v>
      </c>
      <c r="H22142" s="5">
        <f>HYPERLINK("https://api.qogita.com/variants/link/5060926682730/", "View Product")</f>
        <v/>
      </c>
    </row>
    <row r="22143">
      <c r="A22143" t="inlineStr">
        <is>
          <t>5060926684505</t>
        </is>
      </c>
      <c r="B22143" t="inlineStr">
        <is>
          <t>Tangle Teezer The Ultimate Detangler Apricot Rosebud Hair Brush</t>
        </is>
      </c>
      <c r="C22143" t="inlineStr">
        <is>
          <t>Detanglers</t>
        </is>
      </c>
      <c r="D22143" t="inlineStr">
        <is>
          <t>Tangle Teezer</t>
        </is>
      </c>
      <c r="E22143" t="n">
        <v>14.29</v>
      </c>
      <c r="F22143" t="n">
        <v>1</v>
      </c>
      <c r="G22143" t="n">
        <v>1</v>
      </c>
      <c r="H22143" s="5">
        <f>HYPERLINK("https://api.qogita.com/variants/link/5060926684505/", "View Product")</f>
        <v/>
      </c>
    </row>
    <row r="22144">
      <c r="A22144" t="inlineStr">
        <is>
          <t>5060926684536</t>
        </is>
      </c>
      <c r="B22144" t="inlineStr">
        <is>
          <t>Tangle Teezer The Mini Ultimate Detangler Hairbrush Gentle on Wet Hair Two-Tiered Teeth Comfortable Handle Ideal for Kids And Travel Reduces Knots Breakage Salmon Pink Apricot</t>
        </is>
      </c>
      <c r="C22144" t="inlineStr">
        <is>
          <t>Detanglers</t>
        </is>
      </c>
      <c r="D22144" t="inlineStr">
        <is>
          <t>Tangle Teezer</t>
        </is>
      </c>
      <c r="E22144" t="n">
        <v>10.2</v>
      </c>
      <c r="F22144" t="n">
        <v>1</v>
      </c>
      <c r="G22144" t="n">
        <v>4</v>
      </c>
      <c r="H22144" s="5">
        <f>HYPERLINK("https://api.qogita.com/variants/link/5060926684536/", "View Product")</f>
        <v/>
      </c>
    </row>
    <row r="22145">
      <c r="A22145" t="inlineStr">
        <is>
          <t>5060926685472</t>
        </is>
      </c>
      <c r="B22145" t="inlineStr">
        <is>
          <t>Tangle Teezer Ultimate Detangler Mini Hair Brush Dopamine Pink</t>
        </is>
      </c>
      <c r="C22145" t="inlineStr">
        <is>
          <t>Detanglers</t>
        </is>
      </c>
      <c r="D22145" t="inlineStr">
        <is>
          <t>Tangle Teezer</t>
        </is>
      </c>
      <c r="E22145" t="n">
        <v>7.94</v>
      </c>
      <c r="F22145" t="n">
        <v>1</v>
      </c>
      <c r="G22145" t="n">
        <v>3</v>
      </c>
      <c r="H22145" s="5">
        <f>HYPERLINK("https://api.qogita.com/variants/link/5060926685472/", "View Product")</f>
        <v/>
      </c>
    </row>
    <row r="22146">
      <c r="A22146" t="inlineStr">
        <is>
          <t>5060926685991</t>
        </is>
      </c>
      <c r="B22146" t="inlineStr">
        <is>
          <t>Tangle Teezer Ultimate Detangler In Chocolate Bronze</t>
        </is>
      </c>
      <c r="C22146" t="inlineStr">
        <is>
          <t>Detanglers</t>
        </is>
      </c>
      <c r="D22146" t="inlineStr">
        <is>
          <t>Tangle Teezer</t>
        </is>
      </c>
      <c r="E22146" t="n">
        <v>16.17</v>
      </c>
      <c r="F22146" t="n">
        <v>1</v>
      </c>
      <c r="G22146" t="n">
        <v>9</v>
      </c>
      <c r="H22146" s="5">
        <f>HYPERLINK("https://api.qogita.com/variants/link/5060926685991/", "View Product")</f>
        <v/>
      </c>
    </row>
    <row r="22147">
      <c r="A22147" t="inlineStr">
        <is>
          <t>5060926686004</t>
        </is>
      </c>
      <c r="B22147" t="inlineStr">
        <is>
          <t>Tangle Teezer Ultimate Detangler Hair Brush - Chrome Mauve Copper</t>
        </is>
      </c>
      <c r="C22147" t="inlineStr">
        <is>
          <t>Detanglers</t>
        </is>
      </c>
      <c r="D22147" t="inlineStr">
        <is>
          <t>Tangle Teezer</t>
        </is>
      </c>
      <c r="E22147" t="n">
        <v>11.69</v>
      </c>
      <c r="F22147" t="n">
        <v>1</v>
      </c>
      <c r="G22147" t="n">
        <v>22</v>
      </c>
      <c r="H22147" s="5">
        <f>HYPERLINK("https://api.qogita.com/variants/link/5060926686004/", "View Product")</f>
        <v/>
      </c>
    </row>
    <row r="22148">
      <c r="A22148" t="inlineStr">
        <is>
          <t>5065009151028</t>
        </is>
      </c>
      <c r="B22148" t="inlineStr">
        <is>
          <t>Fragrance du Bois Secret Tryst Unisex Perfume 100ml</t>
        </is>
      </c>
      <c r="C22148" t="inlineStr">
        <is>
          <t>Eau De Parfum</t>
        </is>
      </c>
      <c r="D22148" t="inlineStr">
        <is>
          <t>Fragrance Du Bois</t>
        </is>
      </c>
      <c r="E22148" t="n">
        <v>179.83</v>
      </c>
      <c r="F22148" t="n">
        <v>1</v>
      </c>
      <c r="G22148" t="n">
        <v>2</v>
      </c>
      <c r="H22148" s="5">
        <f>HYPERLINK("https://api.qogita.com/variants/link/5065009151028/", "View Product")</f>
        <v/>
      </c>
    </row>
    <row r="22149">
      <c r="A22149" t="inlineStr">
        <is>
          <t>5081304300992</t>
        </is>
      </c>
      <c r="B22149" t="inlineStr">
        <is>
          <t>Fragrance Du Bois Unisex Oud Bleu Intense Perfume 100ml Amber Wood</t>
        </is>
      </c>
      <c r="C22149" t="inlineStr">
        <is>
          <t>Eau De Parfum</t>
        </is>
      </c>
      <c r="D22149" t="inlineStr">
        <is>
          <t>Fragrance Du Bois</t>
        </is>
      </c>
      <c r="E22149" t="n">
        <v>307.73</v>
      </c>
      <c r="F22149" t="n">
        <v>1</v>
      </c>
      <c r="G22149" t="n">
        <v>6</v>
      </c>
      <c r="H22149" s="5">
        <f>HYPERLINK("https://api.qogita.com/variants/link/5081304300992/", "View Product")</f>
        <v/>
      </c>
    </row>
    <row r="22150">
      <c r="A22150" t="inlineStr">
        <is>
          <t>5081304301029</t>
        </is>
      </c>
      <c r="B22150" t="inlineStr">
        <is>
          <t>Fragrance Du Bois Unisex Oud Orange Intense Perfume 100ml</t>
        </is>
      </c>
      <c r="C22150" t="inlineStr">
        <is>
          <t>Eau De Parfum</t>
        </is>
      </c>
      <c r="D22150" t="inlineStr">
        <is>
          <t>Fragrance Du Bois</t>
        </is>
      </c>
      <c r="E22150" t="n">
        <v>327.29</v>
      </c>
      <c r="F22150" t="n">
        <v>1</v>
      </c>
      <c r="G22150" t="n">
        <v>8</v>
      </c>
      <c r="H22150" s="5">
        <f>HYPERLINK("https://api.qogita.com/variants/link/5081304301029/", "View Product")</f>
        <v/>
      </c>
    </row>
    <row r="22151">
      <c r="A22151" t="inlineStr">
        <is>
          <t>5081304448410</t>
        </is>
      </c>
      <c r="B22151" t="inlineStr">
        <is>
          <t>Fragrance Du Bois Cannabis Intense Perfume 100ml</t>
        </is>
      </c>
      <c r="C22151" t="inlineStr">
        <is>
          <t>Eau De Parfum</t>
        </is>
      </c>
      <c r="D22151" t="inlineStr">
        <is>
          <t>Fragrance Du Bois</t>
        </is>
      </c>
      <c r="E22151" t="n">
        <v>161.21</v>
      </c>
      <c r="F22151" t="n">
        <v>1</v>
      </c>
      <c r="G22151" t="n">
        <v>3</v>
      </c>
      <c r="H22151" s="5">
        <f>HYPERLINK("https://api.qogita.com/variants/link/5081304448410/", "View Product")</f>
        <v/>
      </c>
    </row>
    <row r="22152">
      <c r="A22152" t="inlineStr">
        <is>
          <t>5099821001902</t>
        </is>
      </c>
      <c r="B22152" t="inlineStr">
        <is>
          <t>Hawaiian Tropic Silk Hydration Air Soft Sunscreen Mist Spf 30 177ml</t>
        </is>
      </c>
      <c r="C22152" t="inlineStr">
        <is>
          <t>Body Sun Protection</t>
        </is>
      </c>
      <c r="D22152" t="inlineStr">
        <is>
          <t>Hawaiian Tropic</t>
        </is>
      </c>
      <c r="E22152" t="n">
        <v>14.06</v>
      </c>
      <c r="F22152" t="n">
        <v>1</v>
      </c>
      <c r="G22152" t="n">
        <v>8</v>
      </c>
      <c r="H22152" s="5">
        <f>HYPERLINK("https://api.qogita.com/variants/link/5099821001902/", "View Product")</f>
        <v/>
      </c>
    </row>
    <row r="22153">
      <c r="A22153" t="inlineStr">
        <is>
          <t>5099821002039</t>
        </is>
      </c>
      <c r="B22153" t="inlineStr">
        <is>
          <t>Hawaiian Tropic Silk Hydration After Sun Lotion 180ml</t>
        </is>
      </c>
      <c r="C22153" t="inlineStr">
        <is>
          <t>Aftersun</t>
        </is>
      </c>
      <c r="D22153" t="inlineStr">
        <is>
          <t>Hawaiian Tropic</t>
        </is>
      </c>
      <c r="E22153" t="n">
        <v>9.34</v>
      </c>
      <c r="F22153" t="n">
        <v>1</v>
      </c>
      <c r="G22153" t="n">
        <v>7</v>
      </c>
      <c r="H22153" s="5">
        <f>HYPERLINK("https://api.qogita.com/variants/link/5099821002039/", "View Product")</f>
        <v/>
      </c>
    </row>
    <row r="22154">
      <c r="A22154" t="inlineStr">
        <is>
          <t>5099821002213</t>
        </is>
      </c>
      <c r="B22154" t="inlineStr">
        <is>
          <t>Hawaiian Tropic Aloe Vera After Sun Cooling Aloe Gel 200ml</t>
        </is>
      </c>
      <c r="C22154" t="inlineStr">
        <is>
          <t>Aftersun</t>
        </is>
      </c>
      <c r="D22154" t="inlineStr">
        <is>
          <t>Hawaiian Tropic</t>
        </is>
      </c>
      <c r="E22154" t="n">
        <v>7.84</v>
      </c>
      <c r="F22154" t="n">
        <v>1</v>
      </c>
      <c r="G22154" t="n">
        <v>7</v>
      </c>
      <c r="H22154" s="5">
        <f>HYPERLINK("https://api.qogita.com/variants/link/5099821002213/", "View Product")</f>
        <v/>
      </c>
    </row>
    <row r="22155">
      <c r="A22155" t="inlineStr">
        <is>
          <t>5099821002718</t>
        </is>
      </c>
      <c r="B22155" t="inlineStr">
        <is>
          <t>Hawaiian Tropic Body Butter After Sun Exotic Coconut 250ml</t>
        </is>
      </c>
      <c r="C22155" t="inlineStr">
        <is>
          <t>Aftersun</t>
        </is>
      </c>
      <c r="D22155" t="inlineStr">
        <is>
          <t>Hawaiian Tropic</t>
        </is>
      </c>
      <c r="E22155" t="n">
        <v>13.48</v>
      </c>
      <c r="F22155" t="n">
        <v>1</v>
      </c>
      <c r="G22155" t="n">
        <v>14</v>
      </c>
      <c r="H22155" s="5">
        <f>HYPERLINK("https://api.qogita.com/variants/link/5099821002718/", "View Product")</f>
        <v/>
      </c>
    </row>
    <row r="22156">
      <c r="A22156" t="inlineStr">
        <is>
          <t>5099821002770</t>
        </is>
      </c>
      <c r="B22156" t="inlineStr">
        <is>
          <t>Hawaiian Tropic Sunscreen For Face Spf 50 Glowing Protection - 50 Ml</t>
        </is>
      </c>
      <c r="C22156" t="inlineStr">
        <is>
          <t>Face Sun Protection</t>
        </is>
      </c>
      <c r="D22156" t="inlineStr">
        <is>
          <t>Hawaiian Tropic</t>
        </is>
      </c>
      <c r="E22156" t="n">
        <v>13.28</v>
      </c>
      <c r="F22156" t="n">
        <v>1</v>
      </c>
      <c r="G22156" t="n">
        <v>2</v>
      </c>
      <c r="H22156" s="5">
        <f>HYPERLINK("https://api.qogita.com/variants/link/5099821002770/", "View Product")</f>
        <v/>
      </c>
    </row>
    <row r="22157">
      <c r="A22157" t="inlineStr">
        <is>
          <t>5099821137144</t>
        </is>
      </c>
      <c r="B22157" t="inlineStr">
        <is>
          <t>Hawaiian Tropic Hydrating Protection Sunscreen Lotion Spf 30 180ml</t>
        </is>
      </c>
      <c r="C22157" t="inlineStr">
        <is>
          <t>Body Sun Protection</t>
        </is>
      </c>
      <c r="D22157" t="inlineStr">
        <is>
          <t>Hawaiian Tropic</t>
        </is>
      </c>
      <c r="E22157" t="n">
        <v>12.62</v>
      </c>
      <c r="F22157" t="n">
        <v>1</v>
      </c>
      <c r="G22157" t="n">
        <v>11</v>
      </c>
      <c r="H22157" s="5">
        <f>HYPERLINK("https://api.qogita.com/variants/link/5099821137144/", "View Product")</f>
        <v/>
      </c>
    </row>
    <row r="22158">
      <c r="A22158" t="inlineStr">
        <is>
          <t>5099821137151</t>
        </is>
      </c>
      <c r="B22158" t="inlineStr">
        <is>
          <t>Hawaiian Tropic Hydrating Protection Sunscreen SPF 50 UVA/UVB Protection</t>
        </is>
      </c>
      <c r="C22158" t="inlineStr">
        <is>
          <t>Body Sun Protection</t>
        </is>
      </c>
      <c r="D22158" t="inlineStr">
        <is>
          <t>Hawaiian Tropic</t>
        </is>
      </c>
      <c r="E22158" t="n">
        <v>14.78</v>
      </c>
      <c r="F22158" t="n">
        <v>1</v>
      </c>
      <c r="G22158" t="n">
        <v>5</v>
      </c>
      <c r="H22158" s="5">
        <f>HYPERLINK("https://api.qogita.com/variants/link/5099821137151/", "View Product")</f>
        <v/>
      </c>
    </row>
    <row r="22159">
      <c r="A22159" t="inlineStr">
        <is>
          <t>5201279073510</t>
        </is>
      </c>
      <c r="B22159" t="inlineStr">
        <is>
          <t>Apivita Dandruff Relief Hair Oil 50ml For Dry Or Oily Dandruff</t>
        </is>
      </c>
      <c r="C22159" t="inlineStr">
        <is>
          <t>Hair Oil &amp; Hair Serum</t>
        </is>
      </c>
      <c r="D22159" t="inlineStr">
        <is>
          <t>Apivita</t>
        </is>
      </c>
      <c r="E22159" t="n">
        <v>11.14</v>
      </c>
      <c r="F22159" t="n">
        <v>1</v>
      </c>
      <c r="G22159" t="n">
        <v>2</v>
      </c>
      <c r="H22159" s="5">
        <f>HYPERLINK("https://api.qogita.com/variants/link/5201279073510/", "View Product")</f>
        <v/>
      </c>
    </row>
    <row r="22160">
      <c r="A22160" t="inlineStr">
        <is>
          <t>5201314106661</t>
        </is>
      </c>
      <c r="B22160" t="inlineStr">
        <is>
          <t>Str8 Rise EDT 100ml</t>
        </is>
      </c>
      <c r="C22160" t="inlineStr">
        <is>
          <t>Eau De Toilette</t>
        </is>
      </c>
      <c r="D22160" t="inlineStr">
        <is>
          <t>Str8</t>
        </is>
      </c>
      <c r="E22160" t="n">
        <v>7.45</v>
      </c>
      <c r="F22160" t="n">
        <v>1</v>
      </c>
      <c r="G22160" t="n">
        <v>2</v>
      </c>
      <c r="H22160" s="5">
        <f>HYPERLINK("https://api.qogita.com/variants/link/5201314106661/", "View Product")</f>
        <v/>
      </c>
    </row>
    <row r="22161">
      <c r="A22161" t="inlineStr">
        <is>
          <t>5201314127338</t>
        </is>
      </c>
      <c r="B22161" t="inlineStr">
        <is>
          <t>Sarantis Elode Man EDT Voyage 100ml R21</t>
        </is>
      </c>
      <c r="C22161" t="inlineStr">
        <is>
          <t>Eau De Toilette</t>
        </is>
      </c>
      <c r="D22161" t="inlineStr">
        <is>
          <t>Sarantis</t>
        </is>
      </c>
      <c r="E22161" t="n">
        <v>6.96</v>
      </c>
      <c r="F22161" t="n">
        <v>1</v>
      </c>
      <c r="G22161" t="n">
        <v>2</v>
      </c>
      <c r="H22161" s="5">
        <f>HYPERLINK("https://api.qogita.com/variants/link/5201314127338/", "View Product")</f>
        <v/>
      </c>
    </row>
    <row r="22162">
      <c r="A22162" t="inlineStr">
        <is>
          <t>5201314145233</t>
        </is>
      </c>
      <c r="B22162" t="inlineStr">
        <is>
          <t>Elode Woman Eau De Parfum</t>
        </is>
      </c>
      <c r="C22162" t="inlineStr">
        <is>
          <t>Eau De Parfum</t>
        </is>
      </c>
      <c r="D22162" t="inlineStr">
        <is>
          <t>Elode</t>
        </is>
      </c>
      <c r="E22162" t="n">
        <v>6.47</v>
      </c>
      <c r="F22162" t="n">
        <v>1</v>
      </c>
      <c r="G22162" t="n">
        <v>79</v>
      </c>
      <c r="H22162" s="5">
        <f>HYPERLINK("https://api.qogita.com/variants/link/5201314145233/", "View Product")</f>
        <v/>
      </c>
    </row>
    <row r="22163">
      <c r="A22163" t="inlineStr">
        <is>
          <t>5201314149118</t>
        </is>
      </c>
      <c r="B22163" t="inlineStr">
        <is>
          <t>STR8 Ahead Shower Gel 250ml for Men</t>
        </is>
      </c>
      <c r="C22163" t="inlineStr">
        <is>
          <t>Shower Gel</t>
        </is>
      </c>
      <c r="D22163" t="inlineStr">
        <is>
          <t>Str8</t>
        </is>
      </c>
      <c r="E22163" t="n">
        <v>3.5</v>
      </c>
      <c r="F22163" t="n">
        <v>1</v>
      </c>
      <c r="G22163" t="n">
        <v>2</v>
      </c>
      <c r="H22163" s="5">
        <f>HYPERLINK("https://api.qogita.com/variants/link/5201314149118/", "View Product")</f>
        <v/>
      </c>
    </row>
    <row r="22164">
      <c r="A22164" t="inlineStr">
        <is>
          <t>5201314149743</t>
        </is>
      </c>
      <c r="B22164" t="inlineStr">
        <is>
          <t>STR8 Original Eau De Toilette EDT 50ml for Men</t>
        </is>
      </c>
      <c r="C22164" t="inlineStr">
        <is>
          <t>Eau De Toilette</t>
        </is>
      </c>
      <c r="D22164" t="inlineStr">
        <is>
          <t>Str8</t>
        </is>
      </c>
      <c r="E22164" t="n">
        <v>5.99</v>
      </c>
      <c r="F22164" t="n">
        <v>1</v>
      </c>
      <c r="G22164" t="n">
        <v>10</v>
      </c>
      <c r="H22164" s="5">
        <f>HYPERLINK("https://api.qogita.com/variants/link/5201314149743/", "View Product")</f>
        <v/>
      </c>
    </row>
    <row r="22165">
      <c r="A22165" t="inlineStr">
        <is>
          <t>5201314149781</t>
        </is>
      </c>
      <c r="B22165" t="inlineStr">
        <is>
          <t>Str8 Red Code Edt</t>
        </is>
      </c>
      <c r="C22165" t="inlineStr">
        <is>
          <t>Eau De Toilette</t>
        </is>
      </c>
      <c r="D22165" t="inlineStr">
        <is>
          <t>Str8</t>
        </is>
      </c>
      <c r="E22165" t="n">
        <v>7.45</v>
      </c>
      <c r="F22165" t="n">
        <v>1</v>
      </c>
      <c r="G22165" t="n">
        <v>55</v>
      </c>
      <c r="H22165" s="5">
        <f>HYPERLINK("https://api.qogita.com/variants/link/5201314149781/", "View Product")</f>
        <v/>
      </c>
    </row>
    <row r="22166">
      <c r="A22166" t="inlineStr">
        <is>
          <t>5201314149910</t>
        </is>
      </c>
      <c r="B22166" t="inlineStr">
        <is>
          <t>Str8 Red Code Refreshing Shower Gel 400ml</t>
        </is>
      </c>
      <c r="C22166" t="inlineStr">
        <is>
          <t>Shower Gel</t>
        </is>
      </c>
      <c r="D22166" t="inlineStr">
        <is>
          <t>Str8</t>
        </is>
      </c>
      <c r="E22166" t="n">
        <v>2.94</v>
      </c>
      <c r="F22166" t="n">
        <v>1</v>
      </c>
      <c r="G22166" t="n">
        <v>5</v>
      </c>
      <c r="H22166" s="5">
        <f>HYPERLINK("https://api.qogita.com/variants/link/5201314149910/", "View Product")</f>
        <v/>
      </c>
    </row>
    <row r="22167">
      <c r="A22167" t="inlineStr">
        <is>
          <t>5201314150589</t>
        </is>
      </c>
      <c r="B22167" t="inlineStr">
        <is>
          <t>C-Thru Harmony Bliss Deodorant With Spray</t>
        </is>
      </c>
      <c r="C22167" t="inlineStr">
        <is>
          <t>Deodorant &amp; Anti-Perspirant</t>
        </is>
      </c>
      <c r="D22167" t="inlineStr">
        <is>
          <t>C-Thru</t>
        </is>
      </c>
      <c r="E22167" t="n">
        <v>5.35</v>
      </c>
      <c r="F22167" t="n">
        <v>1</v>
      </c>
      <c r="G22167" t="n">
        <v>7</v>
      </c>
      <c r="H22167" s="5">
        <f>HYPERLINK("https://api.qogita.com/variants/link/5201314150589/", "View Product")</f>
        <v/>
      </c>
    </row>
    <row r="22168">
      <c r="A22168" t="inlineStr">
        <is>
          <t>5201314168768</t>
        </is>
      </c>
      <c r="B22168" t="inlineStr">
        <is>
          <t>Str8 Fr34k Deodorant With Spray</t>
        </is>
      </c>
      <c r="C22168" t="inlineStr">
        <is>
          <t>Deodorant &amp; Anti-Perspirant</t>
        </is>
      </c>
      <c r="D22168" t="inlineStr">
        <is>
          <t>Str8</t>
        </is>
      </c>
      <c r="E22168" t="n">
        <v>6.14</v>
      </c>
      <c r="F22168" t="n">
        <v>1</v>
      </c>
      <c r="G22168" t="n">
        <v>3</v>
      </c>
      <c r="H22168" s="5">
        <f>HYPERLINK("https://api.qogita.com/variants/link/5201314168768/", "View Product")</f>
        <v/>
      </c>
    </row>
    <row r="22169">
      <c r="A22169" t="inlineStr">
        <is>
          <t>5201314194491</t>
        </is>
      </c>
      <c r="B22169" t="inlineStr">
        <is>
          <t>Str8 Wild Beat Deodorant Spray</t>
        </is>
      </c>
      <c r="C22169" t="inlineStr">
        <is>
          <t>Deodorant &amp; Anti-Perspirant</t>
        </is>
      </c>
      <c r="D22169" t="inlineStr">
        <is>
          <t>Str8</t>
        </is>
      </c>
      <c r="E22169" t="n">
        <v>5.93</v>
      </c>
      <c r="F22169" t="n">
        <v>1</v>
      </c>
      <c r="G22169" t="n">
        <v>5</v>
      </c>
      <c r="H22169" s="5">
        <f>HYPERLINK("https://api.qogita.com/variants/link/5201314194491/", "View Product")</f>
        <v/>
      </c>
    </row>
    <row r="22170">
      <c r="A22170" t="inlineStr">
        <is>
          <t>5203069090646</t>
        </is>
      </c>
      <c r="B22170" t="inlineStr">
        <is>
          <t>Korres Mountain Pepper Eau De Toilette for Men Dermatologically Tested Vegan 50ml</t>
        </is>
      </c>
      <c r="C22170" t="inlineStr">
        <is>
          <t>Eau De Toilette</t>
        </is>
      </c>
      <c r="D22170" t="inlineStr">
        <is>
          <t>Korres</t>
        </is>
      </c>
      <c r="E22170" t="n">
        <v>19.86</v>
      </c>
      <c r="F22170" t="n">
        <v>1</v>
      </c>
      <c r="G22170" t="n">
        <v>42</v>
      </c>
      <c r="H22170" s="5">
        <f>HYPERLINK("https://api.qogita.com/variants/link/5203069090646/", "View Product")</f>
        <v/>
      </c>
    </row>
    <row r="22171">
      <c r="A22171" t="inlineStr">
        <is>
          <t>5203069092305</t>
        </is>
      </c>
      <c r="B22171" t="inlineStr">
        <is>
          <t>Korres Ocean Amber for Men Eau de Toilette 50ml</t>
        </is>
      </c>
      <c r="C22171" t="inlineStr">
        <is>
          <t>Eau De Toilette</t>
        </is>
      </c>
      <c r="D22171" t="inlineStr">
        <is>
          <t>Korres</t>
        </is>
      </c>
      <c r="E22171" t="n">
        <v>19.17</v>
      </c>
      <c r="F22171" t="n">
        <v>1</v>
      </c>
      <c r="G22171" t="n">
        <v>13</v>
      </c>
      <c r="H22171" s="5">
        <f>HYPERLINK("https://api.qogita.com/variants/link/5203069092305/", "View Product")</f>
        <v/>
      </c>
    </row>
    <row r="22172">
      <c r="A22172" t="inlineStr">
        <is>
          <t>5203069098253</t>
        </is>
      </c>
      <c r="B22172" t="inlineStr">
        <is>
          <t>Korres Black Pine Sculpt + Lift Serum Firming Face Serum 30ml</t>
        </is>
      </c>
      <c r="C22172" t="inlineStr">
        <is>
          <t>Anti-Aging Serum</t>
        </is>
      </c>
      <c r="D22172" t="inlineStr">
        <is>
          <t>Korres</t>
        </is>
      </c>
      <c r="E22172" t="n">
        <v>49.19</v>
      </c>
      <c r="F22172" t="n">
        <v>1</v>
      </c>
      <c r="G22172" t="n">
        <v>7</v>
      </c>
      <c r="H22172" s="5">
        <f>HYPERLINK("https://api.qogita.com/variants/link/5203069098253/", "View Product")</f>
        <v/>
      </c>
    </row>
    <row r="22173">
      <c r="A22173" t="inlineStr">
        <is>
          <t>5203069120350</t>
        </is>
      </c>
      <c r="B22173" t="inlineStr">
        <is>
          <t>Korres Sikinos Eau De Toilette 50ml - Vegan</t>
        </is>
      </c>
      <c r="C22173" t="inlineStr">
        <is>
          <t>Eau De Toilette</t>
        </is>
      </c>
      <c r="D22173" t="inlineStr">
        <is>
          <t>Korres</t>
        </is>
      </c>
      <c r="E22173" t="n">
        <v>20.13</v>
      </c>
      <c r="F22173" t="n">
        <v>1</v>
      </c>
      <c r="G22173" t="n">
        <v>16</v>
      </c>
      <c r="H22173" s="5">
        <f>HYPERLINK("https://api.qogita.com/variants/link/5203069120350/", "View Product")</f>
        <v/>
      </c>
    </row>
    <row r="22174">
      <c r="A22174" t="inlineStr">
        <is>
          <t>5203069123146</t>
        </is>
      </c>
      <c r="B22174" t="inlineStr">
        <is>
          <t>KORRES LEFKO Eau de Toilette for Men and Women Floral Vegan 50ml</t>
        </is>
      </c>
      <c r="C22174" t="inlineStr">
        <is>
          <t>Eau De Toilette</t>
        </is>
      </c>
      <c r="D22174" t="inlineStr">
        <is>
          <t>Korres</t>
        </is>
      </c>
      <c r="E22174" t="n">
        <v>21.39</v>
      </c>
      <c r="F22174" t="n">
        <v>1</v>
      </c>
      <c r="G22174" t="n">
        <v>67</v>
      </c>
      <c r="H22174" s="5">
        <f>HYPERLINK("https://api.qogita.com/variants/link/5203069123146/", "View Product")</f>
        <v/>
      </c>
    </row>
    <row r="22175">
      <c r="A22175" t="inlineStr">
        <is>
          <t>5391018047039</t>
        </is>
      </c>
      <c r="B22175" t="inlineStr">
        <is>
          <t>Sosu Cosmetics False Eyelashes Lucy</t>
        </is>
      </c>
      <c r="C22175" t="inlineStr">
        <is>
          <t>False Eyelashes</t>
        </is>
      </c>
      <c r="D22175" t="inlineStr">
        <is>
          <t>Sosu Cosmetics</t>
        </is>
      </c>
      <c r="E22175" t="n">
        <v>5.91</v>
      </c>
      <c r="F22175" t="n">
        <v>1</v>
      </c>
      <c r="G22175" t="n">
        <v>4</v>
      </c>
      <c r="H22175" s="5">
        <f>HYPERLINK("https://api.qogita.com/variants/link/5391018047039/", "View Product")</f>
        <v/>
      </c>
    </row>
    <row r="22176">
      <c r="A22176" t="inlineStr">
        <is>
          <t>5391018048029</t>
        </is>
      </c>
      <c r="B22176" t="inlineStr">
        <is>
          <t>Sosu Cosmetics Pride Sinful Lashes Artificial Eyelashes</t>
        </is>
      </c>
      <c r="C22176" t="inlineStr">
        <is>
          <t>False Eyelashes</t>
        </is>
      </c>
      <c r="D22176" t="inlineStr">
        <is>
          <t>Sosu Cosmetics</t>
        </is>
      </c>
      <c r="E22176" t="n">
        <v>6.87</v>
      </c>
      <c r="F22176" t="n">
        <v>1</v>
      </c>
      <c r="G22176" t="n">
        <v>3</v>
      </c>
      <c r="H22176" s="5">
        <f>HYPERLINK("https://api.qogita.com/variants/link/5391018048029/", "View Product")</f>
        <v/>
      </c>
    </row>
    <row r="22177">
      <c r="A22177" t="inlineStr">
        <is>
          <t>5391537260513</t>
        </is>
      </c>
      <c r="B22177" t="inlineStr">
        <is>
          <t>CC Me In Liquid Foundation 32 ml Shade 01</t>
        </is>
      </c>
      <c r="C22177" t="inlineStr">
        <is>
          <t>Foundation</t>
        </is>
      </c>
      <c r="D22177" t="inlineStr">
        <is>
          <t>Sosu Cosmetics</t>
        </is>
      </c>
      <c r="E22177" t="n">
        <v>17.75</v>
      </c>
      <c r="F22177" t="n">
        <v>1</v>
      </c>
      <c r="G22177" t="n">
        <v>2</v>
      </c>
      <c r="H22177" s="5">
        <f>HYPERLINK("https://api.qogita.com/variants/link/5391537260513/", "View Product")</f>
        <v/>
      </c>
    </row>
    <row r="22178">
      <c r="A22178" t="inlineStr">
        <is>
          <t>5391541765578</t>
        </is>
      </c>
      <c r="B22178" t="inlineStr">
        <is>
          <t>Sosu Cosmetics Gigi Mini Lash Set Gift Set Of Artificial Eyelashes</t>
        </is>
      </c>
      <c r="C22178" t="inlineStr">
        <is>
          <t>False Eyelashes</t>
        </is>
      </c>
      <c r="D22178" t="inlineStr">
        <is>
          <t>Sosu Cosmetics</t>
        </is>
      </c>
      <c r="E22178" t="n">
        <v>6.68</v>
      </c>
      <c r="F22178" t="n">
        <v>1</v>
      </c>
      <c r="G22178" t="n">
        <v>17</v>
      </c>
      <c r="H22178" s="5">
        <f>HYPERLINK("https://api.qogita.com/variants/link/5391541765578/", "View Product")</f>
        <v/>
      </c>
    </row>
    <row r="22179">
      <c r="A22179" t="inlineStr">
        <is>
          <t>5391541765615</t>
        </is>
      </c>
      <c r="B22179" t="inlineStr">
        <is>
          <t>Shimmer &amp; Spice Gift Set</t>
        </is>
      </c>
      <c r="C22179" t="inlineStr">
        <is>
          <t>Rings</t>
        </is>
      </c>
      <c r="D22179" t="inlineStr">
        <is>
          <t>Sosu Cosmetics</t>
        </is>
      </c>
      <c r="E22179" t="n">
        <v>25.2</v>
      </c>
      <c r="F22179" t="n">
        <v>1</v>
      </c>
      <c r="G22179" t="n">
        <v>13</v>
      </c>
      <c r="H22179" s="5">
        <f>HYPERLINK("https://api.qogita.com/variants/link/5391541765615/", "View Product")</f>
        <v/>
      </c>
    </row>
    <row r="22180">
      <c r="A22180" t="inlineStr">
        <is>
          <t>5391541766285</t>
        </is>
      </c>
      <c r="B22180" t="inlineStr">
        <is>
          <t>Sosu Cosmetics Shimmer Lip Glaze 6 Ml Almond Butter</t>
        </is>
      </c>
      <c r="C22180" t="inlineStr">
        <is>
          <t>Lip Gloss</t>
        </is>
      </c>
      <c r="D22180" t="inlineStr">
        <is>
          <t>Sosu Cosmetics</t>
        </is>
      </c>
      <c r="E22180" t="n">
        <v>9.74</v>
      </c>
      <c r="F22180" t="n">
        <v>1</v>
      </c>
      <c r="G22180" t="n">
        <v>4</v>
      </c>
      <c r="H22180" s="5">
        <f>HYPERLINK("https://api.qogita.com/variants/link/5391541766285/", "View Product")</f>
        <v/>
      </c>
    </row>
    <row r="22181">
      <c r="A22181" t="inlineStr">
        <is>
          <t>5414343006523</t>
        </is>
      </c>
      <c r="B22181" t="inlineStr">
        <is>
          <t>Olivia Garden Combo Fingerbrush Medium Black</t>
        </is>
      </c>
      <c r="C22181" t="inlineStr">
        <is>
          <t>Detanglers</t>
        </is>
      </c>
      <c r="D22181" t="inlineStr">
        <is>
          <t>Olivia Garden</t>
        </is>
      </c>
      <c r="E22181" t="n">
        <v>11.17</v>
      </c>
      <c r="F22181" t="n">
        <v>1</v>
      </c>
      <c r="G22181" t="n">
        <v>65</v>
      </c>
      <c r="H22181" s="5">
        <f>HYPERLINK("https://api.qogita.com/variants/link/5414343006523/", "View Product")</f>
        <v/>
      </c>
    </row>
    <row r="22182">
      <c r="A22182" t="inlineStr">
        <is>
          <t>5414343020017</t>
        </is>
      </c>
      <c r="B22182" t="inlineStr">
        <is>
          <t>Olivia Garden Expert Blowout Shine Hairbrush White and Grey 15mm</t>
        </is>
      </c>
      <c r="C22182" t="inlineStr">
        <is>
          <t>Round Brushes</t>
        </is>
      </c>
      <c r="D22182" t="inlineStr">
        <is>
          <t>Olivia Garden</t>
        </is>
      </c>
      <c r="E22182" t="n">
        <v>10.79</v>
      </c>
      <c r="F22182" t="n">
        <v>1</v>
      </c>
      <c r="G22182" t="n">
        <v>5</v>
      </c>
      <c r="H22182" s="5">
        <f>HYPERLINK("https://api.qogita.com/variants/link/5414343020017/", "View Product")</f>
        <v/>
      </c>
    </row>
    <row r="22183">
      <c r="A22183" t="inlineStr">
        <is>
          <t>5414343020260</t>
        </is>
      </c>
      <c r="B22183" t="inlineStr">
        <is>
          <t>Olivia Garden Expert Blowout Speed White and Grey Hairbrush 45</t>
        </is>
      </c>
      <c r="C22183" t="inlineStr">
        <is>
          <t>Round Brushes</t>
        </is>
      </c>
      <c r="D22183" t="inlineStr">
        <is>
          <t>Olivia Garden</t>
        </is>
      </c>
      <c r="E22183" t="n">
        <v>16.96</v>
      </c>
      <c r="F22183" t="n">
        <v>1</v>
      </c>
      <c r="G22183" t="n">
        <v>2</v>
      </c>
      <c r="H22183" s="5">
        <f>HYPERLINK("https://api.qogita.com/variants/link/5414343020260/", "View Product")</f>
        <v/>
      </c>
    </row>
    <row r="22184">
      <c r="A22184" t="inlineStr">
        <is>
          <t>5425017732136</t>
        </is>
      </c>
      <c r="B22184" t="inlineStr">
        <is>
          <t>Cuba Red Eau De Toilette Spray 35ml By Cuba</t>
        </is>
      </c>
      <c r="C22184" t="inlineStr">
        <is>
          <t>Eau De Toilette</t>
        </is>
      </c>
      <c r="D22184" t="inlineStr">
        <is>
          <t>Cuba</t>
        </is>
      </c>
      <c r="E22184" t="n">
        <v>4.55</v>
      </c>
      <c r="F22184" t="n">
        <v>1</v>
      </c>
      <c r="G22184" t="n">
        <v>2</v>
      </c>
      <c r="H22184" s="5">
        <f>HYPERLINK("https://api.qogita.com/variants/link/5425017732136/", "View Product")</f>
        <v/>
      </c>
    </row>
    <row r="22185">
      <c r="A22185" t="inlineStr">
        <is>
          <t>5425017732143</t>
        </is>
      </c>
      <c r="B22185" t="inlineStr">
        <is>
          <t>Cuba Original Cuba Orange Eau De Toilette Spray 35ml</t>
        </is>
      </c>
      <c r="C22185" t="inlineStr">
        <is>
          <t>Eau De Toilette</t>
        </is>
      </c>
      <c r="D22185" t="inlineStr">
        <is>
          <t>Cuba Originals</t>
        </is>
      </c>
      <c r="E22185" t="n">
        <v>3.74</v>
      </c>
      <c r="F22185" t="n">
        <v>1</v>
      </c>
      <c r="G22185" t="n">
        <v>5</v>
      </c>
      <c r="H22185" s="5">
        <f>HYPERLINK("https://api.qogita.com/variants/link/5425017732143/", "View Product")</f>
        <v/>
      </c>
    </row>
    <row r="22186">
      <c r="A22186" t="inlineStr">
        <is>
          <t>5425017732150</t>
        </is>
      </c>
      <c r="B22186" t="inlineStr">
        <is>
          <t>Cuba Original Cuba Black For Men Eau De Toilette Spray 35ml</t>
        </is>
      </c>
      <c r="C22186" t="inlineStr">
        <is>
          <t>Eau De Toilette</t>
        </is>
      </c>
      <c r="D22186" t="inlineStr">
        <is>
          <t>Cuba Originals</t>
        </is>
      </c>
      <c r="E22186" t="n">
        <v>2.78</v>
      </c>
      <c r="F22186" t="n">
        <v>1</v>
      </c>
      <c r="G22186" t="n">
        <v>62</v>
      </c>
      <c r="H22186" s="5">
        <f>HYPERLINK("https://api.qogita.com/variants/link/5425017732150/", "View Product")</f>
        <v/>
      </c>
    </row>
    <row r="22187">
      <c r="A22187" t="inlineStr">
        <is>
          <t>5425017732198</t>
        </is>
      </c>
      <c r="B22187" t="inlineStr">
        <is>
          <t>Cuba Jungle Tiger EDP Spray 1.17 Oz</t>
        </is>
      </c>
      <c r="C22187" t="inlineStr">
        <is>
          <t>Eau De Parfum</t>
        </is>
      </c>
      <c r="D22187" t="inlineStr">
        <is>
          <t>Cuba</t>
        </is>
      </c>
      <c r="E22187" t="n">
        <v>3.36</v>
      </c>
      <c r="F22187" t="n">
        <v>1</v>
      </c>
      <c r="G22187" t="n">
        <v>139</v>
      </c>
      <c r="H22187" s="5">
        <f>HYPERLINK("https://api.qogita.com/variants/link/5425017732198/", "View Product")</f>
        <v/>
      </c>
    </row>
    <row r="22188">
      <c r="A22188" t="inlineStr">
        <is>
          <t>5425017732204</t>
        </is>
      </c>
      <c r="B22188" t="inlineStr">
        <is>
          <t>Cuba Original Cuba Jungle Snake Eau De Parfum Spray 35ml</t>
        </is>
      </c>
      <c r="C22188" t="inlineStr">
        <is>
          <t>Eau De Parfum</t>
        </is>
      </c>
      <c r="D22188" t="inlineStr">
        <is>
          <t>Cuba Originals</t>
        </is>
      </c>
      <c r="E22188" t="n">
        <v>3.36</v>
      </c>
      <c r="F22188" t="n">
        <v>1</v>
      </c>
      <c r="G22188" t="n">
        <v>139</v>
      </c>
      <c r="H22188" s="5">
        <f>HYPERLINK("https://api.qogita.com/variants/link/5425017732204/", "View Product")</f>
        <v/>
      </c>
    </row>
    <row r="22189">
      <c r="A22189" t="inlineStr">
        <is>
          <t>5425017732372</t>
        </is>
      </c>
      <c r="B22189" t="inlineStr">
        <is>
          <t>Cuba Classic Set Gold Toilet Water + Blue Toilet Water + Red Toilet Water + Orange Toilet Water 4x35ml By Cuba</t>
        </is>
      </c>
      <c r="C22189" t="inlineStr">
        <is>
          <t>Fragrance Sets</t>
        </is>
      </c>
      <c r="D22189" t="inlineStr">
        <is>
          <t>Cuba</t>
        </is>
      </c>
      <c r="E22189" t="n">
        <v>8.23</v>
      </c>
      <c r="F22189" t="n">
        <v>1</v>
      </c>
      <c r="G22189" t="n">
        <v>693</v>
      </c>
      <c r="H22189" s="5">
        <f>HYPERLINK("https://api.qogita.com/variants/link/5425017732372/", "View Product")</f>
        <v/>
      </c>
    </row>
    <row r="22190">
      <c r="A22190" t="inlineStr">
        <is>
          <t>5425017732471</t>
        </is>
      </c>
      <c r="B22190" t="inlineStr">
        <is>
          <t>Cuba Original Cuba Jungle Tiger Eau De Parfum Spray 100ml</t>
        </is>
      </c>
      <c r="C22190" t="inlineStr">
        <is>
          <t>Eau De Parfum</t>
        </is>
      </c>
      <c r="D22190" t="inlineStr">
        <is>
          <t>Cuba Originals</t>
        </is>
      </c>
      <c r="E22190" t="n">
        <v>4.79</v>
      </c>
      <c r="F22190" t="n">
        <v>1</v>
      </c>
      <c r="G22190" t="n">
        <v>32</v>
      </c>
      <c r="H22190" s="5">
        <f>HYPERLINK("https://api.qogita.com/variants/link/5425017732471/", "View Product")</f>
        <v/>
      </c>
    </row>
    <row r="22191">
      <c r="A22191" t="inlineStr">
        <is>
          <t>5425017732839</t>
        </is>
      </c>
      <c r="B22191" t="inlineStr">
        <is>
          <t>Cuba Original Cuba Copacabana Eau De Toilette Spray 35ml</t>
        </is>
      </c>
      <c r="C22191" t="inlineStr">
        <is>
          <t>Eau De Toilette</t>
        </is>
      </c>
      <c r="D22191" t="inlineStr">
        <is>
          <t>Cuba Originals</t>
        </is>
      </c>
      <c r="E22191" t="n">
        <v>3.35</v>
      </c>
      <c r="F22191" t="n">
        <v>1</v>
      </c>
      <c r="G22191" t="n">
        <v>6</v>
      </c>
      <c r="H22191" s="5">
        <f>HYPERLINK("https://api.qogita.com/variants/link/5425017732839/", "View Product")</f>
        <v/>
      </c>
    </row>
    <row r="22192">
      <c r="A22192" t="inlineStr">
        <is>
          <t>5425017732846</t>
        </is>
      </c>
      <c r="B22192" t="inlineStr">
        <is>
          <t>Cuba Original Brazil Copacabana Eau De Parfum Spray 35ml</t>
        </is>
      </c>
      <c r="C22192" t="inlineStr">
        <is>
          <t>Eau De Parfum</t>
        </is>
      </c>
      <c r="D22192" t="inlineStr">
        <is>
          <t>Cuba Originals</t>
        </is>
      </c>
      <c r="E22192" t="n">
        <v>3.57</v>
      </c>
      <c r="F22192" t="n">
        <v>1</v>
      </c>
      <c r="G22192" t="n">
        <v>2</v>
      </c>
      <c r="H22192" s="5">
        <f>HYPERLINK("https://api.qogita.com/variants/link/5425017732846/", "View Product")</f>
        <v/>
      </c>
    </row>
    <row r="22193">
      <c r="A22193" t="inlineStr">
        <is>
          <t>5425017733614</t>
        </is>
      </c>
      <c r="B22193" t="inlineStr">
        <is>
          <t>Cuba Original Cuba New York Eau De Toilette Spray 35ml</t>
        </is>
      </c>
      <c r="C22193" t="inlineStr">
        <is>
          <t>Eau De Toilette</t>
        </is>
      </c>
      <c r="D22193" t="inlineStr">
        <is>
          <t>Cuba Originals</t>
        </is>
      </c>
      <c r="E22193" t="n">
        <v>3.35</v>
      </c>
      <c r="F22193" t="n">
        <v>1</v>
      </c>
      <c r="G22193" t="n">
        <v>3</v>
      </c>
      <c r="H22193" s="5">
        <f>HYPERLINK("https://api.qogita.com/variants/link/5425017733614/", "View Product")</f>
        <v/>
      </c>
    </row>
    <row r="22194">
      <c r="A22194" t="inlineStr">
        <is>
          <t>5425017733645</t>
        </is>
      </c>
      <c r="B22194" t="inlineStr">
        <is>
          <t>Cuba City Hollywood For Women Perfumed Water Spray 35ml By Cuba</t>
        </is>
      </c>
      <c r="C22194" t="inlineStr">
        <is>
          <t>Eau De Parfum</t>
        </is>
      </c>
      <c r="D22194" t="inlineStr">
        <is>
          <t>Cuba</t>
        </is>
      </c>
      <c r="E22194" t="n">
        <v>3.36</v>
      </c>
      <c r="F22194" t="n">
        <v>1</v>
      </c>
      <c r="G22194" t="n">
        <v>139</v>
      </c>
      <c r="H22194" s="5">
        <f>HYPERLINK("https://api.qogita.com/variants/link/5425017733645/", "View Product")</f>
        <v/>
      </c>
    </row>
    <row r="22195">
      <c r="A22195" t="inlineStr">
        <is>
          <t>5425017733652</t>
        </is>
      </c>
      <c r="B22195" t="inlineStr">
        <is>
          <t>Cuba Original City New York Eau De Parfum Spray 35ml</t>
        </is>
      </c>
      <c r="C22195" t="inlineStr">
        <is>
          <t>Eau De Parfum</t>
        </is>
      </c>
      <c r="D22195" t="inlineStr">
        <is>
          <t>Cuba Originals</t>
        </is>
      </c>
      <c r="E22195" t="n">
        <v>3.02</v>
      </c>
      <c r="F22195" t="n">
        <v>1</v>
      </c>
      <c r="G22195" t="n">
        <v>16</v>
      </c>
      <c r="H22195" s="5">
        <f>HYPERLINK("https://api.qogita.com/variants/link/5425017733652/", "View Product")</f>
        <v/>
      </c>
    </row>
    <row r="22196">
      <c r="A22196" t="inlineStr">
        <is>
          <t>5425017733713</t>
        </is>
      </c>
      <c r="B22196" t="inlineStr">
        <is>
          <t>Cuba Red Deodorant Rollon A Refreshing Deodorant For Allday Protection</t>
        </is>
      </c>
      <c r="C22196" t="inlineStr">
        <is>
          <t>Deodorant &amp; Anti-Perspirant</t>
        </is>
      </c>
      <c r="D22196" t="inlineStr">
        <is>
          <t>Cuba</t>
        </is>
      </c>
      <c r="E22196" t="n">
        <v>1.27</v>
      </c>
      <c r="F22196" t="n">
        <v>1</v>
      </c>
      <c r="G22196" t="n">
        <v>83</v>
      </c>
      <c r="H22196" s="5">
        <f>HYPERLINK("https://api.qogita.com/variants/link/5425017733713/", "View Product")</f>
        <v/>
      </c>
    </row>
    <row r="22197">
      <c r="A22197" t="inlineStr">
        <is>
          <t>5425017733935</t>
        </is>
      </c>
      <c r="B22197" t="inlineStr">
        <is>
          <t>Cuba Jungle Tiger Deodorant Roll-On 50ml</t>
        </is>
      </c>
      <c r="C22197" t="inlineStr">
        <is>
          <t>Deodorant &amp; Anti-Perspirant</t>
        </is>
      </c>
      <c r="D22197" t="inlineStr">
        <is>
          <t>Cuba</t>
        </is>
      </c>
      <c r="E22197" t="n">
        <v>1.27</v>
      </c>
      <c r="F22197" t="n">
        <v>1</v>
      </c>
      <c r="G22197" t="n">
        <v>83</v>
      </c>
      <c r="H22197" s="5">
        <f>HYPERLINK("https://api.qogita.com/variants/link/5425017733935/", "View Product")</f>
        <v/>
      </c>
    </row>
    <row r="22198">
      <c r="A22198" t="inlineStr">
        <is>
          <t>5425017735175</t>
        </is>
      </c>
      <c r="B22198" t="inlineStr">
        <is>
          <t>Cuba Original Cuba Tattoo Women Eau De Parfum Spray 35ml</t>
        </is>
      </c>
      <c r="C22198" t="inlineStr">
        <is>
          <t>Eau De Parfum</t>
        </is>
      </c>
      <c r="D22198" t="inlineStr">
        <is>
          <t>Cuba Originals</t>
        </is>
      </c>
      <c r="E22198" t="n">
        <v>4.83</v>
      </c>
      <c r="F22198" t="n">
        <v>1</v>
      </c>
      <c r="G22198" t="n">
        <v>5</v>
      </c>
      <c r="H22198" s="5">
        <f>HYPERLINK("https://api.qogita.com/variants/link/5425017735175/", "View Product")</f>
        <v/>
      </c>
    </row>
    <row r="22199">
      <c r="A22199" t="inlineStr">
        <is>
          <t>5425017735748</t>
        </is>
      </c>
      <c r="B22199" t="inlineStr">
        <is>
          <t>Cuba Original Cuba Prestige Black Eau De Toilette Spray 90ml</t>
        </is>
      </c>
      <c r="C22199" t="inlineStr">
        <is>
          <t>Eau De Toilette</t>
        </is>
      </c>
      <c r="D22199" t="inlineStr">
        <is>
          <t>Cuba Originals</t>
        </is>
      </c>
      <c r="E22199" t="n">
        <v>6.66</v>
      </c>
      <c r="F22199" t="n">
        <v>1</v>
      </c>
      <c r="G22199" t="n">
        <v>260</v>
      </c>
      <c r="H22199" s="5">
        <f>HYPERLINK("https://api.qogita.com/variants/link/5425017735748/", "View Product")</f>
        <v/>
      </c>
    </row>
    <row r="22200">
      <c r="A22200" t="inlineStr">
        <is>
          <t>5425017735861</t>
        </is>
      </c>
      <c r="B22200" t="inlineStr">
        <is>
          <t>Cuba Original Cuba Prestige Legacy Eau De Toilette Spray 90ml</t>
        </is>
      </c>
      <c r="C22200" t="inlineStr">
        <is>
          <t>Eau De Toilette</t>
        </is>
      </c>
      <c r="D22200" t="inlineStr">
        <is>
          <t>Cuba Originals</t>
        </is>
      </c>
      <c r="E22200" t="n">
        <v>6.48</v>
      </c>
      <c r="F22200" t="n">
        <v>1</v>
      </c>
      <c r="G22200" t="n">
        <v>2</v>
      </c>
      <c r="H22200" s="5">
        <f>HYPERLINK("https://api.qogita.com/variants/link/5425017735861/", "View Product")</f>
        <v/>
      </c>
    </row>
    <row r="22201">
      <c r="A22201" t="inlineStr">
        <is>
          <t>5425017736011</t>
        </is>
      </c>
      <c r="B22201" t="inlineStr">
        <is>
          <t>Cuba Original Cuba Tattoo Eau De Parfum Spray 100ml</t>
        </is>
      </c>
      <c r="C22201" t="inlineStr">
        <is>
          <t>Eau De Parfum</t>
        </is>
      </c>
      <c r="D22201" t="inlineStr">
        <is>
          <t>Cuba Originals</t>
        </is>
      </c>
      <c r="E22201" t="n">
        <v>4.79</v>
      </c>
      <c r="F22201" t="n">
        <v>1</v>
      </c>
      <c r="G22201" t="n">
        <v>43</v>
      </c>
      <c r="H22201" s="5">
        <f>HYPERLINK("https://api.qogita.com/variants/link/5425017736011/", "View Product")</f>
        <v/>
      </c>
    </row>
    <row r="22202">
      <c r="A22202" t="inlineStr">
        <is>
          <t>5425017736035</t>
        </is>
      </c>
      <c r="B22202" t="inlineStr">
        <is>
          <t>Cuba Women's Eau De Parfum Spray Night 3.3 Ounce</t>
        </is>
      </c>
      <c r="C22202" t="inlineStr">
        <is>
          <t>Eau De Parfum</t>
        </is>
      </c>
      <c r="D22202" t="inlineStr">
        <is>
          <t>Cuba</t>
        </is>
      </c>
      <c r="E22202" t="n">
        <v>6.01</v>
      </c>
      <c r="F22202" t="n">
        <v>1</v>
      </c>
      <c r="G22202" t="n">
        <v>3</v>
      </c>
      <c r="H22202" s="5">
        <f>HYPERLINK("https://api.qogita.com/variants/link/5425017736035/", "View Product")</f>
        <v/>
      </c>
    </row>
    <row r="22203">
      <c r="A22203" t="inlineStr">
        <is>
          <t>5425017736134</t>
        </is>
      </c>
      <c r="B22203" t="inlineStr">
        <is>
          <t>Cuba Original Cuba Winner Eau De Toilette Spray 100ml</t>
        </is>
      </c>
      <c r="C22203" t="inlineStr">
        <is>
          <t>Eau De Toilette</t>
        </is>
      </c>
      <c r="D22203" t="inlineStr">
        <is>
          <t>Cuba Originals</t>
        </is>
      </c>
      <c r="E22203" t="n">
        <v>4.79</v>
      </c>
      <c r="F22203" t="n">
        <v>1</v>
      </c>
      <c r="G22203" t="n">
        <v>84</v>
      </c>
      <c r="H22203" s="5">
        <f>HYPERLINK("https://api.qogita.com/variants/link/5425017736134/", "View Product")</f>
        <v/>
      </c>
    </row>
    <row r="22204">
      <c r="A22204" t="inlineStr">
        <is>
          <t>5425017736301</t>
        </is>
      </c>
      <c r="B22204" t="inlineStr">
        <is>
          <t>Cuba Original Cuba Strass Heartbreaker Eau De Parfum Spray 100ml</t>
        </is>
      </c>
      <c r="C22204" t="inlineStr">
        <is>
          <t>Eau De Parfum</t>
        </is>
      </c>
      <c r="D22204" t="inlineStr">
        <is>
          <t>Cuba Originals</t>
        </is>
      </c>
      <c r="E22204" t="n">
        <v>4.79</v>
      </c>
      <c r="F22204" t="n">
        <v>1</v>
      </c>
      <c r="G22204" t="n">
        <v>83</v>
      </c>
      <c r="H22204" s="5">
        <f>HYPERLINK("https://api.qogita.com/variants/link/5425017736301/", "View Product")</f>
        <v/>
      </c>
    </row>
    <row r="22205">
      <c r="A22205" t="inlineStr">
        <is>
          <t>5425017736479</t>
        </is>
      </c>
      <c r="B22205" t="inlineStr">
        <is>
          <t>New Brand Perfumes Silence EDP Spray for Women 3.3 oz</t>
        </is>
      </c>
      <c r="C22205" t="inlineStr">
        <is>
          <t>Eau De Parfum</t>
        </is>
      </c>
      <c r="D22205" t="inlineStr">
        <is>
          <t>New Brand</t>
        </is>
      </c>
      <c r="E22205" t="n">
        <v>5.29</v>
      </c>
      <c r="F22205" t="n">
        <v>1</v>
      </c>
      <c r="G22205" t="n">
        <v>43</v>
      </c>
      <c r="H22205" s="5">
        <f>HYPERLINK("https://api.qogita.com/variants/link/5425017736479/", "View Product")</f>
        <v/>
      </c>
    </row>
    <row r="22206">
      <c r="A22206" t="inlineStr">
        <is>
          <t>5425017736783</t>
        </is>
      </c>
      <c r="B22206" t="inlineStr">
        <is>
          <t>Cuba Original Cuba Black For Men Deodorant Spray 200ml</t>
        </is>
      </c>
      <c r="C22206" t="inlineStr">
        <is>
          <t>Deodorant &amp; Anti-Perspirant</t>
        </is>
      </c>
      <c r="D22206" t="inlineStr">
        <is>
          <t>Cuba Originals</t>
        </is>
      </c>
      <c r="E22206" t="n">
        <v>2.22</v>
      </c>
      <c r="F22206" t="n">
        <v>1</v>
      </c>
      <c r="G22206" t="n">
        <v>122</v>
      </c>
      <c r="H22206" s="5">
        <f>HYPERLINK("https://api.qogita.com/variants/link/5425017736783/", "View Product")</f>
        <v/>
      </c>
    </row>
    <row r="22207">
      <c r="A22207" t="inlineStr">
        <is>
          <t>5425017736837</t>
        </is>
      </c>
      <c r="B22207" t="inlineStr">
        <is>
          <t>Cuba Wild Heart Deodorant Spray 200ml - A Refreshing Fragrance For Daily Use</t>
        </is>
      </c>
      <c r="C22207" t="inlineStr">
        <is>
          <t>Deodorant &amp; Anti-Perspirant</t>
        </is>
      </c>
      <c r="D22207" t="inlineStr">
        <is>
          <t>Cuba</t>
        </is>
      </c>
      <c r="E22207" t="n">
        <v>2.22</v>
      </c>
      <c r="F22207" t="n">
        <v>1</v>
      </c>
      <c r="G22207" t="n">
        <v>123</v>
      </c>
      <c r="H22207" s="5">
        <f>HYPERLINK("https://api.qogita.com/variants/link/5425017736837/", "View Product")</f>
        <v/>
      </c>
    </row>
    <row r="22208">
      <c r="A22208" t="inlineStr">
        <is>
          <t>5425017737117</t>
        </is>
      </c>
      <c r="B22208" t="inlineStr">
        <is>
          <t>Cuba Royal EDT 100ml and Deo Roll On 50ml Gift Set</t>
        </is>
      </c>
      <c r="C22208" t="inlineStr">
        <is>
          <t>Fragrance Sets</t>
        </is>
      </c>
      <c r="D22208" t="inlineStr">
        <is>
          <t>Cuba</t>
        </is>
      </c>
      <c r="E22208" t="n">
        <v>5.41</v>
      </c>
      <c r="F22208" t="n">
        <v>1</v>
      </c>
      <c r="G22208" t="n">
        <v>123</v>
      </c>
      <c r="H22208" s="5">
        <f>HYPERLINK("https://api.qogita.com/variants/link/5425017737117/", "View Product")</f>
        <v/>
      </c>
    </row>
    <row r="22209">
      <c r="A22209" t="inlineStr">
        <is>
          <t>5425017737131</t>
        </is>
      </c>
      <c r="B22209" t="inlineStr">
        <is>
          <t>Cuba Royal Gift Set - Eau De Toilette Spray 100ml, Deodorant Spray 200ml, After Shave 100ml</t>
        </is>
      </c>
      <c r="C22209" t="inlineStr">
        <is>
          <t>Fragrance Sets</t>
        </is>
      </c>
      <c r="D22209" t="inlineStr">
        <is>
          <t>Cuba</t>
        </is>
      </c>
      <c r="E22209" t="n">
        <v>8.44</v>
      </c>
      <c r="F22209" t="n">
        <v>1</v>
      </c>
      <c r="G22209" t="n">
        <v>113</v>
      </c>
      <c r="H22209" s="5">
        <f>HYPERLINK("https://api.qogita.com/variants/link/5425017737131/", "View Product")</f>
        <v/>
      </c>
    </row>
    <row r="22210">
      <c r="A22210" t="inlineStr">
        <is>
          <t>5425039220123</t>
        </is>
      </c>
      <c r="B22210" t="inlineStr">
        <is>
          <t>New Brand Perfumes Volcano EDT Spray for Men 3.3 oz</t>
        </is>
      </c>
      <c r="C22210" t="inlineStr">
        <is>
          <t>Eau De Toilette</t>
        </is>
      </c>
      <c r="D22210" t="inlineStr">
        <is>
          <t>New Brand</t>
        </is>
      </c>
      <c r="E22210" t="n">
        <v>5.29</v>
      </c>
      <c r="F22210" t="n">
        <v>1</v>
      </c>
      <c r="G22210" t="n">
        <v>43</v>
      </c>
      <c r="H22210" s="5">
        <f>HYPERLINK("https://api.qogita.com/variants/link/5425039220123/", "View Product")</f>
        <v/>
      </c>
    </row>
    <row r="22211">
      <c r="A22211" t="inlineStr">
        <is>
          <t>5425039220154</t>
        </is>
      </c>
      <c r="B22211" t="inlineStr">
        <is>
          <t>New Brand Eau De Parfum Strong For Men - 100ml</t>
        </is>
      </c>
      <c r="C22211" t="inlineStr">
        <is>
          <t>Eau De Parfum</t>
        </is>
      </c>
      <c r="D22211" t="inlineStr">
        <is>
          <t>New Brand</t>
        </is>
      </c>
      <c r="E22211" t="n">
        <v>5.29</v>
      </c>
      <c r="F22211" t="n">
        <v>1</v>
      </c>
      <c r="G22211" t="n">
        <v>43</v>
      </c>
      <c r="H22211" s="5">
        <f>HYPERLINK("https://api.qogita.com/variants/link/5425039220154/", "View Product")</f>
        <v/>
      </c>
    </row>
    <row r="22212">
      <c r="A22212" t="inlineStr">
        <is>
          <t>5425039220161</t>
        </is>
      </c>
      <c r="B22212" t="inlineStr">
        <is>
          <t>Prestige Invincible EDT Spray Men 3.3 oz</t>
        </is>
      </c>
      <c r="C22212" t="inlineStr">
        <is>
          <t>Eau De Toilette</t>
        </is>
      </c>
      <c r="D22212" t="inlineStr">
        <is>
          <t>New Brand</t>
        </is>
      </c>
      <c r="E22212" t="n">
        <v>5.29</v>
      </c>
      <c r="F22212" t="n">
        <v>1</v>
      </c>
      <c r="G22212" t="n">
        <v>43</v>
      </c>
      <c r="H22212" s="5">
        <f>HYPERLINK("https://api.qogita.com/variants/link/5425039220161/", "View Product")</f>
        <v/>
      </c>
    </row>
    <row r="22213">
      <c r="A22213" t="inlineStr">
        <is>
          <t>5425039220208</t>
        </is>
      </c>
      <c r="B22213" t="inlineStr">
        <is>
          <t>Classic Oud Eau de Parfum for Women 100ml NB Prestige</t>
        </is>
      </c>
      <c r="C22213" t="inlineStr">
        <is>
          <t>Eau De Parfum</t>
        </is>
      </c>
      <c r="D22213" t="inlineStr">
        <is>
          <t>Jean-Pierre Sand</t>
        </is>
      </c>
      <c r="E22213" t="n">
        <v>6.27</v>
      </c>
      <c r="F22213" t="n">
        <v>1</v>
      </c>
      <c r="G22213" t="n">
        <v>3</v>
      </c>
      <c r="H22213" s="5">
        <f>HYPERLINK("https://api.qogita.com/variants/link/5425039220208/", "View Product")</f>
        <v/>
      </c>
    </row>
    <row r="22214">
      <c r="A22214" t="inlineStr">
        <is>
          <t>5425039220604</t>
        </is>
      </c>
      <c r="B22214" t="inlineStr">
        <is>
          <t>Cuba Original Cuba Shadow For Men Eau De Toilette Spray 100ml</t>
        </is>
      </c>
      <c r="C22214" t="inlineStr">
        <is>
          <t>Eau De Toilette</t>
        </is>
      </c>
      <c r="D22214" t="inlineStr">
        <is>
          <t>Cuba Originals</t>
        </is>
      </c>
      <c r="E22214" t="n">
        <v>4.79</v>
      </c>
      <c r="F22214" t="n">
        <v>1</v>
      </c>
      <c r="G22214" t="n">
        <v>57</v>
      </c>
      <c r="H22214" s="5">
        <f>HYPERLINK("https://api.qogita.com/variants/link/5425039220604/", "View Product")</f>
        <v/>
      </c>
    </row>
    <row r="22215">
      <c r="A22215" t="inlineStr">
        <is>
          <t>5425039221090</t>
        </is>
      </c>
      <c r="B22215" t="inlineStr">
        <is>
          <t>Cuba Quad I Set Heartbreaker, La Vida, Victory, And Vip Perfume Sprays - 35ml Each</t>
        </is>
      </c>
      <c r="C22215" t="inlineStr">
        <is>
          <t>Fragrance Sets</t>
        </is>
      </c>
      <c r="D22215" t="inlineStr">
        <is>
          <t>Cuba</t>
        </is>
      </c>
      <c r="E22215" t="n">
        <v>8.23</v>
      </c>
      <c r="F22215" t="n">
        <v>1</v>
      </c>
      <c r="G22215" t="n">
        <v>77</v>
      </c>
      <c r="H22215" s="5">
        <f>HYPERLINK("https://api.qogita.com/variants/link/5425039221090/", "View Product")</f>
        <v/>
      </c>
    </row>
    <row r="22216">
      <c r="A22216" t="inlineStr">
        <is>
          <t>5425039221113</t>
        </is>
      </c>
      <c r="B22216" t="inlineStr">
        <is>
          <t>Cuba Gold Set For Men - Eau De Toilette Collection 4x35ml</t>
        </is>
      </c>
      <c r="C22216" t="inlineStr">
        <is>
          <t>Fragrance Sets</t>
        </is>
      </c>
      <c r="D22216" t="inlineStr">
        <is>
          <t>Cuba</t>
        </is>
      </c>
      <c r="E22216" t="n">
        <v>7.79</v>
      </c>
      <c r="F22216" t="n">
        <v>1</v>
      </c>
      <c r="G22216" t="n">
        <v>74</v>
      </c>
      <c r="H22216" s="5">
        <f>HYPERLINK("https://api.qogita.com/variants/link/5425039221113/", "View Product")</f>
        <v/>
      </c>
    </row>
    <row r="22217">
      <c r="A22217" t="inlineStr">
        <is>
          <t>5425039222035</t>
        </is>
      </c>
      <c r="B22217" t="inlineStr">
        <is>
          <t>Cuba Authentic Bold For Men Eau De Toilette Spray 100ml</t>
        </is>
      </c>
      <c r="C22217" t="inlineStr">
        <is>
          <t>Eau De Toilette</t>
        </is>
      </c>
      <c r="D22217" t="inlineStr">
        <is>
          <t>Cuba</t>
        </is>
      </c>
      <c r="E22217" t="n">
        <v>8.880000000000001</v>
      </c>
      <c r="F22217" t="n">
        <v>1</v>
      </c>
      <c r="G22217" t="n">
        <v>3</v>
      </c>
      <c r="H22217" s="5">
        <f>HYPERLINK("https://api.qogita.com/variants/link/5425039222035/", "View Product")</f>
        <v/>
      </c>
    </row>
    <row r="22218">
      <c r="A22218" t="inlineStr">
        <is>
          <t>5425039222103</t>
        </is>
      </c>
      <c r="B22218" t="inlineStr">
        <is>
          <t>Cuba Original Cuba Milestone Eau De Toilette Spray 100ml</t>
        </is>
      </c>
      <c r="C22218" t="inlineStr">
        <is>
          <t>Eau De Toilette</t>
        </is>
      </c>
      <c r="D22218" t="inlineStr">
        <is>
          <t>Cuba Originals</t>
        </is>
      </c>
      <c r="E22218" t="n">
        <v>4.79</v>
      </c>
      <c r="F22218" t="n">
        <v>1</v>
      </c>
      <c r="G22218" t="n">
        <v>16</v>
      </c>
      <c r="H22218" s="5">
        <f>HYPERLINK("https://api.qogita.com/variants/link/5425039222103/", "View Product")</f>
        <v/>
      </c>
    </row>
    <row r="22219">
      <c r="A22219" t="inlineStr">
        <is>
          <t>5425039222141</t>
        </is>
      </c>
      <c r="B22219" t="inlineStr">
        <is>
          <t>Cuba Original Cuba Silver Eau De Toilette Spray 100ml</t>
        </is>
      </c>
      <c r="C22219" t="inlineStr">
        <is>
          <t>Eau De Toilette</t>
        </is>
      </c>
      <c r="D22219" t="inlineStr">
        <is>
          <t>Cuba Originals</t>
        </is>
      </c>
      <c r="E22219" t="n">
        <v>4.39</v>
      </c>
      <c r="F22219" t="n">
        <v>1</v>
      </c>
      <c r="G22219" t="n">
        <v>9</v>
      </c>
      <c r="H22219" s="5">
        <f>HYPERLINK("https://api.qogita.com/variants/link/5425039222141/", "View Product")</f>
        <v/>
      </c>
    </row>
    <row r="22220">
      <c r="A22220" t="inlineStr">
        <is>
          <t>5425039222158</t>
        </is>
      </c>
      <c r="B22220" t="inlineStr">
        <is>
          <t>Cuba Original Cuba Signature Eau De Toilette Spray 100ml</t>
        </is>
      </c>
      <c r="C22220" t="inlineStr">
        <is>
          <t>Eau De Toilette</t>
        </is>
      </c>
      <c r="D22220" t="inlineStr">
        <is>
          <t>Cuba Originals</t>
        </is>
      </c>
      <c r="E22220" t="n">
        <v>4.79</v>
      </c>
      <c r="F22220" t="n">
        <v>1</v>
      </c>
      <c r="G22220" t="n">
        <v>117</v>
      </c>
      <c r="H22220" s="5">
        <f>HYPERLINK("https://api.qogita.com/variants/link/5425039222158/", "View Product")</f>
        <v/>
      </c>
    </row>
    <row r="22221">
      <c r="A22221" t="inlineStr">
        <is>
          <t>5425039222165</t>
        </is>
      </c>
      <c r="B22221" t="inlineStr">
        <is>
          <t>Cuba Original My Love For Woman Eau De Parfum Spray 100ml</t>
        </is>
      </c>
      <c r="C22221" t="inlineStr">
        <is>
          <t>Eau De Parfum</t>
        </is>
      </c>
      <c r="D22221" t="inlineStr">
        <is>
          <t>Cuba Originals</t>
        </is>
      </c>
      <c r="E22221" t="n">
        <v>4.79</v>
      </c>
      <c r="F22221" t="n">
        <v>1</v>
      </c>
      <c r="G22221" t="n">
        <v>43</v>
      </c>
      <c r="H22221" s="5">
        <f>HYPERLINK("https://api.qogita.com/variants/link/5425039222165/", "View Product")</f>
        <v/>
      </c>
    </row>
    <row r="22222">
      <c r="A22222" t="inlineStr">
        <is>
          <t>5425039222172</t>
        </is>
      </c>
      <c r="B22222" t="inlineStr">
        <is>
          <t>Cuba Original Trouble For Woman Eau De Parfum Spray 100ml</t>
        </is>
      </c>
      <c r="C22222" t="inlineStr">
        <is>
          <t>Eau De Parfum</t>
        </is>
      </c>
      <c r="D22222" t="inlineStr">
        <is>
          <t>Cuba Originals</t>
        </is>
      </c>
      <c r="E22222" t="n">
        <v>4.79</v>
      </c>
      <c r="F22222" t="n">
        <v>1</v>
      </c>
      <c r="G22222" t="n">
        <v>77</v>
      </c>
      <c r="H22222" s="5">
        <f>HYPERLINK("https://api.qogita.com/variants/link/5425039222172/", "View Product")</f>
        <v/>
      </c>
    </row>
    <row r="22223">
      <c r="A22223" t="inlineStr">
        <is>
          <t>5425039222677</t>
        </is>
      </c>
      <c r="B22223" t="inlineStr">
        <is>
          <t>Cuba Original Beauty Eau De Parfum Spray 35ml</t>
        </is>
      </c>
      <c r="C22223" t="inlineStr">
        <is>
          <t>Eau De Parfum</t>
        </is>
      </c>
      <c r="D22223" t="inlineStr">
        <is>
          <t>Cuba Originals</t>
        </is>
      </c>
      <c r="E22223" t="n">
        <v>3.03</v>
      </c>
      <c r="F22223" t="n">
        <v>1</v>
      </c>
      <c r="G22223" t="n">
        <v>26</v>
      </c>
      <c r="H22223" s="5">
        <f>HYPERLINK("https://api.qogita.com/variants/link/5425039222677/", "View Product")</f>
        <v/>
      </c>
    </row>
    <row r="22224">
      <c r="A22224" t="inlineStr">
        <is>
          <t>5425039222691</t>
        </is>
      </c>
      <c r="B22224" t="inlineStr">
        <is>
          <t>Cuba Original Cuba Hot Eau De Toilette Spray 100ml</t>
        </is>
      </c>
      <c r="C22224" t="inlineStr">
        <is>
          <t>Eau De Toilette</t>
        </is>
      </c>
      <c r="D22224" t="inlineStr">
        <is>
          <t>Cuba Originals</t>
        </is>
      </c>
      <c r="E22224" t="n">
        <v>4.79</v>
      </c>
      <c r="F22224" t="n">
        <v>1</v>
      </c>
      <c r="G22224" t="n">
        <v>213</v>
      </c>
      <c r="H22224" s="5">
        <f>HYPERLINK("https://api.qogita.com/variants/link/5425039222691/", "View Product")</f>
        <v/>
      </c>
    </row>
    <row r="22225">
      <c r="A22225" t="inlineStr">
        <is>
          <t>5425039222714</t>
        </is>
      </c>
      <c r="B22225" t="inlineStr">
        <is>
          <t>Cuba Cuba Winner For Men 3 Pc Gift Set 3.3oz EDT Spray and After Shave</t>
        </is>
      </c>
      <c r="C22225" t="inlineStr">
        <is>
          <t>Fragrance</t>
        </is>
      </c>
      <c r="D22225" t="inlineStr">
        <is>
          <t>Cuba</t>
        </is>
      </c>
      <c r="E22225" t="n">
        <v>7.5</v>
      </c>
      <c r="F22225" t="n">
        <v>1</v>
      </c>
      <c r="G22225" t="n">
        <v>83</v>
      </c>
      <c r="H22225" s="5">
        <f>HYPERLINK("https://api.qogita.com/variants/link/5425039222714/", "View Product")</f>
        <v/>
      </c>
    </row>
    <row r="22226">
      <c r="A22226" t="inlineStr">
        <is>
          <t>5425039223186</t>
        </is>
      </c>
      <c r="B22226" t="inlineStr">
        <is>
          <t>Cuba Victory Gift Set Edp 100 Ml, Edp 35 Ml, Body Spray 200 Ml, And Body Lotion 200 Ml</t>
        </is>
      </c>
      <c r="C22226" t="inlineStr">
        <is>
          <t>Fragrance Sets</t>
        </is>
      </c>
      <c r="D22226" t="inlineStr">
        <is>
          <t>Cuba</t>
        </is>
      </c>
      <c r="E22226" t="n">
        <v>11.41</v>
      </c>
      <c r="F22226" t="n">
        <v>1</v>
      </c>
      <c r="G22226" t="n">
        <v>43</v>
      </c>
      <c r="H22226" s="5">
        <f>HYPERLINK("https://api.qogita.com/variants/link/5425039223186/", "View Product")</f>
        <v/>
      </c>
    </row>
    <row r="22227">
      <c r="A22227" t="inlineStr">
        <is>
          <t>5425039223261</t>
        </is>
      </c>
      <c r="B22227" t="inlineStr">
        <is>
          <t>Prime Fakhama By Assala Unisex 3.3 Oz EDP Spray</t>
        </is>
      </c>
      <c r="C22227" t="inlineStr">
        <is>
          <t>Eau De Parfum</t>
        </is>
      </c>
      <c r="D22227" t="inlineStr">
        <is>
          <t>Asala</t>
        </is>
      </c>
      <c r="E22227" t="n">
        <v>10.76</v>
      </c>
      <c r="F22227" t="n">
        <v>1</v>
      </c>
      <c r="G22227" t="n">
        <v>22</v>
      </c>
      <c r="H22227" s="5">
        <f>HYPERLINK("https://api.qogita.com/variants/link/5425039223261/", "View Product")</f>
        <v/>
      </c>
    </row>
    <row r="22228">
      <c r="A22228" t="inlineStr">
        <is>
          <t>5425039223711</t>
        </is>
      </c>
      <c r="B22228" t="inlineStr">
        <is>
          <t>Cuba Altus by Cuba for Men 33oz EDT Spray</t>
        </is>
      </c>
      <c r="C22228" t="inlineStr">
        <is>
          <t>Eau De Toilette</t>
        </is>
      </c>
      <c r="D22228" t="inlineStr">
        <is>
          <t>Cuba</t>
        </is>
      </c>
      <c r="E22228" t="n">
        <v>4.79</v>
      </c>
      <c r="F22228" t="n">
        <v>1</v>
      </c>
      <c r="G22228" t="n">
        <v>43</v>
      </c>
      <c r="H22228" s="5">
        <f>HYPERLINK("https://api.qogita.com/variants/link/5425039223711/", "View Product")</f>
        <v/>
      </c>
    </row>
    <row r="22229">
      <c r="A22229" t="inlineStr">
        <is>
          <t>5712590000500</t>
        </is>
      </c>
      <c r="B22229" t="inlineStr">
        <is>
          <t>Zarkoperfume The Lawyer Eau De Parfum Spray 100ml</t>
        </is>
      </c>
      <c r="C22229" t="inlineStr">
        <is>
          <t>Eau De Parfum</t>
        </is>
      </c>
      <c r="D22229" t="inlineStr">
        <is>
          <t>Zarkoperfume</t>
        </is>
      </c>
      <c r="E22229" t="n">
        <v>69.28</v>
      </c>
      <c r="F22229" t="n">
        <v>1</v>
      </c>
      <c r="G22229" t="n">
        <v>4</v>
      </c>
      <c r="H22229" s="5">
        <f>HYPERLINK("https://api.qogita.com/variants/link/5712590000500/", "View Product")</f>
        <v/>
      </c>
    </row>
    <row r="22230">
      <c r="A22230" t="inlineStr">
        <is>
          <t>5900017090979</t>
        </is>
      </c>
      <c r="B22230" t="inlineStr">
        <is>
          <t>Nivea Luminous Body Cream Anti Marks &amp; Spots - 200ml</t>
        </is>
      </c>
      <c r="C22230" t="inlineStr">
        <is>
          <t>Body Lotion</t>
        </is>
      </c>
      <c r="D22230" t="inlineStr">
        <is>
          <t>Nivea</t>
        </is>
      </c>
      <c r="E22230" t="n">
        <v>13.2</v>
      </c>
      <c r="F22230" t="n">
        <v>1</v>
      </c>
      <c r="G22230" t="n">
        <v>3</v>
      </c>
      <c r="H22230" s="5">
        <f>HYPERLINK("https://api.qogita.com/variants/link/5900017090979/", "View Product")</f>
        <v/>
      </c>
    </row>
    <row r="22231">
      <c r="A22231" t="inlineStr">
        <is>
          <t>5900017099378</t>
        </is>
      </c>
      <c r="B22231" t="inlineStr">
        <is>
          <t>Nivea Derma Control Restore Shower Gel 250ml</t>
        </is>
      </c>
      <c r="C22231" t="inlineStr">
        <is>
          <t>Shower Gel</t>
        </is>
      </c>
      <c r="D22231" t="inlineStr">
        <is>
          <t>Nivea</t>
        </is>
      </c>
      <c r="E22231" t="n">
        <v>4.62</v>
      </c>
      <c r="F22231" t="n">
        <v>1</v>
      </c>
      <c r="G22231" t="n">
        <v>20</v>
      </c>
      <c r="H22231" s="5">
        <f>HYPERLINK("https://api.qogita.com/variants/link/5900017099378/", "View Product")</f>
        <v/>
      </c>
    </row>
    <row r="22232">
      <c r="A22232" t="inlineStr">
        <is>
          <t>5900116020419</t>
        </is>
      </c>
      <c r="B22232" t="inlineStr">
        <is>
          <t>Oceanic Long4lashes Eyelash Serum 3/6/9ml</t>
        </is>
      </c>
      <c r="C22232" t="inlineStr">
        <is>
          <t>Eyelash Serum &amp; Eyebrow Serum</t>
        </is>
      </c>
      <c r="D22232" t="inlineStr">
        <is>
          <t>Oceanic</t>
        </is>
      </c>
      <c r="E22232" t="n">
        <v>20.3</v>
      </c>
      <c r="F22232" t="n">
        <v>1</v>
      </c>
      <c r="G22232" t="n">
        <v>100</v>
      </c>
      <c r="H22232" s="5">
        <f>HYPERLINK("https://api.qogita.com/variants/link/5900116020419/", "View Product")</f>
        <v/>
      </c>
    </row>
    <row r="22233">
      <c r="A22233" t="inlineStr">
        <is>
          <t>5900116065038</t>
        </is>
      </c>
      <c r="B22233" t="inlineStr">
        <is>
          <t>Long4lashes Eyelash Intensive Enhancing Therapy - 3ml</t>
        </is>
      </c>
      <c r="C22233" t="inlineStr">
        <is>
          <t>False Eyelashes</t>
        </is>
      </c>
      <c r="D22233" t="inlineStr">
        <is>
          <t>Long4lashes</t>
        </is>
      </c>
      <c r="E22233" t="n">
        <v>12.1</v>
      </c>
      <c r="F22233" t="n">
        <v>1</v>
      </c>
      <c r="G22233" t="n">
        <v>60</v>
      </c>
      <c r="H22233" s="5">
        <f>HYPERLINK("https://api.qogita.com/variants/link/5900116065038/", "View Product")</f>
        <v/>
      </c>
    </row>
    <row r="22234">
      <c r="A22234" t="inlineStr">
        <is>
          <t>5900717069039</t>
        </is>
      </c>
      <c r="B22234" t="inlineStr">
        <is>
          <t>Lirene Illuminating Foundation Restoring Skin Glow 03 Beige 30ml</t>
        </is>
      </c>
      <c r="C22234" t="inlineStr">
        <is>
          <t>Foundation</t>
        </is>
      </c>
      <c r="D22234" t="inlineStr">
        <is>
          <t>Lirene</t>
        </is>
      </c>
      <c r="E22234" t="n">
        <v>4.75</v>
      </c>
      <c r="F22234" t="n">
        <v>1</v>
      </c>
      <c r="G22234" t="n">
        <v>3</v>
      </c>
      <c r="H22234" s="5">
        <f>HYPERLINK("https://api.qogita.com/variants/link/5900717069039/", "View Product")</f>
        <v/>
      </c>
    </row>
    <row r="22235">
      <c r="A22235" t="inlineStr">
        <is>
          <t>5900717191723</t>
        </is>
      </c>
      <c r="B22235" t="inlineStr">
        <is>
          <t>Platinum Men Clean-Up Body And Hair Wash Gel 200ml</t>
        </is>
      </c>
      <c r="C22235" t="inlineStr">
        <is>
          <t>Shower Gel</t>
        </is>
      </c>
      <c r="D22235" t="inlineStr">
        <is>
          <t>Platinum</t>
        </is>
      </c>
      <c r="E22235" t="n">
        <v>10.21</v>
      </c>
      <c r="F22235" t="n">
        <v>1</v>
      </c>
      <c r="G22235" t="n">
        <v>7</v>
      </c>
      <c r="H22235" s="5">
        <f>HYPERLINK("https://api.qogita.com/variants/link/5900717191723/", "View Product")</f>
        <v/>
      </c>
    </row>
    <row r="22236">
      <c r="A22236" t="inlineStr">
        <is>
          <t>5900717204140</t>
        </is>
      </c>
      <c r="B22236" t="inlineStr">
        <is>
          <t>Lumissima Illuminating Anti-Wrinkle Day Cream Spf20 50ml</t>
        </is>
      </c>
      <c r="C22236" t="inlineStr">
        <is>
          <t>Day Cream</t>
        </is>
      </c>
      <c r="D22236" t="inlineStr">
        <is>
          <t>Lumissima</t>
        </is>
      </c>
      <c r="E22236" t="n">
        <v>25.46</v>
      </c>
      <c r="F22236" t="n">
        <v>1</v>
      </c>
      <c r="G22236" t="n">
        <v>7</v>
      </c>
      <c r="H22236" s="5">
        <f>HYPERLINK("https://api.qogita.com/variants/link/5900717204140/", "View Product")</f>
        <v/>
      </c>
    </row>
    <row r="22237">
      <c r="A22237" t="inlineStr">
        <is>
          <t>5900717215412</t>
        </is>
      </c>
      <c r="B22237" t="inlineStr">
        <is>
          <t>Cleanology Enzymatic Peeling For Dry And Sensitive Skin 75ml</t>
        </is>
      </c>
      <c r="C22237" t="inlineStr">
        <is>
          <t>Facial Scrub &amp; Peeling</t>
        </is>
      </c>
      <c r="D22237" t="inlineStr">
        <is>
          <t>Cleanology</t>
        </is>
      </c>
      <c r="E22237" t="n">
        <v>9.75</v>
      </c>
      <c r="F22237" t="n">
        <v>1</v>
      </c>
      <c r="G22237" t="n">
        <v>3</v>
      </c>
      <c r="H22237" s="5">
        <f>HYPERLINK("https://api.qogita.com/variants/link/5900717215412/", "View Product")</f>
        <v/>
      </c>
    </row>
    <row r="22238">
      <c r="A22238" t="inlineStr">
        <is>
          <t>5900717217614</t>
        </is>
      </c>
      <c r="B22238" t="inlineStr">
        <is>
          <t>Cleanology Two-Phase Makeup Remover For Sensitive Skin Around The Eyes And Eyelids 100ml</t>
        </is>
      </c>
      <c r="C22238" t="inlineStr">
        <is>
          <t>Makeup Remover</t>
        </is>
      </c>
      <c r="D22238" t="inlineStr">
        <is>
          <t>Cleanology</t>
        </is>
      </c>
      <c r="E22238" t="n">
        <v>9.56</v>
      </c>
      <c r="F22238" t="n">
        <v>1</v>
      </c>
      <c r="G22238" t="n">
        <v>5</v>
      </c>
      <c r="H22238" s="5">
        <f>HYPERLINK("https://api.qogita.com/variants/link/5900717217614/", "View Product")</f>
        <v/>
      </c>
    </row>
    <row r="22239">
      <c r="A22239" t="inlineStr">
        <is>
          <t>5900717224018</t>
        </is>
      </c>
      <c r="B22239" t="inlineStr">
        <is>
          <t>Body Art Velvet Harmony Cream</t>
        </is>
      </c>
      <c r="C22239" t="inlineStr">
        <is>
          <t>Body Butter</t>
        </is>
      </c>
      <c r="D22239" t="inlineStr">
        <is>
          <t>Dr Irena Eris</t>
        </is>
      </c>
      <c r="E22239" t="n">
        <v>23.05</v>
      </c>
      <c r="F22239" t="n">
        <v>1</v>
      </c>
      <c r="G22239" t="n">
        <v>5</v>
      </c>
      <c r="H22239" s="5">
        <f>HYPERLINK("https://api.qogita.com/variants/link/5900717224018/", "View Product")</f>
        <v/>
      </c>
    </row>
    <row r="22240">
      <c r="A22240" t="inlineStr">
        <is>
          <t>5900717241220</t>
        </is>
      </c>
      <c r="B22240" t="inlineStr">
        <is>
          <t>Dr Irena Eris Vitaceric Smoothing Regenerating Night Cream 50ml</t>
        </is>
      </c>
      <c r="C22240" t="inlineStr">
        <is>
          <t>Night Cream</t>
        </is>
      </c>
      <c r="D22240" t="inlineStr">
        <is>
          <t>Dr Irena Eris</t>
        </is>
      </c>
      <c r="E22240" t="n">
        <v>18.01</v>
      </c>
      <c r="F22240" t="n">
        <v>1</v>
      </c>
      <c r="G22240" t="n">
        <v>14</v>
      </c>
      <c r="H22240" s="5">
        <f>HYPERLINK("https://api.qogita.com/variants/link/5900717241220/", "View Product")</f>
        <v/>
      </c>
    </row>
    <row r="22241">
      <c r="A22241" t="inlineStr">
        <is>
          <t>5900717267237</t>
        </is>
      </c>
      <c r="B22241" t="inlineStr">
        <is>
          <t>Dr Irena Eris Aquality Hyper-Hydrating Recovery Cream Rich Formula - 50 Ml</t>
        </is>
      </c>
      <c r="C22241" t="inlineStr">
        <is>
          <t>Face Cream</t>
        </is>
      </c>
      <c r="D22241" t="inlineStr">
        <is>
          <t>Dr Irena Eris</t>
        </is>
      </c>
      <c r="E22241" t="n">
        <v>22.95</v>
      </c>
      <c r="F22241" t="n">
        <v>1</v>
      </c>
      <c r="G22241" t="n">
        <v>19</v>
      </c>
      <c r="H22241" s="5">
        <f>HYPERLINK("https://api.qogita.com/variants/link/5900717267237/", "View Product")</f>
        <v/>
      </c>
    </row>
    <row r="22242">
      <c r="A22242" t="inlineStr">
        <is>
          <t>5900717291034</t>
        </is>
      </c>
      <c r="B22242" t="inlineStr">
        <is>
          <t>Dr Irena Eris Algorithm Rebuilding Anti-Wrinkle Day Cream Spf 20, 50 Ml</t>
        </is>
      </c>
      <c r="C22242" t="inlineStr">
        <is>
          <t>Day Cream</t>
        </is>
      </c>
      <c r="D22242" t="inlineStr">
        <is>
          <t>Dr Irena Eris</t>
        </is>
      </c>
      <c r="E22242" t="n">
        <v>26.01</v>
      </c>
      <c r="F22242" t="n">
        <v>1</v>
      </c>
      <c r="G22242" t="n">
        <v>7</v>
      </c>
      <c r="H22242" s="5">
        <f>HYPERLINK("https://api.qogita.com/variants/link/5900717291034/", "View Product")</f>
        <v/>
      </c>
    </row>
    <row r="22243">
      <c r="A22243" t="inlineStr">
        <is>
          <t>5900717291133</t>
        </is>
      </c>
      <c r="B22243" t="inlineStr">
        <is>
          <t>Dr Irena Eris Impressive Recovery Night Cream For Mature And Tired Skin, 50 Ml</t>
        </is>
      </c>
      <c r="C22243" t="inlineStr">
        <is>
          <t>Night Cream</t>
        </is>
      </c>
      <c r="D22243" t="inlineStr">
        <is>
          <t>Dr Irena Eris</t>
        </is>
      </c>
      <c r="E22243" t="n">
        <v>26.51</v>
      </c>
      <c r="F22243" t="n">
        <v>1</v>
      </c>
      <c r="G22243" t="n">
        <v>7</v>
      </c>
      <c r="H22243" s="5">
        <f>HYPERLINK("https://api.qogita.com/variants/link/5900717291133/", "View Product")</f>
        <v/>
      </c>
    </row>
    <row r="22244">
      <c r="A22244" t="inlineStr">
        <is>
          <t>5900717291331</t>
        </is>
      </c>
      <c r="B22244" t="inlineStr">
        <is>
          <t>Dr Irena Eris Hydrating And Revitalizing Face Mask Algorithm Instant Moisture Mask Face &amp; Neck 75 Ml</t>
        </is>
      </c>
      <c r="C22244" t="inlineStr">
        <is>
          <t>Hydrating Mask</t>
        </is>
      </c>
      <c r="D22244" t="inlineStr">
        <is>
          <t>Dr Irena Eris</t>
        </is>
      </c>
      <c r="E22244" t="n">
        <v>17.76</v>
      </c>
      <c r="F22244" t="n">
        <v>1</v>
      </c>
      <c r="G22244" t="n">
        <v>5</v>
      </c>
      <c r="H22244" s="5">
        <f>HYPERLINK("https://api.qogita.com/variants/link/5900717291331/", "View Product")</f>
        <v/>
      </c>
    </row>
    <row r="22245">
      <c r="A22245" t="inlineStr">
        <is>
          <t>5900717540323</t>
        </is>
      </c>
      <c r="B22245" t="inlineStr">
        <is>
          <t>Dr Irena Eris Tokyo Lift Protective Smoothing Eye Cream</t>
        </is>
      </c>
      <c r="C22245" t="inlineStr">
        <is>
          <t>Eye Cream</t>
        </is>
      </c>
      <c r="D22245" t="inlineStr">
        <is>
          <t>Dr Irena Eris</t>
        </is>
      </c>
      <c r="E22245" t="n">
        <v>17.59</v>
      </c>
      <c r="F22245" t="n">
        <v>1</v>
      </c>
      <c r="G22245" t="n">
        <v>3</v>
      </c>
      <c r="H22245" s="5">
        <f>HYPERLINK("https://api.qogita.com/variants/link/5900717540323/", "View Product")</f>
        <v/>
      </c>
    </row>
    <row r="22246">
      <c r="A22246" t="inlineStr">
        <is>
          <t>5900717555334</t>
        </is>
      </c>
      <c r="B22246" t="inlineStr">
        <is>
          <t>Dr Irena Eris Advanced Dual-Phase Eye Firming Serum 15ml</t>
        </is>
      </c>
      <c r="C22246" t="inlineStr">
        <is>
          <t>Eye Serum</t>
        </is>
      </c>
      <c r="D22246" t="inlineStr">
        <is>
          <t>Dr Irena Eris</t>
        </is>
      </c>
      <c r="E22246" t="n">
        <v>35.13</v>
      </c>
      <c r="F22246" t="n">
        <v>1</v>
      </c>
      <c r="G22246" t="n">
        <v>9</v>
      </c>
      <c r="H22246" s="5">
        <f>HYPERLINK("https://api.qogita.com/variants/link/5900717555334/", "View Product")</f>
        <v/>
      </c>
    </row>
    <row r="22247">
      <c r="A22247" t="inlineStr">
        <is>
          <t>5900717555426</t>
        </is>
      </c>
      <c r="B22247" t="inlineStr">
        <is>
          <t>Dr Irena Eris Authority Beauty Flash Mask 50ml</t>
        </is>
      </c>
      <c r="C22247" t="inlineStr">
        <is>
          <t>Glow Mask</t>
        </is>
      </c>
      <c r="D22247" t="inlineStr">
        <is>
          <t>Dr Irena Eris</t>
        </is>
      </c>
      <c r="E22247" t="n">
        <v>26.66</v>
      </c>
      <c r="F22247" t="n">
        <v>1</v>
      </c>
      <c r="G22247" t="n">
        <v>7</v>
      </c>
      <c r="H22247" s="5">
        <f>HYPERLINK("https://api.qogita.com/variants/link/5900717555426/", "View Product")</f>
        <v/>
      </c>
    </row>
    <row r="22248">
      <c r="A22248" t="inlineStr">
        <is>
          <t>5900717580725</t>
        </is>
      </c>
      <c r="B22248" t="inlineStr">
        <is>
          <t>Dr Irena Eris Institute Solutions Neuro Filler Rejuvenating Eye Cream 15ml</t>
        </is>
      </c>
      <c r="C22248" t="inlineStr">
        <is>
          <t>Eye Cream</t>
        </is>
      </c>
      <c r="D22248" t="inlineStr">
        <is>
          <t>Dr Irena Eris</t>
        </is>
      </c>
      <c r="E22248" t="n">
        <v>22.59</v>
      </c>
      <c r="F22248" t="n">
        <v>1</v>
      </c>
      <c r="G22248" t="n">
        <v>6</v>
      </c>
      <c r="H22248" s="5">
        <f>HYPERLINK("https://api.qogita.com/variants/link/5900717580725/", "View Product")</f>
        <v/>
      </c>
    </row>
    <row r="22249">
      <c r="A22249" t="inlineStr">
        <is>
          <t>5900717581913</t>
        </is>
      </c>
      <c r="B22249" t="inlineStr">
        <is>
          <t>Institute Solutions Y-Lifting Lifting Serum In Eye Cream 15ml</t>
        </is>
      </c>
      <c r="C22249" t="inlineStr">
        <is>
          <t>Eye Cream</t>
        </is>
      </c>
      <c r="D22249" t="inlineStr">
        <is>
          <t>Institut Esthederm</t>
        </is>
      </c>
      <c r="E22249" t="n">
        <v>22.56</v>
      </c>
      <c r="F22249" t="n">
        <v>1</v>
      </c>
      <c r="G22249" t="n">
        <v>7</v>
      </c>
      <c r="H22249" s="5">
        <f>HYPERLINK("https://api.qogita.com/variants/link/5900717581913/", "View Product")</f>
        <v/>
      </c>
    </row>
    <row r="22250">
      <c r="A22250" t="inlineStr">
        <is>
          <t>5901761901313</t>
        </is>
      </c>
      <c r="B22250" t="inlineStr">
        <is>
          <t>Eveline Body Caremed+ Multiregenerating Milk-Compress For Body For Dry And Very Dry Skin 350ml</t>
        </is>
      </c>
      <c r="C22250" t="inlineStr">
        <is>
          <t>Body Lotion</t>
        </is>
      </c>
      <c r="D22250" t="inlineStr">
        <is>
          <t>Eveline</t>
        </is>
      </c>
      <c r="E22250" t="n">
        <v>5.3</v>
      </c>
      <c r="F22250" t="n">
        <v>1</v>
      </c>
      <c r="G22250" t="n">
        <v>3</v>
      </c>
      <c r="H22250" s="5">
        <f>HYPERLINK("https://api.qogita.com/variants/link/5901761901313/", "View Product")</f>
        <v/>
      </c>
    </row>
    <row r="22251">
      <c r="A22251" t="inlineStr">
        <is>
          <t>5901761942156</t>
        </is>
      </c>
      <c r="B22251" t="inlineStr">
        <is>
          <t>Eveline Botanic Therapy Total Action 8 In 1 Multifunctional Hair Removal Cream 200ml</t>
        </is>
      </c>
      <c r="C22251" t="inlineStr">
        <is>
          <t>Razors &amp; Hair Removal Tools</t>
        </is>
      </c>
      <c r="D22251" t="inlineStr">
        <is>
          <t>Eveline</t>
        </is>
      </c>
      <c r="E22251" t="n">
        <v>3.5</v>
      </c>
      <c r="F22251" t="n">
        <v>1</v>
      </c>
      <c r="G22251" t="n">
        <v>5</v>
      </c>
      <c r="H22251" s="5">
        <f>HYPERLINK("https://api.qogita.com/variants/link/5901761942156/", "View Product")</f>
        <v/>
      </c>
    </row>
    <row r="22252">
      <c r="A22252" t="inlineStr">
        <is>
          <t>5901761965360</t>
        </is>
      </c>
      <c r="B22252" t="inlineStr">
        <is>
          <t>Eveline Cosmetics Extra Soft Luxury Bio Argan Oil with Manuka - Firming</t>
        </is>
      </c>
      <c r="C22252" t="inlineStr">
        <is>
          <t>Facial Oil</t>
        </is>
      </c>
      <c r="D22252" t="inlineStr">
        <is>
          <t>Eveline Cosmetics</t>
        </is>
      </c>
      <c r="E22252" t="n">
        <v>3.98</v>
      </c>
      <c r="F22252" t="n">
        <v>1</v>
      </c>
      <c r="G22252" t="n">
        <v>3</v>
      </c>
      <c r="H22252" s="5">
        <f>HYPERLINK("https://api.qogita.com/variants/link/5901761965360/", "View Product")</f>
        <v/>
      </c>
    </row>
    <row r="22253">
      <c r="A22253" t="inlineStr">
        <is>
          <t>5901761976038</t>
        </is>
      </c>
      <c r="B22253" t="inlineStr">
        <is>
          <t>Eveline Facemed+ Moisturizing And Soothing Face Wash Gel With Aloe Vera For All Skin Types 150ml</t>
        </is>
      </c>
      <c r="C22253" t="inlineStr">
        <is>
          <t>Cleansing Gel</t>
        </is>
      </c>
      <c r="D22253" t="inlineStr">
        <is>
          <t>Eveline</t>
        </is>
      </c>
      <c r="E22253" t="n">
        <v>3.69</v>
      </c>
      <c r="F22253" t="n">
        <v>1</v>
      </c>
      <c r="G22253" t="n">
        <v>3</v>
      </c>
      <c r="H22253" s="5">
        <f>HYPERLINK("https://api.qogita.com/variants/link/5901761976038/", "View Product")</f>
        <v/>
      </c>
    </row>
    <row r="22254">
      <c r="A22254" t="inlineStr">
        <is>
          <t>5901761984002</t>
        </is>
      </c>
      <c r="B22254" t="inlineStr">
        <is>
          <t>Eveline Facemed+ Professional Micellar Liquid 3 In 1 For All Skin Types 650ml</t>
        </is>
      </c>
      <c r="C22254" t="inlineStr">
        <is>
          <t>Micellar Water</t>
        </is>
      </c>
      <c r="D22254" t="inlineStr">
        <is>
          <t>Eveline</t>
        </is>
      </c>
      <c r="E22254" t="n">
        <v>6.6</v>
      </c>
      <c r="F22254" t="n">
        <v>1</v>
      </c>
      <c r="G22254" t="n">
        <v>3</v>
      </c>
      <c r="H22254" s="5">
        <f>HYPERLINK("https://api.qogita.com/variants/link/5901761984002/", "View Product")</f>
        <v/>
      </c>
    </row>
    <row r="22255">
      <c r="A22255" t="inlineStr">
        <is>
          <t>5901761988321</t>
        </is>
      </c>
      <c r="B22255" t="inlineStr">
        <is>
          <t>Eveline Royal Snail Concentrated Regenerating Micellar Liquid 500ml</t>
        </is>
      </c>
      <c r="C22255" t="inlineStr">
        <is>
          <t>Micellar Water</t>
        </is>
      </c>
      <c r="D22255" t="inlineStr">
        <is>
          <t>Eveline</t>
        </is>
      </c>
      <c r="E22255" t="n">
        <v>5.81</v>
      </c>
      <c r="F22255" t="n">
        <v>1</v>
      </c>
      <c r="G22255" t="n">
        <v>4</v>
      </c>
      <c r="H22255" s="5">
        <f>HYPERLINK("https://api.qogita.com/variants/link/5901761988321/", "View Product")</f>
        <v/>
      </c>
    </row>
    <row r="22256">
      <c r="A22256" t="inlineStr">
        <is>
          <t>5901761997590</t>
        </is>
      </c>
      <c r="B22256" t="inlineStr">
        <is>
          <t>Eveline Brow &amp; Go! Eyebrow Mascara 02 Dark 6ml</t>
        </is>
      </c>
      <c r="C22256" t="inlineStr">
        <is>
          <t>Eyebrow Gel</t>
        </is>
      </c>
      <c r="D22256" t="inlineStr">
        <is>
          <t>Eveline</t>
        </is>
      </c>
      <c r="E22256" t="n">
        <v>3.54</v>
      </c>
      <c r="F22256" t="n">
        <v>1</v>
      </c>
      <c r="G22256" t="n">
        <v>3</v>
      </c>
      <c r="H22256" s="5">
        <f>HYPERLINK("https://api.qogita.com/variants/link/5901761997590/", "View Product")</f>
        <v/>
      </c>
    </row>
    <row r="22257">
      <c r="A22257" t="inlineStr">
        <is>
          <t>5901761997613</t>
        </is>
      </c>
      <c r="B22257" t="inlineStr">
        <is>
          <t>Eveline Cosmetics Satin Matt Opaque Face Primer 30ml No.101</t>
        </is>
      </c>
      <c r="C22257" t="inlineStr">
        <is>
          <t>Primer</t>
        </is>
      </c>
      <c r="D22257" t="inlineStr">
        <is>
          <t>Eveline Cosmetics</t>
        </is>
      </c>
      <c r="E22257" t="n">
        <v>3.88</v>
      </c>
      <c r="F22257" t="n">
        <v>1</v>
      </c>
      <c r="G22257" t="n">
        <v>2</v>
      </c>
      <c r="H22257" s="5">
        <f>HYPERLINK("https://api.qogita.com/variants/link/5901761997613/", "View Product")</f>
        <v/>
      </c>
    </row>
    <row r="22258">
      <c r="A22258" t="inlineStr">
        <is>
          <t>5901761999341</t>
        </is>
      </c>
      <c r="B22258" t="inlineStr">
        <is>
          <t>Eveline Extra Soft Sos Intensively Regenerating Hand Cream-Dressing 100ml</t>
        </is>
      </c>
      <c r="C22258" t="inlineStr">
        <is>
          <t>Hand Cream</t>
        </is>
      </c>
      <c r="D22258" t="inlineStr">
        <is>
          <t>Eveline</t>
        </is>
      </c>
      <c r="E22258" t="n">
        <v>2.89</v>
      </c>
      <c r="F22258" t="n">
        <v>1</v>
      </c>
      <c r="G22258" t="n">
        <v>3</v>
      </c>
      <c r="H22258" s="5">
        <f>HYPERLINK("https://api.qogita.com/variants/link/5901761999341/", "View Product")</f>
        <v/>
      </c>
    </row>
    <row r="22259">
      <c r="A22259" t="inlineStr">
        <is>
          <t>5901887000204</t>
        </is>
      </c>
      <c r="B22259" t="inlineStr">
        <is>
          <t>Ziaja Chamomile Cream 100ml - Moisturizing Cream</t>
        </is>
      </c>
      <c r="C22259" t="inlineStr">
        <is>
          <t>Face Cream</t>
        </is>
      </c>
      <c r="D22259" t="inlineStr">
        <is>
          <t>Ziaja</t>
        </is>
      </c>
      <c r="E22259" t="n">
        <v>4.08</v>
      </c>
      <c r="F22259" t="n">
        <v>1</v>
      </c>
      <c r="G22259" t="n">
        <v>8</v>
      </c>
      <c r="H22259" s="5">
        <f>HYPERLINK("https://api.qogita.com/variants/link/5901887000204/", "View Product")</f>
        <v/>
      </c>
    </row>
    <row r="22260">
      <c r="A22260" t="inlineStr">
        <is>
          <t>5901887001584</t>
        </is>
      </c>
      <c r="B22260" t="inlineStr">
        <is>
          <t>Ziaja Face Cream For Normal And Dry Skin Natural Olive 50 Ml</t>
        </is>
      </c>
      <c r="C22260" t="inlineStr">
        <is>
          <t>Face Cream</t>
        </is>
      </c>
      <c r="D22260" t="inlineStr">
        <is>
          <t>Ziaja</t>
        </is>
      </c>
      <c r="E22260" t="n">
        <v>4.62</v>
      </c>
      <c r="F22260" t="n">
        <v>1</v>
      </c>
      <c r="G22260" t="n">
        <v>7</v>
      </c>
      <c r="H22260" s="5">
        <f>HYPERLINK("https://api.qogita.com/variants/link/5901887001584/", "View Product")</f>
        <v/>
      </c>
    </row>
    <row r="22261">
      <c r="A22261" t="inlineStr">
        <is>
          <t>5901887001751</t>
        </is>
      </c>
      <c r="B22261" t="inlineStr">
        <is>
          <t>Ziaja Skin Tonic &amp; Cleansing Milk 2 In 1 Goat's Milk 200 Ml</t>
        </is>
      </c>
      <c r="C22261" t="inlineStr">
        <is>
          <t>Cleansing Milk</t>
        </is>
      </c>
      <c r="D22261" t="inlineStr">
        <is>
          <t>Ziaja</t>
        </is>
      </c>
      <c r="E22261" t="n">
        <v>4.08</v>
      </c>
      <c r="F22261" t="n">
        <v>1</v>
      </c>
      <c r="G22261" t="n">
        <v>7</v>
      </c>
      <c r="H22261" s="5">
        <f>HYPERLINK("https://api.qogita.com/variants/link/5901887001751/", "View Product")</f>
        <v/>
      </c>
    </row>
    <row r="22262">
      <c r="A22262" t="inlineStr">
        <is>
          <t>5901887003243</t>
        </is>
      </c>
      <c r="B22262" t="inlineStr">
        <is>
          <t>Ziaja Baby Foam Wash - 250 Ml For Childrens Face, Hands, And Body</t>
        </is>
      </c>
      <c r="C22262" t="inlineStr">
        <is>
          <t>Baby Bath</t>
        </is>
      </c>
      <c r="D22262" t="inlineStr">
        <is>
          <t>Ziaja</t>
        </is>
      </c>
      <c r="E22262" t="n">
        <v>4.04</v>
      </c>
      <c r="F22262" t="n">
        <v>1</v>
      </c>
      <c r="G22262" t="n">
        <v>2</v>
      </c>
      <c r="H22262" s="5">
        <f>HYPERLINK("https://api.qogita.com/variants/link/5901887003243/", "View Product")</f>
        <v/>
      </c>
    </row>
    <row r="22263">
      <c r="A22263" t="inlineStr">
        <is>
          <t>5901887003656</t>
        </is>
      </c>
      <c r="B22263" t="inlineStr">
        <is>
          <t>Ziaja Intensive Color Conditioner For Dyed Hair 200ml</t>
        </is>
      </c>
      <c r="C22263" t="inlineStr">
        <is>
          <t>Conditioner</t>
        </is>
      </c>
      <c r="D22263" t="inlineStr">
        <is>
          <t>Ziaja</t>
        </is>
      </c>
      <c r="E22263" t="n">
        <v>1.74</v>
      </c>
      <c r="F22263" t="n">
        <v>1</v>
      </c>
      <c r="G22263" t="n">
        <v>5</v>
      </c>
      <c r="H22263" s="5">
        <f>HYPERLINK("https://api.qogita.com/variants/link/5901887003656/", "View Product")</f>
        <v/>
      </c>
    </row>
    <row r="22264">
      <c r="A22264" t="inlineStr">
        <is>
          <t>5901887004653</t>
        </is>
      </c>
      <c r="B22264" t="inlineStr">
        <is>
          <t>Ziaja Argan Oil Line Shower Soap</t>
        </is>
      </c>
      <c r="C22264" t="inlineStr">
        <is>
          <t>Soap</t>
        </is>
      </c>
      <c r="D22264" t="inlineStr">
        <is>
          <t>Ziaja</t>
        </is>
      </c>
      <c r="E22264" t="n">
        <v>2.47</v>
      </c>
      <c r="F22264" t="n">
        <v>1</v>
      </c>
      <c r="G22264" t="n">
        <v>3</v>
      </c>
      <c r="H22264" s="5">
        <f>HYPERLINK("https://api.qogita.com/variants/link/5901887004653/", "View Product")</f>
        <v/>
      </c>
    </row>
    <row r="22265">
      <c r="A22265" t="inlineStr">
        <is>
          <t>5901887005919</t>
        </is>
      </c>
      <c r="B22265" t="inlineStr">
        <is>
          <t>Ziaja Sun After Sun Milk Cooling Milk With Calcium 200 Ml</t>
        </is>
      </c>
      <c r="C22265" t="inlineStr">
        <is>
          <t>Aftersun</t>
        </is>
      </c>
      <c r="D22265" t="inlineStr">
        <is>
          <t>Ziaja</t>
        </is>
      </c>
      <c r="E22265" t="n">
        <v>4.62</v>
      </c>
      <c r="F22265" t="n">
        <v>1</v>
      </c>
      <c r="G22265" t="n">
        <v>11</v>
      </c>
      <c r="H22265" s="5">
        <f>HYPERLINK("https://api.qogita.com/variants/link/5901887005919/", "View Product")</f>
        <v/>
      </c>
    </row>
    <row r="22266">
      <c r="A22266" t="inlineStr">
        <is>
          <t>5901887009146</t>
        </is>
      </c>
      <c r="B22266" t="inlineStr">
        <is>
          <t>Ziaja Eye Treatment Antipuffiness Eye Gel 15 Ml</t>
        </is>
      </c>
      <c r="C22266" t="inlineStr">
        <is>
          <t>Eye Gel</t>
        </is>
      </c>
      <c r="D22266" t="inlineStr">
        <is>
          <t>Ziaja</t>
        </is>
      </c>
      <c r="E22266" t="n">
        <v>4.85</v>
      </c>
      <c r="F22266" t="n">
        <v>1</v>
      </c>
      <c r="G22266" t="n">
        <v>8</v>
      </c>
      <c r="H22266" s="5">
        <f>HYPERLINK("https://api.qogita.com/variants/link/5901887009146/", "View Product")</f>
        <v/>
      </c>
    </row>
    <row r="22267">
      <c r="A22267" t="inlineStr">
        <is>
          <t>5901887009153</t>
        </is>
      </c>
      <c r="B22267" t="inlineStr">
        <is>
          <t>Ziaja Eye Gel Against Dark Circles 15 Ml</t>
        </is>
      </c>
      <c r="C22267" t="inlineStr">
        <is>
          <t>Eye Gel</t>
        </is>
      </c>
      <c r="D22267" t="inlineStr">
        <is>
          <t>Ziaja</t>
        </is>
      </c>
      <c r="E22267" t="n">
        <v>2.71</v>
      </c>
      <c r="F22267" t="n">
        <v>1</v>
      </c>
      <c r="G22267" t="n">
        <v>10</v>
      </c>
      <c r="H22267" s="5">
        <f>HYPERLINK("https://api.qogita.com/variants/link/5901887009153/", "View Product")</f>
        <v/>
      </c>
    </row>
    <row r="22268">
      <c r="A22268" t="inlineStr">
        <is>
          <t>5901887016229</t>
        </is>
      </c>
      <c r="B22268" t="inlineStr">
        <is>
          <t>Orange Butter Shower Scrub</t>
        </is>
      </c>
      <c r="C22268" t="inlineStr">
        <is>
          <t>Body Scrub &amp; Peeling</t>
        </is>
      </c>
      <c r="D22268" t="inlineStr">
        <is>
          <t>Ziaja</t>
        </is>
      </c>
      <c r="E22268" t="n">
        <v>5.4</v>
      </c>
      <c r="F22268" t="n">
        <v>1</v>
      </c>
      <c r="G22268" t="n">
        <v>11</v>
      </c>
      <c r="H22268" s="5">
        <f>HYPERLINK("https://api.qogita.com/variants/link/5901887016229/", "View Product")</f>
        <v/>
      </c>
    </row>
    <row r="22269">
      <c r="A22269" t="inlineStr">
        <is>
          <t>5901887018728</t>
        </is>
      </c>
      <c r="B22269" t="inlineStr">
        <is>
          <t>Ziaja Cocoa Butter Scrub Wash Peeling 200ml</t>
        </is>
      </c>
      <c r="C22269" t="inlineStr">
        <is>
          <t>Body Scrub &amp; Peeling</t>
        </is>
      </c>
      <c r="D22269" t="inlineStr">
        <is>
          <t>Ziaja</t>
        </is>
      </c>
      <c r="E22269" t="n">
        <v>3.61</v>
      </c>
      <c r="F22269" t="n">
        <v>1</v>
      </c>
      <c r="G22269" t="n">
        <v>19</v>
      </c>
      <c r="H22269" s="5">
        <f>HYPERLINK("https://api.qogita.com/variants/link/5901887018728/", "View Product")</f>
        <v/>
      </c>
    </row>
    <row r="22270">
      <c r="A22270" t="inlineStr">
        <is>
          <t>5901887020066</t>
        </is>
      </c>
      <c r="B22270" t="inlineStr">
        <is>
          <t>Ziaja Regenerative Night Cream with Peptides 50+ 50ml</t>
        </is>
      </c>
      <c r="C22270" t="inlineStr">
        <is>
          <t>Night Cream</t>
        </is>
      </c>
      <c r="D22270" t="inlineStr">
        <is>
          <t>Ziaja</t>
        </is>
      </c>
      <c r="E22270" t="n">
        <v>4.85</v>
      </c>
      <c r="F22270" t="n">
        <v>1</v>
      </c>
      <c r="G22270" t="n">
        <v>13</v>
      </c>
      <c r="H22270" s="5">
        <f>HYPERLINK("https://api.qogita.com/variants/link/5901887020066/", "View Product")</f>
        <v/>
      </c>
    </row>
    <row r="22271">
      <c r="A22271" t="inlineStr">
        <is>
          <t>5901887023593</t>
        </is>
      </c>
      <c r="B22271" t="inlineStr">
        <is>
          <t>Ziaja Intimate Creamy Wash with Hyaluronic Acid 500ml Dispenser</t>
        </is>
      </c>
      <c r="C22271" t="inlineStr">
        <is>
          <t>Intimate Care</t>
        </is>
      </c>
      <c r="D22271" t="inlineStr">
        <is>
          <t>Ziaja</t>
        </is>
      </c>
      <c r="E22271" t="n">
        <v>4.36</v>
      </c>
      <c r="F22271" t="n">
        <v>1</v>
      </c>
      <c r="G22271" t="n">
        <v>8</v>
      </c>
      <c r="H22271" s="5">
        <f>HYPERLINK("https://api.qogita.com/variants/link/5901887023593/", "View Product")</f>
        <v/>
      </c>
    </row>
    <row r="22272">
      <c r="A22272" t="inlineStr">
        <is>
          <t>5901887023708</t>
        </is>
      </c>
      <c r="B22272" t="inlineStr">
        <is>
          <t>ZIAJA MED Hair Care Anti-Dandruff Shampoo 300ml</t>
        </is>
      </c>
      <c r="C22272" t="inlineStr">
        <is>
          <t>Shampoo</t>
        </is>
      </c>
      <c r="D22272" t="inlineStr">
        <is>
          <t>Ziaja</t>
        </is>
      </c>
      <c r="E22272" t="n">
        <v>5.4</v>
      </c>
      <c r="F22272" t="n">
        <v>1</v>
      </c>
      <c r="G22272" t="n">
        <v>2</v>
      </c>
      <c r="H22272" s="5">
        <f>HYPERLINK("https://api.qogita.com/variants/link/5901887023708/", "View Product")</f>
        <v/>
      </c>
    </row>
    <row r="22273">
      <c r="A22273" t="inlineStr">
        <is>
          <t>5901887025153</t>
        </is>
      </c>
      <c r="B22273" t="inlineStr">
        <is>
          <t>Ziaja Subtle Bronze Body Lotion 300ml</t>
        </is>
      </c>
      <c r="C22273" t="inlineStr">
        <is>
          <t>Body Self-Tanner</t>
        </is>
      </c>
      <c r="D22273" t="inlineStr">
        <is>
          <t>Ziaja</t>
        </is>
      </c>
      <c r="E22273" t="n">
        <v>5.13</v>
      </c>
      <c r="F22273" t="n">
        <v>1</v>
      </c>
      <c r="G22273" t="n">
        <v>5</v>
      </c>
      <c r="H22273" s="5">
        <f>HYPERLINK("https://api.qogita.com/variants/link/5901887025153/", "View Product")</f>
        <v/>
      </c>
    </row>
    <row r="22274">
      <c r="A22274" t="inlineStr">
        <is>
          <t>5901887027997</t>
        </is>
      </c>
      <c r="B22274" t="inlineStr">
        <is>
          <t>Relaxing Massage Oil 500ml</t>
        </is>
      </c>
      <c r="C22274" t="inlineStr">
        <is>
          <t>Body Oil</t>
        </is>
      </c>
      <c r="D22274" t="inlineStr">
        <is>
          <t>Ziaja</t>
        </is>
      </c>
      <c r="E22274" t="n">
        <v>6.74</v>
      </c>
      <c r="F22274" t="n">
        <v>1</v>
      </c>
      <c r="G22274" t="n">
        <v>2</v>
      </c>
      <c r="H22274" s="5">
        <f>HYPERLINK("https://api.qogita.com/variants/link/5901887027997/", "View Product")</f>
        <v/>
      </c>
    </row>
    <row r="22275">
      <c r="A22275" t="inlineStr">
        <is>
          <t>5901887028000</t>
        </is>
      </c>
      <c r="B22275" t="inlineStr">
        <is>
          <t>Anticellulite Massage Oil 500ml</t>
        </is>
      </c>
      <c r="C22275" t="inlineStr">
        <is>
          <t>Anti-Cellulite</t>
        </is>
      </c>
      <c r="D22275" t="inlineStr">
        <is>
          <t>Ziaja</t>
        </is>
      </c>
      <c r="E22275" t="n">
        <v>6.74</v>
      </c>
      <c r="F22275" t="n">
        <v>1</v>
      </c>
      <c r="G22275" t="n">
        <v>17</v>
      </c>
      <c r="H22275" s="5">
        <f>HYPERLINK("https://api.qogita.com/variants/link/5901887028000/", "View Product")</f>
        <v/>
      </c>
    </row>
    <row r="22276">
      <c r="A22276" t="inlineStr">
        <is>
          <t>5901887029151</t>
        </is>
      </c>
      <c r="B22276" t="inlineStr">
        <is>
          <t>Ziaja Manuka Leaf Deep Cleansing Paste For Face Against Blackheads 75ml</t>
        </is>
      </c>
      <c r="C22276" t="inlineStr">
        <is>
          <t>Facial Scrub &amp; Peeling</t>
        </is>
      </c>
      <c r="D22276" t="inlineStr">
        <is>
          <t>Ziaja</t>
        </is>
      </c>
      <c r="E22276" t="n">
        <v>4.85</v>
      </c>
      <c r="F22276" t="n">
        <v>1</v>
      </c>
      <c r="G22276" t="n">
        <v>6</v>
      </c>
      <c r="H22276" s="5">
        <f>HYPERLINK("https://api.qogita.com/variants/link/5901887029151/", "View Product")</f>
        <v/>
      </c>
    </row>
    <row r="22277">
      <c r="A22277" t="inlineStr">
        <is>
          <t>5901887030164</t>
        </is>
      </c>
      <c r="B22277" t="inlineStr">
        <is>
          <t>Ziaja Mamma Mia Lanolin Cream For Nipple Care During Pregnancy And Breastfeeding 15ml</t>
        </is>
      </c>
      <c r="C22277" t="inlineStr">
        <is>
          <t>Pregnancy</t>
        </is>
      </c>
      <c r="D22277" t="inlineStr">
        <is>
          <t>Ziaja</t>
        </is>
      </c>
      <c r="E22277" t="n">
        <v>5.13</v>
      </c>
      <c r="F22277" t="n">
        <v>1</v>
      </c>
      <c r="G22277" t="n">
        <v>14</v>
      </c>
      <c r="H22277" s="5">
        <f>HYPERLINK("https://api.qogita.com/variants/link/5901887030164/", "View Product")</f>
        <v/>
      </c>
    </row>
    <row r="22278">
      <c r="A22278" t="inlineStr">
        <is>
          <t>5901887030294</t>
        </is>
      </c>
      <c r="B22278" t="inlineStr">
        <is>
          <t>Bronze Accelerator 150ml</t>
        </is>
      </c>
      <c r="C22278" t="inlineStr">
        <is>
          <t>Aftersun</t>
        </is>
      </c>
      <c r="D22278" t="inlineStr">
        <is>
          <t>Ziaja</t>
        </is>
      </c>
      <c r="E22278" t="n">
        <v>4.08</v>
      </c>
      <c r="F22278" t="n">
        <v>1</v>
      </c>
      <c r="G22278" t="n">
        <v>8</v>
      </c>
      <c r="H22278" s="5">
        <f>HYPERLINK("https://api.qogita.com/variants/link/5901887030294/", "View Product")</f>
        <v/>
      </c>
    </row>
    <row r="22279">
      <c r="A22279" t="inlineStr">
        <is>
          <t>5901887030386</t>
        </is>
      </c>
      <c r="B22279" t="inlineStr">
        <is>
          <t>Ziaja Antibacterial Care Toner For Oily And Problematic Skin 200 Ml</t>
        </is>
      </c>
      <c r="C22279" t="inlineStr">
        <is>
          <t>Pimple &amp; Blackhead Treatments</t>
        </is>
      </c>
      <c r="D22279" t="inlineStr">
        <is>
          <t>Ziaja</t>
        </is>
      </c>
      <c r="E22279" t="n">
        <v>5.67</v>
      </c>
      <c r="F22279" t="n">
        <v>1</v>
      </c>
      <c r="G22279" t="n">
        <v>3</v>
      </c>
      <c r="H22279" s="5">
        <f>HYPERLINK("https://api.qogita.com/variants/link/5901887030386/", "View Product")</f>
        <v/>
      </c>
    </row>
    <row r="22280">
      <c r="A22280" t="inlineStr">
        <is>
          <t>5901887030416</t>
        </is>
      </c>
      <c r="B22280" t="inlineStr">
        <is>
          <t>Ziaja Med Anti-Redness Soothing Cream 50ml</t>
        </is>
      </c>
      <c r="C22280" t="inlineStr">
        <is>
          <t>Face Cream</t>
        </is>
      </c>
      <c r="D22280" t="inlineStr">
        <is>
          <t>Ziaja</t>
        </is>
      </c>
      <c r="E22280" t="n">
        <v>6.48</v>
      </c>
      <c r="F22280" t="n">
        <v>1</v>
      </c>
      <c r="G22280" t="n">
        <v>5</v>
      </c>
      <c r="H22280" s="5">
        <f>HYPERLINK("https://api.qogita.com/variants/link/5901887030416/", "View Product")</f>
        <v/>
      </c>
    </row>
    <row r="22281">
      <c r="A22281" t="inlineStr">
        <is>
          <t>5901887030447</t>
        </is>
      </c>
      <c r="B22281" t="inlineStr">
        <is>
          <t>Body Lotion for Atopic Skin 400 ml</t>
        </is>
      </c>
      <c r="C22281" t="inlineStr">
        <is>
          <t>Body Lotion</t>
        </is>
      </c>
      <c r="D22281" t="inlineStr">
        <is>
          <t>Ziaja</t>
        </is>
      </c>
      <c r="E22281" t="n">
        <v>7.53</v>
      </c>
      <c r="F22281" t="n">
        <v>1</v>
      </c>
      <c r="G22281" t="n">
        <v>18</v>
      </c>
      <c r="H22281" s="5">
        <f>HYPERLINK("https://api.qogita.com/variants/link/5901887030447/", "View Product")</f>
        <v/>
      </c>
    </row>
    <row r="22282">
      <c r="A22282" t="inlineStr">
        <is>
          <t>5901887034230</t>
        </is>
      </c>
      <c r="B22282" t="inlineStr">
        <is>
          <t>Ziaja Bb Cream For Oily And Combination Skin Light Shade 50ml</t>
        </is>
      </c>
      <c r="C22282" t="inlineStr">
        <is>
          <t>Tinted Day Cream</t>
        </is>
      </c>
      <c r="D22282" t="inlineStr">
        <is>
          <t>Ziaja</t>
        </is>
      </c>
      <c r="E22282" t="n">
        <v>2.73</v>
      </c>
      <c r="F22282" t="n">
        <v>1</v>
      </c>
      <c r="G22282" t="n">
        <v>11</v>
      </c>
      <c r="H22282" s="5">
        <f>HYPERLINK("https://api.qogita.com/variants/link/5901887034230/", "View Product")</f>
        <v/>
      </c>
    </row>
    <row r="22283">
      <c r="A22283" t="inlineStr">
        <is>
          <t>5901887035732</t>
        </is>
      </c>
      <c r="B22283" t="inlineStr">
        <is>
          <t>Ziaja Cupuacu Crystal Soap For Shower And Bath For All Skin Types 500ml</t>
        </is>
      </c>
      <c r="C22283" t="inlineStr">
        <is>
          <t>Soap</t>
        </is>
      </c>
      <c r="D22283" t="inlineStr">
        <is>
          <t>Ziaja</t>
        </is>
      </c>
      <c r="E22283" t="n">
        <v>2.46</v>
      </c>
      <c r="F22283" t="n">
        <v>1</v>
      </c>
      <c r="G22283" t="n">
        <v>6</v>
      </c>
      <c r="H22283" s="5">
        <f>HYPERLINK("https://api.qogita.com/variants/link/5901887035732/", "View Product")</f>
        <v/>
      </c>
    </row>
    <row r="22284">
      <c r="A22284" t="inlineStr">
        <is>
          <t>5901887035954</t>
        </is>
      </c>
      <c r="B22284" t="inlineStr">
        <is>
          <t>Ziaja Ceramides Body Lotion Smoothing 400ml</t>
        </is>
      </c>
      <c r="C22284" t="inlineStr">
        <is>
          <t>Body Lotion</t>
        </is>
      </c>
      <c r="D22284" t="inlineStr">
        <is>
          <t>Ziaja</t>
        </is>
      </c>
      <c r="E22284" t="n">
        <v>5.4</v>
      </c>
      <c r="F22284" t="n">
        <v>1</v>
      </c>
      <c r="G22284" t="n">
        <v>2</v>
      </c>
      <c r="H22284" s="5">
        <f>HYPERLINK("https://api.qogita.com/variants/link/5901887035954/", "View Product")</f>
        <v/>
      </c>
    </row>
    <row r="22285">
      <c r="A22285" t="inlineStr">
        <is>
          <t>5901887036302</t>
        </is>
      </c>
      <c r="B22285" t="inlineStr">
        <is>
          <t>Ziaja Med Dermatitis Bath Additive 270ml</t>
        </is>
      </c>
      <c r="C22285" t="inlineStr">
        <is>
          <t>Neurodermatitis</t>
        </is>
      </c>
      <c r="D22285" t="inlineStr">
        <is>
          <t>Ziaja</t>
        </is>
      </c>
      <c r="E22285" t="n">
        <v>7.51</v>
      </c>
      <c r="F22285" t="n">
        <v>1</v>
      </c>
      <c r="G22285" t="n">
        <v>2</v>
      </c>
      <c r="H22285" s="5">
        <f>HYPERLINK("https://api.qogita.com/variants/link/5901887036302/", "View Product")</f>
        <v/>
      </c>
    </row>
    <row r="22286">
      <c r="A22286" t="inlineStr">
        <is>
          <t>5901887038269</t>
        </is>
      </c>
      <c r="B22286" t="inlineStr">
        <is>
          <t>Ziaja Acai Berries Spf10 Antioxidant Protective And Soothing Cream For Tired Skin Lacking Radiance 50ml</t>
        </is>
      </c>
      <c r="C22286" t="inlineStr">
        <is>
          <t>Day Cream</t>
        </is>
      </c>
      <c r="D22286" t="inlineStr">
        <is>
          <t>Ziaja</t>
        </is>
      </c>
      <c r="E22286" t="n">
        <v>3.27</v>
      </c>
      <c r="F22286" t="n">
        <v>1</v>
      </c>
      <c r="G22286" t="n">
        <v>5</v>
      </c>
      <c r="H22286" s="5">
        <f>HYPERLINK("https://api.qogita.com/variants/link/5901887038269/", "View Product")</f>
        <v/>
      </c>
    </row>
    <row r="22287">
      <c r="A22287" t="inlineStr">
        <is>
          <t>5901887038306</t>
        </is>
      </c>
      <c r="B22287" t="inlineStr">
        <is>
          <t>Ziaja Acai Berry Cleansing Micellar Gel With Peeling 200ml</t>
        </is>
      </c>
      <c r="C22287" t="inlineStr">
        <is>
          <t>Cleansing Gel</t>
        </is>
      </c>
      <c r="D22287" t="inlineStr">
        <is>
          <t>Ziaja</t>
        </is>
      </c>
      <c r="E22287" t="n">
        <v>5.13</v>
      </c>
      <c r="F22287" t="n">
        <v>1</v>
      </c>
      <c r="G22287" t="n">
        <v>6</v>
      </c>
      <c r="H22287" s="5">
        <f>HYPERLINK("https://api.qogita.com/variants/link/5901887038306/", "View Product")</f>
        <v/>
      </c>
    </row>
    <row r="22288">
      <c r="A22288" t="inlineStr">
        <is>
          <t>5901887038382</t>
        </is>
      </c>
      <c r="B22288" t="inlineStr">
        <is>
          <t>Ziaja Bb Cream For Normal Dry And Sensitive Skin Spf 15 Darkpeach Tone 50 Ml</t>
        </is>
      </c>
      <c r="C22288" t="inlineStr">
        <is>
          <t>Tinted Day Cream</t>
        </is>
      </c>
      <c r="D22288" t="inlineStr">
        <is>
          <t>Ziaja</t>
        </is>
      </c>
      <c r="E22288" t="n">
        <v>5.4</v>
      </c>
      <c r="F22288" t="n">
        <v>1</v>
      </c>
      <c r="G22288" t="n">
        <v>7</v>
      </c>
      <c r="H22288" s="5">
        <f>HYPERLINK("https://api.qogita.com/variants/link/5901887038382/", "View Product")</f>
        <v/>
      </c>
    </row>
    <row r="22289">
      <c r="A22289" t="inlineStr">
        <is>
          <t>5901887039976</t>
        </is>
      </c>
      <c r="B22289" t="inlineStr">
        <is>
          <t>Ziaja Sensitive Mouthwash Against Tooth Decay 500 Ml</t>
        </is>
      </c>
      <c r="C22289" t="inlineStr">
        <is>
          <t>Mouthwash</t>
        </is>
      </c>
      <c r="D22289" t="inlineStr">
        <is>
          <t>Ziaja</t>
        </is>
      </c>
      <c r="E22289" t="n">
        <v>4.62</v>
      </c>
      <c r="F22289" t="n">
        <v>1</v>
      </c>
      <c r="G22289" t="n">
        <v>5</v>
      </c>
      <c r="H22289" s="5">
        <f>HYPERLINK("https://api.qogita.com/variants/link/5901887039976/", "View Product")</f>
        <v/>
      </c>
    </row>
    <row r="22290">
      <c r="A22290" t="inlineStr">
        <is>
          <t>5901887042051</t>
        </is>
      </c>
      <c r="B22290" t="inlineStr">
        <is>
          <t>Ziaja Concentrated Smoothing Hair Mask For Dry And Damaged Hair Argan 200 Ml</t>
        </is>
      </c>
      <c r="C22290" t="inlineStr">
        <is>
          <t>Hair Masks</t>
        </is>
      </c>
      <c r="D22290" t="inlineStr">
        <is>
          <t>Ziaja</t>
        </is>
      </c>
      <c r="E22290" t="n">
        <v>4.62</v>
      </c>
      <c r="F22290" t="n">
        <v>1</v>
      </c>
      <c r="G22290" t="n">
        <v>9</v>
      </c>
      <c r="H22290" s="5">
        <f>HYPERLINK("https://api.qogita.com/variants/link/5901887042051/", "View Product")</f>
        <v/>
      </c>
    </row>
    <row r="22291">
      <c r="A22291" t="inlineStr">
        <is>
          <t>5901887042068</t>
        </is>
      </c>
      <c r="B22291" t="inlineStr">
        <is>
          <t>Cachemira Hair Illuminating Serum 50ml</t>
        </is>
      </c>
      <c r="C22291" t="inlineStr">
        <is>
          <t>Hair Oil &amp; Hair Serum</t>
        </is>
      </c>
      <c r="D22291" t="inlineStr">
        <is>
          <t>Ziaja</t>
        </is>
      </c>
      <c r="E22291" t="n">
        <v>5.4</v>
      </c>
      <c r="F22291" t="n">
        <v>1</v>
      </c>
      <c r="G22291" t="n">
        <v>4</v>
      </c>
      <c r="H22291" s="5">
        <f>HYPERLINK("https://api.qogita.com/variants/link/5901887042068/", "View Product")</f>
        <v/>
      </c>
    </row>
    <row r="22292">
      <c r="A22292" t="inlineStr">
        <is>
          <t>5901887044925</t>
        </is>
      </c>
      <c r="B22292" t="inlineStr">
        <is>
          <t>Ziaja Delikatessen Line Chocolate Mousse Skincare</t>
        </is>
      </c>
      <c r="C22292" t="inlineStr">
        <is>
          <t>Face Cream</t>
        </is>
      </c>
      <c r="D22292" t="inlineStr">
        <is>
          <t>Ziaja</t>
        </is>
      </c>
      <c r="E22292" t="n">
        <v>3.47</v>
      </c>
      <c r="F22292" t="n">
        <v>1</v>
      </c>
      <c r="G22292" t="n">
        <v>4</v>
      </c>
      <c r="H22292" s="5">
        <f>HYPERLINK("https://api.qogita.com/variants/link/5901887044925/", "View Product")</f>
        <v/>
      </c>
    </row>
    <row r="22293">
      <c r="A22293" t="inlineStr">
        <is>
          <t>5901887045663</t>
        </is>
      </c>
      <c r="B22293" t="inlineStr">
        <is>
          <t>Ziaja Baltic Home Spa Fit Glycerin Body Scrub Coarse Grain Mango 300ml</t>
        </is>
      </c>
      <c r="C22293" t="inlineStr">
        <is>
          <t>Body Care Sets</t>
        </is>
      </c>
      <c r="D22293" t="inlineStr">
        <is>
          <t>Ziaja</t>
        </is>
      </c>
      <c r="E22293" t="n">
        <v>7.8</v>
      </c>
      <c r="F22293" t="n">
        <v>1</v>
      </c>
      <c r="G22293" t="n">
        <v>8</v>
      </c>
      <c r="H22293" s="5">
        <f>HYPERLINK("https://api.qogita.com/variants/link/5901887045663/", "View Product")</f>
        <v/>
      </c>
    </row>
    <row r="22294">
      <c r="A22294" t="inlineStr">
        <is>
          <t>5901887046479</t>
        </is>
      </c>
      <c r="B22294" t="inlineStr">
        <is>
          <t>Ziaja Yego Moisturizing Set for Men 50ml + 3 in 1 Shower Gel 300ml + Af</t>
        </is>
      </c>
      <c r="C22294" t="inlineStr">
        <is>
          <t>Body Care Sets</t>
        </is>
      </c>
      <c r="D22294" t="inlineStr">
        <is>
          <t>Ziaja</t>
        </is>
      </c>
      <c r="E22294" t="n">
        <v>7.07</v>
      </c>
      <c r="F22294" t="n">
        <v>1</v>
      </c>
      <c r="G22294" t="n">
        <v>38</v>
      </c>
      <c r="H22294" s="5">
        <f>HYPERLINK("https://api.qogita.com/variants/link/5901887046479/", "View Product")</f>
        <v/>
      </c>
    </row>
    <row r="22295">
      <c r="A22295" t="inlineStr">
        <is>
          <t>5901887050292</t>
        </is>
      </c>
      <c r="B22295" t="inlineStr">
        <is>
          <t>Ziaja Moon Pitahaya Shower Gel 500 Ml</t>
        </is>
      </c>
      <c r="C22295" t="inlineStr">
        <is>
          <t>Shower Gel</t>
        </is>
      </c>
      <c r="D22295" t="inlineStr">
        <is>
          <t>Ziaja</t>
        </is>
      </c>
      <c r="E22295" t="n">
        <v>4.36</v>
      </c>
      <c r="F22295" t="n">
        <v>1</v>
      </c>
      <c r="G22295" t="n">
        <v>3</v>
      </c>
      <c r="H22295" s="5">
        <f>HYPERLINK("https://api.qogita.com/variants/link/5901887050292/", "View Product")</f>
        <v/>
      </c>
    </row>
    <row r="22296">
      <c r="A22296" t="inlineStr">
        <is>
          <t>5901887051411</t>
        </is>
      </c>
      <c r="B22296" t="inlineStr">
        <is>
          <t>Ziaja Lightweight Moisturizing And Lifting Face Cream Baltic Home Spa Wellness 50 Ml</t>
        </is>
      </c>
      <c r="C22296" t="inlineStr">
        <is>
          <t>Face Cream</t>
        </is>
      </c>
      <c r="D22296" t="inlineStr">
        <is>
          <t>Ziaja</t>
        </is>
      </c>
      <c r="E22296" t="n">
        <v>6.48</v>
      </c>
      <c r="F22296" t="n">
        <v>1</v>
      </c>
      <c r="G22296" t="n">
        <v>13</v>
      </c>
      <c r="H22296" s="5">
        <f>HYPERLINK("https://api.qogita.com/variants/link/5901887051411/", "View Product")</f>
        <v/>
      </c>
    </row>
    <row r="22297">
      <c r="A22297" t="inlineStr">
        <is>
          <t>5901887053484</t>
        </is>
      </c>
      <c r="B22297" t="inlineStr">
        <is>
          <t>Ziaja Natural Care Face Toner 200ml</t>
        </is>
      </c>
      <c r="C22297" t="inlineStr">
        <is>
          <t>Facial Spray</t>
        </is>
      </c>
      <c r="D22297" t="inlineStr">
        <is>
          <t>Ziaja</t>
        </is>
      </c>
      <c r="E22297" t="n">
        <v>4.85</v>
      </c>
      <c r="F22297" t="n">
        <v>1</v>
      </c>
      <c r="G22297" t="n">
        <v>3</v>
      </c>
      <c r="H22297" s="5">
        <f>HYPERLINK("https://api.qogita.com/variants/link/5901887053484/", "View Product")</f>
        <v/>
      </c>
    </row>
    <row r="22298">
      <c r="A22298" t="inlineStr">
        <is>
          <t>5901887053521</t>
        </is>
      </c>
      <c r="B22298" t="inlineStr">
        <is>
          <t>Ziaja Natural Care Hair Mask 150ml</t>
        </is>
      </c>
      <c r="C22298" t="inlineStr">
        <is>
          <t>Hair Masks</t>
        </is>
      </c>
      <c r="D22298" t="inlineStr">
        <is>
          <t>Ziaja</t>
        </is>
      </c>
      <c r="E22298" t="n">
        <v>4.85</v>
      </c>
      <c r="F22298" t="n">
        <v>1</v>
      </c>
      <c r="G22298" t="n">
        <v>5</v>
      </c>
      <c r="H22298" s="5">
        <f>HYPERLINK("https://api.qogita.com/variants/link/5901887053521/", "View Product")</f>
        <v/>
      </c>
    </row>
    <row r="22299">
      <c r="A22299" t="inlineStr">
        <is>
          <t>5901887055990</t>
        </is>
      </c>
      <c r="B22299" t="inlineStr">
        <is>
          <t>Ziaja Vetiver Men After Shave Balm 80 Ml</t>
        </is>
      </c>
      <c r="C22299" t="inlineStr">
        <is>
          <t>Aftershave</t>
        </is>
      </c>
      <c r="D22299" t="inlineStr">
        <is>
          <t>Ziaja</t>
        </is>
      </c>
      <c r="E22299" t="n">
        <v>4.36</v>
      </c>
      <c r="F22299" t="n">
        <v>1</v>
      </c>
      <c r="G22299" t="n">
        <v>14</v>
      </c>
      <c r="H22299" s="5">
        <f>HYPERLINK("https://api.qogita.com/variants/link/5901887055990/", "View Product")</f>
        <v/>
      </c>
    </row>
    <row r="22300">
      <c r="A22300" t="inlineStr">
        <is>
          <t>5902983625476</t>
        </is>
      </c>
      <c r="B22300" t="inlineStr">
        <is>
          <t>Huslog Replacement Nozzles For Oral Irrigator Al-050231 - 2 Pieces</t>
        </is>
      </c>
      <c r="C22300" t="inlineStr">
        <is>
          <t>Mouth &amp; Gum Care</t>
        </is>
      </c>
      <c r="D22300" t="inlineStr">
        <is>
          <t>HOMNIA</t>
        </is>
      </c>
      <c r="E22300" t="n">
        <v>5.84</v>
      </c>
      <c r="F22300" t="n">
        <v>1</v>
      </c>
      <c r="G22300" t="n">
        <v>3</v>
      </c>
      <c r="H22300" s="5">
        <f>HYPERLINK("https://api.qogita.com/variants/link/5902983625476/", "View Product")</f>
        <v/>
      </c>
    </row>
    <row r="22301">
      <c r="A22301" t="inlineStr">
        <is>
          <t>5903018900117</t>
        </is>
      </c>
      <c r="B22301" t="inlineStr">
        <is>
          <t>Mimo Multipurpose Makeup Sponge Pink</t>
        </is>
      </c>
      <c r="C22301" t="inlineStr">
        <is>
          <t>Makeup Sponges</t>
        </is>
      </c>
      <c r="D22301" t="inlineStr">
        <is>
          <t>‎Mimo</t>
        </is>
      </c>
      <c r="E22301" t="n">
        <v>0.84</v>
      </c>
      <c r="F22301" t="n">
        <v>1</v>
      </c>
      <c r="G22301" t="n">
        <v>7</v>
      </c>
      <c r="H22301" s="5">
        <f>HYPERLINK("https://api.qogita.com/variants/link/5903018900117/", "View Product")</f>
        <v/>
      </c>
    </row>
    <row r="22302">
      <c r="A22302" t="inlineStr">
        <is>
          <t>5903018900155</t>
        </is>
      </c>
      <c r="B22302" t="inlineStr">
        <is>
          <t>T4B MIMO Olive Shaped Makeup Sponge - Light Pink</t>
        </is>
      </c>
      <c r="C22302" t="inlineStr">
        <is>
          <t>Makeup Sponges</t>
        </is>
      </c>
      <c r="D22302" t="inlineStr">
        <is>
          <t>Tb Tools For Beauty</t>
        </is>
      </c>
      <c r="E22302" t="n">
        <v>2.65</v>
      </c>
      <c r="F22302" t="n">
        <v>1</v>
      </c>
      <c r="G22302" t="n">
        <v>26</v>
      </c>
      <c r="H22302" s="5">
        <f>HYPERLINK("https://api.qogita.com/variants/link/5903018900155/", "View Product")</f>
        <v/>
      </c>
    </row>
    <row r="22303">
      <c r="A22303" t="inlineStr">
        <is>
          <t>5903018900162</t>
        </is>
      </c>
      <c r="B22303" t="inlineStr">
        <is>
          <t>T4B MIMO Olive Shaped Makeup Sponge - Violet</t>
        </is>
      </c>
      <c r="C22303" t="inlineStr">
        <is>
          <t>Makeup Sponges</t>
        </is>
      </c>
      <c r="D22303" t="inlineStr">
        <is>
          <t>Tb Tools For Beauty</t>
        </is>
      </c>
      <c r="E22303" t="n">
        <v>0.85</v>
      </c>
      <c r="F22303" t="n">
        <v>1</v>
      </c>
      <c r="G22303" t="n">
        <v>26</v>
      </c>
      <c r="H22303" s="5">
        <f>HYPERLINK("https://api.qogita.com/variants/link/5903018900162/", "View Product")</f>
        <v/>
      </c>
    </row>
    <row r="22304">
      <c r="A22304" t="inlineStr">
        <is>
          <t>5903416004103</t>
        </is>
      </c>
      <c r="B22304" t="inlineStr">
        <is>
          <t>Eveline Quattro Professional Eyeshadow Palette - 01, 7.2g</t>
        </is>
      </c>
      <c r="C22304" t="inlineStr">
        <is>
          <t>Eye Sets &amp; Pallets</t>
        </is>
      </c>
      <c r="D22304" t="inlineStr">
        <is>
          <t>Eveline</t>
        </is>
      </c>
      <c r="E22304" t="n">
        <v>3.81</v>
      </c>
      <c r="F22304" t="n">
        <v>1</v>
      </c>
      <c r="G22304" t="n">
        <v>2</v>
      </c>
      <c r="H22304" s="5">
        <f>HYPERLINK("https://api.qogita.com/variants/link/5903416004103/", "View Product")</f>
        <v/>
      </c>
    </row>
    <row r="22305">
      <c r="A22305" t="inlineStr">
        <is>
          <t>5903416015871</t>
        </is>
      </c>
      <c r="B22305" t="inlineStr">
        <is>
          <t>Eveline Professional Eyeshadow Palette Essential Rose - 9.6g</t>
        </is>
      </c>
      <c r="C22305" t="inlineStr">
        <is>
          <t>Eye Sets &amp; Pallets</t>
        </is>
      </c>
      <c r="D22305" t="inlineStr">
        <is>
          <t>Eveline</t>
        </is>
      </c>
      <c r="E22305" t="n">
        <v>5.34</v>
      </c>
      <c r="F22305" t="n">
        <v>1</v>
      </c>
      <c r="G22305" t="n">
        <v>2</v>
      </c>
      <c r="H22305" s="5">
        <f>HYPERLINK("https://api.qogita.com/variants/link/5903416015871/", "View Product")</f>
        <v/>
      </c>
    </row>
    <row r="22306">
      <c r="A22306" t="inlineStr">
        <is>
          <t>5903416016793</t>
        </is>
      </c>
      <c r="B22306" t="inlineStr">
        <is>
          <t>Eveline Oh My Lips Liquid Matte Lipstick &amp; Contour Lip Liner 4.5ml In 13 Brownie Biscotti</t>
        </is>
      </c>
      <c r="C22306" t="inlineStr">
        <is>
          <t>Lipstick</t>
        </is>
      </c>
      <c r="D22306" t="inlineStr">
        <is>
          <t>Eveline</t>
        </is>
      </c>
      <c r="E22306" t="n">
        <v>5.13</v>
      </c>
      <c r="F22306" t="n">
        <v>1</v>
      </c>
      <c r="G22306" t="n">
        <v>4</v>
      </c>
      <c r="H22306" s="5">
        <f>HYPERLINK("https://api.qogita.com/variants/link/5903416016793/", "View Product")</f>
        <v/>
      </c>
    </row>
    <row r="22307">
      <c r="A22307" t="inlineStr">
        <is>
          <t>5903416016809</t>
        </is>
      </c>
      <c r="B22307" t="inlineStr">
        <is>
          <t>Eveline Oh My Lips Liquid Matte Lipstick &amp; Contour Lip Liner 4.5ml In 14 Choco Truffle</t>
        </is>
      </c>
      <c r="C22307" t="inlineStr">
        <is>
          <t>Lipstick</t>
        </is>
      </c>
      <c r="D22307" t="inlineStr">
        <is>
          <t>Eveline</t>
        </is>
      </c>
      <c r="E22307" t="n">
        <v>6.08</v>
      </c>
      <c r="F22307" t="n">
        <v>1</v>
      </c>
      <c r="G22307" t="n">
        <v>3</v>
      </c>
      <c r="H22307" s="5">
        <f>HYPERLINK("https://api.qogita.com/variants/link/5903416016809/", "View Product")</f>
        <v/>
      </c>
    </row>
    <row r="22308">
      <c r="A22308" t="inlineStr">
        <is>
          <t>5903416018773</t>
        </is>
      </c>
      <c r="B22308" t="inlineStr">
        <is>
          <t>Eveline Insta Skin Care Skin Balance Mattifying And Detoxifying Face Cream - 50ml</t>
        </is>
      </c>
      <c r="C22308" t="inlineStr">
        <is>
          <t>Face Cream</t>
        </is>
      </c>
      <c r="D22308" t="inlineStr">
        <is>
          <t>Eveline</t>
        </is>
      </c>
      <c r="E22308" t="n">
        <v>4.21</v>
      </c>
      <c r="F22308" t="n">
        <v>1</v>
      </c>
      <c r="G22308" t="n">
        <v>2</v>
      </c>
      <c r="H22308" s="5">
        <f>HYPERLINK("https://api.qogita.com/variants/link/5903416018773/", "View Product")</f>
        <v/>
      </c>
    </row>
    <row r="22309">
      <c r="A22309" t="inlineStr">
        <is>
          <t>5903416027201</t>
        </is>
      </c>
      <c r="B22309" t="inlineStr">
        <is>
          <t>Eveline Make A Shape Automatic Lip Liner 02 Nude Beige</t>
        </is>
      </c>
      <c r="C22309" t="inlineStr">
        <is>
          <t>Lip Liner</t>
        </is>
      </c>
      <c r="D22309" t="inlineStr">
        <is>
          <t>Eveline</t>
        </is>
      </c>
      <c r="E22309" t="n">
        <v>2.67</v>
      </c>
      <c r="F22309" t="n">
        <v>1</v>
      </c>
      <c r="G22309" t="n">
        <v>3</v>
      </c>
      <c r="H22309" s="5">
        <f>HYPERLINK("https://api.qogita.com/variants/link/5903416027201/", "View Product")</f>
        <v/>
      </c>
    </row>
    <row r="22310">
      <c r="A22310" t="inlineStr">
        <is>
          <t>5903416033332</t>
        </is>
      </c>
      <c r="B22310" t="inlineStr">
        <is>
          <t>Eveline Organic Moisturizing Micellar Liquid For All Skin Types Aloe 400ml</t>
        </is>
      </c>
      <c r="C22310" t="inlineStr">
        <is>
          <t>Micellar Water</t>
        </is>
      </c>
      <c r="D22310" t="inlineStr">
        <is>
          <t>Eveline</t>
        </is>
      </c>
      <c r="E22310" t="n">
        <v>4.64</v>
      </c>
      <c r="F22310" t="n">
        <v>1</v>
      </c>
      <c r="G22310" t="n">
        <v>3</v>
      </c>
      <c r="H22310" s="5">
        <f>HYPERLINK("https://api.qogita.com/variants/link/5903416033332/", "View Product")</f>
        <v/>
      </c>
    </row>
    <row r="22311">
      <c r="A22311" t="inlineStr">
        <is>
          <t>5903714206254</t>
        </is>
      </c>
      <c r="B22311" t="inlineStr">
        <is>
          <t>Berani Femme Conditioner For All Hair Types For Women 300ml</t>
        </is>
      </c>
      <c r="C22311" t="inlineStr">
        <is>
          <t>Conditioner</t>
        </is>
      </c>
      <c r="D22311" t="inlineStr">
        <is>
          <t>Berani</t>
        </is>
      </c>
      <c r="E22311" t="n">
        <v>32.28</v>
      </c>
      <c r="F22311" t="n">
        <v>1</v>
      </c>
      <c r="G22311" t="n">
        <v>3</v>
      </c>
      <c r="H22311" s="5">
        <f>HYPERLINK("https://api.qogita.com/variants/link/5903714206254/", "View Product")</f>
        <v/>
      </c>
    </row>
    <row r="22312">
      <c r="A22312" t="inlineStr">
        <is>
          <t>5903714206278</t>
        </is>
      </c>
      <c r="B22312" t="inlineStr">
        <is>
          <t>Berani Femme Shower Gel</t>
        </is>
      </c>
      <c r="C22312" t="inlineStr">
        <is>
          <t>Shower Gel</t>
        </is>
      </c>
      <c r="D22312" t="inlineStr">
        <is>
          <t>Berani</t>
        </is>
      </c>
      <c r="E22312" t="n">
        <v>25.1</v>
      </c>
      <c r="F22312" t="n">
        <v>1</v>
      </c>
      <c r="G22312" t="n">
        <v>3</v>
      </c>
      <c r="H22312" s="5">
        <f>HYPERLINK("https://api.qogita.com/variants/link/5903714206278/", "View Product")</f>
        <v/>
      </c>
    </row>
    <row r="22313">
      <c r="A22313" t="inlineStr">
        <is>
          <t>5905076588382</t>
        </is>
      </c>
      <c r="B22313" t="inlineStr">
        <is>
          <t>La Roche Posay Mela B3 Skin Care Gift Set</t>
        </is>
      </c>
      <c r="C22313" t="inlineStr">
        <is>
          <t>Face</t>
        </is>
      </c>
      <c r="D22313" t="inlineStr">
        <is>
          <t>La Roche-Posay</t>
        </is>
      </c>
      <c r="E22313" t="n">
        <v>60.73</v>
      </c>
      <c r="F22313" t="n">
        <v>1</v>
      </c>
      <c r="G22313" t="n">
        <v>7</v>
      </c>
      <c r="H22313" s="5">
        <f>HYPERLINK("https://api.qogita.com/variants/link/5905076588382/", "View Product")</f>
        <v/>
      </c>
    </row>
    <row r="22314">
      <c r="A22314" t="inlineStr">
        <is>
          <t>5905669547062</t>
        </is>
      </c>
      <c r="B22314" t="inlineStr">
        <is>
          <t>Nanoil Algae Hair Mask - 300ml</t>
        </is>
      </c>
      <c r="C22314" t="inlineStr">
        <is>
          <t>Hair Masks</t>
        </is>
      </c>
      <c r="D22314" t="inlineStr">
        <is>
          <t>Nanoil</t>
        </is>
      </c>
      <c r="E22314" t="n">
        <v>10.37</v>
      </c>
      <c r="F22314" t="n">
        <v>1</v>
      </c>
      <c r="G22314" t="n">
        <v>4</v>
      </c>
      <c r="H22314" s="5">
        <f>HYPERLINK("https://api.qogita.com/variants/link/5905669547062/", "View Product")</f>
        <v/>
      </c>
    </row>
    <row r="22315">
      <c r="A22315" t="inlineStr">
        <is>
          <t>5905669547116</t>
        </is>
      </c>
      <c r="B22315" t="inlineStr">
        <is>
          <t>Lashcode Nourishing Mascara For Eyelashes Black 10ml</t>
        </is>
      </c>
      <c r="C22315" t="inlineStr">
        <is>
          <t>Mascara</t>
        </is>
      </c>
      <c r="D22315" t="inlineStr">
        <is>
          <t>Lashcode</t>
        </is>
      </c>
      <c r="E22315" t="n">
        <v>23.86</v>
      </c>
      <c r="F22315" t="n">
        <v>1</v>
      </c>
      <c r="G22315" t="n">
        <v>13</v>
      </c>
      <c r="H22315" s="5">
        <f>HYPERLINK("https://api.qogita.com/variants/link/5905669547116/", "View Product")</f>
        <v/>
      </c>
    </row>
    <row r="22316">
      <c r="A22316" t="inlineStr">
        <is>
          <t>5905669547277</t>
        </is>
      </c>
      <c r="B22316" t="inlineStr">
        <is>
          <t>Nanoil Liquid Silk Micellar Shampoo - 300ml</t>
        </is>
      </c>
      <c r="C22316" t="inlineStr">
        <is>
          <t>Shampoo</t>
        </is>
      </c>
      <c r="D22316" t="inlineStr">
        <is>
          <t>Nanoil</t>
        </is>
      </c>
      <c r="E22316" t="n">
        <v>9.06</v>
      </c>
      <c r="F22316" t="n">
        <v>1</v>
      </c>
      <c r="G22316" t="n">
        <v>2</v>
      </c>
      <c r="H22316" s="5">
        <f>HYPERLINK("https://api.qogita.com/variants/link/5905669547277/", "View Product")</f>
        <v/>
      </c>
    </row>
    <row r="22317">
      <c r="A22317" t="inlineStr">
        <is>
          <t>5905669547482</t>
        </is>
      </c>
      <c r="B22317" t="inlineStr">
        <is>
          <t>Nanobrow Eyebrow Pencil Dark Brown 1g</t>
        </is>
      </c>
      <c r="C22317" t="inlineStr">
        <is>
          <t>Eyebrow Pencil</t>
        </is>
      </c>
      <c r="D22317" t="inlineStr">
        <is>
          <t>Nanobrow</t>
        </is>
      </c>
      <c r="E22317" t="n">
        <v>17.98</v>
      </c>
      <c r="F22317" t="n">
        <v>1</v>
      </c>
      <c r="G22317" t="n">
        <v>2</v>
      </c>
      <c r="H22317" s="5">
        <f>HYPERLINK("https://api.qogita.com/variants/link/5905669547482/", "View Product")</f>
        <v/>
      </c>
    </row>
    <row r="22318">
      <c r="A22318" t="inlineStr">
        <is>
          <t>5905669547499</t>
        </is>
      </c>
      <c r="B22318" t="inlineStr">
        <is>
          <t>Nanobrow Nanobrow Eyebrow Pencil Light Brown 1g</t>
        </is>
      </c>
      <c r="C22318" t="inlineStr">
        <is>
          <t>Eyebrow Pencil</t>
        </is>
      </c>
      <c r="D22318" t="inlineStr">
        <is>
          <t>Nanobrow</t>
        </is>
      </c>
      <c r="E22318" t="n">
        <v>37.65</v>
      </c>
      <c r="F22318" t="n">
        <v>1</v>
      </c>
      <c r="G22318" t="n">
        <v>2</v>
      </c>
      <c r="H22318" s="5">
        <f>HYPERLINK("https://api.qogita.com/variants/link/5905669547499/", "View Product")</f>
        <v/>
      </c>
    </row>
    <row r="22319">
      <c r="A22319" t="inlineStr">
        <is>
          <t>5905669547567</t>
        </is>
      </c>
      <c r="B22319" t="inlineStr">
        <is>
          <t>Nanobrow Tweezers Pinzeta 1 Unit</t>
        </is>
      </c>
      <c r="C22319" t="inlineStr">
        <is>
          <t>Other</t>
        </is>
      </c>
      <c r="D22319" t="inlineStr">
        <is>
          <t>Nanobrow</t>
        </is>
      </c>
      <c r="E22319" t="n">
        <v>5.89</v>
      </c>
      <c r="F22319" t="n">
        <v>1</v>
      </c>
      <c r="G22319" t="n">
        <v>10</v>
      </c>
      <c r="H22319" s="5">
        <f>HYPERLINK("https://api.qogita.com/variants/link/5905669547567/", "View Product")</f>
        <v/>
      </c>
    </row>
    <row r="22320">
      <c r="A22320" t="inlineStr">
        <is>
          <t>5907609333278</t>
        </is>
      </c>
      <c r="B22320" t="inlineStr">
        <is>
          <t>Eveline Celebrities Beauty Mattifying And Smoothing Mineral Powder 22 Natural 9g</t>
        </is>
      </c>
      <c r="C22320" t="inlineStr">
        <is>
          <t>Powder</t>
        </is>
      </c>
      <c r="D22320" t="inlineStr">
        <is>
          <t>Eveline</t>
        </is>
      </c>
      <c r="E22320" t="n">
        <v>6.31</v>
      </c>
      <c r="F22320" t="n">
        <v>1</v>
      </c>
      <c r="G22320" t="n">
        <v>3</v>
      </c>
      <c r="H22320" s="5">
        <f>HYPERLINK("https://api.qogita.com/variants/link/5907609333278/", "View Product")</f>
        <v/>
      </c>
    </row>
    <row r="22321">
      <c r="A22321" t="inlineStr">
        <is>
          <t>5907609337191</t>
        </is>
      </c>
      <c r="B22321" t="inlineStr">
        <is>
          <t>Eveline Big Volume Lash Waterproof Mascara Deep Black 9ml</t>
        </is>
      </c>
      <c r="C22321" t="inlineStr">
        <is>
          <t>Mascara</t>
        </is>
      </c>
      <c r="D22321" t="inlineStr">
        <is>
          <t>Eveline</t>
        </is>
      </c>
      <c r="E22321" t="n">
        <v>4.11</v>
      </c>
      <c r="F22321" t="n">
        <v>1</v>
      </c>
      <c r="G22321" t="n">
        <v>3</v>
      </c>
      <c r="H22321" s="5">
        <f>HYPERLINK("https://api.qogita.com/variants/link/5907609337191/", "View Product")</f>
        <v/>
      </c>
    </row>
    <row r="22322">
      <c r="A22322" t="inlineStr">
        <is>
          <t>5997321772783</t>
        </is>
      </c>
      <c r="B22322" t="inlineStr">
        <is>
          <t>Veet Face Wax Strips For Sensitive Skin 40 Pieces</t>
        </is>
      </c>
      <c r="C22322" t="inlineStr">
        <is>
          <t>Razors &amp; Hair Removal Tools</t>
        </is>
      </c>
      <c r="D22322" t="inlineStr">
        <is>
          <t>Veet</t>
        </is>
      </c>
      <c r="E22322" t="n">
        <v>9.52</v>
      </c>
      <c r="F22322" t="n">
        <v>1</v>
      </c>
      <c r="G22322" t="n">
        <v>17</v>
      </c>
      <c r="H22322" s="5">
        <f>HYPERLINK("https://api.qogita.com/variants/link/5997321772783/", "View Product")</f>
        <v/>
      </c>
    </row>
    <row r="22323">
      <c r="A22323" t="inlineStr">
        <is>
          <t>5998889501112</t>
        </is>
      </c>
      <c r="B22323" t="inlineStr">
        <is>
          <t>Kallos Volume Foam Prestige Extra Strong Hair Styling Foam 300ml</t>
        </is>
      </c>
      <c r="C22323" t="inlineStr">
        <is>
          <t>Mousse</t>
        </is>
      </c>
      <c r="D22323" t="inlineStr">
        <is>
          <t>Kallos</t>
        </is>
      </c>
      <c r="E22323" t="n">
        <v>5.44</v>
      </c>
      <c r="F22323" t="n">
        <v>1</v>
      </c>
      <c r="G22323" t="n">
        <v>11</v>
      </c>
      <c r="H22323" s="5">
        <f>HYPERLINK("https://api.qogita.com/variants/link/5998889501112/", "View Product")</f>
        <v/>
      </c>
    </row>
    <row r="22324">
      <c r="A22324" t="inlineStr">
        <is>
          <t>5998889502096</t>
        </is>
      </c>
      <c r="B22324" t="inlineStr">
        <is>
          <t>Kallos Cosmetics KJMN Nourishing Shampoo</t>
        </is>
      </c>
      <c r="C22324" t="inlineStr">
        <is>
          <t>Shampoo</t>
        </is>
      </c>
      <c r="D22324" t="inlineStr">
        <is>
          <t>Kallos</t>
        </is>
      </c>
      <c r="E22324" t="n">
        <v>3.8</v>
      </c>
      <c r="F22324" t="n">
        <v>1</v>
      </c>
      <c r="G22324" t="n">
        <v>11</v>
      </c>
      <c r="H22324" s="5">
        <f>HYPERLINK("https://api.qogita.com/variants/link/5998889502096/", "View Product")</f>
        <v/>
      </c>
    </row>
    <row r="22325">
      <c r="A22325" t="inlineStr">
        <is>
          <t>5998889502218</t>
        </is>
      </c>
      <c r="B22325" t="inlineStr">
        <is>
          <t>Kallos Cream Shampoo For All Hair Types</t>
        </is>
      </c>
      <c r="C22325" t="inlineStr">
        <is>
          <t>Shampoo</t>
        </is>
      </c>
      <c r="D22325" t="inlineStr">
        <is>
          <t>Kallos</t>
        </is>
      </c>
      <c r="E22325" t="n">
        <v>2.22</v>
      </c>
      <c r="F22325" t="n">
        <v>1</v>
      </c>
      <c r="G22325" t="n">
        <v>10</v>
      </c>
      <c r="H22325" s="5">
        <f>HYPERLINK("https://api.qogita.com/variants/link/5998889502218/", "View Product")</f>
        <v/>
      </c>
    </row>
    <row r="22326">
      <c r="A22326" t="inlineStr">
        <is>
          <t>5998889502881</t>
        </is>
      </c>
      <c r="B22326" t="inlineStr">
        <is>
          <t>Kallos Kjmn Hair Spray Extra Strong Hold With Silk Protein - 500ml</t>
        </is>
      </c>
      <c r="C22326" t="inlineStr">
        <is>
          <t>Hairspray</t>
        </is>
      </c>
      <c r="D22326" t="inlineStr">
        <is>
          <t>Kallos</t>
        </is>
      </c>
      <c r="E22326" t="n">
        <v>3.48</v>
      </c>
      <c r="F22326" t="n">
        <v>1</v>
      </c>
      <c r="G22326" t="n">
        <v>14</v>
      </c>
      <c r="H22326" s="5">
        <f>HYPERLINK("https://api.qogita.com/variants/link/5998889502881/", "View Product")</f>
        <v/>
      </c>
    </row>
    <row r="22327">
      <c r="A22327" t="inlineStr">
        <is>
          <t>5998889503024</t>
        </is>
      </c>
      <c r="B22327" t="inlineStr">
        <is>
          <t>Kallos Nourishing Hair Conditioner 1L</t>
        </is>
      </c>
      <c r="C22327" t="inlineStr">
        <is>
          <t>Conditioner</t>
        </is>
      </c>
      <c r="D22327" t="inlineStr">
        <is>
          <t>Kallos</t>
        </is>
      </c>
      <c r="E22327" t="n">
        <v>3.11</v>
      </c>
      <c r="F22327" t="n">
        <v>1</v>
      </c>
      <c r="G22327" t="n">
        <v>6</v>
      </c>
      <c r="H22327" s="5">
        <f>HYPERLINK("https://api.qogita.com/variants/link/5998889503024/", "View Product")</f>
        <v/>
      </c>
    </row>
    <row r="22328">
      <c r="A22328" t="inlineStr">
        <is>
          <t>5998889509118</t>
        </is>
      </c>
      <c r="B22328" t="inlineStr">
        <is>
          <t>Kallos Profi Eyebrow Henna 1 Black 15ml - Perfect For Enhancing Your Eyebrows</t>
        </is>
      </c>
      <c r="C22328" t="inlineStr">
        <is>
          <t>Eyebrow Dye</t>
        </is>
      </c>
      <c r="D22328" t="inlineStr">
        <is>
          <t>Kallos</t>
        </is>
      </c>
      <c r="E22328" t="n">
        <v>0.9399999999999999</v>
      </c>
      <c r="F22328" t="n">
        <v>1</v>
      </c>
      <c r="G22328" t="n">
        <v>184</v>
      </c>
      <c r="H22328" s="5">
        <f>HYPERLINK("https://api.qogita.com/variants/link/5998889509118/", "View Product")</f>
        <v/>
      </c>
    </row>
    <row r="22329">
      <c r="A22329" t="inlineStr">
        <is>
          <t>5998889510909</t>
        </is>
      </c>
      <c r="B22329" t="inlineStr">
        <is>
          <t>Kallos Cosmetics Lab35 Volume &amp; Gloss Shampoo Er Packx</t>
        </is>
      </c>
      <c r="C22329" t="inlineStr">
        <is>
          <t>Shampoo</t>
        </is>
      </c>
      <c r="D22329" t="inlineStr">
        <is>
          <t>Kallos</t>
        </is>
      </c>
      <c r="E22329" t="n">
        <v>5.68</v>
      </c>
      <c r="F22329" t="n">
        <v>1</v>
      </c>
      <c r="G22329" t="n">
        <v>6</v>
      </c>
      <c r="H22329" s="5">
        <f>HYPERLINK("https://api.qogita.com/variants/link/5998889510909/", "View Product")</f>
        <v/>
      </c>
    </row>
    <row r="22330">
      <c r="A22330" t="inlineStr">
        <is>
          <t>5998889510992</t>
        </is>
      </c>
      <c r="B22330" t="inlineStr">
        <is>
          <t>Kallos Chocolate Full Repair Hair Mask 1000ml For Dry And Brittle Hair</t>
        </is>
      </c>
      <c r="C22330" t="inlineStr">
        <is>
          <t>Hair Masks</t>
        </is>
      </c>
      <c r="D22330" t="inlineStr">
        <is>
          <t>Kallos</t>
        </is>
      </c>
      <c r="E22330" t="n">
        <v>3.57</v>
      </c>
      <c r="F22330" t="n">
        <v>1</v>
      </c>
      <c r="G22330" t="n">
        <v>13</v>
      </c>
      <c r="H22330" s="5">
        <f>HYPERLINK("https://api.qogita.com/variants/link/5998889510992/", "View Product")</f>
        <v/>
      </c>
    </row>
    <row r="22331">
      <c r="A22331" t="inlineStr">
        <is>
          <t>5998889511425</t>
        </is>
      </c>
      <c r="B22331" t="inlineStr">
        <is>
          <t>Kallos Hair Pro-Tox Shampoo With Keratin, Collagen, And Hyaluronic Acid 1000ml</t>
        </is>
      </c>
      <c r="C22331" t="inlineStr">
        <is>
          <t>Shampoo</t>
        </is>
      </c>
      <c r="D22331" t="inlineStr">
        <is>
          <t>Kallos</t>
        </is>
      </c>
      <c r="E22331" t="n">
        <v>2.8</v>
      </c>
      <c r="F22331" t="n">
        <v>1</v>
      </c>
      <c r="G22331" t="n">
        <v>44</v>
      </c>
      <c r="H22331" s="5">
        <f>HYPERLINK("https://api.qogita.com/variants/link/5998889511425/", "View Product")</f>
        <v/>
      </c>
    </row>
    <row r="22332">
      <c r="A22332" t="inlineStr">
        <is>
          <t>5998889511517</t>
        </is>
      </c>
      <c r="B22332" t="inlineStr">
        <is>
          <t>Kallos Blueberry Revitalizing Hair Mask With Blueberry Extract And Avocado Oil - 1000ml</t>
        </is>
      </c>
      <c r="C22332" t="inlineStr">
        <is>
          <t>Hair Masks</t>
        </is>
      </c>
      <c r="D22332" t="inlineStr">
        <is>
          <t>Kallos</t>
        </is>
      </c>
      <c r="E22332" t="n">
        <v>2.81</v>
      </c>
      <c r="F22332" t="n">
        <v>1</v>
      </c>
      <c r="G22332" t="n">
        <v>34</v>
      </c>
      <c r="H22332" s="5">
        <f>HYPERLINK("https://api.qogita.com/variants/link/5998889511517/", "View Product")</f>
        <v/>
      </c>
    </row>
    <row r="22333">
      <c r="A22333" t="inlineStr">
        <is>
          <t>5998889511951</t>
        </is>
      </c>
      <c r="B22333" t="inlineStr">
        <is>
          <t>Kallos Omega Rich Repair Hair Mask With Omega-6 Complex And Macadamia Oil - 275ml</t>
        </is>
      </c>
      <c r="C22333" t="inlineStr">
        <is>
          <t>Hair Masks</t>
        </is>
      </c>
      <c r="D22333" t="inlineStr">
        <is>
          <t>Kallos</t>
        </is>
      </c>
      <c r="E22333" t="n">
        <v>1.83</v>
      </c>
      <c r="F22333" t="n">
        <v>1</v>
      </c>
      <c r="G22333" t="n">
        <v>5</v>
      </c>
      <c r="H22333" s="5">
        <f>HYPERLINK("https://api.qogita.com/variants/link/5998889511951/", "View Product")</f>
        <v/>
      </c>
    </row>
    <row r="22334">
      <c r="A22334" t="inlineStr">
        <is>
          <t>5998889512064</t>
        </is>
      </c>
      <c r="B22334" t="inlineStr">
        <is>
          <t>Kallos Multivitamin Energising Hair Mask With Ginseng Extract - 1000ml</t>
        </is>
      </c>
      <c r="C22334" t="inlineStr">
        <is>
          <t>Hair Masks</t>
        </is>
      </c>
      <c r="D22334" t="inlineStr">
        <is>
          <t>Kallos</t>
        </is>
      </c>
      <c r="E22334" t="n">
        <v>2.8</v>
      </c>
      <c r="F22334" t="n">
        <v>1</v>
      </c>
      <c r="G22334" t="n">
        <v>22</v>
      </c>
      <c r="H22334" s="5">
        <f>HYPERLINK("https://api.qogita.com/variants/link/5998889512064/", "View Product")</f>
        <v/>
      </c>
    </row>
    <row r="22335">
      <c r="A22335" t="inlineStr">
        <is>
          <t>5998889512071</t>
        </is>
      </c>
      <c r="B22335" t="inlineStr">
        <is>
          <t>Kallos Multivitamin Energising Shampoo 1000ml</t>
        </is>
      </c>
      <c r="C22335" t="inlineStr">
        <is>
          <t>Shampoo</t>
        </is>
      </c>
      <c r="D22335" t="inlineStr">
        <is>
          <t>Kallos</t>
        </is>
      </c>
      <c r="E22335" t="n">
        <v>2.88</v>
      </c>
      <c r="F22335" t="n">
        <v>1</v>
      </c>
      <c r="G22335" t="n">
        <v>13</v>
      </c>
      <c r="H22335" s="5">
        <f>HYPERLINK("https://api.qogita.com/variants/link/5998889512071/", "View Product")</f>
        <v/>
      </c>
    </row>
    <row r="22336">
      <c r="A22336" t="inlineStr">
        <is>
          <t>5998889513153</t>
        </is>
      </c>
      <c r="B22336" t="inlineStr">
        <is>
          <t>Nourishing Hair Conditioner</t>
        </is>
      </c>
      <c r="C22336" t="inlineStr">
        <is>
          <t>Conditioner</t>
        </is>
      </c>
      <c r="D22336" t="inlineStr">
        <is>
          <t>Kallos</t>
        </is>
      </c>
      <c r="E22336" t="n">
        <v>2.47</v>
      </c>
      <c r="F22336" t="n">
        <v>1</v>
      </c>
      <c r="G22336" t="n">
        <v>3</v>
      </c>
      <c r="H22336" s="5">
        <f>HYPERLINK("https://api.qogita.com/variants/link/5998889513153/", "View Product")</f>
        <v/>
      </c>
    </row>
    <row r="22337">
      <c r="A22337" t="inlineStr">
        <is>
          <t>5998889514099</t>
        </is>
      </c>
      <c r="B22337" t="inlineStr">
        <is>
          <t>Kallos Biotin Beautifying Hair Mask For Weak And Dull Hair - 1000ml</t>
        </is>
      </c>
      <c r="C22337" t="inlineStr">
        <is>
          <t>Hair Masks</t>
        </is>
      </c>
      <c r="D22337" t="inlineStr">
        <is>
          <t>Kallos</t>
        </is>
      </c>
      <c r="E22337" t="n">
        <v>3.5</v>
      </c>
      <c r="F22337" t="n">
        <v>1</v>
      </c>
      <c r="G22337" t="n">
        <v>8</v>
      </c>
      <c r="H22337" s="5">
        <f>HYPERLINK("https://api.qogita.com/variants/link/5998889514099/", "View Product")</f>
        <v/>
      </c>
    </row>
    <row r="22338">
      <c r="A22338" t="inlineStr">
        <is>
          <t>5998889514587</t>
        </is>
      </c>
      <c r="B22338" t="inlineStr">
        <is>
          <t>Kallos Lemon Balm Deep Cleansing Shampoo - 1000ml</t>
        </is>
      </c>
      <c r="C22338" t="inlineStr">
        <is>
          <t>Shampoo</t>
        </is>
      </c>
      <c r="D22338" t="inlineStr">
        <is>
          <t>Kallos</t>
        </is>
      </c>
      <c r="E22338" t="n">
        <v>3.04</v>
      </c>
      <c r="F22338" t="n">
        <v>1</v>
      </c>
      <c r="G22338" t="n">
        <v>9</v>
      </c>
      <c r="H22338" s="5">
        <f>HYPERLINK("https://api.qogita.com/variants/link/5998889514587/", "View Product")</f>
        <v/>
      </c>
    </row>
    <row r="22339">
      <c r="A22339" t="inlineStr">
        <is>
          <t>5998889515171</t>
        </is>
      </c>
      <c r="B22339" t="inlineStr">
        <is>
          <t>Kallos Botaniq Deep Sea Instant Care Hair Tonic 300ml</t>
        </is>
      </c>
      <c r="C22339" t="inlineStr">
        <is>
          <t>Hair Tonic</t>
        </is>
      </c>
      <c r="D22339" t="inlineStr">
        <is>
          <t>Kallos</t>
        </is>
      </c>
      <c r="E22339" t="n">
        <v>4.81</v>
      </c>
      <c r="F22339" t="n">
        <v>1</v>
      </c>
      <c r="G22339" t="n">
        <v>3</v>
      </c>
      <c r="H22339" s="5">
        <f>HYPERLINK("https://api.qogita.com/variants/link/5998889515171/", "View Product")</f>
        <v/>
      </c>
    </row>
    <row r="22340">
      <c r="A22340" t="inlineStr">
        <is>
          <t>5998889516130</t>
        </is>
      </c>
      <c r="B22340" t="inlineStr">
        <is>
          <t>Kallos Cosmetics for Women</t>
        </is>
      </c>
      <c r="C22340" t="inlineStr">
        <is>
          <t>Hair Care Sets</t>
        </is>
      </c>
      <c r="D22340" t="inlineStr">
        <is>
          <t>Kallos Cosmetics</t>
        </is>
      </c>
      <c r="E22340" t="n">
        <v>1.66</v>
      </c>
      <c r="F22340" t="n">
        <v>1</v>
      </c>
      <c r="G22340" t="n">
        <v>4</v>
      </c>
      <c r="H22340" s="5">
        <f>HYPERLINK("https://api.qogita.com/variants/link/5998889516130/", "View Product")</f>
        <v/>
      </c>
    </row>
    <row r="22341">
      <c r="A22341" t="inlineStr">
        <is>
          <t>5998889516192</t>
        </is>
      </c>
      <c r="B22341" t="inlineStr">
        <is>
          <t>Kallos Kjmn Repairing Hair Mask Honey - 1000ml</t>
        </is>
      </c>
      <c r="C22341" t="inlineStr">
        <is>
          <t>Hair Masks</t>
        </is>
      </c>
      <c r="D22341" t="inlineStr">
        <is>
          <t>Kallos</t>
        </is>
      </c>
      <c r="E22341" t="n">
        <v>3.36</v>
      </c>
      <c r="F22341" t="n">
        <v>1</v>
      </c>
      <c r="G22341" t="n">
        <v>5</v>
      </c>
      <c r="H22341" s="5">
        <f>HYPERLINK("https://api.qogita.com/variants/link/5998889516192/", "View Product")</f>
        <v/>
      </c>
    </row>
    <row r="22342">
      <c r="A22342" t="inlineStr">
        <is>
          <t>5998889517472</t>
        </is>
      </c>
      <c r="B22342" t="inlineStr">
        <is>
          <t>Kallos Hair Protox Cannabis Hair Mask For Damaged Hair</t>
        </is>
      </c>
      <c r="C22342" t="inlineStr">
        <is>
          <t>Hair Masks</t>
        </is>
      </c>
      <c r="D22342" t="inlineStr">
        <is>
          <t>Kallos</t>
        </is>
      </c>
      <c r="E22342" t="n">
        <v>2.19</v>
      </c>
      <c r="F22342" t="n">
        <v>1</v>
      </c>
      <c r="G22342" t="n">
        <v>21</v>
      </c>
      <c r="H22342" s="5">
        <f>HYPERLINK("https://api.qogita.com/variants/link/5998889517472/", "View Product")</f>
        <v/>
      </c>
    </row>
    <row r="22343">
      <c r="A22343" t="inlineStr">
        <is>
          <t>5999556680048</t>
        </is>
      </c>
      <c r="B22343" t="inlineStr">
        <is>
          <t>Omorovicza Deep Cleansing Mask 50ml</t>
        </is>
      </c>
      <c r="C22343" t="inlineStr">
        <is>
          <t>Purifying Mask</t>
        </is>
      </c>
      <c r="D22343" t="inlineStr">
        <is>
          <t>Omorovicza</t>
        </is>
      </c>
      <c r="E22343" t="n">
        <v>79.34999999999999</v>
      </c>
      <c r="F22343" t="n">
        <v>1</v>
      </c>
      <c r="G22343" t="n">
        <v>2</v>
      </c>
      <c r="H22343" s="5">
        <f>HYPERLINK("https://api.qogita.com/variants/link/5999556680048/", "View Product")</f>
        <v/>
      </c>
    </row>
    <row r="22344">
      <c r="A22344" t="inlineStr">
        <is>
          <t>5999556680123</t>
        </is>
      </c>
      <c r="B22344" t="inlineStr">
        <is>
          <t>Omorovicza Balancing Moisturiser 50ml</t>
        </is>
      </c>
      <c r="C22344" t="inlineStr">
        <is>
          <t>Face Cream</t>
        </is>
      </c>
      <c r="D22344" t="inlineStr">
        <is>
          <t>Omorovicza</t>
        </is>
      </c>
      <c r="E22344" t="n">
        <v>110.52</v>
      </c>
      <c r="F22344" t="n">
        <v>1</v>
      </c>
      <c r="G22344" t="n">
        <v>2</v>
      </c>
      <c r="H22344" s="5">
        <f>HYPERLINK("https://api.qogita.com/variants/link/5999556680123/", "View Product")</f>
        <v/>
      </c>
    </row>
    <row r="22345">
      <c r="A22345" t="inlineStr">
        <is>
          <t>6001159124535</t>
        </is>
      </c>
      <c r="B22345" t="inlineStr">
        <is>
          <t>Bioil Natural Skincare Oil Nourishing Oil Against Cellulite And Stretch Marks</t>
        </is>
      </c>
      <c r="C22345" t="inlineStr">
        <is>
          <t>Anti-Cellulite</t>
        </is>
      </c>
      <c r="D22345" t="inlineStr">
        <is>
          <t>Bi-oil</t>
        </is>
      </c>
      <c r="E22345" t="n">
        <v>9.369999999999999</v>
      </c>
      <c r="F22345" t="n">
        <v>1</v>
      </c>
      <c r="G22345" t="n">
        <v>10</v>
      </c>
      <c r="H22345" s="5">
        <f>HYPERLINK("https://api.qogita.com/variants/link/6001159124535/", "View Product")</f>
        <v/>
      </c>
    </row>
    <row r="22346">
      <c r="A22346" t="inlineStr">
        <is>
          <t>6084000008314</t>
        </is>
      </c>
      <c r="B22346" t="inlineStr">
        <is>
          <t>Seychelles De Parfum Lodas Edp 75ml</t>
        </is>
      </c>
      <c r="C22346" t="inlineStr">
        <is>
          <t>Eau De Parfum</t>
        </is>
      </c>
      <c r="D22346" t="inlineStr">
        <is>
          <t>Seychelles</t>
        </is>
      </c>
      <c r="E22346" t="n">
        <v>166</v>
      </c>
      <c r="F22346" t="n">
        <v>1</v>
      </c>
      <c r="G22346" t="n">
        <v>4</v>
      </c>
      <c r="H22346" s="5">
        <f>HYPERLINK("https://api.qogita.com/variants/link/6084000008314/", "View Product")</f>
        <v/>
      </c>
    </row>
    <row r="22347">
      <c r="A22347" t="inlineStr">
        <is>
          <t>6085010041001</t>
        </is>
      </c>
      <c r="B22347" t="inlineStr">
        <is>
          <t>Armaf Italiano Nero Eau De Toilette 100ml For Men</t>
        </is>
      </c>
      <c r="C22347" t="inlineStr">
        <is>
          <t>Eau De Toilette</t>
        </is>
      </c>
      <c r="D22347" t="inlineStr">
        <is>
          <t>Armaf</t>
        </is>
      </c>
      <c r="E22347" t="n">
        <v>14.56</v>
      </c>
      <c r="F22347" t="n">
        <v>1</v>
      </c>
      <c r="G22347" t="n">
        <v>34</v>
      </c>
      <c r="H22347" s="5">
        <f>HYPERLINK("https://api.qogita.com/variants/link/6085010041001/", "View Product")</f>
        <v/>
      </c>
    </row>
    <row r="22348">
      <c r="A22348" t="inlineStr">
        <is>
          <t>6085010041704</t>
        </is>
      </c>
      <c r="B22348" t="inlineStr">
        <is>
          <t>Armaf Blue Homme Deodorant for Men 200ml</t>
        </is>
      </c>
      <c r="C22348" t="inlineStr">
        <is>
          <t>Deodorant &amp; Anti-Perspirant</t>
        </is>
      </c>
      <c r="D22348" t="inlineStr">
        <is>
          <t>Armaf</t>
        </is>
      </c>
      <c r="E22348" t="n">
        <v>8.01</v>
      </c>
      <c r="F22348" t="n">
        <v>1</v>
      </c>
      <c r="G22348" t="n">
        <v>5</v>
      </c>
      <c r="H22348" s="5">
        <f>HYPERLINK("https://api.qogita.com/variants/link/6085010041704/", "View Product")</f>
        <v/>
      </c>
    </row>
    <row r="22349">
      <c r="A22349" t="inlineStr">
        <is>
          <t>6085010092034</t>
        </is>
      </c>
      <c r="B22349" t="inlineStr">
        <is>
          <t>Armaf Vanity Femme Essence Eau De Parfum 100ml Spray</t>
        </is>
      </c>
      <c r="C22349" t="inlineStr">
        <is>
          <t>Eau De Parfum</t>
        </is>
      </c>
      <c r="D22349" t="inlineStr">
        <is>
          <t>Armaf</t>
        </is>
      </c>
      <c r="E22349" t="n">
        <v>13.62</v>
      </c>
      <c r="F22349" t="n">
        <v>1</v>
      </c>
      <c r="G22349" t="n">
        <v>19</v>
      </c>
      <c r="H22349" s="5">
        <f>HYPERLINK("https://api.qogita.com/variants/link/6085010092034/", "View Product")</f>
        <v/>
      </c>
    </row>
    <row r="22350">
      <c r="A22350" t="inlineStr">
        <is>
          <t>6085010092041</t>
        </is>
      </c>
      <c r="B22350" t="inlineStr">
        <is>
          <t>Armaf High Street Eau De Parfum Spray 3.4 Ounce</t>
        </is>
      </c>
      <c r="C22350" t="inlineStr">
        <is>
          <t>Eau De Parfum</t>
        </is>
      </c>
      <c r="D22350" t="inlineStr">
        <is>
          <t>Armaf</t>
        </is>
      </c>
      <c r="E22350" t="n">
        <v>12.56</v>
      </c>
      <c r="F22350" t="n">
        <v>1</v>
      </c>
      <c r="G22350" t="n">
        <v>43</v>
      </c>
      <c r="H22350" s="5">
        <f>HYPERLINK("https://api.qogita.com/variants/link/6085010092041/", "View Product")</f>
        <v/>
      </c>
    </row>
    <row r="22351">
      <c r="A22351" t="inlineStr">
        <is>
          <t>6085010093567</t>
        </is>
      </c>
      <c r="B22351" t="inlineStr">
        <is>
          <t>Armaf Momento Fleur Eau De Parfum Spray for Women 100ml</t>
        </is>
      </c>
      <c r="C22351" t="inlineStr">
        <is>
          <t>Eau De Parfum</t>
        </is>
      </c>
      <c r="D22351" t="inlineStr">
        <is>
          <t>Armaf</t>
        </is>
      </c>
      <c r="E22351" t="n">
        <v>14</v>
      </c>
      <c r="F22351" t="n">
        <v>1</v>
      </c>
      <c r="G22351" t="n">
        <v>23</v>
      </c>
      <c r="H22351" s="5">
        <f>HYPERLINK("https://api.qogita.com/variants/link/6085010093567/", "View Product")</f>
        <v/>
      </c>
    </row>
    <row r="22352">
      <c r="A22352" t="inlineStr">
        <is>
          <t>6085010093734</t>
        </is>
      </c>
      <c r="B22352" t="inlineStr">
        <is>
          <t>ARMAF Excellus For Men Eau De Parfum 100ml</t>
        </is>
      </c>
      <c r="C22352" t="inlineStr">
        <is>
          <t>Eau De Parfum</t>
        </is>
      </c>
      <c r="D22352" t="inlineStr">
        <is>
          <t>Armaf</t>
        </is>
      </c>
      <c r="E22352" t="n">
        <v>17</v>
      </c>
      <c r="F22352" t="n">
        <v>1</v>
      </c>
      <c r="G22352" t="n">
        <v>67</v>
      </c>
      <c r="H22352" s="5">
        <f>HYPERLINK("https://api.qogita.com/variants/link/6085010093734/", "View Product")</f>
        <v/>
      </c>
    </row>
    <row r="22353">
      <c r="A22353" t="inlineStr">
        <is>
          <t>6085010094663</t>
        </is>
      </c>
      <c r="B22353" t="inlineStr">
        <is>
          <t>Tres Nuit Pour Homme by Armaf for Men 3.4 Oz EDT Spray</t>
        </is>
      </c>
      <c r="C22353" t="inlineStr">
        <is>
          <t>Eau De Toilette</t>
        </is>
      </c>
      <c r="D22353" t="inlineStr">
        <is>
          <t>Armaf</t>
        </is>
      </c>
      <c r="E22353" t="n">
        <v>13.28</v>
      </c>
      <c r="F22353" t="n">
        <v>1</v>
      </c>
      <c r="G22353" t="n">
        <v>41</v>
      </c>
      <c r="H22353" s="5">
        <f>HYPERLINK("https://api.qogita.com/variants/link/6085010094663/", "View Product")</f>
        <v/>
      </c>
    </row>
    <row r="22354">
      <c r="A22354" t="inlineStr">
        <is>
          <t>6202213392109</t>
        </is>
      </c>
      <c r="B22354" t="inlineStr">
        <is>
          <t>Emir Paris Corner Smoky Leather Eau De Parfum 100ml</t>
        </is>
      </c>
      <c r="C22354" t="inlineStr">
        <is>
          <t>Eau De Parfum</t>
        </is>
      </c>
      <c r="D22354" t="inlineStr">
        <is>
          <t>Emir</t>
        </is>
      </c>
      <c r="E22354" t="n">
        <v>16.2</v>
      </c>
      <c r="F22354" t="n">
        <v>1</v>
      </c>
      <c r="G22354" t="n">
        <v>29</v>
      </c>
      <c r="H22354" s="5">
        <f>HYPERLINK("https://api.qogita.com/variants/link/6202213392109/", "View Product")</f>
        <v/>
      </c>
    </row>
    <row r="22355">
      <c r="A22355" t="inlineStr">
        <is>
          <t>6202213392116</t>
        </is>
      </c>
      <c r="B22355" t="inlineStr">
        <is>
          <t>Paris Corner Emir A Walk On Dirt Eau De Parfum, 100ml</t>
        </is>
      </c>
      <c r="C22355" t="inlineStr">
        <is>
          <t>Eau De Parfum</t>
        </is>
      </c>
      <c r="D22355" t="inlineStr">
        <is>
          <t>Emir</t>
        </is>
      </c>
      <c r="E22355" t="n">
        <v>13.44</v>
      </c>
      <c r="F22355" t="n">
        <v>1</v>
      </c>
      <c r="G22355" t="n">
        <v>29</v>
      </c>
      <c r="H22355" s="5">
        <f>HYPERLINK("https://api.qogita.com/variants/link/6202213392116/", "View Product")</f>
        <v/>
      </c>
    </row>
    <row r="22356">
      <c r="A22356" t="inlineStr">
        <is>
          <t>6202213392154</t>
        </is>
      </c>
      <c r="B22356" t="inlineStr">
        <is>
          <t>Paris Corner Zaman Al Ula Eau De Parfum 100ml</t>
        </is>
      </c>
      <c r="C22356" t="inlineStr">
        <is>
          <t>Eau De Parfum</t>
        </is>
      </c>
      <c r="D22356" t="inlineStr">
        <is>
          <t>Paris Corner</t>
        </is>
      </c>
      <c r="E22356" t="n">
        <v>20.03</v>
      </c>
      <c r="F22356" t="n">
        <v>1</v>
      </c>
      <c r="G22356" t="n">
        <v>166</v>
      </c>
      <c r="H22356" s="5">
        <f>HYPERLINK("https://api.qogita.com/variants/link/6202213392154/", "View Product")</f>
        <v/>
      </c>
    </row>
    <row r="22357">
      <c r="A22357" t="inlineStr">
        <is>
          <t>6246717622140</t>
        </is>
      </c>
      <c r="B22357" t="inlineStr">
        <is>
          <t>Emir La Serpiente Eau De Parfum 100ml</t>
        </is>
      </c>
      <c r="C22357" t="inlineStr">
        <is>
          <t>Eau De Parfum</t>
        </is>
      </c>
      <c r="D22357" t="inlineStr">
        <is>
          <t>Emir</t>
        </is>
      </c>
      <c r="E22357" t="n">
        <v>16.22</v>
      </c>
      <c r="F22357" t="n">
        <v>1</v>
      </c>
      <c r="G22357" t="n">
        <v>22</v>
      </c>
      <c r="H22357" s="5">
        <f>HYPERLINK("https://api.qogita.com/variants/link/6246717622140/", "View Product")</f>
        <v/>
      </c>
    </row>
    <row r="22358">
      <c r="A22358" t="inlineStr">
        <is>
          <t>6246717622201</t>
        </is>
      </c>
      <c r="B22358" t="inlineStr">
        <is>
          <t>Paris Corner Emir Trillium Eau De Parfum 100ml</t>
        </is>
      </c>
      <c r="C22358" t="inlineStr">
        <is>
          <t>Eau De Parfum</t>
        </is>
      </c>
      <c r="D22358" t="inlineStr">
        <is>
          <t>Paris Corner</t>
        </is>
      </c>
      <c r="E22358" t="n">
        <v>20.34</v>
      </c>
      <c r="F22358" t="n">
        <v>1</v>
      </c>
      <c r="G22358" t="n">
        <v>29</v>
      </c>
      <c r="H22358" s="5">
        <f>HYPERLINK("https://api.qogita.com/variants/link/6246717622201/", "View Product")</f>
        <v/>
      </c>
    </row>
    <row r="22359">
      <c r="A22359" t="inlineStr">
        <is>
          <t>6246717622232</t>
        </is>
      </c>
      <c r="B22359" t="inlineStr">
        <is>
          <t>Paris Corner Lueur D'Espoir Ambre - Eau De Parfum</t>
        </is>
      </c>
      <c r="C22359" t="inlineStr">
        <is>
          <t>Eau De Parfum</t>
        </is>
      </c>
      <c r="D22359" t="inlineStr">
        <is>
          <t>Paris Corner</t>
        </is>
      </c>
      <c r="E22359" t="n">
        <v>17.24</v>
      </c>
      <c r="F22359" t="n">
        <v>1</v>
      </c>
      <c r="G22359" t="n">
        <v>57</v>
      </c>
      <c r="H22359" s="5">
        <f>HYPERLINK("https://api.qogita.com/variants/link/6246717622232/", "View Product")</f>
        <v/>
      </c>
    </row>
    <row r="22360">
      <c r="A22360" t="inlineStr">
        <is>
          <t>6246717622256</t>
        </is>
      </c>
      <c r="B22360" t="inlineStr">
        <is>
          <t>Paris Corner Tawaaq Eau De Parfum Spray 100ml</t>
        </is>
      </c>
      <c r="C22360" t="inlineStr">
        <is>
          <t>Eau De Parfum</t>
        </is>
      </c>
      <c r="D22360" t="inlineStr">
        <is>
          <t>Paris Corner</t>
        </is>
      </c>
      <c r="E22360" t="n">
        <v>17.21</v>
      </c>
      <c r="F22360" t="n">
        <v>1</v>
      </c>
      <c r="G22360" t="n">
        <v>3</v>
      </c>
      <c r="H22360" s="5">
        <f>HYPERLINK("https://api.qogita.com/variants/link/6246717622256/", "View Product")</f>
        <v/>
      </c>
    </row>
    <row r="22361">
      <c r="A22361" t="inlineStr">
        <is>
          <t>6255956522401</t>
        </is>
      </c>
      <c r="B22361" t="inlineStr">
        <is>
          <t>North Stag Paris Corner Huit Viii Extrait De Parfum 100ml</t>
        </is>
      </c>
      <c r="C22361" t="inlineStr">
        <is>
          <t>Extrait De Parfum</t>
        </is>
      </c>
      <c r="D22361" t="inlineStr">
        <is>
          <t>North Stag</t>
        </is>
      </c>
      <c r="E22361" t="n">
        <v>24.42</v>
      </c>
      <c r="F22361" t="n">
        <v>1</v>
      </c>
      <c r="G22361" t="n">
        <v>12</v>
      </c>
      <c r="H22361" s="5">
        <f>HYPERLINK("https://api.qogita.com/variants/link/6255956522401/", "View Product")</f>
        <v/>
      </c>
    </row>
    <row r="22362">
      <c r="A22362" t="inlineStr">
        <is>
          <t>6281031248720</t>
        </is>
      </c>
      <c r="B22362" t="inlineStr">
        <is>
          <t>Syoss Oleo Care Shampoo</t>
        </is>
      </c>
      <c r="C22362" t="inlineStr">
        <is>
          <t>Shampoo</t>
        </is>
      </c>
      <c r="D22362" t="inlineStr">
        <is>
          <t>Syoss</t>
        </is>
      </c>
      <c r="E22362" t="n">
        <v>3.3</v>
      </c>
      <c r="F22362" t="n">
        <v>1</v>
      </c>
      <c r="G22362" t="n">
        <v>10</v>
      </c>
      <c r="H22362" s="5">
        <f>HYPERLINK("https://api.qogita.com/variants/link/6281031248720/", "View Product")</f>
        <v/>
      </c>
    </row>
    <row r="22363">
      <c r="A22363" t="inlineStr">
        <is>
          <t>6281031266267</t>
        </is>
      </c>
      <c r="B22363" t="inlineStr">
        <is>
          <t>Syoss Curl Me Shampoo 500 ml - For Defined Curls</t>
        </is>
      </c>
      <c r="C22363" t="inlineStr">
        <is>
          <t>Shampoo</t>
        </is>
      </c>
      <c r="D22363" t="inlineStr">
        <is>
          <t>Syoss</t>
        </is>
      </c>
      <c r="E22363" t="n">
        <v>3.3</v>
      </c>
      <c r="F22363" t="n">
        <v>1</v>
      </c>
      <c r="G22363" t="n">
        <v>43</v>
      </c>
      <c r="H22363" s="5">
        <f>HYPERLINK("https://api.qogita.com/variants/link/6281031266267/", "View Product")</f>
        <v/>
      </c>
    </row>
    <row r="22364">
      <c r="A22364" t="inlineStr">
        <is>
          <t>6290000098853</t>
        </is>
      </c>
      <c r="B22364" t="inlineStr">
        <is>
          <t>Paris Corner Rua Extrait De Parfum 100ml</t>
        </is>
      </c>
      <c r="C22364" t="inlineStr">
        <is>
          <t>Extrait De Parfum</t>
        </is>
      </c>
      <c r="D22364" t="inlineStr">
        <is>
          <t>Paris Corner</t>
        </is>
      </c>
      <c r="E22364" t="n">
        <v>16.57</v>
      </c>
      <c r="F22364" t="n">
        <v>1</v>
      </c>
      <c r="G22364" t="n">
        <v>82</v>
      </c>
      <c r="H22364" s="5">
        <f>HYPERLINK("https://api.qogita.com/variants/link/6290000098853/", "View Product")</f>
        <v/>
      </c>
    </row>
    <row r="22365">
      <c r="A22365" t="inlineStr">
        <is>
          <t>6290021555458</t>
        </is>
      </c>
      <c r="B22365" t="inlineStr">
        <is>
          <t>Paris Corner December Vanilla Eau De Parfum 100ml</t>
        </is>
      </c>
      <c r="C22365" t="inlineStr">
        <is>
          <t>Eau De Parfum</t>
        </is>
      </c>
      <c r="D22365" t="inlineStr">
        <is>
          <t>Paris Corner</t>
        </is>
      </c>
      <c r="E22365" t="n">
        <v>14.53</v>
      </c>
      <c r="F22365" t="n">
        <v>1</v>
      </c>
      <c r="G22365" t="n">
        <v>193</v>
      </c>
      <c r="H22365" s="5">
        <f>HYPERLINK("https://api.qogita.com/variants/link/6290021555458/", "View Product")</f>
        <v/>
      </c>
    </row>
    <row r="22366">
      <c r="A22366" t="inlineStr">
        <is>
          <t>6290065558415</t>
        </is>
      </c>
      <c r="B22366" t="inlineStr">
        <is>
          <t>Paris Corner Eternal Meadows Eau De Parfum 85ml</t>
        </is>
      </c>
      <c r="C22366" t="inlineStr">
        <is>
          <t>Eau De Parfum</t>
        </is>
      </c>
      <c r="D22366" t="inlineStr">
        <is>
          <t>Paris Corner</t>
        </is>
      </c>
      <c r="E22366" t="n">
        <v>10.4</v>
      </c>
      <c r="F22366" t="n">
        <v>1</v>
      </c>
      <c r="G22366" t="n">
        <v>51</v>
      </c>
      <c r="H22366" s="5">
        <f>HYPERLINK("https://api.qogita.com/variants/link/6290065558415/", "View Product")</f>
        <v/>
      </c>
    </row>
    <row r="22367">
      <c r="A22367" t="inlineStr">
        <is>
          <t>6290102027126</t>
        </is>
      </c>
      <c r="B22367" t="inlineStr">
        <is>
          <t>Attar Collection Fleur De Santal Eau De Parfum Spray 100ml</t>
        </is>
      </c>
      <c r="C22367" t="inlineStr">
        <is>
          <t>Eau De Parfum</t>
        </is>
      </c>
      <c r="D22367" t="inlineStr">
        <is>
          <t>Attar Collection</t>
        </is>
      </c>
      <c r="E22367" t="n">
        <v>74.56</v>
      </c>
      <c r="F22367" t="n">
        <v>1</v>
      </c>
      <c r="G22367" t="n">
        <v>20</v>
      </c>
      <c r="H22367" s="5">
        <f>HYPERLINK("https://api.qogita.com/variants/link/6290102027126/", "View Product")</f>
        <v/>
      </c>
    </row>
    <row r="22368">
      <c r="A22368" t="inlineStr">
        <is>
          <t>6290171001614</t>
        </is>
      </c>
      <c r="B22368" t="inlineStr">
        <is>
          <t>Afnan Supremacy Noir Eau De Parfum Spray 100ml</t>
        </is>
      </c>
      <c r="C22368" t="inlineStr">
        <is>
          <t>Eau De Parfum</t>
        </is>
      </c>
      <c r="D22368" t="inlineStr">
        <is>
          <t>Afnan</t>
        </is>
      </c>
      <c r="E22368" t="n">
        <v>20.95</v>
      </c>
      <c r="F22368" t="n">
        <v>1</v>
      </c>
      <c r="G22368" t="n">
        <v>14</v>
      </c>
      <c r="H22368" s="5">
        <f>HYPERLINK("https://api.qogita.com/variants/link/6290171001614/", "View Product")</f>
        <v/>
      </c>
    </row>
    <row r="22369">
      <c r="A22369" t="inlineStr">
        <is>
          <t>6290171002048</t>
        </is>
      </c>
      <c r="B22369" t="inlineStr">
        <is>
          <t>Afnan Supremacy Pink Eau De Parfum for Women 3.4 Fl Oz</t>
        </is>
      </c>
      <c r="C22369" t="inlineStr">
        <is>
          <t>Eau De Parfum</t>
        </is>
      </c>
      <c r="D22369" t="inlineStr">
        <is>
          <t>Afnan</t>
        </is>
      </c>
      <c r="E22369" t="n">
        <v>20.65</v>
      </c>
      <c r="F22369" t="n">
        <v>1</v>
      </c>
      <c r="G22369" t="n">
        <v>45</v>
      </c>
      <c r="H22369" s="5">
        <f>HYPERLINK("https://api.qogita.com/variants/link/6290171002048/", "View Product")</f>
        <v/>
      </c>
    </row>
    <row r="22370">
      <c r="A22370" t="inlineStr">
        <is>
          <t>6290171002109</t>
        </is>
      </c>
      <c r="B22370" t="inlineStr">
        <is>
          <t>Afnan Tribute Blue Eau De Parfum Spray 100ml</t>
        </is>
      </c>
      <c r="C22370" t="inlineStr">
        <is>
          <t>Eau De Parfum</t>
        </is>
      </c>
      <c r="D22370" t="inlineStr">
        <is>
          <t>Afnan</t>
        </is>
      </c>
      <c r="E22370" t="n">
        <v>33.73</v>
      </c>
      <c r="F22370" t="n">
        <v>1</v>
      </c>
      <c r="G22370" t="n">
        <v>78</v>
      </c>
      <c r="H22370" s="5">
        <f>HYPERLINK("https://api.qogita.com/variants/link/6290171002109/", "View Product")</f>
        <v/>
      </c>
    </row>
    <row r="22371">
      <c r="A22371" t="inlineStr">
        <is>
          <t>6290171002215</t>
        </is>
      </c>
      <c r="B22371" t="inlineStr">
        <is>
          <t>Afnan Highness V Black Eau De Parfum 100ml Unisex Spray</t>
        </is>
      </c>
      <c r="C22371" t="inlineStr">
        <is>
          <t>Eau De Parfum</t>
        </is>
      </c>
      <c r="D22371" t="inlineStr">
        <is>
          <t>Afnan</t>
        </is>
      </c>
      <c r="E22371" t="n">
        <v>53.32</v>
      </c>
      <c r="F22371" t="n">
        <v>1</v>
      </c>
      <c r="G22371" t="n">
        <v>37</v>
      </c>
      <c r="H22371" s="5">
        <f>HYPERLINK("https://api.qogita.com/variants/link/6290171002215/", "View Product")</f>
        <v/>
      </c>
    </row>
    <row r="22372">
      <c r="A22372" t="inlineStr">
        <is>
          <t>6290171002239</t>
        </is>
      </c>
      <c r="B22372" t="inlineStr">
        <is>
          <t>Afnan Highness Iv Red Eau De Parfum 100ml Unisex Spray</t>
        </is>
      </c>
      <c r="C22372" t="inlineStr">
        <is>
          <t>Eau De Parfum</t>
        </is>
      </c>
      <c r="D22372" t="inlineStr">
        <is>
          <t>Afnan</t>
        </is>
      </c>
      <c r="E22372" t="n">
        <v>58.03</v>
      </c>
      <c r="F22372" t="n">
        <v>1</v>
      </c>
      <c r="G22372" t="n">
        <v>15</v>
      </c>
      <c r="H22372" s="5">
        <f>HYPERLINK("https://api.qogita.com/variants/link/6290171002239/", "View Product")</f>
        <v/>
      </c>
    </row>
    <row r="22373">
      <c r="A22373" t="inlineStr">
        <is>
          <t>6290171010173</t>
        </is>
      </c>
      <c r="B22373" t="inlineStr">
        <is>
          <t>Rue Broca Oh Tiara Amethyst Eau De Parfum Spray 100ml</t>
        </is>
      </c>
      <c r="C22373" t="inlineStr">
        <is>
          <t>Eau De Parfum</t>
        </is>
      </c>
      <c r="D22373" t="inlineStr">
        <is>
          <t>Rue Broca</t>
        </is>
      </c>
      <c r="E22373" t="n">
        <v>13.51</v>
      </c>
      <c r="F22373" t="n">
        <v>1</v>
      </c>
      <c r="G22373" t="n">
        <v>11</v>
      </c>
      <c r="H22373" s="5">
        <f>HYPERLINK("https://api.qogita.com/variants/link/6290171010173/", "View Product")</f>
        <v/>
      </c>
    </row>
    <row r="22374">
      <c r="A22374" t="inlineStr">
        <is>
          <t>6290171070153</t>
        </is>
      </c>
      <c r="B22374" t="inlineStr">
        <is>
          <t>Afnan Highness VI Blue for Men Eau De Parfum Spray 3.4 Ounce</t>
        </is>
      </c>
      <c r="C22374" t="inlineStr">
        <is>
          <t>Eau De Parfum</t>
        </is>
      </c>
      <c r="D22374" t="inlineStr">
        <is>
          <t>Afnan</t>
        </is>
      </c>
      <c r="E22374" t="n">
        <v>58.76</v>
      </c>
      <c r="F22374" t="n">
        <v>1</v>
      </c>
      <c r="G22374" t="n">
        <v>15</v>
      </c>
      <c r="H22374" s="5">
        <f>HYPERLINK("https://api.qogita.com/variants/link/6290171070153/", "View Product")</f>
        <v/>
      </c>
    </row>
    <row r="22375">
      <c r="A22375" t="inlineStr">
        <is>
          <t>6290171070184</t>
        </is>
      </c>
      <c r="B22375" t="inlineStr">
        <is>
          <t>Afnan La Fleur Bouquet Eau De Parfum Spray 80ml</t>
        </is>
      </c>
      <c r="C22375" t="inlineStr">
        <is>
          <t>Eau De Parfum</t>
        </is>
      </c>
      <c r="D22375" t="inlineStr">
        <is>
          <t>Afnan</t>
        </is>
      </c>
      <c r="E22375" t="n">
        <v>24.5</v>
      </c>
      <c r="F22375" t="n">
        <v>1</v>
      </c>
      <c r="G22375" t="n">
        <v>118</v>
      </c>
      <c r="H22375" s="5">
        <f>HYPERLINK("https://api.qogita.com/variants/link/6290171070184/", "View Product")</f>
        <v/>
      </c>
    </row>
    <row r="22376">
      <c r="A22376" t="inlineStr">
        <is>
          <t>6290171070375</t>
        </is>
      </c>
      <c r="B22376" t="inlineStr">
        <is>
          <t>Afnan Ornament Purple Allure Eau De Parfum Spray 100ml</t>
        </is>
      </c>
      <c r="C22376" t="inlineStr">
        <is>
          <t>Eau De Parfum</t>
        </is>
      </c>
      <c r="D22376" t="inlineStr">
        <is>
          <t>Afnan</t>
        </is>
      </c>
      <c r="E22376" t="n">
        <v>20.37</v>
      </c>
      <c r="F22376" t="n">
        <v>1</v>
      </c>
      <c r="G22376" t="n">
        <v>32</v>
      </c>
      <c r="H22376" s="5">
        <f>HYPERLINK("https://api.qogita.com/variants/link/6290171070375/", "View Product")</f>
        <v/>
      </c>
    </row>
    <row r="22377">
      <c r="A22377" t="inlineStr">
        <is>
          <t>6290171070573</t>
        </is>
      </c>
      <c r="B22377" t="inlineStr">
        <is>
          <t>Turathi Purple Perfumed Water Spray 90ml</t>
        </is>
      </c>
      <c r="C22377" t="inlineStr">
        <is>
          <t>Eau De Parfum</t>
        </is>
      </c>
      <c r="D22377" t="inlineStr">
        <is>
          <t>Turathi</t>
        </is>
      </c>
      <c r="E22377" t="n">
        <v>22.25</v>
      </c>
      <c r="F22377" t="n">
        <v>1</v>
      </c>
      <c r="G22377" t="n">
        <v>18</v>
      </c>
      <c r="H22377" s="5">
        <f>HYPERLINK("https://api.qogita.com/variants/link/6290171070573/", "View Product")</f>
        <v/>
      </c>
    </row>
    <row r="22378">
      <c r="A22378" t="inlineStr">
        <is>
          <t>6290171070832</t>
        </is>
      </c>
      <c r="B22378" t="inlineStr">
        <is>
          <t>Afnan Pink Rose Room And Fabric Mist Spray 300ml</t>
        </is>
      </c>
      <c r="C22378" t="inlineStr">
        <is>
          <t>Diffusers</t>
        </is>
      </c>
      <c r="D22378" t="inlineStr">
        <is>
          <t>Afnan</t>
        </is>
      </c>
      <c r="E22378" t="n">
        <v>7.06</v>
      </c>
      <c r="F22378" t="n">
        <v>1</v>
      </c>
      <c r="G22378" t="n">
        <v>118</v>
      </c>
      <c r="H22378" s="5">
        <f>HYPERLINK("https://api.qogita.com/variants/link/6290171070832/", "View Product")</f>
        <v/>
      </c>
    </row>
    <row r="22379">
      <c r="A22379" t="inlineStr">
        <is>
          <t>6290171071020</t>
        </is>
      </c>
      <c r="B22379" t="inlineStr">
        <is>
          <t>Rabab Gems Purple Eau de Parfum 100ml Original By Afnan Zimaya Perfumes</t>
        </is>
      </c>
      <c r="C22379" t="inlineStr">
        <is>
          <t>Eau De Parfum</t>
        </is>
      </c>
      <c r="D22379" t="inlineStr">
        <is>
          <t>Afnan</t>
        </is>
      </c>
      <c r="E22379" t="n">
        <v>12.05</v>
      </c>
      <c r="F22379" t="n">
        <v>1</v>
      </c>
      <c r="G22379" t="n">
        <v>97</v>
      </c>
      <c r="H22379" s="5">
        <f>HYPERLINK("https://api.qogita.com/variants/link/6290171071020/", "View Product")</f>
        <v/>
      </c>
    </row>
    <row r="22380">
      <c r="A22380" t="inlineStr">
        <is>
          <t>6290171071068</t>
        </is>
      </c>
      <c r="B22380" t="inlineStr">
        <is>
          <t>Zimaya Fatima Velvet Love Extrait De Parfum Spray 100ml</t>
        </is>
      </c>
      <c r="C22380" t="inlineStr">
        <is>
          <t>Extrait De Parfum</t>
        </is>
      </c>
      <c r="D22380" t="inlineStr">
        <is>
          <t>Zimaya</t>
        </is>
      </c>
      <c r="E22380" t="n">
        <v>13.06</v>
      </c>
      <c r="F22380" t="n">
        <v>1</v>
      </c>
      <c r="G22380" t="n">
        <v>11</v>
      </c>
      <c r="H22380" s="5">
        <f>HYPERLINK("https://api.qogita.com/variants/link/6290171071068/", "View Product")</f>
        <v/>
      </c>
    </row>
    <row r="22381">
      <c r="A22381" t="inlineStr">
        <is>
          <t>6290171071143</t>
        </is>
      </c>
      <c r="B22381" t="inlineStr">
        <is>
          <t>Afnan Historic Olmeda Eau De Parfum 100ml Unisex Spray</t>
        </is>
      </c>
      <c r="C22381" t="inlineStr">
        <is>
          <t>Eau De Parfum</t>
        </is>
      </c>
      <c r="D22381" t="inlineStr">
        <is>
          <t>Afnan</t>
        </is>
      </c>
      <c r="E22381" t="n">
        <v>26.3</v>
      </c>
      <c r="F22381" t="n">
        <v>1</v>
      </c>
      <c r="G22381" t="n">
        <v>4</v>
      </c>
      <c r="H22381" s="5">
        <f>HYPERLINK("https://api.qogita.com/variants/link/6290171071143/", "View Product")</f>
        <v/>
      </c>
    </row>
    <row r="22382">
      <c r="A22382" t="inlineStr">
        <is>
          <t>6290171071525</t>
        </is>
      </c>
      <c r="B22382" t="inlineStr">
        <is>
          <t>Afnan Patchouli On Fire Eau De Parfum Spray 80ml</t>
        </is>
      </c>
      <c r="C22382" t="inlineStr">
        <is>
          <t>Eau De Parfum</t>
        </is>
      </c>
      <c r="D22382" t="inlineStr">
        <is>
          <t>Afnan</t>
        </is>
      </c>
      <c r="E22382" t="n">
        <v>25.76</v>
      </c>
      <c r="F22382" t="n">
        <v>1</v>
      </c>
      <c r="G22382" t="n">
        <v>8</v>
      </c>
      <c r="H22382" s="5">
        <f>HYPERLINK("https://api.qogita.com/variants/link/6290171071525/", "View Product")</f>
        <v/>
      </c>
    </row>
    <row r="22383">
      <c r="A22383" t="inlineStr">
        <is>
          <t>6290171071938</t>
        </is>
      </c>
      <c r="B22383" t="inlineStr">
        <is>
          <t>Afnan Edict Ouddiction Extrait de Parfum Spray Unisex 2.7oz 80ml</t>
        </is>
      </c>
      <c r="C22383" t="inlineStr">
        <is>
          <t>Extrait De Parfum</t>
        </is>
      </c>
      <c r="D22383" t="inlineStr">
        <is>
          <t>Afnan</t>
        </is>
      </c>
      <c r="E22383" t="n">
        <v>40.69</v>
      </c>
      <c r="F22383" t="n">
        <v>1</v>
      </c>
      <c r="G22383" t="n">
        <v>2</v>
      </c>
      <c r="H22383" s="5">
        <f>HYPERLINK("https://api.qogita.com/variants/link/6290171071938/", "View Product")</f>
        <v/>
      </c>
    </row>
    <row r="22384">
      <c r="A22384" t="inlineStr">
        <is>
          <t>6290171072003</t>
        </is>
      </c>
      <c r="B22384" t="inlineStr">
        <is>
          <t>Rawaan by Zimaya Afnan 100ml Spray E.D.P Unisex 3.4 Ounces New UAE Perfume</t>
        </is>
      </c>
      <c r="C22384" t="inlineStr">
        <is>
          <t>Eau De Parfum</t>
        </is>
      </c>
      <c r="D22384" t="inlineStr">
        <is>
          <t>Zimaya</t>
        </is>
      </c>
      <c r="E22384" t="n">
        <v>11.92</v>
      </c>
      <c r="F22384" t="n">
        <v>1</v>
      </c>
      <c r="G22384" t="n">
        <v>30</v>
      </c>
      <c r="H22384" s="5">
        <f>HYPERLINK("https://api.qogita.com/variants/link/6290171072003/", "View Product")</f>
        <v/>
      </c>
    </row>
    <row r="22385">
      <c r="A22385" t="inlineStr">
        <is>
          <t>6290171072027</t>
        </is>
      </c>
      <c r="B22385" t="inlineStr">
        <is>
          <t>Zimaya Ilham Al Oud Eau De Parfum 100ml Unisex Spray</t>
        </is>
      </c>
      <c r="C22385" t="inlineStr">
        <is>
          <t>Eau De Parfum</t>
        </is>
      </c>
      <c r="D22385" t="inlineStr">
        <is>
          <t>Zimaya</t>
        </is>
      </c>
      <c r="E22385" t="n">
        <v>9.1</v>
      </c>
      <c r="F22385" t="n">
        <v>1</v>
      </c>
      <c r="G22385" t="n">
        <v>66</v>
      </c>
      <c r="H22385" s="5">
        <f>HYPERLINK("https://api.qogita.com/variants/link/6290171072027/", "View Product")</f>
        <v/>
      </c>
    </row>
    <row r="22386">
      <c r="A22386" t="inlineStr">
        <is>
          <t>6290171072188</t>
        </is>
      </c>
      <c r="B22386" t="inlineStr">
        <is>
          <t>Zimaya Crysta Oud Eau De Parfum Spray 100ml</t>
        </is>
      </c>
      <c r="C22386" t="inlineStr">
        <is>
          <t>Eau De Parfum</t>
        </is>
      </c>
      <c r="D22386" t="inlineStr">
        <is>
          <t>Zimaya</t>
        </is>
      </c>
      <c r="E22386" t="n">
        <v>17.85</v>
      </c>
      <c r="F22386" t="n">
        <v>1</v>
      </c>
      <c r="G22386" t="n">
        <v>37</v>
      </c>
      <c r="H22386" s="5">
        <f>HYPERLINK("https://api.qogita.com/variants/link/6290171072188/", "View Product")</f>
        <v/>
      </c>
    </row>
    <row r="22387">
      <c r="A22387" t="inlineStr">
        <is>
          <t>6290171072218</t>
        </is>
      </c>
      <c r="B22387" t="inlineStr">
        <is>
          <t>Zimaya Happy Oud Extrait De Parfum Spray 100ml</t>
        </is>
      </c>
      <c r="C22387" t="inlineStr">
        <is>
          <t>Extrait De Parfum</t>
        </is>
      </c>
      <c r="D22387" t="inlineStr">
        <is>
          <t>Zimaya</t>
        </is>
      </c>
      <c r="E22387" t="n">
        <v>13.18</v>
      </c>
      <c r="F22387" t="n">
        <v>1</v>
      </c>
      <c r="G22387" t="n">
        <v>5</v>
      </c>
      <c r="H22387" s="5">
        <f>HYPERLINK("https://api.qogita.com/variants/link/6290171072218/", "View Product")</f>
        <v/>
      </c>
    </row>
    <row r="22388">
      <c r="A22388" t="inlineStr">
        <is>
          <t>6290171072737</t>
        </is>
      </c>
      <c r="B22388" t="inlineStr">
        <is>
          <t>Rue Broca Hooked Pour Homme Eau De Parfum for Men 100ml</t>
        </is>
      </c>
      <c r="C22388" t="inlineStr">
        <is>
          <t>Eau De Parfum</t>
        </is>
      </c>
      <c r="D22388" t="inlineStr">
        <is>
          <t>Rue Broca</t>
        </is>
      </c>
      <c r="E22388" t="n">
        <v>14.93</v>
      </c>
      <c r="F22388" t="n">
        <v>1</v>
      </c>
      <c r="G22388" t="n">
        <v>9</v>
      </c>
      <c r="H22388" s="5">
        <f>HYPERLINK("https://api.qogita.com/variants/link/6290171072737/", "View Product")</f>
        <v/>
      </c>
    </row>
    <row r="22389">
      <c r="A22389" t="inlineStr">
        <is>
          <t>6290171072744</t>
        </is>
      </c>
      <c r="B22389" t="inlineStr">
        <is>
          <t>Afnan Hooked Femme Eau De Parfum 100ml</t>
        </is>
      </c>
      <c r="C22389" t="inlineStr">
        <is>
          <t>Eau De Parfum</t>
        </is>
      </c>
      <c r="D22389" t="inlineStr">
        <is>
          <t>Afnan</t>
        </is>
      </c>
      <c r="E22389" t="n">
        <v>11.32</v>
      </c>
      <c r="F22389" t="n">
        <v>1</v>
      </c>
      <c r="G22389" t="n">
        <v>16</v>
      </c>
      <c r="H22389" s="5">
        <f>HYPERLINK("https://api.qogita.com/variants/link/6290171072744/", "View Product")</f>
        <v/>
      </c>
    </row>
    <row r="22390">
      <c r="A22390" t="inlineStr">
        <is>
          <t>6290171072751</t>
        </is>
      </c>
      <c r="B22390" t="inlineStr">
        <is>
          <t>Afnan Supremacy Silver Eau De Parfum Spray 150ml</t>
        </is>
      </c>
      <c r="C22390" t="inlineStr">
        <is>
          <t>Eau De Parfum</t>
        </is>
      </c>
      <c r="D22390" t="inlineStr">
        <is>
          <t>Afnan</t>
        </is>
      </c>
      <c r="E22390" t="n">
        <v>27.59</v>
      </c>
      <c r="F22390" t="n">
        <v>1</v>
      </c>
      <c r="G22390" t="n">
        <v>193</v>
      </c>
      <c r="H22390" s="5">
        <f>HYPERLINK("https://api.qogita.com/variants/link/6290171072751/", "View Product")</f>
        <v/>
      </c>
    </row>
    <row r="22391">
      <c r="A22391" t="inlineStr">
        <is>
          <t>6290171072843</t>
        </is>
      </c>
      <c r="B22391" t="inlineStr">
        <is>
          <t>Zimaya Black Symphony Eau De Parfum 100ml</t>
        </is>
      </c>
      <c r="C22391" t="inlineStr">
        <is>
          <t>Eau De Parfum</t>
        </is>
      </c>
      <c r="D22391" t="inlineStr">
        <is>
          <t>Zimaya</t>
        </is>
      </c>
      <c r="E22391" t="n">
        <v>10.96</v>
      </c>
      <c r="F22391" t="n">
        <v>1</v>
      </c>
      <c r="G22391" t="n">
        <v>59</v>
      </c>
      <c r="H22391" s="5">
        <f>HYPERLINK("https://api.qogita.com/variants/link/6290171072843/", "View Product")</f>
        <v/>
      </c>
    </row>
    <row r="22392">
      <c r="A22392" t="inlineStr">
        <is>
          <t>6290171072874</t>
        </is>
      </c>
      <c r="B22392" t="inlineStr">
        <is>
          <t>Zimaya Night Shadow Eau De Parfum 100ml For Men</t>
        </is>
      </c>
      <c r="C22392" t="inlineStr">
        <is>
          <t>Eau De Parfum</t>
        </is>
      </c>
      <c r="D22392" t="inlineStr">
        <is>
          <t>Afnan</t>
        </is>
      </c>
      <c r="E22392" t="n">
        <v>11.38</v>
      </c>
      <c r="F22392" t="n">
        <v>1</v>
      </c>
      <c r="G22392" t="n">
        <v>278</v>
      </c>
      <c r="H22392" s="5">
        <f>HYPERLINK("https://api.qogita.com/variants/link/6290171072874/", "View Product")</f>
        <v/>
      </c>
    </row>
    <row r="22393">
      <c r="A22393" t="inlineStr">
        <is>
          <t>6290171072904</t>
        </is>
      </c>
      <c r="B22393" t="inlineStr">
        <is>
          <t>Zimaya Grandeur Eau De Parfum 100ml</t>
        </is>
      </c>
      <c r="C22393" t="inlineStr">
        <is>
          <t>Eau De Parfum</t>
        </is>
      </c>
      <c r="D22393" t="inlineStr">
        <is>
          <t>Zimaya</t>
        </is>
      </c>
      <c r="E22393" t="n">
        <v>11.99</v>
      </c>
      <c r="F22393" t="n">
        <v>1</v>
      </c>
      <c r="G22393" t="n">
        <v>15</v>
      </c>
      <c r="H22393" s="5">
        <f>HYPERLINK("https://api.qogita.com/variants/link/6290171072904/", "View Product")</f>
        <v/>
      </c>
    </row>
    <row r="22394">
      <c r="A22394" t="inlineStr">
        <is>
          <t>6290171073000</t>
        </is>
      </c>
      <c r="B22394" t="inlineStr">
        <is>
          <t>Afnan Supremacy Purple EDP 100ml Shower Gel 100ml Body Lotion 100ml</t>
        </is>
      </c>
      <c r="C22394" t="inlineStr">
        <is>
          <t>Body Care Sets</t>
        </is>
      </c>
      <c r="D22394" t="inlineStr">
        <is>
          <t>Afnan</t>
        </is>
      </c>
      <c r="E22394" t="n">
        <v>26.11</v>
      </c>
      <c r="F22394" t="n">
        <v>1</v>
      </c>
      <c r="G22394" t="n">
        <v>31</v>
      </c>
      <c r="H22394" s="5">
        <f>HYPERLINK("https://api.qogita.com/variants/link/6290171073000/", "View Product")</f>
        <v/>
      </c>
    </row>
    <row r="22395">
      <c r="A22395" t="inlineStr">
        <is>
          <t>6290171073208</t>
        </is>
      </c>
      <c r="B22395" t="inlineStr">
        <is>
          <t>Afnan Ladies Souvenir Floral Bouquet Gift Set Fragrances</t>
        </is>
      </c>
      <c r="C22395" t="inlineStr">
        <is>
          <t>Fragrance Sets</t>
        </is>
      </c>
      <c r="D22395" t="inlineStr">
        <is>
          <t>Afnan</t>
        </is>
      </c>
      <c r="E22395" t="n">
        <v>28.84</v>
      </c>
      <c r="F22395" t="n">
        <v>1</v>
      </c>
      <c r="G22395" t="n">
        <v>14</v>
      </c>
      <c r="H22395" s="5">
        <f>HYPERLINK("https://api.qogita.com/variants/link/6290171073208/", "View Product")</f>
        <v/>
      </c>
    </row>
    <row r="22396">
      <c r="A22396" t="inlineStr">
        <is>
          <t>6290171073277</t>
        </is>
      </c>
      <c r="B22396" t="inlineStr">
        <is>
          <t>Souvenir Desert Rose - Eau de Parfum 100 ml + Shower Gel 100 ml + Body Lotion 100 ml</t>
        </is>
      </c>
      <c r="C22396" t="inlineStr">
        <is>
          <t>Eau De Parfum</t>
        </is>
      </c>
      <c r="D22396" t="inlineStr">
        <is>
          <t>Afnan</t>
        </is>
      </c>
      <c r="E22396" t="n">
        <v>27.1</v>
      </c>
      <c r="F22396" t="n">
        <v>1</v>
      </c>
      <c r="G22396" t="n">
        <v>32</v>
      </c>
      <c r="H22396" s="5">
        <f>HYPERLINK("https://api.qogita.com/variants/link/6290171073277/", "View Product")</f>
        <v/>
      </c>
    </row>
    <row r="22397">
      <c r="A22397" t="inlineStr">
        <is>
          <t>6290171073703</t>
        </is>
      </c>
      <c r="B22397" t="inlineStr">
        <is>
          <t>Zimaya Ghyoom Eau De Parfum 100ml</t>
        </is>
      </c>
      <c r="C22397" t="inlineStr">
        <is>
          <t>Eau De Parfum</t>
        </is>
      </c>
      <c r="D22397" t="inlineStr">
        <is>
          <t>Zimaya</t>
        </is>
      </c>
      <c r="E22397" t="n">
        <v>14.67</v>
      </c>
      <c r="F22397" t="n">
        <v>1</v>
      </c>
      <c r="G22397" t="n">
        <v>59</v>
      </c>
      <c r="H22397" s="5">
        <f>HYPERLINK("https://api.qogita.com/variants/link/6290171073703/", "View Product")</f>
        <v/>
      </c>
    </row>
    <row r="22398">
      <c r="A22398" t="inlineStr">
        <is>
          <t>6290171073710</t>
        </is>
      </c>
      <c r="B22398" t="inlineStr">
        <is>
          <t>Zimaya Wujood Eau De Parfum Spray 100ml</t>
        </is>
      </c>
      <c r="C22398" t="inlineStr">
        <is>
          <t>Eau De Parfum</t>
        </is>
      </c>
      <c r="D22398" t="inlineStr">
        <is>
          <t>Zimaya</t>
        </is>
      </c>
      <c r="E22398" t="n">
        <v>13.01</v>
      </c>
      <c r="F22398" t="n">
        <v>1</v>
      </c>
      <c r="G22398" t="n">
        <v>14</v>
      </c>
      <c r="H22398" s="5">
        <f>HYPERLINK("https://api.qogita.com/variants/link/6290171073710/", "View Product")</f>
        <v/>
      </c>
    </row>
    <row r="22399">
      <c r="A22399" t="inlineStr">
        <is>
          <t>6290171073864</t>
        </is>
      </c>
      <c r="B22399" t="inlineStr">
        <is>
          <t>AL FOUZ by Zimaya Afnan ORIGINAL 100ml 3.4FL OZ Unisex Perfume</t>
        </is>
      </c>
      <c r="C22399" t="inlineStr">
        <is>
          <t>Eau De Parfum</t>
        </is>
      </c>
      <c r="D22399" t="inlineStr">
        <is>
          <t>Zimaya</t>
        </is>
      </c>
      <c r="E22399" t="n">
        <v>12.44</v>
      </c>
      <c r="F22399" t="n">
        <v>1</v>
      </c>
      <c r="G22399" t="n">
        <v>38</v>
      </c>
      <c r="H22399" s="5">
        <f>HYPERLINK("https://api.qogita.com/variants/link/6290171073864/", "View Product")</f>
        <v/>
      </c>
    </row>
    <row r="22400">
      <c r="A22400" t="inlineStr">
        <is>
          <t>6290171073949</t>
        </is>
      </c>
      <c r="B22400" t="inlineStr">
        <is>
          <t>Afnan Supremacy Tapis Rouge Eau De Parfum Spray 100ml</t>
        </is>
      </c>
      <c r="C22400" t="inlineStr">
        <is>
          <t>Eau De Parfum</t>
        </is>
      </c>
      <c r="D22400" t="inlineStr">
        <is>
          <t>Afnan</t>
        </is>
      </c>
      <c r="E22400" t="n">
        <v>36.46</v>
      </c>
      <c r="F22400" t="n">
        <v>1</v>
      </c>
      <c r="G22400" t="n">
        <v>65</v>
      </c>
      <c r="H22400" s="5">
        <f>HYPERLINK("https://api.qogita.com/variants/link/6290171073949/", "View Product")</f>
        <v/>
      </c>
    </row>
    <row r="22401">
      <c r="A22401" t="inlineStr">
        <is>
          <t>6290171074007</t>
        </is>
      </c>
      <c r="B22401" t="inlineStr">
        <is>
          <t>Rue Broca Nexa Immortal Homme Eau De Parfum</t>
        </is>
      </c>
      <c r="C22401" t="inlineStr">
        <is>
          <t>Eau De Parfum</t>
        </is>
      </c>
      <c r="D22401" t="inlineStr">
        <is>
          <t>Rue Broca</t>
        </is>
      </c>
      <c r="E22401" t="n">
        <v>11.14</v>
      </c>
      <c r="F22401" t="n">
        <v>1</v>
      </c>
      <c r="G22401" t="n">
        <v>63</v>
      </c>
      <c r="H22401" s="5">
        <f>HYPERLINK("https://api.qogita.com/variants/link/6290171074007/", "View Product")</f>
        <v/>
      </c>
    </row>
    <row r="22402">
      <c r="A22402" t="inlineStr">
        <is>
          <t>6290171074014</t>
        </is>
      </c>
      <c r="B22402" t="inlineStr">
        <is>
          <t>Rue Broca Exotic Paradise Eau De Parfum Spray 100ml</t>
        </is>
      </c>
      <c r="C22402" t="inlineStr">
        <is>
          <t>Eau De Parfum</t>
        </is>
      </c>
      <c r="D22402" t="inlineStr">
        <is>
          <t>Rue Broca</t>
        </is>
      </c>
      <c r="E22402" t="n">
        <v>13</v>
      </c>
      <c r="F22402" t="n">
        <v>1</v>
      </c>
      <c r="G22402" t="n">
        <v>33</v>
      </c>
      <c r="H22402" s="5">
        <f>HYPERLINK("https://api.qogita.com/variants/link/6290171074014/", "View Product")</f>
        <v/>
      </c>
    </row>
    <row r="22403">
      <c r="A22403" t="inlineStr">
        <is>
          <t>6290171074038</t>
        </is>
      </c>
      <c r="B22403" t="inlineStr">
        <is>
          <t>On Time Pour Femme - Eau de Parfum Volume 100 ml</t>
        </is>
      </c>
      <c r="C22403" t="inlineStr">
        <is>
          <t>Eau De Parfum</t>
        </is>
      </c>
      <c r="D22403" t="inlineStr">
        <is>
          <t>Rue Broca</t>
        </is>
      </c>
      <c r="E22403" t="n">
        <v>11.13</v>
      </c>
      <c r="F22403" t="n">
        <v>1</v>
      </c>
      <c r="G22403" t="n">
        <v>51</v>
      </c>
      <c r="H22403" s="5">
        <f>HYPERLINK("https://api.qogita.com/variants/link/6290171074038/", "View Product")</f>
        <v/>
      </c>
    </row>
    <row r="22404">
      <c r="A22404" t="inlineStr">
        <is>
          <t>6290171074090</t>
        </is>
      </c>
      <c r="B22404" t="inlineStr">
        <is>
          <t>Zimaya Zukhruf Black Eau De Parfum 100ml</t>
        </is>
      </c>
      <c r="C22404" t="inlineStr">
        <is>
          <t>Eau De Parfum</t>
        </is>
      </c>
      <c r="D22404" t="inlineStr">
        <is>
          <t>Zimaya</t>
        </is>
      </c>
      <c r="E22404" t="n">
        <v>11.42</v>
      </c>
      <c r="F22404" t="n">
        <v>1</v>
      </c>
      <c r="G22404" t="n">
        <v>106</v>
      </c>
      <c r="H22404" s="5">
        <f>HYPERLINK("https://api.qogita.com/variants/link/6290171074090/", "View Product")</f>
        <v/>
      </c>
    </row>
    <row r="22405">
      <c r="A22405" t="inlineStr">
        <is>
          <t>6290171074120</t>
        </is>
      </c>
      <c r="B22405" t="inlineStr">
        <is>
          <t>Riiffs Warda Eau De Parfum Spray For Women - 100ml</t>
        </is>
      </c>
      <c r="C22405" t="inlineStr">
        <is>
          <t>Eau De Parfum</t>
        </is>
      </c>
      <c r="D22405" t="inlineStr">
        <is>
          <t>Riiffs</t>
        </is>
      </c>
      <c r="E22405" t="n">
        <v>14.71</v>
      </c>
      <c r="F22405" t="n">
        <v>1</v>
      </c>
      <c r="G22405" t="n">
        <v>11</v>
      </c>
      <c r="H22405" s="5">
        <f>HYPERLINK("https://api.qogita.com/variants/link/6290171074120/", "View Product")</f>
        <v/>
      </c>
    </row>
    <row r="22406">
      <c r="A22406" t="inlineStr">
        <is>
          <t>6290171074175</t>
        </is>
      </c>
      <c r="B22406" t="inlineStr">
        <is>
          <t>Zimaya Hawwa Pink Eau De Parfum</t>
        </is>
      </c>
      <c r="C22406" t="inlineStr">
        <is>
          <t>Eau De Parfum</t>
        </is>
      </c>
      <c r="D22406" t="inlineStr">
        <is>
          <t>Zimaya</t>
        </is>
      </c>
      <c r="E22406" t="n">
        <v>13.32</v>
      </c>
      <c r="F22406" t="n">
        <v>1</v>
      </c>
      <c r="G22406" t="n">
        <v>9</v>
      </c>
      <c r="H22406" s="5">
        <f>HYPERLINK("https://api.qogita.com/variants/link/6290171074175/", "View Product")</f>
        <v/>
      </c>
    </row>
    <row r="22407">
      <c r="A22407" t="inlineStr">
        <is>
          <t>6290171074199</t>
        </is>
      </c>
      <c r="B22407" t="inlineStr">
        <is>
          <t>Zimaya Sharaf The Club Extrait De Parfum Spray 100ml</t>
        </is>
      </c>
      <c r="C22407" t="inlineStr">
        <is>
          <t>Extrait De Parfum</t>
        </is>
      </c>
      <c r="D22407" t="inlineStr">
        <is>
          <t>Zimaya</t>
        </is>
      </c>
      <c r="E22407" t="n">
        <v>16.78</v>
      </c>
      <c r="F22407" t="n">
        <v>1</v>
      </c>
      <c r="G22407" t="n">
        <v>38</v>
      </c>
      <c r="H22407" s="5">
        <f>HYPERLINK("https://api.qogita.com/variants/link/6290171074199/", "View Product")</f>
        <v/>
      </c>
    </row>
    <row r="22408">
      <c r="A22408" t="inlineStr">
        <is>
          <t>6290171074694</t>
        </is>
      </c>
      <c r="B22408" t="inlineStr">
        <is>
          <t>Zimaya Zahir Cobalt - Eau De Parfum</t>
        </is>
      </c>
      <c r="C22408" t="inlineStr">
        <is>
          <t>Eau De Parfum</t>
        </is>
      </c>
      <c r="D22408" t="inlineStr">
        <is>
          <t>Zimaya</t>
        </is>
      </c>
      <c r="E22408" t="n">
        <v>11.27</v>
      </c>
      <c r="F22408" t="n">
        <v>1</v>
      </c>
      <c r="G22408" t="n">
        <v>70</v>
      </c>
      <c r="H22408" s="5">
        <f>HYPERLINK("https://api.qogita.com/variants/link/6290171074694/", "View Product")</f>
        <v/>
      </c>
    </row>
    <row r="22409">
      <c r="A22409" t="inlineStr">
        <is>
          <t>6290171074731</t>
        </is>
      </c>
      <c r="B22409" t="inlineStr">
        <is>
          <t>Zimaya Mazaaj Infused Eau De Parfum</t>
        </is>
      </c>
      <c r="C22409" t="inlineStr">
        <is>
          <t>Eau De Parfum</t>
        </is>
      </c>
      <c r="D22409" t="inlineStr">
        <is>
          <t>Zimaya</t>
        </is>
      </c>
      <c r="E22409" t="n">
        <v>15.93</v>
      </c>
      <c r="F22409" t="n">
        <v>1</v>
      </c>
      <c r="G22409" t="n">
        <v>459</v>
      </c>
      <c r="H22409" s="5">
        <f>HYPERLINK("https://api.qogita.com/variants/link/6290171074731/", "View Product")</f>
        <v/>
      </c>
    </row>
    <row r="22410">
      <c r="A22410" t="inlineStr">
        <is>
          <t>6290171074786</t>
        </is>
      </c>
      <c r="B22410" t="inlineStr">
        <is>
          <t>Afnan Souvenir Blooming Bliss - Eau De Parfum</t>
        </is>
      </c>
      <c r="C22410" t="inlineStr">
        <is>
          <t>Eau De Parfum</t>
        </is>
      </c>
      <c r="D22410" t="inlineStr">
        <is>
          <t>Afnan</t>
        </is>
      </c>
      <c r="E22410" t="n">
        <v>23.66</v>
      </c>
      <c r="F22410" t="n">
        <v>1</v>
      </c>
      <c r="G22410" t="n">
        <v>650</v>
      </c>
      <c r="H22410" s="5">
        <f>HYPERLINK("https://api.qogita.com/variants/link/6290171074786/", "View Product")</f>
        <v/>
      </c>
    </row>
    <row r="22411">
      <c r="A22411" t="inlineStr">
        <is>
          <t>6290171074809</t>
        </is>
      </c>
      <c r="B22411" t="inlineStr">
        <is>
          <t>Zimaya Inekas Solis Perfume</t>
        </is>
      </c>
      <c r="C22411" t="inlineStr">
        <is>
          <t>Eau De Parfum</t>
        </is>
      </c>
      <c r="D22411" t="inlineStr">
        <is>
          <t>Zimaya</t>
        </is>
      </c>
      <c r="E22411" t="n">
        <v>13.66</v>
      </c>
      <c r="F22411" t="n">
        <v>1</v>
      </c>
      <c r="G22411" t="n">
        <v>111</v>
      </c>
      <c r="H22411" s="5">
        <f>HYPERLINK("https://api.qogita.com/variants/link/6290171074809/", "View Product")</f>
        <v/>
      </c>
    </row>
    <row r="22412">
      <c r="A22412" t="inlineStr">
        <is>
          <t>6290171074830</t>
        </is>
      </c>
      <c r="B22412" t="inlineStr">
        <is>
          <t>Zimaya Rajwah Eau De Parfum</t>
        </is>
      </c>
      <c r="C22412" t="inlineStr">
        <is>
          <t>Eau De Parfum</t>
        </is>
      </c>
      <c r="D22412" t="inlineStr">
        <is>
          <t>Zimaya</t>
        </is>
      </c>
      <c r="E22412" t="n">
        <v>10.66</v>
      </c>
      <c r="F22412" t="n">
        <v>1</v>
      </c>
      <c r="G22412" t="n">
        <v>83</v>
      </c>
      <c r="H22412" s="5">
        <f>HYPERLINK("https://api.qogita.com/variants/link/6290171074830/", "View Product")</f>
        <v/>
      </c>
    </row>
    <row r="22413">
      <c r="A22413" t="inlineStr">
        <is>
          <t>6290171074908</t>
        </is>
      </c>
      <c r="B22413" t="inlineStr">
        <is>
          <t>Zimaya Charisma Eau De Parfum Spray 100ml</t>
        </is>
      </c>
      <c r="C22413" t="inlineStr">
        <is>
          <t>Eau De Parfum</t>
        </is>
      </c>
      <c r="D22413" t="inlineStr">
        <is>
          <t>Zimaya</t>
        </is>
      </c>
      <c r="E22413" t="n">
        <v>13.46</v>
      </c>
      <c r="F22413" t="n">
        <v>1</v>
      </c>
      <c r="G22413" t="n">
        <v>96</v>
      </c>
      <c r="H22413" s="5">
        <f>HYPERLINK("https://api.qogita.com/variants/link/6290171074908/", "View Product")</f>
        <v/>
      </c>
    </row>
    <row r="22414">
      <c r="A22414" t="inlineStr">
        <is>
          <t>6290171075011</t>
        </is>
      </c>
      <c r="B22414" t="inlineStr">
        <is>
          <t>Rue Broca Ma Belle Xoxo - Eau De Parfum</t>
        </is>
      </c>
      <c r="C22414" t="inlineStr">
        <is>
          <t>Eau De Parfum</t>
        </is>
      </c>
      <c r="D22414" t="inlineStr">
        <is>
          <t>Rue Broca</t>
        </is>
      </c>
      <c r="E22414" t="n">
        <v>12.68</v>
      </c>
      <c r="F22414" t="n">
        <v>1</v>
      </c>
      <c r="G22414" t="n">
        <v>22</v>
      </c>
      <c r="H22414" s="5">
        <f>HYPERLINK("https://api.qogita.com/variants/link/6290171075011/", "View Product")</f>
        <v/>
      </c>
    </row>
    <row r="22415">
      <c r="A22415" t="inlineStr">
        <is>
          <t>6290171075028</t>
        </is>
      </c>
      <c r="B22415" t="inlineStr">
        <is>
          <t>Rue Broca Ma Belle Fantasy - Eau De Parfum</t>
        </is>
      </c>
      <c r="C22415" t="inlineStr">
        <is>
          <t>Eau De Parfum</t>
        </is>
      </c>
      <c r="D22415" t="inlineStr">
        <is>
          <t>Rue Broca</t>
        </is>
      </c>
      <c r="E22415" t="n">
        <v>12.68</v>
      </c>
      <c r="F22415" t="n">
        <v>1</v>
      </c>
      <c r="G22415" t="n">
        <v>66</v>
      </c>
      <c r="H22415" s="5">
        <f>HYPERLINK("https://api.qogita.com/variants/link/6290171075028/", "View Product")</f>
        <v/>
      </c>
    </row>
    <row r="22416">
      <c r="A22416" t="inlineStr">
        <is>
          <t>6290360371450</t>
        </is>
      </c>
      <c r="B22416" t="inlineStr">
        <is>
          <t>Fragrance World King Eau de Parfum Perfume For Unisex 80ml</t>
        </is>
      </c>
      <c r="C22416" t="inlineStr">
        <is>
          <t>Eau De Parfum</t>
        </is>
      </c>
      <c r="D22416" t="inlineStr">
        <is>
          <t>Fragrance World</t>
        </is>
      </c>
      <c r="E22416" t="n">
        <v>21.48</v>
      </c>
      <c r="F22416" t="n">
        <v>1</v>
      </c>
      <c r="G22416" t="n">
        <v>32</v>
      </c>
      <c r="H22416" s="5">
        <f>HYPERLINK("https://api.qogita.com/variants/link/6290360371450/", "View Product")</f>
        <v/>
      </c>
    </row>
    <row r="22417">
      <c r="A22417" t="inlineStr">
        <is>
          <t>6290360372082</t>
        </is>
      </c>
      <c r="B22417" t="inlineStr">
        <is>
          <t>Fragrance World Eau De Parfum Fw Athoor Al Alam, Al Raiee Lil Nisaa, Unisex, 100 Ml</t>
        </is>
      </c>
      <c r="C22417" t="inlineStr">
        <is>
          <t>Eau De Parfum</t>
        </is>
      </c>
      <c r="D22417" t="inlineStr">
        <is>
          <t>Fragrance World</t>
        </is>
      </c>
      <c r="E22417" t="n">
        <v>12.26</v>
      </c>
      <c r="F22417" t="n">
        <v>1</v>
      </c>
      <c r="G22417" t="n">
        <v>64</v>
      </c>
      <c r="H22417" s="5">
        <f>HYPERLINK("https://api.qogita.com/variants/link/6290360372082/", "View Product")</f>
        <v/>
      </c>
    </row>
    <row r="22418">
      <c r="A22418" t="inlineStr">
        <is>
          <t>6290360372952</t>
        </is>
      </c>
      <c r="B22418" t="inlineStr">
        <is>
          <t>Fragrance World Vie Feu Eau De Parfum 80ml for Men - Arabic Citrus Scented Water</t>
        </is>
      </c>
      <c r="C22418" t="inlineStr">
        <is>
          <t>Eau De Parfum</t>
        </is>
      </c>
      <c r="D22418" t="inlineStr">
        <is>
          <t>Fragrance World</t>
        </is>
      </c>
      <c r="E22418" t="n">
        <v>25.58</v>
      </c>
      <c r="F22418" t="n">
        <v>1</v>
      </c>
      <c r="G22418" t="n">
        <v>117</v>
      </c>
      <c r="H22418" s="5">
        <f>HYPERLINK("https://api.qogita.com/variants/link/6290360372952/", "View Product")</f>
        <v/>
      </c>
    </row>
    <row r="22419">
      <c r="A22419" t="inlineStr">
        <is>
          <t>6290360374024</t>
        </is>
      </c>
      <c r="B22419" t="inlineStr">
        <is>
          <t>Fragrance World Kopi Luwak Eau de Parfum Unisex Perfume 100ml</t>
        </is>
      </c>
      <c r="C22419" t="inlineStr">
        <is>
          <t>Eau De Parfum</t>
        </is>
      </c>
      <c r="D22419" t="inlineStr">
        <is>
          <t>Fragrance World</t>
        </is>
      </c>
      <c r="E22419" t="n">
        <v>19.83</v>
      </c>
      <c r="F22419" t="n">
        <v>1</v>
      </c>
      <c r="G22419" t="n">
        <v>32</v>
      </c>
      <c r="H22419" s="5">
        <f>HYPERLINK("https://api.qogita.com/variants/link/6290360374024/", "View Product")</f>
        <v/>
      </c>
    </row>
    <row r="22420">
      <c r="A22420" t="inlineStr">
        <is>
          <t>6290360374772</t>
        </is>
      </c>
      <c r="B22420" t="inlineStr">
        <is>
          <t>Fragrance World Exotic Rose Eau De Parfum 100ml for Men and Women</t>
        </is>
      </c>
      <c r="C22420" t="inlineStr">
        <is>
          <t>Eau De Parfum</t>
        </is>
      </c>
      <c r="D22420" t="inlineStr">
        <is>
          <t>Fragrance World</t>
        </is>
      </c>
      <c r="E22420" t="n">
        <v>19.92</v>
      </c>
      <c r="F22420" t="n">
        <v>1</v>
      </c>
      <c r="G22420" t="n">
        <v>15</v>
      </c>
      <c r="H22420" s="5">
        <f>HYPERLINK("https://api.qogita.com/variants/link/6290360374772/", "View Product")</f>
        <v/>
      </c>
    </row>
    <row r="22421">
      <c r="A22421" t="inlineStr">
        <is>
          <t>6290360375014</t>
        </is>
      </c>
      <c r="B22421" t="inlineStr">
        <is>
          <t>Sultan The Founder Eau De Parfum 80ml</t>
        </is>
      </c>
      <c r="C22421" t="inlineStr">
        <is>
          <t>Eau De Parfum</t>
        </is>
      </c>
      <c r="D22421" t="inlineStr">
        <is>
          <t>French Avenue</t>
        </is>
      </c>
      <c r="E22421" t="n">
        <v>22.03</v>
      </c>
      <c r="F22421" t="n">
        <v>1</v>
      </c>
      <c r="G22421" t="n">
        <v>76</v>
      </c>
      <c r="H22421" s="5">
        <f>HYPERLINK("https://api.qogita.com/variants/link/6290360375014/", "View Product")</f>
        <v/>
      </c>
    </row>
    <row r="22422">
      <c r="A22422" t="inlineStr">
        <is>
          <t>6290360375793</t>
        </is>
      </c>
      <c r="B22422" t="inlineStr">
        <is>
          <t>Fragrance World French Avenue Sweet Paradise Eau De Parfum 100ml</t>
        </is>
      </c>
      <c r="C22422" t="inlineStr">
        <is>
          <t>Eau De Parfum</t>
        </is>
      </c>
      <c r="D22422" t="inlineStr">
        <is>
          <t>Fragrance World</t>
        </is>
      </c>
      <c r="E22422" t="n">
        <v>25</v>
      </c>
      <c r="F22422" t="n">
        <v>1</v>
      </c>
      <c r="G22422" t="n">
        <v>62</v>
      </c>
      <c r="H22422" s="5">
        <f>HYPERLINK("https://api.qogita.com/variants/link/6290360375793/", "View Product")</f>
        <v/>
      </c>
    </row>
    <row r="22423">
      <c r="A22423" t="inlineStr">
        <is>
          <t>6290360375960</t>
        </is>
      </c>
      <c r="B22423" t="inlineStr">
        <is>
          <t>Fragrance World Bouquet Of Euphoria Eau De Parfum 100ml</t>
        </is>
      </c>
      <c r="C22423" t="inlineStr">
        <is>
          <t>Eau De Parfum</t>
        </is>
      </c>
      <c r="D22423" t="inlineStr">
        <is>
          <t>Fragrance World</t>
        </is>
      </c>
      <c r="E22423" t="n">
        <v>15.1</v>
      </c>
      <c r="F22423" t="n">
        <v>1</v>
      </c>
      <c r="G22423" t="n">
        <v>6</v>
      </c>
      <c r="H22423" s="5">
        <f>HYPERLINK("https://api.qogita.com/variants/link/6290360375960/", "View Product")</f>
        <v/>
      </c>
    </row>
    <row r="22424">
      <c r="A22424" t="inlineStr">
        <is>
          <t>6290360376233</t>
        </is>
      </c>
      <c r="B22424" t="inlineStr">
        <is>
          <t>Fragrance World Varakh Silver Eau De Parfum 100ml</t>
        </is>
      </c>
      <c r="C22424" t="inlineStr">
        <is>
          <t>Eau De Parfum</t>
        </is>
      </c>
      <c r="D22424" t="inlineStr">
        <is>
          <t>Fragrance World</t>
        </is>
      </c>
      <c r="E22424" t="n">
        <v>12.92</v>
      </c>
      <c r="F22424" t="n">
        <v>1</v>
      </c>
      <c r="G22424" t="n">
        <v>169</v>
      </c>
      <c r="H22424" s="5">
        <f>HYPERLINK("https://api.qogita.com/variants/link/6290360376233/", "View Product")</f>
        <v/>
      </c>
    </row>
    <row r="22425">
      <c r="A22425" t="inlineStr">
        <is>
          <t>6290360376493</t>
        </is>
      </c>
      <c r="B22425" t="inlineStr">
        <is>
          <t>Fragrance World French Avenue Diwani Cairo Eau De Parfum 100ml</t>
        </is>
      </c>
      <c r="C22425" t="inlineStr">
        <is>
          <t>Eau De Parfum</t>
        </is>
      </c>
      <c r="D22425" t="inlineStr">
        <is>
          <t>Fragrance World</t>
        </is>
      </c>
      <c r="E22425" t="n">
        <v>25.7</v>
      </c>
      <c r="F22425" t="n">
        <v>1</v>
      </c>
      <c r="G22425" t="n">
        <v>83</v>
      </c>
      <c r="H22425" s="5">
        <f>HYPERLINK("https://api.qogita.com/variants/link/6290360376493/", "View Product")</f>
        <v/>
      </c>
    </row>
    <row r="22426">
      <c r="A22426" t="inlineStr">
        <is>
          <t>6290360376516</t>
        </is>
      </c>
      <c r="B22426" t="inlineStr">
        <is>
          <t>Elysian By French Avenue Eau de Parfum Unisex 80ml</t>
        </is>
      </c>
      <c r="C22426" t="inlineStr">
        <is>
          <t>Eau De Parfum</t>
        </is>
      </c>
      <c r="D22426" t="inlineStr">
        <is>
          <t>French Avenue</t>
        </is>
      </c>
      <c r="E22426" t="n">
        <v>39.63</v>
      </c>
      <c r="F22426" t="n">
        <v>1</v>
      </c>
      <c r="G22426" t="n">
        <v>12</v>
      </c>
      <c r="H22426" s="5">
        <f>HYPERLINK("https://api.qogita.com/variants/link/6290360376516/", "View Product")</f>
        <v/>
      </c>
    </row>
    <row r="22427">
      <c r="A22427" t="inlineStr">
        <is>
          <t>6290360376707</t>
        </is>
      </c>
      <c r="B22427" t="inlineStr">
        <is>
          <t>Fragrance World Pinnace Noir Eau De Parfum 100ml</t>
        </is>
      </c>
      <c r="C22427" t="inlineStr">
        <is>
          <t>Eau De Parfum</t>
        </is>
      </c>
      <c r="D22427" t="inlineStr">
        <is>
          <t>Fragrance World</t>
        </is>
      </c>
      <c r="E22427" t="n">
        <v>27.93</v>
      </c>
      <c r="F22427" t="n">
        <v>1</v>
      </c>
      <c r="G22427" t="n">
        <v>54</v>
      </c>
      <c r="H22427" s="5">
        <f>HYPERLINK("https://api.qogita.com/variants/link/6290360376707/", "View Product")</f>
        <v/>
      </c>
    </row>
    <row r="22428">
      <c r="A22428" t="inlineStr">
        <is>
          <t>6290360376714</t>
        </is>
      </c>
      <c r="B22428" t="inlineStr">
        <is>
          <t>Pinnace Eau De Parfum 100ml</t>
        </is>
      </c>
      <c r="C22428" t="inlineStr">
        <is>
          <t>Eau De Parfum</t>
        </is>
      </c>
      <c r="D22428" t="inlineStr">
        <is>
          <t>French Avenue</t>
        </is>
      </c>
      <c r="E22428" t="n">
        <v>26.85</v>
      </c>
      <c r="F22428" t="n">
        <v>1</v>
      </c>
      <c r="G22428" t="n">
        <v>63</v>
      </c>
      <c r="H22428" s="5">
        <f>HYPERLINK("https://api.qogita.com/variants/link/6290360376714/", "View Product")</f>
        <v/>
      </c>
    </row>
    <row r="22429">
      <c r="A22429" t="inlineStr">
        <is>
          <t>6290360377933</t>
        </is>
      </c>
      <c r="B22429" t="inlineStr">
        <is>
          <t>Fragrance World Double Espresso Eau De Parfum 100ml</t>
        </is>
      </c>
      <c r="C22429" t="inlineStr">
        <is>
          <t>Eau De Parfum</t>
        </is>
      </c>
      <c r="D22429" t="inlineStr">
        <is>
          <t>Fragrance World</t>
        </is>
      </c>
      <c r="E22429" t="n">
        <v>22.17</v>
      </c>
      <c r="F22429" t="n">
        <v>1</v>
      </c>
      <c r="G22429" t="n">
        <v>14</v>
      </c>
      <c r="H22429" s="5">
        <f>HYPERLINK("https://api.qogita.com/variants/link/6290360377933/", "View Product")</f>
        <v/>
      </c>
    </row>
    <row r="22430">
      <c r="A22430" t="inlineStr">
        <is>
          <t>6290360377940</t>
        </is>
      </c>
      <c r="B22430" t="inlineStr">
        <is>
          <t>Fragrance World Affogato Eau De Parfum 100ml</t>
        </is>
      </c>
      <c r="C22430" t="inlineStr">
        <is>
          <t>Eau De Parfum</t>
        </is>
      </c>
      <c r="D22430" t="inlineStr">
        <is>
          <t>Fragrance World</t>
        </is>
      </c>
      <c r="E22430" t="n">
        <v>22.17</v>
      </c>
      <c r="F22430" t="n">
        <v>1</v>
      </c>
      <c r="G22430" t="n">
        <v>16</v>
      </c>
      <c r="H22430" s="5">
        <f>HYPERLINK("https://api.qogita.com/variants/link/6290360377940/", "View Product")</f>
        <v/>
      </c>
    </row>
    <row r="22431">
      <c r="A22431" t="inlineStr">
        <is>
          <t>6290360378053</t>
        </is>
      </c>
      <c r="B22431" t="inlineStr">
        <is>
          <t>French Avenue Vulcan Feu Eau De Parfum 100ml</t>
        </is>
      </c>
      <c r="C22431" t="inlineStr">
        <is>
          <t>Eau De Parfum</t>
        </is>
      </c>
      <c r="D22431" t="inlineStr">
        <is>
          <t>French Avenue</t>
        </is>
      </c>
      <c r="E22431" t="n">
        <v>24.74</v>
      </c>
      <c r="F22431" t="n">
        <v>1</v>
      </c>
      <c r="G22431" t="n">
        <v>459</v>
      </c>
      <c r="H22431" s="5">
        <f>HYPERLINK("https://api.qogita.com/variants/link/6290360378053/", "View Product")</f>
        <v/>
      </c>
    </row>
    <row r="22432">
      <c r="A22432" t="inlineStr">
        <is>
          <t>6290360378114</t>
        </is>
      </c>
      <c r="B22432" t="inlineStr">
        <is>
          <t>Fragrance World Eclair Affair Eau De Parfum 100ml</t>
        </is>
      </c>
      <c r="C22432" t="inlineStr">
        <is>
          <t>Eau De Parfum</t>
        </is>
      </c>
      <c r="D22432" t="inlineStr">
        <is>
          <t>Fragrance World</t>
        </is>
      </c>
      <c r="E22432" t="n">
        <v>25.41</v>
      </c>
      <c r="F22432" t="n">
        <v>1</v>
      </c>
      <c r="G22432" t="n">
        <v>78</v>
      </c>
      <c r="H22432" s="5">
        <f>HYPERLINK("https://api.qogita.com/variants/link/6290360378114/", "View Product")</f>
        <v/>
      </c>
    </row>
    <row r="22433">
      <c r="A22433" t="inlineStr">
        <is>
          <t>6290360378527</t>
        </is>
      </c>
      <c r="B22433" t="inlineStr">
        <is>
          <t>Fragrance World Champion Sugar Eau De Parfum 80ml</t>
        </is>
      </c>
      <c r="C22433" t="inlineStr">
        <is>
          <t>Eau De Parfum</t>
        </is>
      </c>
      <c r="D22433" t="inlineStr">
        <is>
          <t>Fragrance World</t>
        </is>
      </c>
      <c r="E22433" t="n">
        <v>24.94</v>
      </c>
      <c r="F22433" t="n">
        <v>1</v>
      </c>
      <c r="G22433" t="n">
        <v>41</v>
      </c>
      <c r="H22433" s="5">
        <f>HYPERLINK("https://api.qogita.com/variants/link/6290360378527/", "View Product")</f>
        <v/>
      </c>
    </row>
    <row r="22434">
      <c r="A22434" t="inlineStr">
        <is>
          <t>6290360378664</t>
        </is>
      </c>
      <c r="B22434" t="inlineStr">
        <is>
          <t>French Avenue Genesis Collection Aquarius</t>
        </is>
      </c>
      <c r="C22434" t="inlineStr">
        <is>
          <t>Eau De Parfum</t>
        </is>
      </c>
      <c r="D22434" t="inlineStr">
        <is>
          <t>French Avenue</t>
        </is>
      </c>
      <c r="E22434" t="n">
        <v>29.56</v>
      </c>
      <c r="F22434" t="n">
        <v>1</v>
      </c>
      <c r="G22434" t="n">
        <v>69</v>
      </c>
      <c r="H22434" s="5">
        <f>HYPERLINK("https://api.qogita.com/variants/link/6290360378664/", "View Product")</f>
        <v/>
      </c>
    </row>
    <row r="22435">
      <c r="A22435" t="inlineStr">
        <is>
          <t>6290360378718</t>
        </is>
      </c>
      <c r="B22435" t="inlineStr">
        <is>
          <t>French Avenue Genesis Collection Scorpio</t>
        </is>
      </c>
      <c r="C22435" t="inlineStr">
        <is>
          <t>Eau De Parfum</t>
        </is>
      </c>
      <c r="D22435" t="inlineStr">
        <is>
          <t>French Avenue</t>
        </is>
      </c>
      <c r="E22435" t="n">
        <v>29.56</v>
      </c>
      <c r="F22435" t="n">
        <v>1</v>
      </c>
      <c r="G22435" t="n">
        <v>68</v>
      </c>
      <c r="H22435" s="5">
        <f>HYPERLINK("https://api.qogita.com/variants/link/6290360378718/", "View Product")</f>
        <v/>
      </c>
    </row>
    <row r="22436">
      <c r="A22436" t="inlineStr">
        <is>
          <t>6290360378817</t>
        </is>
      </c>
      <c r="B22436" t="inlineStr">
        <is>
          <t>Imperium Intense EDP Unisex 3.4 Fl Oz</t>
        </is>
      </c>
      <c r="C22436" t="inlineStr">
        <is>
          <t>Eau De Parfum</t>
        </is>
      </c>
      <c r="D22436" t="inlineStr">
        <is>
          <t>Fragrance World</t>
        </is>
      </c>
      <c r="E22436" t="n">
        <v>16.58</v>
      </c>
      <c r="F22436" t="n">
        <v>1</v>
      </c>
      <c r="G22436" t="n">
        <v>53</v>
      </c>
      <c r="H22436" s="5">
        <f>HYPERLINK("https://api.qogita.com/variants/link/6290360378817/", "View Product")</f>
        <v/>
      </c>
    </row>
    <row r="22437">
      <c r="A22437" t="inlineStr">
        <is>
          <t>6290360379005</t>
        </is>
      </c>
      <c r="B22437" t="inlineStr">
        <is>
          <t>Fragrance World Immortal London 100 Ml Eau De Parfum</t>
        </is>
      </c>
      <c r="C22437" t="inlineStr">
        <is>
          <t>Eau De Parfum</t>
        </is>
      </c>
      <c r="D22437" t="inlineStr">
        <is>
          <t>Fragrance World</t>
        </is>
      </c>
      <c r="E22437" t="n">
        <v>12.65</v>
      </c>
      <c r="F22437" t="n">
        <v>1</v>
      </c>
      <c r="G22437" t="n">
        <v>6</v>
      </c>
      <c r="H22437" s="5">
        <f>HYPERLINK("https://api.qogita.com/variants/link/6290360379005/", "View Product")</f>
        <v/>
      </c>
    </row>
    <row r="22438">
      <c r="A22438" t="inlineStr">
        <is>
          <t>6290360379524</t>
        </is>
      </c>
      <c r="B22438" t="inlineStr">
        <is>
          <t>French Avenue Firestorm Unisex Eau De Parfum 100ml</t>
        </is>
      </c>
      <c r="C22438" t="inlineStr">
        <is>
          <t>Eau De Parfum</t>
        </is>
      </c>
      <c r="D22438" t="inlineStr">
        <is>
          <t>French Avenue</t>
        </is>
      </c>
      <c r="E22438" t="n">
        <v>33.31</v>
      </c>
      <c r="F22438" t="n">
        <v>1</v>
      </c>
      <c r="G22438" t="n">
        <v>19</v>
      </c>
      <c r="H22438" s="5">
        <f>HYPERLINK("https://api.qogita.com/variants/link/6290360379524/", "View Product")</f>
        <v/>
      </c>
    </row>
    <row r="22439">
      <c r="A22439" t="inlineStr">
        <is>
          <t>6290360590134</t>
        </is>
      </c>
      <c r="B22439" t="inlineStr">
        <is>
          <t>Lattafa Safwaan L'Autre Oud Eau De Parfum Spray 100ml</t>
        </is>
      </c>
      <c r="C22439" t="inlineStr">
        <is>
          <t>Eau De Parfum</t>
        </is>
      </c>
      <c r="D22439" t="inlineStr">
        <is>
          <t>Lattafa</t>
        </is>
      </c>
      <c r="E22439" t="n">
        <v>13.27</v>
      </c>
      <c r="F22439" t="n">
        <v>1</v>
      </c>
      <c r="G22439" t="n">
        <v>92</v>
      </c>
      <c r="H22439" s="5">
        <f>HYPERLINK("https://api.qogita.com/variants/link/6290360590134/", "View Product")</f>
        <v/>
      </c>
    </row>
    <row r="22440">
      <c r="A22440" t="inlineStr">
        <is>
          <t>6290360590578</t>
        </is>
      </c>
      <c r="B22440" t="inlineStr">
        <is>
          <t>Infini Musk Eau De Parfum 100ml by Maison Alhambra</t>
        </is>
      </c>
      <c r="C22440" t="inlineStr">
        <is>
          <t>Eau De Parfum</t>
        </is>
      </c>
      <c r="D22440" t="inlineStr">
        <is>
          <t>Maison Alhambra</t>
        </is>
      </c>
      <c r="E22440" t="n">
        <v>19.55</v>
      </c>
      <c r="F22440" t="n">
        <v>1</v>
      </c>
      <c r="G22440" t="n">
        <v>33</v>
      </c>
      <c r="H22440" s="5">
        <f>HYPERLINK("https://api.qogita.com/variants/link/6290360590578/", "View Product")</f>
        <v/>
      </c>
    </row>
    <row r="22441">
      <c r="A22441" t="inlineStr">
        <is>
          <t>6290360590585</t>
        </is>
      </c>
      <c r="B22441" t="inlineStr">
        <is>
          <t>Maison Alhambra Infini Elixir Eau De Parfum 100ml</t>
        </is>
      </c>
      <c r="C22441" t="inlineStr">
        <is>
          <t>Eau De Parfum</t>
        </is>
      </c>
      <c r="D22441" t="inlineStr">
        <is>
          <t>Maison Alhambra</t>
        </is>
      </c>
      <c r="E22441" t="n">
        <v>14.58</v>
      </c>
      <c r="F22441" t="n">
        <v>1</v>
      </c>
      <c r="G22441" t="n">
        <v>84</v>
      </c>
      <c r="H22441" s="5">
        <f>HYPERLINK("https://api.qogita.com/variants/link/6290360590585/", "View Product")</f>
        <v/>
      </c>
    </row>
    <row r="22442">
      <c r="A22442" t="inlineStr">
        <is>
          <t>6290360590608</t>
        </is>
      </c>
      <c r="B22442" t="inlineStr">
        <is>
          <t>Glacier Ultra 100ml Eau de Parfum Maison Alhambra for Men</t>
        </is>
      </c>
      <c r="C22442" t="inlineStr">
        <is>
          <t>Eau De Parfum</t>
        </is>
      </c>
      <c r="D22442" t="inlineStr">
        <is>
          <t>Maison Alhambra</t>
        </is>
      </c>
      <c r="E22442" t="n">
        <v>12.19</v>
      </c>
      <c r="F22442" t="n">
        <v>1</v>
      </c>
      <c r="G22442" t="n">
        <v>68</v>
      </c>
      <c r="H22442" s="5">
        <f>HYPERLINK("https://api.qogita.com/variants/link/6290360590608/", "View Product")</f>
        <v/>
      </c>
    </row>
    <row r="22443">
      <c r="A22443" t="inlineStr">
        <is>
          <t>6290360590646</t>
        </is>
      </c>
      <c r="B22443" t="inlineStr">
        <is>
          <t>Glacier Bella Eau De Parfum 100ml by Maison Alhambra</t>
        </is>
      </c>
      <c r="C22443" t="inlineStr">
        <is>
          <t>Eau De Parfum</t>
        </is>
      </c>
      <c r="D22443" t="inlineStr">
        <is>
          <t>Maison Alhambra</t>
        </is>
      </c>
      <c r="E22443" t="n">
        <v>11.52</v>
      </c>
      <c r="F22443" t="n">
        <v>1</v>
      </c>
      <c r="G22443" t="n">
        <v>6</v>
      </c>
      <c r="H22443" s="5">
        <f>HYPERLINK("https://api.qogita.com/variants/link/6290360590646/", "View Product")</f>
        <v/>
      </c>
    </row>
    <row r="22444">
      <c r="A22444" t="inlineStr">
        <is>
          <t>6290360590691</t>
        </is>
      </c>
      <c r="B22444" t="inlineStr">
        <is>
          <t>Maison Alhambra Velvet Pink Secret Chic Eau De Parfum Spray 100ml</t>
        </is>
      </c>
      <c r="C22444" t="inlineStr">
        <is>
          <t>Eau De Parfum</t>
        </is>
      </c>
      <c r="D22444" t="inlineStr">
        <is>
          <t>Maison Alhambra</t>
        </is>
      </c>
      <c r="E22444" t="n">
        <v>11.84</v>
      </c>
      <c r="F22444" t="n">
        <v>1</v>
      </c>
      <c r="G22444" t="n">
        <v>302</v>
      </c>
      <c r="H22444" s="5">
        <f>HYPERLINK("https://api.qogita.com/variants/link/6290360590691/", "View Product")</f>
        <v/>
      </c>
    </row>
    <row r="22445">
      <c r="A22445" t="inlineStr">
        <is>
          <t>6290360590714</t>
        </is>
      </c>
      <c r="B22445" t="inlineStr">
        <is>
          <t>Maison Alhambra Summer Forever 100ml Eau De Parfum Spray</t>
        </is>
      </c>
      <c r="C22445" t="inlineStr">
        <is>
          <t>Eau De Parfum</t>
        </is>
      </c>
      <c r="D22445" t="inlineStr">
        <is>
          <t>Maison Alhambra</t>
        </is>
      </c>
      <c r="E22445" t="n">
        <v>14.67</v>
      </c>
      <c r="F22445" t="n">
        <v>1</v>
      </c>
      <c r="G22445" t="n">
        <v>116</v>
      </c>
      <c r="H22445" s="5">
        <f>HYPERLINK("https://api.qogita.com/variants/link/6290360590714/", "View Product")</f>
        <v/>
      </c>
    </row>
    <row r="22446">
      <c r="A22446" t="inlineStr">
        <is>
          <t>6290360590721</t>
        </is>
      </c>
      <c r="B22446" t="inlineStr">
        <is>
          <t>Maison Alhambra Reyna Pour Femme Eau De Parfum 100ml</t>
        </is>
      </c>
      <c r="C22446" t="inlineStr">
        <is>
          <t>Eau De Parfum</t>
        </is>
      </c>
      <c r="D22446" t="inlineStr">
        <is>
          <t>Maison Alhambra</t>
        </is>
      </c>
      <c r="E22446" t="n">
        <v>8.890000000000001</v>
      </c>
      <c r="F22446" t="n">
        <v>1</v>
      </c>
      <c r="G22446" t="n">
        <v>104</v>
      </c>
      <c r="H22446" s="5">
        <f>HYPERLINK("https://api.qogita.com/variants/link/6290360590721/", "View Product")</f>
        <v/>
      </c>
    </row>
    <row r="22447">
      <c r="A22447" t="inlineStr">
        <is>
          <t>6290360590769</t>
        </is>
      </c>
      <c r="B22447" t="inlineStr">
        <is>
          <t>Maison Alhambra Panther Pour Homme Eau De Parfum 100ml</t>
        </is>
      </c>
      <c r="C22447" t="inlineStr">
        <is>
          <t>Eau De Parfum</t>
        </is>
      </c>
      <c r="D22447" t="inlineStr">
        <is>
          <t>Maison Alhambra</t>
        </is>
      </c>
      <c r="E22447" t="n">
        <v>10.39</v>
      </c>
      <c r="F22447" t="n">
        <v>1</v>
      </c>
      <c r="G22447" t="n">
        <v>24</v>
      </c>
      <c r="H22447" s="5">
        <f>HYPERLINK("https://api.qogita.com/variants/link/6290360590769/", "View Product")</f>
        <v/>
      </c>
    </row>
    <row r="22448">
      <c r="A22448" t="inlineStr">
        <is>
          <t>6290360590844</t>
        </is>
      </c>
      <c r="B22448" t="inlineStr">
        <is>
          <t>Precious Gold Eau De Parfum 80ml by Maison Alhambra</t>
        </is>
      </c>
      <c r="C22448" t="inlineStr">
        <is>
          <t>Eau De Parfum</t>
        </is>
      </c>
      <c r="D22448" t="inlineStr">
        <is>
          <t>Maison Alhambra</t>
        </is>
      </c>
      <c r="E22448" t="n">
        <v>10.53</v>
      </c>
      <c r="F22448" t="n">
        <v>1</v>
      </c>
      <c r="G22448" t="n">
        <v>23</v>
      </c>
      <c r="H22448" s="5">
        <f>HYPERLINK("https://api.qogita.com/variants/link/6290360590844/", "View Product")</f>
        <v/>
      </c>
    </row>
    <row r="22449">
      <c r="A22449" t="inlineStr">
        <is>
          <t>6290360591605</t>
        </is>
      </c>
      <c r="B22449" t="inlineStr">
        <is>
          <t>Maison Alhambra Sceptre Oceana Eau De Parfum Spray 100ml</t>
        </is>
      </c>
      <c r="C22449" t="inlineStr">
        <is>
          <t>Eau De Parfum</t>
        </is>
      </c>
      <c r="D22449" t="inlineStr">
        <is>
          <t>Maison Alhambra</t>
        </is>
      </c>
      <c r="E22449" t="n">
        <v>15.2</v>
      </c>
      <c r="F22449" t="n">
        <v>1</v>
      </c>
      <c r="G22449" t="n">
        <v>2</v>
      </c>
      <c r="H22449" s="5">
        <f>HYPERLINK("https://api.qogita.com/variants/link/6290360591605/", "View Product")</f>
        <v/>
      </c>
    </row>
    <row r="22450">
      <c r="A22450" t="inlineStr">
        <is>
          <t>6290360591612</t>
        </is>
      </c>
      <c r="B22450" t="inlineStr">
        <is>
          <t>Maison Alhambra Sceptre Amazonite Eau De Parfum Spray 100ml</t>
        </is>
      </c>
      <c r="C22450" t="inlineStr">
        <is>
          <t>Eau De Parfum</t>
        </is>
      </c>
      <c r="D22450" t="inlineStr">
        <is>
          <t>Maison Alhambra</t>
        </is>
      </c>
      <c r="E22450" t="n">
        <v>15.14</v>
      </c>
      <c r="F22450" t="n">
        <v>1</v>
      </c>
      <c r="G22450" t="n">
        <v>80</v>
      </c>
      <c r="H22450" s="5">
        <f>HYPERLINK("https://api.qogita.com/variants/link/6290360591612/", "View Product")</f>
        <v/>
      </c>
    </row>
    <row r="22451">
      <c r="A22451" t="inlineStr">
        <is>
          <t>6290360591957</t>
        </is>
      </c>
      <c r="B22451" t="inlineStr">
        <is>
          <t>Lattafa Pride La Collection 1910 Bike Eau De Parfum 100ml</t>
        </is>
      </c>
      <c r="C22451" t="inlineStr">
        <is>
          <t>Eau De Parfum</t>
        </is>
      </c>
      <c r="D22451" t="inlineStr">
        <is>
          <t>Lattafa</t>
        </is>
      </c>
      <c r="E22451" t="n">
        <v>27.8</v>
      </c>
      <c r="F22451" t="n">
        <v>1</v>
      </c>
      <c r="G22451" t="n">
        <v>219</v>
      </c>
      <c r="H22451" s="5">
        <f>HYPERLINK("https://api.qogita.com/variants/link/6290360591957/", "View Product")</f>
        <v/>
      </c>
    </row>
    <row r="22452">
      <c r="A22452" t="inlineStr">
        <is>
          <t>6290360592015</t>
        </is>
      </c>
      <c r="B22452" t="inlineStr">
        <is>
          <t>Lattafa Art Of Nature Ii - Eau De Parfum</t>
        </is>
      </c>
      <c r="C22452" t="inlineStr">
        <is>
          <t>Eau De Parfum</t>
        </is>
      </c>
      <c r="D22452" t="inlineStr">
        <is>
          <t>Lattafa</t>
        </is>
      </c>
      <c r="E22452" t="n">
        <v>26.17</v>
      </c>
      <c r="F22452" t="n">
        <v>1</v>
      </c>
      <c r="G22452" t="n">
        <v>545</v>
      </c>
      <c r="H22452" s="5">
        <f>HYPERLINK("https://api.qogita.com/variants/link/6290360592015/", "View Product")</f>
        <v/>
      </c>
    </row>
    <row r="22453">
      <c r="A22453" t="inlineStr">
        <is>
          <t>6290360592046</t>
        </is>
      </c>
      <c r="B22453" t="inlineStr">
        <is>
          <t>Lattafa The Collection D'Anquites 1886 EDP Unisex 3.4 Fl Oz</t>
        </is>
      </c>
      <c r="C22453" t="inlineStr">
        <is>
          <t>Eau De Parfum</t>
        </is>
      </c>
      <c r="D22453" t="inlineStr">
        <is>
          <t>Lattafa</t>
        </is>
      </c>
      <c r="E22453" t="n">
        <v>22.79</v>
      </c>
      <c r="F22453" t="n">
        <v>1</v>
      </c>
      <c r="G22453" t="n">
        <v>11</v>
      </c>
      <c r="H22453" s="5">
        <f>HYPERLINK("https://api.qogita.com/variants/link/6290360592046/", "View Product")</f>
        <v/>
      </c>
    </row>
    <row r="22454">
      <c r="A22454" t="inlineStr">
        <is>
          <t>6290360592107</t>
        </is>
      </c>
      <c r="B22454" t="inlineStr">
        <is>
          <t>Lattafa Khalid Eau De Parfum 80ml Unisex Fragrance</t>
        </is>
      </c>
      <c r="C22454" t="inlineStr">
        <is>
          <t>Eau De Parfum</t>
        </is>
      </c>
      <c r="D22454" t="inlineStr">
        <is>
          <t>Lattafa</t>
        </is>
      </c>
      <c r="E22454" t="n">
        <v>23.38</v>
      </c>
      <c r="F22454" t="n">
        <v>1</v>
      </c>
      <c r="G22454" t="n">
        <v>11</v>
      </c>
      <c r="H22454" s="5">
        <f>HYPERLINK("https://api.qogita.com/variants/link/6290360592107/", "View Product")</f>
        <v/>
      </c>
    </row>
    <row r="22455">
      <c r="A22455" t="inlineStr">
        <is>
          <t>6290360592206</t>
        </is>
      </c>
      <c r="B22455" t="inlineStr">
        <is>
          <t>Lattafa Pride Art Of Universe Eau De Parfum 100ml</t>
        </is>
      </c>
      <c r="C22455" t="inlineStr">
        <is>
          <t>Eau De Parfum</t>
        </is>
      </c>
      <c r="D22455" t="inlineStr">
        <is>
          <t>Lattafa</t>
        </is>
      </c>
      <c r="E22455" t="n">
        <v>27.71</v>
      </c>
      <c r="F22455" t="n">
        <v>1</v>
      </c>
      <c r="G22455" t="n">
        <v>67</v>
      </c>
      <c r="H22455" s="5">
        <f>HYPERLINK("https://api.qogita.com/variants/link/6290360592206/", "View Product")</f>
        <v/>
      </c>
    </row>
    <row r="22456">
      <c r="A22456" t="inlineStr">
        <is>
          <t>6290360592299</t>
        </is>
      </c>
      <c r="B22456" t="inlineStr">
        <is>
          <t>Lattafa Niche Emarati Khanjar Eau De Parfum Spray 85ml</t>
        </is>
      </c>
      <c r="C22456" t="inlineStr">
        <is>
          <t>Eau De Parfum</t>
        </is>
      </c>
      <c r="D22456" t="inlineStr">
        <is>
          <t>Lattafa</t>
        </is>
      </c>
      <c r="E22456" t="n">
        <v>36.19</v>
      </c>
      <c r="F22456" t="n">
        <v>1</v>
      </c>
      <c r="G22456" t="n">
        <v>70</v>
      </c>
      <c r="H22456" s="5">
        <f>HYPERLINK("https://api.qogita.com/variants/link/6290360592299/", "View Product")</f>
        <v/>
      </c>
    </row>
    <row r="22457">
      <c r="A22457" t="inlineStr">
        <is>
          <t>6290360592695</t>
        </is>
      </c>
      <c r="B22457" t="inlineStr">
        <is>
          <t>Lattafa Perfumes Affection EDP 100ml Lily Of the Valley Jasmine Raspberry Vanilla</t>
        </is>
      </c>
      <c r="C22457" t="inlineStr">
        <is>
          <t>Eau De Parfum</t>
        </is>
      </c>
      <c r="D22457" t="inlineStr">
        <is>
          <t>Lattafa</t>
        </is>
      </c>
      <c r="E22457" t="n">
        <v>18.93</v>
      </c>
      <c r="F22457" t="n">
        <v>1</v>
      </c>
      <c r="G22457" t="n">
        <v>459</v>
      </c>
      <c r="H22457" s="5">
        <f>HYPERLINK("https://api.qogita.com/variants/link/6290360592695/", "View Product")</f>
        <v/>
      </c>
    </row>
    <row r="22458">
      <c r="A22458" t="inlineStr">
        <is>
          <t>6290360592763</t>
        </is>
      </c>
      <c r="B22458" t="inlineStr">
        <is>
          <t>Lattafa Art Of Wood - Eau De Parfum</t>
        </is>
      </c>
      <c r="C22458" t="inlineStr">
        <is>
          <t>Eau De Parfum</t>
        </is>
      </c>
      <c r="D22458" t="inlineStr">
        <is>
          <t>Lattafa</t>
        </is>
      </c>
      <c r="E22458" t="n">
        <v>18.86</v>
      </c>
      <c r="F22458" t="n">
        <v>1</v>
      </c>
      <c r="G22458" t="n">
        <v>263</v>
      </c>
      <c r="H22458" s="5">
        <f>HYPERLINK("https://api.qogita.com/variants/link/6290360592763/", "View Product")</f>
        <v/>
      </c>
    </row>
    <row r="22459">
      <c r="A22459" t="inlineStr">
        <is>
          <t>6290360592787</t>
        </is>
      </c>
      <c r="B22459" t="inlineStr">
        <is>
          <t>Lattafa Perfumes Breeze EDP 100ml Bergamot Incense Cardamom</t>
        </is>
      </c>
      <c r="C22459" t="inlineStr">
        <is>
          <t>Eau De Parfum</t>
        </is>
      </c>
      <c r="D22459" t="inlineStr">
        <is>
          <t>Lattafa</t>
        </is>
      </c>
      <c r="E22459" t="n">
        <v>18.18</v>
      </c>
      <c r="F22459" t="n">
        <v>1</v>
      </c>
      <c r="G22459" t="n">
        <v>185</v>
      </c>
      <c r="H22459" s="5">
        <f>HYPERLINK("https://api.qogita.com/variants/link/6290360592787/", "View Product")</f>
        <v/>
      </c>
    </row>
    <row r="22460">
      <c r="A22460" t="inlineStr">
        <is>
          <t>6290360592985</t>
        </is>
      </c>
      <c r="B22460" t="inlineStr">
        <is>
          <t>Lattafa Niche Emarati Zikra Eau De Parfum Spray 100ml</t>
        </is>
      </c>
      <c r="C22460" t="inlineStr">
        <is>
          <t>Eau De Parfum</t>
        </is>
      </c>
      <c r="D22460" t="inlineStr">
        <is>
          <t>Lattafa</t>
        </is>
      </c>
      <c r="E22460" t="n">
        <v>35.34</v>
      </c>
      <c r="F22460" t="n">
        <v>1</v>
      </c>
      <c r="G22460" t="n">
        <v>105</v>
      </c>
      <c r="H22460" s="5">
        <f>HYPERLINK("https://api.qogita.com/variants/link/6290360592985/", "View Product")</f>
        <v/>
      </c>
    </row>
    <row r="22461">
      <c r="A22461" t="inlineStr">
        <is>
          <t>6290360593005</t>
        </is>
      </c>
      <c r="B22461" t="inlineStr">
        <is>
          <t>Lattafa Emarati Vintage Castle Eau De Parfum 100ml</t>
        </is>
      </c>
      <c r="C22461" t="inlineStr">
        <is>
          <t>Eau De Parfum</t>
        </is>
      </c>
      <c r="D22461" t="inlineStr">
        <is>
          <t>Lattafa</t>
        </is>
      </c>
      <c r="E22461" t="n">
        <v>36.19</v>
      </c>
      <c r="F22461" t="n">
        <v>1</v>
      </c>
      <c r="G22461" t="n">
        <v>118</v>
      </c>
      <c r="H22461" s="5">
        <f>HYPERLINK("https://api.qogita.com/variants/link/6290360593005/", "View Product")</f>
        <v/>
      </c>
    </row>
    <row r="22462">
      <c r="A22462" t="inlineStr">
        <is>
          <t>6290360593685</t>
        </is>
      </c>
      <c r="B22462" t="inlineStr">
        <is>
          <t>Rave Now by Lattafa for Women 3.4 Oz EDP Spray</t>
        </is>
      </c>
      <c r="C22462" t="inlineStr">
        <is>
          <t>Eau De Parfum</t>
        </is>
      </c>
      <c r="D22462" t="inlineStr">
        <is>
          <t>Lattafa</t>
        </is>
      </c>
      <c r="E22462" t="n">
        <v>13.09</v>
      </c>
      <c r="F22462" t="n">
        <v>1</v>
      </c>
      <c r="G22462" t="n">
        <v>33</v>
      </c>
      <c r="H22462" s="5">
        <f>HYPERLINK("https://api.qogita.com/variants/link/6290360593685/", "View Product")</f>
        <v/>
      </c>
    </row>
    <row r="22463">
      <c r="A22463" t="inlineStr">
        <is>
          <t>6290360594101</t>
        </is>
      </c>
      <c r="B22463" t="inlineStr">
        <is>
          <t>Rave Royal Supreme Dominant Eau De Parfum</t>
        </is>
      </c>
      <c r="C22463" t="inlineStr">
        <is>
          <t>Eau De Parfum</t>
        </is>
      </c>
      <c r="D22463" t="inlineStr">
        <is>
          <t>Rave</t>
        </is>
      </c>
      <c r="E22463" t="n">
        <v>12.87</v>
      </c>
      <c r="F22463" t="n">
        <v>1</v>
      </c>
      <c r="G22463" t="n">
        <v>200</v>
      </c>
      <c r="H22463" s="5">
        <f>HYPERLINK("https://api.qogita.com/variants/link/6290360594101/", "View Product")</f>
        <v/>
      </c>
    </row>
    <row r="22464">
      <c r="A22464" t="inlineStr">
        <is>
          <t>6290360597119</t>
        </is>
      </c>
      <c r="B22464" t="inlineStr">
        <is>
          <t>Riiffs Exclusive Privé Gold EDP 100ml</t>
        </is>
      </c>
      <c r="C22464" t="inlineStr">
        <is>
          <t>Eau De Parfum</t>
        </is>
      </c>
      <c r="D22464" t="inlineStr">
        <is>
          <t>Riiffs</t>
        </is>
      </c>
      <c r="E22464" t="n">
        <v>16.5</v>
      </c>
      <c r="F22464" t="n">
        <v>1</v>
      </c>
      <c r="G22464" t="n">
        <v>74</v>
      </c>
      <c r="H22464" s="5">
        <f>HYPERLINK("https://api.qogita.com/variants/link/6290360597119/", "View Product")</f>
        <v/>
      </c>
    </row>
    <row r="22465">
      <c r="A22465" t="inlineStr">
        <is>
          <t>6290360597126</t>
        </is>
      </c>
      <c r="B22465" t="inlineStr">
        <is>
          <t>Riiffs Exclusive Prive Rouge EDP 100ml</t>
        </is>
      </c>
      <c r="C22465" t="inlineStr">
        <is>
          <t>Eau De Parfum</t>
        </is>
      </c>
      <c r="D22465" t="inlineStr">
        <is>
          <t>Riflessi Parfums</t>
        </is>
      </c>
      <c r="E22465" t="n">
        <v>18.45</v>
      </c>
      <c r="F22465" t="n">
        <v>1</v>
      </c>
      <c r="G22465" t="n">
        <v>13</v>
      </c>
      <c r="H22465" s="5">
        <f>HYPERLINK("https://api.qogita.com/variants/link/6290360597126/", "View Product")</f>
        <v/>
      </c>
    </row>
    <row r="22466">
      <c r="A22466" t="inlineStr">
        <is>
          <t>6290360597133</t>
        </is>
      </c>
      <c r="B22466" t="inlineStr">
        <is>
          <t>Lattafa Ajwad Pink To Pink Eau De Parfum Spray 60ml</t>
        </is>
      </c>
      <c r="C22466" t="inlineStr">
        <is>
          <t>Eau De Parfum</t>
        </is>
      </c>
      <c r="D22466" t="inlineStr">
        <is>
          <t>Lattafa</t>
        </is>
      </c>
      <c r="E22466" t="n">
        <v>13.21</v>
      </c>
      <c r="F22466" t="n">
        <v>1</v>
      </c>
      <c r="G22466" t="n">
        <v>6</v>
      </c>
      <c r="H22466" s="5">
        <f>HYPERLINK("https://api.qogita.com/variants/link/6290360597133/", "View Product")</f>
        <v/>
      </c>
    </row>
    <row r="22467">
      <c r="A22467" t="inlineStr">
        <is>
          <t>6290360597294</t>
        </is>
      </c>
      <c r="B22467" t="inlineStr">
        <is>
          <t>Lattafa Velvet Musk Eau De Parfum 100ml</t>
        </is>
      </c>
      <c r="C22467" t="inlineStr">
        <is>
          <t>Eau De Parfum</t>
        </is>
      </c>
      <c r="D22467" t="inlineStr">
        <is>
          <t>Lattafa</t>
        </is>
      </c>
      <c r="E22467" t="n">
        <v>13.27</v>
      </c>
      <c r="F22467" t="n">
        <v>1</v>
      </c>
      <c r="G22467" t="n">
        <v>198</v>
      </c>
      <c r="H22467" s="5">
        <f>HYPERLINK("https://api.qogita.com/variants/link/6290360597294/", "View Product")</f>
        <v/>
      </c>
    </row>
    <row r="22468">
      <c r="A22468" t="inlineStr">
        <is>
          <t>6290360598321</t>
        </is>
      </c>
      <c r="B22468" t="inlineStr">
        <is>
          <t>Lattafa Mashrabya Eau De Parfum 100ml</t>
        </is>
      </c>
      <c r="C22468" t="inlineStr">
        <is>
          <t>Eau De Parfum</t>
        </is>
      </c>
      <c r="D22468" t="inlineStr">
        <is>
          <t>Lattafa</t>
        </is>
      </c>
      <c r="E22468" t="n">
        <v>18.09</v>
      </c>
      <c r="F22468" t="n">
        <v>1</v>
      </c>
      <c r="G22468" t="n">
        <v>456</v>
      </c>
      <c r="H22468" s="5">
        <f>HYPERLINK("https://api.qogita.com/variants/link/6290360598321/", "View Product")</f>
        <v/>
      </c>
    </row>
    <row r="22469">
      <c r="A22469" t="inlineStr">
        <is>
          <t>6290360598673</t>
        </is>
      </c>
      <c r="B22469" t="inlineStr">
        <is>
          <t>Maison Alhambra Vogue Night Eau De Parfum 100ml</t>
        </is>
      </c>
      <c r="C22469" t="inlineStr">
        <is>
          <t>Eau De Parfum</t>
        </is>
      </c>
      <c r="D22469" t="inlineStr">
        <is>
          <t>Maison Alhambra</t>
        </is>
      </c>
      <c r="E22469" t="n">
        <v>13.09</v>
      </c>
      <c r="F22469" t="n">
        <v>1</v>
      </c>
      <c r="G22469" t="n">
        <v>169</v>
      </c>
      <c r="H22469" s="5">
        <f>HYPERLINK("https://api.qogita.com/variants/link/6290360598673/", "View Product")</f>
        <v/>
      </c>
    </row>
    <row r="22470">
      <c r="A22470" t="inlineStr">
        <is>
          <t>6290360598697</t>
        </is>
      </c>
      <c r="B22470" t="inlineStr">
        <is>
          <t>Maison Alhambra Vogue Rouge Eau De Parfum 100ml</t>
        </is>
      </c>
      <c r="C22470" t="inlineStr">
        <is>
          <t>Eau De Parfum</t>
        </is>
      </c>
      <c r="D22470" t="inlineStr">
        <is>
          <t>Maison Alhambra</t>
        </is>
      </c>
      <c r="E22470" t="n">
        <v>13.38</v>
      </c>
      <c r="F22470" t="n">
        <v>1</v>
      </c>
      <c r="G22470" t="n">
        <v>145</v>
      </c>
      <c r="H22470" s="5">
        <f>HYPERLINK("https://api.qogita.com/variants/link/6290360598697/", "View Product")</f>
        <v/>
      </c>
    </row>
    <row r="22471">
      <c r="A22471" t="inlineStr">
        <is>
          <t>6290360598703</t>
        </is>
      </c>
      <c r="B22471" t="inlineStr">
        <is>
          <t>Nusuk Ana Al Awal Wardi Eau De Parfum 100 Ml</t>
        </is>
      </c>
      <c r="C22471" t="inlineStr">
        <is>
          <t>Eau De Parfum</t>
        </is>
      </c>
      <c r="D22471" t="inlineStr">
        <is>
          <t>Rituals</t>
        </is>
      </c>
      <c r="E22471" t="n">
        <v>10.74</v>
      </c>
      <c r="F22471" t="n">
        <v>1</v>
      </c>
      <c r="G22471" t="n">
        <v>29</v>
      </c>
      <c r="H22471" s="5">
        <f>HYPERLINK("https://api.qogita.com/variants/link/6290360598703/", "View Product")</f>
        <v/>
      </c>
    </row>
    <row r="22472">
      <c r="A22472" t="inlineStr">
        <is>
          <t>6290360598710</t>
        </is>
      </c>
      <c r="B22472" t="inlineStr">
        <is>
          <t>Imperial Noir Cologne for Men 3.4oz/100ml Eau De Parfum</t>
        </is>
      </c>
      <c r="C22472" t="inlineStr">
        <is>
          <t>Eau De Parfum</t>
        </is>
      </c>
      <c r="D22472" t="inlineStr">
        <is>
          <t>Riiffs</t>
        </is>
      </c>
      <c r="E22472" t="n">
        <v>12.42</v>
      </c>
      <c r="F22472" t="n">
        <v>1</v>
      </c>
      <c r="G22472" t="n">
        <v>32</v>
      </c>
      <c r="H22472" s="5">
        <f>HYPERLINK("https://api.qogita.com/variants/link/6290360598710/", "View Product")</f>
        <v/>
      </c>
    </row>
    <row r="22473">
      <c r="A22473" t="inlineStr">
        <is>
          <t>6290360599113</t>
        </is>
      </c>
      <c r="B22473" t="inlineStr">
        <is>
          <t>Lattafa His Confession Eau De Parfum 100ml</t>
        </is>
      </c>
      <c r="C22473" t="inlineStr">
        <is>
          <t>Eau De Parfum</t>
        </is>
      </c>
      <c r="D22473" t="inlineStr">
        <is>
          <t>Lattafa</t>
        </is>
      </c>
      <c r="E22473" t="n">
        <v>24.74</v>
      </c>
      <c r="F22473" t="n">
        <v>1</v>
      </c>
      <c r="G22473" t="n">
        <v>459</v>
      </c>
      <c r="H22473" s="5">
        <f>HYPERLINK("https://api.qogita.com/variants/link/6290360599113/", "View Product")</f>
        <v/>
      </c>
    </row>
    <row r="22474">
      <c r="A22474" t="inlineStr">
        <is>
          <t>6290360599168</t>
        </is>
      </c>
      <c r="B22474" t="inlineStr">
        <is>
          <t>Lattafa Perfumes Yara Candy Eau de Parfum 100ml Spray</t>
        </is>
      </c>
      <c r="C22474" t="inlineStr">
        <is>
          <t>Eau De Parfum</t>
        </is>
      </c>
      <c r="D22474" t="inlineStr">
        <is>
          <t>Lattafa</t>
        </is>
      </c>
      <c r="E22474" t="n">
        <v>16.51</v>
      </c>
      <c r="F22474" t="n">
        <v>1</v>
      </c>
      <c r="G22474" t="n">
        <v>1071</v>
      </c>
      <c r="H22474" s="5">
        <f>HYPERLINK("https://api.qogita.com/variants/link/6290360599168/", "View Product")</f>
        <v/>
      </c>
    </row>
    <row r="22475">
      <c r="A22475" t="inlineStr">
        <is>
          <t>6290360599175</t>
        </is>
      </c>
      <c r="B22475" t="inlineStr">
        <is>
          <t>Maison Alhambra Love Spark 80ml Eau de Parfum</t>
        </is>
      </c>
      <c r="C22475" t="inlineStr">
        <is>
          <t>Eau De Parfum</t>
        </is>
      </c>
      <c r="D22475" t="inlineStr">
        <is>
          <t>Maison Alhambra</t>
        </is>
      </c>
      <c r="E22475" t="n">
        <v>12.16</v>
      </c>
      <c r="F22475" t="n">
        <v>1</v>
      </c>
      <c r="G22475" t="n">
        <v>459</v>
      </c>
      <c r="H22475" s="5">
        <f>HYPERLINK("https://api.qogita.com/variants/link/6290360599175/", "View Product")</f>
        <v/>
      </c>
    </row>
    <row r="22476">
      <c r="A22476" t="inlineStr">
        <is>
          <t>6290360599182</t>
        </is>
      </c>
      <c r="B22476" t="inlineStr">
        <is>
          <t>Alhambra Mysterious Amber - Eau De Parfum</t>
        </is>
      </c>
      <c r="C22476" t="inlineStr">
        <is>
          <t>Eau De Parfum</t>
        </is>
      </c>
      <c r="D22476" t="inlineStr">
        <is>
          <t>Maison Alhambra</t>
        </is>
      </c>
      <c r="E22476" t="n">
        <v>15.24</v>
      </c>
      <c r="F22476" t="n">
        <v>1</v>
      </c>
      <c r="G22476" t="n">
        <v>95</v>
      </c>
      <c r="H22476" s="5">
        <f>HYPERLINK("https://api.qogita.com/variants/link/6290360599182/", "View Product")</f>
        <v/>
      </c>
    </row>
    <row r="22477">
      <c r="A22477" t="inlineStr">
        <is>
          <t>6290360599199</t>
        </is>
      </c>
      <c r="B22477" t="inlineStr">
        <is>
          <t>Maison Alhambra Incense Ebony Eau De Parfum 80ml</t>
        </is>
      </c>
      <c r="C22477" t="inlineStr">
        <is>
          <t>Eau De Parfum</t>
        </is>
      </c>
      <c r="D22477" t="inlineStr">
        <is>
          <t>Maison Alhambra</t>
        </is>
      </c>
      <c r="E22477" t="n">
        <v>12.16</v>
      </c>
      <c r="F22477" t="n">
        <v>1</v>
      </c>
      <c r="G22477" t="n">
        <v>459</v>
      </c>
      <c r="H22477" s="5">
        <f>HYPERLINK("https://api.qogita.com/variants/link/6290360599199/", "View Product")</f>
        <v/>
      </c>
    </row>
    <row r="22478">
      <c r="A22478" t="inlineStr">
        <is>
          <t>6290360615516</t>
        </is>
      </c>
      <c r="B22478" t="inlineStr">
        <is>
          <t>Hirfah by Ahmed Al Maghribi Unisex 253 Oz EDP Spray</t>
        </is>
      </c>
      <c r="C22478" t="inlineStr">
        <is>
          <t>Eau De Parfum</t>
        </is>
      </c>
      <c r="D22478" t="inlineStr">
        <is>
          <t>Ahmed Al Maghribi</t>
        </is>
      </c>
      <c r="E22478" t="n">
        <v>19.29</v>
      </c>
      <c r="F22478" t="n">
        <v>1</v>
      </c>
      <c r="G22478" t="n">
        <v>4</v>
      </c>
      <c r="H22478" s="5">
        <f>HYPERLINK("https://api.qogita.com/variants/link/6290360615516/", "View Product")</f>
        <v/>
      </c>
    </row>
    <row r="22479">
      <c r="A22479" t="inlineStr">
        <is>
          <t>6290360812847</t>
        </is>
      </c>
      <c r="B22479" t="inlineStr">
        <is>
          <t>Niche Collection Jawad By Khalis For Men 3.4 Oz EDP Spray</t>
        </is>
      </c>
      <c r="C22479" t="inlineStr">
        <is>
          <t>Eau De Parfum</t>
        </is>
      </c>
      <c r="D22479" t="inlineStr">
        <is>
          <t>Khalis</t>
        </is>
      </c>
      <c r="E22479" t="n">
        <v>16.63</v>
      </c>
      <c r="F22479" t="n">
        <v>1</v>
      </c>
      <c r="G22479" t="n">
        <v>2</v>
      </c>
      <c r="H22479" s="5">
        <f>HYPERLINK("https://api.qogita.com/variants/link/6290360812847/", "View Product")</f>
        <v/>
      </c>
    </row>
    <row r="22480">
      <c r="A22480" t="inlineStr">
        <is>
          <t>6290362340171</t>
        </is>
      </c>
      <c r="B22480" t="inlineStr">
        <is>
          <t>Maison Alhambra La Charmante Eclatant Eau De Parfum 100ml</t>
        </is>
      </c>
      <c r="C22480" t="inlineStr">
        <is>
          <t>Eau De Parfum</t>
        </is>
      </c>
      <c r="D22480" t="inlineStr">
        <is>
          <t>Maison Alhambra</t>
        </is>
      </c>
      <c r="E22480" t="n">
        <v>16.44</v>
      </c>
      <c r="F22480" t="n">
        <v>1</v>
      </c>
      <c r="G22480" t="n">
        <v>459</v>
      </c>
      <c r="H22480" s="5">
        <f>HYPERLINK("https://api.qogita.com/variants/link/6290362340171/", "View Product")</f>
        <v/>
      </c>
    </row>
    <row r="22481">
      <c r="A22481" t="inlineStr">
        <is>
          <t>6290362340515</t>
        </is>
      </c>
      <c r="B22481" t="inlineStr">
        <is>
          <t>Maison Alhambra Galactic Men Intense Eau De Parfum 100ml</t>
        </is>
      </c>
      <c r="C22481" t="inlineStr">
        <is>
          <t>Eau De Parfum</t>
        </is>
      </c>
      <c r="D22481" t="inlineStr">
        <is>
          <t>Maison Alhambra</t>
        </is>
      </c>
      <c r="E22481" t="n">
        <v>10.03</v>
      </c>
      <c r="F22481" t="n">
        <v>1</v>
      </c>
      <c r="G22481" t="n">
        <v>67</v>
      </c>
      <c r="H22481" s="5">
        <f>HYPERLINK("https://api.qogita.com/variants/link/6290362340515/", "View Product")</f>
        <v/>
      </c>
    </row>
    <row r="22482">
      <c r="A22482" t="inlineStr">
        <is>
          <t>6290362340607</t>
        </is>
      </c>
      <c r="B22482" t="inlineStr">
        <is>
          <t>Maison Alhambra Victorioso Legacy Unisex Eau De Parfum Spray 3.4 Ounce</t>
        </is>
      </c>
      <c r="C22482" t="inlineStr">
        <is>
          <t>Eau De Parfum</t>
        </is>
      </c>
      <c r="D22482" t="inlineStr">
        <is>
          <t>Maison Alhambra</t>
        </is>
      </c>
      <c r="E22482" t="n">
        <v>11.25</v>
      </c>
      <c r="F22482" t="n">
        <v>1</v>
      </c>
      <c r="G22482" t="n">
        <v>146</v>
      </c>
      <c r="H22482" s="5">
        <f>HYPERLINK("https://api.qogita.com/variants/link/6290362340607/", "View Product")</f>
        <v/>
      </c>
    </row>
    <row r="22483">
      <c r="A22483" t="inlineStr">
        <is>
          <t>6290362340621</t>
        </is>
      </c>
      <c r="B22483" t="inlineStr">
        <is>
          <t>Maison Alhambra Sceptre Desert Fruity Gourmand Woody Amber Eau De Parfum</t>
        </is>
      </c>
      <c r="C22483" t="inlineStr">
        <is>
          <t>Eau De Parfum</t>
        </is>
      </c>
      <c r="D22483" t="inlineStr">
        <is>
          <t>Maison Alhambra</t>
        </is>
      </c>
      <c r="E22483" t="n">
        <v>19.77</v>
      </c>
      <c r="F22483" t="n">
        <v>1</v>
      </c>
      <c r="G22483" t="n">
        <v>430</v>
      </c>
      <c r="H22483" s="5">
        <f>HYPERLINK("https://api.qogita.com/variants/link/6290362340621/", "View Product")</f>
        <v/>
      </c>
    </row>
    <row r="22484">
      <c r="A22484" t="inlineStr">
        <is>
          <t>6290362340645</t>
        </is>
      </c>
      <c r="B22484" t="inlineStr">
        <is>
          <t>Lattafa Qaed Al Fursan Untamed Eau De Parfum 90ml</t>
        </is>
      </c>
      <c r="C22484" t="inlineStr">
        <is>
          <t>Eau De Parfum</t>
        </is>
      </c>
      <c r="D22484" t="inlineStr">
        <is>
          <t>Lattafa</t>
        </is>
      </c>
      <c r="E22484" t="n">
        <v>12.07</v>
      </c>
      <c r="F22484" t="n">
        <v>1</v>
      </c>
      <c r="G22484" t="n">
        <v>459</v>
      </c>
      <c r="H22484" s="5">
        <f>HYPERLINK("https://api.qogita.com/variants/link/6290362340645/", "View Product")</f>
        <v/>
      </c>
    </row>
    <row r="22485">
      <c r="A22485" t="inlineStr">
        <is>
          <t>6290362340812</t>
        </is>
      </c>
      <c r="B22485" t="inlineStr">
        <is>
          <t>Maison Alhambra Encode Mountain Eau De Parfum 100ml</t>
        </is>
      </c>
      <c r="C22485" t="inlineStr">
        <is>
          <t>Eau De Parfum</t>
        </is>
      </c>
      <c r="D22485" t="inlineStr">
        <is>
          <t>Maison Alhambra</t>
        </is>
      </c>
      <c r="E22485" t="n">
        <v>7.94</v>
      </c>
      <c r="F22485" t="n">
        <v>1</v>
      </c>
      <c r="G22485" t="n">
        <v>183</v>
      </c>
      <c r="H22485" s="5">
        <f>HYPERLINK("https://api.qogita.com/variants/link/6290362340812/", "View Product")</f>
        <v/>
      </c>
    </row>
    <row r="22486">
      <c r="A22486" t="inlineStr">
        <is>
          <t>6290362340836</t>
        </is>
      </c>
      <c r="B22486" t="inlineStr">
        <is>
          <t>Maison Alhambra Exquisite Club Eau De Parfum 100ml</t>
        </is>
      </c>
      <c r="C22486" t="inlineStr">
        <is>
          <t>Eau De Parfum</t>
        </is>
      </c>
      <c r="D22486" t="inlineStr">
        <is>
          <t>Maison Alhambra</t>
        </is>
      </c>
      <c r="E22486" t="n">
        <v>8.960000000000001</v>
      </c>
      <c r="F22486" t="n">
        <v>1</v>
      </c>
      <c r="G22486" t="n">
        <v>59</v>
      </c>
      <c r="H22486" s="5">
        <f>HYPERLINK("https://api.qogita.com/variants/link/6290362340836/", "View Product")</f>
        <v/>
      </c>
    </row>
    <row r="22487">
      <c r="A22487" t="inlineStr">
        <is>
          <t>6290362340843</t>
        </is>
      </c>
      <c r="B22487" t="inlineStr">
        <is>
          <t>Maison Alhambra Extravagant Lover Eau De Parfum 100ml</t>
        </is>
      </c>
      <c r="C22487" t="inlineStr">
        <is>
          <t>Eau De Parfum</t>
        </is>
      </c>
      <c r="D22487" t="inlineStr">
        <is>
          <t>Maison Alhambra</t>
        </is>
      </c>
      <c r="E22487" t="n">
        <v>9.1</v>
      </c>
      <c r="F22487" t="n">
        <v>1</v>
      </c>
      <c r="G22487" t="n">
        <v>459</v>
      </c>
      <c r="H22487" s="5">
        <f>HYPERLINK("https://api.qogita.com/variants/link/6290362340843/", "View Product")</f>
        <v/>
      </c>
    </row>
    <row r="22488">
      <c r="A22488" t="inlineStr">
        <is>
          <t>6290362340850</t>
        </is>
      </c>
      <c r="B22488" t="inlineStr">
        <is>
          <t>Maison Alhambra Luminous Vivid Eau De Parfum 100ml</t>
        </is>
      </c>
      <c r="C22488" t="inlineStr">
        <is>
          <t>Eau De Parfum</t>
        </is>
      </c>
      <c r="D22488" t="inlineStr">
        <is>
          <t>Maison Alhambra</t>
        </is>
      </c>
      <c r="E22488" t="n">
        <v>16.22</v>
      </c>
      <c r="F22488" t="n">
        <v>1</v>
      </c>
      <c r="G22488" t="n">
        <v>190</v>
      </c>
      <c r="H22488" s="5">
        <f>HYPERLINK("https://api.qogita.com/variants/link/6290362340850/", "View Product")</f>
        <v/>
      </c>
    </row>
    <row r="22489">
      <c r="A22489" t="inlineStr">
        <is>
          <t>6290362340959</t>
        </is>
      </c>
      <c r="B22489" t="inlineStr">
        <is>
          <t>Maison Alhambra True Word Men Eau De Parfum 100 Ml</t>
        </is>
      </c>
      <c r="C22489" t="inlineStr">
        <is>
          <t>Eau De Parfum</t>
        </is>
      </c>
      <c r="D22489" t="inlineStr">
        <is>
          <t>Maison Alhambra</t>
        </is>
      </c>
      <c r="E22489" t="n">
        <v>16.22</v>
      </c>
      <c r="F22489" t="n">
        <v>1</v>
      </c>
      <c r="G22489" t="n">
        <v>33</v>
      </c>
      <c r="H22489" s="5">
        <f>HYPERLINK("https://api.qogita.com/variants/link/6290362340959/", "View Product")</f>
        <v/>
      </c>
    </row>
    <row r="22490">
      <c r="A22490" t="inlineStr">
        <is>
          <t>6290362340973</t>
        </is>
      </c>
      <c r="B22490" t="inlineStr">
        <is>
          <t>Maison Alhambra Your Touch Amber EDP for Men 3.4 Fl Oz</t>
        </is>
      </c>
      <c r="C22490" t="inlineStr">
        <is>
          <t>Eau De Parfum</t>
        </is>
      </c>
      <c r="D22490" t="inlineStr">
        <is>
          <t>Maison Alhambra</t>
        </is>
      </c>
      <c r="E22490" t="n">
        <v>9.94</v>
      </c>
      <c r="F22490" t="n">
        <v>1</v>
      </c>
      <c r="G22490" t="n">
        <v>384</v>
      </c>
      <c r="H22490" s="5">
        <f>HYPERLINK("https://api.qogita.com/variants/link/6290362340973/", "View Product")</f>
        <v/>
      </c>
    </row>
    <row r="22491">
      <c r="A22491" t="inlineStr">
        <is>
          <t>6290362341123</t>
        </is>
      </c>
      <c r="B22491" t="inlineStr">
        <is>
          <t>Maison Alhambra Luxe Nightlife Eau De Parfum 100 Ml</t>
        </is>
      </c>
      <c r="C22491" t="inlineStr">
        <is>
          <t>Eau De Parfum</t>
        </is>
      </c>
      <c r="D22491" t="inlineStr">
        <is>
          <t>Maison Alhambra</t>
        </is>
      </c>
      <c r="E22491" t="n">
        <v>17.49</v>
      </c>
      <c r="F22491" t="n">
        <v>1</v>
      </c>
      <c r="G22491" t="n">
        <v>345</v>
      </c>
      <c r="H22491" s="5">
        <f>HYPERLINK("https://api.qogita.com/variants/link/6290362341123/", "View Product")</f>
        <v/>
      </c>
    </row>
    <row r="22492">
      <c r="A22492" t="inlineStr">
        <is>
          <t>6290362342489</t>
        </is>
      </c>
      <c r="B22492" t="inlineStr">
        <is>
          <t>Lattafa Lail Maleki Moroccan Blue Eau De Parfum 100ml</t>
        </is>
      </c>
      <c r="C22492" t="inlineStr">
        <is>
          <t>Eau De Parfum</t>
        </is>
      </c>
      <c r="D22492" t="inlineStr">
        <is>
          <t>Lattafa</t>
        </is>
      </c>
      <c r="E22492" t="n">
        <v>10.85</v>
      </c>
      <c r="F22492" t="n">
        <v>1</v>
      </c>
      <c r="G22492" t="n">
        <v>459</v>
      </c>
      <c r="H22492" s="5">
        <f>HYPERLINK("https://api.qogita.com/variants/link/6290362342489/", "View Product")</f>
        <v/>
      </c>
    </row>
    <row r="22493">
      <c r="A22493" t="inlineStr">
        <is>
          <t>6290362345688</t>
        </is>
      </c>
      <c r="B22493" t="inlineStr">
        <is>
          <t>Lattafa Yara Concentrated Oil 20 Ml</t>
        </is>
      </c>
      <c r="C22493" t="inlineStr">
        <is>
          <t>Extrait De Parfum</t>
        </is>
      </c>
      <c r="D22493" t="inlineStr">
        <is>
          <t>Lattafa</t>
        </is>
      </c>
      <c r="E22493" t="n">
        <v>13.27</v>
      </c>
      <c r="F22493" t="n">
        <v>1</v>
      </c>
      <c r="G22493" t="n">
        <v>459</v>
      </c>
      <c r="H22493" s="5">
        <f>HYPERLINK("https://api.qogita.com/variants/link/6290362345688/", "View Product")</f>
        <v/>
      </c>
    </row>
    <row r="22494">
      <c r="A22494" t="inlineStr">
        <is>
          <t>6290362345701</t>
        </is>
      </c>
      <c r="B22494" t="inlineStr">
        <is>
          <t>Lattafa Yara Moi Pure Concentrated Perfume Oil for Women 0.67 Fl Oz</t>
        </is>
      </c>
      <c r="C22494" t="inlineStr">
        <is>
          <t>Extrait De Parfum</t>
        </is>
      </c>
      <c r="D22494" t="inlineStr">
        <is>
          <t>Lattafa</t>
        </is>
      </c>
      <c r="E22494" t="n">
        <v>13.27</v>
      </c>
      <c r="F22494" t="n">
        <v>1</v>
      </c>
      <c r="G22494" t="n">
        <v>459</v>
      </c>
      <c r="H22494" s="5">
        <f>HYPERLINK("https://api.qogita.com/variants/link/6290362345701/", "View Product")</f>
        <v/>
      </c>
    </row>
    <row r="22495">
      <c r="A22495" t="inlineStr">
        <is>
          <t>6290362345718</t>
        </is>
      </c>
      <c r="B22495" t="inlineStr">
        <is>
          <t>Lattafa Yara Candy Concentrated Perfume Oil 20 Ml</t>
        </is>
      </c>
      <c r="C22495" t="inlineStr">
        <is>
          <t>Extrait De Parfum</t>
        </is>
      </c>
      <c r="D22495" t="inlineStr">
        <is>
          <t>Lattafa</t>
        </is>
      </c>
      <c r="E22495" t="n">
        <v>13.27</v>
      </c>
      <c r="F22495" t="n">
        <v>1</v>
      </c>
      <c r="G22495" t="n">
        <v>459</v>
      </c>
      <c r="H22495" s="5">
        <f>HYPERLINK("https://api.qogita.com/variants/link/6290362345718/", "View Product")</f>
        <v/>
      </c>
    </row>
    <row r="22496">
      <c r="A22496" t="inlineStr">
        <is>
          <t>6290362346111</t>
        </is>
      </c>
      <c r="B22496" t="inlineStr">
        <is>
          <t>Lattafa Pride Queen of Arabia 100ml EDP Luxurious Coconut Floral with Vanilla</t>
        </is>
      </c>
      <c r="C22496" t="inlineStr">
        <is>
          <t>Eau De Parfum</t>
        </is>
      </c>
      <c r="D22496" t="inlineStr">
        <is>
          <t>Lattafa</t>
        </is>
      </c>
      <c r="E22496" t="n">
        <v>30.21</v>
      </c>
      <c r="F22496" t="n">
        <v>1</v>
      </c>
      <c r="G22496" t="n">
        <v>459</v>
      </c>
      <c r="H22496" s="5">
        <f>HYPERLINK("https://api.qogita.com/variants/link/6290362346111/", "View Product")</f>
        <v/>
      </c>
    </row>
    <row r="22497">
      <c r="A22497" t="inlineStr">
        <is>
          <t>6291011068972</t>
        </is>
      </c>
      <c r="B22497" t="inlineStr">
        <is>
          <t>Royal Collection Veritas Blue Perfume</t>
        </is>
      </c>
      <c r="C22497" t="inlineStr">
        <is>
          <t>Eau De Parfum</t>
        </is>
      </c>
      <c r="D22497" t="inlineStr">
        <is>
          <t>Royal Collection</t>
        </is>
      </c>
      <c r="E22497" t="n">
        <v>18.48</v>
      </c>
      <c r="F22497" t="n">
        <v>1</v>
      </c>
      <c r="G22497" t="n">
        <v>7</v>
      </c>
      <c r="H22497" s="5">
        <f>HYPERLINK("https://api.qogita.com/variants/link/6291011068972/", "View Product")</f>
        <v/>
      </c>
    </row>
    <row r="22498">
      <c r="A22498" t="inlineStr">
        <is>
          <t>6291100130092</t>
        </is>
      </c>
      <c r="B22498" t="inlineStr">
        <is>
          <t>Al Haramain L'Aventure Eau De Parfum 100ml</t>
        </is>
      </c>
      <c r="C22498" t="inlineStr">
        <is>
          <t>Eau De Parfum</t>
        </is>
      </c>
      <c r="D22498" t="inlineStr">
        <is>
          <t>Al Haramain</t>
        </is>
      </c>
      <c r="E22498" t="n">
        <v>28.36</v>
      </c>
      <c r="F22498" t="n">
        <v>1</v>
      </c>
      <c r="G22498" t="n">
        <v>34</v>
      </c>
      <c r="H22498" s="5">
        <f>HYPERLINK("https://api.qogita.com/variants/link/6291100130092/", "View Product")</f>
        <v/>
      </c>
    </row>
    <row r="22499">
      <c r="A22499" t="inlineStr">
        <is>
          <t>6291100130146</t>
        </is>
      </c>
      <c r="B22499" t="inlineStr">
        <is>
          <t>Al Haramain Amber Oud Blue Edition Eau De Parfum Spray 100ml</t>
        </is>
      </c>
      <c r="C22499" t="inlineStr">
        <is>
          <t>Eau De Parfum</t>
        </is>
      </c>
      <c r="D22499" t="inlineStr">
        <is>
          <t>Al Haramain</t>
        </is>
      </c>
      <c r="E22499" t="n">
        <v>51.22</v>
      </c>
      <c r="F22499" t="n">
        <v>1</v>
      </c>
      <c r="G22499" t="n">
        <v>11</v>
      </c>
      <c r="H22499" s="5">
        <f>HYPERLINK("https://api.qogita.com/variants/link/6291100130146/", "View Product")</f>
        <v/>
      </c>
    </row>
    <row r="22500">
      <c r="A22500" t="inlineStr">
        <is>
          <t>6291100130177</t>
        </is>
      </c>
      <c r="B22500" t="inlineStr">
        <is>
          <t>Al Haramain Hayati Unisex Eau De Parfum Spray 100ml</t>
        </is>
      </c>
      <c r="C22500" t="inlineStr">
        <is>
          <t>Eau De Parfum</t>
        </is>
      </c>
      <c r="D22500" t="inlineStr">
        <is>
          <t>Al Haramain</t>
        </is>
      </c>
      <c r="E22500" t="n">
        <v>48.23</v>
      </c>
      <c r="F22500" t="n">
        <v>1</v>
      </c>
      <c r="G22500" t="n">
        <v>10</v>
      </c>
      <c r="H22500" s="5">
        <f>HYPERLINK("https://api.qogita.com/variants/link/6291100130177/", "View Product")</f>
        <v/>
      </c>
    </row>
    <row r="22501">
      <c r="A22501" t="inlineStr">
        <is>
          <t>6291100130290</t>
        </is>
      </c>
      <c r="B22501" t="inlineStr">
        <is>
          <t>Al Haramain Oudh Adam Eau De Parfum Spray 75ml</t>
        </is>
      </c>
      <c r="C22501" t="inlineStr">
        <is>
          <t>Eau De Parfum</t>
        </is>
      </c>
      <c r="D22501" t="inlineStr">
        <is>
          <t>Al Haramain</t>
        </is>
      </c>
      <c r="E22501" t="n">
        <v>34.49</v>
      </c>
      <c r="F22501" t="n">
        <v>1</v>
      </c>
      <c r="G22501" t="n">
        <v>40</v>
      </c>
      <c r="H22501" s="5">
        <f>HYPERLINK("https://api.qogita.com/variants/link/6291100130290/", "View Product")</f>
        <v/>
      </c>
    </row>
    <row r="22502">
      <c r="A22502" t="inlineStr">
        <is>
          <t>6291100131303</t>
        </is>
      </c>
      <c r="B22502" t="inlineStr">
        <is>
          <t>Al Haramain Manege Rouge Eau De Parfum 75ml For Women</t>
        </is>
      </c>
      <c r="C22502" t="inlineStr">
        <is>
          <t>Eau De Parfum</t>
        </is>
      </c>
      <c r="D22502" t="inlineStr">
        <is>
          <t>Al Haramain</t>
        </is>
      </c>
      <c r="E22502" t="n">
        <v>38.87</v>
      </c>
      <c r="F22502" t="n">
        <v>1</v>
      </c>
      <c r="G22502" t="n">
        <v>20</v>
      </c>
      <c r="H22502" s="5">
        <f>HYPERLINK("https://api.qogita.com/variants/link/6291100131303/", "View Product")</f>
        <v/>
      </c>
    </row>
    <row r="22503">
      <c r="A22503" t="inlineStr">
        <is>
          <t>6291100131501</t>
        </is>
      </c>
      <c r="B22503" t="inlineStr">
        <is>
          <t>Al Haramain Areej Al Oud 100ml</t>
        </is>
      </c>
      <c r="C22503" t="inlineStr">
        <is>
          <t>Eau De Parfum</t>
        </is>
      </c>
      <c r="D22503" t="inlineStr">
        <is>
          <t>Al Haramain</t>
        </is>
      </c>
      <c r="E22503" t="n">
        <v>15.96</v>
      </c>
      <c r="F22503" t="n">
        <v>1</v>
      </c>
      <c r="G22503" t="n">
        <v>14</v>
      </c>
      <c r="H22503" s="5">
        <f>HYPERLINK("https://api.qogita.com/variants/link/6291100131501/", "View Product")</f>
        <v/>
      </c>
    </row>
    <row r="22504">
      <c r="A22504" t="inlineStr">
        <is>
          <t>6291100131662</t>
        </is>
      </c>
      <c r="B22504" t="inlineStr">
        <is>
          <t>Al Haramain Portfolio Imperial Oud Unisex Eau De Parfum Spray 75ml</t>
        </is>
      </c>
      <c r="C22504" t="inlineStr">
        <is>
          <t>Eau De Parfum</t>
        </is>
      </c>
      <c r="D22504" t="inlineStr">
        <is>
          <t>Al Haramain</t>
        </is>
      </c>
      <c r="E22504" t="n">
        <v>55.25</v>
      </c>
      <c r="F22504" t="n">
        <v>1</v>
      </c>
      <c r="G22504" t="n">
        <v>7</v>
      </c>
      <c r="H22504" s="5">
        <f>HYPERLINK("https://api.qogita.com/variants/link/6291100131662/", "View Product")</f>
        <v/>
      </c>
    </row>
    <row r="22505">
      <c r="A22505" t="inlineStr">
        <is>
          <t>6291100131792</t>
        </is>
      </c>
      <c r="B22505" t="inlineStr">
        <is>
          <t>Al Haramain Cherry Blossom Perfume Oil</t>
        </is>
      </c>
      <c r="C22505" t="inlineStr">
        <is>
          <t>Eau De Parfum</t>
        </is>
      </c>
      <c r="D22505" t="inlineStr">
        <is>
          <t>Al Haramain</t>
        </is>
      </c>
      <c r="E22505" t="n">
        <v>62.18</v>
      </c>
      <c r="F22505" t="n">
        <v>1</v>
      </c>
      <c r="G22505" t="n">
        <v>20</v>
      </c>
      <c r="H22505" s="5">
        <f>HYPERLINK("https://api.qogita.com/variants/link/6291100131792/", "View Product")</f>
        <v/>
      </c>
    </row>
    <row r="22506">
      <c r="A22506" t="inlineStr">
        <is>
          <t>6291100132799</t>
        </is>
      </c>
      <c r="B22506" t="inlineStr">
        <is>
          <t>SHEIKHA By Al Haramain Popular Best Selling Arabian Perfume Oil Attar Itr</t>
        </is>
      </c>
      <c r="C22506" t="inlineStr">
        <is>
          <t>Eau De Parfum</t>
        </is>
      </c>
      <c r="D22506" t="inlineStr">
        <is>
          <t>Al Haramain</t>
        </is>
      </c>
      <c r="E22506" t="n">
        <v>7.78</v>
      </c>
      <c r="F22506" t="n">
        <v>1</v>
      </c>
      <c r="G22506" t="n">
        <v>5</v>
      </c>
      <c r="H22506" s="5">
        <f>HYPERLINK("https://api.qogita.com/variants/link/6291100132799/", "View Product")</f>
        <v/>
      </c>
    </row>
    <row r="22507">
      <c r="A22507" t="inlineStr">
        <is>
          <t>6291100132829</t>
        </is>
      </c>
      <c r="B22507" t="inlineStr">
        <is>
          <t>Al Haramain Signature Blue Spray 100ml</t>
        </is>
      </c>
      <c r="C22507" t="inlineStr">
        <is>
          <t>Eau De Parfum</t>
        </is>
      </c>
      <c r="D22507" t="inlineStr">
        <is>
          <t>Al Haramain</t>
        </is>
      </c>
      <c r="E22507" t="n">
        <v>13.79</v>
      </c>
      <c r="F22507" t="n">
        <v>1</v>
      </c>
      <c r="G22507" t="n">
        <v>19</v>
      </c>
      <c r="H22507" s="5">
        <f>HYPERLINK("https://api.qogita.com/variants/link/6291100132829/", "View Product")</f>
        <v/>
      </c>
    </row>
    <row r="22508">
      <c r="A22508" t="inlineStr">
        <is>
          <t>6291100132836</t>
        </is>
      </c>
      <c r="B22508" t="inlineStr">
        <is>
          <t>Al Haramain Signature Red For Women Eau De Parfum Spray 100ml</t>
        </is>
      </c>
      <c r="C22508" t="inlineStr">
        <is>
          <t>Eau De Parfum</t>
        </is>
      </c>
      <c r="D22508" t="inlineStr">
        <is>
          <t>Al Haramain</t>
        </is>
      </c>
      <c r="E22508" t="n">
        <v>15.51</v>
      </c>
      <c r="F22508" t="n">
        <v>1</v>
      </c>
      <c r="G22508" t="n">
        <v>3</v>
      </c>
      <c r="H22508" s="5">
        <f>HYPERLINK("https://api.qogita.com/variants/link/6291100132836/", "View Product")</f>
        <v/>
      </c>
    </row>
    <row r="22509">
      <c r="A22509" t="inlineStr">
        <is>
          <t>6291100132881</t>
        </is>
      </c>
      <c r="B22509" t="inlineStr">
        <is>
          <t>Al Haramain Noora 12ml Attar Oil Luxurious Arabian Perfume Oil Long-Lasting</t>
        </is>
      </c>
      <c r="C22509" t="inlineStr">
        <is>
          <t>Extrait De Parfum</t>
        </is>
      </c>
      <c r="D22509" t="inlineStr">
        <is>
          <t>Al Haramain</t>
        </is>
      </c>
      <c r="E22509" t="n">
        <v>11.65</v>
      </c>
      <c r="F22509" t="n">
        <v>1</v>
      </c>
      <c r="G22509" t="n">
        <v>30</v>
      </c>
      <c r="H22509" s="5">
        <f>HYPERLINK("https://api.qogita.com/variants/link/6291100132881/", "View Product")</f>
        <v/>
      </c>
    </row>
    <row r="22510">
      <c r="A22510" t="inlineStr">
        <is>
          <t>6291100133451</t>
        </is>
      </c>
      <c r="B22510" t="inlineStr">
        <is>
          <t>Al Haramain Amber Oud Private Edition Eau De Parfum Spray 120ml</t>
        </is>
      </c>
      <c r="C22510" t="inlineStr">
        <is>
          <t>Eau De Parfum</t>
        </is>
      </c>
      <c r="D22510" t="inlineStr">
        <is>
          <t>Al Haramain</t>
        </is>
      </c>
      <c r="E22510" t="n">
        <v>46.21</v>
      </c>
      <c r="F22510" t="n">
        <v>1</v>
      </c>
      <c r="G22510" t="n">
        <v>10</v>
      </c>
      <c r="H22510" s="5">
        <f>HYPERLINK("https://api.qogita.com/variants/link/6291100133451/", "View Product")</f>
        <v/>
      </c>
    </row>
    <row r="22511">
      <c r="A22511" t="inlineStr">
        <is>
          <t>6291100133482</t>
        </is>
      </c>
      <c r="B22511" t="inlineStr">
        <is>
          <t>Al Haramain Amber Oud Ultra Violet Eau De Parfum Spray 200ml</t>
        </is>
      </c>
      <c r="C22511" t="inlineStr">
        <is>
          <t>Eau De Parfum</t>
        </is>
      </c>
      <c r="D22511" t="inlineStr">
        <is>
          <t>Al Haramain</t>
        </is>
      </c>
      <c r="E22511" t="n">
        <v>60.47</v>
      </c>
      <c r="F22511" t="n">
        <v>1</v>
      </c>
      <c r="G22511" t="n">
        <v>10</v>
      </c>
      <c r="H22511" s="5">
        <f>HYPERLINK("https://api.qogita.com/variants/link/6291100133482/", "View Product")</f>
        <v/>
      </c>
    </row>
    <row r="22512">
      <c r="A22512" t="inlineStr">
        <is>
          <t>6291100133673</t>
        </is>
      </c>
      <c r="B22512" t="inlineStr">
        <is>
          <t>Al Haramain Badar 15ml Attar Perfume Oil - Rose, Honey, Water Lily, Lime, Musk</t>
        </is>
      </c>
      <c r="C22512" t="inlineStr">
        <is>
          <t>Eau De Parfum</t>
        </is>
      </c>
      <c r="D22512" t="inlineStr">
        <is>
          <t>Al Haramain</t>
        </is>
      </c>
      <c r="E22512" t="n">
        <v>6.59</v>
      </c>
      <c r="F22512" t="n">
        <v>1</v>
      </c>
      <c r="G22512" t="n">
        <v>2</v>
      </c>
      <c r="H22512" s="5">
        <f>HYPERLINK("https://api.qogita.com/variants/link/6291100133673/", "View Product")</f>
        <v/>
      </c>
    </row>
    <row r="22513">
      <c r="A22513" t="inlineStr">
        <is>
          <t>6291100136261</t>
        </is>
      </c>
      <c r="B22513" t="inlineStr">
        <is>
          <t>Al Haramain Khulasat Al Oud Eau De Parfum Spray 100ml</t>
        </is>
      </c>
      <c r="C22513" t="inlineStr">
        <is>
          <t>Eau De Parfum</t>
        </is>
      </c>
      <c r="D22513" t="inlineStr">
        <is>
          <t>Al Haramain</t>
        </is>
      </c>
      <c r="E22513" t="n">
        <v>13.45</v>
      </c>
      <c r="F22513" t="n">
        <v>1</v>
      </c>
      <c r="G22513" t="n">
        <v>2</v>
      </c>
      <c r="H22513" s="5">
        <f>HYPERLINK("https://api.qogita.com/variants/link/6291100136261/", "View Product")</f>
        <v/>
      </c>
    </row>
    <row r="22514">
      <c r="A22514" t="inlineStr">
        <is>
          <t>6291100137152</t>
        </is>
      </c>
      <c r="B22514" t="inlineStr">
        <is>
          <t>Al Haramain Sheikh Eau De Parfum 85ml Luxury Perfume Spray for Men</t>
        </is>
      </c>
      <c r="C22514" t="inlineStr">
        <is>
          <t>Eau De Parfum</t>
        </is>
      </c>
      <c r="D22514" t="inlineStr">
        <is>
          <t>Al Haramain</t>
        </is>
      </c>
      <c r="E22514" t="n">
        <v>16.44</v>
      </c>
      <c r="F22514" t="n">
        <v>1</v>
      </c>
      <c r="G22514" t="n">
        <v>8</v>
      </c>
      <c r="H22514" s="5">
        <f>HYPERLINK("https://api.qogita.com/variants/link/6291100137152/", "View Product")</f>
        <v/>
      </c>
    </row>
    <row r="22515">
      <c r="A22515" t="inlineStr">
        <is>
          <t>6291100137268</t>
        </is>
      </c>
      <c r="B22515" t="inlineStr">
        <is>
          <t>Al Haramain Detour Rouge Eau De Parfum Size 100 Ml</t>
        </is>
      </c>
      <c r="C22515" t="inlineStr">
        <is>
          <t>Eau De Parfum</t>
        </is>
      </c>
      <c r="D22515" t="inlineStr">
        <is>
          <t>Al Haramain</t>
        </is>
      </c>
      <c r="E22515" t="n">
        <v>10.36</v>
      </c>
      <c r="F22515" t="n">
        <v>1</v>
      </c>
      <c r="G22515" t="n">
        <v>3</v>
      </c>
      <c r="H22515" s="5">
        <f>HYPERLINK("https://api.qogita.com/variants/link/6291100137268/", "View Product")</f>
        <v/>
      </c>
    </row>
    <row r="22516">
      <c r="A22516" t="inlineStr">
        <is>
          <t>6291100137275</t>
        </is>
      </c>
      <c r="B22516" t="inlineStr">
        <is>
          <t>Al Haramain Detour Noir Eau De Parfum 100ml</t>
        </is>
      </c>
      <c r="C22516" t="inlineStr">
        <is>
          <t>Eau De Parfum</t>
        </is>
      </c>
      <c r="D22516" t="inlineStr">
        <is>
          <t>Al Haramain</t>
        </is>
      </c>
      <c r="E22516" t="n">
        <v>16.12</v>
      </c>
      <c r="F22516" t="n">
        <v>1</v>
      </c>
      <c r="G22516" t="n">
        <v>8</v>
      </c>
      <c r="H22516" s="5">
        <f>HYPERLINK("https://api.qogita.com/variants/link/6291100137275/", "View Product")</f>
        <v/>
      </c>
    </row>
    <row r="22517">
      <c r="A22517" t="inlineStr">
        <is>
          <t>6291100137565</t>
        </is>
      </c>
      <c r="B22517" t="inlineStr">
        <is>
          <t>Al Haramain L'Aventure Women Eau De Parfum Spray 100ml</t>
        </is>
      </c>
      <c r="C22517" t="inlineStr">
        <is>
          <t>Eau De Parfum</t>
        </is>
      </c>
      <c r="D22517" t="inlineStr">
        <is>
          <t>Al Haramain</t>
        </is>
      </c>
      <c r="E22517" t="n">
        <v>25.23</v>
      </c>
      <c r="F22517" t="n">
        <v>1</v>
      </c>
      <c r="G22517" t="n">
        <v>6</v>
      </c>
      <c r="H22517" s="5">
        <f>HYPERLINK("https://api.qogita.com/variants/link/6291100137565/", "View Product")</f>
        <v/>
      </c>
    </row>
    <row r="22518">
      <c r="A22518" t="inlineStr">
        <is>
          <t>6291100138883</t>
        </is>
      </c>
      <c r="B22518" t="inlineStr">
        <is>
          <t>Al Haramain Perfumes Hayati Perfume Oil Aromatic 1ml</t>
        </is>
      </c>
      <c r="C22518" t="inlineStr">
        <is>
          <t>Refillable Fragrances &amp; Refills</t>
        </is>
      </c>
      <c r="D22518" t="inlineStr">
        <is>
          <t>Al Haramain</t>
        </is>
      </c>
      <c r="E22518" t="n">
        <v>54.04</v>
      </c>
      <c r="F22518" t="n">
        <v>1</v>
      </c>
      <c r="G22518" t="n">
        <v>4</v>
      </c>
      <c r="H22518" s="5">
        <f>HYPERLINK("https://api.qogita.com/variants/link/6291100138883/", "View Product")</f>
        <v/>
      </c>
    </row>
    <row r="22519">
      <c r="A22519" t="inlineStr">
        <is>
          <t>6291106032727</t>
        </is>
      </c>
      <c r="B22519" t="inlineStr">
        <is>
          <t>Huda Beauty Power Bullet Matte Lipstick - 3 Grams</t>
        </is>
      </c>
      <c r="C22519" t="inlineStr">
        <is>
          <t>Lipstick</t>
        </is>
      </c>
      <c r="D22519" t="inlineStr">
        <is>
          <t>Huda Beauty</t>
        </is>
      </c>
      <c r="E22519" t="n">
        <v>14.38</v>
      </c>
      <c r="F22519" t="n">
        <v>1</v>
      </c>
      <c r="G22519" t="n">
        <v>4</v>
      </c>
      <c r="H22519" s="5">
        <f>HYPERLINK("https://api.qogita.com/variants/link/6291106032727/", "View Product")</f>
        <v/>
      </c>
    </row>
    <row r="22520">
      <c r="A22520" t="inlineStr">
        <is>
          <t>6291106034127</t>
        </is>
      </c>
      <c r="B22520" t="inlineStr">
        <is>
          <t>Huda Beauty Power Bullet Matte Lipstick - 3 G</t>
        </is>
      </c>
      <c r="C22520" t="inlineStr">
        <is>
          <t>Lipstick</t>
        </is>
      </c>
      <c r="D22520" t="inlineStr">
        <is>
          <t>Huda Beauty</t>
        </is>
      </c>
      <c r="E22520" t="n">
        <v>14.38</v>
      </c>
      <c r="F22520" t="n">
        <v>1</v>
      </c>
      <c r="G22520" t="n">
        <v>14</v>
      </c>
      <c r="H22520" s="5">
        <f>HYPERLINK("https://api.qogita.com/variants/link/6291106034127/", "View Product")</f>
        <v/>
      </c>
    </row>
    <row r="22521">
      <c r="A22521" t="inlineStr">
        <is>
          <t>6291106035490</t>
        </is>
      </c>
      <c r="B22521" t="inlineStr">
        <is>
          <t>Huda Beauty Fauxfilter Luminous Matte Foundation 35 Ml 550r Hot Fudge</t>
        </is>
      </c>
      <c r="C22521" t="inlineStr">
        <is>
          <t>Foundation</t>
        </is>
      </c>
      <c r="D22521" t="inlineStr">
        <is>
          <t>Huda Beauty</t>
        </is>
      </c>
      <c r="E22521" t="n">
        <v>47.92</v>
      </c>
      <c r="F22521" t="n">
        <v>1</v>
      </c>
      <c r="G22521" t="n">
        <v>8</v>
      </c>
      <c r="H22521" s="5">
        <f>HYPERLINK("https://api.qogita.com/variants/link/6291106035490/", "View Product")</f>
        <v/>
      </c>
    </row>
    <row r="22522">
      <c r="A22522" t="inlineStr">
        <is>
          <t>6291106036183</t>
        </is>
      </c>
      <c r="B22522" t="inlineStr">
        <is>
          <t>Huda Beauty Fauxfilter Luminous Matte Foundation 35 Ml</t>
        </is>
      </c>
      <c r="C22522" t="inlineStr">
        <is>
          <t>Foundation</t>
        </is>
      </c>
      <c r="D22522" t="inlineStr">
        <is>
          <t>Huda Beauty</t>
        </is>
      </c>
      <c r="E22522" t="n">
        <v>47.92</v>
      </c>
      <c r="F22522" t="n">
        <v>1</v>
      </c>
      <c r="G22522" t="n">
        <v>13</v>
      </c>
      <c r="H22522" s="5">
        <f>HYPERLINK("https://api.qogita.com/variants/link/6291106036183/", "View Product")</f>
        <v/>
      </c>
    </row>
    <row r="22523">
      <c r="A22523" t="inlineStr">
        <is>
          <t>6291106036282</t>
        </is>
      </c>
      <c r="B22523" t="inlineStr">
        <is>
          <t>Huda Beauty Fauxfilter Luminous Matte Foundation 35 Ml 450g Chocolate Mousse</t>
        </is>
      </c>
      <c r="C22523" t="inlineStr">
        <is>
          <t>Foundation</t>
        </is>
      </c>
      <c r="D22523" t="inlineStr">
        <is>
          <t>Huda Beauty</t>
        </is>
      </c>
      <c r="E22523" t="n">
        <v>47.92</v>
      </c>
      <c r="F22523" t="n">
        <v>1</v>
      </c>
      <c r="G22523" t="n">
        <v>11</v>
      </c>
      <c r="H22523" s="5">
        <f>HYPERLINK("https://api.qogita.com/variants/link/6291106036282/", "View Product")</f>
        <v/>
      </c>
    </row>
    <row r="22524">
      <c r="A22524" t="inlineStr">
        <is>
          <t>6291106036299</t>
        </is>
      </c>
      <c r="B22524" t="inlineStr">
        <is>
          <t>Huda Beauty Fauxfilter Luminous Matte Foundation 35 Ml 455r Peanut Butter Cup</t>
        </is>
      </c>
      <c r="C22524" t="inlineStr">
        <is>
          <t>Foundation</t>
        </is>
      </c>
      <c r="D22524" t="inlineStr">
        <is>
          <t>Huda Beauty</t>
        </is>
      </c>
      <c r="E22524" t="n">
        <v>47.92</v>
      </c>
      <c r="F22524" t="n">
        <v>1</v>
      </c>
      <c r="G22524" t="n">
        <v>13</v>
      </c>
      <c r="H22524" s="5">
        <f>HYPERLINK("https://api.qogita.com/variants/link/6291106036299/", "View Product")</f>
        <v/>
      </c>
    </row>
    <row r="22525">
      <c r="A22525" t="inlineStr">
        <is>
          <t>6291106036329</t>
        </is>
      </c>
      <c r="B22525" t="inlineStr">
        <is>
          <t>Huda Beauty Fauxfilter Luminous Matte Foundation 35 Ml In 540g Chocolate Truffle</t>
        </is>
      </c>
      <c r="C22525" t="inlineStr">
        <is>
          <t>Foundation</t>
        </is>
      </c>
      <c r="D22525" t="inlineStr">
        <is>
          <t>Huda Beauty</t>
        </is>
      </c>
      <c r="E22525" t="n">
        <v>47.92</v>
      </c>
      <c r="F22525" t="n">
        <v>1</v>
      </c>
      <c r="G22525" t="n">
        <v>6</v>
      </c>
      <c r="H22525" s="5">
        <f>HYPERLINK("https://api.qogita.com/variants/link/6291106036329/", "View Product")</f>
        <v/>
      </c>
    </row>
    <row r="22526">
      <c r="A22526" t="inlineStr">
        <is>
          <t>6291106060546</t>
        </is>
      </c>
      <c r="B22526" t="inlineStr">
        <is>
          <t>Pure Musk by Lattafa Eau de Parfum 100ml</t>
        </is>
      </c>
      <c r="C22526" t="inlineStr">
        <is>
          <t>Eau De Parfum</t>
        </is>
      </c>
      <c r="D22526" t="inlineStr">
        <is>
          <t>Lattafa</t>
        </is>
      </c>
      <c r="E22526" t="n">
        <v>11.2</v>
      </c>
      <c r="F22526" t="n">
        <v>1</v>
      </c>
      <c r="G22526" t="n">
        <v>22</v>
      </c>
      <c r="H22526" s="5">
        <f>HYPERLINK("https://api.qogita.com/variants/link/6291106060546/", "View Product")</f>
        <v/>
      </c>
    </row>
    <row r="22527">
      <c r="A22527" t="inlineStr">
        <is>
          <t>6291106064223</t>
        </is>
      </c>
      <c r="B22527" t="inlineStr">
        <is>
          <t>Sheikh Al Shuyukh Concentrated Spray Perfume 100ml</t>
        </is>
      </c>
      <c r="C22527" t="inlineStr">
        <is>
          <t>Eau De Parfum</t>
        </is>
      </c>
      <c r="D22527" t="inlineStr">
        <is>
          <t>Lattafa</t>
        </is>
      </c>
      <c r="E22527" t="n">
        <v>10.85</v>
      </c>
      <c r="F22527" t="n">
        <v>1</v>
      </c>
      <c r="G22527" t="n">
        <v>110</v>
      </c>
      <c r="H22527" s="5">
        <f>HYPERLINK("https://api.qogita.com/variants/link/6291106064223/", "View Product")</f>
        <v/>
      </c>
    </row>
    <row r="22528">
      <c r="A22528" t="inlineStr">
        <is>
          <t>6291106064704</t>
        </is>
      </c>
      <c r="B22528" t="inlineStr">
        <is>
          <t>Purfomo Intensity Collector's Edition EDP 100ml Perfume Alternative to JPG</t>
        </is>
      </c>
      <c r="C22528" t="inlineStr">
        <is>
          <t>Eau De Parfum</t>
        </is>
      </c>
      <c r="D22528" t="inlineStr">
        <is>
          <t>Tawakkal Perfumes</t>
        </is>
      </c>
      <c r="E22528" t="n">
        <v>9.77</v>
      </c>
      <c r="F22528" t="n">
        <v>1</v>
      </c>
      <c r="G22528" t="n">
        <v>135</v>
      </c>
      <c r="H22528" s="5">
        <f>HYPERLINK("https://api.qogita.com/variants/link/6291106064704/", "View Product")</f>
        <v/>
      </c>
    </row>
    <row r="22529">
      <c r="A22529" t="inlineStr">
        <is>
          <t>6291106064834</t>
        </is>
      </c>
      <c r="B22529" t="inlineStr">
        <is>
          <t>Lattafa Rouat Al Musk Eau De Parfum Spray 100ml</t>
        </is>
      </c>
      <c r="C22529" t="inlineStr">
        <is>
          <t>Eau De Parfum</t>
        </is>
      </c>
      <c r="D22529" t="inlineStr">
        <is>
          <t>Lattafa</t>
        </is>
      </c>
      <c r="E22529" t="n">
        <v>12.82</v>
      </c>
      <c r="F22529" t="n">
        <v>1</v>
      </c>
      <c r="G22529" t="n">
        <v>201</v>
      </c>
      <c r="H22529" s="5">
        <f>HYPERLINK("https://api.qogita.com/variants/link/6291106064834/", "View Product")</f>
        <v/>
      </c>
    </row>
    <row r="22530">
      <c r="A22530" t="inlineStr">
        <is>
          <t>6291106065053</t>
        </is>
      </c>
      <c r="B22530" t="inlineStr">
        <is>
          <t>Lattafa Khaltaat Al Arabia Royal Blends Eau De Parfum Spray 100ml</t>
        </is>
      </c>
      <c r="C22530" t="inlineStr">
        <is>
          <t>Eau De Parfum</t>
        </is>
      </c>
      <c r="D22530" t="inlineStr">
        <is>
          <t>Lattafa</t>
        </is>
      </c>
      <c r="E22530" t="n">
        <v>9.51</v>
      </c>
      <c r="F22530" t="n">
        <v>1</v>
      </c>
      <c r="G22530" t="n">
        <v>15</v>
      </c>
      <c r="H22530" s="5">
        <f>HYPERLINK("https://api.qogita.com/variants/link/6291106065053/", "View Product")</f>
        <v/>
      </c>
    </row>
    <row r="22531">
      <c r="A22531" t="inlineStr">
        <is>
          <t>6291106065114</t>
        </is>
      </c>
      <c r="B22531" t="inlineStr">
        <is>
          <t>Lattafa Oud Mood Eau De Parfum Spray 100ml</t>
        </is>
      </c>
      <c r="C22531" t="inlineStr">
        <is>
          <t>Eau De Parfum</t>
        </is>
      </c>
      <c r="D22531" t="inlineStr">
        <is>
          <t>Lattafa</t>
        </is>
      </c>
      <c r="E22531" t="n">
        <v>12.41</v>
      </c>
      <c r="F22531" t="n">
        <v>1</v>
      </c>
      <c r="G22531" t="n">
        <v>8</v>
      </c>
      <c r="H22531" s="5">
        <f>HYPERLINK("https://api.qogita.com/variants/link/6291106065114/", "View Product")</f>
        <v/>
      </c>
    </row>
    <row r="22532">
      <c r="A22532" t="inlineStr">
        <is>
          <t>6291106068146</t>
        </is>
      </c>
      <c r="B22532" t="inlineStr">
        <is>
          <t>Lattafa Ladies Ser Al Malik EDP Spray 3.4 fl oz</t>
        </is>
      </c>
      <c r="C22532" t="inlineStr">
        <is>
          <t>Eau De Parfum</t>
        </is>
      </c>
      <c r="D22532" t="inlineStr">
        <is>
          <t>Lattafa</t>
        </is>
      </c>
      <c r="E22532" t="n">
        <v>14.05</v>
      </c>
      <c r="F22532" t="n">
        <v>1</v>
      </c>
      <c r="G22532" t="n">
        <v>5</v>
      </c>
      <c r="H22532" s="5">
        <f>HYPERLINK("https://api.qogita.com/variants/link/6291106068146/", "View Product")</f>
        <v/>
      </c>
    </row>
    <row r="22533">
      <c r="A22533" t="inlineStr">
        <is>
          <t>6291106068498</t>
        </is>
      </c>
      <c r="B22533" t="inlineStr">
        <is>
          <t>Rave Luxure Woman Eau De Parfum Spray 100ml</t>
        </is>
      </c>
      <c r="C22533" t="inlineStr">
        <is>
          <t>Eau De Parfum</t>
        </is>
      </c>
      <c r="D22533" t="inlineStr">
        <is>
          <t>Rave</t>
        </is>
      </c>
      <c r="E22533" t="n">
        <v>12.48</v>
      </c>
      <c r="F22533" t="n">
        <v>1</v>
      </c>
      <c r="G22533" t="n">
        <v>62</v>
      </c>
      <c r="H22533" s="5">
        <f>HYPERLINK("https://api.qogita.com/variants/link/6291106068498/", "View Product")</f>
        <v/>
      </c>
    </row>
    <row r="22534">
      <c r="A22534" t="inlineStr">
        <is>
          <t>6291106068504</t>
        </is>
      </c>
      <c r="B22534" t="inlineStr">
        <is>
          <t>Pleasure Nuit EDP Perfume by Rave Lattafa 100ml Super Rich Men's Fragrance</t>
        </is>
      </c>
      <c r="C22534" t="inlineStr">
        <is>
          <t>Eau De Parfum</t>
        </is>
      </c>
      <c r="D22534" t="inlineStr">
        <is>
          <t>Rave</t>
        </is>
      </c>
      <c r="E22534" t="n">
        <v>11.3</v>
      </c>
      <c r="F22534" t="n">
        <v>1</v>
      </c>
      <c r="G22534" t="n">
        <v>17</v>
      </c>
      <c r="H22534" s="5">
        <f>HYPERLINK("https://api.qogita.com/variants/link/6291106068504/", "View Product")</f>
        <v/>
      </c>
    </row>
    <row r="22535">
      <c r="A22535" t="inlineStr">
        <is>
          <t>6291106485929</t>
        </is>
      </c>
      <c r="B22535" t="inlineStr">
        <is>
          <t>Fragrance World Soleil Rose Eau De Parfum 100ml</t>
        </is>
      </c>
      <c r="C22535" t="inlineStr">
        <is>
          <t>Eau De Parfum</t>
        </is>
      </c>
      <c r="D22535" t="inlineStr">
        <is>
          <t>Fragrance World</t>
        </is>
      </c>
      <c r="E22535" t="n">
        <v>17.55</v>
      </c>
      <c r="F22535" t="n">
        <v>1</v>
      </c>
      <c r="G22535" t="n">
        <v>17</v>
      </c>
      <c r="H22535" s="5">
        <f>HYPERLINK("https://api.qogita.com/variants/link/6291106485929/", "View Product")</f>
        <v/>
      </c>
    </row>
    <row r="22536">
      <c r="A22536" t="inlineStr">
        <is>
          <t>6291106485967</t>
        </is>
      </c>
      <c r="B22536" t="inlineStr">
        <is>
          <t>Fragrance World Velvet Mood Unisex Eau De Parfum Spray 3.4 Oz</t>
        </is>
      </c>
      <c r="C22536" t="inlineStr">
        <is>
          <t>Eau De Parfum</t>
        </is>
      </c>
      <c r="D22536" t="inlineStr">
        <is>
          <t>Fragrance World</t>
        </is>
      </c>
      <c r="E22536" t="n">
        <v>18.4</v>
      </c>
      <c r="F22536" t="n">
        <v>1</v>
      </c>
      <c r="G22536" t="n">
        <v>31</v>
      </c>
      <c r="H22536" s="5">
        <f>HYPERLINK("https://api.qogita.com/variants/link/6291106485967/", "View Product")</f>
        <v/>
      </c>
    </row>
    <row r="22537">
      <c r="A22537" t="inlineStr">
        <is>
          <t>6291106487664</t>
        </is>
      </c>
      <c r="B22537" t="inlineStr">
        <is>
          <t>Fragrance World Lazurde Rouge Eau De Parfum, 100ml</t>
        </is>
      </c>
      <c r="C22537" t="inlineStr">
        <is>
          <t>Eau De Parfum</t>
        </is>
      </c>
      <c r="D22537" t="inlineStr">
        <is>
          <t>Fragrance World</t>
        </is>
      </c>
      <c r="E22537" t="n">
        <v>17.16</v>
      </c>
      <c r="F22537" t="n">
        <v>1</v>
      </c>
      <c r="G22537" t="n">
        <v>23</v>
      </c>
      <c r="H22537" s="5">
        <f>HYPERLINK("https://api.qogita.com/variants/link/6291106487664/", "View Product")</f>
        <v/>
      </c>
    </row>
    <row r="22538">
      <c r="A22538" t="inlineStr">
        <is>
          <t>6291106812589</t>
        </is>
      </c>
      <c r="B22538" t="inlineStr">
        <is>
          <t>Al Haramain Amber Oud Carbon Edition Eau De Parfum Spray 200ml</t>
        </is>
      </c>
      <c r="C22538" t="inlineStr">
        <is>
          <t>Eau De Parfum</t>
        </is>
      </c>
      <c r="D22538" t="inlineStr">
        <is>
          <t>Al Haramain</t>
        </is>
      </c>
      <c r="E22538" t="n">
        <v>59.96</v>
      </c>
      <c r="F22538" t="n">
        <v>1</v>
      </c>
      <c r="G22538" t="n">
        <v>12</v>
      </c>
      <c r="H22538" s="5">
        <f>HYPERLINK("https://api.qogita.com/variants/link/6291106812589/", "View Product")</f>
        <v/>
      </c>
    </row>
    <row r="22539">
      <c r="A22539" t="inlineStr">
        <is>
          <t>6291106812862</t>
        </is>
      </c>
      <c r="B22539" t="inlineStr">
        <is>
          <t>Al Haramain Signature Rose Gold Eau De Parfum Spray 100ml</t>
        </is>
      </c>
      <c r="C22539" t="inlineStr">
        <is>
          <t>Eau De Parfum</t>
        </is>
      </c>
      <c r="D22539" t="inlineStr">
        <is>
          <t>Al Haramain</t>
        </is>
      </c>
      <c r="E22539" t="n">
        <v>13.07</v>
      </c>
      <c r="F22539" t="n">
        <v>1</v>
      </c>
      <c r="G22539" t="n">
        <v>4</v>
      </c>
      <c r="H22539" s="5">
        <f>HYPERLINK("https://api.qogita.com/variants/link/6291106812862/", "View Product")</f>
        <v/>
      </c>
    </row>
    <row r="22540">
      <c r="A22540" t="inlineStr">
        <is>
          <t>6291106813128</t>
        </is>
      </c>
      <c r="B22540" t="inlineStr">
        <is>
          <t>Al Haramain Amber Oud Ultra Violet Eau De Parfum Spray 60ml</t>
        </is>
      </c>
      <c r="C22540" t="inlineStr">
        <is>
          <t>Eau De Parfum</t>
        </is>
      </c>
      <c r="D22540" t="inlineStr">
        <is>
          <t>Al Haramain</t>
        </is>
      </c>
      <c r="E22540" t="n">
        <v>36.46</v>
      </c>
      <c r="F22540" t="n">
        <v>1</v>
      </c>
      <c r="G22540" t="n">
        <v>2</v>
      </c>
      <c r="H22540" s="5">
        <f>HYPERLINK("https://api.qogita.com/variants/link/6291106813128/", "View Product")</f>
        <v/>
      </c>
    </row>
    <row r="22541">
      <c r="A22541" t="inlineStr">
        <is>
          <t>6291106813579</t>
        </is>
      </c>
      <c r="B22541" t="inlineStr">
        <is>
          <t>Al Haramain L'Aventure Fraiche Extrait De Parfum Spray 100ml</t>
        </is>
      </c>
      <c r="C22541" t="inlineStr">
        <is>
          <t>Extrait De Parfum</t>
        </is>
      </c>
      <c r="D22541" t="inlineStr">
        <is>
          <t>Al Haramain</t>
        </is>
      </c>
      <c r="E22541" t="n">
        <v>31.8</v>
      </c>
      <c r="F22541" t="n">
        <v>1</v>
      </c>
      <c r="G22541" t="n">
        <v>5</v>
      </c>
      <c r="H22541" s="5">
        <f>HYPERLINK("https://api.qogita.com/variants/link/6291106813579/", "View Product")</f>
        <v/>
      </c>
    </row>
    <row r="22542">
      <c r="A22542" t="inlineStr">
        <is>
          <t>6291106813593</t>
        </is>
      </c>
      <c r="B22542" t="inlineStr">
        <is>
          <t>Al Haramain L'Aventure Grapefruit Extrait De Parfum Spray 100ml</t>
        </is>
      </c>
      <c r="C22542" t="inlineStr">
        <is>
          <t>Extrait De Parfum</t>
        </is>
      </c>
      <c r="D22542" t="inlineStr">
        <is>
          <t>Al Haramain</t>
        </is>
      </c>
      <c r="E22542" t="n">
        <v>26.31</v>
      </c>
      <c r="F22542" t="n">
        <v>1</v>
      </c>
      <c r="G22542" t="n">
        <v>3</v>
      </c>
      <c r="H22542" s="5">
        <f>HYPERLINK("https://api.qogita.com/variants/link/6291106813593/", "View Product")</f>
        <v/>
      </c>
    </row>
    <row r="22543">
      <c r="A22543" t="inlineStr">
        <is>
          <t>6291106813630</t>
        </is>
      </c>
      <c r="B22543" t="inlineStr">
        <is>
          <t>Al Haramain L'Aventure Ciel Extrait De Parfum Spray 100ml</t>
        </is>
      </c>
      <c r="C22543" t="inlineStr">
        <is>
          <t>Eau De Parfum</t>
        </is>
      </c>
      <c r="D22543" t="inlineStr">
        <is>
          <t>Al Haramain</t>
        </is>
      </c>
      <c r="E22543" t="n">
        <v>26.31</v>
      </c>
      <c r="F22543" t="n">
        <v>1</v>
      </c>
      <c r="G22543" t="n">
        <v>8</v>
      </c>
      <c r="H22543" s="5">
        <f>HYPERLINK("https://api.qogita.com/variants/link/6291106813630/", "View Product")</f>
        <v/>
      </c>
    </row>
    <row r="22544">
      <c r="A22544" t="inlineStr">
        <is>
          <t>6291106813678</t>
        </is>
      </c>
      <c r="B22544" t="inlineStr">
        <is>
          <t>Al Haramain Black Oud Extrait De Parfum Spray 100ml</t>
        </is>
      </c>
      <c r="C22544" t="inlineStr">
        <is>
          <t>Extrait De Parfum</t>
        </is>
      </c>
      <c r="D22544" t="inlineStr">
        <is>
          <t>Al Haramain</t>
        </is>
      </c>
      <c r="E22544" t="n">
        <v>38.8</v>
      </c>
      <c r="F22544" t="n">
        <v>1</v>
      </c>
      <c r="G22544" t="n">
        <v>4</v>
      </c>
      <c r="H22544" s="5">
        <f>HYPERLINK("https://api.qogita.com/variants/link/6291106813678/", "View Product")</f>
        <v/>
      </c>
    </row>
    <row r="22545">
      <c r="A22545" t="inlineStr">
        <is>
          <t>6291106813777</t>
        </is>
      </c>
      <c r="B22545" t="inlineStr">
        <is>
          <t>Al Haramain Floral Fair Extrait De Parfum Spray 100ml</t>
        </is>
      </c>
      <c r="C22545" t="inlineStr">
        <is>
          <t>Extrait De Parfum</t>
        </is>
      </c>
      <c r="D22545" t="inlineStr">
        <is>
          <t>Al Haramain</t>
        </is>
      </c>
      <c r="E22545" t="n">
        <v>31.25</v>
      </c>
      <c r="F22545" t="n">
        <v>1</v>
      </c>
      <c r="G22545" t="n">
        <v>6</v>
      </c>
      <c r="H22545" s="5">
        <f>HYPERLINK("https://api.qogita.com/variants/link/6291106813777/", "View Product")</f>
        <v/>
      </c>
    </row>
    <row r="22546">
      <c r="A22546" t="inlineStr">
        <is>
          <t>6291106813791</t>
        </is>
      </c>
      <c r="B22546" t="inlineStr">
        <is>
          <t>Al Haramain Detour Noir Exclusif Eau De Parfum Spray 100ml</t>
        </is>
      </c>
      <c r="C22546" t="inlineStr">
        <is>
          <t>Eau De Parfum</t>
        </is>
      </c>
      <c r="D22546" t="inlineStr">
        <is>
          <t>Al Haramain</t>
        </is>
      </c>
      <c r="E22546" t="n">
        <v>16.28</v>
      </c>
      <c r="F22546" t="n">
        <v>1</v>
      </c>
      <c r="G22546" t="n">
        <v>11</v>
      </c>
      <c r="H22546" s="5">
        <f>HYPERLINK("https://api.qogita.com/variants/link/6291106813791/", "View Product")</f>
        <v/>
      </c>
    </row>
    <row r="22547">
      <c r="A22547" t="inlineStr">
        <is>
          <t>6291106813814</t>
        </is>
      </c>
      <c r="B22547" t="inlineStr">
        <is>
          <t>Al Haramain Detour Eco Eau De Parfum Spray 100ml</t>
        </is>
      </c>
      <c r="C22547" t="inlineStr">
        <is>
          <t>Eau De Parfum</t>
        </is>
      </c>
      <c r="D22547" t="inlineStr">
        <is>
          <t>Al Haramain</t>
        </is>
      </c>
      <c r="E22547" t="n">
        <v>24.98</v>
      </c>
      <c r="F22547" t="n">
        <v>1</v>
      </c>
      <c r="G22547" t="n">
        <v>22</v>
      </c>
      <c r="H22547" s="5">
        <f>HYPERLINK("https://api.qogita.com/variants/link/6291106813814/", "View Product")</f>
        <v/>
      </c>
    </row>
    <row r="22548">
      <c r="A22548" t="inlineStr">
        <is>
          <t>6291106814002</t>
        </is>
      </c>
      <c r="B22548" t="inlineStr">
        <is>
          <t>Al Haramain Loulou Love Eau De Parfum Spray 100ml</t>
        </is>
      </c>
      <c r="C22548" t="inlineStr">
        <is>
          <t>Eau De Parfum</t>
        </is>
      </c>
      <c r="D22548" t="inlineStr">
        <is>
          <t>Al Haramain</t>
        </is>
      </c>
      <c r="E22548" t="n">
        <v>25.38</v>
      </c>
      <c r="F22548" t="n">
        <v>1</v>
      </c>
      <c r="G22548" t="n">
        <v>2</v>
      </c>
      <c r="H22548" s="5">
        <f>HYPERLINK("https://api.qogita.com/variants/link/6291106814002/", "View Product")</f>
        <v/>
      </c>
    </row>
    <row r="22549">
      <c r="A22549" t="inlineStr">
        <is>
          <t>6291106814835</t>
        </is>
      </c>
      <c r="B22549" t="inlineStr">
        <is>
          <t>Al Haramain Amber Oud Gold 999.9 Dubai Edition Extrait De Parfum Spray 100ml</t>
        </is>
      </c>
      <c r="C22549" t="inlineStr">
        <is>
          <t>Extrait De Parfum</t>
        </is>
      </c>
      <c r="D22549" t="inlineStr">
        <is>
          <t>Al Haramain</t>
        </is>
      </c>
      <c r="E22549" t="n">
        <v>47.74</v>
      </c>
      <c r="F22549" t="n">
        <v>1</v>
      </c>
      <c r="G22549" t="n">
        <v>13</v>
      </c>
      <c r="H22549" s="5">
        <f>HYPERLINK("https://api.qogita.com/variants/link/6291106814835/", "View Product")</f>
        <v/>
      </c>
    </row>
    <row r="22550">
      <c r="A22550" t="inlineStr">
        <is>
          <t>6291106814897</t>
        </is>
      </c>
      <c r="B22550" t="inlineStr">
        <is>
          <t>Al Haramain Amber Oud Dubai Night - Unisex Fragrance</t>
        </is>
      </c>
      <c r="C22550" t="inlineStr">
        <is>
          <t>Eau De Parfum</t>
        </is>
      </c>
      <c r="D22550" t="inlineStr">
        <is>
          <t>Al Haramain</t>
        </is>
      </c>
      <c r="E22550" t="n">
        <v>35.33</v>
      </c>
      <c r="F22550" t="n">
        <v>1</v>
      </c>
      <c r="G22550" t="n">
        <v>2</v>
      </c>
      <c r="H22550" s="5">
        <f>HYPERLINK("https://api.qogita.com/variants/link/6291106814897/", "View Product")</f>
        <v/>
      </c>
    </row>
    <row r="22551">
      <c r="A22551" t="inlineStr">
        <is>
          <t>6291106908442</t>
        </is>
      </c>
      <c r="B22551" t="inlineStr">
        <is>
          <t>Riiffs Ambre Rouge</t>
        </is>
      </c>
      <c r="C22551" t="inlineStr">
        <is>
          <t>Eau De Parfum</t>
        </is>
      </c>
      <c r="D22551" t="inlineStr">
        <is>
          <t>Riiffs</t>
        </is>
      </c>
      <c r="E22551" t="n">
        <v>13.76</v>
      </c>
      <c r="F22551" t="n">
        <v>1</v>
      </c>
      <c r="G22551" t="n">
        <v>37</v>
      </c>
      <c r="H22551" s="5">
        <f>HYPERLINK("https://api.qogita.com/variants/link/6291106908442/", "View Product")</f>
        <v/>
      </c>
    </row>
    <row r="22552">
      <c r="A22552" t="inlineStr">
        <is>
          <t>6291107450452</t>
        </is>
      </c>
      <c r="B22552" t="inlineStr">
        <is>
          <t>Lattafa Blue Oud Eau De Parfum Spray 100ml</t>
        </is>
      </c>
      <c r="C22552" t="inlineStr">
        <is>
          <t>Eau De Parfum</t>
        </is>
      </c>
      <c r="D22552" t="inlineStr">
        <is>
          <t>Lattafa</t>
        </is>
      </c>
      <c r="E22552" t="n">
        <v>10.49</v>
      </c>
      <c r="F22552" t="n">
        <v>1</v>
      </c>
      <c r="G22552" t="n">
        <v>74</v>
      </c>
      <c r="H22552" s="5">
        <f>HYPERLINK("https://api.qogita.com/variants/link/6291107450452/", "View Product")</f>
        <v/>
      </c>
    </row>
    <row r="22553">
      <c r="A22553" t="inlineStr">
        <is>
          <t>6291107451114</t>
        </is>
      </c>
      <c r="B22553" t="inlineStr">
        <is>
          <t>Lattafa Victorieux Homme Eau De Parfum 100ml</t>
        </is>
      </c>
      <c r="C22553" t="inlineStr">
        <is>
          <t>Eau De Parfum</t>
        </is>
      </c>
      <c r="D22553" t="inlineStr">
        <is>
          <t>Lattafa</t>
        </is>
      </c>
      <c r="E22553" t="n">
        <v>13.7</v>
      </c>
      <c r="F22553" t="n">
        <v>1</v>
      </c>
      <c r="G22553" t="n">
        <v>197</v>
      </c>
      <c r="H22553" s="5">
        <f>HYPERLINK("https://api.qogita.com/variants/link/6291107451114/", "View Product")</f>
        <v/>
      </c>
    </row>
    <row r="22554">
      <c r="A22554" t="inlineStr">
        <is>
          <t>6291107453422</t>
        </is>
      </c>
      <c r="B22554" t="inlineStr">
        <is>
          <t>Lattafa Adeeb Eau De Parfum Spray 80ml</t>
        </is>
      </c>
      <c r="C22554" t="inlineStr">
        <is>
          <t>Eau De Parfum</t>
        </is>
      </c>
      <c r="D22554" t="inlineStr">
        <is>
          <t>Lattafa</t>
        </is>
      </c>
      <c r="E22554" t="n">
        <v>15.62</v>
      </c>
      <c r="F22554" t="n">
        <v>1</v>
      </c>
      <c r="G22554" t="n">
        <v>53</v>
      </c>
      <c r="H22554" s="5">
        <f>HYPERLINK("https://api.qogita.com/variants/link/6291107453422/", "View Product")</f>
        <v/>
      </c>
    </row>
    <row r="22555">
      <c r="A22555" t="inlineStr">
        <is>
          <t>6291107453668</t>
        </is>
      </c>
      <c r="B22555" t="inlineStr">
        <is>
          <t>Lattafa Azeezah Eau De Parfum Spray 100ml</t>
        </is>
      </c>
      <c r="C22555" t="inlineStr">
        <is>
          <t>Eau De Parfum</t>
        </is>
      </c>
      <c r="D22555" t="inlineStr">
        <is>
          <t>Lattafa</t>
        </is>
      </c>
      <c r="E22555" t="n">
        <v>9.039999999999999</v>
      </c>
      <c r="F22555" t="n">
        <v>1</v>
      </c>
      <c r="G22555" t="n">
        <v>83</v>
      </c>
      <c r="H22555" s="5">
        <f>HYPERLINK("https://api.qogita.com/variants/link/6291107453668/", "View Product")</f>
        <v/>
      </c>
    </row>
    <row r="22556">
      <c r="A22556" t="inlineStr">
        <is>
          <t>6291107454375</t>
        </is>
      </c>
      <c r="B22556" t="inlineStr">
        <is>
          <t>Lattafa I Am White Deodorant Spray 200ml</t>
        </is>
      </c>
      <c r="C22556" t="inlineStr">
        <is>
          <t>Deodorant &amp; Anti-Perspirant</t>
        </is>
      </c>
      <c r="D22556" t="inlineStr">
        <is>
          <t>Lattafa</t>
        </is>
      </c>
      <c r="E22556" t="n">
        <v>3.66</v>
      </c>
      <c r="F22556" t="n">
        <v>1</v>
      </c>
      <c r="G22556" t="n">
        <v>29</v>
      </c>
      <c r="H22556" s="5">
        <f>HYPERLINK("https://api.qogita.com/variants/link/6291107454375/", "View Product")</f>
        <v/>
      </c>
    </row>
    <row r="22557">
      <c r="A22557" t="inlineStr">
        <is>
          <t>6291107454412</t>
        </is>
      </c>
      <c r="B22557" t="inlineStr">
        <is>
          <t>Lattafa Ana Abiyedh Rouge Eau De Parfum Spray 60ml</t>
        </is>
      </c>
      <c r="C22557" t="inlineStr">
        <is>
          <t>Eau De Parfum</t>
        </is>
      </c>
      <c r="D22557" t="inlineStr">
        <is>
          <t>Lattafa</t>
        </is>
      </c>
      <c r="E22557" t="n">
        <v>10.95</v>
      </c>
      <c r="F22557" t="n">
        <v>1</v>
      </c>
      <c r="G22557" t="n">
        <v>832</v>
      </c>
      <c r="H22557" s="5">
        <f>HYPERLINK("https://api.qogita.com/variants/link/6291107454412/", "View Product")</f>
        <v/>
      </c>
    </row>
    <row r="22558">
      <c r="A22558" t="inlineStr">
        <is>
          <t>6291107455235</t>
        </is>
      </c>
      <c r="B22558" t="inlineStr">
        <is>
          <t>Ana Al Awwal EDP Spray 100ml</t>
        </is>
      </c>
      <c r="C22558" t="inlineStr">
        <is>
          <t>Eau De Parfum</t>
        </is>
      </c>
      <c r="D22558" t="inlineStr">
        <is>
          <t>Rituals</t>
        </is>
      </c>
      <c r="E22558" t="n">
        <v>10.38</v>
      </c>
      <c r="F22558" t="n">
        <v>1</v>
      </c>
      <c r="G22558" t="n">
        <v>57</v>
      </c>
      <c r="H22558" s="5">
        <f>HYPERLINK("https://api.qogita.com/variants/link/6291107455235/", "View Product")</f>
        <v/>
      </c>
    </row>
    <row r="22559">
      <c r="A22559" t="inlineStr">
        <is>
          <t>6291107455365</t>
        </is>
      </c>
      <c r="B22559" t="inlineStr">
        <is>
          <t>Lattafa Qaed Al Fursan Eau De Parfum Spray 90ml</t>
        </is>
      </c>
      <c r="C22559" t="inlineStr">
        <is>
          <t>Eau De Parfum</t>
        </is>
      </c>
      <c r="D22559" t="inlineStr">
        <is>
          <t>Lattafa</t>
        </is>
      </c>
      <c r="E22559" t="n">
        <v>11.46</v>
      </c>
      <c r="F22559" t="n">
        <v>1</v>
      </c>
      <c r="G22559" t="n">
        <v>459</v>
      </c>
      <c r="H22559" s="5">
        <f>HYPERLINK("https://api.qogita.com/variants/link/6291107455365/", "View Product")</f>
        <v/>
      </c>
    </row>
    <row r="22560">
      <c r="A22560" t="inlineStr">
        <is>
          <t>6291107457062</t>
        </is>
      </c>
      <c r="B22560" t="inlineStr">
        <is>
          <t>Lattafa Ramaad Al Oud Eau De Parfum Spray 100ml</t>
        </is>
      </c>
      <c r="C22560" t="inlineStr">
        <is>
          <t>Eau De Parfum</t>
        </is>
      </c>
      <c r="D22560" t="inlineStr">
        <is>
          <t>Lattafa</t>
        </is>
      </c>
      <c r="E22560" t="n">
        <v>13.87</v>
      </c>
      <c r="F22560" t="n">
        <v>1</v>
      </c>
      <c r="G22560" t="n">
        <v>68</v>
      </c>
      <c r="H22560" s="5">
        <f>HYPERLINK("https://api.qogita.com/variants/link/6291107457062/", "View Product")</f>
        <v/>
      </c>
    </row>
    <row r="22561">
      <c r="A22561" t="inlineStr">
        <is>
          <t>6291107457079</t>
        </is>
      </c>
      <c r="B22561" t="inlineStr">
        <is>
          <t>Lattafa Simply Oud Eau De Parfum Spray 100ml</t>
        </is>
      </c>
      <c r="C22561" t="inlineStr">
        <is>
          <t>Eau De Parfum</t>
        </is>
      </c>
      <c r="D22561" t="inlineStr">
        <is>
          <t>Lattafa</t>
        </is>
      </c>
      <c r="E22561" t="n">
        <v>17.82</v>
      </c>
      <c r="F22561" t="n">
        <v>1</v>
      </c>
      <c r="G22561" t="n">
        <v>61</v>
      </c>
      <c r="H22561" s="5">
        <f>HYPERLINK("https://api.qogita.com/variants/link/6291107457079/", "View Product")</f>
        <v/>
      </c>
    </row>
    <row r="22562">
      <c r="A22562" t="inlineStr">
        <is>
          <t>6291107457895</t>
        </is>
      </c>
      <c r="B22562" t="inlineStr">
        <is>
          <t>Hayaati Gold Elixir Perfumed Water Spray 100ml</t>
        </is>
      </c>
      <c r="C22562" t="inlineStr">
        <is>
          <t>Eau De Parfum</t>
        </is>
      </c>
      <c r="D22562" t="inlineStr">
        <is>
          <t>Lattafa</t>
        </is>
      </c>
      <c r="E22562" t="n">
        <v>10.68</v>
      </c>
      <c r="F22562" t="n">
        <v>1</v>
      </c>
      <c r="G22562" t="n">
        <v>114</v>
      </c>
      <c r="H22562" s="5">
        <f>HYPERLINK("https://api.qogita.com/variants/link/6291107457895/", "View Product")</f>
        <v/>
      </c>
    </row>
    <row r="22563">
      <c r="A22563" t="inlineStr">
        <is>
          <t>6291107458328</t>
        </is>
      </c>
      <c r="B22563" t="inlineStr">
        <is>
          <t>Lattafa Perfumes Bade'e Al Oud Oud for Glory Eau de Parfum 100ml Spray</t>
        </is>
      </c>
      <c r="C22563" t="inlineStr">
        <is>
          <t>Eau De Parfum</t>
        </is>
      </c>
      <c r="D22563" t="inlineStr">
        <is>
          <t>Lattafa</t>
        </is>
      </c>
      <c r="E22563" t="n">
        <v>18.48</v>
      </c>
      <c r="F22563" t="n">
        <v>1</v>
      </c>
      <c r="G22563" t="n">
        <v>1109</v>
      </c>
      <c r="H22563" s="5">
        <f>HYPERLINK("https://api.qogita.com/variants/link/6291107458328/", "View Product")</f>
        <v/>
      </c>
    </row>
    <row r="22564">
      <c r="A22564" t="inlineStr">
        <is>
          <t>6291107459141</t>
        </is>
      </c>
      <c r="B22564" t="inlineStr">
        <is>
          <t>La Rouge Baroque Eau de Parfum by Maison Alhambra - 100ml</t>
        </is>
      </c>
      <c r="C22564" t="inlineStr">
        <is>
          <t>Eau De Parfum</t>
        </is>
      </c>
      <c r="D22564" t="inlineStr">
        <is>
          <t>Maison Alhambra</t>
        </is>
      </c>
      <c r="E22564" t="n">
        <v>9.800000000000001</v>
      </c>
      <c r="F22564" t="n">
        <v>1</v>
      </c>
      <c r="G22564" t="n">
        <v>459</v>
      </c>
      <c r="H22564" s="5">
        <f>HYPERLINK("https://api.qogita.com/variants/link/6291107459141/", "View Product")</f>
        <v/>
      </c>
    </row>
    <row r="22565">
      <c r="A22565" t="inlineStr">
        <is>
          <t>6291107459165</t>
        </is>
      </c>
      <c r="B22565" t="inlineStr">
        <is>
          <t>Maison Alhambra Maitre De Blue Eau De Parfum Spray 100ml</t>
        </is>
      </c>
      <c r="C22565" t="inlineStr">
        <is>
          <t>Eau De Parfum</t>
        </is>
      </c>
      <c r="D22565" t="inlineStr">
        <is>
          <t>Maison Alhambra</t>
        </is>
      </c>
      <c r="E22565" t="n">
        <v>7.62</v>
      </c>
      <c r="F22565" t="n">
        <v>1</v>
      </c>
      <c r="G22565" t="n">
        <v>64</v>
      </c>
      <c r="H22565" s="5">
        <f>HYPERLINK("https://api.qogita.com/variants/link/6291107459165/", "View Product")</f>
        <v/>
      </c>
    </row>
    <row r="22566">
      <c r="A22566" t="inlineStr">
        <is>
          <t>6291107459172</t>
        </is>
      </c>
      <c r="B22566" t="inlineStr">
        <is>
          <t>Chants Tenderina EDP Perfume By Maison Alhambra 100ml 3.4 ounces</t>
        </is>
      </c>
      <c r="C22566" t="inlineStr">
        <is>
          <t>Eau De Parfum</t>
        </is>
      </c>
      <c r="D22566" t="inlineStr">
        <is>
          <t>Maison Alhambra</t>
        </is>
      </c>
      <c r="E22566" t="n">
        <v>10.06</v>
      </c>
      <c r="F22566" t="n">
        <v>1</v>
      </c>
      <c r="G22566" t="n">
        <v>25</v>
      </c>
      <c r="H22566" s="5">
        <f>HYPERLINK("https://api.qogita.com/variants/link/6291107459172/", "View Product")</f>
        <v/>
      </c>
    </row>
    <row r="22567">
      <c r="A22567" t="inlineStr">
        <is>
          <t>6291107459233</t>
        </is>
      </c>
      <c r="B22567" t="inlineStr">
        <is>
          <t>Maison Alhambra Hercules Eau De Parfum Spray 100ml</t>
        </is>
      </c>
      <c r="C22567" t="inlineStr">
        <is>
          <t>Eau De Parfum</t>
        </is>
      </c>
      <c r="D22567" t="inlineStr">
        <is>
          <t>Maison Alhambra</t>
        </is>
      </c>
      <c r="E22567" t="n">
        <v>10.72</v>
      </c>
      <c r="F22567" t="n">
        <v>1</v>
      </c>
      <c r="G22567" t="n">
        <v>459</v>
      </c>
      <c r="H22567" s="5">
        <f>HYPERLINK("https://api.qogita.com/variants/link/6291107459233/", "View Product")</f>
        <v/>
      </c>
    </row>
    <row r="22568">
      <c r="A22568" t="inlineStr">
        <is>
          <t>6291107459264</t>
        </is>
      </c>
      <c r="B22568" t="inlineStr">
        <is>
          <t>Maison Alhambra Kismet For Women Eau De Parfum</t>
        </is>
      </c>
      <c r="C22568" t="inlineStr">
        <is>
          <t>Eau De Parfum</t>
        </is>
      </c>
      <c r="D22568" t="inlineStr">
        <is>
          <t>Maison Alhambra</t>
        </is>
      </c>
      <c r="E22568" t="n">
        <v>14.12</v>
      </c>
      <c r="F22568" t="n">
        <v>1</v>
      </c>
      <c r="G22568" t="n">
        <v>129</v>
      </c>
      <c r="H22568" s="5">
        <f>HYPERLINK("https://api.qogita.com/variants/link/6291107459264/", "View Product")</f>
        <v/>
      </c>
    </row>
    <row r="22569">
      <c r="A22569" t="inlineStr">
        <is>
          <t>6291107459271</t>
        </is>
      </c>
      <c r="B22569" t="inlineStr">
        <is>
          <t>Maison Alhambra Modern Musk Eau De Parfum</t>
        </is>
      </c>
      <c r="C22569" t="inlineStr">
        <is>
          <t>Eau De Parfum</t>
        </is>
      </c>
      <c r="D22569" t="inlineStr">
        <is>
          <t>Maison Alhambra</t>
        </is>
      </c>
      <c r="E22569" t="n">
        <v>10.48</v>
      </c>
      <c r="F22569" t="n">
        <v>1</v>
      </c>
      <c r="G22569" t="n">
        <v>160</v>
      </c>
      <c r="H22569" s="5">
        <f>HYPERLINK("https://api.qogita.com/variants/link/6291107459271/", "View Product")</f>
        <v/>
      </c>
    </row>
    <row r="22570">
      <c r="A22570" t="inlineStr">
        <is>
          <t>6291107459363</t>
        </is>
      </c>
      <c r="B22570" t="inlineStr">
        <is>
          <t>Maison Alhambra Salvo</t>
        </is>
      </c>
      <c r="C22570" t="inlineStr">
        <is>
          <t>Eau De Parfum</t>
        </is>
      </c>
      <c r="D22570" t="inlineStr">
        <is>
          <t>Maison Alhambra</t>
        </is>
      </c>
      <c r="E22570" t="n">
        <v>9.56</v>
      </c>
      <c r="F22570" t="n">
        <v>1</v>
      </c>
      <c r="G22570" t="n">
        <v>64</v>
      </c>
      <c r="H22570" s="5">
        <f>HYPERLINK("https://api.qogita.com/variants/link/6291107459363/", "View Product")</f>
        <v/>
      </c>
    </row>
    <row r="22571">
      <c r="A22571" t="inlineStr">
        <is>
          <t>6291107459714</t>
        </is>
      </c>
      <c r="B22571" t="inlineStr">
        <is>
          <t>Lattafa Confidential Platinum Eau De Parfum Spray 100 Ml</t>
        </is>
      </c>
      <c r="C22571" t="inlineStr">
        <is>
          <t>Eau De Parfum</t>
        </is>
      </c>
      <c r="D22571" t="inlineStr">
        <is>
          <t>Lattafa</t>
        </is>
      </c>
      <c r="E22571" t="n">
        <v>10.09</v>
      </c>
      <c r="F22571" t="n">
        <v>1</v>
      </c>
      <c r="G22571" t="n">
        <v>132</v>
      </c>
      <c r="H22571" s="5">
        <f>HYPERLINK("https://api.qogita.com/variants/link/6291107459714/", "View Product")</f>
        <v/>
      </c>
    </row>
    <row r="22572">
      <c r="A22572" t="inlineStr">
        <is>
          <t>6291107571928</t>
        </is>
      </c>
      <c r="B22572" t="inlineStr">
        <is>
          <t>Kayali Kayali Eden Juicy Apple 01 Eau De Parfum 50ml</t>
        </is>
      </c>
      <c r="C22572" t="inlineStr">
        <is>
          <t>Eau De Parfum</t>
        </is>
      </c>
      <c r="D22572" t="inlineStr">
        <is>
          <t>Kayali</t>
        </is>
      </c>
      <c r="E22572" t="n">
        <v>93.42</v>
      </c>
      <c r="F22572" t="n">
        <v>1</v>
      </c>
      <c r="G22572" t="n">
        <v>4</v>
      </c>
      <c r="H22572" s="5">
        <f>HYPERLINK("https://api.qogita.com/variants/link/6291107571928/", "View Product")</f>
        <v/>
      </c>
    </row>
    <row r="22573">
      <c r="A22573" t="inlineStr">
        <is>
          <t>6291107921419</t>
        </is>
      </c>
      <c r="B22573" t="inlineStr">
        <is>
          <t>Shield Men's Eau De Parfum 3.4 Fl. Oz 100ml</t>
        </is>
      </c>
      <c r="C22573" t="inlineStr">
        <is>
          <t>Eau De Parfum</t>
        </is>
      </c>
      <c r="D22573" t="inlineStr">
        <is>
          <t>Mirada</t>
        </is>
      </c>
      <c r="E22573" t="n">
        <v>12.89</v>
      </c>
      <c r="F22573" t="n">
        <v>1</v>
      </c>
      <c r="G22573" t="n">
        <v>21</v>
      </c>
      <c r="H22573" s="5">
        <f>HYPERLINK("https://api.qogita.com/variants/link/6291107921419/", "View Product")</f>
        <v/>
      </c>
    </row>
    <row r="22574">
      <c r="A22574" t="inlineStr">
        <is>
          <t>6291107970370</t>
        </is>
      </c>
      <c r="B22574" t="inlineStr">
        <is>
          <t>Khadlaj Rose &amp; Romance Eau De Parfum 100ml</t>
        </is>
      </c>
      <c r="C22574" t="inlineStr">
        <is>
          <t>Eau De Parfum</t>
        </is>
      </c>
      <c r="D22574" t="inlineStr">
        <is>
          <t>Khadlaj</t>
        </is>
      </c>
      <c r="E22574" t="n">
        <v>9.74</v>
      </c>
      <c r="F22574" t="n">
        <v>1</v>
      </c>
      <c r="G22574" t="n">
        <v>54</v>
      </c>
      <c r="H22574" s="5">
        <f>HYPERLINK("https://api.qogita.com/variants/link/6291107970370/", "View Product")</f>
        <v/>
      </c>
    </row>
    <row r="22575">
      <c r="A22575" t="inlineStr">
        <is>
          <t>6291107973180</t>
        </is>
      </c>
      <c r="B22575" t="inlineStr">
        <is>
          <t>Al Riyan Perfumed Oil 17 ml</t>
        </is>
      </c>
      <c r="C22575" t="inlineStr">
        <is>
          <t>Refillable Fragrances &amp; Refills</t>
        </is>
      </c>
      <c r="D22575" t="inlineStr">
        <is>
          <t>Khadlaj</t>
        </is>
      </c>
      <c r="E22575" t="n">
        <v>6.23</v>
      </c>
      <c r="F22575" t="n">
        <v>1</v>
      </c>
      <c r="G22575" t="n">
        <v>23</v>
      </c>
      <c r="H22575" s="5">
        <f>HYPERLINK("https://api.qogita.com/variants/link/6291107973180/", "View Product")</f>
        <v/>
      </c>
    </row>
    <row r="22576">
      <c r="A22576" t="inlineStr">
        <is>
          <t>6291107973876</t>
        </is>
      </c>
      <c r="B22576" t="inlineStr">
        <is>
          <t>Khadlaj Shamookh Silver Concentrated Perfume Oil 0.67 Ounce Unisex Modern</t>
        </is>
      </c>
      <c r="C22576" t="inlineStr">
        <is>
          <t>Extrait De Parfum</t>
        </is>
      </c>
      <c r="D22576" t="inlineStr">
        <is>
          <t>Khadlaj</t>
        </is>
      </c>
      <c r="E22576" t="n">
        <v>8.529999999999999</v>
      </c>
      <c r="F22576" t="n">
        <v>1</v>
      </c>
      <c r="G22576" t="n">
        <v>77</v>
      </c>
      <c r="H22576" s="5">
        <f>HYPERLINK("https://api.qogita.com/variants/link/6291107973876/", "View Product")</f>
        <v/>
      </c>
    </row>
    <row r="22577">
      <c r="A22577" t="inlineStr">
        <is>
          <t>6291107974156</t>
        </is>
      </c>
      <c r="B22577" t="inlineStr">
        <is>
          <t>Khadlaj Ombre Notes Eau De Parfum 100ml</t>
        </is>
      </c>
      <c r="C22577" t="inlineStr">
        <is>
          <t>Eau De Parfum</t>
        </is>
      </c>
      <c r="D22577" t="inlineStr">
        <is>
          <t>Khadlaj</t>
        </is>
      </c>
      <c r="E22577" t="n">
        <v>10.91</v>
      </c>
      <c r="F22577" t="n">
        <v>1</v>
      </c>
      <c r="G22577" t="n">
        <v>4</v>
      </c>
      <c r="H22577" s="5">
        <f>HYPERLINK("https://api.qogita.com/variants/link/6291107974156/", "View Product")</f>
        <v/>
      </c>
    </row>
    <row r="22578">
      <c r="A22578" t="inlineStr">
        <is>
          <t>6291107974170</t>
        </is>
      </c>
      <c r="B22578" t="inlineStr">
        <is>
          <t>Khadlaj Oud Noir Eau De Parfum Spray 100ml</t>
        </is>
      </c>
      <c r="C22578" t="inlineStr">
        <is>
          <t>Eau De Parfum</t>
        </is>
      </c>
      <c r="D22578" t="inlineStr">
        <is>
          <t>Khadlaj</t>
        </is>
      </c>
      <c r="E22578" t="n">
        <v>11.06</v>
      </c>
      <c r="F22578" t="n">
        <v>1</v>
      </c>
      <c r="G22578" t="n">
        <v>22</v>
      </c>
      <c r="H22578" s="5">
        <f>HYPERLINK("https://api.qogita.com/variants/link/6291107974170/", "View Product")</f>
        <v/>
      </c>
    </row>
    <row r="22579">
      <c r="A22579" t="inlineStr">
        <is>
          <t>6291107975375</t>
        </is>
      </c>
      <c r="B22579" t="inlineStr">
        <is>
          <t>Khadlaj 25 Integrity Eau De Parfum Spray 3.4 Ounce Unisex</t>
        </is>
      </c>
      <c r="C22579" t="inlineStr">
        <is>
          <t>Eau De Parfum</t>
        </is>
      </c>
      <c r="D22579" t="inlineStr">
        <is>
          <t>Khadlaj</t>
        </is>
      </c>
      <c r="E22579" t="n">
        <v>18.17</v>
      </c>
      <c r="F22579" t="n">
        <v>1</v>
      </c>
      <c r="G22579" t="n">
        <v>52</v>
      </c>
      <c r="H22579" s="5">
        <f>HYPERLINK("https://api.qogita.com/variants/link/6291107975375/", "View Product")</f>
        <v/>
      </c>
    </row>
    <row r="22580">
      <c r="A22580" t="inlineStr">
        <is>
          <t>6291107975399</t>
        </is>
      </c>
      <c r="B22580" t="inlineStr">
        <is>
          <t>Khadlaj 25 Trust Eau De Parfum 100ml</t>
        </is>
      </c>
      <c r="C22580" t="inlineStr">
        <is>
          <t>Eau De Parfum</t>
        </is>
      </c>
      <c r="D22580" t="inlineStr">
        <is>
          <t>Khadlaj</t>
        </is>
      </c>
      <c r="E22580" t="n">
        <v>18.44</v>
      </c>
      <c r="F22580" t="n">
        <v>1</v>
      </c>
      <c r="G22580" t="n">
        <v>65</v>
      </c>
      <c r="H22580" s="5">
        <f>HYPERLINK("https://api.qogita.com/variants/link/6291107975399/", "View Product")</f>
        <v/>
      </c>
    </row>
    <row r="22581">
      <c r="A22581" t="inlineStr">
        <is>
          <t>6291107975689</t>
        </is>
      </c>
      <c r="B22581" t="inlineStr">
        <is>
          <t>Khadlaj Rimaal Green Concentrated Perfume Oil for Unisex 0.5 Ounce</t>
        </is>
      </c>
      <c r="C22581" t="inlineStr">
        <is>
          <t>Extrait De Parfum</t>
        </is>
      </c>
      <c r="D22581" t="inlineStr">
        <is>
          <t>Khadlaj</t>
        </is>
      </c>
      <c r="E22581" t="n">
        <v>10.87</v>
      </c>
      <c r="F22581" t="n">
        <v>1</v>
      </c>
      <c r="G22581" t="n">
        <v>8</v>
      </c>
      <c r="H22581" s="5">
        <f>HYPERLINK("https://api.qogita.com/variants/link/6291107975689/", "View Product")</f>
        <v/>
      </c>
    </row>
    <row r="22582">
      <c r="A22582" t="inlineStr">
        <is>
          <t>6291107975771</t>
        </is>
      </c>
      <c r="B22582" t="inlineStr">
        <is>
          <t>La Fede Le Fede Bella Reve Segreto Viola Eau De Parfum 100ml</t>
        </is>
      </c>
      <c r="C22582" t="inlineStr">
        <is>
          <t>Eau De Parfum</t>
        </is>
      </c>
      <c r="D22582" t="inlineStr">
        <is>
          <t>La Fede</t>
        </is>
      </c>
      <c r="E22582" t="n">
        <v>7.83</v>
      </c>
      <c r="F22582" t="n">
        <v>1</v>
      </c>
      <c r="G22582" t="n">
        <v>14</v>
      </c>
      <c r="H22582" s="5">
        <f>HYPERLINK("https://api.qogita.com/variants/link/6291107975771/", "View Product")</f>
        <v/>
      </c>
    </row>
    <row r="22583">
      <c r="A22583" t="inlineStr">
        <is>
          <t>6291107975818</t>
        </is>
      </c>
      <c r="B22583" t="inlineStr">
        <is>
          <t>Khadlaj The Proposal Date Night Edp</t>
        </is>
      </c>
      <c r="C22583" t="inlineStr">
        <is>
          <t>Eau De Parfum</t>
        </is>
      </c>
      <c r="D22583" t="inlineStr">
        <is>
          <t>Khadlaj</t>
        </is>
      </c>
      <c r="E22583" t="n">
        <v>23.59</v>
      </c>
      <c r="F22583" t="n">
        <v>1</v>
      </c>
      <c r="G22583" t="n">
        <v>12</v>
      </c>
      <c r="H22583" s="5">
        <f>HYPERLINK("https://api.qogita.com/variants/link/6291107975818/", "View Product")</f>
        <v/>
      </c>
    </row>
    <row r="22584">
      <c r="A22584" t="inlineStr">
        <is>
          <t>6291107975832</t>
        </is>
      </c>
      <c r="B22584" t="inlineStr">
        <is>
          <t>Rasha - concentrated perfumed oil without alcohol Volume 12 ml</t>
        </is>
      </c>
      <c r="C22584" t="inlineStr">
        <is>
          <t>Extrait De Parfum</t>
        </is>
      </c>
      <c r="D22584" t="inlineStr">
        <is>
          <t>Khadlaj</t>
        </is>
      </c>
      <c r="E22584" t="n">
        <v>7.3</v>
      </c>
      <c r="F22584" t="n">
        <v>1</v>
      </c>
      <c r="G22584" t="n">
        <v>52</v>
      </c>
      <c r="H22584" s="5">
        <f>HYPERLINK("https://api.qogita.com/variants/link/6291107975832/", "View Product")</f>
        <v/>
      </c>
    </row>
    <row r="22585">
      <c r="A22585" t="inlineStr">
        <is>
          <t>6291107975931</t>
        </is>
      </c>
      <c r="B22585" t="inlineStr">
        <is>
          <t>Khadlaj Le Prestige Royal Eau De Parfum Spray 3.4 Ounce Unisex</t>
        </is>
      </c>
      <c r="C22585" t="inlineStr">
        <is>
          <t>Eau De Parfum</t>
        </is>
      </c>
      <c r="D22585" t="inlineStr">
        <is>
          <t>Khadlaj</t>
        </is>
      </c>
      <c r="E22585" t="n">
        <v>17.35</v>
      </c>
      <c r="F22585" t="n">
        <v>1</v>
      </c>
      <c r="G22585" t="n">
        <v>44</v>
      </c>
      <c r="H22585" s="5">
        <f>HYPERLINK("https://api.qogita.com/variants/link/6291107975931/", "View Product")</f>
        <v/>
      </c>
    </row>
    <row r="22586">
      <c r="A22586" t="inlineStr">
        <is>
          <t>6291107975962</t>
        </is>
      </c>
      <c r="B22586" t="inlineStr">
        <is>
          <t>Khadlaj Valor Honor Eau De Parfum 100ml</t>
        </is>
      </c>
      <c r="C22586" t="inlineStr">
        <is>
          <t>Eau De Parfum</t>
        </is>
      </c>
      <c r="D22586" t="inlineStr">
        <is>
          <t>Khadlaj</t>
        </is>
      </c>
      <c r="E22586" t="n">
        <v>14.82</v>
      </c>
      <c r="F22586" t="n">
        <v>1</v>
      </c>
      <c r="G22586" t="n">
        <v>48</v>
      </c>
      <c r="H22586" s="5">
        <f>HYPERLINK("https://api.qogita.com/variants/link/6291107975962/", "View Product")</f>
        <v/>
      </c>
    </row>
    <row r="22587">
      <c r="A22587" t="inlineStr">
        <is>
          <t>6291107975986</t>
        </is>
      </c>
      <c r="B22587" t="inlineStr">
        <is>
          <t>Khadlaj Valor Chivalry Eau De Parfum Spray 100ml</t>
        </is>
      </c>
      <c r="C22587" t="inlineStr">
        <is>
          <t>Eau De Parfum</t>
        </is>
      </c>
      <c r="D22587" t="inlineStr">
        <is>
          <t>Khadlaj</t>
        </is>
      </c>
      <c r="E22587" t="n">
        <v>19.99</v>
      </c>
      <c r="F22587" t="n">
        <v>1</v>
      </c>
      <c r="G22587" t="n">
        <v>50</v>
      </c>
      <c r="H22587" s="5">
        <f>HYPERLINK("https://api.qogita.com/variants/link/6291107975986/", "View Product")</f>
        <v/>
      </c>
    </row>
    <row r="22588">
      <c r="A22588" t="inlineStr">
        <is>
          <t>6291107976662</t>
        </is>
      </c>
      <c r="B22588" t="inlineStr">
        <is>
          <t>Khadlaj Golden Musk - Unisex Fragrance</t>
        </is>
      </c>
      <c r="C22588" t="inlineStr">
        <is>
          <t>Eau De Parfum</t>
        </is>
      </c>
      <c r="D22588" t="inlineStr">
        <is>
          <t>Khadlaj</t>
        </is>
      </c>
      <c r="E22588" t="n">
        <v>6.44</v>
      </c>
      <c r="F22588" t="n">
        <v>1</v>
      </c>
      <c r="G22588" t="n">
        <v>160</v>
      </c>
      <c r="H22588" s="5">
        <f>HYPERLINK("https://api.qogita.com/variants/link/6291107976662/", "View Product")</f>
        <v/>
      </c>
    </row>
    <row r="22589">
      <c r="A22589" t="inlineStr">
        <is>
          <t>6291107976969</t>
        </is>
      </c>
      <c r="B22589" t="inlineStr">
        <is>
          <t>Magnum Gold Edition Eau de Parfum - 100 ml</t>
        </is>
      </c>
      <c r="C22589" t="inlineStr">
        <is>
          <t>Eau De Parfum</t>
        </is>
      </c>
      <c r="D22589" t="inlineStr">
        <is>
          <t>Magnum</t>
        </is>
      </c>
      <c r="E22589" t="n">
        <v>16.76</v>
      </c>
      <c r="F22589" t="n">
        <v>1</v>
      </c>
      <c r="G22589" t="n">
        <v>3</v>
      </c>
      <c r="H22589" s="5">
        <f>HYPERLINK("https://api.qogita.com/variants/link/6291107976969/", "View Product")</f>
        <v/>
      </c>
    </row>
    <row r="22590">
      <c r="A22590" t="inlineStr">
        <is>
          <t>6291107976983</t>
        </is>
      </c>
      <c r="B22590" t="inlineStr">
        <is>
          <t>Khadlaj Opera Rose Lor Eau De Parfum 100ml</t>
        </is>
      </c>
      <c r="C22590" t="inlineStr">
        <is>
          <t>Eau De Parfum</t>
        </is>
      </c>
      <c r="D22590" t="inlineStr">
        <is>
          <t>Khadlaj</t>
        </is>
      </c>
      <c r="E22590" t="n">
        <v>15.21</v>
      </c>
      <c r="F22590" t="n">
        <v>1</v>
      </c>
      <c r="G22590" t="n">
        <v>41</v>
      </c>
      <c r="H22590" s="5">
        <f>HYPERLINK("https://api.qogita.com/variants/link/6291107976983/", "View Product")</f>
        <v/>
      </c>
    </row>
    <row r="22591">
      <c r="A22591" t="inlineStr">
        <is>
          <t>6291107977003</t>
        </is>
      </c>
      <c r="B22591" t="inlineStr">
        <is>
          <t>Khadlaj Ghadeer Gold Eau de Parfum Spray for Unisex 3.4 Ounce</t>
        </is>
      </c>
      <c r="C22591" t="inlineStr">
        <is>
          <t>Eau De Parfum</t>
        </is>
      </c>
      <c r="D22591" t="inlineStr">
        <is>
          <t>Khadlaj</t>
        </is>
      </c>
      <c r="E22591" t="n">
        <v>10.13</v>
      </c>
      <c r="F22591" t="n">
        <v>1</v>
      </c>
      <c r="G22591" t="n">
        <v>31</v>
      </c>
      <c r="H22591" s="5">
        <f>HYPERLINK("https://api.qogita.com/variants/link/6291107977003/", "View Product")</f>
        <v/>
      </c>
    </row>
    <row r="22592">
      <c r="A22592" t="inlineStr">
        <is>
          <t>6291107977744</t>
        </is>
      </c>
      <c r="B22592" t="inlineStr">
        <is>
          <t>Khadlaj Oud And Musk - A Unique Fragrance For Men</t>
        </is>
      </c>
      <c r="C22592" t="inlineStr">
        <is>
          <t>Eau De Parfum</t>
        </is>
      </c>
      <c r="D22592" t="inlineStr">
        <is>
          <t>Khadlaj</t>
        </is>
      </c>
      <c r="E22592" t="n">
        <v>7.3</v>
      </c>
      <c r="F22592" t="n">
        <v>1</v>
      </c>
      <c r="G22592" t="n">
        <v>32</v>
      </c>
      <c r="H22592" s="5">
        <f>HYPERLINK("https://api.qogita.com/variants/link/6291107977744/", "View Product")</f>
        <v/>
      </c>
    </row>
    <row r="22593">
      <c r="A22593" t="inlineStr">
        <is>
          <t>6291107977775</t>
        </is>
      </c>
      <c r="B22593" t="inlineStr">
        <is>
          <t>Khadlaj Anabia Red Oil 20 Ml</t>
        </is>
      </c>
      <c r="C22593" t="inlineStr">
        <is>
          <t>Body Oil</t>
        </is>
      </c>
      <c r="D22593" t="inlineStr">
        <is>
          <t>Khadlaj</t>
        </is>
      </c>
      <c r="E22593" t="n">
        <v>7.3</v>
      </c>
      <c r="F22593" t="n">
        <v>1</v>
      </c>
      <c r="G22593" t="n">
        <v>2</v>
      </c>
      <c r="H22593" s="5">
        <f>HYPERLINK("https://api.qogita.com/variants/link/6291107977775/", "View Product")</f>
        <v/>
      </c>
    </row>
    <row r="22594">
      <c r="A22594" t="inlineStr">
        <is>
          <t>6291107977782</t>
        </is>
      </c>
      <c r="B22594" t="inlineStr">
        <is>
          <t>Khadlaj Anabia Blue Oil 20 Ml</t>
        </is>
      </c>
      <c r="C22594" t="inlineStr">
        <is>
          <t>Body Oil</t>
        </is>
      </c>
      <c r="D22594" t="inlineStr">
        <is>
          <t>Khadlaj</t>
        </is>
      </c>
      <c r="E22594" t="n">
        <v>7.3</v>
      </c>
      <c r="F22594" t="n">
        <v>1</v>
      </c>
      <c r="G22594" t="n">
        <v>44</v>
      </c>
      <c r="H22594" s="5">
        <f>HYPERLINK("https://api.qogita.com/variants/link/6291107977782/", "View Product")</f>
        <v/>
      </c>
    </row>
    <row r="22595">
      <c r="A22595" t="inlineStr">
        <is>
          <t>6291107977829</t>
        </is>
      </c>
      <c r="B22595" t="inlineStr">
        <is>
          <t>Khadlaj Lara Purple Oil 20 Ml</t>
        </is>
      </c>
      <c r="C22595" t="inlineStr">
        <is>
          <t>Hair Oil &amp; Hair Serum</t>
        </is>
      </c>
      <c r="D22595" t="inlineStr">
        <is>
          <t>Khadlaj</t>
        </is>
      </c>
      <c r="E22595" t="n">
        <v>7.3</v>
      </c>
      <c r="F22595" t="n">
        <v>1</v>
      </c>
      <c r="G22595" t="n">
        <v>56</v>
      </c>
      <c r="H22595" s="5">
        <f>HYPERLINK("https://api.qogita.com/variants/link/6291107977829/", "View Product")</f>
        <v/>
      </c>
    </row>
    <row r="22596">
      <c r="A22596" t="inlineStr">
        <is>
          <t>6291107978369</t>
        </is>
      </c>
      <c r="B22596" t="inlineStr">
        <is>
          <t>Khadlaj Amber Pure Oil 20 Ml</t>
        </is>
      </c>
      <c r="C22596" t="inlineStr">
        <is>
          <t>Extrait De Parfum</t>
        </is>
      </c>
      <c r="D22596" t="inlineStr">
        <is>
          <t>Khadlaj</t>
        </is>
      </c>
      <c r="E22596" t="n">
        <v>7.3</v>
      </c>
      <c r="F22596" t="n">
        <v>1</v>
      </c>
      <c r="G22596" t="n">
        <v>32</v>
      </c>
      <c r="H22596" s="5">
        <f>HYPERLINK("https://api.qogita.com/variants/link/6291107978369/", "View Product")</f>
        <v/>
      </c>
    </row>
    <row r="22597">
      <c r="A22597" t="inlineStr">
        <is>
          <t>6291107978796</t>
        </is>
      </c>
      <c r="B22597" t="inlineStr">
        <is>
          <t>La Fede Intoxicate Blue Elixir Extrait De Parfum</t>
        </is>
      </c>
      <c r="C22597" t="inlineStr">
        <is>
          <t>Extrait De Parfum</t>
        </is>
      </c>
      <c r="D22597" t="inlineStr">
        <is>
          <t>La Fede</t>
        </is>
      </c>
      <c r="E22597" t="n">
        <v>17.66</v>
      </c>
      <c r="F22597" t="n">
        <v>1</v>
      </c>
      <c r="G22597" t="n">
        <v>12</v>
      </c>
      <c r="H22597" s="5">
        <f>HYPERLINK("https://api.qogita.com/variants/link/6291107978796/", "View Product")</f>
        <v/>
      </c>
    </row>
    <row r="22598">
      <c r="A22598" t="inlineStr">
        <is>
          <t>6291107978833</t>
        </is>
      </c>
      <c r="B22598" t="inlineStr">
        <is>
          <t>La Fede Eau De Parfum, Symbol Of Power, Unisex, 100 Ml</t>
        </is>
      </c>
      <c r="C22598" t="inlineStr">
        <is>
          <t>Eau De Parfum</t>
        </is>
      </c>
      <c r="D22598" t="inlineStr">
        <is>
          <t>La Fede</t>
        </is>
      </c>
      <c r="E22598" t="n">
        <v>10.05</v>
      </c>
      <c r="F22598" t="n">
        <v>1</v>
      </c>
      <c r="G22598" t="n">
        <v>18</v>
      </c>
      <c r="H22598" s="5">
        <f>HYPERLINK("https://api.qogita.com/variants/link/6291107978833/", "View Product")</f>
        <v/>
      </c>
    </row>
    <row r="22599">
      <c r="A22599" t="inlineStr">
        <is>
          <t>6291108320693</t>
        </is>
      </c>
      <c r="B22599" t="inlineStr">
        <is>
          <t>Paradox Rossa By Fa Paris Eau De Parfum 100ml 3.4 Fl Oz</t>
        </is>
      </c>
      <c r="C22599" t="inlineStr">
        <is>
          <t>Eau De Parfum</t>
        </is>
      </c>
      <c r="D22599" t="inlineStr">
        <is>
          <t>Fa Paris</t>
        </is>
      </c>
      <c r="E22599" t="n">
        <v>23.39</v>
      </c>
      <c r="F22599" t="n">
        <v>1</v>
      </c>
      <c r="G22599" t="n">
        <v>39</v>
      </c>
      <c r="H22599" s="5">
        <f>HYPERLINK("https://api.qogita.com/variants/link/6291108320693/", "View Product")</f>
        <v/>
      </c>
    </row>
    <row r="22600">
      <c r="A22600" t="inlineStr">
        <is>
          <t>6291108320716</t>
        </is>
      </c>
      <c r="B22600" t="inlineStr">
        <is>
          <t>Fragrance World Paradox Azuree Eau De Parfum 100ml</t>
        </is>
      </c>
      <c r="C22600" t="inlineStr">
        <is>
          <t>Eau De Parfum</t>
        </is>
      </c>
      <c r="D22600" t="inlineStr">
        <is>
          <t>Fragrance World</t>
        </is>
      </c>
      <c r="E22600" t="n">
        <v>23.39</v>
      </c>
      <c r="F22600" t="n">
        <v>1</v>
      </c>
      <c r="G22600" t="n">
        <v>30</v>
      </c>
      <c r="H22600" s="5">
        <f>HYPERLINK("https://api.qogita.com/variants/link/6291108320716/", "View Product")</f>
        <v/>
      </c>
    </row>
    <row r="22601">
      <c r="A22601" t="inlineStr">
        <is>
          <t>6291108326763</t>
        </is>
      </c>
      <c r="B22601" t="inlineStr">
        <is>
          <t>Fragrance World Imperium Eau De Parfum 100ml</t>
        </is>
      </c>
      <c r="C22601" t="inlineStr">
        <is>
          <t>Eau De Parfum</t>
        </is>
      </c>
      <c r="D22601" t="inlineStr">
        <is>
          <t>Fragrance World</t>
        </is>
      </c>
      <c r="E22601" t="n">
        <v>11.56</v>
      </c>
      <c r="F22601" t="n">
        <v>1</v>
      </c>
      <c r="G22601" t="n">
        <v>23</v>
      </c>
      <c r="H22601" s="5">
        <f>HYPERLINK("https://api.qogita.com/variants/link/6291108326763/", "View Product")</f>
        <v/>
      </c>
    </row>
    <row r="22602">
      <c r="A22602" t="inlineStr">
        <is>
          <t>6291108328668</t>
        </is>
      </c>
      <c r="B22602" t="inlineStr">
        <is>
          <t>The Fire Extrait De Parfum 60ml</t>
        </is>
      </c>
      <c r="C22602" t="inlineStr">
        <is>
          <t>Extrait De Parfum</t>
        </is>
      </c>
      <c r="D22602" t="inlineStr">
        <is>
          <t>French Avenue</t>
        </is>
      </c>
      <c r="E22602" t="n">
        <v>30.41</v>
      </c>
      <c r="F22602" t="n">
        <v>1</v>
      </c>
      <c r="G22602" t="n">
        <v>33</v>
      </c>
      <c r="H22602" s="5">
        <f>HYPERLINK("https://api.qogita.com/variants/link/6291108328668/", "View Product")</f>
        <v/>
      </c>
    </row>
    <row r="22603">
      <c r="A22603" t="inlineStr">
        <is>
          <t>6291108329313</t>
        </is>
      </c>
      <c r="B22603" t="inlineStr">
        <is>
          <t>Enigma Une Eau De Parfum By Fragrance World 100ml Inspired by Suvage Elixir</t>
        </is>
      </c>
      <c r="C22603" t="inlineStr">
        <is>
          <t>Eau De Parfum</t>
        </is>
      </c>
      <c r="D22603" t="inlineStr">
        <is>
          <t>Fragrance World</t>
        </is>
      </c>
      <c r="E22603" t="n">
        <v>23.64</v>
      </c>
      <c r="F22603" t="n">
        <v>1</v>
      </c>
      <c r="G22603" t="n">
        <v>50</v>
      </c>
      <c r="H22603" s="5">
        <f>HYPERLINK("https://api.qogita.com/variants/link/6291108329313/", "View Product")</f>
        <v/>
      </c>
    </row>
    <row r="22604">
      <c r="A22604" t="inlineStr">
        <is>
          <t>6291108329696</t>
        </is>
      </c>
      <c r="B22604" t="inlineStr">
        <is>
          <t>Fragrance World Intense Addiction Extrait Perfume 80ML 2.7 Fl Oz</t>
        </is>
      </c>
      <c r="C22604" t="inlineStr">
        <is>
          <t>Extrait De Parfum</t>
        </is>
      </c>
      <c r="D22604" t="inlineStr">
        <is>
          <t>Fragrance World</t>
        </is>
      </c>
      <c r="E22604" t="n">
        <v>19.58</v>
      </c>
      <c r="F22604" t="n">
        <v>1</v>
      </c>
      <c r="G22604" t="n">
        <v>77</v>
      </c>
      <c r="H22604" s="5">
        <f>HYPERLINK("https://api.qogita.com/variants/link/6291108329696/", "View Product")</f>
        <v/>
      </c>
    </row>
    <row r="22605">
      <c r="A22605" t="inlineStr">
        <is>
          <t>6291108522370</t>
        </is>
      </c>
      <c r="B22605" t="inlineStr">
        <is>
          <t>Al Fares Bint Al Akaber Eau de Parfum 100 ml - Unisex</t>
        </is>
      </c>
      <c r="C22605" t="inlineStr">
        <is>
          <t>Eau De Parfum</t>
        </is>
      </c>
      <c r="D22605" t="inlineStr">
        <is>
          <t>Al Fares</t>
        </is>
      </c>
      <c r="E22605" t="n">
        <v>8.01</v>
      </c>
      <c r="F22605" t="n">
        <v>1</v>
      </c>
      <c r="G22605" t="n">
        <v>5</v>
      </c>
      <c r="H22605" s="5">
        <f>HYPERLINK("https://api.qogita.com/variants/link/6291108522370/", "View Product")</f>
        <v/>
      </c>
    </row>
    <row r="22606">
      <c r="A22606" t="inlineStr">
        <is>
          <t>6291108727775</t>
        </is>
      </c>
      <c r="B22606" t="inlineStr">
        <is>
          <t>Amaran Kings and Queens Ethos Perfume 100ml / 3.40 Fl Oz EDP Unisex</t>
        </is>
      </c>
      <c r="C22606" t="inlineStr">
        <is>
          <t>Eau De Parfum</t>
        </is>
      </c>
      <c r="D22606" t="inlineStr">
        <is>
          <t>Amaran</t>
        </is>
      </c>
      <c r="E22606" t="n">
        <v>16.04</v>
      </c>
      <c r="F22606" t="n">
        <v>1</v>
      </c>
      <c r="G22606" t="n">
        <v>20</v>
      </c>
      <c r="H22606" s="5">
        <f>HYPERLINK("https://api.qogita.com/variants/link/6291108727775/", "View Product")</f>
        <v/>
      </c>
    </row>
    <row r="22607">
      <c r="A22607" t="inlineStr">
        <is>
          <t>6291108727799</t>
        </is>
      </c>
      <c r="B22607" t="inlineStr">
        <is>
          <t>Amaran Kings and Queens Ethos Parfum 100ml 3.40 Fl Oz EDP for Men</t>
        </is>
      </c>
      <c r="C22607" t="inlineStr">
        <is>
          <t>Eau De Parfum</t>
        </is>
      </c>
      <c r="D22607" t="inlineStr">
        <is>
          <t>Amaran</t>
        </is>
      </c>
      <c r="E22607" t="n">
        <v>16.04</v>
      </c>
      <c r="F22607" t="n">
        <v>1</v>
      </c>
      <c r="G22607" t="n">
        <v>22</v>
      </c>
      <c r="H22607" s="5">
        <f>HYPERLINK("https://api.qogita.com/variants/link/6291108727799/", "View Product")</f>
        <v/>
      </c>
    </row>
    <row r="22608">
      <c r="A22608" t="inlineStr">
        <is>
          <t>6291108730041</t>
        </is>
      </c>
      <c r="B22608" t="inlineStr">
        <is>
          <t>Maison Alhambra Opulence Leather Eau De Parfum 100ml Spray</t>
        </is>
      </c>
      <c r="C22608" t="inlineStr">
        <is>
          <t>Eau De Parfum</t>
        </is>
      </c>
      <c r="D22608" t="inlineStr">
        <is>
          <t>Maison Alhambra</t>
        </is>
      </c>
      <c r="E22608" t="n">
        <v>12.05</v>
      </c>
      <c r="F22608" t="n">
        <v>1</v>
      </c>
      <c r="G22608" t="n">
        <v>947</v>
      </c>
      <c r="H22608" s="5">
        <f>HYPERLINK("https://api.qogita.com/variants/link/6291108730041/", "View Product")</f>
        <v/>
      </c>
    </row>
    <row r="22609">
      <c r="A22609" t="inlineStr">
        <is>
          <t>6291108730157</t>
        </is>
      </c>
      <c r="B22609" t="inlineStr">
        <is>
          <t>Kingsman Perfumed Water Spray 100ml</t>
        </is>
      </c>
      <c r="C22609" t="inlineStr">
        <is>
          <t>Eau De Parfum</t>
        </is>
      </c>
      <c r="D22609" t="inlineStr">
        <is>
          <t>Kingsman</t>
        </is>
      </c>
      <c r="E22609" t="n">
        <v>9.77</v>
      </c>
      <c r="F22609" t="n">
        <v>1</v>
      </c>
      <c r="G22609" t="n">
        <v>131</v>
      </c>
      <c r="H22609" s="5">
        <f>HYPERLINK("https://api.qogita.com/variants/link/6291108730157/", "View Product")</f>
        <v/>
      </c>
    </row>
    <row r="22610">
      <c r="A22610" t="inlineStr">
        <is>
          <t>6291108730195</t>
        </is>
      </c>
      <c r="B22610" t="inlineStr">
        <is>
          <t>Maison Alhambra Libbra Eau De Parfum 100ml Spray</t>
        </is>
      </c>
      <c r="C22610" t="inlineStr">
        <is>
          <t>Eau De Parfum</t>
        </is>
      </c>
      <c r="D22610" t="inlineStr">
        <is>
          <t>Maison Alhambra</t>
        </is>
      </c>
      <c r="E22610" t="n">
        <v>10.05</v>
      </c>
      <c r="F22610" t="n">
        <v>1</v>
      </c>
      <c r="G22610" t="n">
        <v>182</v>
      </c>
      <c r="H22610" s="5">
        <f>HYPERLINK("https://api.qogita.com/variants/link/6291108730195/", "View Product")</f>
        <v/>
      </c>
    </row>
    <row r="22611">
      <c r="A22611" t="inlineStr">
        <is>
          <t>6291108730225</t>
        </is>
      </c>
      <c r="B22611" t="inlineStr">
        <is>
          <t>Maison Alhambra Narissa Peach Eau De Parfum 100ml Spray</t>
        </is>
      </c>
      <c r="C22611" t="inlineStr">
        <is>
          <t>Eau De Parfum</t>
        </is>
      </c>
      <c r="D22611" t="inlineStr">
        <is>
          <t>Maison Alhambra</t>
        </is>
      </c>
      <c r="E22611" t="n">
        <v>10.62</v>
      </c>
      <c r="F22611" t="n">
        <v>1</v>
      </c>
      <c r="G22611" t="n">
        <v>171</v>
      </c>
      <c r="H22611" s="5">
        <f>HYPERLINK("https://api.qogita.com/variants/link/6291108730225/", "View Product")</f>
        <v/>
      </c>
    </row>
    <row r="22612">
      <c r="A22612" t="inlineStr">
        <is>
          <t>6291108730294</t>
        </is>
      </c>
      <c r="B22612" t="inlineStr">
        <is>
          <t>Versencia Rouge Perfumed Water Spray 100ml</t>
        </is>
      </c>
      <c r="C22612" t="inlineStr">
        <is>
          <t>Eau De Parfum</t>
        </is>
      </c>
      <c r="D22612" t="inlineStr">
        <is>
          <t>Versace</t>
        </is>
      </c>
      <c r="E22612" t="n">
        <v>11.25</v>
      </c>
      <c r="F22612" t="n">
        <v>1</v>
      </c>
      <c r="G22612" t="n">
        <v>112</v>
      </c>
      <c r="H22612" s="5">
        <f>HYPERLINK("https://api.qogita.com/variants/link/6291108730294/", "View Product")</f>
        <v/>
      </c>
    </row>
    <row r="22613">
      <c r="A22613" t="inlineStr">
        <is>
          <t>6291108730461</t>
        </is>
      </c>
      <c r="B22613" t="inlineStr">
        <is>
          <t>Wonder of You Riffs EDP Cologne for Men</t>
        </is>
      </c>
      <c r="C22613" t="inlineStr">
        <is>
          <t>Eau De Parfum</t>
        </is>
      </c>
      <c r="D22613" t="inlineStr">
        <is>
          <t>Rituals</t>
        </is>
      </c>
      <c r="E22613" t="n">
        <v>11.05</v>
      </c>
      <c r="F22613" t="n">
        <v>1</v>
      </c>
      <c r="G22613" t="n">
        <v>4</v>
      </c>
      <c r="H22613" s="5">
        <f>HYPERLINK("https://api.qogita.com/variants/link/6291108730461/", "View Product")</f>
        <v/>
      </c>
    </row>
    <row r="22614">
      <c r="A22614" t="inlineStr">
        <is>
          <t>6291108731840</t>
        </is>
      </c>
      <c r="B22614" t="inlineStr">
        <is>
          <t>Lattafa Perfumes Qissati Vol I Red Eau De Parfum My Story Volume I</t>
        </is>
      </c>
      <c r="C22614" t="inlineStr">
        <is>
          <t>Eau De Parfum</t>
        </is>
      </c>
      <c r="D22614" t="inlineStr">
        <is>
          <t>Lattafa</t>
        </is>
      </c>
      <c r="E22614" t="n">
        <v>18.57</v>
      </c>
      <c r="F22614" t="n">
        <v>1</v>
      </c>
      <c r="G22614" t="n">
        <v>33</v>
      </c>
      <c r="H22614" s="5">
        <f>HYPERLINK("https://api.qogita.com/variants/link/6291108731840/", "View Product")</f>
        <v/>
      </c>
    </row>
    <row r="22615">
      <c r="A22615" t="inlineStr">
        <is>
          <t>6291108732052</t>
        </is>
      </c>
      <c r="B22615" t="inlineStr">
        <is>
          <t>Riiffs Imperial Blue by Riiffs</t>
        </is>
      </c>
      <c r="C22615" t="inlineStr">
        <is>
          <t>Eau De Parfum</t>
        </is>
      </c>
      <c r="D22615" t="inlineStr">
        <is>
          <t>Riiffs</t>
        </is>
      </c>
      <c r="E22615" t="n">
        <v>11.74</v>
      </c>
      <c r="F22615" t="n">
        <v>1</v>
      </c>
      <c r="G22615" t="n">
        <v>5</v>
      </c>
      <c r="H22615" s="5">
        <f>HYPERLINK("https://api.qogita.com/variants/link/6291108732052/", "View Product")</f>
        <v/>
      </c>
    </row>
    <row r="22616">
      <c r="A22616" t="inlineStr">
        <is>
          <t>6291108732199</t>
        </is>
      </c>
      <c r="B22616" t="inlineStr">
        <is>
          <t>Maison Alhambra Bronze Eau De Parfum Spray 100ml</t>
        </is>
      </c>
      <c r="C22616" t="inlineStr">
        <is>
          <t>Eau De Parfum</t>
        </is>
      </c>
      <c r="D22616" t="inlineStr">
        <is>
          <t>Maison Alhambra</t>
        </is>
      </c>
      <c r="E22616" t="n">
        <v>8.279999999999999</v>
      </c>
      <c r="F22616" t="n">
        <v>1</v>
      </c>
      <c r="G22616" t="n">
        <v>63</v>
      </c>
      <c r="H22616" s="5">
        <f>HYPERLINK("https://api.qogita.com/variants/link/6291108732199/", "View Product")</f>
        <v/>
      </c>
    </row>
    <row r="22617">
      <c r="A22617" t="inlineStr">
        <is>
          <t>6291108732496</t>
        </is>
      </c>
      <c r="B22617" t="inlineStr">
        <is>
          <t>Lattafa Mayar Eau De Parfum Spray 100ml</t>
        </is>
      </c>
      <c r="C22617" t="inlineStr">
        <is>
          <t>Eau De Parfum</t>
        </is>
      </c>
      <c r="D22617" t="inlineStr">
        <is>
          <t>Lattafa</t>
        </is>
      </c>
      <c r="E22617" t="n">
        <v>16.29</v>
      </c>
      <c r="F22617" t="n">
        <v>1</v>
      </c>
      <c r="G22617" t="n">
        <v>70</v>
      </c>
      <c r="H22617" s="5">
        <f>HYPERLINK("https://api.qogita.com/variants/link/6291108732496/", "View Product")</f>
        <v/>
      </c>
    </row>
    <row r="22618">
      <c r="A22618" t="inlineStr">
        <is>
          <t>6291108733448</t>
        </is>
      </c>
      <c r="B22618" t="inlineStr">
        <is>
          <t>La Vita Eau De Parfum 100ml by Maison Alhambra</t>
        </is>
      </c>
      <c r="C22618" t="inlineStr">
        <is>
          <t>Eau De Parfum</t>
        </is>
      </c>
      <c r="D22618" t="inlineStr">
        <is>
          <t>Maison Alhambra</t>
        </is>
      </c>
      <c r="E22618" t="n">
        <v>10.92</v>
      </c>
      <c r="F22618" t="n">
        <v>1</v>
      </c>
      <c r="G22618" t="n">
        <v>45</v>
      </c>
      <c r="H22618" s="5">
        <f>HYPERLINK("https://api.qogita.com/variants/link/6291108733448/", "View Product")</f>
        <v/>
      </c>
    </row>
    <row r="22619">
      <c r="A22619" t="inlineStr">
        <is>
          <t>6291108733707</t>
        </is>
      </c>
      <c r="B22619" t="inlineStr">
        <is>
          <t>Emir When Soul Gets High Eau De Parfum Spray 100ml</t>
        </is>
      </c>
      <c r="C22619" t="inlineStr">
        <is>
          <t>Eau De Parfum</t>
        </is>
      </c>
      <c r="D22619" t="inlineStr">
        <is>
          <t>Emir</t>
        </is>
      </c>
      <c r="E22619" t="n">
        <v>17.38</v>
      </c>
      <c r="F22619" t="n">
        <v>1</v>
      </c>
      <c r="G22619" t="n">
        <v>43</v>
      </c>
      <c r="H22619" s="5">
        <f>HYPERLINK("https://api.qogita.com/variants/link/6291108733707/", "View Product")</f>
        <v/>
      </c>
    </row>
    <row r="22620">
      <c r="A22620" t="inlineStr">
        <is>
          <t>6291108733875</t>
        </is>
      </c>
      <c r="B22620" t="inlineStr">
        <is>
          <t>Lattafa Bade'e Al Oud Amethyst Eau De Parfum 100ml</t>
        </is>
      </c>
      <c r="C22620" t="inlineStr">
        <is>
          <t>Eau De Parfum</t>
        </is>
      </c>
      <c r="D22620" t="inlineStr">
        <is>
          <t>Lattafa</t>
        </is>
      </c>
      <c r="E22620" t="n">
        <v>18.09</v>
      </c>
      <c r="F22620" t="n">
        <v>1</v>
      </c>
      <c r="G22620" t="n">
        <v>459</v>
      </c>
      <c r="H22620" s="5">
        <f>HYPERLINK("https://api.qogita.com/variants/link/6291108733875/", "View Product")</f>
        <v/>
      </c>
    </row>
    <row r="22621">
      <c r="A22621" t="inlineStr">
        <is>
          <t>6291108734537</t>
        </is>
      </c>
      <c r="B22621" t="inlineStr">
        <is>
          <t>Lattafa Musk Wild Vanille Eau De Parfum Spray 100ml</t>
        </is>
      </c>
      <c r="C22621" t="inlineStr">
        <is>
          <t>Eau De Parfum</t>
        </is>
      </c>
      <c r="D22621" t="inlineStr">
        <is>
          <t>Lattafa</t>
        </is>
      </c>
      <c r="E22621" t="n">
        <v>11.43</v>
      </c>
      <c r="F22621" t="n">
        <v>1</v>
      </c>
      <c r="G22621" t="n">
        <v>81</v>
      </c>
      <c r="H22621" s="5">
        <f>HYPERLINK("https://api.qogita.com/variants/link/6291108734537/", "View Product")</f>
        <v/>
      </c>
    </row>
    <row r="22622">
      <c r="A22622" t="inlineStr">
        <is>
          <t>6291108734940</t>
        </is>
      </c>
      <c r="B22622" t="inlineStr">
        <is>
          <t>Yara Lattafa Fruity Arabic Perfume for Women 100ml</t>
        </is>
      </c>
      <c r="C22622" t="inlineStr">
        <is>
          <t>Eau De Parfum</t>
        </is>
      </c>
      <c r="D22622" t="inlineStr">
        <is>
          <t>Lattafa</t>
        </is>
      </c>
      <c r="E22622" t="n">
        <v>4.58</v>
      </c>
      <c r="F22622" t="n">
        <v>1</v>
      </c>
      <c r="G22622" t="n">
        <v>235</v>
      </c>
      <c r="H22622" s="5">
        <f>HYPERLINK("https://api.qogita.com/variants/link/6291108734940/", "View Product")</f>
        <v/>
      </c>
    </row>
    <row r="22623">
      <c r="A22623" t="inlineStr">
        <is>
          <t>6291108735275</t>
        </is>
      </c>
      <c r="B22623" t="inlineStr">
        <is>
          <t>Maison Alhambra Amberley Amoroso Eau De Parfum Spray 100ml</t>
        </is>
      </c>
      <c r="C22623" t="inlineStr">
        <is>
          <t>Eau De Parfum</t>
        </is>
      </c>
      <c r="D22623" t="inlineStr">
        <is>
          <t>Maison Alhambra</t>
        </is>
      </c>
      <c r="E22623" t="n">
        <v>23.67</v>
      </c>
      <c r="F22623" t="n">
        <v>1</v>
      </c>
      <c r="G22623" t="n">
        <v>75</v>
      </c>
      <c r="H22623" s="5">
        <f>HYPERLINK("https://api.qogita.com/variants/link/6291108735275/", "View Product")</f>
        <v/>
      </c>
    </row>
    <row r="22624">
      <c r="A22624" t="inlineStr">
        <is>
          <t>6291108735411</t>
        </is>
      </c>
      <c r="B22624" t="inlineStr">
        <is>
          <t>Lattafa Asad Eau De Parfum Spray 100ml</t>
        </is>
      </c>
      <c r="C22624" t="inlineStr">
        <is>
          <t>Eau De Parfum</t>
        </is>
      </c>
      <c r="D22624" t="inlineStr">
        <is>
          <t>Lattafa</t>
        </is>
      </c>
      <c r="E22624" t="n">
        <v>16.05</v>
      </c>
      <c r="F22624" t="n">
        <v>1</v>
      </c>
      <c r="G22624" t="n">
        <v>166</v>
      </c>
      <c r="H22624" s="5">
        <f>HYPERLINK("https://api.qogita.com/variants/link/6291108735411/", "View Product")</f>
        <v/>
      </c>
    </row>
    <row r="22625">
      <c r="A22625" t="inlineStr">
        <is>
          <t>6291108735428</t>
        </is>
      </c>
      <c r="B22625" t="inlineStr">
        <is>
          <t>Maison Alhambra Infini Oud Eau De Parfum Spray 100ml</t>
        </is>
      </c>
      <c r="C22625" t="inlineStr">
        <is>
          <t>Eau De Parfum</t>
        </is>
      </c>
      <c r="D22625" t="inlineStr">
        <is>
          <t>Maison Alhambra</t>
        </is>
      </c>
      <c r="E22625" t="n">
        <v>14.61</v>
      </c>
      <c r="F22625" t="n">
        <v>1</v>
      </c>
      <c r="G22625" t="n">
        <v>23</v>
      </c>
      <c r="H22625" s="5">
        <f>HYPERLINK("https://api.qogita.com/variants/link/6291108735428/", "View Product")</f>
        <v/>
      </c>
    </row>
    <row r="22626">
      <c r="A22626" t="inlineStr">
        <is>
          <t>6291108735510</t>
        </is>
      </c>
      <c r="B22626" t="inlineStr">
        <is>
          <t>Maison Alhambra Exclusif Saffron Eau De Parfum Spray 100ml</t>
        </is>
      </c>
      <c r="C22626" t="inlineStr">
        <is>
          <t>Eau De Parfum</t>
        </is>
      </c>
      <c r="D22626" t="inlineStr">
        <is>
          <t>Maison Alhambra</t>
        </is>
      </c>
      <c r="E22626" t="n">
        <v>14.73</v>
      </c>
      <c r="F22626" t="n">
        <v>1</v>
      </c>
      <c r="G22626" t="n">
        <v>29</v>
      </c>
      <c r="H22626" s="5">
        <f>HYPERLINK("https://api.qogita.com/variants/link/6291108735510/", "View Product")</f>
        <v/>
      </c>
    </row>
    <row r="22627">
      <c r="A22627" t="inlineStr">
        <is>
          <t>6291108735572</t>
        </is>
      </c>
      <c r="B22627" t="inlineStr">
        <is>
          <t>Lattafa Mohra Silky Rose Eau De Parfum Spray 100ml</t>
        </is>
      </c>
      <c r="C22627" t="inlineStr">
        <is>
          <t>Eau De Parfum</t>
        </is>
      </c>
      <c r="D22627" t="inlineStr">
        <is>
          <t>Lattafa</t>
        </is>
      </c>
      <c r="E22627" t="n">
        <v>13.75</v>
      </c>
      <c r="F22627" t="n">
        <v>1</v>
      </c>
      <c r="G22627" t="n">
        <v>54</v>
      </c>
      <c r="H22627" s="5">
        <f>HYPERLINK("https://api.qogita.com/variants/link/6291108735572/", "View Product")</f>
        <v/>
      </c>
    </row>
    <row r="22628">
      <c r="A22628" t="inlineStr">
        <is>
          <t>6291108735749</t>
        </is>
      </c>
      <c r="B22628" t="inlineStr">
        <is>
          <t>Maison Alhambra Pink Velvet EDP Perfume 80ml (previously Rose Petals)</t>
        </is>
      </c>
      <c r="C22628" t="inlineStr">
        <is>
          <t>Eau De Parfum</t>
        </is>
      </c>
      <c r="D22628" t="inlineStr">
        <is>
          <t>Maison Alhambra</t>
        </is>
      </c>
      <c r="E22628" t="n">
        <v>13.75</v>
      </c>
      <c r="F22628" t="n">
        <v>1</v>
      </c>
      <c r="G22628" t="n">
        <v>489</v>
      </c>
      <c r="H22628" s="5">
        <f>HYPERLINK("https://api.qogita.com/variants/link/6291108735749/", "View Product")</f>
        <v/>
      </c>
    </row>
    <row r="22629">
      <c r="A22629" t="inlineStr">
        <is>
          <t>6291108735886</t>
        </is>
      </c>
      <c r="B22629" t="inlineStr">
        <is>
          <t>Maison Alhambra Aquilo Pour Homme Eau De Parfum Spray 100ml</t>
        </is>
      </c>
      <c r="C22629" t="inlineStr">
        <is>
          <t>Eau De Parfum</t>
        </is>
      </c>
      <c r="D22629" t="inlineStr">
        <is>
          <t>Maison Alhambra</t>
        </is>
      </c>
      <c r="E22629" t="n">
        <v>11.29</v>
      </c>
      <c r="F22629" t="n">
        <v>1</v>
      </c>
      <c r="G22629" t="n">
        <v>26</v>
      </c>
      <c r="H22629" s="5">
        <f>HYPERLINK("https://api.qogita.com/variants/link/6291108735886/", "View Product")</f>
        <v/>
      </c>
    </row>
    <row r="22630">
      <c r="A22630" t="inlineStr">
        <is>
          <t>6291108735893</t>
        </is>
      </c>
      <c r="B22630" t="inlineStr">
        <is>
          <t>Rose Seduction VIP Pour Femme 100ml</t>
        </is>
      </c>
      <c r="C22630" t="inlineStr">
        <is>
          <t>Eau De Parfum</t>
        </is>
      </c>
      <c r="D22630" t="inlineStr">
        <is>
          <t>Lattafa</t>
        </is>
      </c>
      <c r="E22630" t="n">
        <v>9.27</v>
      </c>
      <c r="F22630" t="n">
        <v>1</v>
      </c>
      <c r="G22630" t="n">
        <v>53</v>
      </c>
      <c r="H22630" s="5">
        <f>HYPERLINK("https://api.qogita.com/variants/link/6291108735893/", "View Product")</f>
        <v/>
      </c>
    </row>
    <row r="22631">
      <c r="A22631" t="inlineStr">
        <is>
          <t>6291108736098</t>
        </is>
      </c>
      <c r="B22631" t="inlineStr">
        <is>
          <t>Maison Alhambra Roman Leather Eau De Parfum 80ml</t>
        </is>
      </c>
      <c r="C22631" t="inlineStr">
        <is>
          <t>Eau De Parfum</t>
        </is>
      </c>
      <c r="D22631" t="inlineStr">
        <is>
          <t>Maison Alhambra</t>
        </is>
      </c>
      <c r="E22631" t="n">
        <v>11.79</v>
      </c>
      <c r="F22631" t="n">
        <v>1</v>
      </c>
      <c r="G22631" t="n">
        <v>316</v>
      </c>
      <c r="H22631" s="5">
        <f>HYPERLINK("https://api.qogita.com/variants/link/6291108736098/", "View Product")</f>
        <v/>
      </c>
    </row>
    <row r="22632">
      <c r="A22632" t="inlineStr">
        <is>
          <t>6291108736289</t>
        </is>
      </c>
      <c r="B22632" t="inlineStr">
        <is>
          <t>Rose Oud Eau De Parfum 100ml by Maison Alhambra</t>
        </is>
      </c>
      <c r="C22632" t="inlineStr">
        <is>
          <t>Eau De Parfum</t>
        </is>
      </c>
      <c r="D22632" t="inlineStr">
        <is>
          <t>Maison Alhambra</t>
        </is>
      </c>
      <c r="E22632" t="n">
        <v>20.34</v>
      </c>
      <c r="F22632" t="n">
        <v>1</v>
      </c>
      <c r="G22632" t="n">
        <v>32</v>
      </c>
      <c r="H22632" s="5">
        <f>HYPERLINK("https://api.qogita.com/variants/link/6291108736289/", "View Product")</f>
        <v/>
      </c>
    </row>
    <row r="22633">
      <c r="A22633" t="inlineStr">
        <is>
          <t>6291108736562</t>
        </is>
      </c>
      <c r="B22633" t="inlineStr">
        <is>
          <t>Maison Alhambra Unisex Winsome EDP Spray 90ml (formly Tux)</t>
        </is>
      </c>
      <c r="C22633" t="inlineStr">
        <is>
          <t>Eau De Parfum</t>
        </is>
      </c>
      <c r="D22633" t="inlineStr">
        <is>
          <t>Maison Alhambra</t>
        </is>
      </c>
      <c r="E22633" t="n">
        <v>13.8</v>
      </c>
      <c r="F22633" t="n">
        <v>1</v>
      </c>
      <c r="G22633" t="n">
        <v>804</v>
      </c>
      <c r="H22633" s="5">
        <f>HYPERLINK("https://api.qogita.com/variants/link/6291108736562/", "View Product")</f>
        <v/>
      </c>
    </row>
    <row r="22634">
      <c r="A22634" t="inlineStr">
        <is>
          <t>6291108736609</t>
        </is>
      </c>
      <c r="B22634" t="inlineStr">
        <is>
          <t>Maison Alhambra Very Velvet Red 100ml Women's</t>
        </is>
      </c>
      <c r="C22634" t="inlineStr">
        <is>
          <t>Eau De Parfum</t>
        </is>
      </c>
      <c r="D22634" t="inlineStr">
        <is>
          <t>Maison Alhambra</t>
        </is>
      </c>
      <c r="E22634" t="n">
        <v>13.21</v>
      </c>
      <c r="F22634" t="n">
        <v>1</v>
      </c>
      <c r="G22634" t="n">
        <v>53</v>
      </c>
      <c r="H22634" s="5">
        <f>HYPERLINK("https://api.qogita.com/variants/link/6291108736609/", "View Product")</f>
        <v/>
      </c>
    </row>
    <row r="22635">
      <c r="A22635" t="inlineStr">
        <is>
          <t>6291108736999</t>
        </is>
      </c>
      <c r="B22635" t="inlineStr">
        <is>
          <t>Maison Alhambra Olivia Blossom Eau De Parfum Spray 80ml</t>
        </is>
      </c>
      <c r="C22635" t="inlineStr">
        <is>
          <t>Eau De Parfum</t>
        </is>
      </c>
      <c r="D22635" t="inlineStr">
        <is>
          <t>Maison Alhambra</t>
        </is>
      </c>
      <c r="E22635" t="n">
        <v>9.41</v>
      </c>
      <c r="F22635" t="n">
        <v>1</v>
      </c>
      <c r="G22635" t="n">
        <v>278</v>
      </c>
      <c r="H22635" s="5">
        <f>HYPERLINK("https://api.qogita.com/variants/link/6291108736999/", "View Product")</f>
        <v/>
      </c>
    </row>
    <row r="22636">
      <c r="A22636" t="inlineStr">
        <is>
          <t>6291108737026</t>
        </is>
      </c>
      <c r="B22636" t="inlineStr">
        <is>
          <t>Alhambra Pink Shimmer Secret Oud EDP 100ml 3.4oz</t>
        </is>
      </c>
      <c r="C22636" t="inlineStr">
        <is>
          <t>Eau De Parfum</t>
        </is>
      </c>
      <c r="D22636" t="inlineStr">
        <is>
          <t>Alhambra</t>
        </is>
      </c>
      <c r="E22636" t="n">
        <v>11.41</v>
      </c>
      <c r="F22636" t="n">
        <v>1</v>
      </c>
      <c r="G22636" t="n">
        <v>130</v>
      </c>
      <c r="H22636" s="5">
        <f>HYPERLINK("https://api.qogita.com/variants/link/6291108737026/", "View Product")</f>
        <v/>
      </c>
    </row>
    <row r="22637">
      <c r="A22637" t="inlineStr">
        <is>
          <t>6291108737323</t>
        </is>
      </c>
      <c r="B22637" t="inlineStr">
        <is>
          <t>Lattafa Musamam Eau De Parfum Spray 100ml</t>
        </is>
      </c>
      <c r="C22637" t="inlineStr">
        <is>
          <t>Eau De Parfum</t>
        </is>
      </c>
      <c r="D22637" t="inlineStr">
        <is>
          <t>Lattafa</t>
        </is>
      </c>
      <c r="E22637" t="n">
        <v>23.98</v>
      </c>
      <c r="F22637" t="n">
        <v>1</v>
      </c>
      <c r="G22637" t="n">
        <v>22</v>
      </c>
      <c r="H22637" s="5">
        <f>HYPERLINK("https://api.qogita.com/variants/link/6291108737323/", "View Product")</f>
        <v/>
      </c>
    </row>
    <row r="22638">
      <c r="A22638" t="inlineStr">
        <is>
          <t>6291108737934</t>
        </is>
      </c>
      <c r="B22638" t="inlineStr">
        <is>
          <t>Lattafa Perfumes Shahd Unisex Eau De Parfum Spray 3.4 Ounce</t>
        </is>
      </c>
      <c r="C22638" t="inlineStr">
        <is>
          <t>Eau De Parfum</t>
        </is>
      </c>
      <c r="D22638" t="inlineStr">
        <is>
          <t>Lattafa</t>
        </is>
      </c>
      <c r="E22638" t="n">
        <v>10.74</v>
      </c>
      <c r="F22638" t="n">
        <v>1</v>
      </c>
      <c r="G22638" t="n">
        <v>102</v>
      </c>
      <c r="H22638" s="5">
        <f>HYPERLINK("https://api.qogita.com/variants/link/6291108737934/", "View Product")</f>
        <v/>
      </c>
    </row>
    <row r="22639">
      <c r="A22639" t="inlineStr">
        <is>
          <t>6291108738115</t>
        </is>
      </c>
      <c r="B22639" t="inlineStr">
        <is>
          <t>Lattafa Pride Eternal Oud Eau De Parfum Spray 100ml</t>
        </is>
      </c>
      <c r="C22639" t="inlineStr">
        <is>
          <t>Eau De Parfum</t>
        </is>
      </c>
      <c r="D22639" t="inlineStr">
        <is>
          <t>Lattafa</t>
        </is>
      </c>
      <c r="E22639" t="n">
        <v>21.12</v>
      </c>
      <c r="F22639" t="n">
        <v>1</v>
      </c>
      <c r="G22639" t="n">
        <v>134</v>
      </c>
      <c r="H22639" s="5">
        <f>HYPERLINK("https://api.qogita.com/variants/link/6291108738115/", "View Product")</f>
        <v/>
      </c>
    </row>
    <row r="22640">
      <c r="A22640" t="inlineStr">
        <is>
          <t>6291108738184</t>
        </is>
      </c>
      <c r="B22640" t="inlineStr">
        <is>
          <t>Lattafa Pride Tharwah Silver Eau De Parfum Spray 100ml</t>
        </is>
      </c>
      <c r="C22640" t="inlineStr">
        <is>
          <t>Eau De Parfum</t>
        </is>
      </c>
      <c r="D22640" t="inlineStr">
        <is>
          <t>Lattafa</t>
        </is>
      </c>
      <c r="E22640" t="n">
        <v>19.07</v>
      </c>
      <c r="F22640" t="n">
        <v>1</v>
      </c>
      <c r="G22640" t="n">
        <v>124</v>
      </c>
      <c r="H22640" s="5">
        <f>HYPERLINK("https://api.qogita.com/variants/link/6291108738184/", "View Product")</f>
        <v/>
      </c>
    </row>
    <row r="22641">
      <c r="A22641" t="inlineStr">
        <is>
          <t>6291108738191</t>
        </is>
      </c>
      <c r="B22641" t="inlineStr">
        <is>
          <t>Ansaam Gold EDP Eau De Parfum 100ml Unisex by Lattafa Perfumes</t>
        </is>
      </c>
      <c r="C22641" t="inlineStr">
        <is>
          <t>Eau De Parfum</t>
        </is>
      </c>
      <c r="D22641" t="inlineStr">
        <is>
          <t>Lattafa</t>
        </is>
      </c>
      <c r="E22641" t="n">
        <v>20.87</v>
      </c>
      <c r="F22641" t="n">
        <v>1</v>
      </c>
      <c r="G22641" t="n">
        <v>459</v>
      </c>
      <c r="H22641" s="5">
        <f>HYPERLINK("https://api.qogita.com/variants/link/6291108738191/", "View Product")</f>
        <v/>
      </c>
    </row>
    <row r="22642">
      <c r="A22642" t="inlineStr">
        <is>
          <t>6291108738269</t>
        </is>
      </c>
      <c r="B22642" t="inlineStr">
        <is>
          <t>Lattafa Pride Awaan Eau De Parfum Spray 100ml</t>
        </is>
      </c>
      <c r="C22642" t="inlineStr">
        <is>
          <t>Eau De Parfum</t>
        </is>
      </c>
      <c r="D22642" t="inlineStr">
        <is>
          <t>Lattafa</t>
        </is>
      </c>
      <c r="E22642" t="n">
        <v>20.3</v>
      </c>
      <c r="F22642" t="n">
        <v>1</v>
      </c>
      <c r="G22642" t="n">
        <v>80</v>
      </c>
      <c r="H22642" s="5">
        <f>HYPERLINK("https://api.qogita.com/variants/link/6291108738269/", "View Product")</f>
        <v/>
      </c>
    </row>
    <row r="22643">
      <c r="A22643" t="inlineStr">
        <is>
          <t>6291108738276</t>
        </is>
      </c>
      <c r="B22643" t="inlineStr">
        <is>
          <t>Lattafa Nebras Eau De Parfum 100ml</t>
        </is>
      </c>
      <c r="C22643" t="inlineStr">
        <is>
          <t>Eau De Parfum</t>
        </is>
      </c>
      <c r="D22643" t="inlineStr">
        <is>
          <t>Lattafa</t>
        </is>
      </c>
      <c r="E22643" t="n">
        <v>19.31</v>
      </c>
      <c r="F22643" t="n">
        <v>1</v>
      </c>
      <c r="G22643" t="n">
        <v>5</v>
      </c>
      <c r="H22643" s="5">
        <f>HYPERLINK("https://api.qogita.com/variants/link/6291108738276/", "View Product")</f>
        <v/>
      </c>
    </row>
    <row r="22644">
      <c r="A22644" t="inlineStr">
        <is>
          <t>6291108738498</t>
        </is>
      </c>
      <c r="B22644" t="inlineStr">
        <is>
          <t>Lattafa Emaan Eau De Parfum Spray 100ml</t>
        </is>
      </c>
      <c r="C22644" t="inlineStr">
        <is>
          <t>Eau De Parfum</t>
        </is>
      </c>
      <c r="D22644" t="inlineStr">
        <is>
          <t>Lattafa</t>
        </is>
      </c>
      <c r="E22644" t="n">
        <v>19.33</v>
      </c>
      <c r="F22644" t="n">
        <v>1</v>
      </c>
      <c r="G22644" t="n">
        <v>32</v>
      </c>
      <c r="H22644" s="5">
        <f>HYPERLINK("https://api.qogita.com/variants/link/6291108738498/", "View Product")</f>
        <v/>
      </c>
    </row>
    <row r="22645">
      <c r="A22645" t="inlineStr">
        <is>
          <t>6291108738658</t>
        </is>
      </c>
      <c r="B22645" t="inlineStr">
        <is>
          <t>Lattafa Pride Shaheen Silver Eau De Parfum Spray 100ml</t>
        </is>
      </c>
      <c r="C22645" t="inlineStr">
        <is>
          <t>Eau De Parfum</t>
        </is>
      </c>
      <c r="D22645" t="inlineStr">
        <is>
          <t>Lattafa</t>
        </is>
      </c>
      <c r="E22645" t="n">
        <v>20.85</v>
      </c>
      <c r="F22645" t="n">
        <v>1</v>
      </c>
      <c r="G22645" t="n">
        <v>278</v>
      </c>
      <c r="H22645" s="5">
        <f>HYPERLINK("https://api.qogita.com/variants/link/6291108738658/", "View Product")</f>
        <v/>
      </c>
    </row>
    <row r="22646">
      <c r="A22646" t="inlineStr">
        <is>
          <t>6291109270164</t>
        </is>
      </c>
      <c r="B22646" t="inlineStr">
        <is>
          <t>Arte Bellissimo Exotic Eau de Parfum</t>
        </is>
      </c>
      <c r="C22646" t="inlineStr">
        <is>
          <t>Eau De Parfum</t>
        </is>
      </c>
      <c r="D22646" t="inlineStr">
        <is>
          <t>Orientica</t>
        </is>
      </c>
      <c r="E22646" t="n">
        <v>40.56</v>
      </c>
      <c r="F22646" t="n">
        <v>1</v>
      </c>
      <c r="G22646" t="n">
        <v>6</v>
      </c>
      <c r="H22646" s="5">
        <f>HYPERLINK("https://api.qogita.com/variants/link/6291109270164/", "View Product")</f>
        <v/>
      </c>
    </row>
    <row r="22647">
      <c r="A22647" t="inlineStr">
        <is>
          <t>6291109270171</t>
        </is>
      </c>
      <c r="B22647" t="inlineStr">
        <is>
          <t>Orientica Wild Neroli Eau De Parfum 85 Ml</t>
        </is>
      </c>
      <c r="C22647" t="inlineStr">
        <is>
          <t>Eau De Parfum</t>
        </is>
      </c>
      <c r="D22647" t="inlineStr">
        <is>
          <t>Orientica</t>
        </is>
      </c>
      <c r="E22647" t="n">
        <v>38.83</v>
      </c>
      <c r="F22647" t="n">
        <v>1</v>
      </c>
      <c r="G22647" t="n">
        <v>5</v>
      </c>
      <c r="H22647" s="5">
        <f>HYPERLINK("https://api.qogita.com/variants/link/6291109270171/", "View Product")</f>
        <v/>
      </c>
    </row>
    <row r="22648">
      <c r="A22648" t="inlineStr">
        <is>
          <t>6292257582109</t>
        </is>
      </c>
      <c r="B22648" t="inlineStr">
        <is>
          <t>Al Crystal Al Aswad EDP by Adyan Prestige for Men 100ml</t>
        </is>
      </c>
      <c r="C22648" t="inlineStr">
        <is>
          <t>Eau De Parfum</t>
        </is>
      </c>
      <c r="D22648" t="inlineStr">
        <is>
          <t>Ajmal</t>
        </is>
      </c>
      <c r="E22648" t="n">
        <v>14.7</v>
      </c>
      <c r="F22648" t="n">
        <v>1</v>
      </c>
      <c r="G22648" t="n">
        <v>21</v>
      </c>
      <c r="H22648" s="5">
        <f>HYPERLINK("https://api.qogita.com/variants/link/6292257582109/", "View Product")</f>
        <v/>
      </c>
    </row>
    <row r="22649">
      <c r="A22649" t="inlineStr">
        <is>
          <t>6292257582185</t>
        </is>
      </c>
      <c r="B22649" t="inlineStr">
        <is>
          <t>Ighra EDP Natural Spray for Her by Adyan Prestige 100ml</t>
        </is>
      </c>
      <c r="C22649" t="inlineStr">
        <is>
          <t>Eau De Parfum</t>
        </is>
      </c>
      <c r="D22649" t="inlineStr">
        <is>
          <t>Tawakkal Perfumes</t>
        </is>
      </c>
      <c r="E22649" t="n">
        <v>13.99</v>
      </c>
      <c r="F22649" t="n">
        <v>1</v>
      </c>
      <c r="G22649" t="n">
        <v>22</v>
      </c>
      <c r="H22649" s="5">
        <f>HYPERLINK("https://api.qogita.com/variants/link/6292257582185/", "View Product")</f>
        <v/>
      </c>
    </row>
    <row r="22650">
      <c r="A22650" t="inlineStr">
        <is>
          <t>6292257588705</t>
        </is>
      </c>
      <c r="B22650" t="inlineStr">
        <is>
          <t>Anfar Platinum Shade Pour Femme Perfume 100ml</t>
        </is>
      </c>
      <c r="C22650" t="inlineStr">
        <is>
          <t>Eau De Parfum</t>
        </is>
      </c>
      <c r="D22650" t="inlineStr">
        <is>
          <t>Anfar</t>
        </is>
      </c>
      <c r="E22650" t="n">
        <v>21.12</v>
      </c>
      <c r="F22650" t="n">
        <v>1</v>
      </c>
      <c r="G22650" t="n">
        <v>21</v>
      </c>
      <c r="H22650" s="5">
        <f>HYPERLINK("https://api.qogita.com/variants/link/6292257588705/", "View Product")</f>
        <v/>
      </c>
    </row>
    <row r="22651">
      <c r="A22651" t="inlineStr">
        <is>
          <t>6292257588798</t>
        </is>
      </c>
      <c r="B22651" t="inlineStr">
        <is>
          <t>Leather Oud For Men 3.4 Oz EDP Spray</t>
        </is>
      </c>
      <c r="C22651" t="inlineStr">
        <is>
          <t>Eau De Parfum</t>
        </is>
      </c>
      <c r="D22651" t="inlineStr">
        <is>
          <t>Anfar</t>
        </is>
      </c>
      <c r="E22651" t="n">
        <v>22.56</v>
      </c>
      <c r="F22651" t="n">
        <v>1</v>
      </c>
      <c r="G22651" t="n">
        <v>18</v>
      </c>
      <c r="H22651" s="5">
        <f>HYPERLINK("https://api.qogita.com/variants/link/6292257588798/", "View Product")</f>
        <v/>
      </c>
    </row>
    <row r="22652">
      <c r="A22652" t="inlineStr">
        <is>
          <t>6292257603019</t>
        </is>
      </c>
      <c r="B22652" t="inlineStr">
        <is>
          <t>Anfar Amber D'Orient Extrait de Parfum Spray 3.9 oz</t>
        </is>
      </c>
      <c r="C22652" t="inlineStr">
        <is>
          <t>Extrait De Parfum</t>
        </is>
      </c>
      <c r="D22652" t="inlineStr">
        <is>
          <t>Anfar</t>
        </is>
      </c>
      <c r="E22652" t="n">
        <v>26.85</v>
      </c>
      <c r="F22652" t="n">
        <v>1</v>
      </c>
      <c r="G22652" t="n">
        <v>19</v>
      </c>
      <c r="H22652" s="5">
        <f>HYPERLINK("https://api.qogita.com/variants/link/6292257603019/", "View Product")</f>
        <v/>
      </c>
    </row>
    <row r="22653">
      <c r="A22653" t="inlineStr">
        <is>
          <t>6292257640267</t>
        </is>
      </c>
      <c r="B22653" t="inlineStr">
        <is>
          <t>Musk Essential EAU de Parfum 3.4oz Made in UAE</t>
        </is>
      </c>
      <c r="C22653" t="inlineStr">
        <is>
          <t>Eau De Parfum</t>
        </is>
      </c>
      <c r="D22653" t="inlineStr">
        <is>
          <t>Ajmal</t>
        </is>
      </c>
      <c r="E22653" t="n">
        <v>14.7</v>
      </c>
      <c r="F22653" t="n">
        <v>1</v>
      </c>
      <c r="G22653" t="n">
        <v>5</v>
      </c>
      <c r="H22653" s="5">
        <f>HYPERLINK("https://api.qogita.com/variants/link/6292257640267/", "View Product")</f>
        <v/>
      </c>
    </row>
    <row r="22654">
      <c r="A22654" t="inlineStr">
        <is>
          <t>6292257641318</t>
        </is>
      </c>
      <c r="B22654" t="inlineStr">
        <is>
          <t>Anfar London Rituals Of Anfar Meditation for Women 2.7 Oz Extrait</t>
        </is>
      </c>
      <c r="C22654" t="inlineStr">
        <is>
          <t>Extrait De Parfum</t>
        </is>
      </c>
      <c r="D22654" t="inlineStr">
        <is>
          <t>Anfar</t>
        </is>
      </c>
      <c r="E22654" t="n">
        <v>28.98</v>
      </c>
      <c r="F22654" t="n">
        <v>1</v>
      </c>
      <c r="G22654" t="n">
        <v>9</v>
      </c>
      <c r="H22654" s="5">
        <f>HYPERLINK("https://api.qogita.com/variants/link/6292257641318/", "View Product")</f>
        <v/>
      </c>
    </row>
    <row r="22655">
      <c r="A22655" t="inlineStr">
        <is>
          <t>6292257641813</t>
        </is>
      </c>
      <c r="B22655" t="inlineStr">
        <is>
          <t>Anfar London Leather D'Orient Extrait De Parfum Spray Unisex 100ml</t>
        </is>
      </c>
      <c r="C22655" t="inlineStr">
        <is>
          <t>Extrait De Parfum</t>
        </is>
      </c>
      <c r="D22655" t="inlineStr">
        <is>
          <t>Anfar</t>
        </is>
      </c>
      <c r="E22655" t="n">
        <v>26.85</v>
      </c>
      <c r="F22655" t="n">
        <v>1</v>
      </c>
      <c r="G22655" t="n">
        <v>18</v>
      </c>
      <c r="H22655" s="5">
        <f>HYPERLINK("https://api.qogita.com/variants/link/6292257641813/", "View Product")</f>
        <v/>
      </c>
    </row>
    <row r="22656">
      <c r="A22656" t="inlineStr">
        <is>
          <t>6292257641950</t>
        </is>
      </c>
      <c r="B22656" t="inlineStr">
        <is>
          <t>Mahib EDP 100ml for Women by Adyan Arabian Fragrance Perfume</t>
        </is>
      </c>
      <c r="C22656" t="inlineStr">
        <is>
          <t>Eau De Parfum</t>
        </is>
      </c>
      <c r="D22656" t="inlineStr">
        <is>
          <t>Ajmal</t>
        </is>
      </c>
      <c r="E22656" t="n">
        <v>15.4</v>
      </c>
      <c r="F22656" t="n">
        <v>1</v>
      </c>
      <c r="G22656" t="n">
        <v>16</v>
      </c>
      <c r="H22656" s="5">
        <f>HYPERLINK("https://api.qogita.com/variants/link/6292257641950/", "View Product")</f>
        <v/>
      </c>
    </row>
    <row r="22657">
      <c r="A22657" t="inlineStr">
        <is>
          <t>6292257641998</t>
        </is>
      </c>
      <c r="B22657" t="inlineStr">
        <is>
          <t>Tamara EAU de Parfum 3.4 oz Made in UAE</t>
        </is>
      </c>
      <c r="C22657" t="inlineStr">
        <is>
          <t>Eau De Parfum</t>
        </is>
      </c>
      <c r="D22657" t="inlineStr">
        <is>
          <t>Ajmal</t>
        </is>
      </c>
      <c r="E22657" t="n">
        <v>14.7</v>
      </c>
      <c r="F22657" t="n">
        <v>1</v>
      </c>
      <c r="G22657" t="n">
        <v>18</v>
      </c>
      <c r="H22657" s="5">
        <f>HYPERLINK("https://api.qogita.com/variants/link/6292257641998/", "View Product")</f>
        <v/>
      </c>
    </row>
    <row r="22658">
      <c r="A22658" t="inlineStr">
        <is>
          <t>6292257642018</t>
        </is>
      </c>
      <c r="B22658" t="inlineStr">
        <is>
          <t>Hyba Eau de Parfum for Women 100ml Exquisite Citrus Floral Scent with Orchid, Sandalwood, and Vanilla Base Notes Romantic and Alluring</t>
        </is>
      </c>
      <c r="C22658" t="inlineStr">
        <is>
          <t>Eau De Parfum</t>
        </is>
      </c>
      <c r="D22658" t="inlineStr">
        <is>
          <t>Ajmal</t>
        </is>
      </c>
      <c r="E22658" t="n">
        <v>14.7</v>
      </c>
      <c r="F22658" t="n">
        <v>1</v>
      </c>
      <c r="G22658" t="n">
        <v>18</v>
      </c>
      <c r="H22658" s="5">
        <f>HYPERLINK("https://api.qogita.com/variants/link/6292257642018/", "View Product")</f>
        <v/>
      </c>
    </row>
    <row r="22659">
      <c r="A22659" t="inlineStr">
        <is>
          <t>6292257642124</t>
        </is>
      </c>
      <c r="B22659" t="inlineStr">
        <is>
          <t>Anfar London Azule Elite for Men 3.4 Oz Extrait De Parfum Spray</t>
        </is>
      </c>
      <c r="C22659" t="inlineStr">
        <is>
          <t>Extrait De Parfum</t>
        </is>
      </c>
      <c r="D22659" t="inlineStr">
        <is>
          <t>Anfar</t>
        </is>
      </c>
      <c r="E22659" t="n">
        <v>30.41</v>
      </c>
      <c r="F22659" t="n">
        <v>1</v>
      </c>
      <c r="G22659" t="n">
        <v>3</v>
      </c>
      <c r="H22659" s="5">
        <f>HYPERLINK("https://api.qogita.com/variants/link/6292257642124/", "View Product")</f>
        <v/>
      </c>
    </row>
    <row r="22660">
      <c r="A22660" t="inlineStr">
        <is>
          <t>6292257642889</t>
        </is>
      </c>
      <c r="B22660" t="inlineStr">
        <is>
          <t>Adyan Dalia Ciel Extrait De Parfum for Women - Original Fragrance from Dubai</t>
        </is>
      </c>
      <c r="C22660" t="inlineStr">
        <is>
          <t>Extrait De Parfum</t>
        </is>
      </c>
      <c r="D22660" t="inlineStr">
        <is>
          <t>Ajmal</t>
        </is>
      </c>
      <c r="E22660" t="n">
        <v>16.82</v>
      </c>
      <c r="F22660" t="n">
        <v>1</v>
      </c>
      <c r="G22660" t="n">
        <v>11</v>
      </c>
      <c r="H22660" s="5">
        <f>HYPERLINK("https://api.qogita.com/variants/link/6292257642889/", "View Product")</f>
        <v/>
      </c>
    </row>
    <row r="22661">
      <c r="A22661" t="inlineStr">
        <is>
          <t>6292257643619</t>
        </is>
      </c>
      <c r="B22661" t="inlineStr">
        <is>
          <t>Adyan Peachy Haze Extrait De Parfum 100ml 3.4oz</t>
        </is>
      </c>
      <c r="C22661" t="inlineStr">
        <is>
          <t>Extrait De Parfum</t>
        </is>
      </c>
      <c r="D22661" t="inlineStr">
        <is>
          <t>Ajmal</t>
        </is>
      </c>
      <c r="E22661" t="n">
        <v>23.99</v>
      </c>
      <c r="F22661" t="n">
        <v>1</v>
      </c>
      <c r="G22661" t="n">
        <v>16</v>
      </c>
      <c r="H22661" s="5">
        <f>HYPERLINK("https://api.qogita.com/variants/link/6292257643619/", "View Product")</f>
        <v/>
      </c>
    </row>
    <row r="22662">
      <c r="A22662" t="inlineStr">
        <is>
          <t>6292257643992</t>
        </is>
      </c>
      <c r="B22662" t="inlineStr">
        <is>
          <t>Sabbia Unisex 3.4 Oz Extrait De Parfum Spray</t>
        </is>
      </c>
      <c r="C22662" t="inlineStr">
        <is>
          <t>Extrait De Parfum</t>
        </is>
      </c>
      <c r="D22662" t="inlineStr">
        <is>
          <t>Anfar</t>
        </is>
      </c>
      <c r="E22662" t="n">
        <v>28.28</v>
      </c>
      <c r="F22662" t="n">
        <v>1</v>
      </c>
      <c r="G22662" t="n">
        <v>3</v>
      </c>
      <c r="H22662" s="5">
        <f>HYPERLINK("https://api.qogita.com/variants/link/6292257643992/", "View Product")</f>
        <v/>
      </c>
    </row>
    <row r="22663">
      <c r="A22663" t="inlineStr">
        <is>
          <t>6292257644029</t>
        </is>
      </c>
      <c r="B22663" t="inlineStr">
        <is>
          <t>Zenit Lilac For Women 3.4 Oz Extrait De Parfum Spray</t>
        </is>
      </c>
      <c r="C22663" t="inlineStr">
        <is>
          <t>Extrait De Parfum</t>
        </is>
      </c>
      <c r="D22663" t="inlineStr">
        <is>
          <t>Anfar</t>
        </is>
      </c>
      <c r="E22663" t="n">
        <v>24.15</v>
      </c>
      <c r="F22663" t="n">
        <v>1</v>
      </c>
      <c r="G22663" t="n">
        <v>4</v>
      </c>
      <c r="H22663" s="5">
        <f>HYPERLINK("https://api.qogita.com/variants/link/6292257644029/", "View Product")</f>
        <v/>
      </c>
    </row>
    <row r="22664">
      <c r="A22664" t="inlineStr">
        <is>
          <t>6292257644074</t>
        </is>
      </c>
      <c r="B22664" t="inlineStr">
        <is>
          <t>Edition Odyssee II by Anfar for Men 3.4 Oz Extrait De Parfum Spray</t>
        </is>
      </c>
      <c r="C22664" t="inlineStr">
        <is>
          <t>Extrait De Parfum</t>
        </is>
      </c>
      <c r="D22664" t="inlineStr">
        <is>
          <t>Anfar</t>
        </is>
      </c>
      <c r="E22664" t="n">
        <v>29.71</v>
      </c>
      <c r="F22664" t="n">
        <v>1</v>
      </c>
      <c r="G22664" t="n">
        <v>5</v>
      </c>
      <c r="H22664" s="5">
        <f>HYPERLINK("https://api.qogita.com/variants/link/6292257644074/", "View Product")</f>
        <v/>
      </c>
    </row>
    <row r="22665">
      <c r="A22665" t="inlineStr">
        <is>
          <t>6292257644104</t>
        </is>
      </c>
      <c r="B22665" t="inlineStr">
        <is>
          <t>Edition Artisan Oud by Anfar for Men 3.4 Oz Extrait De Parfum Spray</t>
        </is>
      </c>
      <c r="C22665" t="inlineStr">
        <is>
          <t>Extrait De Parfum</t>
        </is>
      </c>
      <c r="D22665" t="inlineStr">
        <is>
          <t>Anfar</t>
        </is>
      </c>
      <c r="E22665" t="n">
        <v>30.41</v>
      </c>
      <c r="F22665" t="n">
        <v>1</v>
      </c>
      <c r="G22665" t="n">
        <v>14</v>
      </c>
      <c r="H22665" s="5">
        <f>HYPERLINK("https://api.qogita.com/variants/link/6292257644104/", "View Product")</f>
        <v/>
      </c>
    </row>
    <row r="22666">
      <c r="A22666" t="inlineStr">
        <is>
          <t>6292257644111</t>
        </is>
      </c>
      <c r="B22666" t="inlineStr">
        <is>
          <t>Artisan Noir for Women 3.4 Oz Extrait De Parfum Spray</t>
        </is>
      </c>
      <c r="C22666" t="inlineStr">
        <is>
          <t>Extrait De Parfum</t>
        </is>
      </c>
      <c r="D22666" t="inlineStr">
        <is>
          <t>Anfar</t>
        </is>
      </c>
      <c r="E22666" t="n">
        <v>26.03</v>
      </c>
      <c r="F22666" t="n">
        <v>1</v>
      </c>
      <c r="G22666" t="n">
        <v>3</v>
      </c>
      <c r="H22666" s="5">
        <f>HYPERLINK("https://api.qogita.com/variants/link/6292257644111/", "View Product")</f>
        <v/>
      </c>
    </row>
    <row r="22667">
      <c r="A22667" t="inlineStr">
        <is>
          <t>6292257644142</t>
        </is>
      </c>
      <c r="B22667" t="inlineStr">
        <is>
          <t>Sentiments Edition Discover By Anfar For Men 3.4 Oz Extrait De Parfum Spray</t>
        </is>
      </c>
      <c r="C22667" t="inlineStr">
        <is>
          <t>Extrait De Parfum</t>
        </is>
      </c>
      <c r="D22667" t="inlineStr">
        <is>
          <t>Anfar</t>
        </is>
      </c>
      <c r="E22667" t="n">
        <v>28.28</v>
      </c>
      <c r="F22667" t="n">
        <v>1</v>
      </c>
      <c r="G22667" t="n">
        <v>19</v>
      </c>
      <c r="H22667" s="5">
        <f>HYPERLINK("https://api.qogita.com/variants/link/6292257644142/", "View Product")</f>
        <v/>
      </c>
    </row>
    <row r="22668">
      <c r="A22668" t="inlineStr">
        <is>
          <t>6292257644562</t>
        </is>
      </c>
      <c r="B22668" t="inlineStr">
        <is>
          <t>Norah Bella Arabian Eau De Parfum for Women</t>
        </is>
      </c>
      <c r="C22668" t="inlineStr">
        <is>
          <t>Eau De Parfum</t>
        </is>
      </c>
      <c r="D22668" t="inlineStr">
        <is>
          <t>Ajmal</t>
        </is>
      </c>
      <c r="E22668" t="n">
        <v>16.12</v>
      </c>
      <c r="F22668" t="n">
        <v>1</v>
      </c>
      <c r="G22668" t="n">
        <v>13</v>
      </c>
      <c r="H22668" s="5">
        <f>HYPERLINK("https://api.qogita.com/variants/link/6292257644562/", "View Product")</f>
        <v/>
      </c>
    </row>
    <row r="22669">
      <c r="A22669" t="inlineStr">
        <is>
          <t>6292257644722</t>
        </is>
      </c>
      <c r="B22669" t="inlineStr">
        <is>
          <t>Adyan By Anfar Madiha Musk Extrait De Parfum 3.4oz</t>
        </is>
      </c>
      <c r="C22669" t="inlineStr">
        <is>
          <t>Extrait De Parfum</t>
        </is>
      </c>
      <c r="D22669" t="inlineStr">
        <is>
          <t>Ajmal</t>
        </is>
      </c>
      <c r="E22669" t="n">
        <v>22.56</v>
      </c>
      <c r="F22669" t="n">
        <v>1</v>
      </c>
      <c r="G22669" t="n">
        <v>16</v>
      </c>
      <c r="H22669" s="5">
        <f>HYPERLINK("https://api.qogita.com/variants/link/6292257644722/", "View Product")</f>
        <v/>
      </c>
    </row>
    <row r="22670">
      <c r="A22670" t="inlineStr">
        <is>
          <t>6292257645842</t>
        </is>
      </c>
      <c r="B22670" t="inlineStr">
        <is>
          <t>Adyan By Anfar Roje Premium EDP 100ml 3.4fl.oz Arabian Eau De Parfum for Men</t>
        </is>
      </c>
      <c r="C22670" t="inlineStr">
        <is>
          <t>Eau De Parfum</t>
        </is>
      </c>
      <c r="D22670" t="inlineStr">
        <is>
          <t>Ajmal</t>
        </is>
      </c>
      <c r="E22670" t="n">
        <v>25.41</v>
      </c>
      <c r="F22670" t="n">
        <v>1</v>
      </c>
      <c r="G22670" t="n">
        <v>16</v>
      </c>
      <c r="H22670" s="5">
        <f>HYPERLINK("https://api.qogita.com/variants/link/6292257645842/", "View Product")</f>
        <v/>
      </c>
    </row>
    <row r="22671">
      <c r="A22671" t="inlineStr">
        <is>
          <t>6292564584049</t>
        </is>
      </c>
      <c r="B22671" t="inlineStr">
        <is>
          <t>Emir Arena Intense Lueur D'Espoir Eau De Parfum 100ml</t>
        </is>
      </c>
      <c r="C22671" t="inlineStr">
        <is>
          <t>Eau De Parfum</t>
        </is>
      </c>
      <c r="D22671" t="inlineStr">
        <is>
          <t>Emir</t>
        </is>
      </c>
      <c r="E22671" t="n">
        <v>13.76</v>
      </c>
      <c r="F22671" t="n">
        <v>1</v>
      </c>
      <c r="G22671" t="n">
        <v>66</v>
      </c>
      <c r="H22671" s="5">
        <f>HYPERLINK("https://api.qogita.com/variants/link/6292564584049/", "View Product")</f>
        <v/>
      </c>
    </row>
    <row r="22672">
      <c r="A22672" t="inlineStr">
        <is>
          <t>6292864825576</t>
        </is>
      </c>
      <c r="B22672" t="inlineStr">
        <is>
          <t>Emir Forbidden Sugar Extrait De Parfum 100ml</t>
        </is>
      </c>
      <c r="C22672" t="inlineStr">
        <is>
          <t>Extrait De Parfum</t>
        </is>
      </c>
      <c r="D22672" t="inlineStr">
        <is>
          <t>Emir</t>
        </is>
      </c>
      <c r="E22672" t="n">
        <v>20.38</v>
      </c>
      <c r="F22672" t="n">
        <v>1</v>
      </c>
      <c r="G22672" t="n">
        <v>77</v>
      </c>
      <c r="H22672" s="5">
        <f>HYPERLINK("https://api.qogita.com/variants/link/6292864825576/", "View Product")</f>
        <v/>
      </c>
    </row>
    <row r="22673">
      <c r="A22673" t="inlineStr">
        <is>
          <t>6293365212230</t>
        </is>
      </c>
      <c r="B22673" t="inlineStr">
        <is>
          <t>Paris Corner Marshmallow Blush Eau De Parfum 100 Ml</t>
        </is>
      </c>
      <c r="C22673" t="inlineStr">
        <is>
          <t>Eau De Parfum</t>
        </is>
      </c>
      <c r="D22673" t="inlineStr">
        <is>
          <t>Paris Corner</t>
        </is>
      </c>
      <c r="E22673" t="n">
        <v>24.13</v>
      </c>
      <c r="F22673" t="n">
        <v>1</v>
      </c>
      <c r="G22673" t="n">
        <v>459</v>
      </c>
      <c r="H22673" s="5">
        <f>HYPERLINK("https://api.qogita.com/variants/link/6293365212230/", "View Product")</f>
        <v/>
      </c>
    </row>
    <row r="22674">
      <c r="A22674" t="inlineStr">
        <is>
          <t>6293556232368</t>
        </is>
      </c>
      <c r="B22674" t="inlineStr">
        <is>
          <t>Paris Corner Zahi Eau De Parfum 85ml</t>
        </is>
      </c>
      <c r="C22674" t="inlineStr">
        <is>
          <t>Eau De Parfum</t>
        </is>
      </c>
      <c r="D22674" t="inlineStr">
        <is>
          <t>Paris Corner</t>
        </is>
      </c>
      <c r="E22674" t="n">
        <v>12.9</v>
      </c>
      <c r="F22674" t="n">
        <v>1</v>
      </c>
      <c r="G22674" t="n">
        <v>39</v>
      </c>
      <c r="H22674" s="5">
        <f>HYPERLINK("https://api.qogita.com/variants/link/6293556232368/", "View Product")</f>
        <v/>
      </c>
    </row>
    <row r="22675">
      <c r="A22675" t="inlineStr">
        <is>
          <t>6293708000432</t>
        </is>
      </c>
      <c r="B22675" t="inlineStr">
        <is>
          <t>Ajmal Chemystery Men Eau De Parfum Spray 90ml</t>
        </is>
      </c>
      <c r="C22675" t="inlineStr">
        <is>
          <t>Eau De Parfum</t>
        </is>
      </c>
      <c r="D22675" t="inlineStr">
        <is>
          <t>Ajmal</t>
        </is>
      </c>
      <c r="E22675" t="n">
        <v>15.29</v>
      </c>
      <c r="F22675" t="n">
        <v>1</v>
      </c>
      <c r="G22675" t="n">
        <v>43</v>
      </c>
      <c r="H22675" s="5">
        <f>HYPERLINK("https://api.qogita.com/variants/link/6293708000432/", "View Product")</f>
        <v/>
      </c>
    </row>
    <row r="22676">
      <c r="A22676" t="inlineStr">
        <is>
          <t>6293708001361</t>
        </is>
      </c>
      <c r="B22676" t="inlineStr">
        <is>
          <t>Mizyaan Perfume 14ml Green</t>
        </is>
      </c>
      <c r="C22676" t="inlineStr">
        <is>
          <t>Eau De Parfum</t>
        </is>
      </c>
      <c r="D22676" t="inlineStr">
        <is>
          <t>Ajmal</t>
        </is>
      </c>
      <c r="E22676" t="n">
        <v>14.17</v>
      </c>
      <c r="F22676" t="n">
        <v>1</v>
      </c>
      <c r="G22676" t="n">
        <v>66</v>
      </c>
      <c r="H22676" s="5">
        <f>HYPERLINK("https://api.qogita.com/variants/link/6293708001361/", "View Product")</f>
        <v/>
      </c>
    </row>
    <row r="22677">
      <c r="A22677" t="inlineStr">
        <is>
          <t>6293708001910</t>
        </is>
      </c>
      <c r="B22677" t="inlineStr">
        <is>
          <t>Ajmal Shadow For Him Ii Eau De Parfum Spray 75ml</t>
        </is>
      </c>
      <c r="C22677" t="inlineStr">
        <is>
          <t>Eau De Parfum</t>
        </is>
      </c>
      <c r="D22677" t="inlineStr">
        <is>
          <t>Ajmal</t>
        </is>
      </c>
      <c r="E22677" t="n">
        <v>14.62</v>
      </c>
      <c r="F22677" t="n">
        <v>1</v>
      </c>
      <c r="G22677" t="n">
        <v>37</v>
      </c>
      <c r="H22677" s="5">
        <f>HYPERLINK("https://api.qogita.com/variants/link/6293708001910/", "View Product")</f>
        <v/>
      </c>
    </row>
    <row r="22678">
      <c r="A22678" t="inlineStr">
        <is>
          <t>6293708002030</t>
        </is>
      </c>
      <c r="B22678" t="inlineStr">
        <is>
          <t>Ajmal Titanium Eau de Parfum Spray 100ml</t>
        </is>
      </c>
      <c r="C22678" t="inlineStr">
        <is>
          <t>Eau De Parfum</t>
        </is>
      </c>
      <c r="D22678" t="inlineStr">
        <is>
          <t>Ajmal</t>
        </is>
      </c>
      <c r="E22678" t="n">
        <v>9.550000000000001</v>
      </c>
      <c r="F22678" t="n">
        <v>1</v>
      </c>
      <c r="G22678" t="n">
        <v>5</v>
      </c>
      <c r="H22678" s="5">
        <f>HYPERLINK("https://api.qogita.com/variants/link/6293708002030/", "View Product")</f>
        <v/>
      </c>
    </row>
    <row r="22679">
      <c r="A22679" t="inlineStr">
        <is>
          <t>6293708003600</t>
        </is>
      </c>
      <c r="B22679" t="inlineStr">
        <is>
          <t>Ajmal Shadow For Her Eau De Parfum Spray 75ml</t>
        </is>
      </c>
      <c r="C22679" t="inlineStr">
        <is>
          <t>Eau De Parfum</t>
        </is>
      </c>
      <c r="D22679" t="inlineStr">
        <is>
          <t>Ajmal</t>
        </is>
      </c>
      <c r="E22679" t="n">
        <v>17.89</v>
      </c>
      <c r="F22679" t="n">
        <v>1</v>
      </c>
      <c r="G22679" t="n">
        <v>54</v>
      </c>
      <c r="H22679" s="5">
        <f>HYPERLINK("https://api.qogita.com/variants/link/6293708003600/", "View Product")</f>
        <v/>
      </c>
    </row>
    <row r="22680">
      <c r="A22680" t="inlineStr">
        <is>
          <t>6293708006106</t>
        </is>
      </c>
      <c r="B22680" t="inlineStr">
        <is>
          <t>Ajmal Blu Eau De Parfum Spray 90ml</t>
        </is>
      </c>
      <c r="C22680" t="inlineStr">
        <is>
          <t>Eau De Parfum</t>
        </is>
      </c>
      <c r="D22680" t="inlineStr">
        <is>
          <t>Ajmal</t>
        </is>
      </c>
      <c r="E22680" t="n">
        <v>15.46</v>
      </c>
      <c r="F22680" t="n">
        <v>1</v>
      </c>
      <c r="G22680" t="n">
        <v>22</v>
      </c>
      <c r="H22680" s="5">
        <f>HYPERLINK("https://api.qogita.com/variants/link/6293708006106/", "View Product")</f>
        <v/>
      </c>
    </row>
    <row r="22681">
      <c r="A22681" t="inlineStr">
        <is>
          <t>6293708006755</t>
        </is>
      </c>
      <c r="B22681" t="inlineStr">
        <is>
          <t>Ajmal Santal Wood Unisex 3.4 Oz EDP Spray 100ml</t>
        </is>
      </c>
      <c r="C22681" t="inlineStr">
        <is>
          <t>Eau De Parfum</t>
        </is>
      </c>
      <c r="D22681" t="inlineStr">
        <is>
          <t>Ajmal</t>
        </is>
      </c>
      <c r="E22681" t="n">
        <v>69.13</v>
      </c>
      <c r="F22681" t="n">
        <v>1</v>
      </c>
      <c r="G22681" t="n">
        <v>14</v>
      </c>
      <c r="H22681" s="5">
        <f>HYPERLINK("https://api.qogita.com/variants/link/6293708006755/", "View Product")</f>
        <v/>
      </c>
    </row>
    <row r="22682">
      <c r="A22682" t="inlineStr">
        <is>
          <t>6293708007776</t>
        </is>
      </c>
      <c r="B22682" t="inlineStr">
        <is>
          <t>Ajmal Rose Wood EDP Spray for Unisex 3.4 oz</t>
        </is>
      </c>
      <c r="C22682" t="inlineStr">
        <is>
          <t>Eau De Parfum</t>
        </is>
      </c>
      <c r="D22682" t="inlineStr">
        <is>
          <t>Ajmal</t>
        </is>
      </c>
      <c r="E22682" t="n">
        <v>68.91</v>
      </c>
      <c r="F22682" t="n">
        <v>1</v>
      </c>
      <c r="G22682" t="n">
        <v>26</v>
      </c>
      <c r="H22682" s="5">
        <f>HYPERLINK("https://api.qogita.com/variants/link/6293708007776/", "View Product")</f>
        <v/>
      </c>
    </row>
    <row r="22683">
      <c r="A22683" t="inlineStr">
        <is>
          <t>6293708009732</t>
        </is>
      </c>
      <c r="B22683" t="inlineStr">
        <is>
          <t>Ajmal Black Onyx Eau De Parfum</t>
        </is>
      </c>
      <c r="C22683" t="inlineStr">
        <is>
          <t>Eau De Parfum</t>
        </is>
      </c>
      <c r="D22683" t="inlineStr">
        <is>
          <t>Ajmal</t>
        </is>
      </c>
      <c r="E22683" t="n">
        <v>20.9</v>
      </c>
      <c r="F22683" t="n">
        <v>1</v>
      </c>
      <c r="G22683" t="n">
        <v>2</v>
      </c>
      <c r="H22683" s="5">
        <f>HYPERLINK("https://api.qogita.com/variants/link/6293708009732/", "View Product")</f>
        <v/>
      </c>
    </row>
    <row r="22684">
      <c r="A22684" t="inlineStr">
        <is>
          <t>6293708010042</t>
        </is>
      </c>
      <c r="B22684" t="inlineStr">
        <is>
          <t>Khofooq Unisex CPO Oriental Alchemy Floral Bouquet with Lasting Notes of Ylang and Lily of the Valley 18ml</t>
        </is>
      </c>
      <c r="C22684" t="inlineStr">
        <is>
          <t>Eau De Parfum</t>
        </is>
      </c>
      <c r="D22684" t="inlineStr">
        <is>
          <t>Ajmal</t>
        </is>
      </c>
      <c r="E22684" t="n">
        <v>19.21</v>
      </c>
      <c r="F22684" t="n">
        <v>1</v>
      </c>
      <c r="G22684" t="n">
        <v>3</v>
      </c>
      <c r="H22684" s="5">
        <f>HYPERLINK("https://api.qogita.com/variants/link/6293708010042/", "View Product")</f>
        <v/>
      </c>
    </row>
    <row r="22685">
      <c r="A22685" t="inlineStr">
        <is>
          <t>6293708011025</t>
        </is>
      </c>
      <c r="B22685" t="inlineStr">
        <is>
          <t>Ajmal Vetiver Eau De Parfum Spray 75ml</t>
        </is>
      </c>
      <c r="C22685" t="inlineStr">
        <is>
          <t>Eau De Parfum</t>
        </is>
      </c>
      <c r="D22685" t="inlineStr">
        <is>
          <t>Ajmal</t>
        </is>
      </c>
      <c r="E22685" t="n">
        <v>63.44</v>
      </c>
      <c r="F22685" t="n">
        <v>1</v>
      </c>
      <c r="G22685" t="n">
        <v>7</v>
      </c>
      <c r="H22685" s="5">
        <f>HYPERLINK("https://api.qogita.com/variants/link/6293708011025/", "View Product")</f>
        <v/>
      </c>
    </row>
    <row r="22686">
      <c r="A22686" t="inlineStr">
        <is>
          <t>6293708011124</t>
        </is>
      </c>
      <c r="B22686" t="inlineStr">
        <is>
          <t>Ajmal Aristocrat For Her Eau De Parfum 75ml</t>
        </is>
      </c>
      <c r="C22686" t="inlineStr">
        <is>
          <t>Eau De Parfum</t>
        </is>
      </c>
      <c r="D22686" t="inlineStr">
        <is>
          <t>Ajmal</t>
        </is>
      </c>
      <c r="E22686" t="n">
        <v>28.37</v>
      </c>
      <c r="F22686" t="n">
        <v>1</v>
      </c>
      <c r="G22686" t="n">
        <v>56</v>
      </c>
      <c r="H22686" s="5">
        <f>HYPERLINK("https://api.qogita.com/variants/link/6293708011124/", "View Product")</f>
        <v/>
      </c>
    </row>
    <row r="22687">
      <c r="A22687" t="inlineStr">
        <is>
          <t>6293708011490</t>
        </is>
      </c>
      <c r="B22687" t="inlineStr">
        <is>
          <t>Ajmal Chivalry Eau De Parfum Spray 100ml</t>
        </is>
      </c>
      <c r="C22687" t="inlineStr">
        <is>
          <t>Eau De Parfum</t>
        </is>
      </c>
      <c r="D22687" t="inlineStr">
        <is>
          <t>Ajmal</t>
        </is>
      </c>
      <c r="E22687" t="n">
        <v>6.86</v>
      </c>
      <c r="F22687" t="n">
        <v>1</v>
      </c>
      <c r="G22687" t="n">
        <v>30</v>
      </c>
      <c r="H22687" s="5">
        <f>HYPERLINK("https://api.qogita.com/variants/link/6293708011490/", "View Product")</f>
        <v/>
      </c>
    </row>
    <row r="22688">
      <c r="A22688" t="inlineStr">
        <is>
          <t>6293708012688</t>
        </is>
      </c>
      <c r="B22688" t="inlineStr">
        <is>
          <t>Ajmal Amber Santal for Women 3.4 Oz EDP Spray 100ml</t>
        </is>
      </c>
      <c r="C22688" t="inlineStr">
        <is>
          <t>Eau De Parfum</t>
        </is>
      </c>
      <c r="D22688" t="inlineStr">
        <is>
          <t>Ajmal</t>
        </is>
      </c>
      <c r="E22688" t="n">
        <v>58.14</v>
      </c>
      <c r="F22688" t="n">
        <v>1</v>
      </c>
      <c r="G22688" t="n">
        <v>49</v>
      </c>
      <c r="H22688" s="5">
        <f>HYPERLINK("https://api.qogita.com/variants/link/6293708012688/", "View Product")</f>
        <v/>
      </c>
    </row>
    <row r="22689">
      <c r="A22689" t="inlineStr">
        <is>
          <t>6293708013036</t>
        </is>
      </c>
      <c r="B22689" t="inlineStr">
        <is>
          <t>Ajmal Aurum Winter Eau De Parfum Spray 75ml</t>
        </is>
      </c>
      <c r="C22689" t="inlineStr">
        <is>
          <t>Eau De Parfum</t>
        </is>
      </c>
      <c r="D22689" t="inlineStr">
        <is>
          <t>Ajmal</t>
        </is>
      </c>
      <c r="E22689" t="n">
        <v>18.67</v>
      </c>
      <c r="F22689" t="n">
        <v>1</v>
      </c>
      <c r="G22689" t="n">
        <v>29</v>
      </c>
      <c r="H22689" s="5">
        <f>HYPERLINK("https://api.qogita.com/variants/link/6293708013036/", "View Product")</f>
        <v/>
      </c>
    </row>
    <row r="22690">
      <c r="A22690" t="inlineStr">
        <is>
          <t>6293708014309</t>
        </is>
      </c>
      <c r="B22690" t="inlineStr">
        <is>
          <t>Ajmal Moshriqa - Edp</t>
        </is>
      </c>
      <c r="C22690" t="inlineStr">
        <is>
          <t>Eau De Parfum</t>
        </is>
      </c>
      <c r="D22690" t="inlineStr">
        <is>
          <t>Ajmal</t>
        </is>
      </c>
      <c r="E22690" t="n">
        <v>15.97</v>
      </c>
      <c r="F22690" t="n">
        <v>1</v>
      </c>
      <c r="G22690" t="n">
        <v>7</v>
      </c>
      <c r="H22690" s="5">
        <f>HYPERLINK("https://api.qogita.com/variants/link/6293708014309/", "View Product")</f>
        <v/>
      </c>
    </row>
    <row r="22691">
      <c r="A22691" t="inlineStr">
        <is>
          <t>6293708014620</t>
        </is>
      </c>
      <c r="B22691" t="inlineStr">
        <is>
          <t>Amber Sandalwood - Hair Spray Volume 100 ml</t>
        </is>
      </c>
      <c r="C22691" t="inlineStr">
        <is>
          <t>Hairspray</t>
        </is>
      </c>
      <c r="D22691" t="inlineStr">
        <is>
          <t>Ajmal</t>
        </is>
      </c>
      <c r="E22691" t="n">
        <v>14.42</v>
      </c>
      <c r="F22691" t="n">
        <v>1</v>
      </c>
      <c r="G22691" t="n">
        <v>18</v>
      </c>
      <c r="H22691" s="5">
        <f>HYPERLINK("https://api.qogita.com/variants/link/6293708014620/", "View Product")</f>
        <v/>
      </c>
    </row>
    <row r="22692">
      <c r="A22692" t="inlineStr">
        <is>
          <t>6293708015627</t>
        </is>
      </c>
      <c r="B22692" t="inlineStr">
        <is>
          <t>Ajmal Amaze Eau De Parfum Spray 100ml</t>
        </is>
      </c>
      <c r="C22692" t="inlineStr">
        <is>
          <t>Eau De Parfum</t>
        </is>
      </c>
      <c r="D22692" t="inlineStr">
        <is>
          <t>Ajmal</t>
        </is>
      </c>
      <c r="E22692" t="n">
        <v>18.76</v>
      </c>
      <c r="F22692" t="n">
        <v>1</v>
      </c>
      <c r="G22692" t="n">
        <v>2</v>
      </c>
      <c r="H22692" s="5">
        <f>HYPERLINK("https://api.qogita.com/variants/link/6293708015627/", "View Product")</f>
        <v/>
      </c>
    </row>
    <row r="22693">
      <c r="A22693" t="inlineStr">
        <is>
          <t>6293708016273</t>
        </is>
      </c>
      <c r="B22693" t="inlineStr">
        <is>
          <t>Ajmal Majestica Eau De Parfum Spray 100ml</t>
        </is>
      </c>
      <c r="C22693" t="inlineStr">
        <is>
          <t>Eau De Parfum</t>
        </is>
      </c>
      <c r="D22693" t="inlineStr">
        <is>
          <t>Ajmal</t>
        </is>
      </c>
      <c r="E22693" t="n">
        <v>6.86</v>
      </c>
      <c r="F22693" t="n">
        <v>1</v>
      </c>
      <c r="G22693" t="n">
        <v>6</v>
      </c>
      <c r="H22693" s="5">
        <f>HYPERLINK("https://api.qogita.com/variants/link/6293708016273/", "View Product")</f>
        <v/>
      </c>
    </row>
    <row r="22694">
      <c r="A22694" t="inlineStr">
        <is>
          <t>6293708016501</t>
        </is>
      </c>
      <c r="B22694" t="inlineStr">
        <is>
          <t>Ajmal Amir Two Eau De Parfum 50ml</t>
        </is>
      </c>
      <c r="C22694" t="inlineStr">
        <is>
          <t>Eau De Parfum</t>
        </is>
      </c>
      <c r="D22694" t="inlineStr">
        <is>
          <t>Ajmal</t>
        </is>
      </c>
      <c r="E22694" t="n">
        <v>84.08</v>
      </c>
      <c r="F22694" t="n">
        <v>1</v>
      </c>
      <c r="G22694" t="n">
        <v>11</v>
      </c>
      <c r="H22694" s="5">
        <f>HYPERLINK("https://api.qogita.com/variants/link/6293708016501/", "View Product")</f>
        <v/>
      </c>
    </row>
    <row r="22695">
      <c r="A22695" t="inlineStr">
        <is>
          <t>6293708017188</t>
        </is>
      </c>
      <c r="B22695" t="inlineStr">
        <is>
          <t>Ajmal Cashmere Musc Hair Mist Eau De Parfum 100ml By Ajmal</t>
        </is>
      </c>
      <c r="C22695" t="inlineStr">
        <is>
          <t>Eau De Parfum</t>
        </is>
      </c>
      <c r="D22695" t="inlineStr">
        <is>
          <t>Ajmal</t>
        </is>
      </c>
      <c r="E22695" t="n">
        <v>15.72</v>
      </c>
      <c r="F22695" t="n">
        <v>1</v>
      </c>
      <c r="G22695" t="n">
        <v>42</v>
      </c>
      <c r="H22695" s="5">
        <f>HYPERLINK("https://api.qogita.com/variants/link/6293708017188/", "View Product")</f>
        <v/>
      </c>
    </row>
    <row r="22696">
      <c r="A22696" t="inlineStr">
        <is>
          <t>6293708017485</t>
        </is>
      </c>
      <c r="B22696" t="inlineStr">
        <is>
          <t>Ajmal Evoke Midnight Edition Eau De Parfum Spray 90ml</t>
        </is>
      </c>
      <c r="C22696" t="inlineStr">
        <is>
          <t>Eau De Parfum</t>
        </is>
      </c>
      <c r="D22696" t="inlineStr">
        <is>
          <t>Ajmal</t>
        </is>
      </c>
      <c r="E22696" t="n">
        <v>18.9</v>
      </c>
      <c r="F22696" t="n">
        <v>1</v>
      </c>
      <c r="G22696" t="n">
        <v>15</v>
      </c>
      <c r="H22696" s="5">
        <f>HYPERLINK("https://api.qogita.com/variants/link/6293708017485/", "View Product")</f>
        <v/>
      </c>
    </row>
    <row r="22697">
      <c r="A22697" t="inlineStr">
        <is>
          <t>6293708019076</t>
        </is>
      </c>
      <c r="B22697" t="inlineStr">
        <is>
          <t>Ajmal Eau D'Oud Eau De Parfum 100 Milliliters</t>
        </is>
      </c>
      <c r="C22697" t="inlineStr">
        <is>
          <t>Eau De Parfum</t>
        </is>
      </c>
      <c r="D22697" t="inlineStr">
        <is>
          <t>Ajmal</t>
        </is>
      </c>
      <c r="E22697" t="n">
        <v>87.69</v>
      </c>
      <c r="F22697" t="n">
        <v>1</v>
      </c>
      <c r="G22697" t="n">
        <v>13</v>
      </c>
      <c r="H22697" s="5">
        <f>HYPERLINK("https://api.qogita.com/variants/link/6293708019076/", "View Product")</f>
        <v/>
      </c>
    </row>
    <row r="22698">
      <c r="A22698" t="inlineStr">
        <is>
          <t>6293708019540</t>
        </is>
      </c>
      <c r="B22698" t="inlineStr">
        <is>
          <t>Ajmal Exquisite Essence Edp</t>
        </is>
      </c>
      <c r="C22698" t="inlineStr">
        <is>
          <t>Eau De Parfum</t>
        </is>
      </c>
      <c r="D22698" t="inlineStr">
        <is>
          <t>Ajmal</t>
        </is>
      </c>
      <c r="E22698" t="n">
        <v>49.57</v>
      </c>
      <c r="F22698" t="n">
        <v>1</v>
      </c>
      <c r="G22698" t="n">
        <v>14</v>
      </c>
      <c r="H22698" s="5">
        <f>HYPERLINK("https://api.qogita.com/variants/link/6293708019540/", "View Product")</f>
        <v/>
      </c>
    </row>
    <row r="22699">
      <c r="A22699" t="inlineStr">
        <is>
          <t>6293708019786</t>
        </is>
      </c>
      <c r="B22699" t="inlineStr">
        <is>
          <t>Ajmal Centuria Eau De Parfum</t>
        </is>
      </c>
      <c r="C22699" t="inlineStr">
        <is>
          <t>Eau De Parfum</t>
        </is>
      </c>
      <c r="D22699" t="inlineStr">
        <is>
          <t>Ajmal</t>
        </is>
      </c>
      <c r="E22699" t="n">
        <v>9.710000000000001</v>
      </c>
      <c r="F22699" t="n">
        <v>1</v>
      </c>
      <c r="G22699" t="n">
        <v>14</v>
      </c>
      <c r="H22699" s="5">
        <f>HYPERLINK("https://api.qogita.com/variants/link/6293708019786/", "View Product")</f>
        <v/>
      </c>
    </row>
    <row r="22700">
      <c r="A22700" t="inlineStr">
        <is>
          <t>6293708020188</t>
        </is>
      </c>
      <c r="B22700" t="inlineStr">
        <is>
          <t>Ajmal Elegancia Eau De Parfum</t>
        </is>
      </c>
      <c r="C22700" t="inlineStr">
        <is>
          <t>Eau De Parfum</t>
        </is>
      </c>
      <c r="D22700" t="inlineStr">
        <is>
          <t>Ajmal</t>
        </is>
      </c>
      <c r="E22700" t="n">
        <v>9.1</v>
      </c>
      <c r="F22700" t="n">
        <v>1</v>
      </c>
      <c r="G22700" t="n">
        <v>261</v>
      </c>
      <c r="H22700" s="5">
        <f>HYPERLINK("https://api.qogita.com/variants/link/6293708020188/", "View Product")</f>
        <v/>
      </c>
    </row>
    <row r="22701">
      <c r="A22701" t="inlineStr">
        <is>
          <t>6293708020263</t>
        </is>
      </c>
      <c r="B22701" t="inlineStr">
        <is>
          <t>Ajmal Alcheme Eau De Parfum</t>
        </is>
      </c>
      <c r="C22701" t="inlineStr">
        <is>
          <t>Eau De Parfum</t>
        </is>
      </c>
      <c r="D22701" t="inlineStr">
        <is>
          <t>Ajmal</t>
        </is>
      </c>
      <c r="E22701" t="n">
        <v>16.41</v>
      </c>
      <c r="F22701" t="n">
        <v>1</v>
      </c>
      <c r="G22701" t="n">
        <v>42</v>
      </c>
      <c r="H22701" s="5">
        <f>HYPERLINK("https://api.qogita.com/variants/link/6293708020263/", "View Product")</f>
        <v/>
      </c>
    </row>
    <row r="22702">
      <c r="A22702" t="inlineStr">
        <is>
          <t>6293708020997</t>
        </is>
      </c>
      <c r="B22702" t="inlineStr">
        <is>
          <t>Ajmal Aurum Elixir Eau De Parfum Spray 75ml</t>
        </is>
      </c>
      <c r="C22702" t="inlineStr">
        <is>
          <t>Eau De Parfum</t>
        </is>
      </c>
      <c r="D22702" t="inlineStr">
        <is>
          <t>Ajmal</t>
        </is>
      </c>
      <c r="E22702" t="n">
        <v>23.34</v>
      </c>
      <c r="F22702" t="n">
        <v>1</v>
      </c>
      <c r="G22702" t="n">
        <v>32</v>
      </c>
      <c r="H22702" s="5">
        <f>HYPERLINK("https://api.qogita.com/variants/link/6293708020997/", "View Product")</f>
        <v/>
      </c>
    </row>
    <row r="22703">
      <c r="A22703" t="inlineStr">
        <is>
          <t>6293708021154</t>
        </is>
      </c>
      <c r="B22703" t="inlineStr">
        <is>
          <t>Ajmal The Untold Stories Chapter 3 Eau De Parfum Spray 50ml</t>
        </is>
      </c>
      <c r="C22703" t="inlineStr">
        <is>
          <t>Eau De Parfum</t>
        </is>
      </c>
      <c r="D22703" t="inlineStr">
        <is>
          <t>Ajmal</t>
        </is>
      </c>
      <c r="E22703" t="n">
        <v>31.14</v>
      </c>
      <c r="F22703" t="n">
        <v>1</v>
      </c>
      <c r="G22703" t="n">
        <v>14</v>
      </c>
      <c r="H22703" s="5">
        <f>HYPERLINK("https://api.qogita.com/variants/link/6293708021154/", "View Product")</f>
        <v/>
      </c>
    </row>
    <row r="22704">
      <c r="A22704" t="inlineStr">
        <is>
          <t>6293708021178</t>
        </is>
      </c>
      <c r="B22704" t="inlineStr">
        <is>
          <t>Ajmal Chapter 5 - Eau De Parfum</t>
        </is>
      </c>
      <c r="C22704" t="inlineStr">
        <is>
          <t>Eau De Parfum</t>
        </is>
      </c>
      <c r="D22704" t="inlineStr">
        <is>
          <t>Ajmal</t>
        </is>
      </c>
      <c r="E22704" t="n">
        <v>30.85</v>
      </c>
      <c r="F22704" t="n">
        <v>1</v>
      </c>
      <c r="G22704" t="n">
        <v>87</v>
      </c>
      <c r="H22704" s="5">
        <f>HYPERLINK("https://api.qogita.com/variants/link/6293708021178/", "View Product")</f>
        <v/>
      </c>
    </row>
    <row r="22705">
      <c r="A22705" t="inlineStr">
        <is>
          <t>6294015101522</t>
        </is>
      </c>
      <c r="B22705" t="inlineStr">
        <is>
          <t>Armaf Beau Acute Eau De Parfum 100ml For Men</t>
        </is>
      </c>
      <c r="C22705" t="inlineStr">
        <is>
          <t>Eau De Parfum</t>
        </is>
      </c>
      <c r="D22705" t="inlineStr">
        <is>
          <t>Armaf</t>
        </is>
      </c>
      <c r="E22705" t="n">
        <v>30.83</v>
      </c>
      <c r="F22705" t="n">
        <v>1</v>
      </c>
      <c r="G22705" t="n">
        <v>33</v>
      </c>
      <c r="H22705" s="5">
        <f>HYPERLINK("https://api.qogita.com/variants/link/6294015101522/", "View Product")</f>
        <v/>
      </c>
    </row>
    <row r="22706">
      <c r="A22706" t="inlineStr">
        <is>
          <t>6294015105162</t>
        </is>
      </c>
      <c r="B22706" t="inlineStr">
        <is>
          <t>Armaf Sapphire Eau De Parfum Spray 90ml</t>
        </is>
      </c>
      <c r="C22706" t="inlineStr">
        <is>
          <t>Eau De Parfum</t>
        </is>
      </c>
      <c r="D22706" t="inlineStr">
        <is>
          <t>Armaf</t>
        </is>
      </c>
      <c r="E22706" t="n">
        <v>16.66</v>
      </c>
      <c r="F22706" t="n">
        <v>1</v>
      </c>
      <c r="G22706" t="n">
        <v>29</v>
      </c>
      <c r="H22706" s="5">
        <f>HYPERLINK("https://api.qogita.com/variants/link/6294015105162/", "View Product")</f>
        <v/>
      </c>
    </row>
    <row r="22707">
      <c r="A22707" t="inlineStr">
        <is>
          <t>6294015108941</t>
        </is>
      </c>
      <c r="B22707" t="inlineStr">
        <is>
          <t>Armaf Magnificent Pour Homme Eau De Parfum 100ml</t>
        </is>
      </c>
      <c r="C22707" t="inlineStr">
        <is>
          <t>Eau De Parfum</t>
        </is>
      </c>
      <c r="D22707" t="inlineStr">
        <is>
          <t>Armaf</t>
        </is>
      </c>
      <c r="E22707" t="n">
        <v>26.85</v>
      </c>
      <c r="F22707" t="n">
        <v>1</v>
      </c>
      <c r="G22707" t="n">
        <v>4</v>
      </c>
      <c r="H22707" s="5">
        <f>HYPERLINK("https://api.qogita.com/variants/link/6294015108941/", "View Product")</f>
        <v/>
      </c>
    </row>
    <row r="22708">
      <c r="A22708" t="inlineStr">
        <is>
          <t>6294015109313</t>
        </is>
      </c>
      <c r="B22708" t="inlineStr">
        <is>
          <t>Armaf Odyssey Homme Eau De Parfum 100ml By Armaf</t>
        </is>
      </c>
      <c r="C22708" t="inlineStr">
        <is>
          <t>Eau De Parfum</t>
        </is>
      </c>
      <c r="D22708" t="inlineStr">
        <is>
          <t>Armaf</t>
        </is>
      </c>
      <c r="E22708" t="n">
        <v>14.3</v>
      </c>
      <c r="F22708" t="n">
        <v>1</v>
      </c>
      <c r="G22708" t="n">
        <v>211</v>
      </c>
      <c r="H22708" s="5">
        <f>HYPERLINK("https://api.qogita.com/variants/link/6294015109313/", "View Product")</f>
        <v/>
      </c>
    </row>
    <row r="22709">
      <c r="A22709" t="inlineStr">
        <is>
          <t>6294015114157</t>
        </is>
      </c>
      <c r="B22709" t="inlineStr">
        <is>
          <t>ARMAF Venetian For Men Eau De Parfum 100ml</t>
        </is>
      </c>
      <c r="C22709" t="inlineStr">
        <is>
          <t>Eau De Parfum</t>
        </is>
      </c>
      <c r="D22709" t="inlineStr">
        <is>
          <t>Armaf</t>
        </is>
      </c>
      <c r="E22709" t="n">
        <v>16.96</v>
      </c>
      <c r="F22709" t="n">
        <v>1</v>
      </c>
      <c r="G22709" t="n">
        <v>37</v>
      </c>
      <c r="H22709" s="5">
        <f>HYPERLINK("https://api.qogita.com/variants/link/6294015114157/", "View Product")</f>
        <v/>
      </c>
    </row>
    <row r="22710">
      <c r="A22710" t="inlineStr">
        <is>
          <t>6294015116380</t>
        </is>
      </c>
      <c r="B22710" t="inlineStr">
        <is>
          <t>Armaf Seduction Pour Homme Eau De Parfum 100ml Spray</t>
        </is>
      </c>
      <c r="C22710" t="inlineStr">
        <is>
          <t>Eau De Parfum</t>
        </is>
      </c>
      <c r="D22710" t="inlineStr">
        <is>
          <t>Armaf</t>
        </is>
      </c>
      <c r="E22710" t="n">
        <v>30.78</v>
      </c>
      <c r="F22710" t="n">
        <v>1</v>
      </c>
      <c r="G22710" t="n">
        <v>4</v>
      </c>
      <c r="H22710" s="5">
        <f>HYPERLINK("https://api.qogita.com/variants/link/6294015116380/", "View Product")</f>
        <v/>
      </c>
    </row>
    <row r="22711">
      <c r="A22711" t="inlineStr">
        <is>
          <t>6294015116397</t>
        </is>
      </c>
      <c r="B22711" t="inlineStr">
        <is>
          <t>Armaf Seduction Pour Femme Eau De Parfum Spray 100ml</t>
        </is>
      </c>
      <c r="C22711" t="inlineStr">
        <is>
          <t>Eau De Parfum</t>
        </is>
      </c>
      <c r="D22711" t="inlineStr">
        <is>
          <t>Armaf</t>
        </is>
      </c>
      <c r="E22711" t="n">
        <v>20.52</v>
      </c>
      <c r="F22711" t="n">
        <v>1</v>
      </c>
      <c r="G22711" t="n">
        <v>96</v>
      </c>
      <c r="H22711" s="5">
        <f>HYPERLINK("https://api.qogita.com/variants/link/6294015116397/", "View Product")</f>
        <v/>
      </c>
    </row>
    <row r="22712">
      <c r="A22712" t="inlineStr">
        <is>
          <t>6294015118858</t>
        </is>
      </c>
      <c r="B22712" t="inlineStr">
        <is>
          <t>Armaf Bucephalus No. X Eau De Parfum Spray 100ml</t>
        </is>
      </c>
      <c r="C22712" t="inlineStr">
        <is>
          <t>Eau De Parfum</t>
        </is>
      </c>
      <c r="D22712" t="inlineStr">
        <is>
          <t>Armaf</t>
        </is>
      </c>
      <c r="E22712" t="n">
        <v>30.66</v>
      </c>
      <c r="F22712" t="n">
        <v>1</v>
      </c>
      <c r="G22712" t="n">
        <v>27</v>
      </c>
      <c r="H22712" s="5">
        <f>HYPERLINK("https://api.qogita.com/variants/link/6294015118858/", "View Product")</f>
        <v/>
      </c>
    </row>
    <row r="22713">
      <c r="A22713" t="inlineStr">
        <is>
          <t>6294015128185</t>
        </is>
      </c>
      <c r="B22713" t="inlineStr">
        <is>
          <t>Armaf Oros Pure Affecte Eau De Parfum 100ml Spray</t>
        </is>
      </c>
      <c r="C22713" t="inlineStr">
        <is>
          <t>Eau De Parfum</t>
        </is>
      </c>
      <c r="D22713" t="inlineStr">
        <is>
          <t>Armaf</t>
        </is>
      </c>
      <c r="E22713" t="n">
        <v>45.88</v>
      </c>
      <c r="F22713" t="n">
        <v>1</v>
      </c>
      <c r="G22713" t="n">
        <v>8</v>
      </c>
      <c r="H22713" s="5">
        <f>HYPERLINK("https://api.qogita.com/variants/link/6294015128185/", "View Product")</f>
        <v/>
      </c>
    </row>
    <row r="22714">
      <c r="A22714" t="inlineStr">
        <is>
          <t>6294015131017</t>
        </is>
      </c>
      <c r="B22714" t="inlineStr">
        <is>
          <t>Armaf Club De Nuit Intense Man Pure Parfum 150ml</t>
        </is>
      </c>
      <c r="C22714" t="inlineStr">
        <is>
          <t>Extrait De Parfum</t>
        </is>
      </c>
      <c r="D22714" t="inlineStr">
        <is>
          <t>Armaf</t>
        </is>
      </c>
      <c r="E22714" t="n">
        <v>35.54</v>
      </c>
      <c r="F22714" t="n">
        <v>1</v>
      </c>
      <c r="G22714" t="n">
        <v>340</v>
      </c>
      <c r="H22714" s="5">
        <f>HYPERLINK("https://api.qogita.com/variants/link/6294015131017/", "View Product")</f>
        <v/>
      </c>
    </row>
    <row r="22715">
      <c r="A22715" t="inlineStr">
        <is>
          <t>6294015131376</t>
        </is>
      </c>
      <c r="B22715" t="inlineStr">
        <is>
          <t>Just Jack Just Oud Eau De Parfum 100ml</t>
        </is>
      </c>
      <c r="C22715" t="inlineStr">
        <is>
          <t>Eau De Parfum</t>
        </is>
      </c>
      <c r="D22715" t="inlineStr">
        <is>
          <t>Just Jack</t>
        </is>
      </c>
      <c r="E22715" t="n">
        <v>19.77</v>
      </c>
      <c r="F22715" t="n">
        <v>1</v>
      </c>
      <c r="G22715" t="n">
        <v>7</v>
      </c>
      <c r="H22715" s="5">
        <f>HYPERLINK("https://api.qogita.com/variants/link/6294015131376/", "View Product")</f>
        <v/>
      </c>
    </row>
    <row r="22716">
      <c r="A22716" t="inlineStr">
        <is>
          <t>6294015131383</t>
        </is>
      </c>
      <c r="B22716" t="inlineStr">
        <is>
          <t>Just Jack Mystery Eau De Parfum 100ml</t>
        </is>
      </c>
      <c r="C22716" t="inlineStr">
        <is>
          <t>Eau De Parfum</t>
        </is>
      </c>
      <c r="D22716" t="inlineStr">
        <is>
          <t>Just Jack</t>
        </is>
      </c>
      <c r="E22716" t="n">
        <v>21.11</v>
      </c>
      <c r="F22716" t="n">
        <v>1</v>
      </c>
      <c r="G22716" t="n">
        <v>5</v>
      </c>
      <c r="H22716" s="5">
        <f>HYPERLINK("https://api.qogita.com/variants/link/6294015131383/", "View Product")</f>
        <v/>
      </c>
    </row>
    <row r="22717">
      <c r="A22717" t="inlineStr">
        <is>
          <t>6294015131390</t>
        </is>
      </c>
      <c r="B22717" t="inlineStr">
        <is>
          <t>Just Jack Smoking Black Cologne 100ml</t>
        </is>
      </c>
      <c r="C22717" t="inlineStr">
        <is>
          <t>Eau De Cologne</t>
        </is>
      </c>
      <c r="D22717" t="inlineStr">
        <is>
          <t>Just Jack</t>
        </is>
      </c>
      <c r="E22717" t="n">
        <v>21.81</v>
      </c>
      <c r="F22717" t="n">
        <v>1</v>
      </c>
      <c r="G22717" t="n">
        <v>5</v>
      </c>
      <c r="H22717" s="5">
        <f>HYPERLINK("https://api.qogita.com/variants/link/6294015131390/", "View Product")</f>
        <v/>
      </c>
    </row>
    <row r="22718">
      <c r="A22718" t="inlineStr">
        <is>
          <t>6294015137866</t>
        </is>
      </c>
      <c r="B22718" t="inlineStr">
        <is>
          <t>Armaf Beaute Precision Brow Definer - Eyebrow Pencil 1 G</t>
        </is>
      </c>
      <c r="C22718" t="inlineStr">
        <is>
          <t>Eyebrow Pencil</t>
        </is>
      </c>
      <c r="D22718" t="inlineStr">
        <is>
          <t>Armaf</t>
        </is>
      </c>
      <c r="E22718" t="n">
        <v>5.69</v>
      </c>
      <c r="F22718" t="n">
        <v>1</v>
      </c>
      <c r="G22718" t="n">
        <v>11</v>
      </c>
      <c r="H22718" s="5">
        <f>HYPERLINK("https://api.qogita.com/variants/link/6294015137866/", "View Product")</f>
        <v/>
      </c>
    </row>
    <row r="22719">
      <c r="A22719" t="inlineStr">
        <is>
          <t>6294015139891</t>
        </is>
      </c>
      <c r="B22719" t="inlineStr">
        <is>
          <t>JUST JACKS Superior 1 Eau De Parfum 100ml</t>
        </is>
      </c>
      <c r="C22719" t="inlineStr">
        <is>
          <t>Eau De Parfum</t>
        </is>
      </c>
      <c r="D22719" t="inlineStr">
        <is>
          <t>Just Jack</t>
        </is>
      </c>
      <c r="E22719" t="n">
        <v>12.15</v>
      </c>
      <c r="F22719" t="n">
        <v>1</v>
      </c>
      <c r="G22719" t="n">
        <v>4</v>
      </c>
      <c r="H22719" s="5">
        <f>HYPERLINK("https://api.qogita.com/variants/link/6294015139891/", "View Product")</f>
        <v/>
      </c>
    </row>
    <row r="22720">
      <c r="A22720" t="inlineStr">
        <is>
          <t>6294015148343</t>
        </is>
      </c>
      <c r="B22720" t="inlineStr">
        <is>
          <t>ARMAF Club De Nuit Perfume Three Piece Gift Set for Women 90ml</t>
        </is>
      </c>
      <c r="C22720" t="inlineStr">
        <is>
          <t>Fragrance Sets</t>
        </is>
      </c>
      <c r="D22720" t="inlineStr">
        <is>
          <t>Armaf</t>
        </is>
      </c>
      <c r="E22720" t="n">
        <v>53.25</v>
      </c>
      <c r="F22720" t="n">
        <v>1</v>
      </c>
      <c r="G22720" t="n">
        <v>10</v>
      </c>
      <c r="H22720" s="5">
        <f>HYPERLINK("https://api.qogita.com/variants/link/6294015148343/", "View Product")</f>
        <v/>
      </c>
    </row>
    <row r="22721">
      <c r="A22721" t="inlineStr">
        <is>
          <t>6294015151596</t>
        </is>
      </c>
      <c r="B22721" t="inlineStr">
        <is>
          <t>Armaf Club De Nuit Man Eau De Toilette Spray 105ml</t>
        </is>
      </c>
      <c r="C22721" t="inlineStr">
        <is>
          <t>Eau De Toilette</t>
        </is>
      </c>
      <c r="D22721" t="inlineStr">
        <is>
          <t>Armaf</t>
        </is>
      </c>
      <c r="E22721" t="n">
        <v>17.91</v>
      </c>
      <c r="F22721" t="n">
        <v>1</v>
      </c>
      <c r="G22721" t="n">
        <v>86</v>
      </c>
      <c r="H22721" s="5">
        <f>HYPERLINK("https://api.qogita.com/variants/link/6294015151596/", "View Product")</f>
        <v/>
      </c>
    </row>
    <row r="22722">
      <c r="A22722" t="inlineStr">
        <is>
          <t>6294015155624</t>
        </is>
      </c>
      <c r="B22722" t="inlineStr">
        <is>
          <t>ARMAF Ego Exotic for Women Eau de Parfum Spray 100ml</t>
        </is>
      </c>
      <c r="C22722" t="inlineStr">
        <is>
          <t>Eau De Parfum</t>
        </is>
      </c>
      <c r="D22722" t="inlineStr">
        <is>
          <t>Armaf</t>
        </is>
      </c>
      <c r="E22722" t="n">
        <v>20.88</v>
      </c>
      <c r="F22722" t="n">
        <v>1</v>
      </c>
      <c r="G22722" t="n">
        <v>22</v>
      </c>
      <c r="H22722" s="5">
        <f>HYPERLINK("https://api.qogita.com/variants/link/6294015155624/", "View Product")</f>
        <v/>
      </c>
    </row>
    <row r="22723">
      <c r="A22723" t="inlineStr">
        <is>
          <t>6294015155693</t>
        </is>
      </c>
      <c r="B22723" t="inlineStr">
        <is>
          <t>ARMAF Art D'Amour Pour Femme Eau De Parfum 100ml</t>
        </is>
      </c>
      <c r="C22723" t="inlineStr">
        <is>
          <t>Eau De Parfum</t>
        </is>
      </c>
      <c r="D22723" t="inlineStr">
        <is>
          <t>Armaf</t>
        </is>
      </c>
      <c r="E22723" t="n">
        <v>17.84</v>
      </c>
      <c r="F22723" t="n">
        <v>1</v>
      </c>
      <c r="G22723" t="n">
        <v>20</v>
      </c>
      <c r="H22723" s="5">
        <f>HYPERLINK("https://api.qogita.com/variants/link/6294015155693/", "View Product")</f>
        <v/>
      </c>
    </row>
    <row r="22724">
      <c r="A22724" t="inlineStr">
        <is>
          <t>6294015156089</t>
        </is>
      </c>
      <c r="B22724" t="inlineStr">
        <is>
          <t>Maison Luxe Gypsy Rose Perfume Spray 110ml</t>
        </is>
      </c>
      <c r="C22724" t="inlineStr">
        <is>
          <t>Eau De Parfum</t>
        </is>
      </c>
      <c r="D22724" t="inlineStr">
        <is>
          <t>Maison Luxe</t>
        </is>
      </c>
      <c r="E22724" t="n">
        <v>16.79</v>
      </c>
      <c r="F22724" t="n">
        <v>1</v>
      </c>
      <c r="G22724" t="n">
        <v>114</v>
      </c>
      <c r="H22724" s="5">
        <f>HYPERLINK("https://api.qogita.com/variants/link/6294015156089/", "View Product")</f>
        <v/>
      </c>
    </row>
    <row r="22725">
      <c r="A22725" t="inlineStr">
        <is>
          <t>6294015156096</t>
        </is>
      </c>
      <c r="B22725" t="inlineStr">
        <is>
          <t>Maison Luxe Patchouli Imperial Perfume Spray 110ml</t>
        </is>
      </c>
      <c r="C22725" t="inlineStr">
        <is>
          <t>Eau De Parfum</t>
        </is>
      </c>
      <c r="D22725" t="inlineStr">
        <is>
          <t>Maison Luxe</t>
        </is>
      </c>
      <c r="E22725" t="n">
        <v>16.96</v>
      </c>
      <c r="F22725" t="n">
        <v>1</v>
      </c>
      <c r="G22725" t="n">
        <v>26</v>
      </c>
      <c r="H22725" s="5">
        <f>HYPERLINK("https://api.qogita.com/variants/link/6294015156096/", "View Product")</f>
        <v/>
      </c>
    </row>
    <row r="22726">
      <c r="A22726" t="inlineStr">
        <is>
          <t>6294015156218</t>
        </is>
      </c>
      <c r="B22726" t="inlineStr">
        <is>
          <t>Hamidi Addicted Imperial Eau De Parfum Spray 120ml</t>
        </is>
      </c>
      <c r="C22726" t="inlineStr">
        <is>
          <t>Eau De Parfum</t>
        </is>
      </c>
      <c r="D22726" t="inlineStr">
        <is>
          <t>Hamidi</t>
        </is>
      </c>
      <c r="E22726" t="n">
        <v>21.47</v>
      </c>
      <c r="F22726" t="n">
        <v>1</v>
      </c>
      <c r="G22726" t="n">
        <v>23</v>
      </c>
      <c r="H22726" s="5">
        <f>HYPERLINK("https://api.qogita.com/variants/link/6294015156218/", "View Product")</f>
        <v/>
      </c>
    </row>
    <row r="22727">
      <c r="A22727" t="inlineStr">
        <is>
          <t>6294015158823</t>
        </is>
      </c>
      <c r="B22727" t="inlineStr">
        <is>
          <t>Armaf Club De Nuit Intense Women Eau De Parfum 30ml</t>
        </is>
      </c>
      <c r="C22727" t="inlineStr">
        <is>
          <t>Eau De Parfum</t>
        </is>
      </c>
      <c r="D22727" t="inlineStr">
        <is>
          <t>Armaf</t>
        </is>
      </c>
      <c r="E22727" t="n">
        <v>16.32</v>
      </c>
      <c r="F22727" t="n">
        <v>1</v>
      </c>
      <c r="G22727" t="n">
        <v>54</v>
      </c>
      <c r="H22727" s="5">
        <f>HYPERLINK("https://api.qogita.com/variants/link/6294015158823/", "View Product")</f>
        <v/>
      </c>
    </row>
    <row r="22728">
      <c r="A22728" t="inlineStr">
        <is>
          <t>6294015159851</t>
        </is>
      </c>
      <c r="B22728" t="inlineStr">
        <is>
          <t>Armaf Bucephalus No Xii Eau De Parfum 100ml</t>
        </is>
      </c>
      <c r="C22728" t="inlineStr">
        <is>
          <t>Eau De Parfum</t>
        </is>
      </c>
      <c r="D22728" t="inlineStr">
        <is>
          <t>Armaf</t>
        </is>
      </c>
      <c r="E22728" t="n">
        <v>22.64</v>
      </c>
      <c r="F22728" t="n">
        <v>1</v>
      </c>
      <c r="G22728" t="n">
        <v>22</v>
      </c>
      <c r="H22728" s="5">
        <f>HYPERLINK("https://api.qogita.com/variants/link/6294015159851/", "View Product")</f>
        <v/>
      </c>
    </row>
    <row r="22729">
      <c r="A22729" t="inlineStr">
        <is>
          <t>6294015160727</t>
        </is>
      </c>
      <c r="B22729" t="inlineStr">
        <is>
          <t>Armaf Odyssey Wild One Gold Edition Eau De Parfum 100ml</t>
        </is>
      </c>
      <c r="C22729" t="inlineStr">
        <is>
          <t>Eau De Parfum</t>
        </is>
      </c>
      <c r="D22729" t="inlineStr">
        <is>
          <t>Armaf</t>
        </is>
      </c>
      <c r="E22729" t="n">
        <v>16.67</v>
      </c>
      <c r="F22729" t="n">
        <v>1</v>
      </c>
      <c r="G22729" t="n">
        <v>22</v>
      </c>
      <c r="H22729" s="5">
        <f>HYPERLINK("https://api.qogita.com/variants/link/6294015160727/", "View Product")</f>
        <v/>
      </c>
    </row>
    <row r="22730">
      <c r="A22730" t="inlineStr">
        <is>
          <t>6294015161496</t>
        </is>
      </c>
      <c r="B22730" t="inlineStr">
        <is>
          <t>Armaf Le Parfait Azure Eau De Parfum Spray 100ml</t>
        </is>
      </c>
      <c r="C22730" t="inlineStr">
        <is>
          <t>Eau De Parfum</t>
        </is>
      </c>
      <c r="D22730" t="inlineStr">
        <is>
          <t>Armaf</t>
        </is>
      </c>
      <c r="E22730" t="n">
        <v>14.33</v>
      </c>
      <c r="F22730" t="n">
        <v>1</v>
      </c>
      <c r="G22730" t="n">
        <v>24</v>
      </c>
      <c r="H22730" s="5">
        <f>HYPERLINK("https://api.qogita.com/variants/link/6294015161496/", "View Product")</f>
        <v/>
      </c>
    </row>
    <row r="22731">
      <c r="A22731" t="inlineStr">
        <is>
          <t>6294015161502</t>
        </is>
      </c>
      <c r="B22731" t="inlineStr">
        <is>
          <t>Armaf Le Parfait Pour Femme Panache Eau De Parfum 100ml</t>
        </is>
      </c>
      <c r="C22731" t="inlineStr">
        <is>
          <t>Eau De Parfum</t>
        </is>
      </c>
      <c r="D22731" t="inlineStr">
        <is>
          <t>Armaf</t>
        </is>
      </c>
      <c r="E22731" t="n">
        <v>13.88</v>
      </c>
      <c r="F22731" t="n">
        <v>1</v>
      </c>
      <c r="G22731" t="n">
        <v>13</v>
      </c>
      <c r="H22731" s="5">
        <f>HYPERLINK("https://api.qogita.com/variants/link/6294015161502/", "View Product")</f>
        <v/>
      </c>
    </row>
    <row r="22732">
      <c r="A22732" t="inlineStr">
        <is>
          <t>6294015161519</t>
        </is>
      </c>
      <c r="B22732" t="inlineStr">
        <is>
          <t>Armaf Voyage Titan Pour Homme Eau De Parfum Spray 100ml</t>
        </is>
      </c>
      <c r="C22732" t="inlineStr">
        <is>
          <t>Eau De Parfum</t>
        </is>
      </c>
      <c r="D22732" t="inlineStr">
        <is>
          <t>Armaf</t>
        </is>
      </c>
      <c r="E22732" t="n">
        <v>15.86</v>
      </c>
      <c r="F22732" t="n">
        <v>1</v>
      </c>
      <c r="G22732" t="n">
        <v>10</v>
      </c>
      <c r="H22732" s="5">
        <f>HYPERLINK("https://api.qogita.com/variants/link/6294015161519/", "View Product")</f>
        <v/>
      </c>
    </row>
    <row r="22733">
      <c r="A22733" t="inlineStr">
        <is>
          <t>6294015161700</t>
        </is>
      </c>
      <c r="B22733" t="inlineStr">
        <is>
          <t>Hamidi Majd Al Oud 100ml Eau De Parfum</t>
        </is>
      </c>
      <c r="C22733" t="inlineStr">
        <is>
          <t>Eau De Parfum</t>
        </is>
      </c>
      <c r="D22733" t="inlineStr">
        <is>
          <t>Hamidi</t>
        </is>
      </c>
      <c r="E22733" t="n">
        <v>9.82</v>
      </c>
      <c r="F22733" t="n">
        <v>1</v>
      </c>
      <c r="G22733" t="n">
        <v>41</v>
      </c>
      <c r="H22733" s="5">
        <f>HYPERLINK("https://api.qogita.com/variants/link/6294015161700/", "View Product")</f>
        <v/>
      </c>
    </row>
    <row r="22734">
      <c r="A22734" t="inlineStr">
        <is>
          <t>6294015161717</t>
        </is>
      </c>
      <c r="B22734" t="inlineStr">
        <is>
          <t>Hamidi Oud Admire - Eau De Parfum</t>
        </is>
      </c>
      <c r="C22734" t="inlineStr">
        <is>
          <t>Eau De Parfum</t>
        </is>
      </c>
      <c r="D22734" t="inlineStr">
        <is>
          <t>Hamidi</t>
        </is>
      </c>
      <c r="E22734" t="n">
        <v>9.82</v>
      </c>
      <c r="F22734" t="n">
        <v>1</v>
      </c>
      <c r="G22734" t="n">
        <v>43</v>
      </c>
      <c r="H22734" s="5">
        <f>HYPERLINK("https://api.qogita.com/variants/link/6294015161717/", "View Product")</f>
        <v/>
      </c>
    </row>
    <row r="22735">
      <c r="A22735" t="inlineStr">
        <is>
          <t>6294015163919</t>
        </is>
      </c>
      <c r="B22735" t="inlineStr">
        <is>
          <t>Armaf Tag Her Donna Di Terra Eau De Parfum 100ml</t>
        </is>
      </c>
      <c r="C22735" t="inlineStr">
        <is>
          <t>Eau De Parfum</t>
        </is>
      </c>
      <c r="D22735" t="inlineStr">
        <is>
          <t>Armaf</t>
        </is>
      </c>
      <c r="E22735" t="n">
        <v>18.43</v>
      </c>
      <c r="F22735" t="n">
        <v>1</v>
      </c>
      <c r="G22735" t="n">
        <v>8</v>
      </c>
      <c r="H22735" s="5">
        <f>HYPERLINK("https://api.qogita.com/variants/link/6294015163919/", "View Product")</f>
        <v/>
      </c>
    </row>
    <row r="22736">
      <c r="A22736" t="inlineStr">
        <is>
          <t>6294015163933</t>
        </is>
      </c>
      <c r="B22736" t="inlineStr">
        <is>
          <t>Armaf Odyssey Homme White Edition Eau De Parfum 200ml</t>
        </is>
      </c>
      <c r="C22736" t="inlineStr">
        <is>
          <t>Eau De Parfum</t>
        </is>
      </c>
      <c r="D22736" t="inlineStr">
        <is>
          <t>Armaf</t>
        </is>
      </c>
      <c r="E22736" t="n">
        <v>29.97</v>
      </c>
      <c r="F22736" t="n">
        <v>1</v>
      </c>
      <c r="G22736" t="n">
        <v>32</v>
      </c>
      <c r="H22736" s="5">
        <f>HYPERLINK("https://api.qogita.com/variants/link/6294015163933/", "View Product")</f>
        <v/>
      </c>
    </row>
    <row r="22737">
      <c r="A22737" t="inlineStr">
        <is>
          <t>6294015164152</t>
        </is>
      </c>
      <c r="B22737" t="inlineStr">
        <is>
          <t>Armaf Club De Nuit Iconic Eau De Parfum 105ml</t>
        </is>
      </c>
      <c r="C22737" t="inlineStr">
        <is>
          <t>Eau De Parfum</t>
        </is>
      </c>
      <c r="D22737" t="inlineStr">
        <is>
          <t>Armaf</t>
        </is>
      </c>
      <c r="E22737" t="n">
        <v>30.76</v>
      </c>
      <c r="F22737" t="n">
        <v>1</v>
      </c>
      <c r="G22737" t="n">
        <v>816</v>
      </c>
      <c r="H22737" s="5">
        <f>HYPERLINK("https://api.qogita.com/variants/link/6294015164152/", "View Product")</f>
        <v/>
      </c>
    </row>
    <row r="22738">
      <c r="A22738" t="inlineStr">
        <is>
          <t>6294015164169</t>
        </is>
      </c>
      <c r="B22738" t="inlineStr">
        <is>
          <t>Armaf Club De Nuit White Imperiale Eau De Parfum Spray 105ml</t>
        </is>
      </c>
      <c r="C22738" t="inlineStr">
        <is>
          <t>Eau De Parfum</t>
        </is>
      </c>
      <c r="D22738" t="inlineStr">
        <is>
          <t>Armaf</t>
        </is>
      </c>
      <c r="E22738" t="n">
        <v>29.13</v>
      </c>
      <c r="F22738" t="n">
        <v>1</v>
      </c>
      <c r="G22738" t="n">
        <v>1156</v>
      </c>
      <c r="H22738" s="5">
        <f>HYPERLINK("https://api.qogita.com/variants/link/6294015164169/", "View Product")</f>
        <v/>
      </c>
    </row>
    <row r="22739">
      <c r="A22739" t="inlineStr">
        <is>
          <t>6294015164299</t>
        </is>
      </c>
      <c r="B22739" t="inlineStr">
        <is>
          <t>Armaf Club De Nuit Blue Iconic Eau De Parfum Spray 200ml</t>
        </is>
      </c>
      <c r="C22739" t="inlineStr">
        <is>
          <t>Eau De Parfum</t>
        </is>
      </c>
      <c r="D22739" t="inlineStr">
        <is>
          <t>Armaf</t>
        </is>
      </c>
      <c r="E22739" t="n">
        <v>54.85</v>
      </c>
      <c r="F22739" t="n">
        <v>1</v>
      </c>
      <c r="G22739" t="n">
        <v>17</v>
      </c>
      <c r="H22739" s="5">
        <f>HYPERLINK("https://api.qogita.com/variants/link/6294015164299/", "View Product")</f>
        <v/>
      </c>
    </row>
    <row r="22740">
      <c r="A22740" t="inlineStr">
        <is>
          <t>6294015164312</t>
        </is>
      </c>
      <c r="B22740" t="inlineStr">
        <is>
          <t>Armaf Club De Nuit Untold Eau De Parfum Spray 200ml</t>
        </is>
      </c>
      <c r="C22740" t="inlineStr">
        <is>
          <t>Eau De Parfum</t>
        </is>
      </c>
      <c r="D22740" t="inlineStr">
        <is>
          <t>Armaf</t>
        </is>
      </c>
      <c r="E22740" t="n">
        <v>54.05</v>
      </c>
      <c r="F22740" t="n">
        <v>1</v>
      </c>
      <c r="G22740" t="n">
        <v>18</v>
      </c>
      <c r="H22740" s="5">
        <f>HYPERLINK("https://api.qogita.com/variants/link/6294015164312/", "View Product")</f>
        <v/>
      </c>
    </row>
    <row r="22741">
      <c r="A22741" t="inlineStr">
        <is>
          <t>6294015164374</t>
        </is>
      </c>
      <c r="B22741" t="inlineStr">
        <is>
          <t>Armaf Club De Nuit Milestone Perfume Oil 18ml</t>
        </is>
      </c>
      <c r="C22741" t="inlineStr">
        <is>
          <t>Eau De Parfum</t>
        </is>
      </c>
      <c r="D22741" t="inlineStr">
        <is>
          <t>Armaf</t>
        </is>
      </c>
      <c r="E22741" t="n">
        <v>22.59</v>
      </c>
      <c r="F22741" t="n">
        <v>1</v>
      </c>
      <c r="G22741" t="n">
        <v>19</v>
      </c>
      <c r="H22741" s="5">
        <f>HYPERLINK("https://api.qogita.com/variants/link/6294015164374/", "View Product")</f>
        <v/>
      </c>
    </row>
    <row r="22742">
      <c r="A22742" t="inlineStr">
        <is>
          <t>6294015164626</t>
        </is>
      </c>
      <c r="B22742" t="inlineStr">
        <is>
          <t>Fusion Accord Eau de Parfum Volume 85 ml</t>
        </is>
      </c>
      <c r="C22742" t="inlineStr">
        <is>
          <t>Eau De Parfum</t>
        </is>
      </c>
      <c r="D22742" t="inlineStr">
        <is>
          <t>Hamidi</t>
        </is>
      </c>
      <c r="E22742" t="n">
        <v>14.14</v>
      </c>
      <c r="F22742" t="n">
        <v>1</v>
      </c>
      <c r="G22742" t="n">
        <v>41</v>
      </c>
      <c r="H22742" s="5">
        <f>HYPERLINK("https://api.qogita.com/variants/link/6294015164626/", "View Product")</f>
        <v/>
      </c>
    </row>
    <row r="22743">
      <c r="A22743" t="inlineStr">
        <is>
          <t>6294015164701</t>
        </is>
      </c>
      <c r="B22743" t="inlineStr">
        <is>
          <t>Prestige Esteem Eau de Parfum Volume 80 ml</t>
        </is>
      </c>
      <c r="C22743" t="inlineStr">
        <is>
          <t>Eau De Parfum</t>
        </is>
      </c>
      <c r="D22743" t="inlineStr">
        <is>
          <t>Hamidi</t>
        </is>
      </c>
      <c r="E22743" t="n">
        <v>13</v>
      </c>
      <c r="F22743" t="n">
        <v>1</v>
      </c>
      <c r="G22743" t="n">
        <v>32</v>
      </c>
      <c r="H22743" s="5">
        <f>HYPERLINK("https://api.qogita.com/variants/link/6294015164701/", "View Product")</f>
        <v/>
      </c>
    </row>
    <row r="22744">
      <c r="A22744" t="inlineStr">
        <is>
          <t>6294015165005</t>
        </is>
      </c>
      <c r="B22744" t="inlineStr">
        <is>
          <t>Armaf Club De Nuit Private Key To My Success Extrait De Parfum Spray 100ml</t>
        </is>
      </c>
      <c r="C22744" t="inlineStr">
        <is>
          <t>Extrait De Parfum</t>
        </is>
      </c>
      <c r="D22744" t="inlineStr">
        <is>
          <t>Armaf</t>
        </is>
      </c>
      <c r="E22744" t="n">
        <v>36.46</v>
      </c>
      <c r="F22744" t="n">
        <v>1</v>
      </c>
      <c r="G22744" t="n">
        <v>32</v>
      </c>
      <c r="H22744" s="5">
        <f>HYPERLINK("https://api.qogita.com/variants/link/6294015165005/", "View Product")</f>
        <v/>
      </c>
    </row>
    <row r="22745">
      <c r="A22745" t="inlineStr">
        <is>
          <t>6294015165142</t>
        </is>
      </c>
      <c r="B22745" t="inlineStr">
        <is>
          <t>The Lab Sandal No 1 Eau De Parfum 100ml</t>
        </is>
      </c>
      <c r="C22745" t="inlineStr">
        <is>
          <t>Eau De Parfum</t>
        </is>
      </c>
      <c r="D22745" t="inlineStr">
        <is>
          <t>The Lab</t>
        </is>
      </c>
      <c r="E22745" t="n">
        <v>58.69</v>
      </c>
      <c r="F22745" t="n">
        <v>1</v>
      </c>
      <c r="G22745" t="n">
        <v>5</v>
      </c>
      <c r="H22745" s="5">
        <f>HYPERLINK("https://api.qogita.com/variants/link/6294015165142/", "View Product")</f>
        <v/>
      </c>
    </row>
    <row r="22746">
      <c r="A22746" t="inlineStr">
        <is>
          <t>6294015166163</t>
        </is>
      </c>
      <c r="B22746" t="inlineStr">
        <is>
          <t>Armaf Space Age Eau De Parfum 100ml</t>
        </is>
      </c>
      <c r="C22746" t="inlineStr">
        <is>
          <t>Eau De Parfum</t>
        </is>
      </c>
      <c r="D22746" t="inlineStr">
        <is>
          <t>Armaf</t>
        </is>
      </c>
      <c r="E22746" t="n">
        <v>18.98</v>
      </c>
      <c r="F22746" t="n">
        <v>1</v>
      </c>
      <c r="G22746" t="n">
        <v>16</v>
      </c>
      <c r="H22746" s="5">
        <f>HYPERLINK("https://api.qogita.com/variants/link/6294015166163/", "View Product")</f>
        <v/>
      </c>
    </row>
    <row r="22747">
      <c r="A22747" t="inlineStr">
        <is>
          <t>6294015167672</t>
        </is>
      </c>
      <c r="B22747" t="inlineStr">
        <is>
          <t>Al Lulua Al Hmras by Risala Unisex 3.7 Oz EDP Spray</t>
        </is>
      </c>
      <c r="C22747" t="inlineStr">
        <is>
          <t>Eau De Parfum</t>
        </is>
      </c>
      <c r="D22747" t="inlineStr">
        <is>
          <t>Risala</t>
        </is>
      </c>
      <c r="E22747" t="n">
        <v>12.48</v>
      </c>
      <c r="F22747" t="n">
        <v>1</v>
      </c>
      <c r="G22747" t="n">
        <v>43</v>
      </c>
      <c r="H22747" s="5">
        <f>HYPERLINK("https://api.qogita.com/variants/link/6294015167672/", "View Product")</f>
        <v/>
      </c>
    </row>
    <row r="22748">
      <c r="A22748" t="inlineStr">
        <is>
          <t>6294015167917</t>
        </is>
      </c>
      <c r="B22748" t="inlineStr">
        <is>
          <t>Armaf Club De Nuit Blue Iconic Deodorant Stick 75g</t>
        </is>
      </c>
      <c r="C22748" t="inlineStr">
        <is>
          <t>Deodorant &amp; Anti-Perspirant</t>
        </is>
      </c>
      <c r="D22748" t="inlineStr">
        <is>
          <t>Armaf</t>
        </is>
      </c>
      <c r="E22748" t="n">
        <v>9.970000000000001</v>
      </c>
      <c r="F22748" t="n">
        <v>1</v>
      </c>
      <c r="G22748" t="n">
        <v>18</v>
      </c>
      <c r="H22748" s="5">
        <f>HYPERLINK("https://api.qogita.com/variants/link/6294015167917/", "View Product")</f>
        <v/>
      </c>
    </row>
    <row r="22749">
      <c r="A22749" t="inlineStr">
        <is>
          <t>6294015167948</t>
        </is>
      </c>
      <c r="B22749" t="inlineStr">
        <is>
          <t>Armaf Club De Nuit Urban Elixir Deodorant Stick 75 Grams</t>
        </is>
      </c>
      <c r="C22749" t="inlineStr">
        <is>
          <t>Deodorant &amp; Anti-Perspirant</t>
        </is>
      </c>
      <c r="D22749" t="inlineStr">
        <is>
          <t>Armaf</t>
        </is>
      </c>
      <c r="E22749" t="n">
        <v>9.73</v>
      </c>
      <c r="F22749" t="n">
        <v>1</v>
      </c>
      <c r="G22749" t="n">
        <v>51</v>
      </c>
      <c r="H22749" s="5">
        <f>HYPERLINK("https://api.qogita.com/variants/link/6294015167948/", "View Product")</f>
        <v/>
      </c>
    </row>
    <row r="22750">
      <c r="A22750" t="inlineStr">
        <is>
          <t>6294015169935</t>
        </is>
      </c>
      <c r="B22750" t="inlineStr">
        <is>
          <t>ARMAF Club De Nuit Iconic Eau De Parfum 30ml</t>
        </is>
      </c>
      <c r="C22750" t="inlineStr">
        <is>
          <t>Eau De Parfum</t>
        </is>
      </c>
      <c r="D22750" t="inlineStr">
        <is>
          <t>Armaf</t>
        </is>
      </c>
      <c r="E22750" t="n">
        <v>18.52</v>
      </c>
      <c r="F22750" t="n">
        <v>1</v>
      </c>
      <c r="G22750" t="n">
        <v>7</v>
      </c>
      <c r="H22750" s="5">
        <f>HYPERLINK("https://api.qogita.com/variants/link/6294015169935/", "View Product")</f>
        <v/>
      </c>
    </row>
    <row r="22751">
      <c r="A22751" t="inlineStr">
        <is>
          <t>6294015175288</t>
        </is>
      </c>
      <c r="B22751" t="inlineStr">
        <is>
          <t>Armaf Club De Nuit Untold Gift Set - Edp 105 Ml, Body Lotion 100 Ml, Deostick 75 G</t>
        </is>
      </c>
      <c r="C22751" t="inlineStr">
        <is>
          <t>Fragrance Sets</t>
        </is>
      </c>
      <c r="D22751" t="inlineStr">
        <is>
          <t>Armaf</t>
        </is>
      </c>
      <c r="E22751" t="n">
        <v>42.74</v>
      </c>
      <c r="F22751" t="n">
        <v>1</v>
      </c>
      <c r="G22751" t="n">
        <v>2</v>
      </c>
      <c r="H22751" s="5">
        <f>HYPERLINK("https://api.qogita.com/variants/link/6294015175288/", "View Product")</f>
        <v/>
      </c>
    </row>
    <row r="22752">
      <c r="A22752" t="inlineStr">
        <is>
          <t>6294015175417</t>
        </is>
      </c>
      <c r="B22752" t="inlineStr">
        <is>
          <t>ARMAF Ventana Marine Eau De Parfum 100ml</t>
        </is>
      </c>
      <c r="C22752" t="inlineStr">
        <is>
          <t>Eau De Parfum</t>
        </is>
      </c>
      <c r="D22752" t="inlineStr">
        <is>
          <t>Armaf</t>
        </is>
      </c>
      <c r="E22752" t="n">
        <v>18.68</v>
      </c>
      <c r="F22752" t="n">
        <v>1</v>
      </c>
      <c r="G22752" t="n">
        <v>38</v>
      </c>
      <c r="H22752" s="5">
        <f>HYPERLINK("https://api.qogita.com/variants/link/6294015175417/", "View Product")</f>
        <v/>
      </c>
    </row>
    <row r="22753">
      <c r="A22753" t="inlineStr">
        <is>
          <t>6294015175943</t>
        </is>
      </c>
      <c r="B22753" t="inlineStr">
        <is>
          <t>Armaf Club De Nuit Private Key To My Soul Extrait De Parfum Spray 100ml</t>
        </is>
      </c>
      <c r="C22753" t="inlineStr">
        <is>
          <t>Extrait De Parfum</t>
        </is>
      </c>
      <c r="D22753" t="inlineStr">
        <is>
          <t>Armaf</t>
        </is>
      </c>
      <c r="E22753" t="n">
        <v>40.56</v>
      </c>
      <c r="F22753" t="n">
        <v>1</v>
      </c>
      <c r="G22753" t="n">
        <v>67</v>
      </c>
      <c r="H22753" s="5">
        <f>HYPERLINK("https://api.qogita.com/variants/link/6294015175943/", "View Product")</f>
        <v/>
      </c>
    </row>
    <row r="22754">
      <c r="A22754" t="inlineStr">
        <is>
          <t>6294015176087</t>
        </is>
      </c>
      <c r="B22754" t="inlineStr">
        <is>
          <t>Armaf Eter Desert Star Eau De Parfum 3.4 oz 100 ml Unisex New &amp; Sealed</t>
        </is>
      </c>
      <c r="C22754" t="inlineStr">
        <is>
          <t>Eau De Parfum</t>
        </is>
      </c>
      <c r="D22754" t="inlineStr">
        <is>
          <t>Armaf</t>
        </is>
      </c>
      <c r="E22754" t="n">
        <v>25.41</v>
      </c>
      <c r="F22754" t="n">
        <v>1</v>
      </c>
      <c r="G22754" t="n">
        <v>29</v>
      </c>
      <c r="H22754" s="5">
        <f>HYPERLINK("https://api.qogita.com/variants/link/6294015176087/", "View Product")</f>
        <v/>
      </c>
    </row>
    <row r="22755">
      <c r="A22755" t="inlineStr">
        <is>
          <t>6294015176124</t>
        </is>
      </c>
      <c r="B22755" t="inlineStr">
        <is>
          <t>Armaf Eter Desert Night Eau de Parfum Spray 3.4 fl.oz</t>
        </is>
      </c>
      <c r="C22755" t="inlineStr">
        <is>
          <t>Eau De Parfum</t>
        </is>
      </c>
      <c r="D22755" t="inlineStr">
        <is>
          <t>Armaf</t>
        </is>
      </c>
      <c r="E22755" t="n">
        <v>27.6</v>
      </c>
      <c r="F22755" t="n">
        <v>1</v>
      </c>
      <c r="G22755" t="n">
        <v>32</v>
      </c>
      <c r="H22755" s="5">
        <f>HYPERLINK("https://api.qogita.com/variants/link/6294015176124/", "View Product")</f>
        <v/>
      </c>
    </row>
    <row r="22756">
      <c r="A22756" t="inlineStr">
        <is>
          <t>6294015176223</t>
        </is>
      </c>
      <c r="B22756" t="inlineStr">
        <is>
          <t>Hamidi Al Mukhmal EDP Spray 100ml 3.4oz - A Harmonious Blend of Refreshing</t>
        </is>
      </c>
      <c r="C22756" t="inlineStr">
        <is>
          <t>Eau De Parfum</t>
        </is>
      </c>
      <c r="D22756" t="inlineStr">
        <is>
          <t>Hamidi</t>
        </is>
      </c>
      <c r="E22756" t="n">
        <v>18.65</v>
      </c>
      <c r="F22756" t="n">
        <v>1</v>
      </c>
      <c r="G22756" t="n">
        <v>38</v>
      </c>
      <c r="H22756" s="5">
        <f>HYPERLINK("https://api.qogita.com/variants/link/6294015176223/", "View Product")</f>
        <v/>
      </c>
    </row>
    <row r="22757">
      <c r="A22757" t="inlineStr">
        <is>
          <t>6294015176254</t>
        </is>
      </c>
      <c r="B22757" t="inlineStr">
        <is>
          <t>Hamidi Al Mukhmal EDP Spray 100ml 3.4oz - A Harmonious Blend of Refreshing</t>
        </is>
      </c>
      <c r="C22757" t="inlineStr">
        <is>
          <t>Eau De Parfum</t>
        </is>
      </c>
      <c r="D22757" t="inlineStr">
        <is>
          <t>Hamidi</t>
        </is>
      </c>
      <c r="E22757" t="n">
        <v>18.65</v>
      </c>
      <c r="F22757" t="n">
        <v>1</v>
      </c>
      <c r="G22757" t="n">
        <v>33</v>
      </c>
      <c r="H22757" s="5">
        <f>HYPERLINK("https://api.qogita.com/variants/link/6294015176254/", "View Product")</f>
        <v/>
      </c>
    </row>
    <row r="22758">
      <c r="A22758" t="inlineStr">
        <is>
          <t>6294015176582</t>
        </is>
      </c>
      <c r="B22758" t="inlineStr">
        <is>
          <t>Armaf Beauty Beaute Parfaite Fix Concealer - 5.8g - 01 Fair</t>
        </is>
      </c>
      <c r="C22758" t="inlineStr">
        <is>
          <t>Concealer</t>
        </is>
      </c>
      <c r="D22758" t="inlineStr">
        <is>
          <t>Armaf Beauty</t>
        </is>
      </c>
      <c r="E22758" t="n">
        <v>5.69</v>
      </c>
      <c r="F22758" t="n">
        <v>1</v>
      </c>
      <c r="G22758" t="n">
        <v>11</v>
      </c>
      <c r="H22758" s="5">
        <f>HYPERLINK("https://api.qogita.com/variants/link/6294015176582/", "View Product")</f>
        <v/>
      </c>
    </row>
    <row r="22759">
      <c r="A22759" t="inlineStr">
        <is>
          <t>6294015176773</t>
        </is>
      </c>
      <c r="B22759" t="inlineStr">
        <is>
          <t>Armaf Beauty Beaute True Matte Transferproof Liquid Lipstick - 01 Le Femmes</t>
        </is>
      </c>
      <c r="C22759" t="inlineStr">
        <is>
          <t>Lipstick</t>
        </is>
      </c>
      <c r="D22759" t="inlineStr">
        <is>
          <t>Armaf Beauty</t>
        </is>
      </c>
      <c r="E22759" t="n">
        <v>6.68</v>
      </c>
      <c r="F22759" t="n">
        <v>1</v>
      </c>
      <c r="G22759" t="n">
        <v>11</v>
      </c>
      <c r="H22759" s="5">
        <f>HYPERLINK("https://api.qogita.com/variants/link/6294015176773/", "View Product")</f>
        <v/>
      </c>
    </row>
    <row r="22760">
      <c r="A22760" t="inlineStr">
        <is>
          <t>6294015176780</t>
        </is>
      </c>
      <c r="B22760" t="inlineStr">
        <is>
          <t>Armaf Beauty Beaute True Matte Transferproof Liquid Lipstick - 02 Tres Jo</t>
        </is>
      </c>
      <c r="C22760" t="inlineStr">
        <is>
          <t>Lipstick</t>
        </is>
      </c>
      <c r="D22760" t="inlineStr">
        <is>
          <t>Armaf Beauty</t>
        </is>
      </c>
      <c r="E22760" t="n">
        <v>6.68</v>
      </c>
      <c r="F22760" t="n">
        <v>1</v>
      </c>
      <c r="G22760" t="n">
        <v>10</v>
      </c>
      <c r="H22760" s="5">
        <f>HYPERLINK("https://api.qogita.com/variants/link/6294015176780/", "View Product")</f>
        <v/>
      </c>
    </row>
    <row r="22761">
      <c r="A22761" t="inlineStr">
        <is>
          <t>6294015176810</t>
        </is>
      </c>
      <c r="B22761" t="inlineStr">
        <is>
          <t>Armaf True Matte Transferproof Liquid Lipstick 05 Venetian 4 Ml</t>
        </is>
      </c>
      <c r="C22761" t="inlineStr">
        <is>
          <t>Lipstick</t>
        </is>
      </c>
      <c r="D22761" t="inlineStr">
        <is>
          <t>Armaf</t>
        </is>
      </c>
      <c r="E22761" t="n">
        <v>6.68</v>
      </c>
      <c r="F22761" t="n">
        <v>1</v>
      </c>
      <c r="G22761" t="n">
        <v>8</v>
      </c>
      <c r="H22761" s="5">
        <f>HYPERLINK("https://api.qogita.com/variants/link/6294015176810/", "View Product")</f>
        <v/>
      </c>
    </row>
    <row r="22762">
      <c r="A22762" t="inlineStr">
        <is>
          <t>6294015176933</t>
        </is>
      </c>
      <c r="B22762" t="inlineStr">
        <is>
          <t>Armaf Intense Shine Lip Gloss 05 Cotton Candy 32 Grams</t>
        </is>
      </c>
      <c r="C22762" t="inlineStr">
        <is>
          <t>Lip Gloss</t>
        </is>
      </c>
      <c r="D22762" t="inlineStr">
        <is>
          <t>Armaf</t>
        </is>
      </c>
      <c r="E22762" t="n">
        <v>5.47</v>
      </c>
      <c r="F22762" t="n">
        <v>1</v>
      </c>
      <c r="G22762" t="n">
        <v>2</v>
      </c>
      <c r="H22762" s="5">
        <f>HYPERLINK("https://api.qogita.com/variants/link/6294015176933/", "View Product")</f>
        <v/>
      </c>
    </row>
    <row r="22763">
      <c r="A22763" t="inlineStr">
        <is>
          <t>6294015176957</t>
        </is>
      </c>
      <c r="B22763" t="inlineStr">
        <is>
          <t>Armaf Beauty Velvet Matte Lipstick - 01 Juliette</t>
        </is>
      </c>
      <c r="C22763" t="inlineStr">
        <is>
          <t>Lipstick</t>
        </is>
      </c>
      <c r="D22763" t="inlineStr">
        <is>
          <t>Armaf Beauty</t>
        </is>
      </c>
      <c r="E22763" t="n">
        <v>5.92</v>
      </c>
      <c r="F22763" t="n">
        <v>1</v>
      </c>
      <c r="G22763" t="n">
        <v>4</v>
      </c>
      <c r="H22763" s="5">
        <f>HYPERLINK("https://api.qogita.com/variants/link/6294015176957/", "View Product")</f>
        <v/>
      </c>
    </row>
    <row r="22764">
      <c r="A22764" t="inlineStr">
        <is>
          <t>6294015176964</t>
        </is>
      </c>
      <c r="B22764" t="inlineStr">
        <is>
          <t>Armaf Beauty Velvet Matte Lipstick 2.6g 02 Rochelle</t>
        </is>
      </c>
      <c r="C22764" t="inlineStr">
        <is>
          <t>Lipstick</t>
        </is>
      </c>
      <c r="D22764" t="inlineStr">
        <is>
          <t>Armaf Beauty</t>
        </is>
      </c>
      <c r="E22764" t="n">
        <v>5.92</v>
      </c>
      <c r="F22764" t="n">
        <v>1</v>
      </c>
      <c r="G22764" t="n">
        <v>8</v>
      </c>
      <c r="H22764" s="5">
        <f>HYPERLINK("https://api.qogita.com/variants/link/6294015176964/", "View Product")</f>
        <v/>
      </c>
    </row>
    <row r="22765">
      <c r="A22765" t="inlineStr">
        <is>
          <t>6294015177008</t>
        </is>
      </c>
      <c r="B22765" t="inlineStr">
        <is>
          <t>Armaf Beauty Velvet Matte Lipstick - 06 Gabrielle</t>
        </is>
      </c>
      <c r="C22765" t="inlineStr">
        <is>
          <t>Lipstick</t>
        </is>
      </c>
      <c r="D22765" t="inlineStr">
        <is>
          <t>Armaf Beauty</t>
        </is>
      </c>
      <c r="E22765" t="n">
        <v>5.92</v>
      </c>
      <c r="F22765" t="n">
        <v>1</v>
      </c>
      <c r="G22765" t="n">
        <v>7</v>
      </c>
      <c r="H22765" s="5">
        <f>HYPERLINK("https://api.qogita.com/variants/link/6294015177008/", "View Product")</f>
        <v/>
      </c>
    </row>
    <row r="22766">
      <c r="A22766" t="inlineStr">
        <is>
          <t>6294015177015</t>
        </is>
      </c>
      <c r="B22766" t="inlineStr">
        <is>
          <t>Armaf Beauty Velvet Matte Lipstick - 07 Vivienne</t>
        </is>
      </c>
      <c r="C22766" t="inlineStr">
        <is>
          <t>Lipstick</t>
        </is>
      </c>
      <c r="D22766" t="inlineStr">
        <is>
          <t>Armaf Beauty</t>
        </is>
      </c>
      <c r="E22766" t="n">
        <v>5.92</v>
      </c>
      <c r="F22766" t="n">
        <v>1</v>
      </c>
      <c r="G22766" t="n">
        <v>3</v>
      </c>
      <c r="H22766" s="5">
        <f>HYPERLINK("https://api.qogita.com/variants/link/6294015177015/", "View Product")</f>
        <v/>
      </c>
    </row>
    <row r="22767">
      <c r="A22767" t="inlineStr">
        <is>
          <t>6294015177244</t>
        </is>
      </c>
      <c r="B22767" t="inlineStr">
        <is>
          <t>Armaf Beauty Dipin Liquid Eyeliner 4ml 03 Aquamarine</t>
        </is>
      </c>
      <c r="C22767" t="inlineStr">
        <is>
          <t>Eyeliner</t>
        </is>
      </c>
      <c r="D22767" t="inlineStr">
        <is>
          <t>Armaf Beauty</t>
        </is>
      </c>
      <c r="E22767" t="n">
        <v>5.84</v>
      </c>
      <c r="F22767" t="n">
        <v>1</v>
      </c>
      <c r="G22767" t="n">
        <v>9</v>
      </c>
      <c r="H22767" s="5">
        <f>HYPERLINK("https://api.qogita.com/variants/link/6294015177244/", "View Product")</f>
        <v/>
      </c>
    </row>
    <row r="22768">
      <c r="A22768" t="inlineStr">
        <is>
          <t>6294015177411</t>
        </is>
      </c>
      <c r="B22768" t="inlineStr">
        <is>
          <t>Armaf Beauty Armaf Beaute Tint It Up Lip &amp; Cheek Tint - 03 Rouge</t>
        </is>
      </c>
      <c r="C22768" t="inlineStr">
        <is>
          <t>Blush</t>
        </is>
      </c>
      <c r="D22768" t="inlineStr">
        <is>
          <t>Armaf Beauty</t>
        </is>
      </c>
      <c r="E22768" t="n">
        <v>5.92</v>
      </c>
      <c r="F22768" t="n">
        <v>1</v>
      </c>
      <c r="G22768" t="n">
        <v>5</v>
      </c>
      <c r="H22768" s="5">
        <f>HYPERLINK("https://api.qogita.com/variants/link/6294015177411/", "View Product")</f>
        <v/>
      </c>
    </row>
    <row r="22769">
      <c r="A22769" t="inlineStr">
        <is>
          <t>6294015177428</t>
        </is>
      </c>
      <c r="B22769" t="inlineStr">
        <is>
          <t>Armaf Beauty Armaf Beaute Tint It Up Lip &amp; Cheek Tint - 5ml - 04 Sienna</t>
        </is>
      </c>
      <c r="C22769" t="inlineStr">
        <is>
          <t>Blush</t>
        </is>
      </c>
      <c r="D22769" t="inlineStr">
        <is>
          <t>Armaf Beauty</t>
        </is>
      </c>
      <c r="E22769" t="n">
        <v>5.92</v>
      </c>
      <c r="F22769" t="n">
        <v>1</v>
      </c>
      <c r="G22769" t="n">
        <v>11</v>
      </c>
      <c r="H22769" s="5">
        <f>HYPERLINK("https://api.qogita.com/variants/link/6294015177428/", "View Product")</f>
        <v/>
      </c>
    </row>
    <row r="22770">
      <c r="A22770" t="inlineStr">
        <is>
          <t>6294015177435</t>
        </is>
      </c>
      <c r="B22770" t="inlineStr">
        <is>
          <t>Armaf Tint It Up Lip Cheek Tint 5 Ml</t>
        </is>
      </c>
      <c r="C22770" t="inlineStr">
        <is>
          <t>Lip Balm</t>
        </is>
      </c>
      <c r="D22770" t="inlineStr">
        <is>
          <t>Armaf</t>
        </is>
      </c>
      <c r="E22770" t="n">
        <v>5.92</v>
      </c>
      <c r="F22770" t="n">
        <v>1</v>
      </c>
      <c r="G22770" t="n">
        <v>4</v>
      </c>
      <c r="H22770" s="5">
        <f>HYPERLINK("https://api.qogita.com/variants/link/6294015177435/", "View Product")</f>
        <v/>
      </c>
    </row>
    <row r="22771">
      <c r="A22771" t="inlineStr">
        <is>
          <t>6294015177527</t>
        </is>
      </c>
      <c r="B22771" t="inlineStr">
        <is>
          <t>Armaf Beauty Armaf Beaute Parfaite Fix Skin Tint Warm Beige - 30ml</t>
        </is>
      </c>
      <c r="C22771" t="inlineStr">
        <is>
          <t>Foundation</t>
        </is>
      </c>
      <c r="D22771" t="inlineStr">
        <is>
          <t>Armaf Beauty</t>
        </is>
      </c>
      <c r="E22771" t="n">
        <v>6.99</v>
      </c>
      <c r="F22771" t="n">
        <v>1</v>
      </c>
      <c r="G22771" t="n">
        <v>9</v>
      </c>
      <c r="H22771" s="5">
        <f>HYPERLINK("https://api.qogita.com/variants/link/6294015177527/", "View Product")</f>
        <v/>
      </c>
    </row>
    <row r="22772">
      <c r="A22772" t="inlineStr">
        <is>
          <t>6294015178234</t>
        </is>
      </c>
      <c r="B22772" t="inlineStr">
        <is>
          <t>Autograph Luxury Non-Alcoholic Eau De Parfum 85ml Unisex</t>
        </is>
      </c>
      <c r="C22772" t="inlineStr">
        <is>
          <t>Eau De Parfum</t>
        </is>
      </c>
      <c r="D22772" t="inlineStr">
        <is>
          <t>Hamidi</t>
        </is>
      </c>
      <c r="E22772" t="n">
        <v>9.82</v>
      </c>
      <c r="F22772" t="n">
        <v>1</v>
      </c>
      <c r="G22772" t="n">
        <v>43</v>
      </c>
      <c r="H22772" s="5">
        <f>HYPERLINK("https://api.qogita.com/variants/link/6294015178234/", "View Product")</f>
        <v/>
      </c>
    </row>
    <row r="22773">
      <c r="A22773" t="inlineStr">
        <is>
          <t>6294015178241</t>
        </is>
      </c>
      <c r="B22773" t="inlineStr">
        <is>
          <t>Irreverant Eau De Parfum - Long-Lasting Perfume for Women and Men</t>
        </is>
      </c>
      <c r="C22773" t="inlineStr">
        <is>
          <t>Eau De Parfum</t>
        </is>
      </c>
      <c r="D22773" t="inlineStr">
        <is>
          <t>Hamidi</t>
        </is>
      </c>
      <c r="E22773" t="n">
        <v>9.82</v>
      </c>
      <c r="F22773" t="n">
        <v>1</v>
      </c>
      <c r="G22773" t="n">
        <v>43</v>
      </c>
      <c r="H22773" s="5">
        <f>HYPERLINK("https://api.qogita.com/variants/link/6294015178241/", "View Product")</f>
        <v/>
      </c>
    </row>
    <row r="22774">
      <c r="A22774" t="inlineStr">
        <is>
          <t>6294015178265</t>
        </is>
      </c>
      <c r="B22774" t="inlineStr">
        <is>
          <t>Hamidi Shine 100ml Eau De Parfum</t>
        </is>
      </c>
      <c r="C22774" t="inlineStr">
        <is>
          <t>Eau De Parfum</t>
        </is>
      </c>
      <c r="D22774" t="inlineStr">
        <is>
          <t>Hamidi</t>
        </is>
      </c>
      <c r="E22774" t="n">
        <v>9.82</v>
      </c>
      <c r="F22774" t="n">
        <v>1</v>
      </c>
      <c r="G22774" t="n">
        <v>43</v>
      </c>
      <c r="H22774" s="5">
        <f>HYPERLINK("https://api.qogita.com/variants/link/6294015178265/", "View Product")</f>
        <v/>
      </c>
    </row>
    <row r="22775">
      <c r="A22775" t="inlineStr">
        <is>
          <t>6294015178289</t>
        </is>
      </c>
      <c r="B22775" t="inlineStr">
        <is>
          <t>Hamidi Rose Rush 100ml Eau De Parfum</t>
        </is>
      </c>
      <c r="C22775" t="inlineStr">
        <is>
          <t>Eau De Parfum</t>
        </is>
      </c>
      <c r="D22775" t="inlineStr">
        <is>
          <t>Hamidi</t>
        </is>
      </c>
      <c r="E22775" t="n">
        <v>9.82</v>
      </c>
      <c r="F22775" t="n">
        <v>1</v>
      </c>
      <c r="G22775" t="n">
        <v>43</v>
      </c>
      <c r="H22775" s="5">
        <f>HYPERLINK("https://api.qogita.com/variants/link/6294015178289/", "View Product")</f>
        <v/>
      </c>
    </row>
    <row r="22776">
      <c r="A22776" t="inlineStr">
        <is>
          <t>6294015178296</t>
        </is>
      </c>
      <c r="B22776" t="inlineStr">
        <is>
          <t>Hamidi Serenity Eau De Parfum for Women and Men - Longlasting Perfume</t>
        </is>
      </c>
      <c r="C22776" t="inlineStr">
        <is>
          <t>Eau De Parfum</t>
        </is>
      </c>
      <c r="D22776" t="inlineStr">
        <is>
          <t>Hamidi</t>
        </is>
      </c>
      <c r="E22776" t="n">
        <v>9.82</v>
      </c>
      <c r="F22776" t="n">
        <v>1</v>
      </c>
      <c r="G22776" t="n">
        <v>43</v>
      </c>
      <c r="H22776" s="5">
        <f>HYPERLINK("https://api.qogita.com/variants/link/6294015178296/", "View Product")</f>
        <v/>
      </c>
    </row>
    <row r="22777">
      <c r="A22777" t="inlineStr">
        <is>
          <t>6294015178777</t>
        </is>
      </c>
      <c r="B22777" t="inlineStr">
        <is>
          <t>Hamidi Legacy Merneith Women Perfume 100ml</t>
        </is>
      </c>
      <c r="C22777" t="inlineStr">
        <is>
          <t>Eau De Parfum</t>
        </is>
      </c>
      <c r="D22777" t="inlineStr">
        <is>
          <t>Hamidi</t>
        </is>
      </c>
      <c r="E22777" t="n">
        <v>23.41</v>
      </c>
      <c r="F22777" t="n">
        <v>1</v>
      </c>
      <c r="G22777" t="n">
        <v>104</v>
      </c>
      <c r="H22777" s="5">
        <f>HYPERLINK("https://api.qogita.com/variants/link/6294015178777/", "View Product")</f>
        <v/>
      </c>
    </row>
    <row r="22778">
      <c r="A22778" t="inlineStr">
        <is>
          <t>6294015178913</t>
        </is>
      </c>
      <c r="B22778" t="inlineStr">
        <is>
          <t>Hamidi The Dome Capitol Eau De Parfum Spray 100ml</t>
        </is>
      </c>
      <c r="C22778" t="inlineStr">
        <is>
          <t>Eau De Parfum</t>
        </is>
      </c>
      <c r="D22778" t="inlineStr">
        <is>
          <t>Hamidi</t>
        </is>
      </c>
      <c r="E22778" t="n">
        <v>17.24</v>
      </c>
      <c r="F22778" t="n">
        <v>1</v>
      </c>
      <c r="G22778" t="n">
        <v>20</v>
      </c>
      <c r="H22778" s="5">
        <f>HYPERLINK("https://api.qogita.com/variants/link/6294015178913/", "View Product")</f>
        <v/>
      </c>
    </row>
    <row r="22779">
      <c r="A22779" t="inlineStr">
        <is>
          <t>6294015179026</t>
        </is>
      </c>
      <c r="B22779" t="inlineStr">
        <is>
          <t>Hamidi Insignia Purpure Parfum Spray 105ml</t>
        </is>
      </c>
      <c r="C22779" t="inlineStr">
        <is>
          <t>Eau De Parfum</t>
        </is>
      </c>
      <c r="D22779" t="inlineStr">
        <is>
          <t>Hamidi</t>
        </is>
      </c>
      <c r="E22779" t="n">
        <v>16.21</v>
      </c>
      <c r="F22779" t="n">
        <v>1</v>
      </c>
      <c r="G22779" t="n">
        <v>4</v>
      </c>
      <c r="H22779" s="5">
        <f>HYPERLINK("https://api.qogita.com/variants/link/6294015179026/", "View Product")</f>
        <v/>
      </c>
    </row>
    <row r="22780">
      <c r="A22780" t="inlineStr">
        <is>
          <t>6294015179033</t>
        </is>
      </c>
      <c r="B22780" t="inlineStr">
        <is>
          <t>Hamidi Insignia Sable Parfum Spray 105ml</t>
        </is>
      </c>
      <c r="C22780" t="inlineStr">
        <is>
          <t>Eau De Parfum</t>
        </is>
      </c>
      <c r="D22780" t="inlineStr">
        <is>
          <t>Hamidi</t>
        </is>
      </c>
      <c r="E22780" t="n">
        <v>16.21</v>
      </c>
      <c r="F22780" t="n">
        <v>1</v>
      </c>
      <c r="G22780" t="n">
        <v>5</v>
      </c>
      <c r="H22780" s="5">
        <f>HYPERLINK("https://api.qogita.com/variants/link/6294015179033/", "View Product")</f>
        <v/>
      </c>
    </row>
    <row r="22781">
      <c r="A22781" t="inlineStr">
        <is>
          <t>6294015179057</t>
        </is>
      </c>
      <c r="B22781" t="inlineStr">
        <is>
          <t>Hamidi Insignia Argent for Men 3.6 Oz Parfum Spray</t>
        </is>
      </c>
      <c r="C22781" t="inlineStr">
        <is>
          <t>Eau De Parfum</t>
        </is>
      </c>
      <c r="D22781" t="inlineStr">
        <is>
          <t>Hamidi</t>
        </is>
      </c>
      <c r="E22781" t="n">
        <v>18.65</v>
      </c>
      <c r="F22781" t="n">
        <v>1</v>
      </c>
      <c r="G22781" t="n">
        <v>31</v>
      </c>
      <c r="H22781" s="5">
        <f>HYPERLINK("https://api.qogita.com/variants/link/6294015179057/", "View Product")</f>
        <v/>
      </c>
    </row>
    <row r="22782">
      <c r="A22782" t="inlineStr">
        <is>
          <t>6294015180503</t>
        </is>
      </c>
      <c r="B22782" t="inlineStr">
        <is>
          <t>Hamidi Lost Paradise Utopian Leather Eau De Parfum Spray 100ml</t>
        </is>
      </c>
      <c r="C22782" t="inlineStr">
        <is>
          <t>Eau De Parfum</t>
        </is>
      </c>
      <c r="D22782" t="inlineStr">
        <is>
          <t>Hamidi</t>
        </is>
      </c>
      <c r="E22782" t="n">
        <v>13.66</v>
      </c>
      <c r="F22782" t="n">
        <v>1</v>
      </c>
      <c r="G22782" t="n">
        <v>6</v>
      </c>
      <c r="H22782" s="5">
        <f>HYPERLINK("https://api.qogita.com/variants/link/6294015180503/", "View Product")</f>
        <v/>
      </c>
    </row>
    <row r="22783">
      <c r="A22783" t="inlineStr">
        <is>
          <t>6294015180527</t>
        </is>
      </c>
      <c r="B22783" t="inlineStr">
        <is>
          <t>Hamidi Lost Paradise Sublime Cherry Eau De Parfum Spray 100ml</t>
        </is>
      </c>
      <c r="C22783" t="inlineStr">
        <is>
          <t>Eau De Parfum</t>
        </is>
      </c>
      <c r="D22783" t="inlineStr">
        <is>
          <t>Hamidi</t>
        </is>
      </c>
      <c r="E22783" t="n">
        <v>13.53</v>
      </c>
      <c r="F22783" t="n">
        <v>1</v>
      </c>
      <c r="G22783" t="n">
        <v>5</v>
      </c>
      <c r="H22783" s="5">
        <f>HYPERLINK("https://api.qogita.com/variants/link/6294015180527/", "View Product")</f>
        <v/>
      </c>
    </row>
    <row r="22784">
      <c r="A22784" t="inlineStr">
        <is>
          <t>6294015180985</t>
        </is>
      </c>
      <c r="B22784" t="inlineStr">
        <is>
          <t>Armaf The Pride Of Armaf Rose Oud Eau De Parfum Spray 100ml</t>
        </is>
      </c>
      <c r="C22784" t="inlineStr">
        <is>
          <t>Eau De Parfum</t>
        </is>
      </c>
      <c r="D22784" t="inlineStr">
        <is>
          <t>Armaf</t>
        </is>
      </c>
      <c r="E22784" t="n">
        <v>20.87</v>
      </c>
      <c r="F22784" t="n">
        <v>1</v>
      </c>
      <c r="G22784" t="n">
        <v>34</v>
      </c>
      <c r="H22784" s="5">
        <f>HYPERLINK("https://api.qogita.com/variants/link/6294015180985/", "View Product")</f>
        <v/>
      </c>
    </row>
    <row r="22785">
      <c r="A22785" t="inlineStr">
        <is>
          <t>6294015181340</t>
        </is>
      </c>
      <c r="B22785" t="inlineStr">
        <is>
          <t>Armaf The Lion's Club Rugir Eau De Parfum 100ml</t>
        </is>
      </c>
      <c r="C22785" t="inlineStr">
        <is>
          <t>Eau De Parfum</t>
        </is>
      </c>
      <c r="D22785" t="inlineStr">
        <is>
          <t>Armaf</t>
        </is>
      </c>
      <c r="E22785" t="n">
        <v>29.09</v>
      </c>
      <c r="F22785" t="n">
        <v>1</v>
      </c>
      <c r="G22785" t="n">
        <v>21</v>
      </c>
      <c r="H22785" s="5">
        <f>HYPERLINK("https://api.qogita.com/variants/link/6294015181340/", "View Product")</f>
        <v/>
      </c>
    </row>
    <row r="22786">
      <c r="A22786" t="inlineStr">
        <is>
          <t>6294015181845</t>
        </is>
      </c>
      <c r="B22786" t="inlineStr">
        <is>
          <t>Armaf Eter Magical Oud Eau De Parfum 3.4 oz 100 ml</t>
        </is>
      </c>
      <c r="C22786" t="inlineStr">
        <is>
          <t>Eau De Parfum</t>
        </is>
      </c>
      <c r="D22786" t="inlineStr">
        <is>
          <t>Armaf</t>
        </is>
      </c>
      <c r="E22786" t="n">
        <v>26.51</v>
      </c>
      <c r="F22786" t="n">
        <v>1</v>
      </c>
      <c r="G22786" t="n">
        <v>7</v>
      </c>
      <c r="H22786" s="5">
        <f>HYPERLINK("https://api.qogita.com/variants/link/6294015181845/", "View Product")</f>
        <v/>
      </c>
    </row>
    <row r="22787">
      <c r="A22787" t="inlineStr">
        <is>
          <t>6294015181913</t>
        </is>
      </c>
      <c r="B22787" t="inlineStr">
        <is>
          <t>Armaf Club De Nuit Precieux Extract De Parfum 55ml</t>
        </is>
      </c>
      <c r="C22787" t="inlineStr">
        <is>
          <t>Extrait De Parfum</t>
        </is>
      </c>
      <c r="D22787" t="inlineStr">
        <is>
          <t>Armaf</t>
        </is>
      </c>
      <c r="E22787" t="n">
        <v>37.05</v>
      </c>
      <c r="F22787" t="n">
        <v>1</v>
      </c>
      <c r="G22787" t="n">
        <v>1726</v>
      </c>
      <c r="H22787" s="5">
        <f>HYPERLINK("https://api.qogita.com/variants/link/6294015181913/", "View Product")</f>
        <v/>
      </c>
    </row>
    <row r="22788">
      <c r="A22788" t="inlineStr">
        <is>
          <t>6294015182095</t>
        </is>
      </c>
      <c r="B22788" t="inlineStr">
        <is>
          <t>Hamidi Zahra 80ml Eau De Parfum</t>
        </is>
      </c>
      <c r="C22788" t="inlineStr">
        <is>
          <t>Eau De Parfum</t>
        </is>
      </c>
      <c r="D22788" t="inlineStr">
        <is>
          <t>Hamidi</t>
        </is>
      </c>
      <c r="E22788" t="n">
        <v>9.82</v>
      </c>
      <c r="F22788" t="n">
        <v>1</v>
      </c>
      <c r="G22788" t="n">
        <v>43</v>
      </c>
      <c r="H22788" s="5">
        <f>HYPERLINK("https://api.qogita.com/variants/link/6294015182095/", "View Product")</f>
        <v/>
      </c>
    </row>
    <row r="22789">
      <c r="A22789" t="inlineStr">
        <is>
          <t>6294015182347</t>
        </is>
      </c>
      <c r="B22789" t="inlineStr">
        <is>
          <t>Hamidi Obsidian Bloom Eau De Parfum 100ml</t>
        </is>
      </c>
      <c r="C22789" t="inlineStr">
        <is>
          <t>Eau De Parfum</t>
        </is>
      </c>
      <c r="D22789" t="inlineStr">
        <is>
          <t>Hamidi</t>
        </is>
      </c>
      <c r="E22789" t="n">
        <v>9.82</v>
      </c>
      <c r="F22789" t="n">
        <v>1</v>
      </c>
      <c r="G22789" t="n">
        <v>43</v>
      </c>
      <c r="H22789" s="5">
        <f>HYPERLINK("https://api.qogita.com/variants/link/6294015182347/", "View Product")</f>
        <v/>
      </c>
    </row>
    <row r="22790">
      <c r="A22790" t="inlineStr">
        <is>
          <t>6294015183399</t>
        </is>
      </c>
      <c r="B22790" t="inlineStr">
        <is>
          <t>Armaf Art Du Parfum Abstracto Eau De Parfum 100ml</t>
        </is>
      </c>
      <c r="C22790" t="inlineStr">
        <is>
          <t>Eau De Parfum</t>
        </is>
      </c>
      <c r="D22790" t="inlineStr">
        <is>
          <t>Armaf</t>
        </is>
      </c>
      <c r="E22790" t="n">
        <v>22.64</v>
      </c>
      <c r="F22790" t="n">
        <v>1</v>
      </c>
      <c r="G22790" t="n">
        <v>2</v>
      </c>
      <c r="H22790" s="5">
        <f>HYPERLINK("https://api.qogita.com/variants/link/6294015183399/", "View Product")</f>
        <v/>
      </c>
    </row>
    <row r="22791">
      <c r="A22791" t="inlineStr">
        <is>
          <t>6294015183641</t>
        </is>
      </c>
      <c r="B22791" t="inlineStr">
        <is>
          <t>Armaf Infinity Silver Eau De Parfum 105 Milliliters</t>
        </is>
      </c>
      <c r="C22791" t="inlineStr">
        <is>
          <t>Eau De Parfum</t>
        </is>
      </c>
      <c r="D22791" t="inlineStr">
        <is>
          <t>Armaf</t>
        </is>
      </c>
      <c r="E22791" t="n">
        <v>33.13</v>
      </c>
      <c r="F22791" t="n">
        <v>1</v>
      </c>
      <c r="G22791" t="n">
        <v>8</v>
      </c>
      <c r="H22791" s="5">
        <f>HYPERLINK("https://api.qogita.com/variants/link/6294015183641/", "View Product")</f>
        <v/>
      </c>
    </row>
    <row r="22792">
      <c r="A22792" t="inlineStr">
        <is>
          <t>6294015184143</t>
        </is>
      </c>
      <c r="B22792" t="inlineStr">
        <is>
          <t>An Island By Risala Unisex 3.4 Oz EDP Spray</t>
        </is>
      </c>
      <c r="C22792" t="inlineStr">
        <is>
          <t>Eau De Parfum</t>
        </is>
      </c>
      <c r="D22792" t="inlineStr">
        <is>
          <t>Risala</t>
        </is>
      </c>
      <c r="E22792" t="n">
        <v>13.94</v>
      </c>
      <c r="F22792" t="n">
        <v>1</v>
      </c>
      <c r="G22792" t="n">
        <v>28</v>
      </c>
      <c r="H22792" s="5">
        <f>HYPERLINK("https://api.qogita.com/variants/link/6294015184143/", "View Product")</f>
        <v/>
      </c>
    </row>
    <row r="22793">
      <c r="A22793" t="inlineStr">
        <is>
          <t>6294015184150</t>
        </is>
      </c>
      <c r="B22793" t="inlineStr">
        <is>
          <t>12 O Clock By Risala For Men 3.4 Oz EDP Spray</t>
        </is>
      </c>
      <c r="C22793" t="inlineStr">
        <is>
          <t>Eau De Parfum</t>
        </is>
      </c>
      <c r="D22793" t="inlineStr">
        <is>
          <t>Risala</t>
        </is>
      </c>
      <c r="E22793" t="n">
        <v>13.94</v>
      </c>
      <c r="F22793" t="n">
        <v>1</v>
      </c>
      <c r="G22793" t="n">
        <v>25</v>
      </c>
      <c r="H22793" s="5">
        <f>HYPERLINK("https://api.qogita.com/variants/link/6294015184150/", "View Product")</f>
        <v/>
      </c>
    </row>
    <row r="22794">
      <c r="A22794" t="inlineStr">
        <is>
          <t>6294015184198</t>
        </is>
      </c>
      <c r="B22794" t="inlineStr">
        <is>
          <t>Special Blend by Risala Unisex 3.4 Oz EDP Spray</t>
        </is>
      </c>
      <c r="C22794" t="inlineStr">
        <is>
          <t>Eau De Parfum</t>
        </is>
      </c>
      <c r="D22794" t="inlineStr">
        <is>
          <t>Risala</t>
        </is>
      </c>
      <c r="E22794" t="n">
        <v>13.28</v>
      </c>
      <c r="F22794" t="n">
        <v>1</v>
      </c>
      <c r="G22794" t="n">
        <v>33</v>
      </c>
      <c r="H22794" s="5">
        <f>HYPERLINK("https://api.qogita.com/variants/link/6294015184198/", "View Product")</f>
        <v/>
      </c>
    </row>
    <row r="22795">
      <c r="A22795" t="inlineStr">
        <is>
          <t>6294015185027</t>
        </is>
      </c>
      <c r="B22795" t="inlineStr">
        <is>
          <t>Lets Be Strong By Risala For Men 3.4 Oz EDP Spray</t>
        </is>
      </c>
      <c r="C22795" t="inlineStr">
        <is>
          <t>Eau De Parfum</t>
        </is>
      </c>
      <c r="D22795" t="inlineStr">
        <is>
          <t>Risala</t>
        </is>
      </c>
      <c r="E22795" t="n">
        <v>13.94</v>
      </c>
      <c r="F22795" t="n">
        <v>1</v>
      </c>
      <c r="G22795" t="n">
        <v>40</v>
      </c>
      <c r="H22795" s="5">
        <f>HYPERLINK("https://api.qogita.com/variants/link/6294015185027/", "View Product")</f>
        <v/>
      </c>
    </row>
    <row r="22796">
      <c r="A22796" t="inlineStr">
        <is>
          <t>6294015185041</t>
        </is>
      </c>
      <c r="B22796" t="inlineStr">
        <is>
          <t>Valley of Gold by Risala for Men 3.4 Oz EDP Spray</t>
        </is>
      </c>
      <c r="C22796" t="inlineStr">
        <is>
          <t>Eau De Parfum</t>
        </is>
      </c>
      <c r="D22796" t="inlineStr">
        <is>
          <t>Risala</t>
        </is>
      </c>
      <c r="E22796" t="n">
        <v>13.94</v>
      </c>
      <c r="F22796" t="n">
        <v>1</v>
      </c>
      <c r="G22796" t="n">
        <v>36</v>
      </c>
      <c r="H22796" s="5">
        <f>HYPERLINK("https://api.qogita.com/variants/link/6294015185041/", "View Product")</f>
        <v/>
      </c>
    </row>
    <row r="22797">
      <c r="A22797" t="inlineStr">
        <is>
          <t>6294015188202</t>
        </is>
      </c>
      <c r="B22797" t="inlineStr">
        <is>
          <t>Armaf Check Mate Queen Eau De Parfum 100ml</t>
        </is>
      </c>
      <c r="C22797" t="inlineStr">
        <is>
          <t>Eau De Parfum</t>
        </is>
      </c>
      <c r="D22797" t="inlineStr">
        <is>
          <t>Armaf</t>
        </is>
      </c>
      <c r="E22797" t="n">
        <v>24.69</v>
      </c>
      <c r="F22797" t="n">
        <v>1</v>
      </c>
      <c r="G22797" t="n">
        <v>72</v>
      </c>
      <c r="H22797" s="5">
        <f>HYPERLINK("https://api.qogita.com/variants/link/6294015188202/", "View Product")</f>
        <v/>
      </c>
    </row>
    <row r="22798">
      <c r="A22798" t="inlineStr">
        <is>
          <t>6294015189568</t>
        </is>
      </c>
      <c r="B22798" t="inlineStr">
        <is>
          <t>Armaf Odyssey Homme White Edition Eau De Parfum 60ml By Armaf</t>
        </is>
      </c>
      <c r="C22798" t="inlineStr">
        <is>
          <t>Eau De Parfum</t>
        </is>
      </c>
      <c r="D22798" t="inlineStr">
        <is>
          <t>Armaf</t>
        </is>
      </c>
      <c r="E22798" t="n">
        <v>11.64</v>
      </c>
      <c r="F22798" t="n">
        <v>1</v>
      </c>
      <c r="G22798" t="n">
        <v>14</v>
      </c>
      <c r="H22798" s="5">
        <f>HYPERLINK("https://api.qogita.com/variants/link/6294015189568/", "View Product")</f>
        <v/>
      </c>
    </row>
    <row r="22799">
      <c r="A22799" t="inlineStr">
        <is>
          <t>6294015190601</t>
        </is>
      </c>
      <c r="B22799" t="inlineStr">
        <is>
          <t>Risala Elixir by Risala for Men 3.6 Oz EDP Spray</t>
        </is>
      </c>
      <c r="C22799" t="inlineStr">
        <is>
          <t>Eau De Parfum</t>
        </is>
      </c>
      <c r="D22799" t="inlineStr">
        <is>
          <t>Risala</t>
        </is>
      </c>
      <c r="E22799" t="n">
        <v>12.6</v>
      </c>
      <c r="F22799" t="n">
        <v>1</v>
      </c>
      <c r="G22799" t="n">
        <v>28</v>
      </c>
      <c r="H22799" s="5">
        <f>HYPERLINK("https://api.qogita.com/variants/link/6294015190601/", "View Product")</f>
        <v/>
      </c>
    </row>
    <row r="22800">
      <c r="A22800" t="inlineStr">
        <is>
          <t>6294015193084</t>
        </is>
      </c>
      <c r="B22800" t="inlineStr">
        <is>
          <t>Risala Ehsas Joy Eau De Parfum 100 Ml</t>
        </is>
      </c>
      <c r="C22800" t="inlineStr">
        <is>
          <t>Eau De Parfum</t>
        </is>
      </c>
      <c r="D22800" t="inlineStr">
        <is>
          <t>Risala</t>
        </is>
      </c>
      <c r="E22800" t="n">
        <v>14.61</v>
      </c>
      <c r="F22800" t="n">
        <v>1</v>
      </c>
      <c r="G22800" t="n">
        <v>36</v>
      </c>
      <c r="H22800" s="5">
        <f>HYPERLINK("https://api.qogita.com/variants/link/6294015193084/", "View Product")</f>
        <v/>
      </c>
    </row>
    <row r="22801">
      <c r="A22801" t="inlineStr">
        <is>
          <t>6294015196412</t>
        </is>
      </c>
      <c r="B22801" t="inlineStr">
        <is>
          <t>Armaf Connoisseur For Him Eau De Parfum 100ml</t>
        </is>
      </c>
      <c r="C22801" t="inlineStr">
        <is>
          <t>Eau De Parfum</t>
        </is>
      </c>
      <c r="D22801" t="inlineStr">
        <is>
          <t>Armaf</t>
        </is>
      </c>
      <c r="E22801" t="n">
        <v>21.46</v>
      </c>
      <c r="F22801" t="n">
        <v>1</v>
      </c>
      <c r="G22801" t="n">
        <v>94</v>
      </c>
      <c r="H22801" s="5">
        <f>HYPERLINK("https://api.qogita.com/variants/link/6294015196412/", "View Product")</f>
        <v/>
      </c>
    </row>
    <row r="22802">
      <c r="A22802" t="inlineStr">
        <is>
          <t>6294015196450</t>
        </is>
      </c>
      <c r="B22802" t="inlineStr">
        <is>
          <t>Armaf Club De Nuit Lionheart Eau De Toilette 100ml For Men</t>
        </is>
      </c>
      <c r="C22802" t="inlineStr">
        <is>
          <t>Eau De Toilette</t>
        </is>
      </c>
      <c r="D22802" t="inlineStr">
        <is>
          <t>Armaf</t>
        </is>
      </c>
      <c r="E22802" t="n">
        <v>29.45</v>
      </c>
      <c r="F22802" t="n">
        <v>1</v>
      </c>
      <c r="G22802" t="n">
        <v>22</v>
      </c>
      <c r="H22802" s="5">
        <f>HYPERLINK("https://api.qogita.com/variants/link/6294015196450/", "View Product")</f>
        <v/>
      </c>
    </row>
    <row r="22803">
      <c r="A22803" t="inlineStr">
        <is>
          <t>6294015196696</t>
        </is>
      </c>
      <c r="B22803" t="inlineStr">
        <is>
          <t>Armaf Magnificent Satin Pour Homme Eau De Parfum 100ml</t>
        </is>
      </c>
      <c r="C22803" t="inlineStr">
        <is>
          <t>Eau De Parfum</t>
        </is>
      </c>
      <c r="D22803" t="inlineStr">
        <is>
          <t>Armaf</t>
        </is>
      </c>
      <c r="E22803" t="n">
        <v>22.59</v>
      </c>
      <c r="F22803" t="n">
        <v>1</v>
      </c>
      <c r="G22803" t="n">
        <v>22</v>
      </c>
      <c r="H22803" s="5">
        <f>HYPERLINK("https://api.qogita.com/variants/link/6294015196696/", "View Product")</f>
        <v/>
      </c>
    </row>
    <row r="22804">
      <c r="A22804" t="inlineStr">
        <is>
          <t>6294015196702</t>
        </is>
      </c>
      <c r="B22804" t="inlineStr">
        <is>
          <t>Armaf Jardin Magnificent Pour Femme Eau De Parfum 100 Milliliters</t>
        </is>
      </c>
      <c r="C22804" t="inlineStr">
        <is>
          <t>Eau De Parfum</t>
        </is>
      </c>
      <c r="D22804" t="inlineStr">
        <is>
          <t>Armaf</t>
        </is>
      </c>
      <c r="E22804" t="n">
        <v>25.84</v>
      </c>
      <c r="F22804" t="n">
        <v>1</v>
      </c>
      <c r="G22804" t="n">
        <v>18</v>
      </c>
      <c r="H22804" s="5">
        <f>HYPERLINK("https://api.qogita.com/variants/link/6294015196702/", "View Product")</f>
        <v/>
      </c>
    </row>
    <row r="22805">
      <c r="A22805" t="inlineStr">
        <is>
          <t>6294015198058</t>
        </is>
      </c>
      <c r="B22805" t="inlineStr">
        <is>
          <t>Hamidi Kunouz Al I'Ter 100ml Eau De Parfum</t>
        </is>
      </c>
      <c r="C22805" t="inlineStr">
        <is>
          <t>Eau De Parfum</t>
        </is>
      </c>
      <c r="D22805" t="inlineStr">
        <is>
          <t>Hamidi</t>
        </is>
      </c>
      <c r="E22805" t="n">
        <v>18.34</v>
      </c>
      <c r="F22805" t="n">
        <v>1</v>
      </c>
      <c r="G22805" t="n">
        <v>42</v>
      </c>
      <c r="H22805" s="5">
        <f>HYPERLINK("https://api.qogita.com/variants/link/6294015198058/", "View Product")</f>
        <v/>
      </c>
    </row>
    <row r="22806">
      <c r="A22806" t="inlineStr">
        <is>
          <t>6294015199123</t>
        </is>
      </c>
      <c r="B22806" t="inlineStr">
        <is>
          <t>Hamidi Junoon 100ml Eau De Parfum</t>
        </is>
      </c>
      <c r="C22806" t="inlineStr">
        <is>
          <t>Eau De Parfum</t>
        </is>
      </c>
      <c r="D22806" t="inlineStr">
        <is>
          <t>Hamidi</t>
        </is>
      </c>
      <c r="E22806" t="n">
        <v>18.34</v>
      </c>
      <c r="F22806" t="n">
        <v>1</v>
      </c>
      <c r="G22806" t="n">
        <v>41</v>
      </c>
      <c r="H22806" s="5">
        <f>HYPERLINK("https://api.qogita.com/variants/link/6294015199123/", "View Product")</f>
        <v/>
      </c>
    </row>
    <row r="22807">
      <c r="A22807" t="inlineStr">
        <is>
          <t>6294018401155</t>
        </is>
      </c>
      <c r="B22807" t="inlineStr">
        <is>
          <t>Huda Beauty Glowish Sheer Concealer - 105 Ml</t>
        </is>
      </c>
      <c r="C22807" t="inlineStr">
        <is>
          <t>Concealer</t>
        </is>
      </c>
      <c r="D22807" t="inlineStr">
        <is>
          <t>Huda Beauty</t>
        </is>
      </c>
      <c r="E22807" t="n">
        <v>23.99</v>
      </c>
      <c r="F22807" t="n">
        <v>1</v>
      </c>
      <c r="G22807" t="n">
        <v>7</v>
      </c>
      <c r="H22807" s="5">
        <f>HYPERLINK("https://api.qogita.com/variants/link/6294018401155/", "View Product")</f>
        <v/>
      </c>
    </row>
    <row r="22808">
      <c r="A22808" t="inlineStr">
        <is>
          <t>6294018401186</t>
        </is>
      </c>
      <c r="B22808" t="inlineStr">
        <is>
          <t>Huda Beauty Glowish Sheer Concealer - 105 Ml</t>
        </is>
      </c>
      <c r="C22808" t="inlineStr">
        <is>
          <t>Concealer</t>
        </is>
      </c>
      <c r="D22808" t="inlineStr">
        <is>
          <t>Huda Beauty</t>
        </is>
      </c>
      <c r="E22808" t="n">
        <v>23.99</v>
      </c>
      <c r="F22808" t="n">
        <v>1</v>
      </c>
      <c r="G22808" t="n">
        <v>7</v>
      </c>
      <c r="H22808" s="5">
        <f>HYPERLINK("https://api.qogita.com/variants/link/6294018401186/", "View Product")</f>
        <v/>
      </c>
    </row>
    <row r="22809">
      <c r="A22809" t="inlineStr">
        <is>
          <t>6294018402107</t>
        </is>
      </c>
      <c r="B22809" t="inlineStr">
        <is>
          <t>Huda Beauty Glowish Super Jelly Lip Balm 25 G</t>
        </is>
      </c>
      <c r="C22809" t="inlineStr">
        <is>
          <t>Lip Balm</t>
        </is>
      </c>
      <c r="D22809" t="inlineStr">
        <is>
          <t>Huda Beauty</t>
        </is>
      </c>
      <c r="E22809" t="n">
        <v>15.6</v>
      </c>
      <c r="F22809" t="n">
        <v>1</v>
      </c>
      <c r="G22809" t="n">
        <v>19</v>
      </c>
      <c r="H22809" s="5">
        <f>HYPERLINK("https://api.qogita.com/variants/link/6294018402107/", "View Product")</f>
        <v/>
      </c>
    </row>
    <row r="22810">
      <c r="A22810" t="inlineStr">
        <is>
          <t>6294018402114</t>
        </is>
      </c>
      <c r="B22810" t="inlineStr">
        <is>
          <t>Huda Beauty Glowish Super Jelly Lip Balm 25 G</t>
        </is>
      </c>
      <c r="C22810" t="inlineStr">
        <is>
          <t>Lip Balm</t>
        </is>
      </c>
      <c r="D22810" t="inlineStr">
        <is>
          <t>Huda Beauty</t>
        </is>
      </c>
      <c r="E22810" t="n">
        <v>15.6</v>
      </c>
      <c r="F22810" t="n">
        <v>1</v>
      </c>
      <c r="G22810" t="n">
        <v>23</v>
      </c>
      <c r="H22810" s="5">
        <f>HYPERLINK("https://api.qogita.com/variants/link/6294018402114/", "View Product")</f>
        <v/>
      </c>
    </row>
    <row r="22811">
      <c r="A22811" t="inlineStr">
        <is>
          <t>6294018402121</t>
        </is>
      </c>
      <c r="B22811" t="inlineStr">
        <is>
          <t>Huda Beauty Glowish Super Jelly Lip Balm 25 G</t>
        </is>
      </c>
      <c r="C22811" t="inlineStr">
        <is>
          <t>Lip Balm</t>
        </is>
      </c>
      <c r="D22811" t="inlineStr">
        <is>
          <t>Huda Beauty</t>
        </is>
      </c>
      <c r="E22811" t="n">
        <v>15.6</v>
      </c>
      <c r="F22811" t="n">
        <v>1</v>
      </c>
      <c r="G22811" t="n">
        <v>18</v>
      </c>
      <c r="H22811" s="5">
        <f>HYPERLINK("https://api.qogita.com/variants/link/6294018402121/", "View Product")</f>
        <v/>
      </c>
    </row>
    <row r="22812">
      <c r="A22812" t="inlineStr">
        <is>
          <t>6294018402152</t>
        </is>
      </c>
      <c r="B22812" t="inlineStr">
        <is>
          <t>Huda Beauty Glowish Micro Mini Eyeshadow Palette - 405 Grams</t>
        </is>
      </c>
      <c r="C22812" t="inlineStr">
        <is>
          <t>Eye Sets &amp; Pallets</t>
        </is>
      </c>
      <c r="D22812" t="inlineStr">
        <is>
          <t>Huda Beauty</t>
        </is>
      </c>
      <c r="E22812" t="n">
        <v>15.98</v>
      </c>
      <c r="F22812" t="n">
        <v>1</v>
      </c>
      <c r="G22812" t="n">
        <v>2</v>
      </c>
      <c r="H22812" s="5">
        <f>HYPERLINK("https://api.qogita.com/variants/link/6294018402152/", "View Product")</f>
        <v/>
      </c>
    </row>
    <row r="22813">
      <c r="A22813" t="inlineStr">
        <is>
          <t>6294019001309</t>
        </is>
      </c>
      <c r="B22813" t="inlineStr">
        <is>
          <t>Verato White Musk Women's Eau De Parfum 3.4 Fl. Oz 100ml</t>
        </is>
      </c>
      <c r="C22813" t="inlineStr">
        <is>
          <t>Eau De Parfum</t>
        </is>
      </c>
      <c r="D22813" t="inlineStr">
        <is>
          <t>Mirada</t>
        </is>
      </c>
      <c r="E22813" t="n">
        <v>13.17</v>
      </c>
      <c r="F22813" t="n">
        <v>1</v>
      </c>
      <c r="G22813" t="n">
        <v>20</v>
      </c>
      <c r="H22813" s="5">
        <f>HYPERLINK("https://api.qogita.com/variants/link/6294019001309/", "View Product")</f>
        <v/>
      </c>
    </row>
    <row r="22814">
      <c r="A22814" t="inlineStr">
        <is>
          <t>6294019014996</t>
        </is>
      </c>
      <c r="B22814" t="inlineStr">
        <is>
          <t>Highfly Al Fursan Unisex Eau De Parfum 3.4 Oz 100ml</t>
        </is>
      </c>
      <c r="C22814" t="inlineStr">
        <is>
          <t>Eau De Parfum</t>
        </is>
      </c>
      <c r="D22814" t="inlineStr">
        <is>
          <t>Falcone</t>
        </is>
      </c>
      <c r="E22814" t="n">
        <v>22.84</v>
      </c>
      <c r="F22814" t="n">
        <v>1</v>
      </c>
      <c r="G22814" t="n">
        <v>13</v>
      </c>
      <c r="H22814" s="5">
        <f>HYPERLINK("https://api.qogita.com/variants/link/6294019014996/", "View Product")</f>
        <v/>
      </c>
    </row>
    <row r="22815">
      <c r="A22815" t="inlineStr">
        <is>
          <t>6294019015122</t>
        </is>
      </c>
      <c r="B22815" t="inlineStr">
        <is>
          <t>Verato Sport Eau De Parfum 100ml</t>
        </is>
      </c>
      <c r="C22815" t="inlineStr">
        <is>
          <t>Eau De Parfum</t>
        </is>
      </c>
      <c r="D22815" t="inlineStr">
        <is>
          <t>Mirada</t>
        </is>
      </c>
      <c r="E22815" t="n">
        <v>13.17</v>
      </c>
      <c r="F22815" t="n">
        <v>1</v>
      </c>
      <c r="G22815" t="n">
        <v>19</v>
      </c>
      <c r="H22815" s="5">
        <f>HYPERLINK("https://api.qogita.com/variants/link/6294019015122/", "View Product")</f>
        <v/>
      </c>
    </row>
    <row r="22816">
      <c r="A22816" t="inlineStr">
        <is>
          <t>6294019015146</t>
        </is>
      </c>
      <c r="B22816" t="inlineStr">
        <is>
          <t>Falcone Jasper Eau de Parfum 3.4fl oz 100ml</t>
        </is>
      </c>
      <c r="C22816" t="inlineStr">
        <is>
          <t>Eau De Parfum</t>
        </is>
      </c>
      <c r="D22816" t="inlineStr">
        <is>
          <t>Le Falcone</t>
        </is>
      </c>
      <c r="E22816" t="n">
        <v>20.43</v>
      </c>
      <c r="F22816" t="n">
        <v>1</v>
      </c>
      <c r="G22816" t="n">
        <v>11</v>
      </c>
      <c r="H22816" s="5">
        <f>HYPERLINK("https://api.qogita.com/variants/link/6294019015146/", "View Product")</f>
        <v/>
      </c>
    </row>
    <row r="22817">
      <c r="A22817" t="inlineStr">
        <is>
          <t>6294019015153</t>
        </is>
      </c>
      <c r="B22817" t="inlineStr">
        <is>
          <t>Falcone Marbre Eau de Parfum 3.4fl oz 100ml</t>
        </is>
      </c>
      <c r="C22817" t="inlineStr">
        <is>
          <t>Eau De Parfum</t>
        </is>
      </c>
      <c r="D22817" t="inlineStr">
        <is>
          <t>Falcone</t>
        </is>
      </c>
      <c r="E22817" t="n">
        <v>20.43</v>
      </c>
      <c r="F22817" t="n">
        <v>1</v>
      </c>
      <c r="G22817" t="n">
        <v>12</v>
      </c>
      <c r="H22817" s="5">
        <f>HYPERLINK("https://api.qogita.com/variants/link/6294019015153/", "View Product")</f>
        <v/>
      </c>
    </row>
    <row r="22818">
      <c r="A22818" t="inlineStr">
        <is>
          <t>6294019015979</t>
        </is>
      </c>
      <c r="B22818" t="inlineStr">
        <is>
          <t>Edge Night Crystal Eau de Parfum for Women 3.4 fl oz 100ml</t>
        </is>
      </c>
      <c r="C22818" t="inlineStr">
        <is>
          <t>Eau De Parfum</t>
        </is>
      </c>
      <c r="D22818" t="inlineStr">
        <is>
          <t>Mirada</t>
        </is>
      </c>
      <c r="E22818" t="n">
        <v>12.89</v>
      </c>
      <c r="F22818" t="n">
        <v>1</v>
      </c>
      <c r="G22818" t="n">
        <v>21</v>
      </c>
      <c r="H22818" s="5">
        <f>HYPERLINK("https://api.qogita.com/variants/link/6294019015979/", "View Product")</f>
        <v/>
      </c>
    </row>
    <row r="22819">
      <c r="A22819" t="inlineStr">
        <is>
          <t>6294790437113</t>
        </is>
      </c>
      <c r="B22819" t="inlineStr">
        <is>
          <t>Emir Super Crush Eau De Parfum Spray 75ml</t>
        </is>
      </c>
      <c r="C22819" t="inlineStr">
        <is>
          <t>Eau De Parfum</t>
        </is>
      </c>
      <c r="D22819" t="inlineStr">
        <is>
          <t>Emir</t>
        </is>
      </c>
      <c r="E22819" t="n">
        <v>16.31</v>
      </c>
      <c r="F22819" t="n">
        <v>1</v>
      </c>
      <c r="G22819" t="n">
        <v>21</v>
      </c>
      <c r="H22819" s="5">
        <f>HYPERLINK("https://api.qogita.com/variants/link/6294790437113/", "View Product")</f>
        <v/>
      </c>
    </row>
    <row r="22820">
      <c r="A22820" t="inlineStr">
        <is>
          <t>6294790437519</t>
        </is>
      </c>
      <c r="B22820" t="inlineStr">
        <is>
          <t>Paris Corner Emir Cedrat Essence Eau De Parfum 75ml Spray</t>
        </is>
      </c>
      <c r="C22820" t="inlineStr">
        <is>
          <t>Eau De Parfum</t>
        </is>
      </c>
      <c r="D22820" t="inlineStr">
        <is>
          <t>Paris Corner</t>
        </is>
      </c>
      <c r="E22820" t="n">
        <v>15.18</v>
      </c>
      <c r="F22820" t="n">
        <v>1</v>
      </c>
      <c r="G22820" t="n">
        <v>41</v>
      </c>
      <c r="H22820" s="5">
        <f>HYPERLINK("https://api.qogita.com/variants/link/6294790437519/", "View Product")</f>
        <v/>
      </c>
    </row>
    <row r="22821">
      <c r="A22821" t="inlineStr">
        <is>
          <t>6295124002236</t>
        </is>
      </c>
      <c r="B22821" t="inlineStr">
        <is>
          <t>Swiss Arabian Kashkha 326 Eau de Parfum 50ml</t>
        </is>
      </c>
      <c r="C22821" t="inlineStr">
        <is>
          <t>Eau De Parfum</t>
        </is>
      </c>
      <c r="D22821" t="inlineStr">
        <is>
          <t>Swiss Arabian</t>
        </is>
      </c>
      <c r="E22821" t="n">
        <v>21.32</v>
      </c>
      <c r="F22821" t="n">
        <v>1</v>
      </c>
      <c r="G22821" t="n">
        <v>10</v>
      </c>
      <c r="H22821" s="5">
        <f>HYPERLINK("https://api.qogita.com/variants/link/6295124002236/", "View Product")</f>
        <v/>
      </c>
    </row>
    <row r="22822">
      <c r="A22822" t="inlineStr">
        <is>
          <t>6295124004636</t>
        </is>
      </c>
      <c r="B22822" t="inlineStr">
        <is>
          <t>Swiss Arabian Dehn el Ood Mubarak</t>
        </is>
      </c>
      <c r="C22822" t="inlineStr">
        <is>
          <t>Eau De Parfum</t>
        </is>
      </c>
      <c r="D22822" t="inlineStr">
        <is>
          <t>Swiss Arabian</t>
        </is>
      </c>
      <c r="E22822" t="n">
        <v>25.25</v>
      </c>
      <c r="F22822" t="n">
        <v>1</v>
      </c>
      <c r="G22822" t="n">
        <v>71</v>
      </c>
      <c r="H22822" s="5">
        <f>HYPERLINK("https://api.qogita.com/variants/link/6295124004636/", "View Product")</f>
        <v/>
      </c>
    </row>
    <row r="22823">
      <c r="A22823" t="inlineStr">
        <is>
          <t>6295124017414</t>
        </is>
      </c>
      <c r="B22823" t="inlineStr">
        <is>
          <t>Swiss Arabian Jamila Perfume Oil 15ml</t>
        </is>
      </c>
      <c r="C22823" t="inlineStr">
        <is>
          <t>Eau De Parfum</t>
        </is>
      </c>
      <c r="D22823" t="inlineStr">
        <is>
          <t>Swiss Arabian</t>
        </is>
      </c>
      <c r="E22823" t="n">
        <v>21.06</v>
      </c>
      <c r="F22823" t="n">
        <v>1</v>
      </c>
      <c r="G22823" t="n">
        <v>17</v>
      </c>
      <c r="H22823" s="5">
        <f>HYPERLINK("https://api.qogita.com/variants/link/6295124017414/", "View Product")</f>
        <v/>
      </c>
    </row>
    <row r="22824">
      <c r="A22824" t="inlineStr">
        <is>
          <t>6295124017469</t>
        </is>
      </c>
      <c r="B22824" t="inlineStr">
        <is>
          <t>Swiss Arabian Layali Perfume Oil 15ml</t>
        </is>
      </c>
      <c r="C22824" t="inlineStr">
        <is>
          <t>Eau De Parfum</t>
        </is>
      </c>
      <c r="D22824" t="inlineStr">
        <is>
          <t>Swiss Arabian</t>
        </is>
      </c>
      <c r="E22824" t="n">
        <v>14.38</v>
      </c>
      <c r="F22824" t="n">
        <v>1</v>
      </c>
      <c r="G22824" t="n">
        <v>125</v>
      </c>
      <c r="H22824" s="5">
        <f>HYPERLINK("https://api.qogita.com/variants/link/6295124017469/", "View Product")</f>
        <v/>
      </c>
    </row>
    <row r="22825">
      <c r="A22825" t="inlineStr">
        <is>
          <t>6295124018312</t>
        </is>
      </c>
      <c r="B22825" t="inlineStr">
        <is>
          <t>Swiss Arabian Attar Al Ghutra Eau De Parfum Spray 100ml</t>
        </is>
      </c>
      <c r="C22825" t="inlineStr">
        <is>
          <t>Eau De Parfum</t>
        </is>
      </c>
      <c r="D22825" t="inlineStr">
        <is>
          <t>Swiss Arabian</t>
        </is>
      </c>
      <c r="E22825" t="n">
        <v>48.46</v>
      </c>
      <c r="F22825" t="n">
        <v>1</v>
      </c>
      <c r="G22825" t="n">
        <v>7</v>
      </c>
      <c r="H22825" s="5">
        <f>HYPERLINK("https://api.qogita.com/variants/link/6295124018312/", "View Product")</f>
        <v/>
      </c>
    </row>
    <row r="22826">
      <c r="A22826" t="inlineStr">
        <is>
          <t>6295124025082</t>
        </is>
      </c>
      <c r="B22826" t="inlineStr">
        <is>
          <t>Swiss Arabian Noora Onyx Perfume Oil 20ml</t>
        </is>
      </c>
      <c r="C22826" t="inlineStr">
        <is>
          <t>Extrait De Parfum</t>
        </is>
      </c>
      <c r="D22826" t="inlineStr">
        <is>
          <t>Swiss Arabian</t>
        </is>
      </c>
      <c r="E22826" t="n">
        <v>15.22</v>
      </c>
      <c r="F22826" t="n">
        <v>1</v>
      </c>
      <c r="G22826" t="n">
        <v>5</v>
      </c>
      <c r="H22826" s="5">
        <f>HYPERLINK("https://api.qogita.com/variants/link/6295124025082/", "View Product")</f>
        <v/>
      </c>
    </row>
    <row r="22827">
      <c r="A22827" t="inlineStr">
        <is>
          <t>6295124026270</t>
        </is>
      </c>
      <c r="B22827" t="inlineStr">
        <is>
          <t>Swiss Arabian Shaghaf Oud Abyad Eau De Parfum 75ml Unisex Spray</t>
        </is>
      </c>
      <c r="C22827" t="inlineStr">
        <is>
          <t>Eau De Parfum</t>
        </is>
      </c>
      <c r="D22827" t="inlineStr">
        <is>
          <t>Swiss Arabian</t>
        </is>
      </c>
      <c r="E22827" t="n">
        <v>20.9</v>
      </c>
      <c r="F22827" t="n">
        <v>1</v>
      </c>
      <c r="G22827" t="n">
        <v>18</v>
      </c>
      <c r="H22827" s="5">
        <f>HYPERLINK("https://api.qogita.com/variants/link/6295124026270/", "View Product")</f>
        <v/>
      </c>
    </row>
    <row r="22828">
      <c r="A22828" t="inlineStr">
        <is>
          <t>6295124031069</t>
        </is>
      </c>
      <c r="B22828" t="inlineStr">
        <is>
          <t>Swiss Arabian Layali Rouge Perfume Oil 15ml</t>
        </is>
      </c>
      <c r="C22828" t="inlineStr">
        <is>
          <t>Eau De Parfum</t>
        </is>
      </c>
      <c r="D22828" t="inlineStr">
        <is>
          <t>Swiss Arabian</t>
        </is>
      </c>
      <c r="E22828" t="n">
        <v>14.38</v>
      </c>
      <c r="F22828" t="n">
        <v>1</v>
      </c>
      <c r="G22828" t="n">
        <v>24</v>
      </c>
      <c r="H22828" s="5">
        <f>HYPERLINK("https://api.qogita.com/variants/link/6295124031069/", "View Product")</f>
        <v/>
      </c>
    </row>
    <row r="22829">
      <c r="A22829" t="inlineStr">
        <is>
          <t>6295124031212</t>
        </is>
      </c>
      <c r="B22829" t="inlineStr">
        <is>
          <t>Swiss Arabian Royal Mystery 1070 Eau de Parfum 100ml</t>
        </is>
      </c>
      <c r="C22829" t="inlineStr">
        <is>
          <t>Eau De Parfum</t>
        </is>
      </c>
      <c r="D22829" t="inlineStr">
        <is>
          <t>Swiss Arabian</t>
        </is>
      </c>
      <c r="E22829" t="n">
        <v>33.25</v>
      </c>
      <c r="F22829" t="n">
        <v>1</v>
      </c>
      <c r="G22829" t="n">
        <v>14</v>
      </c>
      <c r="H22829" s="5">
        <f>HYPERLINK("https://api.qogita.com/variants/link/6295124031212/", "View Product")</f>
        <v/>
      </c>
    </row>
    <row r="22830">
      <c r="A22830" t="inlineStr">
        <is>
          <t>6295124031236</t>
        </is>
      </c>
      <c r="B22830" t="inlineStr">
        <is>
          <t>Swiss Arabian Miss Edge 984 100ml EDP</t>
        </is>
      </c>
      <c r="C22830" t="inlineStr">
        <is>
          <t>Eau De Parfum</t>
        </is>
      </c>
      <c r="D22830" t="inlineStr">
        <is>
          <t>Swiss Arabian</t>
        </is>
      </c>
      <c r="E22830" t="n">
        <v>21.69</v>
      </c>
      <c r="F22830" t="n">
        <v>1</v>
      </c>
      <c r="G22830" t="n">
        <v>10</v>
      </c>
      <c r="H22830" s="5">
        <f>HYPERLINK("https://api.qogita.com/variants/link/6295124031236/", "View Product")</f>
        <v/>
      </c>
    </row>
    <row r="22831">
      <c r="A22831" t="inlineStr">
        <is>
          <t>6295124031496</t>
        </is>
      </c>
      <c r="B22831" t="inlineStr">
        <is>
          <t>Swiss Arabian Khateer Eau De Parfum Spray 100ml</t>
        </is>
      </c>
      <c r="C22831" t="inlineStr">
        <is>
          <t>Eau De Parfum</t>
        </is>
      </c>
      <c r="D22831" t="inlineStr">
        <is>
          <t>Swiss Arabian</t>
        </is>
      </c>
      <c r="E22831" t="n">
        <v>14.93</v>
      </c>
      <c r="F22831" t="n">
        <v>1</v>
      </c>
      <c r="G22831" t="n">
        <v>6</v>
      </c>
      <c r="H22831" s="5">
        <f>HYPERLINK("https://api.qogita.com/variants/link/6295124031496/", "View Product")</f>
        <v/>
      </c>
    </row>
    <row r="22832">
      <c r="A22832" t="inlineStr">
        <is>
          <t>6295124039768</t>
        </is>
      </c>
      <c r="B22832" t="inlineStr">
        <is>
          <t>Swiss Arabian Rose 01 Hair Perfume for Women and Men 50ml</t>
        </is>
      </c>
      <c r="C22832" t="inlineStr">
        <is>
          <t>Eau De Parfum</t>
        </is>
      </c>
      <c r="D22832" t="inlineStr">
        <is>
          <t>Swiss Arabian</t>
        </is>
      </c>
      <c r="E22832" t="n">
        <v>23.71</v>
      </c>
      <c r="F22832" t="n">
        <v>1</v>
      </c>
      <c r="G22832" t="n">
        <v>32</v>
      </c>
      <c r="H22832" s="5">
        <f>HYPERLINK("https://api.qogita.com/variants/link/6295124039768/", "View Product")</f>
        <v/>
      </c>
    </row>
    <row r="22833">
      <c r="A22833" t="inlineStr">
        <is>
          <t>6295124045608</t>
        </is>
      </c>
      <c r="B22833" t="inlineStr">
        <is>
          <t>Swiss Arabian Shaghaf Oud Elixir Limited Edition 75ml</t>
        </is>
      </c>
      <c r="C22833" t="inlineStr">
        <is>
          <t>Eau De Parfum</t>
        </is>
      </c>
      <c r="D22833" t="inlineStr">
        <is>
          <t>Swiss Arabian</t>
        </is>
      </c>
      <c r="E22833" t="n">
        <v>43.91</v>
      </c>
      <c r="F22833" t="n">
        <v>1</v>
      </c>
      <c r="G22833" t="n">
        <v>40</v>
      </c>
      <c r="H22833" s="5">
        <f>HYPERLINK("https://api.qogita.com/variants/link/6295124045608/", "View Product")</f>
        <v/>
      </c>
    </row>
    <row r="22834">
      <c r="A22834" t="inlineStr">
        <is>
          <t>6295124046209</t>
        </is>
      </c>
      <c r="B22834" t="inlineStr">
        <is>
          <t>Swiss Arabian Bergamot and Cedarwood 1412 100ml EDP</t>
        </is>
      </c>
      <c r="C22834" t="inlineStr">
        <is>
          <t>Eau De Parfum</t>
        </is>
      </c>
      <c r="D22834" t="inlineStr">
        <is>
          <t>Swiss Arabian</t>
        </is>
      </c>
      <c r="E22834" t="n">
        <v>23.3</v>
      </c>
      <c r="F22834" t="n">
        <v>1</v>
      </c>
      <c r="G22834" t="n">
        <v>10</v>
      </c>
      <c r="H22834" s="5">
        <f>HYPERLINK("https://api.qogita.com/variants/link/6295124046209/", "View Product")</f>
        <v/>
      </c>
    </row>
    <row r="22835">
      <c r="A22835" t="inlineStr">
        <is>
          <t>6295124046315</t>
        </is>
      </c>
      <c r="B22835" t="inlineStr">
        <is>
          <t>Swiss Arabian Leather and Oud 1412 100ml EDP</t>
        </is>
      </c>
      <c r="C22835" t="inlineStr">
        <is>
          <t>Eau De Parfum</t>
        </is>
      </c>
      <c r="D22835" t="inlineStr">
        <is>
          <t>Swiss Arabian</t>
        </is>
      </c>
      <c r="E22835" t="n">
        <v>23.3</v>
      </c>
      <c r="F22835" t="n">
        <v>1</v>
      </c>
      <c r="G22835" t="n">
        <v>25</v>
      </c>
      <c r="H22835" s="5">
        <f>HYPERLINK("https://api.qogita.com/variants/link/6295124046315/", "View Product")</f>
        <v/>
      </c>
    </row>
    <row r="22836">
      <c r="A22836" t="inlineStr">
        <is>
          <t>6295124046346</t>
        </is>
      </c>
      <c r="B22836" t="inlineStr">
        <is>
          <t>Swiss Arabian Rose And Patchouli Eau De Parfum</t>
        </is>
      </c>
      <c r="C22836" t="inlineStr">
        <is>
          <t>Eau De Parfum</t>
        </is>
      </c>
      <c r="D22836" t="inlineStr">
        <is>
          <t>Swiss Arabian</t>
        </is>
      </c>
      <c r="E22836" t="n">
        <v>21.47</v>
      </c>
      <c r="F22836" t="n">
        <v>1</v>
      </c>
      <c r="G22836" t="n">
        <v>36</v>
      </c>
      <c r="H22836" s="5">
        <f>HYPERLINK("https://api.qogita.com/variants/link/6295124046346/", "View Product")</f>
        <v/>
      </c>
    </row>
    <row r="22837">
      <c r="A22837" t="inlineStr">
        <is>
          <t>6295199801116</t>
        </is>
      </c>
      <c r="B22837" t="inlineStr">
        <is>
          <t>Armaf Club De Nuit Maleka Eau De Parfum 105 Ml</t>
        </is>
      </c>
      <c r="C22837" t="inlineStr">
        <is>
          <t>Eau De Parfum</t>
        </is>
      </c>
      <c r="D22837" t="inlineStr">
        <is>
          <t>Armaf</t>
        </is>
      </c>
      <c r="E22837" t="n">
        <v>24.8</v>
      </c>
      <c r="F22837" t="n">
        <v>1</v>
      </c>
      <c r="G22837" t="n">
        <v>138</v>
      </c>
      <c r="H22837" s="5">
        <f>HYPERLINK("https://api.qogita.com/variants/link/6295199801116/", "View Product")</f>
        <v/>
      </c>
    </row>
    <row r="22838">
      <c r="A22838" t="inlineStr">
        <is>
          <t>6295253013424</t>
        </is>
      </c>
      <c r="B22838" t="inlineStr">
        <is>
          <t>Naseem Perfumes Signature Gold Alcohol-Free Eau De Parfum 100ml - Cinnamon</t>
        </is>
      </c>
      <c r="C22838" t="inlineStr">
        <is>
          <t>Eau De Parfum</t>
        </is>
      </c>
      <c r="D22838" t="inlineStr">
        <is>
          <t>Naseem</t>
        </is>
      </c>
      <c r="E22838" t="n">
        <v>19.78</v>
      </c>
      <c r="F22838" t="n">
        <v>1</v>
      </c>
      <c r="G22838" t="n">
        <v>39</v>
      </c>
      <c r="H22838" s="5">
        <f>HYPERLINK("https://api.qogita.com/variants/link/6295253013424/", "View Product")</f>
        <v/>
      </c>
    </row>
    <row r="22839">
      <c r="A22839" t="inlineStr">
        <is>
          <t>6295253014728</t>
        </is>
      </c>
      <c r="B22839" t="inlineStr">
        <is>
          <t>Naseem Flame Perfume for Men 80ml - Intense Passion and Refined Sophistication</t>
        </is>
      </c>
      <c r="C22839" t="inlineStr">
        <is>
          <t>Eau De Parfum</t>
        </is>
      </c>
      <c r="D22839" t="inlineStr">
        <is>
          <t>Naseem</t>
        </is>
      </c>
      <c r="E22839" t="n">
        <v>12.96</v>
      </c>
      <c r="F22839" t="n">
        <v>1</v>
      </c>
      <c r="G22839" t="n">
        <v>7</v>
      </c>
      <c r="H22839" s="5">
        <f>HYPERLINK("https://api.qogita.com/variants/link/6295253014728/", "View Product")</f>
        <v/>
      </c>
    </row>
    <row r="22840">
      <c r="A22840" t="inlineStr">
        <is>
          <t>6295253015923</t>
        </is>
      </c>
      <c r="B22840" t="inlineStr">
        <is>
          <t>Naseem Aqua Parfum Amani For Women, 80 Ml</t>
        </is>
      </c>
      <c r="C22840" t="inlineStr">
        <is>
          <t>Eau De Parfum</t>
        </is>
      </c>
      <c r="D22840" t="inlineStr">
        <is>
          <t>Naseem</t>
        </is>
      </c>
      <c r="E22840" t="n">
        <v>7.85</v>
      </c>
      <c r="F22840" t="n">
        <v>1</v>
      </c>
      <c r="G22840" t="n">
        <v>6</v>
      </c>
      <c r="H22840" s="5">
        <f>HYPERLINK("https://api.qogita.com/variants/link/6295253015923/", "View Product")</f>
        <v/>
      </c>
    </row>
    <row r="22841">
      <c r="A22841" t="inlineStr">
        <is>
          <t>6295253027926</t>
        </is>
      </c>
      <c r="B22841" t="inlineStr">
        <is>
          <t>Naseem Aqua Parfum Leen For Women, 100 Ml</t>
        </is>
      </c>
      <c r="C22841" t="inlineStr">
        <is>
          <t>Eau De Parfum</t>
        </is>
      </c>
      <c r="D22841" t="inlineStr">
        <is>
          <t>Naseem</t>
        </is>
      </c>
      <c r="E22841" t="n">
        <v>22.76</v>
      </c>
      <c r="F22841" t="n">
        <v>1</v>
      </c>
      <c r="G22841" t="n">
        <v>60</v>
      </c>
      <c r="H22841" s="5">
        <f>HYPERLINK("https://api.qogita.com/variants/link/6295253027926/", "View Product")</f>
        <v/>
      </c>
    </row>
    <row r="22842">
      <c r="A22842" t="inlineStr">
        <is>
          <t>6295253031923</t>
        </is>
      </c>
      <c r="B22842" t="inlineStr">
        <is>
          <t>Naseem Bravo Aqua Premium Eau De Parfum Alcohol-Free</t>
        </is>
      </c>
      <c r="C22842" t="inlineStr">
        <is>
          <t>Eau De Parfum</t>
        </is>
      </c>
      <c r="D22842" t="inlineStr">
        <is>
          <t>Naseem</t>
        </is>
      </c>
      <c r="E22842" t="n">
        <v>19.28</v>
      </c>
      <c r="F22842" t="n">
        <v>1</v>
      </c>
      <c r="G22842" t="n">
        <v>117</v>
      </c>
      <c r="H22842" s="5">
        <f>HYPERLINK("https://api.qogita.com/variants/link/6295253031923/", "View Product")</f>
        <v/>
      </c>
    </row>
    <row r="22843">
      <c r="A22843" t="inlineStr">
        <is>
          <t>6295253036621</t>
        </is>
      </c>
      <c r="B22843" t="inlineStr">
        <is>
          <t>Naseem Aqua Parfum Golden Woods Unisex 55 Ml</t>
        </is>
      </c>
      <c r="C22843" t="inlineStr">
        <is>
          <t>Eau De Parfum</t>
        </is>
      </c>
      <c r="D22843" t="inlineStr">
        <is>
          <t>Naseem</t>
        </is>
      </c>
      <c r="E22843" t="n">
        <v>6.79</v>
      </c>
      <c r="F22843" t="n">
        <v>1</v>
      </c>
      <c r="G22843" t="n">
        <v>5</v>
      </c>
      <c r="H22843" s="5">
        <f>HYPERLINK("https://api.qogita.com/variants/link/6295253036621/", "View Product")</f>
        <v/>
      </c>
    </row>
    <row r="22844">
      <c r="A22844" t="inlineStr">
        <is>
          <t>6295253037529</t>
        </is>
      </c>
      <c r="B22844" t="inlineStr">
        <is>
          <t>Naseem Sadaat Khalta Aqua Parfum Spray 80ml</t>
        </is>
      </c>
      <c r="C22844" t="inlineStr">
        <is>
          <t>Eau De Parfum</t>
        </is>
      </c>
      <c r="D22844" t="inlineStr">
        <is>
          <t>Naseem</t>
        </is>
      </c>
      <c r="E22844" t="n">
        <v>7.85</v>
      </c>
      <c r="F22844" t="n">
        <v>1</v>
      </c>
      <c r="G22844" t="n">
        <v>6</v>
      </c>
      <c r="H22844" s="5">
        <f>HYPERLINK("https://api.qogita.com/variants/link/6295253037529/", "View Product")</f>
        <v/>
      </c>
    </row>
    <row r="22845">
      <c r="A22845" t="inlineStr">
        <is>
          <t>6295253041229</t>
        </is>
      </c>
      <c r="B22845" t="inlineStr">
        <is>
          <t>Naseem Tasneem Khalta Aqua Parfum Spray 80ml</t>
        </is>
      </c>
      <c r="C22845" t="inlineStr">
        <is>
          <t>Eau De Parfum</t>
        </is>
      </c>
      <c r="D22845" t="inlineStr">
        <is>
          <t>Naseem</t>
        </is>
      </c>
      <c r="E22845" t="n">
        <v>7.85</v>
      </c>
      <c r="F22845" t="n">
        <v>1</v>
      </c>
      <c r="G22845" t="n">
        <v>4</v>
      </c>
      <c r="H22845" s="5">
        <f>HYPERLINK("https://api.qogita.com/variants/link/6295253041229/", "View Product")</f>
        <v/>
      </c>
    </row>
    <row r="22846">
      <c r="A22846" t="inlineStr">
        <is>
          <t>6295253045524</t>
        </is>
      </c>
      <c r="B22846" t="inlineStr">
        <is>
          <t>Naseem Hakam Aqua Perfume Subtle Tone Eau De Parfum for Men &amp; Women 50ml</t>
        </is>
      </c>
      <c r="C22846" t="inlineStr">
        <is>
          <t>Eau De Parfum</t>
        </is>
      </c>
      <c r="D22846" t="inlineStr">
        <is>
          <t>Naseem</t>
        </is>
      </c>
      <c r="E22846" t="n">
        <v>11.2</v>
      </c>
      <c r="F22846" t="n">
        <v>1</v>
      </c>
      <c r="G22846" t="n">
        <v>5</v>
      </c>
      <c r="H22846" s="5">
        <f>HYPERLINK("https://api.qogita.com/variants/link/6295253045524/", "View Product")</f>
        <v/>
      </c>
    </row>
    <row r="22847">
      <c r="A22847" t="inlineStr">
        <is>
          <t>6295253046422</t>
        </is>
      </c>
      <c r="B22847" t="inlineStr">
        <is>
          <t>Naseem Nadeen Aqua Alcohol-Free Water Perfume 80ml Unisex Eau De Parfum</t>
        </is>
      </c>
      <c r="C22847" t="inlineStr">
        <is>
          <t>Eau De Parfum</t>
        </is>
      </c>
      <c r="D22847" t="inlineStr">
        <is>
          <t>Naseem</t>
        </is>
      </c>
      <c r="E22847" t="n">
        <v>13.69</v>
      </c>
      <c r="F22847" t="n">
        <v>1</v>
      </c>
      <c r="G22847" t="n">
        <v>117</v>
      </c>
      <c r="H22847" s="5">
        <f>HYPERLINK("https://api.qogita.com/variants/link/6295253046422/", "View Product")</f>
        <v/>
      </c>
    </row>
    <row r="22848">
      <c r="A22848" t="inlineStr">
        <is>
          <t>6295253053628</t>
        </is>
      </c>
      <c r="B22848" t="inlineStr">
        <is>
          <t>Naseem Musk Safi Limited Edition Aqua Perfume 100ml</t>
        </is>
      </c>
      <c r="C22848" t="inlineStr">
        <is>
          <t>Eau De Parfum</t>
        </is>
      </c>
      <c r="D22848" t="inlineStr">
        <is>
          <t>Naseem</t>
        </is>
      </c>
      <c r="E22848" t="n">
        <v>21.02</v>
      </c>
      <c r="F22848" t="n">
        <v>1</v>
      </c>
      <c r="G22848" t="n">
        <v>58</v>
      </c>
      <c r="H22848" s="5">
        <f>HYPERLINK("https://api.qogita.com/variants/link/6295253053628/", "View Product")</f>
        <v/>
      </c>
    </row>
    <row r="22849">
      <c r="A22849" t="inlineStr">
        <is>
          <t>6295253054021</t>
        </is>
      </c>
      <c r="B22849" t="inlineStr">
        <is>
          <t>Naseem Lamsa Khalta Aqua Parfum Spray 80ml</t>
        </is>
      </c>
      <c r="C22849" t="inlineStr">
        <is>
          <t>Eau De Parfum</t>
        </is>
      </c>
      <c r="D22849" t="inlineStr">
        <is>
          <t>Naseem</t>
        </is>
      </c>
      <c r="E22849" t="n">
        <v>7.85</v>
      </c>
      <c r="F22849" t="n">
        <v>1</v>
      </c>
      <c r="G22849" t="n">
        <v>2</v>
      </c>
      <c r="H22849" s="5">
        <f>HYPERLINK("https://api.qogita.com/variants/link/6295253054021/", "View Product")</f>
        <v/>
      </c>
    </row>
    <row r="22850">
      <c r="A22850" t="inlineStr">
        <is>
          <t>6295253056025</t>
        </is>
      </c>
      <c r="B22850" t="inlineStr">
        <is>
          <t>Naseem Love Me Now Aqua Eau De Parfum for Men &amp; Women 75ml</t>
        </is>
      </c>
      <c r="C22850" t="inlineStr">
        <is>
          <t>Eau De Parfum</t>
        </is>
      </c>
      <c r="D22850" t="inlineStr">
        <is>
          <t>Naseem</t>
        </is>
      </c>
      <c r="E22850" t="n">
        <v>20.11</v>
      </c>
      <c r="F22850" t="n">
        <v>1</v>
      </c>
      <c r="G22850" t="n">
        <v>8</v>
      </c>
      <c r="H22850" s="5">
        <f>HYPERLINK("https://api.qogita.com/variants/link/6295253056025/", "View Product")</f>
        <v/>
      </c>
    </row>
    <row r="22851">
      <c r="A22851" t="inlineStr">
        <is>
          <t>6295253057329</t>
        </is>
      </c>
      <c r="B22851" t="inlineStr">
        <is>
          <t>Naseem Dunya Aqua Parfum Spray 100ml</t>
        </is>
      </c>
      <c r="C22851" t="inlineStr">
        <is>
          <t>Eau De Parfum</t>
        </is>
      </c>
      <c r="D22851" t="inlineStr">
        <is>
          <t>Naseem</t>
        </is>
      </c>
      <c r="E22851" t="n">
        <v>20.14</v>
      </c>
      <c r="F22851" t="n">
        <v>1</v>
      </c>
      <c r="G22851" t="n">
        <v>115</v>
      </c>
      <c r="H22851" s="5">
        <f>HYPERLINK("https://api.qogita.com/variants/link/6295253057329/", "View Product")</f>
        <v/>
      </c>
    </row>
    <row r="22852">
      <c r="A22852" t="inlineStr">
        <is>
          <t>6295253059026</t>
        </is>
      </c>
      <c r="B22852" t="inlineStr">
        <is>
          <t>Naseem Hypnotic Passion Aqua Parfum Spray 75ml</t>
        </is>
      </c>
      <c r="C22852" t="inlineStr">
        <is>
          <t>Eau De Parfum</t>
        </is>
      </c>
      <c r="D22852" t="inlineStr">
        <is>
          <t>Naseem</t>
        </is>
      </c>
      <c r="E22852" t="n">
        <v>20.11</v>
      </c>
      <c r="F22852" t="n">
        <v>1</v>
      </c>
      <c r="G22852" t="n">
        <v>5</v>
      </c>
      <c r="H22852" s="5">
        <f>HYPERLINK("https://api.qogita.com/variants/link/6295253059026/", "View Product")</f>
        <v/>
      </c>
    </row>
    <row r="22853">
      <c r="A22853" t="inlineStr">
        <is>
          <t>6295253063924</t>
        </is>
      </c>
      <c r="B22853" t="inlineStr">
        <is>
          <t>Naseem Aqua Parfum Marine Adventure For Men, 50 Ml</t>
        </is>
      </c>
      <c r="C22853" t="inlineStr">
        <is>
          <t>Eau De Parfum</t>
        </is>
      </c>
      <c r="D22853" t="inlineStr">
        <is>
          <t>Naseem</t>
        </is>
      </c>
      <c r="E22853" t="n">
        <v>14.76</v>
      </c>
      <c r="F22853" t="n">
        <v>1</v>
      </c>
      <c r="G22853" t="n">
        <v>11</v>
      </c>
      <c r="H22853" s="5">
        <f>HYPERLINK("https://api.qogita.com/variants/link/6295253063924/", "View Product")</f>
        <v/>
      </c>
    </row>
    <row r="22854">
      <c r="A22854" t="inlineStr">
        <is>
          <t>6295253082024</t>
        </is>
      </c>
      <c r="B22854" t="inlineStr">
        <is>
          <t>Naseem White Oud Eau De Parfum 50ml Luxurious and Long Lasting Unisex</t>
        </is>
      </c>
      <c r="C22854" t="inlineStr">
        <is>
          <t>Eau De Parfum</t>
        </is>
      </c>
      <c r="D22854" t="inlineStr">
        <is>
          <t>Naseem</t>
        </is>
      </c>
      <c r="E22854" t="n">
        <v>7.62</v>
      </c>
      <c r="F22854" t="n">
        <v>1</v>
      </c>
      <c r="G22854" t="n">
        <v>7</v>
      </c>
      <c r="H22854" s="5">
        <f>HYPERLINK("https://api.qogita.com/variants/link/6295253082024/", "View Product")</f>
        <v/>
      </c>
    </row>
    <row r="22855">
      <c r="A22855" t="inlineStr">
        <is>
          <t>6295253083922</t>
        </is>
      </c>
      <c r="B22855" t="inlineStr">
        <is>
          <t>Naseem Date Night For Woman Aqua Parfum Spray 100ml</t>
        </is>
      </c>
      <c r="C22855" t="inlineStr">
        <is>
          <t>Eau De Parfum</t>
        </is>
      </c>
      <c r="D22855" t="inlineStr">
        <is>
          <t>Naseem</t>
        </is>
      </c>
      <c r="E22855" t="n">
        <v>20.11</v>
      </c>
      <c r="F22855" t="n">
        <v>1</v>
      </c>
      <c r="G22855" t="n">
        <v>9</v>
      </c>
      <c r="H22855" s="5">
        <f>HYPERLINK("https://api.qogita.com/variants/link/6295253083922/", "View Product")</f>
        <v/>
      </c>
    </row>
    <row r="22856">
      <c r="A22856" t="inlineStr">
        <is>
          <t>6295253097929</t>
        </is>
      </c>
      <c r="B22856" t="inlineStr">
        <is>
          <t>Naseem Salwa Aqua Parfum Spray 100ml</t>
        </is>
      </c>
      <c r="C22856" t="inlineStr">
        <is>
          <t>Eau De Parfum</t>
        </is>
      </c>
      <c r="D22856" t="inlineStr">
        <is>
          <t>Naseem</t>
        </is>
      </c>
      <c r="E22856" t="n">
        <v>19.78</v>
      </c>
      <c r="F22856" t="n">
        <v>1</v>
      </c>
      <c r="G22856" t="n">
        <v>32</v>
      </c>
      <c r="H22856" s="5">
        <f>HYPERLINK("https://api.qogita.com/variants/link/6295253097929/", "View Product")</f>
        <v/>
      </c>
    </row>
    <row r="22857">
      <c r="A22857" t="inlineStr">
        <is>
          <t>6295532112657</t>
        </is>
      </c>
      <c r="B22857" t="inlineStr">
        <is>
          <t>Ministry Of Gourmand Creamy Biscuit Eau De Parfum 100ml</t>
        </is>
      </c>
      <c r="C22857" t="inlineStr">
        <is>
          <t>Eau De Parfum</t>
        </is>
      </c>
      <c r="D22857" t="inlineStr">
        <is>
          <t>Ministry of Scent</t>
        </is>
      </c>
      <c r="E22857" t="n">
        <v>23.24</v>
      </c>
      <c r="F22857" t="n">
        <v>1</v>
      </c>
      <c r="G22857" t="n">
        <v>83</v>
      </c>
      <c r="H22857" s="5">
        <f>HYPERLINK("https://api.qogita.com/variants/link/6295532112657/", "View Product")</f>
        <v/>
      </c>
    </row>
    <row r="22858">
      <c r="A22858" t="inlineStr">
        <is>
          <t>6295586523256</t>
        </is>
      </c>
      <c r="B22858" t="inlineStr">
        <is>
          <t>Emir Paris Corner Frenetic Men Eau De Parfum 80ml</t>
        </is>
      </c>
      <c r="C22858" t="inlineStr">
        <is>
          <t>Eau De Parfum</t>
        </is>
      </c>
      <c r="D22858" t="inlineStr">
        <is>
          <t>Emir</t>
        </is>
      </c>
      <c r="E22858" t="n">
        <v>16.14</v>
      </c>
      <c r="F22858" t="n">
        <v>1</v>
      </c>
      <c r="G22858" t="n">
        <v>52</v>
      </c>
      <c r="H22858" s="5">
        <f>HYPERLINK("https://api.qogita.com/variants/link/6295586523256/", "View Product")</f>
        <v/>
      </c>
    </row>
    <row r="22859">
      <c r="A22859" t="inlineStr">
        <is>
          <t>6295586755411</t>
        </is>
      </c>
      <c r="B22859" t="inlineStr">
        <is>
          <t>Paris Corner Vertex Eau De Parfum 100ml</t>
        </is>
      </c>
      <c r="C22859" t="inlineStr">
        <is>
          <t>Eau De Parfum</t>
        </is>
      </c>
      <c r="D22859" t="inlineStr">
        <is>
          <t>Paris Corner</t>
        </is>
      </c>
      <c r="E22859" t="n">
        <v>15.28</v>
      </c>
      <c r="F22859" t="n">
        <v>1</v>
      </c>
      <c r="G22859" t="n">
        <v>13</v>
      </c>
      <c r="H22859" s="5">
        <f>HYPERLINK("https://api.qogita.com/variants/link/6295586755411/", "View Product")</f>
        <v/>
      </c>
    </row>
    <row r="22860">
      <c r="A22860" t="inlineStr">
        <is>
          <t>6296385892130</t>
        </is>
      </c>
      <c r="B22860" t="inlineStr">
        <is>
          <t>Ministry Of Oud Strictly Oud Extrait De Perfume 100ml</t>
        </is>
      </c>
      <c r="C22860" t="inlineStr">
        <is>
          <t>Extrait De Parfum</t>
        </is>
      </c>
      <c r="D22860" t="inlineStr">
        <is>
          <t>Ministry Of Oud</t>
        </is>
      </c>
      <c r="E22860" t="n">
        <v>13.85</v>
      </c>
      <c r="F22860" t="n">
        <v>1</v>
      </c>
      <c r="G22860" t="n">
        <v>62</v>
      </c>
      <c r="H22860" s="5">
        <f>HYPERLINK("https://api.qogita.com/variants/link/6296385892130/", "View Product")</f>
        <v/>
      </c>
    </row>
    <row r="22861">
      <c r="A22861" t="inlineStr">
        <is>
          <t>6297000645599</t>
        </is>
      </c>
      <c r="B22861" t="inlineStr">
        <is>
          <t>Alf Wardaat 1000 Roses For Women Concentrated Perfume Oil 25ml</t>
        </is>
      </c>
      <c r="C22861" t="inlineStr">
        <is>
          <t>Extrait De Parfum</t>
        </is>
      </c>
      <c r="D22861" t="inlineStr">
        <is>
          <t>Atyab Al Marifa</t>
        </is>
      </c>
      <c r="E22861" t="n">
        <v>7.62</v>
      </c>
      <c r="F22861" t="n">
        <v>1</v>
      </c>
      <c r="G22861" t="n">
        <v>140</v>
      </c>
      <c r="H22861" s="5">
        <f>HYPERLINK("https://api.qogita.com/variants/link/6297000645599/", "View Product")</f>
        <v/>
      </c>
    </row>
    <row r="22862">
      <c r="A22862" t="inlineStr">
        <is>
          <t>6297000645612</t>
        </is>
      </c>
      <c r="B22862" t="inlineStr">
        <is>
          <t>Khadlaj Jameel Concentrated Perfume Oil Spray for Women 0.88 Ounce</t>
        </is>
      </c>
      <c r="C22862" t="inlineStr">
        <is>
          <t>Eau De Parfum</t>
        </is>
      </c>
      <c r="D22862" t="inlineStr">
        <is>
          <t>Khadlaj</t>
        </is>
      </c>
      <c r="E22862" t="n">
        <v>8.92</v>
      </c>
      <c r="F22862" t="n">
        <v>1</v>
      </c>
      <c r="G22862" t="n">
        <v>75</v>
      </c>
      <c r="H22862" s="5">
        <f>HYPERLINK("https://api.qogita.com/variants/link/6297000645612/", "View Product")</f>
        <v/>
      </c>
    </row>
    <row r="22863">
      <c r="A22863" t="inlineStr">
        <is>
          <t>6297000742625</t>
        </is>
      </c>
      <c r="B22863" t="inlineStr">
        <is>
          <t>Khadlaj Infini Eau De Parfum Spray for Men 3.4 Ounce</t>
        </is>
      </c>
      <c r="C22863" t="inlineStr">
        <is>
          <t>Eau De Parfum</t>
        </is>
      </c>
      <c r="D22863" t="inlineStr">
        <is>
          <t>Khadlaj</t>
        </is>
      </c>
      <c r="E22863" t="n">
        <v>10.15</v>
      </c>
      <c r="F22863" t="n">
        <v>1</v>
      </c>
      <c r="G22863" t="n">
        <v>50</v>
      </c>
      <c r="H22863" s="5">
        <f>HYPERLINK("https://api.qogita.com/variants/link/6297000742625/", "View Product")</f>
        <v/>
      </c>
    </row>
    <row r="22864">
      <c r="A22864" t="inlineStr">
        <is>
          <t>6297001158029</t>
        </is>
      </c>
      <c r="B22864" t="inlineStr">
        <is>
          <t>XO Xclusif Oud Sport Extrait de Parfum 60ml Spray for Men</t>
        </is>
      </c>
      <c r="C22864" t="inlineStr">
        <is>
          <t>Extrait De Parfum</t>
        </is>
      </c>
      <c r="D22864" t="inlineStr">
        <is>
          <t>Orientica</t>
        </is>
      </c>
      <c r="E22864" t="n">
        <v>35.62</v>
      </c>
      <c r="F22864" t="n">
        <v>1</v>
      </c>
      <c r="G22864" t="n">
        <v>8</v>
      </c>
      <c r="H22864" s="5">
        <f>HYPERLINK("https://api.qogita.com/variants/link/6297001158029/", "View Product")</f>
        <v/>
      </c>
    </row>
    <row r="22865">
      <c r="A22865" t="inlineStr">
        <is>
          <t>6297001158036</t>
        </is>
      </c>
      <c r="B22865" t="inlineStr">
        <is>
          <t>XO Xclusif Oud Emerald Unisex Extrait De Parfum Spray 2 Ounce</t>
        </is>
      </c>
      <c r="C22865" t="inlineStr">
        <is>
          <t>Extrait De Parfum</t>
        </is>
      </c>
      <c r="D22865" t="inlineStr">
        <is>
          <t>Orientica</t>
        </is>
      </c>
      <c r="E22865" t="n">
        <v>49.85</v>
      </c>
      <c r="F22865" t="n">
        <v>1</v>
      </c>
      <c r="G22865" t="n">
        <v>5</v>
      </c>
      <c r="H22865" s="5">
        <f>HYPERLINK("https://api.qogita.com/variants/link/6297001158036/", "View Product")</f>
        <v/>
      </c>
    </row>
    <row r="22866">
      <c r="A22866" t="inlineStr">
        <is>
          <t>6297001158234</t>
        </is>
      </c>
      <c r="B22866" t="inlineStr">
        <is>
          <t>Oud Saffron Luxury Collection by Orientica for Unisex 5 oz EDP Spray 150g</t>
        </is>
      </c>
      <c r="C22866" t="inlineStr">
        <is>
          <t>Eau De Parfum</t>
        </is>
      </c>
      <c r="D22866" t="inlineStr">
        <is>
          <t>Orientica</t>
        </is>
      </c>
      <c r="E22866" t="n">
        <v>69.11</v>
      </c>
      <c r="F22866" t="n">
        <v>1</v>
      </c>
      <c r="G22866" t="n">
        <v>3</v>
      </c>
      <c r="H22866" s="5">
        <f>HYPERLINK("https://api.qogita.com/variants/link/6297001158234/", "View Product")</f>
        <v/>
      </c>
    </row>
    <row r="22867">
      <c r="A22867" t="inlineStr">
        <is>
          <t>6297001574010</t>
        </is>
      </c>
      <c r="B22867" t="inlineStr">
        <is>
          <t>Riiffs Inspiro Women Eau De Parfum 100 Ml</t>
        </is>
      </c>
      <c r="C22867" t="inlineStr">
        <is>
          <t>Eau De Parfum</t>
        </is>
      </c>
      <c r="D22867" t="inlineStr">
        <is>
          <t>Riiffs</t>
        </is>
      </c>
      <c r="E22867" t="n">
        <v>17.1</v>
      </c>
      <c r="F22867" t="n">
        <v>1</v>
      </c>
      <c r="G22867" t="n">
        <v>6</v>
      </c>
      <c r="H22867" s="5">
        <f>HYPERLINK("https://api.qogita.com/variants/link/6297001574010/", "View Product")</f>
        <v/>
      </c>
    </row>
    <row r="22868">
      <c r="A22868" t="inlineStr">
        <is>
          <t>6297665736748</t>
        </is>
      </c>
      <c r="B22868" t="inlineStr">
        <is>
          <t>Autobiography Citron Vanille Eau De Parfum 65ml</t>
        </is>
      </c>
      <c r="C22868" t="inlineStr">
        <is>
          <t>Eau De Parfum</t>
        </is>
      </c>
      <c r="D22868" t="inlineStr">
        <is>
          <t>Autobiographie</t>
        </is>
      </c>
      <c r="E22868" t="n">
        <v>14.86</v>
      </c>
      <c r="F22868" t="n">
        <v>1</v>
      </c>
      <c r="G22868" t="n">
        <v>75</v>
      </c>
      <c r="H22868" s="5">
        <f>HYPERLINK("https://api.qogita.com/variants/link/6297665736748/", "View Product")</f>
        <v/>
      </c>
    </row>
    <row r="22869">
      <c r="A22869" t="inlineStr">
        <is>
          <t>6297784222122</t>
        </is>
      </c>
      <c r="B22869" t="inlineStr">
        <is>
          <t>Emir Camp Fire Factory Edition Eau De Parfum Spray 100ml</t>
        </is>
      </c>
      <c r="C22869" t="inlineStr">
        <is>
          <t>Eau De Parfum</t>
        </is>
      </c>
      <c r="D22869" t="inlineStr">
        <is>
          <t>Emir</t>
        </is>
      </c>
      <c r="E22869" t="n">
        <v>13.84</v>
      </c>
      <c r="F22869" t="n">
        <v>1</v>
      </c>
      <c r="G22869" t="n">
        <v>29</v>
      </c>
      <c r="H22869" s="5">
        <f>HYPERLINK("https://api.qogita.com/variants/link/6297784222122/", "View Product")</f>
        <v/>
      </c>
    </row>
    <row r="22870">
      <c r="A22870" t="inlineStr">
        <is>
          <t>6297784222139</t>
        </is>
      </c>
      <c r="B22870" t="inlineStr">
        <is>
          <t>Paris Corner Emir Ultra Citrus Eau De Parfum 100ml</t>
        </is>
      </c>
      <c r="C22870" t="inlineStr">
        <is>
          <t>Eau De Parfum</t>
        </is>
      </c>
      <c r="D22870" t="inlineStr">
        <is>
          <t>Paris Corner</t>
        </is>
      </c>
      <c r="E22870" t="n">
        <v>12.95</v>
      </c>
      <c r="F22870" t="n">
        <v>1</v>
      </c>
      <c r="G22870" t="n">
        <v>11</v>
      </c>
      <c r="H22870" s="5">
        <f>HYPERLINK("https://api.qogita.com/variants/link/6297784222139/", "View Product")</f>
        <v/>
      </c>
    </row>
    <row r="22871">
      <c r="A22871" t="inlineStr">
        <is>
          <t>6297842452355</t>
        </is>
      </c>
      <c r="B22871" t="inlineStr">
        <is>
          <t>Paris Corner Taskeen Eau De Parfum 100ml</t>
        </is>
      </c>
      <c r="C22871" t="inlineStr">
        <is>
          <t>Eau De Parfum</t>
        </is>
      </c>
      <c r="D22871" t="inlineStr">
        <is>
          <t>Paris Corner</t>
        </is>
      </c>
      <c r="E22871" t="n">
        <v>14</v>
      </c>
      <c r="F22871" t="n">
        <v>1</v>
      </c>
      <c r="G22871" t="n">
        <v>91</v>
      </c>
      <c r="H22871" s="5">
        <f>HYPERLINK("https://api.qogita.com/variants/link/6297842452355/", "View Product")</f>
        <v/>
      </c>
    </row>
    <row r="22872">
      <c r="A22872" t="inlineStr">
        <is>
          <t>6297856878516</t>
        </is>
      </c>
      <c r="B22872" t="inlineStr">
        <is>
          <t>Emir Just Bergamot Factory Edition Eau De Parfum 100ml</t>
        </is>
      </c>
      <c r="C22872" t="inlineStr">
        <is>
          <t>Eau De Parfum</t>
        </is>
      </c>
      <c r="D22872" t="inlineStr">
        <is>
          <t>Emir</t>
        </is>
      </c>
      <c r="E22872" t="n">
        <v>17.21</v>
      </c>
      <c r="F22872" t="n">
        <v>1</v>
      </c>
      <c r="G22872" t="n">
        <v>17</v>
      </c>
      <c r="H22872" s="5">
        <f>HYPERLINK("https://api.qogita.com/variants/link/6297856878516/", "View Product")</f>
        <v/>
      </c>
    </row>
    <row r="22873">
      <c r="A22873" t="inlineStr">
        <is>
          <t>6298141926714</t>
        </is>
      </c>
      <c r="B22873" t="inlineStr">
        <is>
          <t>Paris Corner Emir Voux Turquoise Eau De Parfum 100ml</t>
        </is>
      </c>
      <c r="C22873" t="inlineStr">
        <is>
          <t>Eau De Parfum</t>
        </is>
      </c>
      <c r="D22873" t="inlineStr">
        <is>
          <t>Paris Corner</t>
        </is>
      </c>
      <c r="E22873" t="n">
        <v>15.97</v>
      </c>
      <c r="F22873" t="n">
        <v>1</v>
      </c>
      <c r="G22873" t="n">
        <v>174</v>
      </c>
      <c r="H22873" s="5">
        <f>HYPERLINK("https://api.qogita.com/variants/link/6298141926714/", "View Product")</f>
        <v/>
      </c>
    </row>
    <row r="22874">
      <c r="A22874" t="inlineStr">
        <is>
          <t>6298141926738</t>
        </is>
      </c>
      <c r="B22874" t="inlineStr">
        <is>
          <t>Emir Voux Spices Eau De Parfum 100ml</t>
        </is>
      </c>
      <c r="C22874" t="inlineStr">
        <is>
          <t>Eau De Parfum</t>
        </is>
      </c>
      <c r="D22874" t="inlineStr">
        <is>
          <t>Emir</t>
        </is>
      </c>
      <c r="E22874" t="n">
        <v>16.76</v>
      </c>
      <c r="F22874" t="n">
        <v>1</v>
      </c>
      <c r="G22874" t="n">
        <v>82</v>
      </c>
      <c r="H22874" s="5">
        <f>HYPERLINK("https://api.qogita.com/variants/link/6298141926738/", "View Product")</f>
        <v/>
      </c>
    </row>
    <row r="22875">
      <c r="A22875" t="inlineStr">
        <is>
          <t>6298141926745</t>
        </is>
      </c>
      <c r="B22875" t="inlineStr">
        <is>
          <t>Voux Elegante Perfumed Water Spray 100ml</t>
        </is>
      </c>
      <c r="C22875" t="inlineStr">
        <is>
          <t>Eau De Parfum</t>
        </is>
      </c>
      <c r="D22875" t="inlineStr">
        <is>
          <t>Vaux</t>
        </is>
      </c>
      <c r="E22875" t="n">
        <v>13.42</v>
      </c>
      <c r="F22875" t="n">
        <v>1</v>
      </c>
      <c r="G22875" t="n">
        <v>44</v>
      </c>
      <c r="H22875" s="5">
        <f>HYPERLINK("https://api.qogita.com/variants/link/6298141926745/", "View Product")</f>
        <v/>
      </c>
    </row>
    <row r="22876">
      <c r="A22876" t="inlineStr">
        <is>
          <t>6298463856485</t>
        </is>
      </c>
      <c r="B22876" t="inlineStr">
        <is>
          <t>Paris Corner Qissa Pink Eau De Parfum 100ml</t>
        </is>
      </c>
      <c r="C22876" t="inlineStr">
        <is>
          <t>Eau De Parfum</t>
        </is>
      </c>
      <c r="D22876" t="inlineStr">
        <is>
          <t>Paris Corner</t>
        </is>
      </c>
      <c r="E22876" t="n">
        <v>11.99</v>
      </c>
      <c r="F22876" t="n">
        <v>1</v>
      </c>
      <c r="G22876" t="n">
        <v>185</v>
      </c>
      <c r="H22876" s="5">
        <f>HYPERLINK("https://api.qogita.com/variants/link/6298463856485/", "View Product")</f>
        <v/>
      </c>
    </row>
    <row r="22877">
      <c r="A22877" t="inlineStr">
        <is>
          <t>6298543264483</t>
        </is>
      </c>
      <c r="B22877" t="inlineStr">
        <is>
          <t>Paris Corner Papillon Des Vents Eau De Parfum 100ml</t>
        </is>
      </c>
      <c r="C22877" t="inlineStr">
        <is>
          <t>Eau De Parfum</t>
        </is>
      </c>
      <c r="D22877" t="inlineStr">
        <is>
          <t>Paris Corner</t>
        </is>
      </c>
      <c r="E22877" t="n">
        <v>23.24</v>
      </c>
      <c r="F22877" t="n">
        <v>1</v>
      </c>
      <c r="G22877" t="n">
        <v>459</v>
      </c>
      <c r="H22877" s="5">
        <f>HYPERLINK("https://api.qogita.com/variants/link/6298543264483/", "View Product")</f>
        <v/>
      </c>
    </row>
    <row r="22878">
      <c r="A22878" t="inlineStr">
        <is>
          <t>6298575015534</t>
        </is>
      </c>
      <c r="B22878" t="inlineStr">
        <is>
          <t>Paris Corner Khair Confection Eau De Parfum 100ml</t>
        </is>
      </c>
      <c r="C22878" t="inlineStr">
        <is>
          <t>Eau De Parfum</t>
        </is>
      </c>
      <c r="D22878" t="inlineStr">
        <is>
          <t>Paris Corner</t>
        </is>
      </c>
      <c r="E22878" t="n">
        <v>13.87</v>
      </c>
      <c r="F22878" t="n">
        <v>1</v>
      </c>
      <c r="G22878" t="n">
        <v>459</v>
      </c>
      <c r="H22878" s="5">
        <f>HYPERLINK("https://api.qogita.com/variants/link/6298575015534/", "View Product")</f>
        <v/>
      </c>
    </row>
    <row r="22879">
      <c r="A22879" t="inlineStr">
        <is>
          <t>6298575112349</t>
        </is>
      </c>
      <c r="B22879" t="inlineStr">
        <is>
          <t>Paris Corner Minya Coco Lush Eau De Parfum 100ml</t>
        </is>
      </c>
      <c r="C22879" t="inlineStr">
        <is>
          <t>Eau De Parfum</t>
        </is>
      </c>
      <c r="D22879" t="inlineStr">
        <is>
          <t>Paris Corner</t>
        </is>
      </c>
      <c r="E22879" t="n">
        <v>17.55</v>
      </c>
      <c r="F22879" t="n">
        <v>1</v>
      </c>
      <c r="G22879" t="n">
        <v>2</v>
      </c>
      <c r="H22879" s="5">
        <f>HYPERLINK("https://api.qogita.com/variants/link/6298575112349/", "View Product")</f>
        <v/>
      </c>
    </row>
    <row r="22880">
      <c r="A22880" t="inlineStr">
        <is>
          <t>6298754220988</t>
        </is>
      </c>
      <c r="B22880" t="inlineStr">
        <is>
          <t>Pendora Scents Oud Holidays Eau De Parfum 100ml</t>
        </is>
      </c>
      <c r="C22880" t="inlineStr">
        <is>
          <t>Eau De Parfum</t>
        </is>
      </c>
      <c r="D22880" t="inlineStr">
        <is>
          <t>Pendora Scents</t>
        </is>
      </c>
      <c r="E22880" t="n">
        <v>11.85</v>
      </c>
      <c r="F22880" t="n">
        <v>1</v>
      </c>
      <c r="G22880" t="n">
        <v>23</v>
      </c>
      <c r="H22880" s="5">
        <f>HYPERLINK("https://api.qogita.com/variants/link/6298754220988/", "View Product")</f>
        <v/>
      </c>
    </row>
    <row r="22881">
      <c r="A22881" t="inlineStr">
        <is>
          <t>6299098700105</t>
        </is>
      </c>
      <c r="B22881" t="inlineStr">
        <is>
          <t>Emir Vibrant Sensual Saffron Eau De Parfum Spray 100ml</t>
        </is>
      </c>
      <c r="C22881" t="inlineStr">
        <is>
          <t>Eau De Parfum</t>
        </is>
      </c>
      <c r="D22881" t="inlineStr">
        <is>
          <t>Emir</t>
        </is>
      </c>
      <c r="E22881" t="n">
        <v>16.64</v>
      </c>
      <c r="F22881" t="n">
        <v>1</v>
      </c>
      <c r="G22881" t="n">
        <v>57</v>
      </c>
      <c r="H22881" s="5">
        <f>HYPERLINK("https://api.qogita.com/variants/link/6299098700105/", "View Product")</f>
        <v/>
      </c>
    </row>
    <row r="22882">
      <c r="A22882" t="inlineStr">
        <is>
          <t>6299933581876</t>
        </is>
      </c>
      <c r="B22882" t="inlineStr">
        <is>
          <t>Paris Corner Fayora Eau De Parfum 100ml</t>
        </is>
      </c>
      <c r="C22882" t="inlineStr">
        <is>
          <t>Eau De Parfum</t>
        </is>
      </c>
      <c r="D22882" t="inlineStr">
        <is>
          <t>Paris Corner</t>
        </is>
      </c>
      <c r="E22882" t="n">
        <v>18.87</v>
      </c>
      <c r="F22882" t="n">
        <v>1</v>
      </c>
      <c r="G22882" t="n">
        <v>24</v>
      </c>
      <c r="H22882" s="5">
        <f>HYPERLINK("https://api.qogita.com/variants/link/6299933581876/", "View Product")</f>
        <v/>
      </c>
    </row>
    <row r="22883">
      <c r="A22883" t="inlineStr">
        <is>
          <t>6423080719060</t>
        </is>
      </c>
      <c r="B22883" t="inlineStr">
        <is>
          <t>Pendora Scents Oud Imperious Eau De Parfum 100ml</t>
        </is>
      </c>
      <c r="C22883" t="inlineStr">
        <is>
          <t>Eau De Parfum</t>
        </is>
      </c>
      <c r="D22883" t="inlineStr">
        <is>
          <t>Pendora Scents</t>
        </is>
      </c>
      <c r="E22883" t="n">
        <v>8.85</v>
      </c>
      <c r="F22883" t="n">
        <v>1</v>
      </c>
      <c r="G22883" t="n">
        <v>82</v>
      </c>
      <c r="H22883" s="5">
        <f>HYPERLINK("https://api.qogita.com/variants/link/6423080719060/", "View Product")</f>
        <v/>
      </c>
    </row>
    <row r="22884">
      <c r="A22884" t="inlineStr">
        <is>
          <t>6423080726822</t>
        </is>
      </c>
      <c r="B22884" t="inlineStr">
        <is>
          <t>Pendora Scents Bohemia Rouge Incense Eau De Parfum 100ml</t>
        </is>
      </c>
      <c r="C22884" t="inlineStr">
        <is>
          <t>Eau De Parfum</t>
        </is>
      </c>
      <c r="D22884" t="inlineStr">
        <is>
          <t>Pendora Scents</t>
        </is>
      </c>
      <c r="E22884" t="n">
        <v>9.210000000000001</v>
      </c>
      <c r="F22884" t="n">
        <v>1</v>
      </c>
      <c r="G22884" t="n">
        <v>74</v>
      </c>
      <c r="H22884" s="5">
        <f>HYPERLINK("https://api.qogita.com/variants/link/6423080726822/", "View Product")</f>
        <v/>
      </c>
    </row>
    <row r="22885">
      <c r="A22885" t="inlineStr">
        <is>
          <t>6423080727065</t>
        </is>
      </c>
      <c r="B22885" t="inlineStr">
        <is>
          <t>Emir Opulentia Empyreal Eau De Parfum 100ml</t>
        </is>
      </c>
      <c r="C22885" t="inlineStr">
        <is>
          <t>Eau De Parfum</t>
        </is>
      </c>
      <c r="D22885" t="inlineStr">
        <is>
          <t>Emir</t>
        </is>
      </c>
      <c r="E22885" t="n">
        <v>16.05</v>
      </c>
      <c r="F22885" t="n">
        <v>1</v>
      </c>
      <c r="G22885" t="n">
        <v>32</v>
      </c>
      <c r="H22885" s="5">
        <f>HYPERLINK("https://api.qogita.com/variants/link/6423080727065/", "View Product")</f>
        <v/>
      </c>
    </row>
    <row r="22886">
      <c r="A22886" t="inlineStr">
        <is>
          <t>6423080727072</t>
        </is>
      </c>
      <c r="B22886" t="inlineStr">
        <is>
          <t>Emir Opulentia Inverno Eau De Parfum 100ml</t>
        </is>
      </c>
      <c r="C22886" t="inlineStr">
        <is>
          <t>Eau De Parfum</t>
        </is>
      </c>
      <c r="D22886" t="inlineStr">
        <is>
          <t>Emir</t>
        </is>
      </c>
      <c r="E22886" t="n">
        <v>16.56</v>
      </c>
      <c r="F22886" t="n">
        <v>1</v>
      </c>
      <c r="G22886" t="n">
        <v>49</v>
      </c>
      <c r="H22886" s="5">
        <f>HYPERLINK("https://api.qogita.com/variants/link/6423080727072/", "View Product")</f>
        <v/>
      </c>
    </row>
    <row r="22887">
      <c r="A22887" t="inlineStr">
        <is>
          <t>6423080731833</t>
        </is>
      </c>
      <c r="B22887" t="inlineStr">
        <is>
          <t>Emir Glorify Eau De Parfum 100ml</t>
        </is>
      </c>
      <c r="C22887" t="inlineStr">
        <is>
          <t>Eau De Parfum</t>
        </is>
      </c>
      <c r="D22887" t="inlineStr">
        <is>
          <t>Emir</t>
        </is>
      </c>
      <c r="E22887" t="n">
        <v>16.64</v>
      </c>
      <c r="F22887" t="n">
        <v>1</v>
      </c>
      <c r="G22887" t="n">
        <v>53</v>
      </c>
      <c r="H22887" s="5">
        <f>HYPERLINK("https://api.qogita.com/variants/link/6423080731833/", "View Product")</f>
        <v/>
      </c>
    </row>
    <row r="22888">
      <c r="A22888" t="inlineStr">
        <is>
          <t>6423080731895</t>
        </is>
      </c>
      <c r="B22888" t="inlineStr">
        <is>
          <t>Paris Corner Arwa Eau De Parfum 100ml</t>
        </is>
      </c>
      <c r="C22888" t="inlineStr">
        <is>
          <t>Eau De Parfum</t>
        </is>
      </c>
      <c r="D22888" t="inlineStr">
        <is>
          <t>Paris Corner</t>
        </is>
      </c>
      <c r="E22888" t="n">
        <v>12.08</v>
      </c>
      <c r="F22888" t="n">
        <v>1</v>
      </c>
      <c r="G22888" t="n">
        <v>41</v>
      </c>
      <c r="H22888" s="5">
        <f>HYPERLINK("https://api.qogita.com/variants/link/6423080731895/", "View Product")</f>
        <v/>
      </c>
    </row>
    <row r="22889">
      <c r="A22889" t="inlineStr">
        <is>
          <t>6430074180003</t>
        </is>
      </c>
      <c r="B22889" t="inlineStr">
        <is>
          <t>ROKUA Skincare Face Wash for Men 100ml - Cleaning and Refreshing Mens Face Wash - Best for Help Damaged Skin Repair and Energized Feeling</t>
        </is>
      </c>
      <c r="C22889" t="inlineStr">
        <is>
          <t>Cleansing Foam</t>
        </is>
      </c>
      <c r="D22889" t="inlineStr">
        <is>
          <t>Rokua</t>
        </is>
      </c>
      <c r="E22889" t="n">
        <v>19.5</v>
      </c>
      <c r="F22889" t="n">
        <v>1</v>
      </c>
      <c r="G22889" t="n">
        <v>2</v>
      </c>
      <c r="H22889" s="5">
        <f>HYPERLINK("https://api.qogita.com/variants/link/6430074180003/", "View Product")</f>
        <v/>
      </c>
    </row>
    <row r="22890">
      <c r="A22890" t="inlineStr">
        <is>
          <t>6430074180201</t>
        </is>
      </c>
      <c r="B22890" t="inlineStr">
        <is>
          <t>Rokua Skincare Men Face Toner - Zklidnujici Tonikum S Hydratacnim Ucinkem</t>
        </is>
      </c>
      <c r="C22890" t="inlineStr">
        <is>
          <t>Facial Spray</t>
        </is>
      </c>
      <c r="D22890" t="inlineStr">
        <is>
          <t>Rokua</t>
        </is>
      </c>
      <c r="E22890" t="n">
        <v>22.14</v>
      </c>
      <c r="F22890" t="n">
        <v>1</v>
      </c>
      <c r="G22890" t="n">
        <v>4</v>
      </c>
      <c r="H22890" s="5">
        <f>HYPERLINK("https://api.qogita.com/variants/link/6430074180201/", "View Product")</f>
        <v/>
      </c>
    </row>
    <row r="22891">
      <c r="A22891" t="inlineStr">
        <is>
          <t>6435000125561</t>
        </is>
      </c>
      <c r="B22891" t="inlineStr">
        <is>
          <t>Paris Corner Tranquil Night - Musk Collection Eau De Parfum 100ml</t>
        </is>
      </c>
      <c r="C22891" t="inlineStr">
        <is>
          <t>Eau De Parfum</t>
        </is>
      </c>
      <c r="D22891" t="inlineStr">
        <is>
          <t>Paris Corner</t>
        </is>
      </c>
      <c r="E22891" t="n">
        <v>17.45</v>
      </c>
      <c r="F22891" t="n">
        <v>1</v>
      </c>
      <c r="G22891" t="n">
        <v>12</v>
      </c>
      <c r="H22891" s="5">
        <f>HYPERLINK("https://api.qogita.com/variants/link/6435000125561/", "View Product")</f>
        <v/>
      </c>
    </row>
    <row r="22892">
      <c r="A22892" t="inlineStr">
        <is>
          <t>6629021040204</t>
        </is>
      </c>
      <c r="B22892" t="inlineStr">
        <is>
          <t>Nouf For Her EDP 100ml by Azha</t>
        </is>
      </c>
      <c r="C22892" t="inlineStr">
        <is>
          <t>Eau De Parfum</t>
        </is>
      </c>
      <c r="D22892" t="inlineStr">
        <is>
          <t>Azha</t>
        </is>
      </c>
      <c r="E22892" t="n">
        <v>21.47</v>
      </c>
      <c r="F22892" t="n">
        <v>1</v>
      </c>
      <c r="G22892" t="n">
        <v>10</v>
      </c>
      <c r="H22892" s="5">
        <f>HYPERLINK("https://api.qogita.com/variants/link/6629021040204/", "View Product")</f>
        <v/>
      </c>
    </row>
    <row r="22893">
      <c r="A22893" t="inlineStr">
        <is>
          <t>6629021040235</t>
        </is>
      </c>
      <c r="B22893" t="inlineStr">
        <is>
          <t>Azha Cigar Oud Eau de Parfum 100ml</t>
        </is>
      </c>
      <c r="C22893" t="inlineStr">
        <is>
          <t>Eau De Parfum</t>
        </is>
      </c>
      <c r="D22893" t="inlineStr">
        <is>
          <t>Azha</t>
        </is>
      </c>
      <c r="E22893" t="n">
        <v>21.47</v>
      </c>
      <c r="F22893" t="n">
        <v>1</v>
      </c>
      <c r="G22893" t="n">
        <v>10</v>
      </c>
      <c r="H22893" s="5">
        <f>HYPERLINK("https://api.qogita.com/variants/link/6629021040235/", "View Product")</f>
        <v/>
      </c>
    </row>
    <row r="22894">
      <c r="A22894" t="inlineStr">
        <is>
          <t>6629021040297</t>
        </is>
      </c>
      <c r="B22894" t="inlineStr">
        <is>
          <t>Azha Rose Sandalwood Eau de Parfum 100ml</t>
        </is>
      </c>
      <c r="C22894" t="inlineStr">
        <is>
          <t>Eau De Parfum</t>
        </is>
      </c>
      <c r="D22894" t="inlineStr">
        <is>
          <t>Azha</t>
        </is>
      </c>
      <c r="E22894" t="n">
        <v>21.88</v>
      </c>
      <c r="F22894" t="n">
        <v>1</v>
      </c>
      <c r="G22894" t="n">
        <v>9</v>
      </c>
      <c r="H22894" s="5">
        <f>HYPERLINK("https://api.qogita.com/variants/link/6629021040297/", "View Product")</f>
        <v/>
      </c>
    </row>
    <row r="22895">
      <c r="A22895" t="inlineStr">
        <is>
          <t>6629021040358</t>
        </is>
      </c>
      <c r="B22895" t="inlineStr">
        <is>
          <t>Agarwood Bernstein EDP 100ml 3.3oz by Azha</t>
        </is>
      </c>
      <c r="C22895" t="inlineStr">
        <is>
          <t>Eau De Parfum</t>
        </is>
      </c>
      <c r="D22895" t="inlineStr">
        <is>
          <t>Azha</t>
        </is>
      </c>
      <c r="E22895" t="n">
        <v>25.66</v>
      </c>
      <c r="F22895" t="n">
        <v>1</v>
      </c>
      <c r="G22895" t="n">
        <v>2</v>
      </c>
      <c r="H22895" s="5">
        <f>HYPERLINK("https://api.qogita.com/variants/link/6629021040358/", "View Product")</f>
        <v/>
      </c>
    </row>
    <row r="22896">
      <c r="A22896" t="inlineStr">
        <is>
          <t>6629021040549</t>
        </is>
      </c>
      <c r="B22896" t="inlineStr">
        <is>
          <t>Azha Perfume Qamar Eau De Parfum 100 Ml For Him</t>
        </is>
      </c>
      <c r="C22896" t="inlineStr">
        <is>
          <t>Eau De Parfum</t>
        </is>
      </c>
      <c r="D22896" t="inlineStr">
        <is>
          <t>Azha</t>
        </is>
      </c>
      <c r="E22896" t="n">
        <v>21.47</v>
      </c>
      <c r="F22896" t="n">
        <v>1</v>
      </c>
      <c r="G22896" t="n">
        <v>11</v>
      </c>
      <c r="H22896" s="5">
        <f>HYPERLINK("https://api.qogita.com/variants/link/6629021040549/", "View Product")</f>
        <v/>
      </c>
    </row>
    <row r="22897">
      <c r="A22897" t="inlineStr">
        <is>
          <t>6629021040693</t>
        </is>
      </c>
      <c r="B22897" t="inlineStr">
        <is>
          <t>Azha Shah's Oud Eau De Parfum Spray 100ml</t>
        </is>
      </c>
      <c r="C22897" t="inlineStr">
        <is>
          <t>Eau De Parfum</t>
        </is>
      </c>
      <c r="D22897" t="inlineStr">
        <is>
          <t>Azha</t>
        </is>
      </c>
      <c r="E22897" t="n">
        <v>27.64</v>
      </c>
      <c r="F22897" t="n">
        <v>1</v>
      </c>
      <c r="G22897" t="n">
        <v>9</v>
      </c>
      <c r="H22897" s="5">
        <f>HYPERLINK("https://api.qogita.com/variants/link/6629021040693/", "View Product")</f>
        <v/>
      </c>
    </row>
    <row r="22898">
      <c r="A22898" t="inlineStr">
        <is>
          <t>6629071040056</t>
        </is>
      </c>
      <c r="B22898" t="inlineStr">
        <is>
          <t>Azha Perfumes Attar Al Khayal Perfumed Oil 15ml Unisex</t>
        </is>
      </c>
      <c r="C22898" t="inlineStr">
        <is>
          <t>Extrait De Parfum</t>
        </is>
      </c>
      <c r="D22898" t="inlineStr">
        <is>
          <t>Azha</t>
        </is>
      </c>
      <c r="E22898" t="n">
        <v>13.54</v>
      </c>
      <c r="F22898" t="n">
        <v>1</v>
      </c>
      <c r="G22898" t="n">
        <v>2</v>
      </c>
      <c r="H22898" s="5">
        <f>HYPERLINK("https://api.qogita.com/variants/link/6629071040056/", "View Product")</f>
        <v/>
      </c>
    </row>
    <row r="22899">
      <c r="A22899" t="inlineStr">
        <is>
          <t>6970810556407</t>
        </is>
      </c>
      <c r="B22899" t="inlineStr">
        <is>
          <t>Oclean Sonic Toothbrush X Lite Dark Blue Set</t>
        </is>
      </c>
      <c r="C22899" t="inlineStr">
        <is>
          <t>Electric Toothbrushes</t>
        </is>
      </c>
      <c r="D22899" t="inlineStr">
        <is>
          <t>Oclean</t>
        </is>
      </c>
      <c r="E22899" t="n">
        <v>78.75</v>
      </c>
      <c r="F22899" t="n">
        <v>1</v>
      </c>
      <c r="G22899" t="n">
        <v>2</v>
      </c>
      <c r="H22899" s="5">
        <f>HYPERLINK("https://api.qogita.com/variants/link/6970810556407/", "View Product")</f>
        <v/>
      </c>
    </row>
    <row r="22900">
      <c r="A22900" t="inlineStr">
        <is>
          <t>7290011521264</t>
        </is>
      </c>
      <c r="B22900" t="inlineStr">
        <is>
          <t>Moroccanoil Moisture Repair Conditioner 1000 Ml For Weak And Damaged Hair</t>
        </is>
      </c>
      <c r="C22900" t="inlineStr">
        <is>
          <t>Conditioner</t>
        </is>
      </c>
      <c r="D22900" t="inlineStr">
        <is>
          <t>Moroccanoil</t>
        </is>
      </c>
      <c r="E22900" t="n">
        <v>44.1</v>
      </c>
      <c r="F22900" t="n">
        <v>1</v>
      </c>
      <c r="G22900" t="n">
        <v>58</v>
      </c>
      <c r="H22900" s="5">
        <f>HYPERLINK("https://api.qogita.com/variants/link/7290011521264/", "View Product")</f>
        <v/>
      </c>
    </row>
    <row r="22901">
      <c r="A22901" t="inlineStr">
        <is>
          <t>7290011521301</t>
        </is>
      </c>
      <c r="B22901" t="inlineStr">
        <is>
          <t>Moroccanoil 55mm Ceramic &amp; Iron Brush Ideal For Medium To Long Hair</t>
        </is>
      </c>
      <c r="C22901" t="inlineStr">
        <is>
          <t>Round Brushes</t>
        </is>
      </c>
      <c r="D22901" t="inlineStr">
        <is>
          <t>Moroccanoil</t>
        </is>
      </c>
      <c r="E22901" t="n">
        <v>24.25</v>
      </c>
      <c r="F22901" t="n">
        <v>1</v>
      </c>
      <c r="G22901" t="n">
        <v>7</v>
      </c>
      <c r="H22901" s="5">
        <f>HYPERLINK("https://api.qogita.com/variants/link/7290011521301/", "View Product")</f>
        <v/>
      </c>
    </row>
    <row r="22902">
      <c r="A22902" t="inlineStr">
        <is>
          <t>7290011521769</t>
        </is>
      </c>
      <c r="B22902" t="inlineStr">
        <is>
          <t>Moroccanoil Extra Volume Shampoo 1000 Ml For Fine To Medium Hair Unisex</t>
        </is>
      </c>
      <c r="C22902" t="inlineStr">
        <is>
          <t>Shampoo</t>
        </is>
      </c>
      <c r="D22902" t="inlineStr">
        <is>
          <t>Moroccanoil</t>
        </is>
      </c>
      <c r="E22902" t="n">
        <v>39.72</v>
      </c>
      <c r="F22902" t="n">
        <v>1</v>
      </c>
      <c r="G22902" t="n">
        <v>41</v>
      </c>
      <c r="H22902" s="5">
        <f>HYPERLINK("https://api.qogita.com/variants/link/7290011521769/", "View Product")</f>
        <v/>
      </c>
    </row>
    <row r="22903">
      <c r="A22903" t="inlineStr">
        <is>
          <t>7290011521851</t>
        </is>
      </c>
      <c r="B22903" t="inlineStr">
        <is>
          <t>Moroccanoil Luminous Hairspray 75ml</t>
        </is>
      </c>
      <c r="C22903" t="inlineStr">
        <is>
          <t>Hairspray</t>
        </is>
      </c>
      <c r="D22903" t="inlineStr">
        <is>
          <t>Moroccanoil</t>
        </is>
      </c>
      <c r="E22903" t="n">
        <v>8.02</v>
      </c>
      <c r="F22903" t="n">
        <v>1</v>
      </c>
      <c r="G22903" t="n">
        <v>4</v>
      </c>
      <c r="H22903" s="5">
        <f>HYPERLINK("https://api.qogita.com/variants/link/7290011521851/", "View Product")</f>
        <v/>
      </c>
    </row>
    <row r="22904">
      <c r="A22904" t="inlineStr">
        <is>
          <t>7290013627513</t>
        </is>
      </c>
      <c r="B22904" t="inlineStr">
        <is>
          <t>Moroccanoil Extra Volume Conditioner 70ml</t>
        </is>
      </c>
      <c r="C22904" t="inlineStr">
        <is>
          <t>Conditioner</t>
        </is>
      </c>
      <c r="D22904" t="inlineStr">
        <is>
          <t>Moroccanoil</t>
        </is>
      </c>
      <c r="E22904" t="n">
        <v>7.52</v>
      </c>
      <c r="F22904" t="n">
        <v>1</v>
      </c>
      <c r="G22904" t="n">
        <v>2</v>
      </c>
      <c r="H22904" s="5">
        <f>HYPERLINK("https://api.qogita.com/variants/link/7290013627513/", "View Product")</f>
        <v/>
      </c>
    </row>
    <row r="22905">
      <c r="A22905" t="inlineStr">
        <is>
          <t>7290013627612</t>
        </is>
      </c>
      <c r="B22905" t="inlineStr">
        <is>
          <t>Moroccanoil 25mm Ceramic &amp; Iron Brush Ideal For Short Hair</t>
        </is>
      </c>
      <c r="C22905" t="inlineStr">
        <is>
          <t>Round Brushes</t>
        </is>
      </c>
      <c r="D22905" t="inlineStr">
        <is>
          <t>Moroccanoil</t>
        </is>
      </c>
      <c r="E22905" t="n">
        <v>16.89</v>
      </c>
      <c r="F22905" t="n">
        <v>1</v>
      </c>
      <c r="G22905" t="n">
        <v>4</v>
      </c>
      <c r="H22905" s="5">
        <f>HYPERLINK("https://api.qogita.com/variants/link/7290013627612/", "View Product")</f>
        <v/>
      </c>
    </row>
    <row r="22906">
      <c r="A22906" t="inlineStr">
        <is>
          <t>7290014344389</t>
        </is>
      </c>
      <c r="B22906" t="inlineStr">
        <is>
          <t>Moroccanoil Shimmering Body Oil 50ml</t>
        </is>
      </c>
      <c r="C22906" t="inlineStr">
        <is>
          <t>Body Oil</t>
        </is>
      </c>
      <c r="D22906" t="inlineStr">
        <is>
          <t>Moroccanoil</t>
        </is>
      </c>
      <c r="E22906" t="n">
        <v>32.7</v>
      </c>
      <c r="F22906" t="n">
        <v>1</v>
      </c>
      <c r="G22906" t="n">
        <v>2</v>
      </c>
      <c r="H22906" s="5">
        <f>HYPERLINK("https://api.qogita.com/variants/link/7290014344389/", "View Product")</f>
        <v/>
      </c>
    </row>
    <row r="22907">
      <c r="A22907" t="inlineStr">
        <is>
          <t>7290014344396</t>
        </is>
      </c>
      <c r="B22907" t="inlineStr">
        <is>
          <t>Moroccanoil Pure Argan Oil 50 Ml</t>
        </is>
      </c>
      <c r="C22907" t="inlineStr">
        <is>
          <t>Hair Oil &amp; Hair Serum</t>
        </is>
      </c>
      <c r="D22907" t="inlineStr">
        <is>
          <t>Moroccanoil</t>
        </is>
      </c>
      <c r="E22907" t="n">
        <v>32.85</v>
      </c>
      <c r="F22907" t="n">
        <v>1</v>
      </c>
      <c r="G22907" t="n">
        <v>2</v>
      </c>
      <c r="H22907" s="5">
        <f>HYPERLINK("https://api.qogita.com/variants/link/7290014344396/", "View Product")</f>
        <v/>
      </c>
    </row>
    <row r="22908">
      <c r="A22908" t="inlineStr">
        <is>
          <t>7290015485302</t>
        </is>
      </c>
      <c r="B22908" t="inlineStr">
        <is>
          <t>Clarifying Shampoo Volume 1000 ml</t>
        </is>
      </c>
      <c r="C22908" t="inlineStr">
        <is>
          <t>Shampoo</t>
        </is>
      </c>
      <c r="D22908" t="inlineStr">
        <is>
          <t>Moroccanoil</t>
        </is>
      </c>
      <c r="E22908" t="n">
        <v>42.06</v>
      </c>
      <c r="F22908" t="n">
        <v>1</v>
      </c>
      <c r="G22908" t="n">
        <v>7</v>
      </c>
      <c r="H22908" s="5">
        <f>HYPERLINK("https://api.qogita.com/variants/link/7290015485302/", "View Product")</f>
        <v/>
      </c>
    </row>
    <row r="22909">
      <c r="A22909" t="inlineStr">
        <is>
          <t>7290016494303</t>
        </is>
      </c>
      <c r="B22909" t="inlineStr">
        <is>
          <t>Moroccanoil Curl Enhancing Shampoo 250 Ml</t>
        </is>
      </c>
      <c r="C22909" t="inlineStr">
        <is>
          <t>Shampoo</t>
        </is>
      </c>
      <c r="D22909" t="inlineStr">
        <is>
          <t>Moroccanoil</t>
        </is>
      </c>
      <c r="E22909" t="n">
        <v>19.78</v>
      </c>
      <c r="F22909" t="n">
        <v>1</v>
      </c>
      <c r="G22909" t="n">
        <v>12</v>
      </c>
      <c r="H22909" s="5">
        <f>HYPERLINK("https://api.qogita.com/variants/link/7290016494303/", "View Product")</f>
        <v/>
      </c>
    </row>
    <row r="22910">
      <c r="A22910" t="inlineStr">
        <is>
          <t>7290016494334</t>
        </is>
      </c>
      <c r="B22910" t="inlineStr">
        <is>
          <t>Moroccanoil Curl Enhancing Conditioner 70ml</t>
        </is>
      </c>
      <c r="C22910" t="inlineStr">
        <is>
          <t>Conditioner</t>
        </is>
      </c>
      <c r="D22910" t="inlineStr">
        <is>
          <t>Moroccanoil</t>
        </is>
      </c>
      <c r="E22910" t="n">
        <v>10.44</v>
      </c>
      <c r="F22910" t="n">
        <v>1</v>
      </c>
      <c r="G22910" t="n">
        <v>15</v>
      </c>
      <c r="H22910" s="5">
        <f>HYPERLINK("https://api.qogita.com/variants/link/7290016494334/", "View Product")</f>
        <v/>
      </c>
    </row>
    <row r="22911">
      <c r="A22911" t="inlineStr">
        <is>
          <t>7290016494341</t>
        </is>
      </c>
      <c r="B22911" t="inlineStr">
        <is>
          <t>Moroccanoil Curl Enhancing Conditioner 250ml</t>
        </is>
      </c>
      <c r="C22911" t="inlineStr">
        <is>
          <t>Conditioner</t>
        </is>
      </c>
      <c r="D22911" t="inlineStr">
        <is>
          <t>Moroccanoil</t>
        </is>
      </c>
      <c r="E22911" t="n">
        <v>22.57</v>
      </c>
      <c r="F22911" t="n">
        <v>1</v>
      </c>
      <c r="G22911" t="n">
        <v>10</v>
      </c>
      <c r="H22911" s="5">
        <f>HYPERLINK("https://api.qogita.com/variants/link/7290016494341/", "View Product")</f>
        <v/>
      </c>
    </row>
    <row r="22912">
      <c r="A22912" t="inlineStr">
        <is>
          <t>7290016494365</t>
        </is>
      </c>
      <c r="B22912" t="inlineStr">
        <is>
          <t>Moroccanoil Curl Enhancing Conditioner 1000ml</t>
        </is>
      </c>
      <c r="C22912" t="inlineStr">
        <is>
          <t>Conditioner</t>
        </is>
      </c>
      <c r="D22912" t="inlineStr">
        <is>
          <t>Moroccanoil</t>
        </is>
      </c>
      <c r="E22912" t="n">
        <v>45.59</v>
      </c>
      <c r="F22912" t="n">
        <v>1</v>
      </c>
      <c r="G22912" t="n">
        <v>4</v>
      </c>
      <c r="H22912" s="5">
        <f>HYPERLINK("https://api.qogita.com/variants/link/7290016494365/", "View Product")</f>
        <v/>
      </c>
    </row>
    <row r="22913">
      <c r="A22913" t="inlineStr">
        <is>
          <t>7290016664591</t>
        </is>
      </c>
      <c r="B22913" t="inlineStr">
        <is>
          <t>Moroccanoil Mending Infusion Repair Serum 75ml Regenerative Infusion For Damaged Hair</t>
        </is>
      </c>
      <c r="C22913" t="inlineStr">
        <is>
          <t>Hair Oil &amp; Hair Serum</t>
        </is>
      </c>
      <c r="D22913" t="inlineStr">
        <is>
          <t>Moroccanoil</t>
        </is>
      </c>
      <c r="E22913" t="n">
        <v>24.5</v>
      </c>
      <c r="F22913" t="n">
        <v>1</v>
      </c>
      <c r="G22913" t="n">
        <v>29</v>
      </c>
      <c r="H22913" s="5">
        <f>HYPERLINK("https://api.qogita.com/variants/link/7290016664591/", "View Product")</f>
        <v/>
      </c>
    </row>
    <row r="22914">
      <c r="A22914" t="inlineStr">
        <is>
          <t>7290017279091</t>
        </is>
      </c>
      <c r="B22914" t="inlineStr">
        <is>
          <t>Moroccanoil Color Complete Post Chromatech Service 1000ml</t>
        </is>
      </c>
      <c r="C22914" t="inlineStr">
        <is>
          <t>Conditioner</t>
        </is>
      </c>
      <c r="D22914" t="inlineStr">
        <is>
          <t>Moroccanoil</t>
        </is>
      </c>
      <c r="E22914" t="n">
        <v>92.06</v>
      </c>
      <c r="F22914" t="n">
        <v>1</v>
      </c>
      <c r="G22914" t="n">
        <v>2</v>
      </c>
      <c r="H22914" s="5">
        <f>HYPERLINK("https://api.qogita.com/variants/link/7290017279091/", "View Product")</f>
        <v/>
      </c>
    </row>
    <row r="22915">
      <c r="A22915" t="inlineStr">
        <is>
          <t>7290017279626</t>
        </is>
      </c>
      <c r="B22915" t="inlineStr">
        <is>
          <t>Moroccanoil Night Body Serum 100ml</t>
        </is>
      </c>
      <c r="C22915" t="inlineStr">
        <is>
          <t>Body Oil</t>
        </is>
      </c>
      <c r="D22915" t="inlineStr">
        <is>
          <t>Moroccanoil</t>
        </is>
      </c>
      <c r="E22915" t="n">
        <v>39.61</v>
      </c>
      <c r="F22915" t="n">
        <v>1</v>
      </c>
      <c r="G22915" t="n">
        <v>23</v>
      </c>
      <c r="H22915" s="5">
        <f>HYPERLINK("https://api.qogita.com/variants/link/7290017279626/", "View Product")</f>
        <v/>
      </c>
    </row>
    <row r="22916">
      <c r="A22916" t="inlineStr">
        <is>
          <t>7290113140639</t>
        </is>
      </c>
      <c r="B22916" t="inlineStr">
        <is>
          <t>Moroccanoil Color Depositing Mask Platinum 30 Ml Toning Hair Mask</t>
        </is>
      </c>
      <c r="C22916" t="inlineStr">
        <is>
          <t>Hair Masks</t>
        </is>
      </c>
      <c r="D22916" t="inlineStr">
        <is>
          <t>Moroccanoil</t>
        </is>
      </c>
      <c r="E22916" t="n">
        <v>7.04</v>
      </c>
      <c r="F22916" t="n">
        <v>1</v>
      </c>
      <c r="G22916" t="n">
        <v>22</v>
      </c>
      <c r="H22916" s="5">
        <f>HYPERLINK("https://api.qogita.com/variants/link/7290113140639/", "View Product")</f>
        <v/>
      </c>
    </row>
    <row r="22917">
      <c r="A22917" t="inlineStr">
        <is>
          <t>7290113140646</t>
        </is>
      </c>
      <c r="B22917" t="inlineStr">
        <is>
          <t>Moroccanoil Color Depositing Mask Rose Gold 200ml</t>
        </is>
      </c>
      <c r="C22917" t="inlineStr">
        <is>
          <t>Hair Masks</t>
        </is>
      </c>
      <c r="D22917" t="inlineStr">
        <is>
          <t>Moroccanoil</t>
        </is>
      </c>
      <c r="E22917" t="n">
        <v>23.96</v>
      </c>
      <c r="F22917" t="n">
        <v>1</v>
      </c>
      <c r="G22917" t="n">
        <v>29</v>
      </c>
      <c r="H22917" s="5">
        <f>HYPERLINK("https://api.qogita.com/variants/link/7290113140646/", "View Product")</f>
        <v/>
      </c>
    </row>
    <row r="22918">
      <c r="A22918" t="inlineStr">
        <is>
          <t>7290113140738</t>
        </is>
      </c>
      <c r="B22918" t="inlineStr">
        <is>
          <t>Moroccanoil Cocoa Toning Mask Color Depositing Mask 30ml</t>
        </is>
      </c>
      <c r="C22918" t="inlineStr">
        <is>
          <t>Hair Masks</t>
        </is>
      </c>
      <c r="D22918" t="inlineStr">
        <is>
          <t>Moroccanoil</t>
        </is>
      </c>
      <c r="E22918" t="n">
        <v>7.06</v>
      </c>
      <c r="F22918" t="n">
        <v>1</v>
      </c>
      <c r="G22918" t="n">
        <v>37</v>
      </c>
      <c r="H22918" s="5">
        <f>HYPERLINK("https://api.qogita.com/variants/link/7290113140738/", "View Product")</f>
        <v/>
      </c>
    </row>
    <row r="22919">
      <c r="A22919" t="inlineStr">
        <is>
          <t>7290113141247</t>
        </is>
      </c>
      <c r="B22919" t="inlineStr">
        <is>
          <t>Moroccanoil Brumes Du Maroc 30ml Fragrance Mist By Moroccanoil</t>
        </is>
      </c>
      <c r="C22919" t="inlineStr">
        <is>
          <t>Eau De Toilette</t>
        </is>
      </c>
      <c r="D22919" t="inlineStr">
        <is>
          <t>Moroccanoil</t>
        </is>
      </c>
      <c r="E22919" t="n">
        <v>14.46</v>
      </c>
      <c r="F22919" t="n">
        <v>1</v>
      </c>
      <c r="G22919" t="n">
        <v>11</v>
      </c>
      <c r="H22919" s="5">
        <f>HYPERLINK("https://api.qogita.com/variants/link/7290113141247/", "View Product")</f>
        <v/>
      </c>
    </row>
    <row r="22920">
      <c r="A22920" t="inlineStr">
        <is>
          <t>7290113141360</t>
        </is>
      </c>
      <c r="B22920" t="inlineStr">
        <is>
          <t>MOROCCANOIL Moisture Repair Duo Travel Gift Set</t>
        </is>
      </c>
      <c r="C22920" t="inlineStr">
        <is>
          <t>Hair Care Sets</t>
        </is>
      </c>
      <c r="D22920" t="inlineStr">
        <is>
          <t>Moroccanoil</t>
        </is>
      </c>
      <c r="E22920" t="n">
        <v>14.27</v>
      </c>
      <c r="F22920" t="n">
        <v>1</v>
      </c>
      <c r="G22920" t="n">
        <v>21</v>
      </c>
      <c r="H22920" s="5">
        <f>HYPERLINK("https://api.qogita.com/variants/link/7290113141360/", "View Product")</f>
        <v/>
      </c>
    </row>
    <row r="22921">
      <c r="A22921" t="inlineStr">
        <is>
          <t>7290113145283</t>
        </is>
      </c>
      <c r="B22921" t="inlineStr">
        <is>
          <t>Moroccanoil Blonde Perfecting Purple Conditioner 33.8 fl oz 1l</t>
        </is>
      </c>
      <c r="C22921" t="inlineStr">
        <is>
          <t>Conditioner</t>
        </is>
      </c>
      <c r="D22921" t="inlineStr">
        <is>
          <t>Moroccanoil</t>
        </is>
      </c>
      <c r="E22921" t="n">
        <v>53.54</v>
      </c>
      <c r="F22921" t="n">
        <v>1</v>
      </c>
      <c r="G22921" t="n">
        <v>5</v>
      </c>
      <c r="H22921" s="5">
        <f>HYPERLINK("https://api.qogita.com/variants/link/7290113145283/", "View Product")</f>
        <v/>
      </c>
    </row>
    <row r="22922">
      <c r="A22922" t="inlineStr">
        <is>
          <t>7290113145863</t>
        </is>
      </c>
      <c r="B22922" t="inlineStr">
        <is>
          <t>Moroccanoil Color Care Shampoo 250ml Moisturizing Shampoo For Colored Hair</t>
        </is>
      </c>
      <c r="C22922" t="inlineStr">
        <is>
          <t>Shampoo</t>
        </is>
      </c>
      <c r="D22922" t="inlineStr">
        <is>
          <t>Moroccanoil</t>
        </is>
      </c>
      <c r="E22922" t="n">
        <v>23.03</v>
      </c>
      <c r="F22922" t="n">
        <v>1</v>
      </c>
      <c r="G22922" t="n">
        <v>5</v>
      </c>
      <c r="H22922" s="5">
        <f>HYPERLINK("https://api.qogita.com/variants/link/7290113145863/", "View Product")</f>
        <v/>
      </c>
    </row>
    <row r="22923">
      <c r="A22923" t="inlineStr">
        <is>
          <t>7290113145870</t>
        </is>
      </c>
      <c r="B22923" t="inlineStr">
        <is>
          <t>Moroccanoil Color Care Conditioner 250ml Moisturizing Conditioner For Colored Hair</t>
        </is>
      </c>
      <c r="C22923" t="inlineStr">
        <is>
          <t>Conditioner</t>
        </is>
      </c>
      <c r="D22923" t="inlineStr">
        <is>
          <t>Moroccanoil</t>
        </is>
      </c>
      <c r="E22923" t="n">
        <v>20</v>
      </c>
      <c r="F22923" t="n">
        <v>1</v>
      </c>
      <c r="G22923" t="n">
        <v>5</v>
      </c>
      <c r="H22923" s="5">
        <f>HYPERLINK("https://api.qogita.com/variants/link/7290113145870/", "View Product")</f>
        <v/>
      </c>
    </row>
    <row r="22924">
      <c r="A22924" t="inlineStr">
        <is>
          <t>7290113146396</t>
        </is>
      </c>
      <c r="B22924" t="inlineStr">
        <is>
          <t>Moroccanoil Ambiance De Plage Shower Gel 250 Ml</t>
        </is>
      </c>
      <c r="C22924" t="inlineStr">
        <is>
          <t>Shower Gel</t>
        </is>
      </c>
      <c r="D22924" t="inlineStr">
        <is>
          <t>Moroccanoil</t>
        </is>
      </c>
      <c r="E22924" t="n">
        <v>17.5</v>
      </c>
      <c r="F22924" t="n">
        <v>1</v>
      </c>
      <c r="G22924" t="n">
        <v>5</v>
      </c>
      <c r="H22924" s="5">
        <f>HYPERLINK("https://api.qogita.com/variants/link/7290113146396/", "View Product")</f>
        <v/>
      </c>
    </row>
    <row r="22925">
      <c r="A22925" t="inlineStr">
        <is>
          <t>7290116972121</t>
        </is>
      </c>
      <c r="B22925" t="inlineStr">
        <is>
          <t>Moroccanoil Intense Nourishing Hair Serum Intense Smoothing Serum 50ml</t>
        </is>
      </c>
      <c r="C22925" t="inlineStr">
        <is>
          <t>Hair Oil &amp; Hair Serum</t>
        </is>
      </c>
      <c r="D22925" t="inlineStr">
        <is>
          <t>Moroccanoil</t>
        </is>
      </c>
      <c r="E22925" t="n">
        <v>22.84</v>
      </c>
      <c r="F22925" t="n">
        <v>1</v>
      </c>
      <c r="G22925" t="n">
        <v>25</v>
      </c>
      <c r="H22925" s="5">
        <f>HYPERLINK("https://api.qogita.com/variants/link/7290116972121/", "View Product")</f>
        <v/>
      </c>
    </row>
    <row r="22926">
      <c r="A22926" t="inlineStr">
        <is>
          <t>7290116972473</t>
        </is>
      </c>
      <c r="B22926" t="inlineStr">
        <is>
          <t>Moroccanoil Frizz Control Shampoo 70ml</t>
        </is>
      </c>
      <c r="C22926" t="inlineStr">
        <is>
          <t>Shampoo</t>
        </is>
      </c>
      <c r="D22926" t="inlineStr">
        <is>
          <t>Moroccanoil</t>
        </is>
      </c>
      <c r="E22926" t="n">
        <v>8.99</v>
      </c>
      <c r="F22926" t="n">
        <v>1</v>
      </c>
      <c r="G22926" t="n">
        <v>3</v>
      </c>
      <c r="H22926" s="5">
        <f>HYPERLINK("https://api.qogita.com/variants/link/7290116972473/", "View Product")</f>
        <v/>
      </c>
    </row>
    <row r="22927">
      <c r="A22927" t="inlineStr">
        <is>
          <t>7290116972503</t>
        </is>
      </c>
      <c r="B22927" t="inlineStr">
        <is>
          <t>Moroccanoil Frizz Control Conditioner 250ml Moroccanoil</t>
        </is>
      </c>
      <c r="C22927" t="inlineStr">
        <is>
          <t>Conditioner</t>
        </is>
      </c>
      <c r="D22927" t="inlineStr">
        <is>
          <t>Moroccanoil</t>
        </is>
      </c>
      <c r="E22927" t="n">
        <v>17.4</v>
      </c>
      <c r="F22927" t="n">
        <v>1</v>
      </c>
      <c r="G22927" t="n">
        <v>3</v>
      </c>
      <c r="H22927" s="5">
        <f>HYPERLINK("https://api.qogita.com/variants/link/7290116972503/", "View Product")</f>
        <v/>
      </c>
    </row>
    <row r="22928">
      <c r="A22928" t="inlineStr">
        <is>
          <t>7290116974088</t>
        </is>
      </c>
      <c r="B22928" t="inlineStr">
        <is>
          <t>Moroccanoil Liquid Hand Soap Dahlia Rouge 360 Ml</t>
        </is>
      </c>
      <c r="C22928" t="inlineStr">
        <is>
          <t>Hand Soap</t>
        </is>
      </c>
      <c r="D22928" t="inlineStr">
        <is>
          <t>Moroccanoil</t>
        </is>
      </c>
      <c r="E22928" t="n">
        <v>15.74</v>
      </c>
      <c r="F22928" t="n">
        <v>1</v>
      </c>
      <c r="G22928" t="n">
        <v>5</v>
      </c>
      <c r="H22928" s="5">
        <f>HYPERLINK("https://api.qogita.com/variants/link/7290116974088/", "View Product")</f>
        <v/>
      </c>
    </row>
    <row r="22929">
      <c r="A22929" t="inlineStr">
        <is>
          <t>7290116974231</t>
        </is>
      </c>
      <c r="B22929" t="inlineStr">
        <is>
          <t>Moroccanoil Purifying Scrub Scalp 125ml</t>
        </is>
      </c>
      <c r="C22929" t="inlineStr">
        <is>
          <t>Scalp Care</t>
        </is>
      </c>
      <c r="D22929" t="inlineStr">
        <is>
          <t>Moroccanoil</t>
        </is>
      </c>
      <c r="E22929" t="n">
        <v>21.78</v>
      </c>
      <c r="F22929" t="n">
        <v>1</v>
      </c>
      <c r="G22929" t="n">
        <v>3</v>
      </c>
      <c r="H22929" s="5">
        <f>HYPERLINK("https://api.qogita.com/variants/link/7290116974231/", "View Product")</f>
        <v/>
      </c>
    </row>
    <row r="22930">
      <c r="A22930" t="inlineStr">
        <is>
          <t>7290116974255</t>
        </is>
      </c>
      <c r="B22930" t="inlineStr">
        <is>
          <t>Moroccanoil Revitalizing Scalp Tonic 100ml Professional Hair Care</t>
        </is>
      </c>
      <c r="C22930" t="inlineStr">
        <is>
          <t>Scalp Care</t>
        </is>
      </c>
      <c r="D22930" t="inlineStr">
        <is>
          <t>Moroccanoil</t>
        </is>
      </c>
      <c r="E22930" t="n">
        <v>27.42</v>
      </c>
      <c r="F22930" t="n">
        <v>1</v>
      </c>
      <c r="G22930" t="n">
        <v>4</v>
      </c>
      <c r="H22930" s="5">
        <f>HYPERLINK("https://api.qogita.com/variants/link/7290116974255/", "View Product")</f>
        <v/>
      </c>
    </row>
    <row r="22931">
      <c r="A22931" t="inlineStr">
        <is>
          <t>7317400001982</t>
        </is>
      </c>
      <c r="B22931" t="inlineStr">
        <is>
          <t>Tepe Interdental Brush Original Mixed Pack 8 Pieces Of Mixed Interdental Brushes</t>
        </is>
      </c>
      <c r="C22931" t="inlineStr">
        <is>
          <t>Mouth &amp; Gum Care</t>
        </is>
      </c>
      <c r="D22931" t="inlineStr">
        <is>
          <t>Tepe</t>
        </is>
      </c>
      <c r="E22931" t="n">
        <v>3.8</v>
      </c>
      <c r="F22931" t="n">
        <v>1</v>
      </c>
      <c r="G22931" t="n">
        <v>2</v>
      </c>
      <c r="H22931" s="5">
        <f>HYPERLINK("https://api.qogita.com/variants/link/7317400001982/", "View Product")</f>
        <v/>
      </c>
    </row>
    <row r="22932">
      <c r="A22932" t="inlineStr">
        <is>
          <t>7317400011479</t>
        </is>
      </c>
      <c r="B22932" t="inlineStr">
        <is>
          <t>Tepe Angle Interdental Brush 04 Mm 6 Pieces</t>
        </is>
      </c>
      <c r="C22932" t="inlineStr">
        <is>
          <t>Mouth &amp; Gum Care</t>
        </is>
      </c>
      <c r="D22932" t="inlineStr">
        <is>
          <t>Tepe</t>
        </is>
      </c>
      <c r="E22932" t="n">
        <v>3.83</v>
      </c>
      <c r="F22932" t="n">
        <v>1</v>
      </c>
      <c r="G22932" t="n">
        <v>19</v>
      </c>
      <c r="H22932" s="5">
        <f>HYPERLINK("https://api.qogita.com/variants/link/7317400011479/", "View Product")</f>
        <v/>
      </c>
    </row>
    <row r="22933">
      <c r="A22933" t="inlineStr">
        <is>
          <t>7317400011530</t>
        </is>
      </c>
      <c r="B22933" t="inlineStr">
        <is>
          <t>Tepe Angle Interdental Brush Red 05 Mm 6 Pieces</t>
        </is>
      </c>
      <c r="C22933" t="inlineStr">
        <is>
          <t>Orthodontics &amp; Dentures</t>
        </is>
      </c>
      <c r="D22933" t="inlineStr">
        <is>
          <t>Tepe</t>
        </is>
      </c>
      <c r="E22933" t="n">
        <v>3.68</v>
      </c>
      <c r="F22933" t="n">
        <v>1</v>
      </c>
      <c r="G22933" t="n">
        <v>31</v>
      </c>
      <c r="H22933" s="5">
        <f>HYPERLINK("https://api.qogita.com/variants/link/7317400011530/", "View Product")</f>
        <v/>
      </c>
    </row>
    <row r="22934">
      <c r="A22934" t="inlineStr">
        <is>
          <t>7317400015279</t>
        </is>
      </c>
      <c r="B22934" t="inlineStr">
        <is>
          <t>Tepe Interdental Brush Normal 04 Mm Pink 8 Pieces</t>
        </is>
      </c>
      <c r="C22934" t="inlineStr">
        <is>
          <t>Mouth &amp; Gum Care</t>
        </is>
      </c>
      <c r="D22934" t="inlineStr">
        <is>
          <t>Tepe</t>
        </is>
      </c>
      <c r="E22934" t="n">
        <v>3.78</v>
      </c>
      <c r="F22934" t="n">
        <v>1</v>
      </c>
      <c r="G22934" t="n">
        <v>34</v>
      </c>
      <c r="H22934" s="5">
        <f>HYPERLINK("https://api.qogita.com/variants/link/7317400015279/", "View Product")</f>
        <v/>
      </c>
    </row>
    <row r="22935">
      <c r="A22935" t="inlineStr">
        <is>
          <t>7317400015330</t>
        </is>
      </c>
      <c r="B22935" t="inlineStr">
        <is>
          <t>Tepe Interdental Brush Normal 05 Mm Red 8 Pieces</t>
        </is>
      </c>
      <c r="C22935" t="inlineStr">
        <is>
          <t>Mouth &amp; Gum Care</t>
        </is>
      </c>
      <c r="D22935" t="inlineStr">
        <is>
          <t>Tepe</t>
        </is>
      </c>
      <c r="E22935" t="n">
        <v>3.82</v>
      </c>
      <c r="F22935" t="n">
        <v>1</v>
      </c>
      <c r="G22935" t="n">
        <v>21</v>
      </c>
      <c r="H22935" s="5">
        <f>HYPERLINK("https://api.qogita.com/variants/link/7317400015330/", "View Product")</f>
        <v/>
      </c>
    </row>
    <row r="22936">
      <c r="A22936" t="inlineStr">
        <is>
          <t>7340032816280</t>
        </is>
      </c>
      <c r="B22936" t="inlineStr">
        <is>
          <t>Byredo Bibliotheque Eau De Parfum 100ml Unisex Spray</t>
        </is>
      </c>
      <c r="C22936" t="inlineStr">
        <is>
          <t>Eau De Parfum</t>
        </is>
      </c>
      <c r="D22936" t="inlineStr">
        <is>
          <t>Byredo</t>
        </is>
      </c>
      <c r="E22936" t="n">
        <v>211.4</v>
      </c>
      <c r="F22936" t="n">
        <v>1</v>
      </c>
      <c r="G22936" t="n">
        <v>11</v>
      </c>
      <c r="H22936" s="5">
        <f>HYPERLINK("https://api.qogita.com/variants/link/7340032816280/", "View Product")</f>
        <v/>
      </c>
    </row>
    <row r="22937">
      <c r="A22937" t="inlineStr">
        <is>
          <t>7340032821048</t>
        </is>
      </c>
      <c r="B22937" t="inlineStr">
        <is>
          <t>Eleventh Hour Byredo For Women 1.6 Oz EDP Spray 50ml</t>
        </is>
      </c>
      <c r="C22937" t="inlineStr">
        <is>
          <t>Eau De Parfum</t>
        </is>
      </c>
      <c r="D22937" t="inlineStr">
        <is>
          <t>Byredo</t>
        </is>
      </c>
      <c r="E22937" t="n">
        <v>121.53</v>
      </c>
      <c r="F22937" t="n">
        <v>1</v>
      </c>
      <c r="G22937" t="n">
        <v>5</v>
      </c>
      <c r="H22937" s="5">
        <f>HYPERLINK("https://api.qogita.com/variants/link/7340032821048/", "View Product")</f>
        <v/>
      </c>
    </row>
    <row r="22938">
      <c r="A22938" t="inlineStr">
        <is>
          <t>7340032857795</t>
        </is>
      </c>
      <c r="B22938" t="inlineStr">
        <is>
          <t>Byredo Mumbai Noise Eau De Parfum 100ml</t>
        </is>
      </c>
      <c r="C22938" t="inlineStr">
        <is>
          <t>Eau De Parfum</t>
        </is>
      </c>
      <c r="D22938" t="inlineStr">
        <is>
          <t>Byredo</t>
        </is>
      </c>
      <c r="E22938" t="n">
        <v>137.29</v>
      </c>
      <c r="F22938" t="n">
        <v>1</v>
      </c>
      <c r="G22938" t="n">
        <v>7</v>
      </c>
      <c r="H22938" s="5">
        <f>HYPERLINK("https://api.qogita.com/variants/link/7340032857795/", "View Product")</f>
        <v/>
      </c>
    </row>
    <row r="22939">
      <c r="A22939" t="inlineStr">
        <is>
          <t>7340032860795</t>
        </is>
      </c>
      <c r="B22939" t="inlineStr">
        <is>
          <t>Mojave Ghost by Byredo Unisex Hair Perfume 2.5 Oz 75ml</t>
        </is>
      </c>
      <c r="C22939" t="inlineStr">
        <is>
          <t>Eau De Parfum</t>
        </is>
      </c>
      <c r="D22939" t="inlineStr">
        <is>
          <t>Byredo</t>
        </is>
      </c>
      <c r="E22939" t="n">
        <v>61.74</v>
      </c>
      <c r="F22939" t="n">
        <v>1</v>
      </c>
      <c r="G22939" t="n">
        <v>2</v>
      </c>
      <c r="H22939" s="5">
        <f>HYPERLINK("https://api.qogita.com/variants/link/7340032860795/", "View Product")</f>
        <v/>
      </c>
    </row>
    <row r="22940">
      <c r="A22940" t="inlineStr">
        <is>
          <t>7340032860894</t>
        </is>
      </c>
      <c r="B22940" t="inlineStr">
        <is>
          <t>Byredo Rose Noir Eau De Parfum 100ml Unisex Spray</t>
        </is>
      </c>
      <c r="C22940" t="inlineStr">
        <is>
          <t>Eau De Parfum</t>
        </is>
      </c>
      <c r="D22940" t="inlineStr">
        <is>
          <t>Byredo</t>
        </is>
      </c>
      <c r="E22940" t="n">
        <v>191.76</v>
      </c>
      <c r="F22940" t="n">
        <v>1</v>
      </c>
      <c r="G22940" t="n">
        <v>3</v>
      </c>
      <c r="H22940" s="5">
        <f>HYPERLINK("https://api.qogita.com/variants/link/7340032860894/", "View Product")</f>
        <v/>
      </c>
    </row>
    <row r="22941">
      <c r="A22941" t="inlineStr">
        <is>
          <t>7350001697109</t>
        </is>
      </c>
      <c r="B22941" t="inlineStr">
        <is>
          <t>Ref of Sweden Dry Shampoo 6.8 Ounce</t>
        </is>
      </c>
      <c r="C22941" t="inlineStr">
        <is>
          <t>Dry Shampoo</t>
        </is>
      </c>
      <c r="D22941" t="inlineStr">
        <is>
          <t>Referens Of Sweden</t>
        </is>
      </c>
      <c r="E22941" t="n">
        <v>11.97</v>
      </c>
      <c r="F22941" t="n">
        <v>1</v>
      </c>
      <c r="G22941" t="n">
        <v>6</v>
      </c>
      <c r="H22941" s="5">
        <f>HYPERLINK("https://api.qogita.com/variants/link/7350001697109/", "View Product")</f>
        <v/>
      </c>
    </row>
    <row r="22942">
      <c r="A22942" t="inlineStr">
        <is>
          <t>7350016331128</t>
        </is>
      </c>
      <c r="B22942" t="inlineStr">
        <is>
          <t>SACHAJUAN Ocean Mist 150ml</t>
        </is>
      </c>
      <c r="C22942" t="inlineStr">
        <is>
          <t>Hair Oil &amp; Hair Serum</t>
        </is>
      </c>
      <c r="D22942" t="inlineStr">
        <is>
          <t>Sachajuan</t>
        </is>
      </c>
      <c r="E22942" t="n">
        <v>18.45</v>
      </c>
      <c r="F22942" t="n">
        <v>1</v>
      </c>
      <c r="G22942" t="n">
        <v>23</v>
      </c>
      <c r="H22942" s="5">
        <f>HYPERLINK("https://api.qogita.com/variants/link/7350016331128/", "View Product")</f>
        <v/>
      </c>
    </row>
    <row r="22943">
      <c r="A22943" t="inlineStr">
        <is>
          <t>7350016331135</t>
        </is>
      </c>
      <c r="B22943" t="inlineStr">
        <is>
          <t>Sachajuan Root Lift Strong Hold Hair Spray For Volume And Stability</t>
        </is>
      </c>
      <c r="C22943" t="inlineStr">
        <is>
          <t>Hairspray</t>
        </is>
      </c>
      <c r="D22943" t="inlineStr">
        <is>
          <t>Sachajuan</t>
        </is>
      </c>
      <c r="E22943" t="n">
        <v>18.87</v>
      </c>
      <c r="F22943" t="n">
        <v>1</v>
      </c>
      <c r="G22943" t="n">
        <v>5</v>
      </c>
      <c r="H22943" s="5">
        <f>HYPERLINK("https://api.qogita.com/variants/link/7350016331135/", "View Product")</f>
        <v/>
      </c>
    </row>
    <row r="22944">
      <c r="A22944" t="inlineStr">
        <is>
          <t>7350016331494</t>
        </is>
      </c>
      <c r="B22944" t="inlineStr">
        <is>
          <t>Sachajuan Volume Powder 75ml</t>
        </is>
      </c>
      <c r="C22944" t="inlineStr">
        <is>
          <t>Volume Powder</t>
        </is>
      </c>
      <c r="D22944" t="inlineStr">
        <is>
          <t>Sachajuan</t>
        </is>
      </c>
      <c r="E22944" t="n">
        <v>12.56</v>
      </c>
      <c r="F22944" t="n">
        <v>1</v>
      </c>
      <c r="G22944" t="n">
        <v>2</v>
      </c>
      <c r="H22944" s="5">
        <f>HYPERLINK("https://api.qogita.com/variants/link/7350016331494/", "View Product")</f>
        <v/>
      </c>
    </row>
    <row r="22945">
      <c r="A22945" t="inlineStr">
        <is>
          <t>7350016331555</t>
        </is>
      </c>
      <c r="B22945" t="inlineStr">
        <is>
          <t>SACHAJUAN Scalp Shampoo 4 Fl Oz</t>
        </is>
      </c>
      <c r="C22945" t="inlineStr">
        <is>
          <t>Shampoo</t>
        </is>
      </c>
      <c r="D22945" t="inlineStr">
        <is>
          <t>Sachajuan</t>
        </is>
      </c>
      <c r="E22945" t="n">
        <v>10.19</v>
      </c>
      <c r="F22945" t="n">
        <v>1</v>
      </c>
      <c r="G22945" t="n">
        <v>3</v>
      </c>
      <c r="H22945" s="5">
        <f>HYPERLINK("https://api.qogita.com/variants/link/7350016331555/", "View Product")</f>
        <v/>
      </c>
    </row>
    <row r="22946">
      <c r="A22946" t="inlineStr">
        <is>
          <t>0000009403918</t>
        </is>
      </c>
      <c r="B22946" t="inlineStr">
        <is>
          <t>OPI Gelcolor Gel Polish Collection 15ml Bottles</t>
        </is>
      </c>
      <c r="C22946" t="inlineStr">
        <is>
          <t>Nail Care Sets</t>
        </is>
      </c>
      <c r="D22946" t="inlineStr">
        <is>
          <t>OPI</t>
        </is>
      </c>
      <c r="E22946" t="n">
        <v>9.380000000000001</v>
      </c>
      <c r="F22946" t="n">
        <v>1</v>
      </c>
      <c r="G22946" t="n">
        <v>5</v>
      </c>
      <c r="H22946" s="5">
        <f>HYPERLINK("https://api.qogita.com/variants/link/0000009403918/", "View Product")</f>
        <v/>
      </c>
    </row>
    <row r="22947">
      <c r="A22947" t="inlineStr">
        <is>
          <t>0000009425910</t>
        </is>
      </c>
      <c r="B22947" t="inlineStr">
        <is>
          <t>OPI Gelcolor Soak Off Gel Nail Polish in O Suzi Mio 7.5ml</t>
        </is>
      </c>
      <c r="C22947" t="inlineStr">
        <is>
          <t>Gel Polish</t>
        </is>
      </c>
      <c r="D22947" t="inlineStr">
        <is>
          <t>OPI</t>
        </is>
      </c>
      <c r="E22947" t="n">
        <v>9.51</v>
      </c>
      <c r="F22947" t="n">
        <v>1</v>
      </c>
      <c r="G22947" t="n">
        <v>3</v>
      </c>
      <c r="H22947" s="5">
        <f>HYPERLINK("https://api.qogita.com/variants/link/0000009425910/", "View Product")</f>
        <v/>
      </c>
    </row>
    <row r="22948">
      <c r="A22948" t="inlineStr">
        <is>
          <t>0000030095250</t>
        </is>
      </c>
      <c r="B22948" t="inlineStr">
        <is>
          <t>Essie Original High Shine and High Coverage Nail Polish Rose Cream Opaque Colour Shade 23 Eternal Optimist 13.5ml</t>
        </is>
      </c>
      <c r="C22948" t="inlineStr">
        <is>
          <t>Nail Polish</t>
        </is>
      </c>
      <c r="D22948" t="inlineStr">
        <is>
          <t>Essie</t>
        </is>
      </c>
      <c r="E22948" t="n">
        <v>7</v>
      </c>
      <c r="F22948" t="n">
        <v>1</v>
      </c>
      <c r="G22948" t="n">
        <v>4</v>
      </c>
      <c r="H22948" s="5">
        <f>HYPERLINK("https://api.qogita.com/variants/link/0000030095250/", "View Product")</f>
        <v/>
      </c>
    </row>
    <row r="22949">
      <c r="A22949" t="inlineStr">
        <is>
          <t>0000030096585</t>
        </is>
      </c>
      <c r="B22949" t="inlineStr">
        <is>
          <t>Maybelline New York Fit Me Liquid Concealer 10 Light 6.8ml Beige</t>
        </is>
      </c>
      <c r="C22949" t="inlineStr">
        <is>
          <t>Concealer</t>
        </is>
      </c>
      <c r="D22949" t="inlineStr">
        <is>
          <t>Maybelline</t>
        </is>
      </c>
      <c r="E22949" t="n">
        <v>4.54</v>
      </c>
      <c r="F22949" t="n">
        <v>1</v>
      </c>
      <c r="G22949" t="n">
        <v>3</v>
      </c>
      <c r="H22949" s="5">
        <f>HYPERLINK("https://api.qogita.com/variants/link/0000030096585/", "View Product")</f>
        <v/>
      </c>
    </row>
    <row r="22950">
      <c r="A22950" t="inlineStr">
        <is>
          <t>0000030106659</t>
        </is>
      </c>
      <c r="B22950" t="inlineStr">
        <is>
          <t>La Roche-Posay Repairing Lip Balm 7.5ml</t>
        </is>
      </c>
      <c r="C22950" t="inlineStr">
        <is>
          <t>Lip Balm</t>
        </is>
      </c>
      <c r="D22950" t="inlineStr">
        <is>
          <t>La Roche-Posay</t>
        </is>
      </c>
      <c r="E22950" t="n">
        <v>6.78</v>
      </c>
      <c r="F22950" t="n">
        <v>1</v>
      </c>
      <c r="G22950" t="n">
        <v>12</v>
      </c>
      <c r="H22950" s="5">
        <f>HYPERLINK("https://api.qogita.com/variants/link/0000030106659/", "View Product")</f>
        <v/>
      </c>
    </row>
    <row r="22951">
      <c r="A22951" t="inlineStr">
        <is>
          <t>0000030121157</t>
        </is>
      </c>
      <c r="B22951" t="inlineStr">
        <is>
          <t>Rimmel Super Gel Kate 042 Nail Polish 12ml</t>
        </is>
      </c>
      <c r="C22951" t="inlineStr">
        <is>
          <t>Nail Polish</t>
        </is>
      </c>
      <c r="D22951" t="inlineStr">
        <is>
          <t>Rimmel London</t>
        </is>
      </c>
      <c r="E22951" t="n">
        <v>3.63</v>
      </c>
      <c r="F22951" t="n">
        <v>1</v>
      </c>
      <c r="G22951" t="n">
        <v>7</v>
      </c>
      <c r="H22951" s="5">
        <f>HYPERLINK("https://api.qogita.com/variants/link/0000030121157/", "View Product")</f>
        <v/>
      </c>
    </row>
    <row r="22952">
      <c r="A22952" t="inlineStr">
        <is>
          <t>0000030121546</t>
        </is>
      </c>
      <c r="B22952" t="inlineStr">
        <is>
          <t>Rimmel London Super Gel French Manicure Nail Tip Whitener 90 Porcelain 12ml</t>
        </is>
      </c>
      <c r="C22952" t="inlineStr">
        <is>
          <t>Nail Polish</t>
        </is>
      </c>
      <c r="D22952" t="inlineStr">
        <is>
          <t>Rimmel London</t>
        </is>
      </c>
      <c r="E22952" t="n">
        <v>1.47</v>
      </c>
      <c r="F22952" t="n">
        <v>1</v>
      </c>
      <c r="G22952" t="n">
        <v>142</v>
      </c>
      <c r="H22952" s="5">
        <f>HYPERLINK("https://api.qogita.com/variants/link/0000030121546/", "View Product")</f>
        <v/>
      </c>
    </row>
    <row r="22953">
      <c r="A22953" t="inlineStr">
        <is>
          <t>0000030122741</t>
        </is>
      </c>
      <c r="B22953" t="inlineStr">
        <is>
          <t>Nail polish Rimmel London Super Gel Plum Pudding Nº 064 12ml</t>
        </is>
      </c>
      <c r="C22953" t="inlineStr">
        <is>
          <t>Nail Polish</t>
        </is>
      </c>
      <c r="D22953" t="inlineStr">
        <is>
          <t>Rimmel London</t>
        </is>
      </c>
      <c r="E22953" t="n">
        <v>1.91</v>
      </c>
      <c r="F22953" t="n">
        <v>1</v>
      </c>
      <c r="G22953" t="n">
        <v>2</v>
      </c>
      <c r="H22953" s="5">
        <f>HYPERLINK("https://api.qogita.com/variants/link/0000030122741/", "View Product")</f>
        <v/>
      </c>
    </row>
    <row r="22954">
      <c r="A22954" t="inlineStr">
        <is>
          <t>0000030143265</t>
        </is>
      </c>
      <c r="B22954" t="inlineStr">
        <is>
          <t>Maybelline Colossal Big Shot Mascara Black 9.5ml</t>
        </is>
      </c>
      <c r="C22954" t="inlineStr">
        <is>
          <t>Mascara</t>
        </is>
      </c>
      <c r="D22954" t="inlineStr">
        <is>
          <t>L'Oréal Paris</t>
        </is>
      </c>
      <c r="E22954" t="n">
        <v>5.46</v>
      </c>
      <c r="F22954" t="n">
        <v>1</v>
      </c>
      <c r="G22954" t="n">
        <v>5</v>
      </c>
      <c r="H22954" s="5">
        <f>HYPERLINK("https://api.qogita.com/variants/link/0000030143265/", "View Product")</f>
        <v/>
      </c>
    </row>
    <row r="22955">
      <c r="A22955" t="inlineStr">
        <is>
          <t>0000030144590</t>
        </is>
      </c>
      <c r="B22955" t="inlineStr">
        <is>
          <t>Essie Original Blue Nail Polish 13.5ml Offbeat Chic</t>
        </is>
      </c>
      <c r="C22955" t="inlineStr">
        <is>
          <t>Nail Polish</t>
        </is>
      </c>
      <c r="D22955" t="inlineStr">
        <is>
          <t>Essie</t>
        </is>
      </c>
      <c r="E22955" t="n">
        <v>5.75</v>
      </c>
      <c r="F22955" t="n">
        <v>1</v>
      </c>
      <c r="G22955" t="n">
        <v>5</v>
      </c>
      <c r="H22955" s="5">
        <f>HYPERLINK("https://api.qogita.com/variants/link/0000030144590/", "View Product")</f>
        <v/>
      </c>
    </row>
    <row r="22956">
      <c r="A22956" t="inlineStr">
        <is>
          <t>0000030146792</t>
        </is>
      </c>
      <c r="B22956" t="inlineStr">
        <is>
          <t>Maybelline Matte Liquid Lipstick Super Stay Teddy Tint - 5 Ml</t>
        </is>
      </c>
      <c r="C22956" t="inlineStr">
        <is>
          <t>Lipstick</t>
        </is>
      </c>
      <c r="D22956" t="inlineStr">
        <is>
          <t>Maybelline</t>
        </is>
      </c>
      <c r="E22956" t="n">
        <v>9.550000000000001</v>
      </c>
      <c r="F22956" t="n">
        <v>1</v>
      </c>
      <c r="G22956" t="n">
        <v>12</v>
      </c>
      <c r="H22956" s="5">
        <f>HYPERLINK("https://api.qogita.com/variants/link/0000030146792/", "View Product")</f>
        <v/>
      </c>
    </row>
    <row r="22957">
      <c r="A22957" t="inlineStr">
        <is>
          <t>0000030147119</t>
        </is>
      </c>
      <c r="B22957" t="inlineStr">
        <is>
          <t>Maybelline New York Pink Mascara for Extremely Long Eyelashes Lash Sensational</t>
        </is>
      </c>
      <c r="C22957" t="inlineStr">
        <is>
          <t>Mascara</t>
        </is>
      </c>
      <c r="D22957" t="inlineStr">
        <is>
          <t>Maybelline</t>
        </is>
      </c>
      <c r="E22957" t="n">
        <v>7.27</v>
      </c>
      <c r="F22957" t="n">
        <v>1</v>
      </c>
      <c r="G22957" t="n">
        <v>3</v>
      </c>
      <c r="H22957" s="5">
        <f>HYPERLINK("https://api.qogita.com/variants/link/0000030147119/", "View Product")</f>
        <v/>
      </c>
    </row>
    <row r="22958">
      <c r="A22958" t="inlineStr">
        <is>
          <t>0000030147218</t>
        </is>
      </c>
      <c r="B22958" t="inlineStr">
        <is>
          <t>Maybelline New York Shiny Lip Gloss for Fuller Looking Lips Moisturizing with Hyaluronic Acid Lifter Gloss Candy Drop Color: No. 022 Peach Ring 5.4ml</t>
        </is>
      </c>
      <c r="C22958" t="inlineStr">
        <is>
          <t>Lip Gloss</t>
        </is>
      </c>
      <c r="D22958" t="inlineStr">
        <is>
          <t>Maybelline</t>
        </is>
      </c>
      <c r="E22958" t="n">
        <v>7.79</v>
      </c>
      <c r="F22958" t="n">
        <v>1</v>
      </c>
      <c r="G22958" t="n">
        <v>2</v>
      </c>
      <c r="H22958" s="5">
        <f>HYPERLINK("https://api.qogita.com/variants/link/0000030147218/", "View Product")</f>
        <v/>
      </c>
    </row>
    <row r="22959">
      <c r="A22959" t="inlineStr">
        <is>
          <t>0000030147317</t>
        </is>
      </c>
      <c r="B22959" t="inlineStr">
        <is>
          <t>Maybelline New York Lash Sensational Sky High Mascara Volumizing &amp; Lengthening</t>
        </is>
      </c>
      <c r="C22959" t="inlineStr">
        <is>
          <t>Mascara</t>
        </is>
      </c>
      <c r="D22959" t="inlineStr">
        <is>
          <t>Maybelline</t>
        </is>
      </c>
      <c r="E22959" t="n">
        <v>6.66</v>
      </c>
      <c r="F22959" t="n">
        <v>1</v>
      </c>
      <c r="G22959" t="n">
        <v>14</v>
      </c>
      <c r="H22959" s="5">
        <f>HYPERLINK("https://api.qogita.com/variants/link/0000030147317/", "View Product")</f>
        <v/>
      </c>
    </row>
    <row r="22960">
      <c r="A22960" t="inlineStr">
        <is>
          <t>0000030148093</t>
        </is>
      </c>
      <c r="B22960" t="inlineStr">
        <is>
          <t>Maybelline New York Smudge-Free Long Lasting Lip Colour Liquid</t>
        </is>
      </c>
      <c r="C22960" t="inlineStr">
        <is>
          <t>Lipstick</t>
        </is>
      </c>
      <c r="D22960" t="inlineStr">
        <is>
          <t>Maybelline</t>
        </is>
      </c>
      <c r="E22960" t="n">
        <v>9.69</v>
      </c>
      <c r="F22960" t="n">
        <v>1</v>
      </c>
      <c r="G22960" t="n">
        <v>5</v>
      </c>
      <c r="H22960" s="5">
        <f>HYPERLINK("https://api.qogita.com/variants/link/0000030148093/", "View Product")</f>
        <v/>
      </c>
    </row>
    <row r="22961">
      <c r="A22961" t="inlineStr">
        <is>
          <t>0000030148130</t>
        </is>
      </c>
      <c r="B22961" t="inlineStr">
        <is>
          <t>Lancome Bi-Facil Instant Eye Makeup Remover Lotion, 75ml</t>
        </is>
      </c>
      <c r="C22961" t="inlineStr">
        <is>
          <t>Eye Makeup Remover</t>
        </is>
      </c>
      <c r="D22961" t="inlineStr">
        <is>
          <t>Lancôme</t>
        </is>
      </c>
      <c r="E22961" t="n">
        <v>10.74</v>
      </c>
      <c r="F22961" t="n">
        <v>1</v>
      </c>
      <c r="G22961" t="n">
        <v>4</v>
      </c>
      <c r="H22961" s="5">
        <f>HYPERLINK("https://api.qogita.com/variants/link/0000030148130/", "View Product")</f>
        <v/>
      </c>
    </row>
    <row r="22962">
      <c r="A22962" t="inlineStr">
        <is>
          <t>0000030149649</t>
        </is>
      </c>
      <c r="B22962" t="inlineStr">
        <is>
          <t>L'Oreal Paris Volumizing Mascara for Intense Volume and Fanned Out Effect</t>
        </is>
      </c>
      <c r="C22962" t="inlineStr">
        <is>
          <t>Mascara</t>
        </is>
      </c>
      <c r="D22962" t="inlineStr">
        <is>
          <t>L'Oréal Paris</t>
        </is>
      </c>
      <c r="E22962" t="n">
        <v>10.3</v>
      </c>
      <c r="F22962" t="n">
        <v>1</v>
      </c>
      <c r="G22962" t="n">
        <v>23</v>
      </c>
      <c r="H22962" s="5">
        <f>HYPERLINK("https://api.qogita.com/variants/link/0000030149649/", "View Product")</f>
        <v/>
      </c>
    </row>
    <row r="22963">
      <c r="A22963" t="inlineStr">
        <is>
          <t>0000030149663</t>
        </is>
      </c>
      <c r="B22963" t="inlineStr">
        <is>
          <t>Maybelline New York Mascara with False Eyelash Effect Hybrid Fiber Technology and Lengthening Helix Brush The Falsies Surreal Mascara 10ml</t>
        </is>
      </c>
      <c r="C22963" t="inlineStr">
        <is>
          <t>Mascara</t>
        </is>
      </c>
      <c r="D22963" t="inlineStr">
        <is>
          <t>Maybelline</t>
        </is>
      </c>
      <c r="E22963" t="n">
        <v>11.44</v>
      </c>
      <c r="F22963" t="n">
        <v>1</v>
      </c>
      <c r="G22963" t="n">
        <v>2</v>
      </c>
      <c r="H22963" s="5">
        <f>HYPERLINK("https://api.qogita.com/variants/link/0000030149663/", "View Product")</f>
        <v/>
      </c>
    </row>
    <row r="22964">
      <c r="A22964" t="inlineStr">
        <is>
          <t>0000030152229</t>
        </is>
      </c>
      <c r="B22964" t="inlineStr">
        <is>
          <t>Maybelline Lash Sensational Sky High Volumizing &amp; Thickening Mascara</t>
        </is>
      </c>
      <c r="C22964" t="inlineStr">
        <is>
          <t>Mascara</t>
        </is>
      </c>
      <c r="D22964" t="inlineStr">
        <is>
          <t>Maybelline</t>
        </is>
      </c>
      <c r="E22964" t="n">
        <v>6.88</v>
      </c>
      <c r="F22964" t="n">
        <v>1</v>
      </c>
      <c r="G22964" t="n">
        <v>4</v>
      </c>
      <c r="H22964" s="5">
        <f>HYPERLINK("https://api.qogita.com/variants/link/0000030152229/", "View Product")</f>
        <v/>
      </c>
    </row>
    <row r="22965">
      <c r="A22965" t="inlineStr">
        <is>
          <t>0000030155831</t>
        </is>
      </c>
      <c r="B22965" t="inlineStr">
        <is>
          <t>Maybelline New York Fit Me! Full Coverage Concealer Oil Free</t>
        </is>
      </c>
      <c r="C22965" t="inlineStr">
        <is>
          <t>Concealer</t>
        </is>
      </c>
      <c r="D22965" t="inlineStr">
        <is>
          <t>Maybelline</t>
        </is>
      </c>
      <c r="E22965" t="n">
        <v>4.54</v>
      </c>
      <c r="F22965" t="n">
        <v>1</v>
      </c>
      <c r="G22965" t="n">
        <v>2</v>
      </c>
      <c r="H22965" s="5">
        <f>HYPERLINK("https://api.qogita.com/variants/link/0000030155831/", "View Product")</f>
        <v/>
      </c>
    </row>
    <row r="22966">
      <c r="A22966" t="inlineStr">
        <is>
          <t>0000030157743</t>
        </is>
      </c>
      <c r="B22966" t="inlineStr">
        <is>
          <t>L'Oréal Professionnel Tecni.Art Morning After Dust Shampoo 200ml</t>
        </is>
      </c>
      <c r="C22966" t="inlineStr">
        <is>
          <t>Dry Shampoo</t>
        </is>
      </c>
      <c r="D22966" t="inlineStr">
        <is>
          <t>L'Oréal Professionnel</t>
        </is>
      </c>
      <c r="E22966" t="n">
        <v>13.54</v>
      </c>
      <c r="F22966" t="n">
        <v>1</v>
      </c>
      <c r="G22966" t="n">
        <v>14</v>
      </c>
      <c r="H22966" s="5">
        <f>HYPERLINK("https://api.qogita.com/variants/link/0000030157743/", "View Product")</f>
        <v/>
      </c>
    </row>
    <row r="22967">
      <c r="A22967" t="inlineStr">
        <is>
          <t>0000030158672</t>
        </is>
      </c>
      <c r="B22967" t="inlineStr">
        <is>
          <t>L'Oreal Paris Volumizing Brown Mascara for Intense Volume and a Fanned Out Look</t>
        </is>
      </c>
      <c r="C22967" t="inlineStr">
        <is>
          <t>Mascara</t>
        </is>
      </c>
      <c r="D22967" t="inlineStr">
        <is>
          <t>L'Oréal Paris</t>
        </is>
      </c>
      <c r="E22967" t="n">
        <v>12.43</v>
      </c>
      <c r="F22967" t="n">
        <v>1</v>
      </c>
      <c r="G22967" t="n">
        <v>4</v>
      </c>
      <c r="H22967" s="5">
        <f>HYPERLINK("https://api.qogita.com/variants/link/0000030158672/", "View Product")</f>
        <v/>
      </c>
    </row>
    <row r="22968">
      <c r="A22968" t="inlineStr">
        <is>
          <t>0000030158719</t>
        </is>
      </c>
      <c r="B22968" t="inlineStr">
        <is>
          <t>Maybelline New York Lifter Plump Lip Gloss Lasting Plump Heated Formula</t>
        </is>
      </c>
      <c r="C22968" t="inlineStr">
        <is>
          <t>Lip Plumper</t>
        </is>
      </c>
      <c r="D22968" t="inlineStr">
        <is>
          <t>Maybelline</t>
        </is>
      </c>
      <c r="E22968" t="n">
        <v>8.949999999999999</v>
      </c>
      <c r="F22968" t="n">
        <v>1</v>
      </c>
      <c r="G22968" t="n">
        <v>2</v>
      </c>
      <c r="H22968" s="5">
        <f>HYPERLINK("https://api.qogita.com/variants/link/0000030158719/", "View Product")</f>
        <v/>
      </c>
    </row>
    <row r="22969">
      <c r="A22969" t="inlineStr">
        <is>
          <t>0000030160255</t>
        </is>
      </c>
      <c r="B22969" t="inlineStr">
        <is>
          <t>L'oreal Professionnel Tecni Art Pli Thermo Volume Spray 190ml</t>
        </is>
      </c>
      <c r="C22969" t="inlineStr">
        <is>
          <t>Hairspray</t>
        </is>
      </c>
      <c r="D22969" t="inlineStr">
        <is>
          <t>L'Oréal</t>
        </is>
      </c>
      <c r="E22969" t="n">
        <v>11.81</v>
      </c>
      <c r="F22969" t="n">
        <v>1</v>
      </c>
      <c r="G22969" t="n">
        <v>12</v>
      </c>
      <c r="H22969" s="5">
        <f>HYPERLINK("https://api.qogita.com/variants/link/0000030160255/", "View Product")</f>
        <v/>
      </c>
    </row>
    <row r="22970">
      <c r="A22970" t="inlineStr">
        <is>
          <t>0000030161153</t>
        </is>
      </c>
      <c r="B22970" t="inlineStr">
        <is>
          <t>L'Oréal Professionnel Metal Detox Anti-Metal High Protection Cream Leave-In Treatment for Damaged Hair 100ml</t>
        </is>
      </c>
      <c r="C22970" t="inlineStr">
        <is>
          <t>Leave-In Conditioner</t>
        </is>
      </c>
      <c r="D22970" t="inlineStr">
        <is>
          <t>L'Oréal Professionnel</t>
        </is>
      </c>
      <c r="E22970" t="n">
        <v>22.95</v>
      </c>
      <c r="F22970" t="n">
        <v>1</v>
      </c>
      <c r="G22970" t="n">
        <v>8</v>
      </c>
      <c r="H22970" s="5">
        <f>HYPERLINK("https://api.qogita.com/variants/link/0000030161153/", "View Product")</f>
        <v/>
      </c>
    </row>
    <row r="22971">
      <c r="A22971" t="inlineStr">
        <is>
          <t>0000030165120</t>
        </is>
      </c>
      <c r="B22971" t="inlineStr">
        <is>
          <t>L'Oréal Professionnel TECNI.Art Full Volume Extra Mousse 250ml</t>
        </is>
      </c>
      <c r="C22971" t="inlineStr">
        <is>
          <t>Mousse</t>
        </is>
      </c>
      <c r="D22971" t="inlineStr">
        <is>
          <t>L'Oréal Professionnel</t>
        </is>
      </c>
      <c r="E22971" t="n">
        <v>11.03</v>
      </c>
      <c r="F22971" t="n">
        <v>1</v>
      </c>
      <c r="G22971" t="n">
        <v>34</v>
      </c>
      <c r="H22971" s="5">
        <f>HYPERLINK("https://api.qogita.com/variants/link/0000030165120/", "View Product")</f>
        <v/>
      </c>
    </row>
    <row r="22972">
      <c r="A22972" t="inlineStr">
        <is>
          <t>0000030173651</t>
        </is>
      </c>
      <c r="B22972" t="inlineStr">
        <is>
          <t>L'Oreal Paris Infallible 24h More Than Concealer Full Coverage Longwear</t>
        </is>
      </c>
      <c r="C22972" t="inlineStr">
        <is>
          <t>Concealer</t>
        </is>
      </c>
      <c r="D22972" t="inlineStr">
        <is>
          <t>L'Oréal Paris</t>
        </is>
      </c>
      <c r="E22972" t="n">
        <v>7.62</v>
      </c>
      <c r="F22972" t="n">
        <v>1</v>
      </c>
      <c r="G22972" t="n">
        <v>15</v>
      </c>
      <c r="H22972" s="5">
        <f>HYPERLINK("https://api.qogita.com/variants/link/0000030173651/", "View Product")</f>
        <v/>
      </c>
    </row>
    <row r="22973">
      <c r="A22973" t="inlineStr">
        <is>
          <t>0000030176171</t>
        </is>
      </c>
      <c r="B22973" t="inlineStr">
        <is>
          <t>Maybelline Express Brow Fast Sculpt Eyebrow Gel Shapes and Colors Eyebrows All Day Hold Mascara 01 Blonde 0.023kg</t>
        </is>
      </c>
      <c r="C22973" t="inlineStr">
        <is>
          <t>Eyebrow Gel</t>
        </is>
      </c>
      <c r="D22973" t="inlineStr">
        <is>
          <t>Maybelline</t>
        </is>
      </c>
      <c r="E22973" t="n">
        <v>7.23</v>
      </c>
      <c r="F22973" t="n">
        <v>1</v>
      </c>
      <c r="G22973" t="n">
        <v>27</v>
      </c>
      <c r="H22973" s="5">
        <f>HYPERLINK("https://api.qogita.com/variants/link/0000030176171/", "View Product")</f>
        <v/>
      </c>
    </row>
    <row r="22974">
      <c r="A22974" t="inlineStr">
        <is>
          <t>0000030176188</t>
        </is>
      </c>
      <c r="B22974" t="inlineStr">
        <is>
          <t>Maybelline New York Brow Fast Sculpt Eyebrow Mask Shade 02 Soft Brown</t>
        </is>
      </c>
      <c r="C22974" t="inlineStr">
        <is>
          <t>Eyebrow Gel</t>
        </is>
      </c>
      <c r="D22974" t="inlineStr">
        <is>
          <t>Maybelline</t>
        </is>
      </c>
      <c r="E22974" t="n">
        <v>7.23</v>
      </c>
      <c r="F22974" t="n">
        <v>1</v>
      </c>
      <c r="G22974" t="n">
        <v>11</v>
      </c>
      <c r="H22974" s="5">
        <f>HYPERLINK("https://api.qogita.com/variants/link/0000030176188/", "View Product")</f>
        <v/>
      </c>
    </row>
    <row r="22975">
      <c r="A22975" t="inlineStr">
        <is>
          <t>0000030176232</t>
        </is>
      </c>
      <c r="B22975" t="inlineStr">
        <is>
          <t>Maybelline Express Brow Fast Sculpt Eyebrow Gel for Shaping and Coloring</t>
        </is>
      </c>
      <c r="C22975" t="inlineStr">
        <is>
          <t>Eyebrow Gel</t>
        </is>
      </c>
      <c r="D22975" t="inlineStr">
        <is>
          <t>Maybelline</t>
        </is>
      </c>
      <c r="E22975" t="n">
        <v>5.59</v>
      </c>
      <c r="F22975" t="n">
        <v>1</v>
      </c>
      <c r="G22975" t="n">
        <v>3</v>
      </c>
      <c r="H22975" s="5">
        <f>HYPERLINK("https://api.qogita.com/variants/link/0000030176232/", "View Product")</f>
        <v/>
      </c>
    </row>
    <row r="22976">
      <c r="A22976" t="inlineStr">
        <is>
          <t>0000030188211</t>
        </is>
      </c>
      <c r="B22976" t="inlineStr">
        <is>
          <t>L'Oréal Paris Serum Concealer Medium Coverage Radiant Finish with Hyaluronic Acid and Caffeine True Match 10ml 1.5N</t>
        </is>
      </c>
      <c r="C22976" t="inlineStr">
        <is>
          <t>Concealer</t>
        </is>
      </c>
      <c r="D22976" t="inlineStr">
        <is>
          <t>L'Oréal Paris</t>
        </is>
      </c>
      <c r="E22976" t="n">
        <v>7.94</v>
      </c>
      <c r="F22976" t="n">
        <v>1</v>
      </c>
      <c r="G22976" t="n">
        <v>7</v>
      </c>
      <c r="H22976" s="5">
        <f>HYPERLINK("https://api.qogita.com/variants/link/0000030188211/", "View Product")</f>
        <v/>
      </c>
    </row>
    <row r="22977">
      <c r="A22977" t="inlineStr">
        <is>
          <t>0000030188372</t>
        </is>
      </c>
      <c r="B22977" t="inlineStr">
        <is>
          <t>L'Oreal Paris Infaillible Contour Stick Face Sculptor Contour 2.3 G</t>
        </is>
      </c>
      <c r="C22977" t="inlineStr">
        <is>
          <t>Contouring</t>
        </is>
      </c>
      <c r="D22977" t="inlineStr">
        <is>
          <t>L'Oréal Paris</t>
        </is>
      </c>
      <c r="E22977" t="n">
        <v>9.48</v>
      </c>
      <c r="F22977" t="n">
        <v>1</v>
      </c>
      <c r="G22977" t="n">
        <v>3</v>
      </c>
      <c r="H22977" s="5">
        <f>HYPERLINK("https://api.qogita.com/variants/link/0000030188372/", "View Product")</f>
        <v/>
      </c>
    </row>
    <row r="22978">
      <c r="A22978" t="inlineStr">
        <is>
          <t>0000030188396</t>
        </is>
      </c>
      <c r="B22978" t="inlineStr">
        <is>
          <t>L'Oreal Paris Infaillible Contour Stick Face Sculptor Contour 2.3 G</t>
        </is>
      </c>
      <c r="C22978" t="inlineStr">
        <is>
          <t>Contouring</t>
        </is>
      </c>
      <c r="D22978" t="inlineStr">
        <is>
          <t>L'Oréal Paris</t>
        </is>
      </c>
      <c r="E22978" t="n">
        <v>9.48</v>
      </c>
      <c r="F22978" t="n">
        <v>1</v>
      </c>
      <c r="G22978" t="n">
        <v>3</v>
      </c>
      <c r="H22978" s="5">
        <f>HYPERLINK("https://api.qogita.com/variants/link/0000030188396/", "View Product")</f>
        <v/>
      </c>
    </row>
    <row r="22979">
      <c r="A22979" t="inlineStr">
        <is>
          <t>0000030188556</t>
        </is>
      </c>
      <c r="B22979" t="inlineStr">
        <is>
          <t>L'Oreal Paris Lumi Liquid Blush - 10 Ml</t>
        </is>
      </c>
      <c r="C22979" t="inlineStr">
        <is>
          <t>Blush</t>
        </is>
      </c>
      <c r="D22979" t="inlineStr">
        <is>
          <t>L'Oréal Paris</t>
        </is>
      </c>
      <c r="E22979" t="n">
        <v>8.19</v>
      </c>
      <c r="F22979" t="n">
        <v>1</v>
      </c>
      <c r="G22979" t="n">
        <v>5</v>
      </c>
      <c r="H22979" s="5">
        <f>HYPERLINK("https://api.qogita.com/variants/link/0000030188556/", "View Product")</f>
        <v/>
      </c>
    </row>
    <row r="22980">
      <c r="A22980" t="inlineStr">
        <is>
          <t>0000030188624</t>
        </is>
      </c>
      <c r="B22980" t="inlineStr">
        <is>
          <t>Infaillible Matte Resistance Moisturizing Lipstick 5 ml Shade 625 Summer Fling</t>
        </is>
      </c>
      <c r="C22980" t="inlineStr">
        <is>
          <t>Lipstick</t>
        </is>
      </c>
      <c r="D22980" t="inlineStr">
        <is>
          <t>L'Oréal</t>
        </is>
      </c>
      <c r="E22980" t="n">
        <v>12.43</v>
      </c>
      <c r="F22980" t="n">
        <v>1</v>
      </c>
      <c r="G22980" t="n">
        <v>6</v>
      </c>
      <c r="H22980" s="5">
        <f>HYPERLINK("https://api.qogita.com/variants/link/0000030188624/", "View Product")</f>
        <v/>
      </c>
    </row>
    <row r="22981">
      <c r="A22981" t="inlineStr">
        <is>
          <t>0000030189201</t>
        </is>
      </c>
      <c r="B22981" t="inlineStr">
        <is>
          <t>Maybelline Lash Sensational Sky High Mascara - 7.2 Ml</t>
        </is>
      </c>
      <c r="C22981" t="inlineStr">
        <is>
          <t>Mascara</t>
        </is>
      </c>
      <c r="D22981" t="inlineStr">
        <is>
          <t>Maybelline</t>
        </is>
      </c>
      <c r="E22981" t="n">
        <v>10.25</v>
      </c>
      <c r="F22981" t="n">
        <v>1</v>
      </c>
      <c r="G22981" t="n">
        <v>7</v>
      </c>
      <c r="H22981" s="5">
        <f>HYPERLINK("https://api.qogita.com/variants/link/0000030189201/", "View Product")</f>
        <v/>
      </c>
    </row>
    <row r="22982">
      <c r="A22982" t="inlineStr">
        <is>
          <t>0000030189355</t>
        </is>
      </c>
      <c r="B22982" t="inlineStr">
        <is>
          <t>Maybelline Lash Sensational Sky High Mascara In Cherry</t>
        </is>
      </c>
      <c r="C22982" t="inlineStr">
        <is>
          <t>Mascara</t>
        </is>
      </c>
      <c r="D22982" t="inlineStr">
        <is>
          <t>Maybelline</t>
        </is>
      </c>
      <c r="E22982" t="n">
        <v>7.27</v>
      </c>
      <c r="F22982" t="n">
        <v>1</v>
      </c>
      <c r="G22982" t="n">
        <v>2</v>
      </c>
      <c r="H22982" s="5">
        <f>HYPERLINK("https://api.qogita.com/variants/link/0000030189355/", "View Product")</f>
        <v/>
      </c>
    </row>
    <row r="22983">
      <c r="A22983" t="inlineStr">
        <is>
          <t>0000042283409</t>
        </is>
      </c>
      <c r="B22983" t="inlineStr">
        <is>
          <t>Nivea Fresh Comfort Antiperspirant Roll-on 48H</t>
        </is>
      </c>
      <c r="C22983" t="inlineStr">
        <is>
          <t>Deodorant &amp; Anti-Perspirant</t>
        </is>
      </c>
      <c r="D22983" t="inlineStr">
        <is>
          <t>Nivea</t>
        </is>
      </c>
      <c r="E22983" t="n">
        <v>5.23</v>
      </c>
      <c r="F22983" t="n">
        <v>1</v>
      </c>
      <c r="G22983" t="n">
        <v>44</v>
      </c>
      <c r="H22983" s="5">
        <f>HYPERLINK("https://api.qogita.com/variants/link/0000042283409/", "View Product")</f>
        <v/>
      </c>
    </row>
    <row r="22984">
      <c r="A22984" t="inlineStr">
        <is>
          <t>0000042435679</t>
        </is>
      </c>
      <c r="B22984" t="inlineStr">
        <is>
          <t>Kerasilk Repairing Shampoo 75ml</t>
        </is>
      </c>
      <c r="C22984" t="inlineStr">
        <is>
          <t>Shampoo</t>
        </is>
      </c>
      <c r="D22984" t="inlineStr">
        <is>
          <t>Kerasilk</t>
        </is>
      </c>
      <c r="E22984" t="n">
        <v>6.98</v>
      </c>
      <c r="F22984" t="n">
        <v>1</v>
      </c>
      <c r="G22984" t="n">
        <v>3</v>
      </c>
      <c r="H22984" s="5">
        <f>HYPERLINK("https://api.qogita.com/variants/link/0000042435679/", "View Product")</f>
        <v/>
      </c>
    </row>
    <row r="22985">
      <c r="A22985" t="inlineStr">
        <is>
          <t>0000042439547</t>
        </is>
      </c>
      <c r="B22985" t="inlineStr">
        <is>
          <t>Nivea Baby Wind Weather Cream - 50 Ml</t>
        </is>
      </c>
      <c r="C22985" t="inlineStr">
        <is>
          <t>Baby &amp; Child</t>
        </is>
      </c>
      <c r="D22985" t="inlineStr">
        <is>
          <t>Nivea</t>
        </is>
      </c>
      <c r="E22985" t="n">
        <v>4.38</v>
      </c>
      <c r="F22985" t="n">
        <v>1</v>
      </c>
      <c r="G22985" t="n">
        <v>18</v>
      </c>
      <c r="H22985" s="5">
        <f>HYPERLINK("https://api.qogita.com/variants/link/0000042439547/", "View Product")</f>
        <v/>
      </c>
    </row>
    <row r="22986">
      <c r="A22986" t="inlineStr">
        <is>
          <t>0000042449027</t>
        </is>
      </c>
      <c r="B22986" t="inlineStr">
        <is>
          <t>Nivea Sun UV Face Light Moisturizing Facial Sunscreen SPF 30</t>
        </is>
      </c>
      <c r="C22986" t="inlineStr">
        <is>
          <t>Face Sun Protection</t>
        </is>
      </c>
      <c r="D22986" t="inlineStr">
        <is>
          <t>Nivea</t>
        </is>
      </c>
      <c r="E22986" t="n">
        <v>8.880000000000001</v>
      </c>
      <c r="F22986" t="n">
        <v>1</v>
      </c>
      <c r="G22986" t="n">
        <v>33</v>
      </c>
      <c r="H22986" s="5">
        <f>HYPERLINK("https://api.qogita.com/variants/link/0000042449027/", "View Product")</f>
        <v/>
      </c>
    </row>
    <row r="22987">
      <c r="A22987" t="inlineStr">
        <is>
          <t>0000050544141</t>
        </is>
      </c>
      <c r="B22987" t="inlineStr">
        <is>
          <t>Max Factor Kohl Kajal Eyeliner Soft Liner Pencil - Choose Your Shade</t>
        </is>
      </c>
      <c r="C22987" t="inlineStr">
        <is>
          <t>Eyeliner</t>
        </is>
      </c>
      <c r="D22987" t="inlineStr">
        <is>
          <t>Max Factor</t>
        </is>
      </c>
      <c r="E22987" t="n">
        <v>3.21</v>
      </c>
      <c r="F22987" t="n">
        <v>1</v>
      </c>
      <c r="G22987" t="n">
        <v>5</v>
      </c>
      <c r="H22987" s="5">
        <f>HYPERLINK("https://api.qogita.com/variants/link/0000050544141/", "View Product")</f>
        <v/>
      </c>
    </row>
    <row r="22988">
      <c r="A22988" t="inlineStr">
        <is>
          <t>0000050544660</t>
        </is>
      </c>
      <c r="B22988" t="inlineStr">
        <is>
          <t>Max Factor Khol Kajal Eyeliner Ice Blue 1 Count</t>
        </is>
      </c>
      <c r="C22988" t="inlineStr">
        <is>
          <t>Eye Pencil</t>
        </is>
      </c>
      <c r="D22988" t="inlineStr">
        <is>
          <t>Max Factor</t>
        </is>
      </c>
      <c r="E22988" t="n">
        <v>2.72</v>
      </c>
      <c r="F22988" t="n">
        <v>1</v>
      </c>
      <c r="G22988" t="n">
        <v>2</v>
      </c>
      <c r="H22988" s="5">
        <f>HYPERLINK("https://api.qogita.com/variants/link/0000050544660/", "View Product")</f>
        <v/>
      </c>
    </row>
    <row r="22989">
      <c r="A22989" t="inlineStr">
        <is>
          <t>0000050671298</t>
        </is>
      </c>
      <c r="B22989" t="inlineStr">
        <is>
          <t>Max Factor 2000 Calorie Dramatic Volume Mascara 9ml Black/Brown</t>
        </is>
      </c>
      <c r="C22989" t="inlineStr">
        <is>
          <t>Mascara</t>
        </is>
      </c>
      <c r="D22989" t="inlineStr">
        <is>
          <t>Max Factor</t>
        </is>
      </c>
      <c r="E22989" t="n">
        <v>4.33</v>
      </c>
      <c r="F22989" t="n">
        <v>1</v>
      </c>
      <c r="G22989" t="n">
        <v>12</v>
      </c>
      <c r="H22989" s="5">
        <f>HYPERLINK("https://api.qogita.com/variants/link/0000050671298/", "View Product")</f>
        <v/>
      </c>
    </row>
    <row r="22990">
      <c r="A22990" t="inlineStr">
        <is>
          <t>0000050671373</t>
        </is>
      </c>
      <c r="B22990" t="inlineStr">
        <is>
          <t>Max Factor Lasting Performance Liquid Foundation 109 Natural Bronze</t>
        </is>
      </c>
      <c r="C22990" t="inlineStr">
        <is>
          <t>Foundation</t>
        </is>
      </c>
      <c r="D22990" t="inlineStr">
        <is>
          <t>Max Factor</t>
        </is>
      </c>
      <c r="E22990" t="n">
        <v>6.4</v>
      </c>
      <c r="F22990" t="n">
        <v>1</v>
      </c>
      <c r="G22990" t="n">
        <v>2</v>
      </c>
      <c r="H22990" s="5">
        <f>HYPERLINK("https://api.qogita.com/variants/link/0000050671373/", "View Product")</f>
        <v/>
      </c>
    </row>
    <row r="22991">
      <c r="A22991" t="inlineStr">
        <is>
          <t>0000050683321</t>
        </is>
      </c>
      <c r="B22991" t="inlineStr">
        <is>
          <t>Max Factor Lasting Performance Foundation - 108 Honey 35ml</t>
        </is>
      </c>
      <c r="C22991" t="inlineStr">
        <is>
          <t>Foundation</t>
        </is>
      </c>
      <c r="D22991" t="inlineStr">
        <is>
          <t>Max Factor</t>
        </is>
      </c>
      <c r="E22991" t="n">
        <v>6.86</v>
      </c>
      <c r="F22991" t="n">
        <v>1</v>
      </c>
      <c r="G22991" t="n">
        <v>2</v>
      </c>
      <c r="H22991" s="5">
        <f>HYPERLINK("https://api.qogita.com/variants/link/0000050683321/", "View Product")</f>
        <v/>
      </c>
    </row>
    <row r="22992">
      <c r="A22992" t="inlineStr">
        <is>
          <t>0000050683338</t>
        </is>
      </c>
      <c r="B22992" t="inlineStr">
        <is>
          <t>Max Factor Finishers 106 Natural Beige 35ml</t>
        </is>
      </c>
      <c r="C22992" t="inlineStr">
        <is>
          <t>Foundation</t>
        </is>
      </c>
      <c r="D22992" t="inlineStr">
        <is>
          <t>Max Factor</t>
        </is>
      </c>
      <c r="E22992" t="n">
        <v>6.39</v>
      </c>
      <c r="F22992" t="n">
        <v>1</v>
      </c>
      <c r="G22992" t="n">
        <v>53</v>
      </c>
      <c r="H22992" s="5">
        <f>HYPERLINK("https://api.qogita.com/variants/link/0000050683338/", "View Product")</f>
        <v/>
      </c>
    </row>
    <row r="22993">
      <c r="A22993" t="inlineStr">
        <is>
          <t>0000080775010</t>
        </is>
      </c>
      <c r="B22993" t="inlineStr">
        <is>
          <t>Borotalco Deodorant Ideal for Unisex Adults</t>
        </is>
      </c>
      <c r="C22993" t="inlineStr">
        <is>
          <t>Deodorant &amp; Anti-Perspirant</t>
        </is>
      </c>
      <c r="D22993" t="inlineStr">
        <is>
          <t>Borotalco</t>
        </is>
      </c>
      <c r="E22993" t="n">
        <v>3.39</v>
      </c>
      <c r="F22993" t="n">
        <v>1</v>
      </c>
      <c r="G22993" t="n">
        <v>7</v>
      </c>
      <c r="H22993" s="5">
        <f>HYPERLINK("https://api.qogita.com/variants/link/0000080775010/", "View Product")</f>
        <v/>
      </c>
    </row>
    <row r="22994">
      <c r="A22994" t="inlineStr">
        <is>
          <t>0000080808770</t>
        </is>
      </c>
      <c r="B22994" t="inlineStr">
        <is>
          <t>Borotalco Deodorant Stick 40ml Men Dry Amber</t>
        </is>
      </c>
      <c r="C22994" t="inlineStr">
        <is>
          <t>Deodorant &amp; Anti-Perspirant</t>
        </is>
      </c>
      <c r="D22994" t="inlineStr">
        <is>
          <t>Borotalco</t>
        </is>
      </c>
      <c r="E22994" t="n">
        <v>4.5</v>
      </c>
      <c r="F22994" t="n">
        <v>1</v>
      </c>
      <c r="G22994" t="n">
        <v>65</v>
      </c>
      <c r="H22994" s="5">
        <f>HYPERLINK("https://api.qogita.com/variants/link/0000080808770/", "View Product")</f>
        <v/>
      </c>
    </row>
    <row r="22995">
      <c r="A22995" t="inlineStr">
        <is>
          <t>0000080924531</t>
        </is>
      </c>
      <c r="B22995" t="inlineStr">
        <is>
          <t>Men Invisible Dry Deo Roll On - Kuličkový deodorant</t>
        </is>
      </c>
      <c r="C22995" t="inlineStr">
        <is>
          <t>Deodorant &amp; Anti-Perspirant</t>
        </is>
      </c>
      <c r="D22995" t="inlineStr">
        <is>
          <t>Mennen</t>
        </is>
      </c>
      <c r="E22995" t="n">
        <v>4.5</v>
      </c>
      <c r="F22995" t="n">
        <v>1</v>
      </c>
      <c r="G22995" t="n">
        <v>47</v>
      </c>
      <c r="H22995" s="5">
        <f>HYPERLINK("https://api.qogita.com/variants/link/0000080924531/", "View Product")</f>
        <v/>
      </c>
    </row>
    <row r="22996">
      <c r="A22996" t="inlineStr">
        <is>
          <t>0000080945819</t>
        </is>
      </c>
      <c r="B22996" t="inlineStr">
        <is>
          <t>Borotalco Roberts Active Cedar and Lime Deodorant Roll-On 50ml</t>
        </is>
      </c>
      <c r="C22996" t="inlineStr">
        <is>
          <t>Deodorant &amp; Anti-Perspirant</t>
        </is>
      </c>
      <c r="D22996" t="inlineStr">
        <is>
          <t>Borotalco</t>
        </is>
      </c>
      <c r="E22996" t="n">
        <v>4.5</v>
      </c>
      <c r="F22996" t="n">
        <v>1</v>
      </c>
      <c r="G22996" t="n">
        <v>78</v>
      </c>
      <c r="H22996" s="5">
        <f>HYPERLINK("https://api.qogita.com/variants/link/0000080945819/", "View Product")</f>
        <v/>
      </c>
    </row>
    <row r="22997">
      <c r="A22997" t="inlineStr">
        <is>
          <t>0000085926653</t>
        </is>
      </c>
      <c r="B22997" t="inlineStr">
        <is>
          <t>Dermacol 24h Control Make-Up 01 30ml</t>
        </is>
      </c>
      <c r="C22997" t="inlineStr">
        <is>
          <t>Foundation</t>
        </is>
      </c>
      <c r="D22997" t="inlineStr">
        <is>
          <t>Dermacol</t>
        </is>
      </c>
      <c r="E22997" t="n">
        <v>8.130000000000001</v>
      </c>
      <c r="F22997" t="n">
        <v>1</v>
      </c>
      <c r="G22997" t="n">
        <v>13</v>
      </c>
      <c r="H22997" s="5">
        <f>HYPERLINK("https://api.qogita.com/variants/link/0000085926653/", "View Product")</f>
        <v/>
      </c>
    </row>
    <row r="22998">
      <c r="A22998" t="inlineStr">
        <is>
          <t>0000085950566</t>
        </is>
      </c>
      <c r="B22998" t="inlineStr">
        <is>
          <t>Dermacol Spectacular Volume Mascara Mania</t>
        </is>
      </c>
      <c r="C22998" t="inlineStr">
        <is>
          <t>Mascara</t>
        </is>
      </c>
      <c r="D22998" t="inlineStr">
        <is>
          <t>Dermacol</t>
        </is>
      </c>
      <c r="E22998" t="n">
        <v>5.92</v>
      </c>
      <c r="F22998" t="n">
        <v>1</v>
      </c>
      <c r="G22998" t="n">
        <v>5</v>
      </c>
      <c r="H22998" s="5">
        <f>HYPERLINK("https://api.qogita.com/variants/link/0000085950566/", "View Product")</f>
        <v/>
      </c>
    </row>
    <row r="22999">
      <c r="A22999" t="inlineStr">
        <is>
          <t>0000085954045</t>
        </is>
      </c>
      <c r="B22999" t="inlineStr">
        <is>
          <t>Dermacol Precise Black Eyeliner</t>
        </is>
      </c>
      <c r="C22999" t="inlineStr">
        <is>
          <t>Eyeliner</t>
        </is>
      </c>
      <c r="D22999" t="inlineStr">
        <is>
          <t>Dermacol</t>
        </is>
      </c>
      <c r="E22999" t="n">
        <v>5.74</v>
      </c>
      <c r="F22999" t="n">
        <v>1</v>
      </c>
      <c r="G22999" t="n">
        <v>15</v>
      </c>
      <c r="H22999" s="5">
        <f>HYPERLINK("https://api.qogita.com/variants/link/0000085954045/", "View Product")</f>
        <v/>
      </c>
    </row>
    <row r="23000">
      <c r="A23000" t="inlineStr">
        <is>
          <t>0000085954069</t>
        </is>
      </c>
      <c r="B23000" t="inlineStr">
        <is>
          <t>Dermacol Liquid Eyeliner Ultra Black</t>
        </is>
      </c>
      <c r="C23000" t="inlineStr">
        <is>
          <t>Eyeliner</t>
        </is>
      </c>
      <c r="D23000" t="inlineStr">
        <is>
          <t>Dermacol</t>
        </is>
      </c>
      <c r="E23000" t="n">
        <v>3.99</v>
      </c>
      <c r="F23000" t="n">
        <v>1</v>
      </c>
      <c r="G23000" t="n">
        <v>2</v>
      </c>
      <c r="H23000" s="5">
        <f>HYPERLINK("https://api.qogita.com/variants/link/0000085954069/", "View Product")</f>
        <v/>
      </c>
    </row>
    <row r="23001">
      <c r="A23001" t="inlineStr">
        <is>
          <t>0000085954588</t>
        </is>
      </c>
      <c r="B23001" t="inlineStr">
        <is>
          <t>Dermacol Vampire Mascara</t>
        </is>
      </c>
      <c r="C23001" t="inlineStr">
        <is>
          <t>Mascara</t>
        </is>
      </c>
      <c r="D23001" t="inlineStr">
        <is>
          <t>Dermacol</t>
        </is>
      </c>
      <c r="E23001" t="n">
        <v>7.8</v>
      </c>
      <c r="F23001" t="n">
        <v>1</v>
      </c>
      <c r="G23001" t="n">
        <v>14</v>
      </c>
      <c r="H23001" s="5">
        <f>HYPERLINK("https://api.qogita.com/variants/link/0000085954588/", "View Product")</f>
        <v/>
      </c>
    </row>
    <row r="23002">
      <c r="A23002" t="inlineStr">
        <is>
          <t>0000085958579</t>
        </is>
      </c>
      <c r="B23002" t="inlineStr">
        <is>
          <t>Dermacol Powder Eyebrow Shadow N.2</t>
        </is>
      </c>
      <c r="C23002" t="inlineStr">
        <is>
          <t>Eyebrow Powder</t>
        </is>
      </c>
      <c r="D23002" t="inlineStr">
        <is>
          <t>Dermacol</t>
        </is>
      </c>
      <c r="E23002" t="n">
        <v>7.8</v>
      </c>
      <c r="F23002" t="n">
        <v>1</v>
      </c>
      <c r="G23002" t="n">
        <v>5</v>
      </c>
      <c r="H23002" s="5">
        <f>HYPERLINK("https://api.qogita.com/variants/link/0000085958579/", "View Product")</f>
        <v/>
      </c>
    </row>
    <row r="23003">
      <c r="A23003" t="inlineStr">
        <is>
          <t>0000085958951</t>
        </is>
      </c>
      <c r="B23003" t="inlineStr">
        <is>
          <t>Dermacol Longlasting Eyeshadow Color and Eyeliner</t>
        </is>
      </c>
      <c r="C23003" t="inlineStr">
        <is>
          <t>Eyeliner</t>
        </is>
      </c>
      <c r="D23003" t="inlineStr">
        <is>
          <t>Dermacol</t>
        </is>
      </c>
      <c r="E23003" t="n">
        <v>4.43</v>
      </c>
      <c r="F23003" t="n">
        <v>1</v>
      </c>
      <c r="G23003" t="n">
        <v>2</v>
      </c>
      <c r="H23003" s="5">
        <f>HYPERLINK("https://api.qogita.com/variants/link/0000085958951/", "View Product")</f>
        <v/>
      </c>
    </row>
    <row r="23004">
      <c r="A23004" t="inlineStr">
        <is>
          <t>0000085958982</t>
        </is>
      </c>
      <c r="B23004" t="inlineStr">
        <is>
          <t>Dermacol Longlasting Intense Color Eyeshadow and Eyeliner #6</t>
        </is>
      </c>
      <c r="C23004" t="inlineStr">
        <is>
          <t>Eyeliner</t>
        </is>
      </c>
      <c r="D23004" t="inlineStr">
        <is>
          <t>Dermacol</t>
        </is>
      </c>
      <c r="E23004" t="n">
        <v>4.43</v>
      </c>
      <c r="F23004" t="n">
        <v>1</v>
      </c>
      <c r="G23004" t="n">
        <v>4</v>
      </c>
      <c r="H23004" s="5">
        <f>HYPERLINK("https://api.qogita.com/variants/link/0000085958982/", "View Product")</f>
        <v/>
      </c>
    </row>
    <row r="23005">
      <c r="A23005" t="inlineStr">
        <is>
          <t>3349668592371</t>
        </is>
      </c>
      <c r="B23005" t="inlineStr">
        <is>
          <t>Paco Rabanne Lady Million Fabulous Eau De Parfum Spray 80ml</t>
        </is>
      </c>
      <c r="C23005" t="inlineStr">
        <is>
          <t>Eau De Parfum</t>
        </is>
      </c>
      <c r="D23005" t="inlineStr">
        <is>
          <t>Paco Rabanne</t>
        </is>
      </c>
      <c r="E23005" t="n">
        <v>67.33</v>
      </c>
      <c r="F23005" t="n">
        <v>1</v>
      </c>
      <c r="G23005" t="n">
        <v>3</v>
      </c>
      <c r="H23005" s="5">
        <f>HYPERLINK("https://api.qogita.com/variants/link/3349668592371/", "View Product")</f>
        <v/>
      </c>
    </row>
    <row r="23006">
      <c r="A23006" t="inlineStr">
        <is>
          <t>3349668592449</t>
        </is>
      </c>
      <c r="B23006" t="inlineStr">
        <is>
          <t>Paco Rabanne Lady Million Fabulous Eau De Parfum Spray 30ml</t>
        </is>
      </c>
      <c r="C23006" t="inlineStr">
        <is>
          <t>Eau De Parfum</t>
        </is>
      </c>
      <c r="D23006" t="inlineStr">
        <is>
          <t>Paco Rabanne</t>
        </is>
      </c>
      <c r="E23006" t="n">
        <v>50.09</v>
      </c>
      <c r="F23006" t="n">
        <v>1</v>
      </c>
      <c r="G23006" t="n">
        <v>4</v>
      </c>
      <c r="H23006" s="5">
        <f>HYPERLINK("https://api.qogita.com/variants/link/3349668592449/", "View Product")</f>
        <v/>
      </c>
    </row>
    <row r="23007">
      <c r="A23007" t="inlineStr">
        <is>
          <t>3349668601042</t>
        </is>
      </c>
      <c r="B23007" t="inlineStr">
        <is>
          <t>Paco Rabanne Phantom Legion Eau De Toilette Spray 100ml</t>
        </is>
      </c>
      <c r="C23007" t="inlineStr">
        <is>
          <t>Eau De Toilette</t>
        </is>
      </c>
      <c r="D23007" t="inlineStr">
        <is>
          <t>Paco Rabanne</t>
        </is>
      </c>
      <c r="E23007" t="n">
        <v>58.24</v>
      </c>
      <c r="F23007" t="n">
        <v>1</v>
      </c>
      <c r="G23007" t="n">
        <v>5</v>
      </c>
      <c r="H23007" s="5">
        <f>HYPERLINK("https://api.qogita.com/variants/link/3349668601042/", "View Product")</f>
        <v/>
      </c>
    </row>
    <row r="23008">
      <c r="A23008" t="inlineStr">
        <is>
          <t>3349668601073</t>
        </is>
      </c>
      <c r="B23008" t="inlineStr">
        <is>
          <t>Paco Rabanne 1 Million Elixir Parfum Intense Spray 50ml</t>
        </is>
      </c>
      <c r="C23008" t="inlineStr">
        <is>
          <t>Eau De Parfum</t>
        </is>
      </c>
      <c r="D23008" t="inlineStr">
        <is>
          <t>Paco Rabanne</t>
        </is>
      </c>
      <c r="E23008" t="n">
        <v>60.5</v>
      </c>
      <c r="F23008" t="n">
        <v>1</v>
      </c>
      <c r="G23008" t="n">
        <v>150</v>
      </c>
      <c r="H23008" s="5">
        <f>HYPERLINK("https://api.qogita.com/variants/link/3349668601073/", "View Product")</f>
        <v/>
      </c>
    </row>
    <row r="23009">
      <c r="A23009" t="inlineStr">
        <is>
          <t>3349668609031</t>
        </is>
      </c>
      <c r="B23009" t="inlineStr">
        <is>
          <t>Paco Rabanne Paco Eau De Toilette 100ml Unisex Spray</t>
        </is>
      </c>
      <c r="C23009" t="inlineStr">
        <is>
          <t>Eau De Toilette</t>
        </is>
      </c>
      <c r="D23009" t="inlineStr">
        <is>
          <t>Paco Rabanne</t>
        </is>
      </c>
      <c r="E23009" t="n">
        <v>20.19</v>
      </c>
      <c r="F23009" t="n">
        <v>1</v>
      </c>
      <c r="G23009" t="n">
        <v>565</v>
      </c>
      <c r="H23009" s="5">
        <f>HYPERLINK("https://api.qogita.com/variants/link/3349668609031/", "View Product")</f>
        <v/>
      </c>
    </row>
    <row r="23010">
      <c r="A23010" t="inlineStr">
        <is>
          <t>3349668617067</t>
        </is>
      </c>
      <c r="B23010" t="inlineStr">
        <is>
          <t>Paco Rabanne 1 Million Royal Parfum Spray 200ml</t>
        </is>
      </c>
      <c r="C23010" t="inlineStr">
        <is>
          <t>Eau De Parfum</t>
        </is>
      </c>
      <c r="D23010" t="inlineStr">
        <is>
          <t>Paco Rabanne</t>
        </is>
      </c>
      <c r="E23010" t="n">
        <v>120.88</v>
      </c>
      <c r="F23010" t="n">
        <v>1</v>
      </c>
      <c r="G23010" t="n">
        <v>83</v>
      </c>
      <c r="H23010" s="5">
        <f>HYPERLINK("https://api.qogita.com/variants/link/3349668617067/", "View Product")</f>
        <v/>
      </c>
    </row>
    <row r="23011">
      <c r="A23011" t="inlineStr">
        <is>
          <t>3349668628537</t>
        </is>
      </c>
      <c r="B23011" t="inlineStr">
        <is>
          <t>Paco Rabanne Lady Million Eau De Parfum Spray 80ml Set With Body Lotion 100ml And Miniature Eau De Parfum Spray 5ml</t>
        </is>
      </c>
      <c r="C23011" t="inlineStr">
        <is>
          <t>Fragrance Sets</t>
        </is>
      </c>
      <c r="D23011" t="inlineStr">
        <is>
          <t>Paco Rabanne</t>
        </is>
      </c>
      <c r="E23011" t="n">
        <v>86.87</v>
      </c>
      <c r="F23011" t="n">
        <v>1</v>
      </c>
      <c r="G23011" t="n">
        <v>45</v>
      </c>
      <c r="H23011" s="5">
        <f>HYPERLINK("https://api.qogita.com/variants/link/3349668628537/", "View Product")</f>
        <v/>
      </c>
    </row>
    <row r="23012">
      <c r="A23012" t="inlineStr">
        <is>
          <t>3349668628667</t>
        </is>
      </c>
      <c r="B23012" t="inlineStr">
        <is>
          <t>Paco Rabanne 1 Million Eau De Toilette Set 2 X 50ml</t>
        </is>
      </c>
      <c r="C23012" t="inlineStr">
        <is>
          <t>Fragrance Sets</t>
        </is>
      </c>
      <c r="D23012" t="inlineStr">
        <is>
          <t>Paco Rabanne</t>
        </is>
      </c>
      <c r="E23012" t="n">
        <v>70.01000000000001</v>
      </c>
      <c r="F23012" t="n">
        <v>1</v>
      </c>
      <c r="G23012" t="n">
        <v>4</v>
      </c>
      <c r="H23012" s="5">
        <f>HYPERLINK("https://api.qogita.com/variants/link/3349668628667/", "View Product")</f>
        <v/>
      </c>
    </row>
    <row r="23013">
      <c r="A23013" t="inlineStr">
        <is>
          <t>3349668628698</t>
        </is>
      </c>
      <c r="B23013" t="inlineStr">
        <is>
          <t>Paco Rabanne Invictus Duo Edt Spray 2x50 Ml</t>
        </is>
      </c>
      <c r="C23013" t="inlineStr">
        <is>
          <t>Eau De Toilette</t>
        </is>
      </c>
      <c r="D23013" t="inlineStr">
        <is>
          <t>Paco Rabanne</t>
        </is>
      </c>
      <c r="E23013" t="n">
        <v>73.14</v>
      </c>
      <c r="F23013" t="n">
        <v>1</v>
      </c>
      <c r="G23013" t="n">
        <v>5</v>
      </c>
      <c r="H23013" s="5">
        <f>HYPERLINK("https://api.qogita.com/variants/link/3349668628698/", "View Product")</f>
        <v/>
      </c>
    </row>
    <row r="23014">
      <c r="A23014" t="inlineStr">
        <is>
          <t>3349668630028</t>
        </is>
      </c>
      <c r="B23014" t="inlineStr">
        <is>
          <t>Paco Rabanne Phantom Intense Eau De Parfum Spray 50ml</t>
        </is>
      </c>
      <c r="C23014" t="inlineStr">
        <is>
          <t>Eau De Parfum</t>
        </is>
      </c>
      <c r="D23014" t="inlineStr">
        <is>
          <t>Paco Rabanne</t>
        </is>
      </c>
      <c r="E23014" t="n">
        <v>55.85</v>
      </c>
      <c r="F23014" t="n">
        <v>1</v>
      </c>
      <c r="G23014" t="n">
        <v>16</v>
      </c>
      <c r="H23014" s="5">
        <f>HYPERLINK("https://api.qogita.com/variants/link/3349668630028/", "View Product")</f>
        <v/>
      </c>
    </row>
    <row r="23015">
      <c r="A23015" t="inlineStr">
        <is>
          <t>3349668630356</t>
        </is>
      </c>
      <c r="B23015" t="inlineStr">
        <is>
          <t>Paco Rabanne Million Gold Eau De Parfum Intense Spray 200ml</t>
        </is>
      </c>
      <c r="C23015" t="inlineStr">
        <is>
          <t>Eau De Parfum</t>
        </is>
      </c>
      <c r="D23015" t="inlineStr">
        <is>
          <t>Paco Rabanne</t>
        </is>
      </c>
      <c r="E23015" t="n">
        <v>104.53</v>
      </c>
      <c r="F23015" t="n">
        <v>1</v>
      </c>
      <c r="G23015" t="n">
        <v>10</v>
      </c>
      <c r="H23015" s="5">
        <f>HYPERLINK("https://api.qogita.com/variants/link/3349668630356/", "View Product")</f>
        <v/>
      </c>
    </row>
    <row r="23016">
      <c r="A23016" t="inlineStr">
        <is>
          <t>3349668635016</t>
        </is>
      </c>
      <c r="B23016" t="inlineStr">
        <is>
          <t>Paco Rabanne Fame Eau De Parfum 50ml And Body Lotion 75ml</t>
        </is>
      </c>
      <c r="C23016" t="inlineStr">
        <is>
          <t>Eau De Parfum</t>
        </is>
      </c>
      <c r="D23016" t="inlineStr">
        <is>
          <t>Paco Rabanne</t>
        </is>
      </c>
      <c r="E23016" t="n">
        <v>54.51</v>
      </c>
      <c r="F23016" t="n">
        <v>1</v>
      </c>
      <c r="G23016" t="n">
        <v>5</v>
      </c>
      <c r="H23016" s="5">
        <f>HYPERLINK("https://api.qogita.com/variants/link/3349668635016/", "View Product")</f>
        <v/>
      </c>
    </row>
    <row r="23017">
      <c r="A23017" t="inlineStr">
        <is>
          <t>3349668635108</t>
        </is>
      </c>
      <c r="B23017" t="inlineStr">
        <is>
          <t>Paco Rabanne Fame Intense Eau De Parfum Spray 50 Ml Nav24 Sets</t>
        </is>
      </c>
      <c r="C23017" t="inlineStr">
        <is>
          <t>Eau De Parfum</t>
        </is>
      </c>
      <c r="D23017" t="inlineStr">
        <is>
          <t>Paco Rabanne</t>
        </is>
      </c>
      <c r="E23017" t="n">
        <v>82.73999999999999</v>
      </c>
      <c r="F23017" t="n">
        <v>1</v>
      </c>
      <c r="G23017" t="n">
        <v>9</v>
      </c>
      <c r="H23017" s="5">
        <f>HYPERLINK("https://api.qogita.com/variants/link/3349668635108/", "View Product")</f>
        <v/>
      </c>
    </row>
    <row r="23018">
      <c r="A23018" t="inlineStr">
        <is>
          <t>3349668641840</t>
        </is>
      </c>
      <c r="B23018" t="inlineStr">
        <is>
          <t>Paco Rabanne Invictus Victory Absolu Parfum Intense Eau De Parfum Vaporisateur 200 Ml</t>
        </is>
      </c>
      <c r="C23018" t="inlineStr">
        <is>
          <t>Eau De Parfum</t>
        </is>
      </c>
      <c r="D23018" t="inlineStr">
        <is>
          <t>Paco Rabanne</t>
        </is>
      </c>
      <c r="E23018" t="n">
        <v>116.97</v>
      </c>
      <c r="F23018" t="n">
        <v>1</v>
      </c>
      <c r="G23018" t="n">
        <v>10</v>
      </c>
      <c r="H23018" s="5">
        <f>HYPERLINK("https://api.qogita.com/variants/link/3349668641840/", "View Product")</f>
        <v/>
      </c>
    </row>
    <row r="23019">
      <c r="A23019" t="inlineStr">
        <is>
          <t>3349668642748</t>
        </is>
      </c>
      <c r="B23019" t="inlineStr">
        <is>
          <t>Paco Rabanne Million Gold For Her Eau De Parfum 50ml &amp; Body Lotion 100ml</t>
        </is>
      </c>
      <c r="C23019" t="inlineStr">
        <is>
          <t>Fragrance Sets</t>
        </is>
      </c>
      <c r="D23019" t="inlineStr">
        <is>
          <t>Paco Rabanne</t>
        </is>
      </c>
      <c r="E23019" t="n">
        <v>60.4</v>
      </c>
      <c r="F23019" t="n">
        <v>1</v>
      </c>
      <c r="G23019" t="n">
        <v>45</v>
      </c>
      <c r="H23019" s="5">
        <f>HYPERLINK("https://api.qogita.com/variants/link/3349668642748/", "View Product")</f>
        <v/>
      </c>
    </row>
    <row r="23020">
      <c r="A23020" t="inlineStr">
        <is>
          <t>3349668644933</t>
        </is>
      </c>
      <c r="B23020" t="inlineStr">
        <is>
          <t>Rabanne Elixir 100 Ml Vapo</t>
        </is>
      </c>
      <c r="C23020" t="inlineStr">
        <is>
          <t>Eau De Parfum</t>
        </is>
      </c>
      <c r="D23020" t="inlineStr">
        <is>
          <t>Paco Rabanne</t>
        </is>
      </c>
      <c r="E23020" t="n">
        <v>101.49</v>
      </c>
      <c r="F23020" t="n">
        <v>1</v>
      </c>
      <c r="G23020" t="n">
        <v>14</v>
      </c>
      <c r="H23020" s="5">
        <f>HYPERLINK("https://api.qogita.com/variants/link/3349668644933/", "View Product")</f>
        <v/>
      </c>
    </row>
    <row r="23021">
      <c r="A23021" t="inlineStr">
        <is>
          <t>3349668644957</t>
        </is>
      </c>
      <c r="B23021" t="inlineStr">
        <is>
          <t>Rabanne Million Gold For Her Elixir 50 Ml Vapo</t>
        </is>
      </c>
      <c r="C23021" t="inlineStr">
        <is>
          <t>Eau De Parfum</t>
        </is>
      </c>
      <c r="D23021" t="inlineStr">
        <is>
          <t>Paco Rabanne</t>
        </is>
      </c>
      <c r="E23021" t="n">
        <v>74.92</v>
      </c>
      <c r="F23021" t="n">
        <v>1</v>
      </c>
      <c r="G23021" t="n">
        <v>9</v>
      </c>
      <c r="H23021" s="5">
        <f>HYPERLINK("https://api.qogita.com/variants/link/3349668644957/", "View Product")</f>
        <v/>
      </c>
    </row>
    <row r="23022">
      <c r="A23022" t="inlineStr">
        <is>
          <t>3350900000240</t>
        </is>
      </c>
      <c r="B23022" t="inlineStr">
        <is>
          <t>Embryolisse Cream 365 200ml</t>
        </is>
      </c>
      <c r="C23022" t="inlineStr">
        <is>
          <t>Face Cream</t>
        </is>
      </c>
      <c r="D23022" t="inlineStr">
        <is>
          <t>Embryolisse</t>
        </is>
      </c>
      <c r="E23022" t="n">
        <v>16.25</v>
      </c>
      <c r="F23022" t="n">
        <v>1</v>
      </c>
      <c r="G23022" t="n">
        <v>2</v>
      </c>
      <c r="H23022" s="5">
        <f>HYPERLINK("https://api.qogita.com/variants/link/3350900000240/", "View Product")</f>
        <v/>
      </c>
    </row>
    <row r="23023">
      <c r="A23023" t="inlineStr">
        <is>
          <t>3350900001315</t>
        </is>
      </c>
      <c r="B23023" t="inlineStr">
        <is>
          <t>Embryolisse Hydracreme Legere Tube Light Moisturizing Cream For Normal To Combination Skin 40 Ml</t>
        </is>
      </c>
      <c r="C23023" t="inlineStr">
        <is>
          <t>Face Cream</t>
        </is>
      </c>
      <c r="D23023" t="inlineStr">
        <is>
          <t>Embryolisse</t>
        </is>
      </c>
      <c r="E23023" t="n">
        <v>10.72</v>
      </c>
      <c r="F23023" t="n">
        <v>1</v>
      </c>
      <c r="G23023" t="n">
        <v>85</v>
      </c>
      <c r="H23023" s="5">
        <f>HYPERLINK("https://api.qogita.com/variants/link/3350900001315/", "View Product")</f>
        <v/>
      </c>
    </row>
    <row r="23024">
      <c r="A23024" t="inlineStr">
        <is>
          <t>3350900001322</t>
        </is>
      </c>
      <c r="B23024" t="inlineStr">
        <is>
          <t>Embryolisse Hydra-Serum Moisturizing Serum With Hyaluronic Acid 30ml</t>
        </is>
      </c>
      <c r="C23024" t="inlineStr">
        <is>
          <t>Hyaluronic Acid Serum</t>
        </is>
      </c>
      <c r="D23024" t="inlineStr">
        <is>
          <t>Embryolisse</t>
        </is>
      </c>
      <c r="E23024" t="n">
        <v>17.63</v>
      </c>
      <c r="F23024" t="n">
        <v>1</v>
      </c>
      <c r="G23024" t="n">
        <v>20</v>
      </c>
      <c r="H23024" s="5">
        <f>HYPERLINK("https://api.qogita.com/variants/link/3350900001322/", "View Product")</f>
        <v/>
      </c>
    </row>
    <row r="23025">
      <c r="A23025" t="inlineStr">
        <is>
          <t>3350900001704</t>
        </is>
      </c>
      <c r="B23025" t="inlineStr">
        <is>
          <t>Embryolisse Lait-Creme Multi-Protection Spf20 Moisturizing Face Cream With Filter 40ml</t>
        </is>
      </c>
      <c r="C23025" t="inlineStr">
        <is>
          <t>Day Cream</t>
        </is>
      </c>
      <c r="D23025" t="inlineStr">
        <is>
          <t>Embryolisse</t>
        </is>
      </c>
      <c r="E23025" t="n">
        <v>11.72</v>
      </c>
      <c r="F23025" t="n">
        <v>1</v>
      </c>
      <c r="G23025" t="n">
        <v>34</v>
      </c>
      <c r="H23025" s="5">
        <f>HYPERLINK("https://api.qogita.com/variants/link/3350900001704/", "View Product")</f>
        <v/>
      </c>
    </row>
    <row r="23026">
      <c r="A23026" t="inlineStr">
        <is>
          <t>3350900002015</t>
        </is>
      </c>
      <c r="B23026" t="inlineStr">
        <is>
          <t>Embryolisse Concealer Correcting Care Pink</t>
        </is>
      </c>
      <c r="C23026" t="inlineStr">
        <is>
          <t>Concealer</t>
        </is>
      </c>
      <c r="D23026" t="inlineStr">
        <is>
          <t>Embryolisse</t>
        </is>
      </c>
      <c r="E23026" t="n">
        <v>14.84</v>
      </c>
      <c r="F23026" t="n">
        <v>1</v>
      </c>
      <c r="G23026" t="n">
        <v>1</v>
      </c>
      <c r="H23026" s="5">
        <f>HYPERLINK("https://api.qogita.com/variants/link/3350900002015/", "View Product")</f>
        <v/>
      </c>
    </row>
    <row r="23027">
      <c r="A23027" t="inlineStr">
        <is>
          <t>3351500013814</t>
        </is>
      </c>
      <c r="B23027" t="inlineStr">
        <is>
          <t>Azzaro Wanted Girl 80 Ml</t>
        </is>
      </c>
      <c r="C23027" t="inlineStr">
        <is>
          <t>Eau De Parfum</t>
        </is>
      </c>
      <c r="D23027" t="inlineStr">
        <is>
          <t>Azzaro</t>
        </is>
      </c>
      <c r="E23027" t="n">
        <v>45.6</v>
      </c>
      <c r="F23027" t="n">
        <v>1</v>
      </c>
      <c r="G23027" t="n">
        <v>3</v>
      </c>
      <c r="H23027" s="5">
        <f>HYPERLINK("https://api.qogita.com/variants/link/3351500013814/", "View Product")</f>
        <v/>
      </c>
    </row>
    <row r="23028">
      <c r="A23028" t="inlineStr">
        <is>
          <t>3351500015238</t>
        </is>
      </c>
      <c r="B23028" t="inlineStr">
        <is>
          <t>Azzaro Chrome Legend Eau De Toilette For Men 75ml Vaporizer</t>
        </is>
      </c>
      <c r="C23028" t="inlineStr">
        <is>
          <t>Eau De Toilette</t>
        </is>
      </c>
      <c r="D23028" t="inlineStr">
        <is>
          <t>Azzaro</t>
        </is>
      </c>
      <c r="E23028" t="n">
        <v>12.11</v>
      </c>
      <c r="F23028" t="n">
        <v>1</v>
      </c>
      <c r="G23028" t="n">
        <v>333</v>
      </c>
      <c r="H23028" s="5">
        <f>HYPERLINK("https://api.qogita.com/variants/link/3351500015238/", "View Product")</f>
        <v/>
      </c>
    </row>
    <row r="23029">
      <c r="A23029" t="inlineStr">
        <is>
          <t>3351500016617</t>
        </is>
      </c>
      <c r="B23029" t="inlineStr">
        <is>
          <t>Azzaro Wanted Eau De Toilette 100ml For Men</t>
        </is>
      </c>
      <c r="C23029" t="inlineStr">
        <is>
          <t>Eau De Toilette</t>
        </is>
      </c>
      <c r="D23029" t="inlineStr">
        <is>
          <t>Azzaro</t>
        </is>
      </c>
      <c r="E23029" t="n">
        <v>41</v>
      </c>
      <c r="F23029" t="n">
        <v>1</v>
      </c>
      <c r="G23029" t="n">
        <v>11</v>
      </c>
      <c r="H23029" s="5">
        <f>HYPERLINK("https://api.qogita.com/variants/link/3351500016617/", "View Product")</f>
        <v/>
      </c>
    </row>
    <row r="23030">
      <c r="A23030" t="inlineStr">
        <is>
          <t>3351500016808</t>
        </is>
      </c>
      <c r="B23030" t="inlineStr">
        <is>
          <t>Azzaro Chrome Extreme Eau De Parfum 50ml For Men</t>
        </is>
      </c>
      <c r="C23030" t="inlineStr">
        <is>
          <t>Eau De Parfum</t>
        </is>
      </c>
      <c r="D23030" t="inlineStr">
        <is>
          <t>Azzaro</t>
        </is>
      </c>
      <c r="E23030" t="n">
        <v>27.02</v>
      </c>
      <c r="F23030" t="n">
        <v>1</v>
      </c>
      <c r="G23030" t="n">
        <v>17</v>
      </c>
      <c r="H23030" s="5">
        <f>HYPERLINK("https://api.qogita.com/variants/link/3351500016808/", "View Product")</f>
        <v/>
      </c>
    </row>
    <row r="23031">
      <c r="A23031" t="inlineStr">
        <is>
          <t>3351500020317</t>
        </is>
      </c>
      <c r="B23031" t="inlineStr">
        <is>
          <t>Azzaro Chrome United Eau De Toilette 100ml For Men</t>
        </is>
      </c>
      <c r="C23031" t="inlineStr">
        <is>
          <t>Eau De Toilette</t>
        </is>
      </c>
      <c r="D23031" t="inlineStr">
        <is>
          <t>Azzaro</t>
        </is>
      </c>
      <c r="E23031" t="n">
        <v>23.26</v>
      </c>
      <c r="F23031" t="n">
        <v>1</v>
      </c>
      <c r="G23031" t="n">
        <v>7</v>
      </c>
      <c r="H23031" s="5">
        <f>HYPERLINK("https://api.qogita.com/variants/link/3351500020317/", "View Product")</f>
        <v/>
      </c>
    </row>
    <row r="23032">
      <c r="A23032" t="inlineStr">
        <is>
          <t>3355991002319</t>
        </is>
      </c>
      <c r="B23032" t="inlineStr">
        <is>
          <t>Jacques Bogart Silver Scent Eau De Toilette 100ml For Men</t>
        </is>
      </c>
      <c r="C23032" t="inlineStr">
        <is>
          <t>Eau De Toilette</t>
        </is>
      </c>
      <c r="D23032" t="inlineStr">
        <is>
          <t>Jacques Bogart</t>
        </is>
      </c>
      <c r="E23032" t="n">
        <v>16.41</v>
      </c>
      <c r="F23032" t="n">
        <v>1</v>
      </c>
      <c r="G23032" t="n">
        <v>123</v>
      </c>
      <c r="H23032" s="5">
        <f>HYPERLINK("https://api.qogita.com/variants/link/3355991002319/", "View Product")</f>
        <v/>
      </c>
    </row>
    <row r="23033">
      <c r="A23033" t="inlineStr">
        <is>
          <t>3355991003019</t>
        </is>
      </c>
      <c r="B23033" t="inlineStr">
        <is>
          <t>Jacques Bogart Silver Scent Intense Eau De Toilette 100ml For Men</t>
        </is>
      </c>
      <c r="C23033" t="inlineStr">
        <is>
          <t>Eau De Toilette</t>
        </is>
      </c>
      <c r="D23033" t="inlineStr">
        <is>
          <t>Jacques Bogart</t>
        </is>
      </c>
      <c r="E23033" t="n">
        <v>16.58</v>
      </c>
      <c r="F23033" t="n">
        <v>1</v>
      </c>
      <c r="G23033" t="n">
        <v>23</v>
      </c>
      <c r="H23033" s="5">
        <f>HYPERLINK("https://api.qogita.com/variants/link/3355991003019/", "View Product")</f>
        <v/>
      </c>
    </row>
    <row r="23034">
      <c r="A23034" t="inlineStr">
        <is>
          <t>3355991221987</t>
        </is>
      </c>
      <c r="B23034" t="inlineStr">
        <is>
          <t>Carven L Eau Intense Eau De Toilette 50ml For Men</t>
        </is>
      </c>
      <c r="C23034" t="inlineStr">
        <is>
          <t>Eau De Toilette</t>
        </is>
      </c>
      <c r="D23034" t="inlineStr">
        <is>
          <t>Carven</t>
        </is>
      </c>
      <c r="E23034" t="n">
        <v>26.49</v>
      </c>
      <c r="F23034" t="n">
        <v>1</v>
      </c>
      <c r="G23034" t="n">
        <v>7</v>
      </c>
      <c r="H23034" s="5">
        <f>HYPERLINK("https://api.qogita.com/variants/link/3355991221987/", "View Product")</f>
        <v/>
      </c>
    </row>
    <row r="23035">
      <c r="A23035" t="inlineStr">
        <is>
          <t>3355992009157</t>
        </is>
      </c>
      <c r="B23035" t="inlineStr">
        <is>
          <t>Ted Lapidus Stories Torrid Tempo Eau De Toilette Spray 100ml</t>
        </is>
      </c>
      <c r="C23035" t="inlineStr">
        <is>
          <t>Eau De Toilette</t>
        </is>
      </c>
      <c r="D23035" t="inlineStr">
        <is>
          <t>Ted Lapidus</t>
        </is>
      </c>
      <c r="E23035" t="n">
        <v>13.74</v>
      </c>
      <c r="F23035" t="n">
        <v>1</v>
      </c>
      <c r="G23035" t="n">
        <v>4</v>
      </c>
      <c r="H23035" s="5">
        <f>HYPERLINK("https://api.qogita.com/variants/link/3355992009157/", "View Product")</f>
        <v/>
      </c>
    </row>
    <row r="23036">
      <c r="A23036" t="inlineStr">
        <is>
          <t>3355992009195</t>
        </is>
      </c>
      <c r="B23036" t="inlineStr">
        <is>
          <t>Suave Skin by Ted Lapidus for Women 3.33 Oz EDT Spray</t>
        </is>
      </c>
      <c r="C23036" t="inlineStr">
        <is>
          <t>Eau De Toilette</t>
        </is>
      </c>
      <c r="D23036" t="inlineStr">
        <is>
          <t>Ted Lapidus</t>
        </is>
      </c>
      <c r="E23036" t="n">
        <v>14.33</v>
      </c>
      <c r="F23036" t="n">
        <v>1</v>
      </c>
      <c r="G23036" t="n">
        <v>2</v>
      </c>
      <c r="H23036" s="5">
        <f>HYPERLINK("https://api.qogita.com/variants/link/3355992009195/", "View Product")</f>
        <v/>
      </c>
    </row>
    <row r="23037">
      <c r="A23037" t="inlineStr">
        <is>
          <t>3355992009348</t>
        </is>
      </c>
      <c r="B23037" t="inlineStr">
        <is>
          <t>Ted Lapidus Stories Femme Seduction Vibes Eau De Toilette Spray 100ml</t>
        </is>
      </c>
      <c r="C23037" t="inlineStr">
        <is>
          <t>Eau De Toilette</t>
        </is>
      </c>
      <c r="D23037" t="inlineStr">
        <is>
          <t>Ted Lapidus</t>
        </is>
      </c>
      <c r="E23037" t="n">
        <v>11.55</v>
      </c>
      <c r="F23037" t="n">
        <v>1</v>
      </c>
      <c r="G23037" t="n">
        <v>4</v>
      </c>
      <c r="H23037" s="5">
        <f>HYPERLINK("https://api.qogita.com/variants/link/3355992009348/", "View Product")</f>
        <v/>
      </c>
    </row>
    <row r="23038">
      <c r="A23038" t="inlineStr">
        <is>
          <t>3359998142009</t>
        </is>
      </c>
      <c r="B23038" t="inlineStr">
        <is>
          <t>Orlane Thermo-Active Firming Serum 30ml</t>
        </is>
      </c>
      <c r="C23038" t="inlineStr">
        <is>
          <t>Anti-Aging Serum</t>
        </is>
      </c>
      <c r="D23038" t="inlineStr">
        <is>
          <t>Orlane</t>
        </is>
      </c>
      <c r="E23038" t="n">
        <v>158.64</v>
      </c>
      <c r="F23038" t="n">
        <v>1</v>
      </c>
      <c r="G23038" t="n">
        <v>4</v>
      </c>
      <c r="H23038" s="5">
        <f>HYPERLINK("https://api.qogita.com/variants/link/3359998142009/", "View Product")</f>
        <v/>
      </c>
    </row>
    <row r="23039">
      <c r="A23039" t="inlineStr">
        <is>
          <t>3360370600062</t>
        </is>
      </c>
      <c r="B23039" t="inlineStr">
        <is>
          <t>Paloma Picasso Eau De Parfum Spray 50ml By Paloma Picasso</t>
        </is>
      </c>
      <c r="C23039" t="inlineStr">
        <is>
          <t>Eau De Parfum</t>
        </is>
      </c>
      <c r="D23039" t="inlineStr">
        <is>
          <t>Paloma Picasso</t>
        </is>
      </c>
      <c r="E23039" t="n">
        <v>21.73</v>
      </c>
      <c r="F23039" t="n">
        <v>1</v>
      </c>
      <c r="G23039" t="n">
        <v>166</v>
      </c>
      <c r="H23039" s="5">
        <f>HYPERLINK("https://api.qogita.com/variants/link/3360370600062/", "View Product")</f>
        <v/>
      </c>
    </row>
    <row r="23040">
      <c r="A23040" t="inlineStr">
        <is>
          <t>3360372009443</t>
        </is>
      </c>
      <c r="B23040" t="inlineStr">
        <is>
          <t>Guy Laroche Drakkar Noir Eau De Toilette 50ml Men Spray</t>
        </is>
      </c>
      <c r="C23040" t="inlineStr">
        <is>
          <t>Eau De Toilette</t>
        </is>
      </c>
      <c r="D23040" t="inlineStr">
        <is>
          <t>Guy Laroche</t>
        </is>
      </c>
      <c r="E23040" t="n">
        <v>11.48</v>
      </c>
      <c r="F23040" t="n">
        <v>1</v>
      </c>
      <c r="G23040" t="n">
        <v>42</v>
      </c>
      <c r="H23040" s="5">
        <f>HYPERLINK("https://api.qogita.com/variants/link/3360372009443/", "View Product")</f>
        <v/>
      </c>
    </row>
    <row r="23041">
      <c r="A23041" t="inlineStr">
        <is>
          <t>3360372013648</t>
        </is>
      </c>
      <c r="B23041" t="inlineStr">
        <is>
          <t>Ralph Lauren Safari Men Eau De Toilette Spray 125ml</t>
        </is>
      </c>
      <c r="C23041" t="inlineStr">
        <is>
          <t>Eau De Toilette</t>
        </is>
      </c>
      <c r="D23041" t="inlineStr">
        <is>
          <t>Ralph Lauren</t>
        </is>
      </c>
      <c r="E23041" t="n">
        <v>44.44</v>
      </c>
      <c r="F23041" t="n">
        <v>1</v>
      </c>
      <c r="G23041" t="n">
        <v>18</v>
      </c>
      <c r="H23041" s="5">
        <f>HYPERLINK("https://api.qogita.com/variants/link/3360372013648/", "View Product")</f>
        <v/>
      </c>
    </row>
    <row r="23042">
      <c r="A23042" t="inlineStr">
        <is>
          <t>3360372026112</t>
        </is>
      </c>
      <c r="B23042" t="inlineStr">
        <is>
          <t>Giorgio Armani Luminous Silk Foundation No. 04 30ml</t>
        </is>
      </c>
      <c r="C23042" t="inlineStr">
        <is>
          <t>Foundation</t>
        </is>
      </c>
      <c r="D23042" t="inlineStr">
        <is>
          <t>Giorgio Armani</t>
        </is>
      </c>
      <c r="E23042" t="n">
        <v>44.58</v>
      </c>
      <c r="F23042" t="n">
        <v>1</v>
      </c>
      <c r="G23042" t="n">
        <v>33</v>
      </c>
      <c r="H23042" s="5">
        <f>HYPERLINK("https://api.qogita.com/variants/link/3360372026112/", "View Product")</f>
        <v/>
      </c>
    </row>
    <row r="23043">
      <c r="A23043" t="inlineStr">
        <is>
          <t>3360372054559</t>
        </is>
      </c>
      <c r="B23043" t="inlineStr">
        <is>
          <t>Giorgio Armani Acqua Di Gio Eau De Toilette Spray For Women 100 Ml</t>
        </is>
      </c>
      <c r="C23043" t="inlineStr">
        <is>
          <t>Eau De Toilette</t>
        </is>
      </c>
      <c r="D23043" t="inlineStr">
        <is>
          <t>Giorgio Armani</t>
        </is>
      </c>
      <c r="E23043" t="n">
        <v>80.43000000000001</v>
      </c>
      <c r="F23043" t="n">
        <v>1</v>
      </c>
      <c r="G23043" t="n">
        <v>25</v>
      </c>
      <c r="H23043" s="5">
        <f>HYPERLINK("https://api.qogita.com/variants/link/3360372054559/", "View Product")</f>
        <v/>
      </c>
    </row>
    <row r="23044">
      <c r="A23044" t="inlineStr">
        <is>
          <t>3360372055402</t>
        </is>
      </c>
      <c r="B23044" t="inlineStr">
        <is>
          <t>Ralph Lauren Polo Sport Eau De Toilette 125ml Spray For Men</t>
        </is>
      </c>
      <c r="C23044" t="inlineStr">
        <is>
          <t>Eau De Toilette</t>
        </is>
      </c>
      <c r="D23044" t="inlineStr">
        <is>
          <t>Ralph Lauren</t>
        </is>
      </c>
      <c r="E23044" t="n">
        <v>20.95</v>
      </c>
      <c r="F23044" t="n">
        <v>1</v>
      </c>
      <c r="G23044" t="n">
        <v>242</v>
      </c>
      <c r="H23044" s="5">
        <f>HYPERLINK("https://api.qogita.com/variants/link/3360372055402/", "View Product")</f>
        <v/>
      </c>
    </row>
    <row r="23045">
      <c r="A23045" t="inlineStr">
        <is>
          <t>3360372058885</t>
        </is>
      </c>
      <c r="B23045" t="inlineStr">
        <is>
          <t>Giorgio Armani Acqua Di Gio Pour Homme After Shave 100ml</t>
        </is>
      </c>
      <c r="C23045" t="inlineStr">
        <is>
          <t>Aftershave</t>
        </is>
      </c>
      <c r="D23045" t="inlineStr">
        <is>
          <t>Giorgio Armani</t>
        </is>
      </c>
      <c r="E23045" t="n">
        <v>45.25</v>
      </c>
      <c r="F23045" t="n">
        <v>1</v>
      </c>
      <c r="G23045" t="n">
        <v>95</v>
      </c>
      <c r="H23045" s="5">
        <f>HYPERLINK("https://api.qogita.com/variants/link/3360372058885/", "View Product")</f>
        <v/>
      </c>
    </row>
    <row r="23046">
      <c r="A23046" t="inlineStr">
        <is>
          <t>3360372078500</t>
        </is>
      </c>
      <c r="B23046" t="inlineStr">
        <is>
          <t>Giorgio Armani Acqua Di Gio Pour Homme Eau De Toilette Spray 200ml</t>
        </is>
      </c>
      <c r="C23046" t="inlineStr">
        <is>
          <t>Eau De Toilette</t>
        </is>
      </c>
      <c r="D23046" t="inlineStr">
        <is>
          <t>Giorgio Armani</t>
        </is>
      </c>
      <c r="E23046" t="n">
        <v>95.12</v>
      </c>
      <c r="F23046" t="n">
        <v>1</v>
      </c>
      <c r="G23046" t="n">
        <v>16</v>
      </c>
      <c r="H23046" s="5">
        <f>HYPERLINK("https://api.qogita.com/variants/link/3360372078500/", "View Product")</f>
        <v/>
      </c>
    </row>
    <row r="23047">
      <c r="A23047" t="inlineStr">
        <is>
          <t>3360372115526</t>
        </is>
      </c>
      <c r="B23047" t="inlineStr">
        <is>
          <t>Giorgio Armani Code Deostick 75g Men's Deodorant Stick</t>
        </is>
      </c>
      <c r="C23047" t="inlineStr">
        <is>
          <t>Deodorant &amp; Anti-Perspirant</t>
        </is>
      </c>
      <c r="D23047" t="inlineStr">
        <is>
          <t>Giorgio Armani</t>
        </is>
      </c>
      <c r="E23047" t="n">
        <v>28.12</v>
      </c>
      <c r="F23047" t="n">
        <v>1</v>
      </c>
      <c r="G23047" t="n">
        <v>47</v>
      </c>
      <c r="H23047" s="5">
        <f>HYPERLINK("https://api.qogita.com/variants/link/3360372115526/", "View Product")</f>
        <v/>
      </c>
    </row>
    <row r="23048">
      <c r="A23048" t="inlineStr">
        <is>
          <t>3360373016341</t>
        </is>
      </c>
      <c r="B23048" t="inlineStr">
        <is>
          <t>Cacharel Noa Eau De Toilette Spray 50ml</t>
        </is>
      </c>
      <c r="C23048" t="inlineStr">
        <is>
          <t>Eau De Toilette</t>
        </is>
      </c>
      <c r="D23048" t="inlineStr">
        <is>
          <t>Cacharel</t>
        </is>
      </c>
      <c r="E23048" t="n">
        <v>19.45</v>
      </c>
      <c r="F23048" t="n">
        <v>1</v>
      </c>
      <c r="G23048" t="n">
        <v>129</v>
      </c>
      <c r="H23048" s="5">
        <f>HYPERLINK("https://api.qogita.com/variants/link/3360373016341/", "View Product")</f>
        <v/>
      </c>
    </row>
    <row r="23049">
      <c r="A23049" t="inlineStr">
        <is>
          <t>3360373016358</t>
        </is>
      </c>
      <c r="B23049" t="inlineStr">
        <is>
          <t>Cacharel Noa Eau De Toilette 100ml Spray</t>
        </is>
      </c>
      <c r="C23049" t="inlineStr">
        <is>
          <t>Eau De Toilette</t>
        </is>
      </c>
      <c r="D23049" t="inlineStr">
        <is>
          <t>Cacharel</t>
        </is>
      </c>
      <c r="E23049" t="n">
        <v>25.8</v>
      </c>
      <c r="F23049" t="n">
        <v>1</v>
      </c>
      <c r="G23049" t="n">
        <v>270</v>
      </c>
      <c r="H23049" s="5">
        <f>HYPERLINK("https://api.qogita.com/variants/link/3360373016358/", "View Product")</f>
        <v/>
      </c>
    </row>
    <row r="23050">
      <c r="A23050" t="inlineStr">
        <is>
          <t>3360373054701</t>
        </is>
      </c>
      <c r="B23050" t="inlineStr">
        <is>
          <t>Paloma Picasso Eau De Toilette Spray 30ml</t>
        </is>
      </c>
      <c r="C23050" t="inlineStr">
        <is>
          <t>Eau De Toilette</t>
        </is>
      </c>
      <c r="D23050" t="inlineStr">
        <is>
          <t>Paloma Picasso</t>
        </is>
      </c>
      <c r="E23050" t="n">
        <v>22.41</v>
      </c>
      <c r="F23050" t="n">
        <v>1</v>
      </c>
      <c r="G23050" t="n">
        <v>3</v>
      </c>
      <c r="H23050" s="5">
        <f>HYPERLINK("https://api.qogita.com/variants/link/3360373054701/", "View Product")</f>
        <v/>
      </c>
    </row>
    <row r="23051">
      <c r="A23051" t="inlineStr">
        <is>
          <t>3360374000011</t>
        </is>
      </c>
      <c r="B23051" t="inlineStr">
        <is>
          <t>Viktor&amp;Rolf Flowerbomb Eau De Parfum Spray 50ml</t>
        </is>
      </c>
      <c r="C23051" t="inlineStr">
        <is>
          <t>Eau De Parfum</t>
        </is>
      </c>
      <c r="D23051" t="inlineStr">
        <is>
          <t>Viktor &amp; Rolf</t>
        </is>
      </c>
      <c r="E23051" t="n">
        <v>51.09</v>
      </c>
      <c r="F23051" t="n">
        <v>1</v>
      </c>
      <c r="G23051" t="n">
        <v>3</v>
      </c>
      <c r="H23051" s="5">
        <f>HYPERLINK("https://api.qogita.com/variants/link/3360374000011/", "View Product")</f>
        <v/>
      </c>
    </row>
    <row r="23052">
      <c r="A23052" t="inlineStr">
        <is>
          <t>3360375004049</t>
        </is>
      </c>
      <c r="B23052" t="inlineStr">
        <is>
          <t>Armani Code For Women Eau De Parfum Spray 30ml</t>
        </is>
      </c>
      <c r="C23052" t="inlineStr">
        <is>
          <t>Eau De Parfum</t>
        </is>
      </c>
      <c r="D23052" t="inlineStr">
        <is>
          <t>Armani</t>
        </is>
      </c>
      <c r="E23052" t="n">
        <v>51.02</v>
      </c>
      <c r="F23052" t="n">
        <v>1</v>
      </c>
      <c r="G23052" t="n">
        <v>10</v>
      </c>
      <c r="H23052" s="5">
        <f>HYPERLINK("https://api.qogita.com/variants/link/3360375004049/", "View Product")</f>
        <v/>
      </c>
    </row>
    <row r="23053">
      <c r="A23053" t="inlineStr">
        <is>
          <t>3360377002944</t>
        </is>
      </c>
      <c r="B23053" t="inlineStr">
        <is>
          <t>Ralph Lauren Romance Eau De Parfum 30ml</t>
        </is>
      </c>
      <c r="C23053" t="inlineStr">
        <is>
          <t>Eau De Parfum</t>
        </is>
      </c>
      <c r="D23053" t="inlineStr">
        <is>
          <t>Ralph Lauren</t>
        </is>
      </c>
      <c r="E23053" t="n">
        <v>24.39</v>
      </c>
      <c r="F23053" t="n">
        <v>1</v>
      </c>
      <c r="G23053" t="n">
        <v>4</v>
      </c>
      <c r="H23053" s="5">
        <f>HYPERLINK("https://api.qogita.com/variants/link/3360377002944/", "View Product")</f>
        <v/>
      </c>
    </row>
    <row r="23054">
      <c r="A23054" t="inlineStr">
        <is>
          <t>3360377009363</t>
        </is>
      </c>
      <c r="B23054" t="inlineStr">
        <is>
          <t>Ralph Lauren Ralph Eau De Toilette Spray 100ml</t>
        </is>
      </c>
      <c r="C23054" t="inlineStr">
        <is>
          <t>Eau De Toilette</t>
        </is>
      </c>
      <c r="D23054" t="inlineStr">
        <is>
          <t>Ralph Lauren</t>
        </is>
      </c>
      <c r="E23054" t="n">
        <v>46.22</v>
      </c>
      <c r="F23054" t="n">
        <v>1</v>
      </c>
      <c r="G23054" t="n">
        <v>32</v>
      </c>
      <c r="H23054" s="5">
        <f>HYPERLINK("https://api.qogita.com/variants/link/3360377009363/", "View Product")</f>
        <v/>
      </c>
    </row>
    <row r="23055">
      <c r="A23055" t="inlineStr">
        <is>
          <t>3360377022928</t>
        </is>
      </c>
      <c r="B23055" t="inlineStr">
        <is>
          <t>Ralph Lauren Polo Blue Eau De Toilette Spray 125ml</t>
        </is>
      </c>
      <c r="C23055" t="inlineStr">
        <is>
          <t>Eau De Toilette</t>
        </is>
      </c>
      <c r="D23055" t="inlineStr">
        <is>
          <t>Ralph Lauren</t>
        </is>
      </c>
      <c r="E23055" t="n">
        <v>39.99</v>
      </c>
      <c r="F23055" t="n">
        <v>1</v>
      </c>
      <c r="G23055" t="n">
        <v>10</v>
      </c>
      <c r="H23055" s="5">
        <f>HYPERLINK("https://api.qogita.com/variants/link/3360377022928/", "View Product")</f>
        <v/>
      </c>
    </row>
    <row r="23056">
      <c r="A23056" t="inlineStr">
        <is>
          <t>3360377032767</t>
        </is>
      </c>
      <c r="B23056" t="inlineStr">
        <is>
          <t>Ralph Lauren Polo Black Eau De Toilette Spray 125ml</t>
        </is>
      </c>
      <c r="C23056" t="inlineStr">
        <is>
          <t>Eau De Toilette</t>
        </is>
      </c>
      <c r="D23056" t="inlineStr">
        <is>
          <t>Ralph Lauren</t>
        </is>
      </c>
      <c r="E23056" t="n">
        <v>32.77</v>
      </c>
      <c r="F23056" t="n">
        <v>1</v>
      </c>
      <c r="G23056" t="n">
        <v>160</v>
      </c>
      <c r="H23056" s="5">
        <f>HYPERLINK("https://api.qogita.com/variants/link/3360377032767/", "View Product")</f>
        <v/>
      </c>
    </row>
    <row r="23057">
      <c r="A23057" t="inlineStr">
        <is>
          <t>3365440003866</t>
        </is>
      </c>
      <c r="B23057" t="inlineStr">
        <is>
          <t>Yves Saint Laurent Kouros Eau De Toilette 100ml</t>
        </is>
      </c>
      <c r="C23057" t="inlineStr">
        <is>
          <t>Eau De Toilette</t>
        </is>
      </c>
      <c r="D23057" t="inlineStr">
        <is>
          <t>Yves Saint Laurent</t>
        </is>
      </c>
      <c r="E23057" t="n">
        <v>39.94</v>
      </c>
      <c r="F23057" t="n">
        <v>1</v>
      </c>
      <c r="G23057" t="n">
        <v>4001</v>
      </c>
      <c r="H23057" s="5">
        <f>HYPERLINK("https://api.qogita.com/variants/link/3365440003866/", "View Product")</f>
        <v/>
      </c>
    </row>
    <row r="23058">
      <c r="A23058" t="inlineStr">
        <is>
          <t>3365440025578</t>
        </is>
      </c>
      <c r="B23058" t="inlineStr">
        <is>
          <t>Yves Saint Laurent Opium Pour Homme Eau De Toilette Spray 100ml</t>
        </is>
      </c>
      <c r="C23058" t="inlineStr">
        <is>
          <t>Eau De Toilette</t>
        </is>
      </c>
      <c r="D23058" t="inlineStr">
        <is>
          <t>Yves Saint Laurent</t>
        </is>
      </c>
      <c r="E23058" t="n">
        <v>75.38</v>
      </c>
      <c r="F23058" t="n">
        <v>1</v>
      </c>
      <c r="G23058" t="n">
        <v>33</v>
      </c>
      <c r="H23058" s="5">
        <f>HYPERLINK("https://api.qogita.com/variants/link/3365440025578/", "View Product")</f>
        <v/>
      </c>
    </row>
    <row r="23059">
      <c r="A23059" t="inlineStr">
        <is>
          <t>3365440037281</t>
        </is>
      </c>
      <c r="B23059" t="inlineStr">
        <is>
          <t>Yves Saint Laurent M7 Oud Absolu Eau De Toilette 80ml For Men</t>
        </is>
      </c>
      <c r="C23059" t="inlineStr">
        <is>
          <t>Eau De Toilette</t>
        </is>
      </c>
      <c r="D23059" t="inlineStr">
        <is>
          <t>Yves Saint Laurent</t>
        </is>
      </c>
      <c r="E23059" t="n">
        <v>74.34999999999999</v>
      </c>
      <c r="F23059" t="n">
        <v>1</v>
      </c>
      <c r="G23059" t="n">
        <v>10</v>
      </c>
      <c r="H23059" s="5">
        <f>HYPERLINK("https://api.qogita.com/variants/link/3365440037281/", "View Product")</f>
        <v/>
      </c>
    </row>
    <row r="23060">
      <c r="A23060" t="inlineStr">
        <is>
          <t>3365440184756</t>
        </is>
      </c>
      <c r="B23060" t="inlineStr">
        <is>
          <t>Yves Saint Laurent Touche Clat Illuminating Pen 25 Luminous Vanilla</t>
        </is>
      </c>
      <c r="C23060" t="inlineStr">
        <is>
          <t>Highlighter</t>
        </is>
      </c>
      <c r="D23060" t="inlineStr">
        <is>
          <t>Yves Saint Laurent</t>
        </is>
      </c>
      <c r="E23060" t="n">
        <v>32.22</v>
      </c>
      <c r="F23060" t="n">
        <v>1</v>
      </c>
      <c r="G23060" t="n">
        <v>10</v>
      </c>
      <c r="H23060" s="5">
        <f>HYPERLINK("https://api.qogita.com/variants/link/3365440184756/", "View Product")</f>
        <v/>
      </c>
    </row>
    <row r="23061">
      <c r="A23061" t="inlineStr">
        <is>
          <t>3365440208759</t>
        </is>
      </c>
      <c r="B23061" t="inlineStr">
        <is>
          <t>Yves Saint Laurent Luminous Radiance Radiant Touche Clat Brightening Corrector Set</t>
        </is>
      </c>
      <c r="C23061" t="inlineStr">
        <is>
          <t>Facial Care Sets</t>
        </is>
      </c>
      <c r="D23061" t="inlineStr">
        <is>
          <t>Yves Saint Laurent</t>
        </is>
      </c>
      <c r="E23061" t="n">
        <v>62.72</v>
      </c>
      <c r="F23061" t="n">
        <v>1</v>
      </c>
      <c r="G23061" t="n">
        <v>4</v>
      </c>
      <c r="H23061" s="5">
        <f>HYPERLINK("https://api.qogita.com/variants/link/3365440208759/", "View Product")</f>
        <v/>
      </c>
    </row>
    <row r="23062">
      <c r="A23062" t="inlineStr">
        <is>
          <t>3365440246737</t>
        </is>
      </c>
      <c r="B23062" t="inlineStr">
        <is>
          <t>Yves Saint Laurent Rive Gauche Eau De Toilette 100ml Women Spray</t>
        </is>
      </c>
      <c r="C23062" t="inlineStr">
        <is>
          <t>Eau De Toilette</t>
        </is>
      </c>
      <c r="D23062" t="inlineStr">
        <is>
          <t>Yves Saint Laurent</t>
        </is>
      </c>
      <c r="E23062" t="n">
        <v>67.69</v>
      </c>
      <c r="F23062" t="n">
        <v>1</v>
      </c>
      <c r="G23062" t="n">
        <v>11</v>
      </c>
      <c r="H23062" s="5">
        <f>HYPERLINK("https://api.qogita.com/variants/link/3365440246737/", "View Product")</f>
        <v/>
      </c>
    </row>
    <row r="23063">
      <c r="A23063" t="inlineStr">
        <is>
          <t>3365440316560</t>
        </is>
      </c>
      <c r="B23063" t="inlineStr">
        <is>
          <t>Yves Saint Laurent L'Homme Eau De Toilette 100ml Men Spray</t>
        </is>
      </c>
      <c r="C23063" t="inlineStr">
        <is>
          <t>Eau De Toilette</t>
        </is>
      </c>
      <c r="D23063" t="inlineStr">
        <is>
          <t>Yves Saint Laurent</t>
        </is>
      </c>
      <c r="E23063" t="n">
        <v>62.37</v>
      </c>
      <c r="F23063" t="n">
        <v>1</v>
      </c>
      <c r="G23063" t="n">
        <v>6</v>
      </c>
      <c r="H23063" s="5">
        <f>HYPERLINK("https://api.qogita.com/variants/link/3365440316560/", "View Product")</f>
        <v/>
      </c>
    </row>
    <row r="23064">
      <c r="A23064" t="inlineStr">
        <is>
          <t>3365440556348</t>
        </is>
      </c>
      <c r="B23064" t="inlineStr">
        <is>
          <t>Yves Saint Laurent Opium Eau De Parfum Spray 50ml</t>
        </is>
      </c>
      <c r="C23064" t="inlineStr">
        <is>
          <t>Eau De Parfum</t>
        </is>
      </c>
      <c r="D23064" t="inlineStr">
        <is>
          <t>Yves Saint Laurent</t>
        </is>
      </c>
      <c r="E23064" t="n">
        <v>74.22</v>
      </c>
      <c r="F23064" t="n">
        <v>1</v>
      </c>
      <c r="G23064" t="n">
        <v>7</v>
      </c>
      <c r="H23064" s="5">
        <f>HYPERLINK("https://api.qogita.com/variants/link/3365440556348/", "View Product")</f>
        <v/>
      </c>
    </row>
    <row r="23065">
      <c r="A23065" t="inlineStr">
        <is>
          <t>3365440556423</t>
        </is>
      </c>
      <c r="B23065" t="inlineStr">
        <is>
          <t>Yves Saint Laurent Opium Eau De Toilette 30ml Women Spray</t>
        </is>
      </c>
      <c r="C23065" t="inlineStr">
        <is>
          <t>Eau De Toilette</t>
        </is>
      </c>
      <c r="D23065" t="inlineStr">
        <is>
          <t>Yves Saint Laurent</t>
        </is>
      </c>
      <c r="E23065" t="n">
        <v>49.13</v>
      </c>
      <c r="F23065" t="n">
        <v>1</v>
      </c>
      <c r="G23065" t="n">
        <v>6</v>
      </c>
      <c r="H23065" s="5">
        <f>HYPERLINK("https://api.qogita.com/variants/link/3365440556423/", "View Product")</f>
        <v/>
      </c>
    </row>
    <row r="23066">
      <c r="A23066" t="inlineStr">
        <is>
          <t>3372290000259</t>
        </is>
      </c>
      <c r="B23066" t="inlineStr">
        <is>
          <t>Lazartigue Volumize Shampoo 250ml</t>
        </is>
      </c>
      <c r="C23066" t="inlineStr">
        <is>
          <t>Shampoo</t>
        </is>
      </c>
      <c r="D23066" t="inlineStr">
        <is>
          <t>Lazartigue</t>
        </is>
      </c>
      <c r="E23066" t="n">
        <v>10.2</v>
      </c>
      <c r="F23066" t="n">
        <v>1</v>
      </c>
      <c r="G23066" t="n">
        <v>3</v>
      </c>
      <c r="H23066" s="5">
        <f>HYPERLINK("https://api.qogita.com/variants/link/3372290000259/", "View Product")</f>
        <v/>
      </c>
    </row>
    <row r="23067">
      <c r="A23067" t="inlineStr">
        <is>
          <t>3372290121725</t>
        </is>
      </c>
      <c r="B23067" t="inlineStr">
        <is>
          <t>Lazartigue Colour Protect Shampoo 250ml</t>
        </is>
      </c>
      <c r="C23067" t="inlineStr">
        <is>
          <t>Shampoo</t>
        </is>
      </c>
      <c r="D23067" t="inlineStr">
        <is>
          <t>Lazartigue</t>
        </is>
      </c>
      <c r="E23067" t="n">
        <v>8.92</v>
      </c>
      <c r="F23067" t="n">
        <v>1</v>
      </c>
      <c r="G23067" t="n">
        <v>3</v>
      </c>
      <c r="H23067" s="5">
        <f>HYPERLINK("https://api.qogita.com/variants/link/3372290121725/", "View Product")</f>
        <v/>
      </c>
    </row>
    <row r="23068">
      <c r="A23068" t="inlineStr">
        <is>
          <t>3372290122722</t>
        </is>
      </c>
      <c r="B23068" t="inlineStr">
        <is>
          <t>Lazartigue Rebalance Shampoo Equilibrating 250ml Professional Hair Care</t>
        </is>
      </c>
      <c r="C23068" t="inlineStr">
        <is>
          <t>Shampoo</t>
        </is>
      </c>
      <c r="D23068" t="inlineStr">
        <is>
          <t>Lazartigue</t>
        </is>
      </c>
      <c r="E23068" t="n">
        <v>9.27</v>
      </c>
      <c r="F23068" t="n">
        <v>1</v>
      </c>
      <c r="G23068" t="n">
        <v>2</v>
      </c>
      <c r="H23068" s="5">
        <f>HYPERLINK("https://api.qogita.com/variants/link/3372290122722/", "View Product")</f>
        <v/>
      </c>
    </row>
    <row r="23069">
      <c r="A23069" t="inlineStr">
        <is>
          <t>3377231221014</t>
        </is>
      </c>
      <c r="B23069" t="inlineStr">
        <is>
          <t>Aubusson Histoire DAmour 2 for Women 3.4oz EDT Spray</t>
        </is>
      </c>
      <c r="C23069" t="inlineStr">
        <is>
          <t>Eau De Toilette</t>
        </is>
      </c>
      <c r="D23069" t="inlineStr">
        <is>
          <t>Aubusson</t>
        </is>
      </c>
      <c r="E23069" t="n">
        <v>9.34</v>
      </c>
      <c r="F23069" t="n">
        <v>1</v>
      </c>
      <c r="G23069" t="n">
        <v>2</v>
      </c>
      <c r="H23069" s="5">
        <f>HYPERLINK("https://api.qogita.com/variants/link/3377231221014/", "View Product")</f>
        <v/>
      </c>
    </row>
    <row r="23070">
      <c r="A23070" t="inlineStr">
        <is>
          <t>3380810013252</t>
        </is>
      </c>
      <c r="B23070" t="inlineStr">
        <is>
          <t>Clarins Super Restorative Remodelling Serum 30 Ml Antiaging Serum For Women</t>
        </is>
      </c>
      <c r="C23070" t="inlineStr">
        <is>
          <t>Anti-Aging Serum</t>
        </is>
      </c>
      <c r="D23070" t="inlineStr">
        <is>
          <t>Clarins</t>
        </is>
      </c>
      <c r="E23070" t="n">
        <v>82.13</v>
      </c>
      <c r="F23070" t="n">
        <v>1</v>
      </c>
      <c r="G23070" t="n">
        <v>4</v>
      </c>
      <c r="H23070" s="5">
        <f>HYPERLINK("https://api.qogita.com/variants/link/3380810013252/", "View Product")</f>
        <v/>
      </c>
    </row>
    <row r="23071">
      <c r="A23071" t="inlineStr">
        <is>
          <t>3380810040692</t>
        </is>
      </c>
      <c r="B23071" t="inlineStr">
        <is>
          <t>Clarins Fix Makeup</t>
        </is>
      </c>
      <c r="C23071" t="inlineStr">
        <is>
          <t>Setting Spray</t>
        </is>
      </c>
      <c r="D23071" t="inlineStr">
        <is>
          <t>Clarins</t>
        </is>
      </c>
      <c r="E23071" t="n">
        <v>24.8</v>
      </c>
      <c r="F23071" t="n">
        <v>1</v>
      </c>
      <c r="G23071" t="n">
        <v>418</v>
      </c>
      <c r="H23071" s="5">
        <f>HYPERLINK("https://api.qogita.com/variants/link/3380810040692/", "View Product")</f>
        <v/>
      </c>
    </row>
    <row r="23072">
      <c r="A23072" t="inlineStr">
        <is>
          <t>3380810105124</t>
        </is>
      </c>
      <c r="B23072" t="inlineStr">
        <is>
          <t>Clarins Water Lip Stain 01 Rose Water 7ml</t>
        </is>
      </c>
      <c r="C23072" t="inlineStr">
        <is>
          <t>Lip Gloss</t>
        </is>
      </c>
      <c r="D23072" t="inlineStr">
        <is>
          <t>Clarins</t>
        </is>
      </c>
      <c r="E23072" t="n">
        <v>15.07</v>
      </c>
      <c r="F23072" t="n">
        <v>1</v>
      </c>
      <c r="G23072" t="n">
        <v>7</v>
      </c>
      <c r="H23072" s="5">
        <f>HYPERLINK("https://api.qogita.com/variants/link/3380810105124/", "View Product")</f>
        <v/>
      </c>
    </row>
    <row r="23073">
      <c r="A23073" t="inlineStr">
        <is>
          <t>3380810105131</t>
        </is>
      </c>
      <c r="B23073" t="inlineStr">
        <is>
          <t>Clarins Water Lip Stain 02 Orange Water 7ml</t>
        </is>
      </c>
      <c r="C23073" t="inlineStr">
        <is>
          <t>Lip Gloss</t>
        </is>
      </c>
      <c r="D23073" t="inlineStr">
        <is>
          <t>Clarins</t>
        </is>
      </c>
      <c r="E23073" t="n">
        <v>15.15</v>
      </c>
      <c r="F23073" t="n">
        <v>1</v>
      </c>
      <c r="G23073" t="n">
        <v>6</v>
      </c>
      <c r="H23073" s="5">
        <f>HYPERLINK("https://api.qogita.com/variants/link/3380810105131/", "View Product")</f>
        <v/>
      </c>
    </row>
    <row r="23074">
      <c r="A23074" t="inlineStr">
        <is>
          <t>3380810228786</t>
        </is>
      </c>
      <c r="B23074" t="inlineStr">
        <is>
          <t>Clarins Multiuse Foundation Brush</t>
        </is>
      </c>
      <c r="C23074" t="inlineStr">
        <is>
          <t>Foundation Brushes</t>
        </is>
      </c>
      <c r="D23074" t="inlineStr">
        <is>
          <t>Clarins</t>
        </is>
      </c>
      <c r="E23074" t="n">
        <v>19.14</v>
      </c>
      <c r="F23074" t="n">
        <v>1</v>
      </c>
      <c r="G23074" t="n">
        <v>9</v>
      </c>
      <c r="H23074" s="5">
        <f>HYPERLINK("https://api.qogita.com/variants/link/3380810228786/", "View Product")</f>
        <v/>
      </c>
    </row>
    <row r="23075">
      <c r="A23075" t="inlineStr">
        <is>
          <t>3380810228793</t>
        </is>
      </c>
      <c r="B23075" t="inlineStr">
        <is>
          <t>Clarins Blush Brush Perfect For Applying Blush</t>
        </is>
      </c>
      <c r="C23075" t="inlineStr">
        <is>
          <t>Blush Brushes</t>
        </is>
      </c>
      <c r="D23075" t="inlineStr">
        <is>
          <t>Clarins</t>
        </is>
      </c>
      <c r="E23075" t="n">
        <v>19.77</v>
      </c>
      <c r="F23075" t="n">
        <v>1</v>
      </c>
      <c r="G23075" t="n">
        <v>4</v>
      </c>
      <c r="H23075" s="5">
        <f>HYPERLINK("https://api.qogita.com/variants/link/3380810228793/", "View Product")</f>
        <v/>
      </c>
    </row>
    <row r="23076">
      <c r="A23076" t="inlineStr">
        <is>
          <t>3380810234350</t>
        </is>
      </c>
      <c r="B23076" t="inlineStr">
        <is>
          <t>Clarins Skin Illusion Spf 15 Natural Hydrating Foundation 30 Ml In Shade 1085 Cashew</t>
        </is>
      </c>
      <c r="C23076" t="inlineStr">
        <is>
          <t>Foundation</t>
        </is>
      </c>
      <c r="D23076" t="inlineStr">
        <is>
          <t>Clarins</t>
        </is>
      </c>
      <c r="E23076" t="n">
        <v>28.97</v>
      </c>
      <c r="F23076" t="n">
        <v>1</v>
      </c>
      <c r="G23076" t="n">
        <v>32</v>
      </c>
      <c r="H23076" s="5">
        <f>HYPERLINK("https://api.qogita.com/variants/link/3380810234350/", "View Product")</f>
        <v/>
      </c>
    </row>
    <row r="23077">
      <c r="A23077" t="inlineStr">
        <is>
          <t>3380810234381</t>
        </is>
      </c>
      <c r="B23077" t="inlineStr">
        <is>
          <t>Clarins Skin Illusion Natural Hydrating Foundation Spf 15 111 Auburn 30ml</t>
        </is>
      </c>
      <c r="C23077" t="inlineStr">
        <is>
          <t>Foundation</t>
        </is>
      </c>
      <c r="D23077" t="inlineStr">
        <is>
          <t>Clarins</t>
        </is>
      </c>
      <c r="E23077" t="n">
        <v>31.1</v>
      </c>
      <c r="F23077" t="n">
        <v>1</v>
      </c>
      <c r="G23077" t="n">
        <v>16</v>
      </c>
      <c r="H23077" s="5">
        <f>HYPERLINK("https://api.qogita.com/variants/link/3380810234381/", "View Product")</f>
        <v/>
      </c>
    </row>
    <row r="23078">
      <c r="A23078" t="inlineStr">
        <is>
          <t>3380810269376</t>
        </is>
      </c>
      <c r="B23078" t="inlineStr">
        <is>
          <t>Clarins Waterproof Pencil 04 Fig 029g</t>
        </is>
      </c>
      <c r="C23078" t="inlineStr">
        <is>
          <t>Eye Pencil</t>
        </is>
      </c>
      <c r="D23078" t="inlineStr">
        <is>
          <t>Clarins</t>
        </is>
      </c>
      <c r="E23078" t="n">
        <v>12.85</v>
      </c>
      <c r="F23078" t="n">
        <v>1</v>
      </c>
      <c r="G23078" t="n">
        <v>5</v>
      </c>
      <c r="H23078" s="5">
        <f>HYPERLINK("https://api.qogita.com/variants/link/3380810269376/", "View Product")</f>
        <v/>
      </c>
    </row>
    <row r="23079">
      <c r="A23079" t="inlineStr">
        <is>
          <t>3380810270297</t>
        </is>
      </c>
      <c r="B23079" t="inlineStr">
        <is>
          <t>Clarins Ombre Velvet Eyeshadow Cream Eyeshadow 7 Ml 06 Woman In Black</t>
        </is>
      </c>
      <c r="C23079" t="inlineStr">
        <is>
          <t>Eyeshadow</t>
        </is>
      </c>
      <c r="D23079" t="inlineStr">
        <is>
          <t>Clarins</t>
        </is>
      </c>
      <c r="E23079" t="n">
        <v>14.88</v>
      </c>
      <c r="F23079" t="n">
        <v>1</v>
      </c>
      <c r="G23079" t="n">
        <v>2</v>
      </c>
      <c r="H23079" s="5">
        <f>HYPERLINK("https://api.qogita.com/variants/link/3380810270297/", "View Product")</f>
        <v/>
      </c>
    </row>
    <row r="23080">
      <c r="A23080" t="inlineStr">
        <is>
          <t>3380810277807</t>
        </is>
      </c>
      <c r="B23080" t="inlineStr">
        <is>
          <t>Clarins Body Partner Stretch Mark Expert Cream 175ml</t>
        </is>
      </c>
      <c r="C23080" t="inlineStr">
        <is>
          <t>Anti-Stretch Mark Cream</t>
        </is>
      </c>
      <c r="D23080" t="inlineStr">
        <is>
          <t>Clarins</t>
        </is>
      </c>
      <c r="E23080" t="n">
        <v>32.45</v>
      </c>
      <c r="F23080" t="n">
        <v>1</v>
      </c>
      <c r="G23080" t="n">
        <v>67</v>
      </c>
      <c r="H23080" s="5">
        <f>HYPERLINK("https://api.qogita.com/variants/link/3380810277807/", "View Product")</f>
        <v/>
      </c>
    </row>
    <row r="23081">
      <c r="A23081" t="inlineStr">
        <is>
          <t>3380810299564</t>
        </is>
      </c>
      <c r="B23081" t="inlineStr">
        <is>
          <t>Clarins Perfect Cleansing Combined To Oily Skin Set 3 Pcs.</t>
        </is>
      </c>
      <c r="C23081" t="inlineStr">
        <is>
          <t>Face</t>
        </is>
      </c>
      <c r="D23081" t="inlineStr">
        <is>
          <t>Clarins</t>
        </is>
      </c>
      <c r="E23081" t="n">
        <v>32.5</v>
      </c>
      <c r="F23081" t="n">
        <v>1</v>
      </c>
      <c r="G23081" t="n">
        <v>14</v>
      </c>
      <c r="H23081" s="5">
        <f>HYPERLINK("https://api.qogita.com/variants/link/3380810299564/", "View Product")</f>
        <v/>
      </c>
    </row>
    <row r="23082">
      <c r="A23082" t="inlineStr">
        <is>
          <t>3380810318784</t>
        </is>
      </c>
      <c r="B23082" t="inlineStr">
        <is>
          <t>Clarins Everlasting Youth Fluid Illuminating Firming Foundation 30 Ml Shade 110 Honey</t>
        </is>
      </c>
      <c r="C23082" t="inlineStr">
        <is>
          <t>Foundation</t>
        </is>
      </c>
      <c r="D23082" t="inlineStr">
        <is>
          <t>Clarins</t>
        </is>
      </c>
      <c r="E23082" t="n">
        <v>30.3</v>
      </c>
      <c r="F23082" t="n">
        <v>1</v>
      </c>
      <c r="G23082" t="n">
        <v>8</v>
      </c>
      <c r="H23082" s="5">
        <f>HYPERLINK("https://api.qogita.com/variants/link/3380810318784/", "View Product")</f>
        <v/>
      </c>
    </row>
    <row r="23083">
      <c r="A23083" t="inlineStr">
        <is>
          <t>3380810374469</t>
        </is>
      </c>
      <c r="B23083" t="inlineStr">
        <is>
          <t>Clarins After Sun Shower Gel 3-in-1 face, body and hair 150ml</t>
        </is>
      </c>
      <c r="C23083" t="inlineStr">
        <is>
          <t>Shower Gel</t>
        </is>
      </c>
      <c r="D23083" t="inlineStr">
        <is>
          <t>Clarins</t>
        </is>
      </c>
      <c r="E23083" t="n">
        <v>13.59</v>
      </c>
      <c r="F23083" t="n">
        <v>1</v>
      </c>
      <c r="G23083" t="n">
        <v>5</v>
      </c>
      <c r="H23083" s="5">
        <f>HYPERLINK("https://api.qogita.com/variants/link/3380810374469/", "View Product")</f>
        <v/>
      </c>
    </row>
    <row r="23084">
      <c r="A23084" t="inlineStr">
        <is>
          <t>3380810405880</t>
        </is>
      </c>
      <c r="B23084" t="inlineStr">
        <is>
          <t>Clarins Everlasting Concealer 01 Light 12ml Hydrating Concealer</t>
        </is>
      </c>
      <c r="C23084" t="inlineStr">
        <is>
          <t>Concealer</t>
        </is>
      </c>
      <c r="D23084" t="inlineStr">
        <is>
          <t>Clarins</t>
        </is>
      </c>
      <c r="E23084" t="n">
        <v>18.64</v>
      </c>
      <c r="F23084" t="n">
        <v>1</v>
      </c>
      <c r="G23084" t="n">
        <v>71</v>
      </c>
      <c r="H23084" s="5">
        <f>HYPERLINK("https://api.qogita.com/variants/link/3380810405880/", "View Product")</f>
        <v/>
      </c>
    </row>
    <row r="23085">
      <c r="A23085" t="inlineStr">
        <is>
          <t>3380810405903</t>
        </is>
      </c>
      <c r="B23085" t="inlineStr">
        <is>
          <t>Clarins Everlasting Concealer 025 Medium 12ml</t>
        </is>
      </c>
      <c r="C23085" t="inlineStr">
        <is>
          <t>Concealer</t>
        </is>
      </c>
      <c r="D23085" t="inlineStr">
        <is>
          <t>Clarins</t>
        </is>
      </c>
      <c r="E23085" t="n">
        <v>19.07</v>
      </c>
      <c r="F23085" t="n">
        <v>1</v>
      </c>
      <c r="G23085" t="n">
        <v>15</v>
      </c>
      <c r="H23085" s="5">
        <f>HYPERLINK("https://api.qogita.com/variants/link/3380810405903/", "View Product")</f>
        <v/>
      </c>
    </row>
    <row r="23086">
      <c r="A23086" t="inlineStr">
        <is>
          <t>3380810424058</t>
        </is>
      </c>
      <c r="B23086" t="inlineStr">
        <is>
          <t>Clarins Uv Plus Antipollution Spf 50 Pa 30ml</t>
        </is>
      </c>
      <c r="C23086" t="inlineStr">
        <is>
          <t>Face Sun Protection</t>
        </is>
      </c>
      <c r="D23086" t="inlineStr">
        <is>
          <t>Clarins</t>
        </is>
      </c>
      <c r="E23086" t="n">
        <v>24.11</v>
      </c>
      <c r="F23086" t="n">
        <v>1</v>
      </c>
      <c r="G23086" t="n">
        <v>3</v>
      </c>
      <c r="H23086" s="5">
        <f>HYPERLINK("https://api.qogita.com/variants/link/3380810424058/", "View Product")</f>
        <v/>
      </c>
    </row>
    <row r="23087">
      <c r="A23087" t="inlineStr">
        <is>
          <t>3380810439656</t>
        </is>
      </c>
      <c r="B23087" t="inlineStr">
        <is>
          <t>Clarins Calmessentiel Soothing Emulsion 50ml</t>
        </is>
      </c>
      <c r="C23087" t="inlineStr">
        <is>
          <t>Face Cream</t>
        </is>
      </c>
      <c r="D23087" t="inlineStr">
        <is>
          <t>Clarins</t>
        </is>
      </c>
      <c r="E23087" t="n">
        <v>26.19</v>
      </c>
      <c r="F23087" t="n">
        <v>1</v>
      </c>
      <c r="G23087" t="n">
        <v>5</v>
      </c>
      <c r="H23087" s="5">
        <f>HYPERLINK("https://api.qogita.com/variants/link/3380810439656/", "View Product")</f>
        <v/>
      </c>
    </row>
    <row r="23088">
      <c r="A23088" t="inlineStr">
        <is>
          <t>3380810439663</t>
        </is>
      </c>
      <c r="B23088" t="inlineStr">
        <is>
          <t>Clarins Calmessentiel Redness Corrective Gel 30ml</t>
        </is>
      </c>
      <c r="C23088" t="inlineStr">
        <is>
          <t>Face Cream</t>
        </is>
      </c>
      <c r="D23088" t="inlineStr">
        <is>
          <t>Clarins</t>
        </is>
      </c>
      <c r="E23088" t="n">
        <v>20.13</v>
      </c>
      <c r="F23088" t="n">
        <v>1</v>
      </c>
      <c r="G23088" t="n">
        <v>3</v>
      </c>
      <c r="H23088" s="5">
        <f>HYPERLINK("https://api.qogita.com/variants/link/3380810439663/", "View Product")</f>
        <v/>
      </c>
    </row>
    <row r="23089">
      <c r="A23089" t="inlineStr">
        <is>
          <t>3380810463170</t>
        </is>
      </c>
      <c r="B23089" t="inlineStr">
        <is>
          <t>Clarins Double Serum Eye 20ml</t>
        </is>
      </c>
      <c r="C23089" t="inlineStr">
        <is>
          <t>Eye Serum</t>
        </is>
      </c>
      <c r="D23089" t="inlineStr">
        <is>
          <t>Clarins</t>
        </is>
      </c>
      <c r="E23089" t="n">
        <v>40.02</v>
      </c>
      <c r="F23089" t="n">
        <v>1</v>
      </c>
      <c r="G23089" t="n">
        <v>7</v>
      </c>
      <c r="H23089" s="5">
        <f>HYPERLINK("https://api.qogita.com/variants/link/3380810463170/", "View Product")</f>
        <v/>
      </c>
    </row>
    <row r="23090">
      <c r="A23090" t="inlineStr">
        <is>
          <t>3380810482461</t>
        </is>
      </c>
      <c r="B23090" t="inlineStr">
        <is>
          <t>Clarins Skin Illusion Velvet Foundation 110n 30ml Natural Matifying &amp; Hydrating Foundation</t>
        </is>
      </c>
      <c r="C23090" t="inlineStr">
        <is>
          <t>Foundation</t>
        </is>
      </c>
      <c r="D23090" t="inlineStr">
        <is>
          <t>Clarins</t>
        </is>
      </c>
      <c r="E23090" t="n">
        <v>30.14</v>
      </c>
      <c r="F23090" t="n">
        <v>1</v>
      </c>
      <c r="G23090" t="n">
        <v>2</v>
      </c>
      <c r="H23090" s="5">
        <f>HYPERLINK("https://api.qogita.com/variants/link/3380810482461/", "View Product")</f>
        <v/>
      </c>
    </row>
    <row r="23091">
      <c r="A23091" t="inlineStr">
        <is>
          <t>3380811063102</t>
        </is>
      </c>
      <c r="B23091" t="inlineStr">
        <is>
          <t>Clarins Extra Firming Lip &amp; Contour Balm 15 Ml</t>
        </is>
      </c>
      <c r="C23091" t="inlineStr">
        <is>
          <t>Medicated Treatments</t>
        </is>
      </c>
      <c r="D23091" t="inlineStr">
        <is>
          <t>Clarins</t>
        </is>
      </c>
      <c r="E23091" t="n">
        <v>27.79</v>
      </c>
      <c r="F23091" t="n">
        <v>1</v>
      </c>
      <c r="G23091" t="n">
        <v>10</v>
      </c>
      <c r="H23091" s="5">
        <f>HYPERLINK("https://api.qogita.com/variants/link/3380811063102/", "View Product")</f>
        <v/>
      </c>
    </row>
    <row r="23092">
      <c r="A23092" t="inlineStr">
        <is>
          <t>3386460007078</t>
        </is>
      </c>
      <c r="B23092" t="inlineStr">
        <is>
          <t>Lanvin Rumeur 2 Rose Eau De Parfum Spray 100ml</t>
        </is>
      </c>
      <c r="C23092" t="inlineStr">
        <is>
          <t>Eau De Parfum</t>
        </is>
      </c>
      <c r="D23092" t="inlineStr">
        <is>
          <t>Lanvin</t>
        </is>
      </c>
      <c r="E23092" t="n">
        <v>20.81</v>
      </c>
      <c r="F23092" t="n">
        <v>1</v>
      </c>
      <c r="G23092" t="n">
        <v>24</v>
      </c>
      <c r="H23092" s="5">
        <f>HYPERLINK("https://api.qogita.com/variants/link/3386460007078/", "View Product")</f>
        <v/>
      </c>
    </row>
    <row r="23093">
      <c r="A23093" t="inlineStr">
        <is>
          <t>3386460023351</t>
        </is>
      </c>
      <c r="B23093" t="inlineStr">
        <is>
          <t>Lanvin 08934 Perfume with Spray 30ml</t>
        </is>
      </c>
      <c r="C23093" t="inlineStr">
        <is>
          <t>Eau De Parfum</t>
        </is>
      </c>
      <c r="D23093" t="inlineStr">
        <is>
          <t>Lanvin</t>
        </is>
      </c>
      <c r="E23093" t="n">
        <v>16.67</v>
      </c>
      <c r="F23093" t="n">
        <v>1</v>
      </c>
      <c r="G23093" t="n">
        <v>22</v>
      </c>
      <c r="H23093" s="5">
        <f>HYPERLINK("https://api.qogita.com/variants/link/3386460023351/", "View Product")</f>
        <v/>
      </c>
    </row>
    <row r="23094">
      <c r="A23094" t="inlineStr">
        <is>
          <t>3386460025478</t>
        </is>
      </c>
      <c r="B23094" t="inlineStr">
        <is>
          <t>Jimmy Choo Eau De Parfum Spray 100ml</t>
        </is>
      </c>
      <c r="C23094" t="inlineStr">
        <is>
          <t>Eau De Parfum</t>
        </is>
      </c>
      <c r="D23094" t="inlineStr">
        <is>
          <t>Jimmy Choo</t>
        </is>
      </c>
      <c r="E23094" t="n">
        <v>39.93</v>
      </c>
      <c r="F23094" t="n">
        <v>1</v>
      </c>
      <c r="G23094" t="n">
        <v>25</v>
      </c>
      <c r="H23094" s="5">
        <f>HYPERLINK("https://api.qogita.com/variants/link/3386460025478/", "View Product")</f>
        <v/>
      </c>
    </row>
    <row r="23095">
      <c r="A23095" t="inlineStr">
        <is>
          <t>3386460025508</t>
        </is>
      </c>
      <c r="B23095" t="inlineStr">
        <is>
          <t>Jimmy Choo Eau De Toilette Spray 100ml</t>
        </is>
      </c>
      <c r="C23095" t="inlineStr">
        <is>
          <t>Eau De Toilette</t>
        </is>
      </c>
      <c r="D23095" t="inlineStr">
        <is>
          <t>Jimmy Choo</t>
        </is>
      </c>
      <c r="E23095" t="n">
        <v>31.15</v>
      </c>
      <c r="F23095" t="n">
        <v>1</v>
      </c>
      <c r="G23095" t="n">
        <v>11</v>
      </c>
      <c r="H23095" s="5">
        <f>HYPERLINK("https://api.qogita.com/variants/link/3386460025508/", "View Product")</f>
        <v/>
      </c>
    </row>
    <row r="23096">
      <c r="A23096" t="inlineStr">
        <is>
          <t>3386460028479</t>
        </is>
      </c>
      <c r="B23096" t="inlineStr">
        <is>
          <t>Montblanc Starwalker Eau De Toilette Spray 50ml</t>
        </is>
      </c>
      <c r="C23096" t="inlineStr">
        <is>
          <t>Eau De Toilette</t>
        </is>
      </c>
      <c r="D23096" t="inlineStr">
        <is>
          <t>Montblanc</t>
        </is>
      </c>
      <c r="E23096" t="n">
        <v>21.4</v>
      </c>
      <c r="F23096" t="n">
        <v>1</v>
      </c>
      <c r="G23096" t="n">
        <v>4</v>
      </c>
      <c r="H23096" s="5">
        <f>HYPERLINK("https://api.qogita.com/variants/link/3386460028479/", "View Product")</f>
        <v/>
      </c>
    </row>
    <row r="23097">
      <c r="A23097" t="inlineStr">
        <is>
          <t>3386460032681</t>
        </is>
      </c>
      <c r="B23097" t="inlineStr">
        <is>
          <t>Mont Blanc Legend Eau De Toilette Spray 100ml</t>
        </is>
      </c>
      <c r="C23097" t="inlineStr">
        <is>
          <t>Eau De Toilette</t>
        </is>
      </c>
      <c r="D23097" t="inlineStr">
        <is>
          <t>Montblanc</t>
        </is>
      </c>
      <c r="E23097" t="n">
        <v>29.73</v>
      </c>
      <c r="F23097" t="n">
        <v>1</v>
      </c>
      <c r="G23097" t="n">
        <v>37</v>
      </c>
      <c r="H23097" s="5">
        <f>HYPERLINK("https://api.qogita.com/variants/link/3386460032681/", "View Product")</f>
        <v/>
      </c>
    </row>
    <row r="23098">
      <c r="A23098" t="inlineStr">
        <is>
          <t>3386460032698</t>
        </is>
      </c>
      <c r="B23098" t="inlineStr">
        <is>
          <t>Mont Blanc Legend Eau De Toilette Spray 50ml</t>
        </is>
      </c>
      <c r="C23098" t="inlineStr">
        <is>
          <t>Eau De Toilette</t>
        </is>
      </c>
      <c r="D23098" t="inlineStr">
        <is>
          <t>Montblanc</t>
        </is>
      </c>
      <c r="E23098" t="n">
        <v>23.74</v>
      </c>
      <c r="F23098" t="n">
        <v>1</v>
      </c>
      <c r="G23098" t="n">
        <v>35</v>
      </c>
      <c r="H23098" s="5">
        <f>HYPERLINK("https://api.qogita.com/variants/link/3386460032698/", "View Product")</f>
        <v/>
      </c>
    </row>
    <row r="23099">
      <c r="A23099" t="inlineStr">
        <is>
          <t>3386460036405</t>
        </is>
      </c>
      <c r="B23099" t="inlineStr">
        <is>
          <t>Boucheron Pour Homme Eau De Toilette 100ml Men Spray</t>
        </is>
      </c>
      <c r="C23099" t="inlineStr">
        <is>
          <t>Eau De Toilette</t>
        </is>
      </c>
      <c r="D23099" t="inlineStr">
        <is>
          <t>Boucheron</t>
        </is>
      </c>
      <c r="E23099" t="n">
        <v>25.15</v>
      </c>
      <c r="F23099" t="n">
        <v>1</v>
      </c>
      <c r="G23099" t="n">
        <v>7</v>
      </c>
      <c r="H23099" s="5">
        <f>HYPERLINK("https://api.qogita.com/variants/link/3386460036405/", "View Product")</f>
        <v/>
      </c>
    </row>
    <row r="23100">
      <c r="A23100" t="inlineStr">
        <is>
          <t>3386460036757</t>
        </is>
      </c>
      <c r="B23100" t="inlineStr">
        <is>
          <t>Boucheron Woman Eau De Toilette Spray 100ml</t>
        </is>
      </c>
      <c r="C23100" t="inlineStr">
        <is>
          <t>Eau De Toilette</t>
        </is>
      </c>
      <c r="D23100" t="inlineStr">
        <is>
          <t>Boucheron</t>
        </is>
      </c>
      <c r="E23100" t="n">
        <v>24.8</v>
      </c>
      <c r="F23100" t="n">
        <v>1</v>
      </c>
      <c r="G23100" t="n">
        <v>20</v>
      </c>
      <c r="H23100" s="5">
        <f>HYPERLINK("https://api.qogita.com/variants/link/3386460036757/", "View Product")</f>
        <v/>
      </c>
    </row>
    <row r="23101">
      <c r="A23101" t="inlineStr">
        <is>
          <t>3386460047975</t>
        </is>
      </c>
      <c r="B23101" t="inlineStr">
        <is>
          <t>Lanvin Me Eau De Parfum 50ml For Women</t>
        </is>
      </c>
      <c r="C23101" t="inlineStr">
        <is>
          <t>Eau De Parfum</t>
        </is>
      </c>
      <c r="D23101" t="inlineStr">
        <is>
          <t>Lanvin</t>
        </is>
      </c>
      <c r="E23101" t="n">
        <v>24.76</v>
      </c>
      <c r="F23101" t="n">
        <v>1</v>
      </c>
      <c r="G23101" t="n">
        <v>3</v>
      </c>
      <c r="H23101" s="5">
        <f>HYPERLINK("https://api.qogita.com/variants/link/3386460047975/", "View Product")</f>
        <v/>
      </c>
    </row>
    <row r="23102">
      <c r="A23102" t="inlineStr">
        <is>
          <t>3386460058391</t>
        </is>
      </c>
      <c r="B23102" t="inlineStr">
        <is>
          <t>Karl Lagerfeld Classic Pour Homme Eau De Toilette Spray 100ml</t>
        </is>
      </c>
      <c r="C23102" t="inlineStr">
        <is>
          <t>Eau De Toilette</t>
        </is>
      </c>
      <c r="D23102" t="inlineStr">
        <is>
          <t>Karl Lagerfeld</t>
        </is>
      </c>
      <c r="E23102" t="n">
        <v>16.27</v>
      </c>
      <c r="F23102" t="n">
        <v>1</v>
      </c>
      <c r="G23102" t="n">
        <v>149</v>
      </c>
      <c r="H23102" s="5">
        <f>HYPERLINK("https://api.qogita.com/variants/link/3386460058391/", "View Product")</f>
        <v/>
      </c>
    </row>
    <row r="23103">
      <c r="A23103" t="inlineStr">
        <is>
          <t>3386460060073</t>
        </is>
      </c>
      <c r="B23103" t="inlineStr">
        <is>
          <t>Lanvin L'Homme Sport Eau De Toilette Spray 100ml</t>
        </is>
      </c>
      <c r="C23103" t="inlineStr">
        <is>
          <t>Eau De Toilette</t>
        </is>
      </c>
      <c r="D23103" t="inlineStr">
        <is>
          <t>Lanvin</t>
        </is>
      </c>
      <c r="E23103" t="n">
        <v>16.19</v>
      </c>
      <c r="F23103" t="n">
        <v>1</v>
      </c>
      <c r="G23103" t="n">
        <v>1068</v>
      </c>
      <c r="H23103" s="5">
        <f>HYPERLINK("https://api.qogita.com/variants/link/3386460060073/", "View Product")</f>
        <v/>
      </c>
    </row>
    <row r="23104">
      <c r="A23104" t="inlineStr">
        <is>
          <t>3386460064125</t>
        </is>
      </c>
      <c r="B23104" t="inlineStr">
        <is>
          <t>Jimmy Choo Man Eau De Toilette 50 Ml</t>
        </is>
      </c>
      <c r="C23104" t="inlineStr">
        <is>
          <t>Eau De Toilette</t>
        </is>
      </c>
      <c r="D23104" t="inlineStr">
        <is>
          <t>Jimmy Choo</t>
        </is>
      </c>
      <c r="E23104" t="n">
        <v>27.78</v>
      </c>
      <c r="F23104" t="n">
        <v>1</v>
      </c>
      <c r="G23104" t="n">
        <v>13</v>
      </c>
      <c r="H23104" s="5">
        <f>HYPERLINK("https://api.qogita.com/variants/link/3386460064125/", "View Product")</f>
        <v/>
      </c>
    </row>
    <row r="23105">
      <c r="A23105" t="inlineStr">
        <is>
          <t>3386460064132</t>
        </is>
      </c>
      <c r="B23105" t="inlineStr">
        <is>
          <t>Jimmy Choo Man Eau De Toilette 30ml</t>
        </is>
      </c>
      <c r="C23105" t="inlineStr">
        <is>
          <t>Eau De Toilette</t>
        </is>
      </c>
      <c r="D23105" t="inlineStr">
        <is>
          <t>Jimmy Choo</t>
        </is>
      </c>
      <c r="E23105" t="n">
        <v>20.7</v>
      </c>
      <c r="F23105" t="n">
        <v>1</v>
      </c>
      <c r="G23105" t="n">
        <v>9</v>
      </c>
      <c r="H23105" s="5">
        <f>HYPERLINK("https://api.qogita.com/variants/link/3386460064132/", "View Product")</f>
        <v/>
      </c>
    </row>
    <row r="23106">
      <c r="A23106" t="inlineStr">
        <is>
          <t>3386460064194</t>
        </is>
      </c>
      <c r="B23106" t="inlineStr">
        <is>
          <t>Jimmy Choo Man Deodorant Stick 75g By Jimmy Choo</t>
        </is>
      </c>
      <c r="C23106" t="inlineStr">
        <is>
          <t>Deodorant &amp; Anti-Perspirant</t>
        </is>
      </c>
      <c r="D23106" t="inlineStr">
        <is>
          <t>Jimmy Choo</t>
        </is>
      </c>
      <c r="E23106" t="n">
        <v>11.81</v>
      </c>
      <c r="F23106" t="n">
        <v>1</v>
      </c>
      <c r="G23106" t="n">
        <v>14</v>
      </c>
      <c r="H23106" s="5">
        <f>HYPERLINK("https://api.qogita.com/variants/link/3386460064194/", "View Product")</f>
        <v/>
      </c>
    </row>
    <row r="23107">
      <c r="A23107" t="inlineStr">
        <is>
          <t>3386460066075</t>
        </is>
      </c>
      <c r="B23107" t="inlineStr">
        <is>
          <t>Boucheron Quatre Pour Femme Eau De Parfum Spray 100ml</t>
        </is>
      </c>
      <c r="C23107" t="inlineStr">
        <is>
          <t>Eau De Parfum</t>
        </is>
      </c>
      <c r="D23107" t="inlineStr">
        <is>
          <t>Boucheron</t>
        </is>
      </c>
      <c r="E23107" t="n">
        <v>30.05</v>
      </c>
      <c r="F23107" t="n">
        <v>1</v>
      </c>
      <c r="G23107" t="n">
        <v>616</v>
      </c>
      <c r="H23107" s="5">
        <f>HYPERLINK("https://api.qogita.com/variants/link/3386460066075/", "View Product")</f>
        <v/>
      </c>
    </row>
    <row r="23108">
      <c r="A23108" t="inlineStr">
        <is>
          <t>3386460066082</t>
        </is>
      </c>
      <c r="B23108" t="inlineStr">
        <is>
          <t>Boucheron Quatre Eau De Parfum 50ml Spray</t>
        </is>
      </c>
      <c r="C23108" t="inlineStr">
        <is>
          <t>Eau De Parfum</t>
        </is>
      </c>
      <c r="D23108" t="inlineStr">
        <is>
          <t>Boucheron</t>
        </is>
      </c>
      <c r="E23108" t="n">
        <v>21.69</v>
      </c>
      <c r="F23108" t="n">
        <v>1</v>
      </c>
      <c r="G23108" t="n">
        <v>16</v>
      </c>
      <c r="H23108" s="5">
        <f>HYPERLINK("https://api.qogita.com/variants/link/3386460066082/", "View Product")</f>
        <v/>
      </c>
    </row>
    <row r="23109">
      <c r="A23109" t="inlineStr">
        <is>
          <t>3386460066136</t>
        </is>
      </c>
      <c r="B23109" t="inlineStr">
        <is>
          <t>Boucheron Quatre Pour Homme Eau De Toilette Spray 100ml</t>
        </is>
      </c>
      <c r="C23109" t="inlineStr">
        <is>
          <t>Eau De Toilette</t>
        </is>
      </c>
      <c r="D23109" t="inlineStr">
        <is>
          <t>Boucheron</t>
        </is>
      </c>
      <c r="E23109" t="n">
        <v>24.13</v>
      </c>
      <c r="F23109" t="n">
        <v>1</v>
      </c>
      <c r="G23109" t="n">
        <v>20</v>
      </c>
      <c r="H23109" s="5">
        <f>HYPERLINK("https://api.qogita.com/variants/link/3386460066136/", "View Product")</f>
        <v/>
      </c>
    </row>
    <row r="23110">
      <c r="A23110" t="inlineStr">
        <is>
          <t>3386460066181</t>
        </is>
      </c>
      <c r="B23110" t="inlineStr">
        <is>
          <t>Mont Blanc Emblem Lady Eau De Parfum Spray 75ml</t>
        </is>
      </c>
      <c r="C23110" t="inlineStr">
        <is>
          <t>Eau De Parfum</t>
        </is>
      </c>
      <c r="D23110" t="inlineStr">
        <is>
          <t>Montblanc</t>
        </is>
      </c>
      <c r="E23110" t="n">
        <v>22.02</v>
      </c>
      <c r="F23110" t="n">
        <v>1</v>
      </c>
      <c r="G23110" t="n">
        <v>64</v>
      </c>
      <c r="H23110" s="5">
        <f>HYPERLINK("https://api.qogita.com/variants/link/3386460066181/", "View Product")</f>
        <v/>
      </c>
    </row>
    <row r="23111">
      <c r="A23111" t="inlineStr">
        <is>
          <t>3386460067508</t>
        </is>
      </c>
      <c r="B23111" t="inlineStr">
        <is>
          <t>Jimmy Choo Man Blue Eau De Toilette 100ml For Men</t>
        </is>
      </c>
      <c r="C23111" t="inlineStr">
        <is>
          <t>Eau De Toilette</t>
        </is>
      </c>
      <c r="D23111" t="inlineStr">
        <is>
          <t>Jimmy Choo</t>
        </is>
      </c>
      <c r="E23111" t="n">
        <v>35.62</v>
      </c>
      <c r="F23111" t="n">
        <v>1</v>
      </c>
      <c r="G23111" t="n">
        <v>7</v>
      </c>
      <c r="H23111" s="5">
        <f>HYPERLINK("https://api.qogita.com/variants/link/3386460067508/", "View Product")</f>
        <v/>
      </c>
    </row>
    <row r="23112">
      <c r="A23112" t="inlineStr">
        <is>
          <t>3386460071727</t>
        </is>
      </c>
      <c r="B23112" t="inlineStr">
        <is>
          <t>Jimmy Choo Illicit Femme Eau De Parfum Spray 100ml</t>
        </is>
      </c>
      <c r="C23112" t="inlineStr">
        <is>
          <t>Eau De Parfum</t>
        </is>
      </c>
      <c r="D23112" t="inlineStr">
        <is>
          <t>Jimmy Choo</t>
        </is>
      </c>
      <c r="E23112" t="n">
        <v>28.77</v>
      </c>
      <c r="F23112" t="n">
        <v>1</v>
      </c>
      <c r="G23112" t="n">
        <v>13</v>
      </c>
      <c r="H23112" s="5">
        <f>HYPERLINK("https://api.qogita.com/variants/link/3386460071727/", "View Product")</f>
        <v/>
      </c>
    </row>
    <row r="23113">
      <c r="A23113" t="inlineStr">
        <is>
          <t>3386460072588</t>
        </is>
      </c>
      <c r="B23113" t="inlineStr">
        <is>
          <t>Jimmy Choo Man Blue Eau De Toilette 50ml For Men</t>
        </is>
      </c>
      <c r="C23113" t="inlineStr">
        <is>
          <t>Eau De Toilette</t>
        </is>
      </c>
      <c r="D23113" t="inlineStr">
        <is>
          <t>Jimmy Choo</t>
        </is>
      </c>
      <c r="E23113" t="n">
        <v>27.66</v>
      </c>
      <c r="F23113" t="n">
        <v>1</v>
      </c>
      <c r="G23113" t="n">
        <v>23</v>
      </c>
      <c r="H23113" s="5">
        <f>HYPERLINK("https://api.qogita.com/variants/link/3386460072588/", "View Product")</f>
        <v/>
      </c>
    </row>
    <row r="23114">
      <c r="A23114" t="inlineStr">
        <is>
          <t>3386460073875</t>
        </is>
      </c>
      <c r="B23114" t="inlineStr">
        <is>
          <t>Jimmy Choo Leau Eau De Toilette 60ml</t>
        </is>
      </c>
      <c r="C23114" t="inlineStr">
        <is>
          <t>Eau De Toilette</t>
        </is>
      </c>
      <c r="D23114" t="inlineStr">
        <is>
          <t>Jimmy Choo</t>
        </is>
      </c>
      <c r="E23114" t="n">
        <v>24.93</v>
      </c>
      <c r="F23114" t="n">
        <v>1</v>
      </c>
      <c r="G23114" t="n">
        <v>10</v>
      </c>
      <c r="H23114" s="5">
        <f>HYPERLINK("https://api.qogita.com/variants/link/3386460073875/", "View Product")</f>
        <v/>
      </c>
    </row>
    <row r="23115">
      <c r="A23115" t="inlineStr">
        <is>
          <t>3386460076340</t>
        </is>
      </c>
      <c r="B23115" t="inlineStr">
        <is>
          <t>Rochas Eau De Rochas Homme Eau De Toilette Spray 100ml</t>
        </is>
      </c>
      <c r="C23115" t="inlineStr">
        <is>
          <t>Eau De Toilette</t>
        </is>
      </c>
      <c r="D23115" t="inlineStr">
        <is>
          <t>Rochas</t>
        </is>
      </c>
      <c r="E23115" t="n">
        <v>28.45</v>
      </c>
      <c r="F23115" t="n">
        <v>1</v>
      </c>
      <c r="G23115" t="n">
        <v>16</v>
      </c>
      <c r="H23115" s="5">
        <f>HYPERLINK("https://api.qogita.com/variants/link/3386460076340/", "View Product")</f>
        <v/>
      </c>
    </row>
    <row r="23116">
      <c r="A23116" t="inlineStr">
        <is>
          <t>3386460076364</t>
        </is>
      </c>
      <c r="B23116" t="inlineStr">
        <is>
          <t>Rochas Eau De Rochas Homme Eau De Toilette Spray 200ml</t>
        </is>
      </c>
      <c r="C23116" t="inlineStr">
        <is>
          <t>Eau De Toilette</t>
        </is>
      </c>
      <c r="D23116" t="inlineStr">
        <is>
          <t>Rochas</t>
        </is>
      </c>
      <c r="E23116" t="n">
        <v>41.31</v>
      </c>
      <c r="F23116" t="n">
        <v>1</v>
      </c>
      <c r="G23116" t="n">
        <v>7</v>
      </c>
      <c r="H23116" s="5">
        <f>HYPERLINK("https://api.qogita.com/variants/link/3386460076364/", "View Product")</f>
        <v/>
      </c>
    </row>
    <row r="23117">
      <c r="A23117" t="inlineStr">
        <is>
          <t>3386460077217</t>
        </is>
      </c>
      <c r="B23117" t="inlineStr">
        <is>
          <t>Lanvin Modern Princess Eau De Parfum Spray 60ml</t>
        </is>
      </c>
      <c r="C23117" t="inlineStr">
        <is>
          <t>Eau De Parfum</t>
        </is>
      </c>
      <c r="D23117" t="inlineStr">
        <is>
          <t>Lanvin</t>
        </is>
      </c>
      <c r="E23117" t="n">
        <v>22.63</v>
      </c>
      <c r="F23117" t="n">
        <v>1</v>
      </c>
      <c r="G23117" t="n">
        <v>7</v>
      </c>
      <c r="H23117" s="5">
        <f>HYPERLINK("https://api.qogita.com/variants/link/3386460077217/", "View Product")</f>
        <v/>
      </c>
    </row>
    <row r="23118">
      <c r="A23118" t="inlineStr">
        <is>
          <t>3386460078313</t>
        </is>
      </c>
      <c r="B23118" t="inlineStr">
        <is>
          <t>Coach Woman Eau De Parfum Spray 50ml</t>
        </is>
      </c>
      <c r="C23118" t="inlineStr">
        <is>
          <t>Eau De Parfum</t>
        </is>
      </c>
      <c r="D23118" t="inlineStr">
        <is>
          <t>Coach</t>
        </is>
      </c>
      <c r="E23118" t="n">
        <v>29.23</v>
      </c>
      <c r="F23118" t="n">
        <v>1</v>
      </c>
      <c r="G23118" t="n">
        <v>5</v>
      </c>
      <c r="H23118" s="5">
        <f>HYPERLINK("https://api.qogita.com/variants/link/3386460078313/", "View Product")</f>
        <v/>
      </c>
    </row>
    <row r="23119">
      <c r="A23119" t="inlineStr">
        <is>
          <t>3386460078542</t>
        </is>
      </c>
      <c r="B23119" t="inlineStr">
        <is>
          <t>Rochas Femme Eau De Toilette Spray 100ml</t>
        </is>
      </c>
      <c r="C23119" t="inlineStr">
        <is>
          <t>Eau De Toilette</t>
        </is>
      </c>
      <c r="D23119" t="inlineStr">
        <is>
          <t>Rochas</t>
        </is>
      </c>
      <c r="E23119" t="n">
        <v>27.22</v>
      </c>
      <c r="F23119" t="n">
        <v>1</v>
      </c>
      <c r="G23119" t="n">
        <v>1242</v>
      </c>
      <c r="H23119" s="5">
        <f>HYPERLINK("https://api.qogita.com/variants/link/3386460078542/", "View Product")</f>
        <v/>
      </c>
    </row>
    <row r="23120">
      <c r="A23120" t="inlineStr">
        <is>
          <t>3386460080194</t>
        </is>
      </c>
      <c r="B23120" t="inlineStr">
        <is>
          <t>Boucheron Iris De Syracuse Eau De Parfum 125ml Unisex Spray</t>
        </is>
      </c>
      <c r="C23120" t="inlineStr">
        <is>
          <t>Eau De Parfum</t>
        </is>
      </c>
      <c r="D23120" t="inlineStr">
        <is>
          <t>Boucheron</t>
        </is>
      </c>
      <c r="E23120" t="n">
        <v>71.87</v>
      </c>
      <c r="F23120" t="n">
        <v>1</v>
      </c>
      <c r="G23120" t="n">
        <v>15</v>
      </c>
      <c r="H23120" s="5">
        <f>HYPERLINK("https://api.qogita.com/variants/link/3386460080194/", "View Product")</f>
        <v/>
      </c>
    </row>
    <row r="23121">
      <c r="A23121" t="inlineStr">
        <is>
          <t>3386460080217</t>
        </is>
      </c>
      <c r="B23121" t="inlineStr">
        <is>
          <t>Boucheron Oud De Carthage Eau De Parfum Spray 125ml</t>
        </is>
      </c>
      <c r="C23121" t="inlineStr">
        <is>
          <t>Eau De Parfum</t>
        </is>
      </c>
      <c r="D23121" t="inlineStr">
        <is>
          <t>Boucheron</t>
        </is>
      </c>
      <c r="E23121" t="n">
        <v>66.14</v>
      </c>
      <c r="F23121" t="n">
        <v>1</v>
      </c>
      <c r="G23121" t="n">
        <v>11</v>
      </c>
      <c r="H23121" s="5">
        <f>HYPERLINK("https://api.qogita.com/variants/link/3386460080217/", "View Product")</f>
        <v/>
      </c>
    </row>
    <row r="23122">
      <c r="A23122" t="inlineStr">
        <is>
          <t>3386460081023</t>
        </is>
      </c>
      <c r="B23122" t="inlineStr">
        <is>
          <t>Mademoiselle Rochas Women Perfumed Water Spray 50ml</t>
        </is>
      </c>
      <c r="C23122" t="inlineStr">
        <is>
          <t>Eau De Parfum</t>
        </is>
      </c>
      <c r="D23122" t="inlineStr">
        <is>
          <t>Mademoiselle Rochas</t>
        </is>
      </c>
      <c r="E23122" t="n">
        <v>29.08</v>
      </c>
      <c r="F23122" t="n">
        <v>1</v>
      </c>
      <c r="G23122" t="n">
        <v>13</v>
      </c>
      <c r="H23122" s="5">
        <f>HYPERLINK("https://api.qogita.com/variants/link/3386460081023/", "View Product")</f>
        <v/>
      </c>
    </row>
    <row r="23123">
      <c r="A23123" t="inlineStr">
        <is>
          <t>3386460081030</t>
        </is>
      </c>
      <c r="B23123" t="inlineStr">
        <is>
          <t>Rochas Mademoiselle Rochas Woman Eau De Parfum Spray 30ml</t>
        </is>
      </c>
      <c r="C23123" t="inlineStr">
        <is>
          <t>Eau De Parfum</t>
        </is>
      </c>
      <c r="D23123" t="inlineStr">
        <is>
          <t>Rochas</t>
        </is>
      </c>
      <c r="E23123" t="n">
        <v>18.9</v>
      </c>
      <c r="F23123" t="n">
        <v>1</v>
      </c>
      <c r="G23123" t="n">
        <v>28</v>
      </c>
      <c r="H23123" s="5">
        <f>HYPERLINK("https://api.qogita.com/variants/link/3386460081030/", "View Product")</f>
        <v/>
      </c>
    </row>
    <row r="23124">
      <c r="A23124" t="inlineStr">
        <is>
          <t>3386460081047</t>
        </is>
      </c>
      <c r="B23124" t="inlineStr">
        <is>
          <t>Mademoiselle Rochas Women Eau De Parfum Spray 90ml - Product Without Packaging</t>
        </is>
      </c>
      <c r="C23124" t="inlineStr">
        <is>
          <t>Eau De Parfum</t>
        </is>
      </c>
      <c r="D23124" t="inlineStr">
        <is>
          <t>Mademoiselle Rochas</t>
        </is>
      </c>
      <c r="E23124" t="n">
        <v>22.66</v>
      </c>
      <c r="F23124" t="n">
        <v>1</v>
      </c>
      <c r="G23124" t="n">
        <v>5</v>
      </c>
      <c r="H23124" s="5">
        <f>HYPERLINK("https://api.qogita.com/variants/link/3386460081047/", "View Product")</f>
        <v/>
      </c>
    </row>
    <row r="23125">
      <c r="A23125" t="inlineStr">
        <is>
          <t>3386460082112</t>
        </is>
      </c>
      <c r="B23125" t="inlineStr">
        <is>
          <t>Rochas Eau Rochas Eau De Toilette Spray 220ml</t>
        </is>
      </c>
      <c r="C23125" t="inlineStr">
        <is>
          <t>Eau De Toilette</t>
        </is>
      </c>
      <c r="D23125" t="inlineStr">
        <is>
          <t>Rochas</t>
        </is>
      </c>
      <c r="E23125" t="n">
        <v>53.72</v>
      </c>
      <c r="F23125" t="n">
        <v>1</v>
      </c>
      <c r="G23125" t="n">
        <v>11</v>
      </c>
      <c r="H23125" s="5">
        <f>HYPERLINK("https://api.qogita.com/variants/link/3386460082112/", "View Product")</f>
        <v/>
      </c>
    </row>
    <row r="23126">
      <c r="A23126" t="inlineStr">
        <is>
          <t>3386460082204</t>
        </is>
      </c>
      <c r="B23126" t="inlineStr">
        <is>
          <t>Jimmy Choo Man Ice 100ml 3.3oz Eau de Toilette Spray</t>
        </is>
      </c>
      <c r="C23126" t="inlineStr">
        <is>
          <t>Eau De Toilette</t>
        </is>
      </c>
      <c r="D23126" t="inlineStr">
        <is>
          <t>Jimmy Choo</t>
        </is>
      </c>
      <c r="E23126" t="n">
        <v>23.14</v>
      </c>
      <c r="F23126" t="n">
        <v>1</v>
      </c>
      <c r="G23126" t="n">
        <v>1</v>
      </c>
      <c r="H23126" s="5">
        <f>HYPERLINK("https://api.qogita.com/variants/link/3386460082204/", "View Product")</f>
        <v/>
      </c>
    </row>
    <row r="23127">
      <c r="A23127" t="inlineStr">
        <is>
          <t>3386460087254</t>
        </is>
      </c>
      <c r="B23127" t="inlineStr">
        <is>
          <t>Karl Lagerfeld Fleur De Pecher Les Parfums Matieres Eau De Parfum Spray 100ml</t>
        </is>
      </c>
      <c r="C23127" t="inlineStr">
        <is>
          <t>Eau De Parfum</t>
        </is>
      </c>
      <c r="D23127" t="inlineStr">
        <is>
          <t>Karl Lagerfeld</t>
        </is>
      </c>
      <c r="E23127" t="n">
        <v>17.43</v>
      </c>
      <c r="F23127" t="n">
        <v>1</v>
      </c>
      <c r="G23127" t="n">
        <v>1684</v>
      </c>
      <c r="H23127" s="5">
        <f>HYPERLINK("https://api.qogita.com/variants/link/3386460087254/", "View Product")</f>
        <v/>
      </c>
    </row>
    <row r="23128">
      <c r="A23128" t="inlineStr">
        <is>
          <t>3386460095358</t>
        </is>
      </c>
      <c r="B23128" t="inlineStr">
        <is>
          <t>Coach Floral Eau De Parfum Spray 50ml</t>
        </is>
      </c>
      <c r="C23128" t="inlineStr">
        <is>
          <t>Eau De Parfum</t>
        </is>
      </c>
      <c r="D23128" t="inlineStr">
        <is>
          <t>Coach</t>
        </is>
      </c>
      <c r="E23128" t="n">
        <v>28.32</v>
      </c>
      <c r="F23128" t="n">
        <v>1</v>
      </c>
      <c r="G23128" t="n">
        <v>15</v>
      </c>
      <c r="H23128" s="5">
        <f>HYPERLINK("https://api.qogita.com/variants/link/3386460095358/", "View Product")</f>
        <v/>
      </c>
    </row>
    <row r="23129">
      <c r="A23129" t="inlineStr">
        <is>
          <t>3386460096898</t>
        </is>
      </c>
      <c r="B23129" t="inlineStr">
        <is>
          <t>COACH NEW YORK PLATINUM by Coach Cologne for Men EDP 3.3 oz</t>
        </is>
      </c>
      <c r="C23129" t="inlineStr">
        <is>
          <t>Eau De Parfum</t>
        </is>
      </c>
      <c r="D23129" t="inlineStr">
        <is>
          <t>Coach</t>
        </is>
      </c>
      <c r="E23129" t="n">
        <v>28.12</v>
      </c>
      <c r="F23129" t="n">
        <v>1</v>
      </c>
      <c r="G23129" t="n">
        <v>2</v>
      </c>
      <c r="H23129" s="5">
        <f>HYPERLINK("https://api.qogita.com/variants/link/3386460096898/", "View Product")</f>
        <v/>
      </c>
    </row>
    <row r="23130">
      <c r="A23130" t="inlineStr">
        <is>
          <t>3386460097345</t>
        </is>
      </c>
      <c r="B23130" t="inlineStr">
        <is>
          <t>Jimmy Choo Fever Eau De Parfum For Women 40ml Spray</t>
        </is>
      </c>
      <c r="C23130" t="inlineStr">
        <is>
          <t>Eau De Parfum</t>
        </is>
      </c>
      <c r="D23130" t="inlineStr">
        <is>
          <t>Jimmy Choo</t>
        </is>
      </c>
      <c r="E23130" t="n">
        <v>21.81</v>
      </c>
      <c r="F23130" t="n">
        <v>1</v>
      </c>
      <c r="G23130" t="n">
        <v>12</v>
      </c>
      <c r="H23130" s="5">
        <f>HYPERLINK("https://api.qogita.com/variants/link/3386460097345/", "View Product")</f>
        <v/>
      </c>
    </row>
    <row r="23131">
      <c r="A23131" t="inlineStr">
        <is>
          <t>3386460101080</t>
        </is>
      </c>
      <c r="B23131" t="inlineStr">
        <is>
          <t>Montblanc Explorer Deodorant Stick For Men 75g</t>
        </is>
      </c>
      <c r="C23131" t="inlineStr">
        <is>
          <t>Deodorant &amp; Anti-Perspirant</t>
        </is>
      </c>
      <c r="D23131" t="inlineStr">
        <is>
          <t>Montblanc</t>
        </is>
      </c>
      <c r="E23131" t="n">
        <v>12.03</v>
      </c>
      <c r="F23131" t="n">
        <v>1</v>
      </c>
      <c r="G23131" t="n">
        <v>29</v>
      </c>
      <c r="H23131" s="5">
        <f>HYPERLINK("https://api.qogita.com/variants/link/3386460101080/", "View Product")</f>
        <v/>
      </c>
    </row>
    <row r="23132">
      <c r="A23132" t="inlineStr">
        <is>
          <t>3386460101868</t>
        </is>
      </c>
      <c r="B23132" t="inlineStr">
        <is>
          <t>Karl Lagerfeld Fleur De Murier Eau De Parfum Spray 50ml</t>
        </is>
      </c>
      <c r="C23132" t="inlineStr">
        <is>
          <t>Eau De Parfum</t>
        </is>
      </c>
      <c r="D23132" t="inlineStr">
        <is>
          <t>Karl Lagerfeld</t>
        </is>
      </c>
      <c r="E23132" t="n">
        <v>13.41</v>
      </c>
      <c r="F23132" t="n">
        <v>1</v>
      </c>
      <c r="G23132" t="n">
        <v>134</v>
      </c>
      <c r="H23132" s="5">
        <f>HYPERLINK("https://api.qogita.com/variants/link/3386460101868/", "View Product")</f>
        <v/>
      </c>
    </row>
    <row r="23133">
      <c r="A23133" t="inlineStr">
        <is>
          <t>3386460103695</t>
        </is>
      </c>
      <c r="B23133" t="inlineStr">
        <is>
          <t>Jimmy Choo Floral Eau De Toilette Spray 60ml</t>
        </is>
      </c>
      <c r="C23133" t="inlineStr">
        <is>
          <t>Eau De Toilette</t>
        </is>
      </c>
      <c r="D23133" t="inlineStr">
        <is>
          <t>Jimmy Choo</t>
        </is>
      </c>
      <c r="E23133" t="n">
        <v>27.74</v>
      </c>
      <c r="F23133" t="n">
        <v>1</v>
      </c>
      <c r="G23133" t="n">
        <v>2</v>
      </c>
      <c r="H23133" s="5">
        <f>HYPERLINK("https://api.qogita.com/variants/link/3386460103695/", "View Product")</f>
        <v/>
      </c>
    </row>
    <row r="23134">
      <c r="A23134" t="inlineStr">
        <is>
          <t>3386460108126</t>
        </is>
      </c>
      <c r="B23134" t="inlineStr">
        <is>
          <t>Coach Floral Blush Eau de Parfum Spray for Women 1.7 Oz</t>
        </is>
      </c>
      <c r="C23134" t="inlineStr">
        <is>
          <t>Eau De Parfum</t>
        </is>
      </c>
      <c r="D23134" t="inlineStr">
        <is>
          <t>Coach</t>
        </is>
      </c>
      <c r="E23134" t="n">
        <v>28.91</v>
      </c>
      <c r="F23134" t="n">
        <v>1</v>
      </c>
      <c r="G23134" t="n">
        <v>30</v>
      </c>
      <c r="H23134" s="5">
        <f>HYPERLINK("https://api.qogita.com/variants/link/3386460108126/", "View Product")</f>
        <v/>
      </c>
    </row>
    <row r="23135">
      <c r="A23135" t="inlineStr">
        <is>
          <t>3386460108768</t>
        </is>
      </c>
      <c r="B23135" t="inlineStr">
        <is>
          <t>Jimmy Choo Man Intense Eau de Toilette Jumbo Spray 6.7fl oz</t>
        </is>
      </c>
      <c r="C23135" t="inlineStr">
        <is>
          <t>Eau De Toilette</t>
        </is>
      </c>
      <c r="D23135" t="inlineStr">
        <is>
          <t>Jimmy Choo</t>
        </is>
      </c>
      <c r="E23135" t="n">
        <v>55.68</v>
      </c>
      <c r="F23135" t="n">
        <v>1</v>
      </c>
      <c r="G23135" t="n">
        <v>4</v>
      </c>
      <c r="H23135" s="5">
        <f>HYPERLINK("https://api.qogita.com/variants/link/3386460108768/", "View Product")</f>
        <v/>
      </c>
    </row>
    <row r="23136">
      <c r="A23136" t="inlineStr">
        <is>
          <t>3386460109376</t>
        </is>
      </c>
      <c r="B23136" t="inlineStr">
        <is>
          <t>Jimmy Choo Urban Hero Eau De Parfum 50ml For Men</t>
        </is>
      </c>
      <c r="C23136" t="inlineStr">
        <is>
          <t>Eau De Parfum</t>
        </is>
      </c>
      <c r="D23136" t="inlineStr">
        <is>
          <t>Jimmy Choo</t>
        </is>
      </c>
      <c r="E23136" t="n">
        <v>22.65</v>
      </c>
      <c r="F23136" t="n">
        <v>1</v>
      </c>
      <c r="G23136" t="n">
        <v>9</v>
      </c>
      <c r="H23136" s="5">
        <f>HYPERLINK("https://api.qogita.com/variants/link/3386460109376/", "View Product")</f>
        <v/>
      </c>
    </row>
    <row r="23137">
      <c r="A23137" t="inlineStr">
        <is>
          <t>3386460109581</t>
        </is>
      </c>
      <c r="B23137" t="inlineStr">
        <is>
          <t>Coach Coach Dreams Eau De Parfum Spray 40ml</t>
        </is>
      </c>
      <c r="C23137" t="inlineStr">
        <is>
          <t>Eau De Parfum</t>
        </is>
      </c>
      <c r="D23137" t="inlineStr">
        <is>
          <t>Coach</t>
        </is>
      </c>
      <c r="E23137" t="n">
        <v>19.06</v>
      </c>
      <c r="F23137" t="n">
        <v>1</v>
      </c>
      <c r="G23137" t="n">
        <v>6</v>
      </c>
      <c r="H23137" s="5">
        <f>HYPERLINK("https://api.qogita.com/variants/link/3386460109581/", "View Product")</f>
        <v/>
      </c>
    </row>
    <row r="23138">
      <c r="A23138" t="inlineStr">
        <is>
          <t>3386460114332</t>
        </is>
      </c>
      <c r="B23138" t="inlineStr">
        <is>
          <t>Boucheron Serpent Boheme Eau De Parfum Spray 50ml</t>
        </is>
      </c>
      <c r="C23138" t="inlineStr">
        <is>
          <t>Eau De Parfum</t>
        </is>
      </c>
      <c r="D23138" t="inlineStr">
        <is>
          <t>Boucheron</t>
        </is>
      </c>
      <c r="E23138" t="n">
        <v>16.51</v>
      </c>
      <c r="F23138" t="n">
        <v>1</v>
      </c>
      <c r="G23138" t="n">
        <v>28</v>
      </c>
      <c r="H23138" s="5">
        <f>HYPERLINK("https://api.qogita.com/variants/link/3386460114332/", "View Product")</f>
        <v/>
      </c>
    </row>
    <row r="23139">
      <c r="A23139" t="inlineStr">
        <is>
          <t>3386460115551</t>
        </is>
      </c>
      <c r="B23139" t="inlineStr">
        <is>
          <t>Karl New York Mercer Street Eau De Toilette Spray 100ml</t>
        </is>
      </c>
      <c r="C23139" t="inlineStr">
        <is>
          <t>Eau De Toilette</t>
        </is>
      </c>
      <c r="D23139" t="inlineStr">
        <is>
          <t>Karl Lagerfeld</t>
        </is>
      </c>
      <c r="E23139" t="n">
        <v>13.77</v>
      </c>
      <c r="F23139" t="n">
        <v>1</v>
      </c>
      <c r="G23139" t="n">
        <v>293</v>
      </c>
      <c r="H23139" s="5">
        <f>HYPERLINK("https://api.qogita.com/variants/link/3386460115551/", "View Product")</f>
        <v/>
      </c>
    </row>
    <row r="23140">
      <c r="A23140" t="inlineStr">
        <is>
          <t>3386460119023</t>
        </is>
      </c>
      <c r="B23140" t="inlineStr">
        <is>
          <t>Lanvin Eclat D'Arpege Mon Eclat Eau De Parfum Spray 100ml</t>
        </is>
      </c>
      <c r="C23140" t="inlineStr">
        <is>
          <t>Eau De Parfum</t>
        </is>
      </c>
      <c r="D23140" t="inlineStr">
        <is>
          <t>Lanvin</t>
        </is>
      </c>
      <c r="E23140" t="n">
        <v>17.8</v>
      </c>
      <c r="F23140" t="n">
        <v>1</v>
      </c>
      <c r="G23140" t="n">
        <v>11</v>
      </c>
      <c r="H23140" s="5">
        <f>HYPERLINK("https://api.qogita.com/variants/link/3386460119023/", "View Product")</f>
        <v/>
      </c>
    </row>
    <row r="23141">
      <c r="A23141" t="inlineStr">
        <is>
          <t>3386460119030</t>
        </is>
      </c>
      <c r="B23141" t="inlineStr">
        <is>
          <t>Lanvin Eclat D'Arpege Mon Eclat Eau De Parfum Spray 50ml</t>
        </is>
      </c>
      <c r="C23141" t="inlineStr">
        <is>
          <t>Eau De Parfum</t>
        </is>
      </c>
      <c r="D23141" t="inlineStr">
        <is>
          <t>Lanvin</t>
        </is>
      </c>
      <c r="E23141" t="n">
        <v>16.12</v>
      </c>
      <c r="F23141" t="n">
        <v>1</v>
      </c>
      <c r="G23141" t="n">
        <v>6</v>
      </c>
      <c r="H23141" s="5">
        <f>HYPERLINK("https://api.qogita.com/variants/link/3386460119030/", "View Product")</f>
        <v/>
      </c>
    </row>
    <row r="23142">
      <c r="A23142" t="inlineStr">
        <is>
          <t>3386460121538</t>
        </is>
      </c>
      <c r="B23142" t="inlineStr">
        <is>
          <t>Montblanc Explorer Ultra Blue Eau De Parfum 30ml A Refreshing Fragrance For Men</t>
        </is>
      </c>
      <c r="C23142" t="inlineStr">
        <is>
          <t>Eau De Parfum</t>
        </is>
      </c>
      <c r="D23142" t="inlineStr">
        <is>
          <t>Montblanc</t>
        </is>
      </c>
      <c r="E23142" t="n">
        <v>20.04</v>
      </c>
      <c r="F23142" t="n">
        <v>1</v>
      </c>
      <c r="G23142" t="n">
        <v>48</v>
      </c>
      <c r="H23142" s="5">
        <f>HYPERLINK("https://api.qogita.com/variants/link/3386460121538/", "View Product")</f>
        <v/>
      </c>
    </row>
    <row r="23143">
      <c r="A23143" t="inlineStr">
        <is>
          <t>3386460121590</t>
        </is>
      </c>
      <c r="B23143" t="inlineStr">
        <is>
          <t>Jimmy Choo I Want Choo Body Lotion 150ml</t>
        </is>
      </c>
      <c r="C23143" t="inlineStr">
        <is>
          <t>Body Lotion</t>
        </is>
      </c>
      <c r="D23143" t="inlineStr">
        <is>
          <t>Jimmy Choo</t>
        </is>
      </c>
      <c r="E23143" t="n">
        <v>16.59</v>
      </c>
      <c r="F23143" t="n">
        <v>1</v>
      </c>
      <c r="G23143" t="n">
        <v>4</v>
      </c>
      <c r="H23143" s="5">
        <f>HYPERLINK("https://api.qogita.com/variants/link/3386460121590/", "View Product")</f>
        <v/>
      </c>
    </row>
    <row r="23144">
      <c r="A23144" t="inlineStr">
        <is>
          <t>3386460124195</t>
        </is>
      </c>
      <c r="B23144" t="inlineStr">
        <is>
          <t>Montblanc Explorer Ultra Blue Eau De Parfum Spray 200 Ml</t>
        </is>
      </c>
      <c r="C23144" t="inlineStr">
        <is>
          <t>Eau De Parfum</t>
        </is>
      </c>
      <c r="D23144" t="inlineStr">
        <is>
          <t>Montblanc</t>
        </is>
      </c>
      <c r="E23144" t="n">
        <v>56.26</v>
      </c>
      <c r="F23144" t="n">
        <v>1</v>
      </c>
      <c r="G23144" t="n">
        <v>2</v>
      </c>
      <c r="H23144" s="5">
        <f>HYPERLINK("https://api.qogita.com/variants/link/3386460124195/", "View Product")</f>
        <v/>
      </c>
    </row>
    <row r="23145">
      <c r="A23145" t="inlineStr">
        <is>
          <t>3386460124249</t>
        </is>
      </c>
      <c r="B23145" t="inlineStr">
        <is>
          <t>Rochas Girl Eau De Toilette Spray 60ml</t>
        </is>
      </c>
      <c r="C23145" t="inlineStr">
        <is>
          <t>Eau De Toilette</t>
        </is>
      </c>
      <c r="D23145" t="inlineStr">
        <is>
          <t>Rochas</t>
        </is>
      </c>
      <c r="E23145" t="n">
        <v>15.94</v>
      </c>
      <c r="F23145" t="n">
        <v>1</v>
      </c>
      <c r="G23145" t="n">
        <v>4</v>
      </c>
      <c r="H23145" s="5">
        <f>HYPERLINK("https://api.qogita.com/variants/link/3386460124249/", "View Product")</f>
        <v/>
      </c>
    </row>
    <row r="23146">
      <c r="A23146" t="inlineStr">
        <is>
          <t>3386460126236</t>
        </is>
      </c>
      <c r="B23146" t="inlineStr">
        <is>
          <t>Moncler Eau De Parfum for Men Rechargeable with LED Screen</t>
        </is>
      </c>
      <c r="C23146" t="inlineStr">
        <is>
          <t>Eau De Parfum</t>
        </is>
      </c>
      <c r="D23146" t="inlineStr">
        <is>
          <t>Moncler</t>
        </is>
      </c>
      <c r="E23146" t="n">
        <v>70.56999999999999</v>
      </c>
      <c r="F23146" t="n">
        <v>1</v>
      </c>
      <c r="G23146" t="n">
        <v>14</v>
      </c>
      <c r="H23146" s="5">
        <f>HYPERLINK("https://api.qogita.com/variants/link/3386460126236/", "View Product")</f>
        <v/>
      </c>
    </row>
    <row r="23147">
      <c r="A23147" t="inlineStr">
        <is>
          <t>3386460126281</t>
        </is>
      </c>
      <c r="B23147" t="inlineStr">
        <is>
          <t>Moncler Pour Femme Eau De Parfum Spray 60ml</t>
        </is>
      </c>
      <c r="C23147" t="inlineStr">
        <is>
          <t>Eau De Parfum</t>
        </is>
      </c>
      <c r="D23147" t="inlineStr">
        <is>
          <t>Moncler</t>
        </is>
      </c>
      <c r="E23147" t="n">
        <v>32.36</v>
      </c>
      <c r="F23147" t="n">
        <v>1</v>
      </c>
      <c r="G23147" t="n">
        <v>233</v>
      </c>
      <c r="H23147" s="5">
        <f>HYPERLINK("https://api.qogita.com/variants/link/3386460126281/", "View Product")</f>
        <v/>
      </c>
    </row>
    <row r="23148">
      <c r="A23148" t="inlineStr">
        <is>
          <t>3386460126311</t>
        </is>
      </c>
      <c r="B23148" t="inlineStr">
        <is>
          <t>Moncler Pour Femme 3.3 Oz (100ml) EDP Spray for Women</t>
        </is>
      </c>
      <c r="C23148" t="inlineStr">
        <is>
          <t>Eau De Parfum</t>
        </is>
      </c>
      <c r="D23148" t="inlineStr">
        <is>
          <t>Moncler</t>
        </is>
      </c>
      <c r="E23148" t="n">
        <v>40.19</v>
      </c>
      <c r="F23148" t="n">
        <v>1</v>
      </c>
      <c r="G23148" t="n">
        <v>17</v>
      </c>
      <c r="H23148" s="5">
        <f>HYPERLINK("https://api.qogita.com/variants/link/3386460126311/", "View Product")</f>
        <v/>
      </c>
    </row>
    <row r="23149">
      <c r="A23149" t="inlineStr">
        <is>
          <t>3386460127073</t>
        </is>
      </c>
      <c r="B23149" t="inlineStr">
        <is>
          <t>Jimmy Choo Urban Hero Gold Edition Eau De Parfum Spray 50ml</t>
        </is>
      </c>
      <c r="C23149" t="inlineStr">
        <is>
          <t>Eau De Parfum</t>
        </is>
      </c>
      <c r="D23149" t="inlineStr">
        <is>
          <t>Jimmy Choo</t>
        </is>
      </c>
      <c r="E23149" t="n">
        <v>24.92</v>
      </c>
      <c r="F23149" t="n">
        <v>1</v>
      </c>
      <c r="G23149" t="n">
        <v>13</v>
      </c>
      <c r="H23149" s="5">
        <f>HYPERLINK("https://api.qogita.com/variants/link/3386460127073/", "View Product")</f>
        <v/>
      </c>
    </row>
    <row r="23150">
      <c r="A23150" t="inlineStr">
        <is>
          <t>3386460127264</t>
        </is>
      </c>
      <c r="B23150" t="inlineStr">
        <is>
          <t>Lanvin Blue Orchid Edt 50 Ml - Women's Fragrance</t>
        </is>
      </c>
      <c r="C23150" t="inlineStr">
        <is>
          <t>Eau De Toilette</t>
        </is>
      </c>
      <c r="D23150" t="inlineStr">
        <is>
          <t>Lanvin</t>
        </is>
      </c>
      <c r="E23150" t="n">
        <v>19.16</v>
      </c>
      <c r="F23150" t="n">
        <v>1</v>
      </c>
      <c r="G23150" t="n">
        <v>11</v>
      </c>
      <c r="H23150" s="5">
        <f>HYPERLINK("https://api.qogita.com/variants/link/3386460127264/", "View Product")</f>
        <v/>
      </c>
    </row>
    <row r="23151">
      <c r="A23151" t="inlineStr">
        <is>
          <t>3386460127608</t>
        </is>
      </c>
      <c r="B23151" t="inlineStr">
        <is>
          <t>Rochas Girl Gift Set 60ml EDT 100ml Shower Gel - Pack of 2</t>
        </is>
      </c>
      <c r="C23151" t="inlineStr">
        <is>
          <t>Fragrance Sets</t>
        </is>
      </c>
      <c r="D23151" t="inlineStr">
        <is>
          <t>Rochas</t>
        </is>
      </c>
      <c r="E23151" t="n">
        <v>24.6</v>
      </c>
      <c r="F23151" t="n">
        <v>1</v>
      </c>
      <c r="G23151" t="n">
        <v>3</v>
      </c>
      <c r="H23151" s="5">
        <f>HYPERLINK("https://api.qogita.com/variants/link/3386460127608/", "View Product")</f>
        <v/>
      </c>
    </row>
    <row r="23152">
      <c r="A23152" t="inlineStr">
        <is>
          <t>3386460128391</t>
        </is>
      </c>
      <c r="B23152" t="inlineStr">
        <is>
          <t>Mont Blanc Individuel Tonic For Men Eau De Toilette Spray 75ml</t>
        </is>
      </c>
      <c r="C23152" t="inlineStr">
        <is>
          <t>Eau De Toilette</t>
        </is>
      </c>
      <c r="D23152" t="inlineStr">
        <is>
          <t>Montblanc</t>
        </is>
      </c>
      <c r="E23152" t="n">
        <v>20.12</v>
      </c>
      <c r="F23152" t="n">
        <v>1</v>
      </c>
      <c r="G23152" t="n">
        <v>11</v>
      </c>
      <c r="H23152" s="5">
        <f>HYPERLINK("https://api.qogita.com/variants/link/3386460128391/", "View Product")</f>
        <v/>
      </c>
    </row>
    <row r="23153">
      <c r="A23153" t="inlineStr">
        <is>
          <t>3386460129831</t>
        </is>
      </c>
      <c r="B23153" t="inlineStr">
        <is>
          <t>Jimmy Choo Man Aqua Eau De Toilette for Men</t>
        </is>
      </c>
      <c r="C23153" t="inlineStr">
        <is>
          <t>Eau De Toilette</t>
        </is>
      </c>
      <c r="D23153" t="inlineStr">
        <is>
          <t>Jimmy Choo</t>
        </is>
      </c>
      <c r="E23153" t="n">
        <v>27</v>
      </c>
      <c r="F23153" t="n">
        <v>1</v>
      </c>
      <c r="G23153" t="n">
        <v>26</v>
      </c>
      <c r="H23153" s="5">
        <f>HYPERLINK("https://api.qogita.com/variants/link/3386460129831/", "View Product")</f>
        <v/>
      </c>
    </row>
    <row r="23154">
      <c r="A23154" t="inlineStr">
        <is>
          <t>3386460130066</t>
        </is>
      </c>
      <c r="B23154" t="inlineStr">
        <is>
          <t>Karl Lagerfeld Vienna Opera Eau De Toilette Spray 100ml</t>
        </is>
      </c>
      <c r="C23154" t="inlineStr">
        <is>
          <t>Eau De Toilette</t>
        </is>
      </c>
      <c r="D23154" t="inlineStr">
        <is>
          <t>Karl Lagerfeld</t>
        </is>
      </c>
      <c r="E23154" t="n">
        <v>15.21</v>
      </c>
      <c r="F23154" t="n">
        <v>1</v>
      </c>
      <c r="G23154" t="n">
        <v>181</v>
      </c>
      <c r="H23154" s="5">
        <f>HYPERLINK("https://api.qogita.com/variants/link/3386460130066/", "View Product")</f>
        <v/>
      </c>
    </row>
    <row r="23155">
      <c r="A23155" t="inlineStr">
        <is>
          <t>3386460133814</t>
        </is>
      </c>
      <c r="B23155" t="inlineStr">
        <is>
          <t>Karl Lagerfeld Eau De Parfum 100ml</t>
        </is>
      </c>
      <c r="C23155" t="inlineStr">
        <is>
          <t>Eau De Parfum</t>
        </is>
      </c>
      <c r="D23155" t="inlineStr">
        <is>
          <t>Karl Lagerfeld</t>
        </is>
      </c>
      <c r="E23155" t="n">
        <v>19.16</v>
      </c>
      <c r="F23155" t="n">
        <v>1</v>
      </c>
      <c r="G23155" t="n">
        <v>105</v>
      </c>
      <c r="H23155" s="5">
        <f>HYPERLINK("https://api.qogita.com/variants/link/3386460133814/", "View Product")</f>
        <v/>
      </c>
    </row>
    <row r="23156">
      <c r="A23156" t="inlineStr">
        <is>
          <t>3386460133821</t>
        </is>
      </c>
      <c r="B23156" t="inlineStr">
        <is>
          <t>Fleur de Pivoine Eau de Parfum 50ml</t>
        </is>
      </c>
      <c r="C23156" t="inlineStr">
        <is>
          <t>Eau De Parfum</t>
        </is>
      </c>
      <c r="D23156" t="inlineStr">
        <is>
          <t>Karl Lagerfeld</t>
        </is>
      </c>
      <c r="E23156" t="n">
        <v>13.68</v>
      </c>
      <c r="F23156" t="n">
        <v>1</v>
      </c>
      <c r="G23156" t="n">
        <v>15</v>
      </c>
      <c r="H23156" s="5">
        <f>HYPERLINK("https://api.qogita.com/variants/link/3386460133821/", "View Product")</f>
        <v/>
      </c>
    </row>
    <row r="23157">
      <c r="A23157" t="inlineStr">
        <is>
          <t>3386460135177</t>
        </is>
      </c>
      <c r="B23157" t="inlineStr">
        <is>
          <t>Boucheron Singulier Eau De Parfum Spray 100ml</t>
        </is>
      </c>
      <c r="C23157" t="inlineStr">
        <is>
          <t>Eau De Parfum</t>
        </is>
      </c>
      <c r="D23157" t="inlineStr">
        <is>
          <t>Boucheron</t>
        </is>
      </c>
      <c r="E23157" t="n">
        <v>31.6</v>
      </c>
      <c r="F23157" t="n">
        <v>1</v>
      </c>
      <c r="G23157" t="n">
        <v>28</v>
      </c>
      <c r="H23157" s="5">
        <f>HYPERLINK("https://api.qogita.com/variants/link/3386460135177/", "View Product")</f>
        <v/>
      </c>
    </row>
    <row r="23158">
      <c r="A23158" t="inlineStr">
        <is>
          <t>3386460135184</t>
        </is>
      </c>
      <c r="B23158" t="inlineStr">
        <is>
          <t>Boucheron Singulier Eau De Parfum Spray 50ml</t>
        </is>
      </c>
      <c r="C23158" t="inlineStr">
        <is>
          <t>Eau De Parfum</t>
        </is>
      </c>
      <c r="D23158" t="inlineStr">
        <is>
          <t>Boucheron</t>
        </is>
      </c>
      <c r="E23158" t="n">
        <v>21.56</v>
      </c>
      <c r="F23158" t="n">
        <v>1</v>
      </c>
      <c r="G23158" t="n">
        <v>12</v>
      </c>
      <c r="H23158" s="5">
        <f>HYPERLINK("https://api.qogita.com/variants/link/3386460135184/", "View Product")</f>
        <v/>
      </c>
    </row>
    <row r="23159">
      <c r="A23159" t="inlineStr">
        <is>
          <t>3386460135818</t>
        </is>
      </c>
      <c r="B23159" t="inlineStr">
        <is>
          <t>Mont Blanc Explorer Platinum Eau De Parfum Spray 100ml</t>
        </is>
      </c>
      <c r="C23159" t="inlineStr">
        <is>
          <t>Eau De Parfum</t>
        </is>
      </c>
      <c r="D23159" t="inlineStr">
        <is>
          <t>Montblanc</t>
        </is>
      </c>
      <c r="E23159" t="n">
        <v>34.23</v>
      </c>
      <c r="F23159" t="n">
        <v>1</v>
      </c>
      <c r="G23159" t="n">
        <v>118</v>
      </c>
      <c r="H23159" s="5">
        <f>HYPERLINK("https://api.qogita.com/variants/link/3386460135818/", "View Product")</f>
        <v/>
      </c>
    </row>
    <row r="23160">
      <c r="A23160" t="inlineStr">
        <is>
          <t>3386460135887</t>
        </is>
      </c>
      <c r="B23160" t="inlineStr">
        <is>
          <t>Mont Blanc Explorer Platinum Shower Gel 150ml</t>
        </is>
      </c>
      <c r="C23160" t="inlineStr">
        <is>
          <t>Shower Gel</t>
        </is>
      </c>
      <c r="D23160" t="inlineStr">
        <is>
          <t>Montblanc</t>
        </is>
      </c>
      <c r="E23160" t="n">
        <v>12.22</v>
      </c>
      <c r="F23160" t="n">
        <v>1</v>
      </c>
      <c r="G23160" t="n">
        <v>21</v>
      </c>
      <c r="H23160" s="5">
        <f>HYPERLINK("https://api.qogita.com/variants/link/3386460135887/", "View Product")</f>
        <v/>
      </c>
    </row>
    <row r="23161">
      <c r="A23161" t="inlineStr">
        <is>
          <t>3386460136341</t>
        </is>
      </c>
      <c r="B23161" t="inlineStr">
        <is>
          <t>Kate Spade Cherie Eau De Parfum Spray 60ml</t>
        </is>
      </c>
      <c r="C23161" t="inlineStr">
        <is>
          <t>Eau De Parfum</t>
        </is>
      </c>
      <c r="D23161" t="inlineStr">
        <is>
          <t>Kate Spade</t>
        </is>
      </c>
      <c r="E23161" t="n">
        <v>23.37</v>
      </c>
      <c r="F23161" t="n">
        <v>1</v>
      </c>
      <c r="G23161" t="n">
        <v>9</v>
      </c>
      <c r="H23161" s="5">
        <f>HYPERLINK("https://api.qogita.com/variants/link/3386460136341/", "View Product")</f>
        <v/>
      </c>
    </row>
    <row r="23162">
      <c r="A23162" t="inlineStr">
        <is>
          <t>3386460136952</t>
        </is>
      </c>
      <c r="B23162" t="inlineStr">
        <is>
          <t>Moncler Le Solstice Eau De Parfum</t>
        </is>
      </c>
      <c r="C23162" t="inlineStr">
        <is>
          <t>Eau De Parfum</t>
        </is>
      </c>
      <c r="D23162" t="inlineStr">
        <is>
          <t>Moncler</t>
        </is>
      </c>
      <c r="E23162" t="n">
        <v>129.67</v>
      </c>
      <c r="F23162" t="n">
        <v>1</v>
      </c>
      <c r="G23162" t="n">
        <v>39</v>
      </c>
      <c r="H23162" s="5">
        <f>HYPERLINK("https://api.qogita.com/variants/link/3386460136952/", "View Product")</f>
        <v/>
      </c>
    </row>
    <row r="23163">
      <c r="A23163" t="inlineStr">
        <is>
          <t>3386460136969</t>
        </is>
      </c>
      <c r="B23163" t="inlineStr">
        <is>
          <t>Moncler La Cordee Eau De Parfum Spray 200ml</t>
        </is>
      </c>
      <c r="C23163" t="inlineStr">
        <is>
          <t>Eau De Parfum</t>
        </is>
      </c>
      <c r="D23163" t="inlineStr">
        <is>
          <t>Moncler</t>
        </is>
      </c>
      <c r="E23163" t="n">
        <v>126.44</v>
      </c>
      <c r="F23163" t="n">
        <v>1</v>
      </c>
      <c r="G23163" t="n">
        <v>4</v>
      </c>
      <c r="H23163" s="5">
        <f>HYPERLINK("https://api.qogita.com/variants/link/3386460136969/", "View Product")</f>
        <v/>
      </c>
    </row>
    <row r="23164">
      <c r="A23164" t="inlineStr">
        <is>
          <t>3386460137553</t>
        </is>
      </c>
      <c r="B23164" t="inlineStr">
        <is>
          <t>Jimmy Choo Rose Passion Eau De Parfum Spray 60ml</t>
        </is>
      </c>
      <c r="C23164" t="inlineStr">
        <is>
          <t>Eau De Parfum</t>
        </is>
      </c>
      <c r="D23164" t="inlineStr">
        <is>
          <t>Jimmy Choo</t>
        </is>
      </c>
      <c r="E23164" t="n">
        <v>20.97</v>
      </c>
      <c r="F23164" t="n">
        <v>1</v>
      </c>
      <c r="G23164" t="n">
        <v>43</v>
      </c>
      <c r="H23164" s="5">
        <f>HYPERLINK("https://api.qogita.com/variants/link/3386460137553/", "View Product")</f>
        <v/>
      </c>
    </row>
    <row r="23165">
      <c r="A23165" t="inlineStr">
        <is>
          <t>3386460139175</t>
        </is>
      </c>
      <c r="B23165" t="inlineStr">
        <is>
          <t>Mont Blanc Explorer Platinum Eau De Parfum Spray 60ml + Shower Gel 100ml</t>
        </is>
      </c>
      <c r="C23165" t="inlineStr">
        <is>
          <t>Eau De Parfum</t>
        </is>
      </c>
      <c r="D23165" t="inlineStr">
        <is>
          <t>Montblanc</t>
        </is>
      </c>
      <c r="E23165" t="n">
        <v>41.8</v>
      </c>
      <c r="F23165" t="n">
        <v>1</v>
      </c>
      <c r="G23165" t="n">
        <v>19</v>
      </c>
      <c r="H23165" s="5">
        <f>HYPERLINK("https://api.qogita.com/variants/link/3386460139175/", "View Product")</f>
        <v/>
      </c>
    </row>
    <row r="23166">
      <c r="A23166" t="inlineStr">
        <is>
          <t>3386460139434</t>
        </is>
      </c>
      <c r="B23166" t="inlineStr">
        <is>
          <t>Montblanc Signature Absolue Fragrance Set For Women</t>
        </is>
      </c>
      <c r="C23166" t="inlineStr">
        <is>
          <t>Fragrance Sets</t>
        </is>
      </c>
      <c r="D23166" t="inlineStr">
        <is>
          <t>Montblanc</t>
        </is>
      </c>
      <c r="E23166" t="n">
        <v>23.88</v>
      </c>
      <c r="F23166" t="n">
        <v>1</v>
      </c>
      <c r="G23166" t="n">
        <v>14</v>
      </c>
      <c r="H23166" s="5">
        <f>HYPERLINK("https://api.qogita.com/variants/link/3386460139434/", "View Product")</f>
        <v/>
      </c>
    </row>
    <row r="23167">
      <c r="A23167" t="inlineStr">
        <is>
          <t>3386460141017</t>
        </is>
      </c>
      <c r="B23167" t="inlineStr">
        <is>
          <t>Moncler Sunrise Pour Femme Eau de Parfum Spray</t>
        </is>
      </c>
      <c r="C23167" t="inlineStr">
        <is>
          <t>Eau De Parfum</t>
        </is>
      </c>
      <c r="D23167" t="inlineStr">
        <is>
          <t>Moncler</t>
        </is>
      </c>
      <c r="E23167" t="n">
        <v>30.84</v>
      </c>
      <c r="F23167" t="n">
        <v>1</v>
      </c>
      <c r="G23167" t="n">
        <v>20</v>
      </c>
      <c r="H23167" s="5">
        <f>HYPERLINK("https://api.qogita.com/variants/link/3386460141017/", "View Product")</f>
        <v/>
      </c>
    </row>
    <row r="23168">
      <c r="A23168" t="inlineStr">
        <is>
          <t>3386460141253</t>
        </is>
      </c>
      <c r="B23168" t="inlineStr">
        <is>
          <t>Coach Green Man Eau De Toilette Spray 100ml</t>
        </is>
      </c>
      <c r="C23168" t="inlineStr">
        <is>
          <t>Eau De Toilette</t>
        </is>
      </c>
      <c r="D23168" t="inlineStr">
        <is>
          <t>Coach</t>
        </is>
      </c>
      <c r="E23168" t="n">
        <v>29.87</v>
      </c>
      <c r="F23168" t="n">
        <v>1</v>
      </c>
      <c r="G23168" t="n">
        <v>6</v>
      </c>
      <c r="H23168" s="5">
        <f>HYPERLINK("https://api.qogita.com/variants/link/3386460141253/", "View Product")</f>
        <v/>
      </c>
    </row>
    <row r="23169">
      <c r="A23169" t="inlineStr">
        <is>
          <t>3386460141277</t>
        </is>
      </c>
      <c r="B23169" t="inlineStr">
        <is>
          <t>Coach Green Man Eau De Toilette Spray 30ml</t>
        </is>
      </c>
      <c r="C23169" t="inlineStr">
        <is>
          <t>Eau De Toilette</t>
        </is>
      </c>
      <c r="D23169" t="inlineStr">
        <is>
          <t>Coach</t>
        </is>
      </c>
      <c r="E23169" t="n">
        <v>16.49</v>
      </c>
      <c r="F23169" t="n">
        <v>1</v>
      </c>
      <c r="G23169" t="n">
        <v>27</v>
      </c>
      <c r="H23169" s="5">
        <f>HYPERLINK("https://api.qogita.com/variants/link/3386460141277/", "View Product")</f>
        <v/>
      </c>
    </row>
    <row r="23170">
      <c r="A23170" t="inlineStr">
        <is>
          <t>3386460143288</t>
        </is>
      </c>
      <c r="B23170" t="inlineStr">
        <is>
          <t>Mont Blanc Patchouli Ink Eau De Parfum</t>
        </is>
      </c>
      <c r="C23170" t="inlineStr">
        <is>
          <t>Eau De Parfum</t>
        </is>
      </c>
      <c r="D23170" t="inlineStr">
        <is>
          <t>Montblanc</t>
        </is>
      </c>
      <c r="E23170" t="n">
        <v>73.09999999999999</v>
      </c>
      <c r="F23170" t="n">
        <v>1</v>
      </c>
      <c r="G23170" t="n">
        <v>5</v>
      </c>
      <c r="H23170" s="5">
        <f>HYPERLINK("https://api.qogita.com/variants/link/3386460143288/", "View Product")</f>
        <v/>
      </c>
    </row>
    <row r="23171">
      <c r="A23171" t="inlineStr">
        <is>
          <t>3386460144001</t>
        </is>
      </c>
      <c r="B23171" t="inlineStr">
        <is>
          <t>Rochas Girl Life Perfume Set</t>
        </is>
      </c>
      <c r="C23171" t="inlineStr">
        <is>
          <t>Fragrance Sets</t>
        </is>
      </c>
      <c r="D23171" t="inlineStr">
        <is>
          <t>Rochas</t>
        </is>
      </c>
      <c r="E23171" t="n">
        <v>29.43</v>
      </c>
      <c r="F23171" t="n">
        <v>1</v>
      </c>
      <c r="G23171" t="n">
        <v>108</v>
      </c>
      <c r="H23171" s="5">
        <f>HYPERLINK("https://api.qogita.com/variants/link/3386460144001/", "View Product")</f>
        <v/>
      </c>
    </row>
    <row r="23172">
      <c r="A23172" t="inlineStr">
        <is>
          <t>3386460144247</t>
        </is>
      </c>
      <c r="B23172" t="inlineStr">
        <is>
          <t>Mont Blanc Legend Blue Eau De Parfum Spray 50ml</t>
        </is>
      </c>
      <c r="C23172" t="inlineStr">
        <is>
          <t>Eau De Parfum</t>
        </is>
      </c>
      <c r="D23172" t="inlineStr">
        <is>
          <t>Montblanc</t>
        </is>
      </c>
      <c r="E23172" t="n">
        <v>26.52</v>
      </c>
      <c r="F23172" t="n">
        <v>1</v>
      </c>
      <c r="G23172" t="n">
        <v>6</v>
      </c>
      <c r="H23172" s="5">
        <f>HYPERLINK("https://api.qogita.com/variants/link/3386460144247/", "View Product")</f>
        <v/>
      </c>
    </row>
    <row r="23173">
      <c r="A23173" t="inlineStr">
        <is>
          <t>3386460145060</t>
        </is>
      </c>
      <c r="B23173" t="inlineStr">
        <is>
          <t>Kate Spade Bloom 3.3 Fl Oz</t>
        </is>
      </c>
      <c r="C23173" t="inlineStr">
        <is>
          <t>Eau De Parfum</t>
        </is>
      </c>
      <c r="D23173" t="inlineStr">
        <is>
          <t>Kate Spade New York</t>
        </is>
      </c>
      <c r="E23173" t="n">
        <v>30.35</v>
      </c>
      <c r="F23173" t="n">
        <v>1</v>
      </c>
      <c r="G23173" t="n">
        <v>31</v>
      </c>
      <c r="H23173" s="5">
        <f>HYPERLINK("https://api.qogita.com/variants/link/3386460145060/", "View Product")</f>
        <v/>
      </c>
    </row>
    <row r="23174">
      <c r="A23174" t="inlineStr">
        <is>
          <t>3386460146036</t>
        </is>
      </c>
      <c r="B23174" t="inlineStr">
        <is>
          <t>Karl Lagerfeld Femme Rouge Eau de Parfum 45 ml</t>
        </is>
      </c>
      <c r="C23174" t="inlineStr">
        <is>
          <t>Eau De Parfum</t>
        </is>
      </c>
      <c r="D23174" t="inlineStr">
        <is>
          <t>Lagerfeld</t>
        </is>
      </c>
      <c r="E23174" t="n">
        <v>17.2</v>
      </c>
      <c r="F23174" t="n">
        <v>1</v>
      </c>
      <c r="G23174" t="n">
        <v>33</v>
      </c>
      <c r="H23174" s="5">
        <f>HYPERLINK("https://api.qogita.com/variants/link/3386460146036/", "View Product")</f>
        <v/>
      </c>
    </row>
    <row r="23175">
      <c r="A23175" t="inlineStr">
        <is>
          <t>3386460146395</t>
        </is>
      </c>
      <c r="B23175" t="inlineStr">
        <is>
          <t>Rochas Eau De Rochas Orange Horizon Eau De Toilette Spray 100ml</t>
        </is>
      </c>
      <c r="C23175" t="inlineStr">
        <is>
          <t>Eau De Toilette</t>
        </is>
      </c>
      <c r="D23175" t="inlineStr">
        <is>
          <t>Rochas</t>
        </is>
      </c>
      <c r="E23175" t="n">
        <v>34.19</v>
      </c>
      <c r="F23175" t="n">
        <v>1</v>
      </c>
      <c r="G23175" t="n">
        <v>21</v>
      </c>
      <c r="H23175" s="5">
        <f>HYPERLINK("https://api.qogita.com/variants/link/3386460146395/", "View Product")</f>
        <v/>
      </c>
    </row>
    <row r="23176">
      <c r="A23176" t="inlineStr">
        <is>
          <t>3386460148719</t>
        </is>
      </c>
      <c r="B23176" t="inlineStr">
        <is>
          <t>Jimmy Choo Man Extreme Eau De Parfum 100ml</t>
        </is>
      </c>
      <c r="C23176" t="inlineStr">
        <is>
          <t>Eau De Parfum</t>
        </is>
      </c>
      <c r="D23176" t="inlineStr">
        <is>
          <t>Jimmy Choo</t>
        </is>
      </c>
      <c r="E23176" t="n">
        <v>41.58</v>
      </c>
      <c r="F23176" t="n">
        <v>1</v>
      </c>
      <c r="G23176" t="n">
        <v>3</v>
      </c>
      <c r="H23176" s="5">
        <f>HYPERLINK("https://api.qogita.com/variants/link/3386460148719/", "View Product")</f>
        <v/>
      </c>
    </row>
    <row r="23177">
      <c r="A23177" t="inlineStr">
        <is>
          <t>3386460149082</t>
        </is>
      </c>
      <c r="B23177" t="inlineStr">
        <is>
          <t>Lacoste Eau De Lacoste L1212 Blanc Eau De Toilette Spray 100ml</t>
        </is>
      </c>
      <c r="C23177" t="inlineStr">
        <is>
          <t>Eau De Toilette</t>
        </is>
      </c>
      <c r="D23177" t="inlineStr">
        <is>
          <t>Lacoste</t>
        </is>
      </c>
      <c r="E23177" t="n">
        <v>35.9</v>
      </c>
      <c r="F23177" t="n">
        <v>1</v>
      </c>
      <c r="G23177" t="n">
        <v>22</v>
      </c>
      <c r="H23177" s="5">
        <f>HYPERLINK("https://api.qogita.com/variants/link/3386460149082/", "View Product")</f>
        <v/>
      </c>
    </row>
    <row r="23178">
      <c r="A23178" t="inlineStr">
        <is>
          <t>3386460149105</t>
        </is>
      </c>
      <c r="B23178" t="inlineStr">
        <is>
          <t>Lacoste L1212 Blanc Eau De Toilette Spray 50ml</t>
        </is>
      </c>
      <c r="C23178" t="inlineStr">
        <is>
          <t>Eau De Toilette</t>
        </is>
      </c>
      <c r="D23178" t="inlineStr">
        <is>
          <t>Lacoste</t>
        </is>
      </c>
      <c r="E23178" t="n">
        <v>24.14</v>
      </c>
      <c r="F23178" t="n">
        <v>1</v>
      </c>
      <c r="G23178" t="n">
        <v>10</v>
      </c>
      <c r="H23178" s="5">
        <f>HYPERLINK("https://api.qogita.com/variants/link/3386460149105/", "View Product")</f>
        <v/>
      </c>
    </row>
    <row r="23179">
      <c r="A23179" t="inlineStr">
        <is>
          <t>3386460149112</t>
        </is>
      </c>
      <c r="B23179" t="inlineStr">
        <is>
          <t>Lacoste L1212 Blanc Eau De Toilette Spray 175 Ml For Men</t>
        </is>
      </c>
      <c r="C23179" t="inlineStr">
        <is>
          <t>Eau De Toilette</t>
        </is>
      </c>
      <c r="D23179" t="inlineStr">
        <is>
          <t>Lacoste</t>
        </is>
      </c>
      <c r="E23179" t="n">
        <v>41.96</v>
      </c>
      <c r="F23179" t="n">
        <v>1</v>
      </c>
      <c r="G23179" t="n">
        <v>69</v>
      </c>
      <c r="H23179" s="5">
        <f>HYPERLINK("https://api.qogita.com/variants/link/3386460149112/", "View Product")</f>
        <v/>
      </c>
    </row>
    <row r="23180">
      <c r="A23180" t="inlineStr">
        <is>
          <t>3386460149181</t>
        </is>
      </c>
      <c r="B23180" t="inlineStr">
        <is>
          <t>Lacoste L1212 Noir Eau De Toilette 50 Ml</t>
        </is>
      </c>
      <c r="C23180" t="inlineStr">
        <is>
          <t>Eau De Toilette</t>
        </is>
      </c>
      <c r="D23180" t="inlineStr">
        <is>
          <t>Lacoste</t>
        </is>
      </c>
      <c r="E23180" t="n">
        <v>23.9</v>
      </c>
      <c r="F23180" t="n">
        <v>1</v>
      </c>
      <c r="G23180" t="n">
        <v>11</v>
      </c>
      <c r="H23180" s="5">
        <f>HYPERLINK("https://api.qogita.com/variants/link/3386460149181/", "View Product")</f>
        <v/>
      </c>
    </row>
    <row r="23181">
      <c r="A23181" t="inlineStr">
        <is>
          <t>3386460149198</t>
        </is>
      </c>
      <c r="B23181" t="inlineStr">
        <is>
          <t>Lacoste L1212 Rose Sparkling Eau De Toilette 100ml</t>
        </is>
      </c>
      <c r="C23181" t="inlineStr">
        <is>
          <t>Eau De Toilette</t>
        </is>
      </c>
      <c r="D23181" t="inlineStr">
        <is>
          <t>Lacoste</t>
        </is>
      </c>
      <c r="E23181" t="n">
        <v>31.59</v>
      </c>
      <c r="F23181" t="n">
        <v>1</v>
      </c>
      <c r="G23181" t="n">
        <v>8</v>
      </c>
      <c r="H23181" s="5">
        <f>HYPERLINK("https://api.qogita.com/variants/link/3386460149198/", "View Product")</f>
        <v/>
      </c>
    </row>
    <row r="23182">
      <c r="A23182" t="inlineStr">
        <is>
          <t>3386460149242</t>
        </is>
      </c>
      <c r="B23182" t="inlineStr">
        <is>
          <t>Lacoste L1212 Rose Eau Fraiche 100ml Spray</t>
        </is>
      </c>
      <c r="C23182" t="inlineStr">
        <is>
          <t>Eau De Toilette</t>
        </is>
      </c>
      <c r="D23182" t="inlineStr">
        <is>
          <t>Lacoste</t>
        </is>
      </c>
      <c r="E23182" t="n">
        <v>30.85</v>
      </c>
      <c r="F23182" t="n">
        <v>1</v>
      </c>
      <c r="G23182" t="n">
        <v>83</v>
      </c>
      <c r="H23182" s="5">
        <f>HYPERLINK("https://api.qogita.com/variants/link/3386460149242/", "View Product")</f>
        <v/>
      </c>
    </row>
    <row r="23183">
      <c r="A23183" t="inlineStr">
        <is>
          <t>3386460149266</t>
        </is>
      </c>
      <c r="B23183" t="inlineStr">
        <is>
          <t>Lacoste L1212 Rose Eau Intense Eau De Toilette 100ml</t>
        </is>
      </c>
      <c r="C23183" t="inlineStr">
        <is>
          <t>Eau De Toilette</t>
        </is>
      </c>
      <c r="D23183" t="inlineStr">
        <is>
          <t>Lacoste</t>
        </is>
      </c>
      <c r="E23183" t="n">
        <v>30.4</v>
      </c>
      <c r="F23183" t="n">
        <v>1</v>
      </c>
      <c r="G23183" t="n">
        <v>5</v>
      </c>
      <c r="H23183" s="5">
        <f>HYPERLINK("https://api.qogita.com/variants/link/3386460149266/", "View Product")</f>
        <v/>
      </c>
    </row>
    <row r="23184">
      <c r="A23184" t="inlineStr">
        <is>
          <t>3386460149341</t>
        </is>
      </c>
      <c r="B23184" t="inlineStr">
        <is>
          <t>Lacoste L'Homme Eau De Toilette 50ml A Sophisticated Fragrance For Men</t>
        </is>
      </c>
      <c r="C23184" t="inlineStr">
        <is>
          <t>Eau De Toilette</t>
        </is>
      </c>
      <c r="D23184" t="inlineStr">
        <is>
          <t>Lacoste</t>
        </is>
      </c>
      <c r="E23184" t="n">
        <v>23.96</v>
      </c>
      <c r="F23184" t="n">
        <v>1</v>
      </c>
      <c r="G23184" t="n">
        <v>26</v>
      </c>
      <c r="H23184" s="5">
        <f>HYPERLINK("https://api.qogita.com/variants/link/3386460149341/", "View Product")</f>
        <v/>
      </c>
    </row>
    <row r="23185">
      <c r="A23185" t="inlineStr">
        <is>
          <t>3386460149358</t>
        </is>
      </c>
      <c r="B23185" t="inlineStr">
        <is>
          <t>Lacoste Pour Femme Eau De Parfum 90ml Women's Floral &amp; Woody Fragrance</t>
        </is>
      </c>
      <c r="C23185" t="inlineStr">
        <is>
          <t>Eau De Parfum</t>
        </is>
      </c>
      <c r="D23185" t="inlineStr">
        <is>
          <t>Lacoste</t>
        </is>
      </c>
      <c r="E23185" t="n">
        <v>32.69</v>
      </c>
      <c r="F23185" t="n">
        <v>1</v>
      </c>
      <c r="G23185" t="n">
        <v>6165</v>
      </c>
      <c r="H23185" s="5">
        <f>HYPERLINK("https://api.qogita.com/variants/link/3386460149358/", "View Product")</f>
        <v/>
      </c>
    </row>
    <row r="23186">
      <c r="A23186" t="inlineStr">
        <is>
          <t>3386460149457</t>
        </is>
      </c>
      <c r="B23186" t="inlineStr">
        <is>
          <t>Lacoste Touch Of Pink Eau De Toilette Spray 50ml</t>
        </is>
      </c>
      <c r="C23186" t="inlineStr">
        <is>
          <t>Eau De Toilette</t>
        </is>
      </c>
      <c r="D23186" t="inlineStr">
        <is>
          <t>Lacoste</t>
        </is>
      </c>
      <c r="E23186" t="n">
        <v>20.13</v>
      </c>
      <c r="F23186" t="n">
        <v>1</v>
      </c>
      <c r="G23186" t="n">
        <v>25</v>
      </c>
      <c r="H23186" s="5">
        <f>HYPERLINK("https://api.qogita.com/variants/link/3386460149457/", "View Product")</f>
        <v/>
      </c>
    </row>
    <row r="23187">
      <c r="A23187" t="inlineStr">
        <is>
          <t>3386460149822</t>
        </is>
      </c>
      <c r="B23187" t="inlineStr">
        <is>
          <t>Lagerfeld Ikonik For Women Eau De Parfum</t>
        </is>
      </c>
      <c r="C23187" t="inlineStr">
        <is>
          <t>Eau De Parfum</t>
        </is>
      </c>
      <c r="D23187" t="inlineStr">
        <is>
          <t>Lagerfeld</t>
        </is>
      </c>
      <c r="E23187" t="n">
        <v>28.12</v>
      </c>
      <c r="F23187" t="n">
        <v>1</v>
      </c>
      <c r="G23187" t="n">
        <v>176</v>
      </c>
      <c r="H23187" s="5">
        <f>HYPERLINK("https://api.qogita.com/variants/link/3386460149822/", "View Product")</f>
        <v/>
      </c>
    </row>
    <row r="23188">
      <c r="A23188" t="inlineStr">
        <is>
          <t>3386460149877</t>
        </is>
      </c>
      <c r="B23188" t="inlineStr">
        <is>
          <t>Lagerfeld Ikonik For Men Eau De Parfum</t>
        </is>
      </c>
      <c r="C23188" t="inlineStr">
        <is>
          <t>Eau De Parfum</t>
        </is>
      </c>
      <c r="D23188" t="inlineStr">
        <is>
          <t>Lagerfeld</t>
        </is>
      </c>
      <c r="E23188" t="n">
        <v>28.14</v>
      </c>
      <c r="F23188" t="n">
        <v>1</v>
      </c>
      <c r="G23188" t="n">
        <v>133</v>
      </c>
      <c r="H23188" s="5">
        <f>HYPERLINK("https://api.qogita.com/variants/link/3386460149877/", "View Product")</f>
        <v/>
      </c>
    </row>
    <row r="23189">
      <c r="A23189" t="inlineStr">
        <is>
          <t>3386460150408</t>
        </is>
      </c>
      <c r="B23189" t="inlineStr">
        <is>
          <t>Jimmy Choo Blossom Special Edition Eau De Parfum Spray 40ml</t>
        </is>
      </c>
      <c r="C23189" t="inlineStr">
        <is>
          <t>Eau De Parfum</t>
        </is>
      </c>
      <c r="D23189" t="inlineStr">
        <is>
          <t>Jimmy Choo</t>
        </is>
      </c>
      <c r="E23189" t="n">
        <v>25.7</v>
      </c>
      <c r="F23189" t="n">
        <v>1</v>
      </c>
      <c r="G23189" t="n">
        <v>4</v>
      </c>
      <c r="H23189" s="5">
        <f>HYPERLINK("https://api.qogita.com/variants/link/3386460150408/", "View Product")</f>
        <v/>
      </c>
    </row>
    <row r="23190">
      <c r="A23190" t="inlineStr">
        <is>
          <t>3386460151795</t>
        </is>
      </c>
      <c r="B23190" t="inlineStr">
        <is>
          <t>Lanvin Modern Princess In Jeans Eau De Parfum 90ml</t>
        </is>
      </c>
      <c r="C23190" t="inlineStr">
        <is>
          <t>Eau De Parfum</t>
        </is>
      </c>
      <c r="D23190" t="inlineStr">
        <is>
          <t>Lanvin</t>
        </is>
      </c>
      <c r="E23190" t="n">
        <v>22.2</v>
      </c>
      <c r="F23190" t="n">
        <v>1</v>
      </c>
      <c r="G23190" t="n">
        <v>14</v>
      </c>
      <c r="H23190" s="5">
        <f>HYPERLINK("https://api.qogita.com/variants/link/3386460151795/", "View Product")</f>
        <v/>
      </c>
    </row>
    <row r="23191">
      <c r="A23191" t="inlineStr">
        <is>
          <t>3386460151962</t>
        </is>
      </c>
      <c r="B23191" t="inlineStr">
        <is>
          <t>Coach Dreams Moonlight Eau De Parfum 90ml</t>
        </is>
      </c>
      <c r="C23191" t="inlineStr">
        <is>
          <t>Eau De Parfum</t>
        </is>
      </c>
      <c r="D23191" t="inlineStr">
        <is>
          <t>Coach</t>
        </is>
      </c>
      <c r="E23191" t="n">
        <v>44.03</v>
      </c>
      <c r="F23191" t="n">
        <v>1</v>
      </c>
      <c r="G23191" t="n">
        <v>5</v>
      </c>
      <c r="H23191" s="5">
        <f>HYPERLINK("https://api.qogita.com/variants/link/3386460151962/", "View Product")</f>
        <v/>
      </c>
    </row>
    <row r="23192">
      <c r="A23192" t="inlineStr">
        <is>
          <t>3386460152297</t>
        </is>
      </c>
      <c r="B23192" t="inlineStr">
        <is>
          <t>Rochas Rochas Mademoiselle In Paris Eau De Parfum 90ml</t>
        </is>
      </c>
      <c r="C23192" t="inlineStr">
        <is>
          <t>Eau De Parfum</t>
        </is>
      </c>
      <c r="D23192" t="inlineStr">
        <is>
          <t>Rochas</t>
        </is>
      </c>
      <c r="E23192" t="n">
        <v>40.15</v>
      </c>
      <c r="F23192" t="n">
        <v>1</v>
      </c>
      <c r="G23192" t="n">
        <v>14</v>
      </c>
      <c r="H23192" s="5">
        <f>HYPERLINK("https://api.qogita.com/variants/link/3386460152297/", "View Product")</f>
        <v/>
      </c>
    </row>
    <row r="23193">
      <c r="A23193" t="inlineStr">
        <is>
          <t>3386461539301</t>
        </is>
      </c>
      <c r="B23193" t="inlineStr">
        <is>
          <t>Lanvin Rumeur Eau De Parfum Spray 100ml For Women</t>
        </is>
      </c>
      <c r="C23193" t="inlineStr">
        <is>
          <t>Eau De Parfum</t>
        </is>
      </c>
      <c r="D23193" t="inlineStr">
        <is>
          <t>Lanvin</t>
        </is>
      </c>
      <c r="E23193" t="n">
        <v>19.91</v>
      </c>
      <c r="F23193" t="n">
        <v>1</v>
      </c>
      <c r="G23193" t="n">
        <v>1805</v>
      </c>
      <c r="H23193" s="5">
        <f>HYPERLINK("https://api.qogita.com/variants/link/3386461539301/", "View Product")</f>
        <v/>
      </c>
    </row>
    <row r="23194">
      <c r="A23194" t="inlineStr">
        <is>
          <t>3390150574740</t>
        </is>
      </c>
      <c r="B23194" t="inlineStr">
        <is>
          <t>Payot Morning Masks Winter Is Coming Sheet Mask 19ml</t>
        </is>
      </c>
      <c r="C23194" t="inlineStr">
        <is>
          <t>Sheet Mask</t>
        </is>
      </c>
      <c r="D23194" t="inlineStr">
        <is>
          <t>Payot</t>
        </is>
      </c>
      <c r="E23194" t="n">
        <v>6.34</v>
      </c>
      <c r="F23194" t="n">
        <v>1</v>
      </c>
      <c r="G23194" t="n">
        <v>5</v>
      </c>
      <c r="H23194" s="5">
        <f>HYPERLINK("https://api.qogita.com/variants/link/3390150574740/", "View Product")</f>
        <v/>
      </c>
    </row>
    <row r="23195">
      <c r="A23195" t="inlineStr">
        <is>
          <t>3390150575457</t>
        </is>
      </c>
      <c r="B23195" t="inlineStr">
        <is>
          <t>Payot No 2 Soothing Comforting Rescue Mask 10g Face Mask For Sensitive Skin</t>
        </is>
      </c>
      <c r="C23195" t="inlineStr">
        <is>
          <t>Hydrating Mask</t>
        </is>
      </c>
      <c r="D23195" t="inlineStr">
        <is>
          <t>Payot</t>
        </is>
      </c>
      <c r="E23195" t="n">
        <v>7.1</v>
      </c>
      <c r="F23195" t="n">
        <v>1</v>
      </c>
      <c r="G23195" t="n">
        <v>4</v>
      </c>
      <c r="H23195" s="5">
        <f>HYPERLINK("https://api.qogita.com/variants/link/3390150575457/", "View Product")</f>
        <v/>
      </c>
    </row>
    <row r="23196">
      <c r="A23196" t="inlineStr">
        <is>
          <t>3390150583650</t>
        </is>
      </c>
      <c r="B23196" t="inlineStr">
        <is>
          <t>Payot Nue Cleansing Micellar Water - 100ml</t>
        </is>
      </c>
      <c r="C23196" t="inlineStr">
        <is>
          <t>Micellar Water</t>
        </is>
      </c>
      <c r="D23196" t="inlineStr">
        <is>
          <t>Payot</t>
        </is>
      </c>
      <c r="E23196" t="n">
        <v>7.29</v>
      </c>
      <c r="F23196" t="n">
        <v>1</v>
      </c>
      <c r="G23196" t="n">
        <v>6</v>
      </c>
      <c r="H23196" s="5">
        <f>HYPERLINK("https://api.qogita.com/variants/link/3390150583650/", "View Product")</f>
        <v/>
      </c>
    </row>
    <row r="23197">
      <c r="A23197" t="inlineStr">
        <is>
          <t>3390150583711</t>
        </is>
      </c>
      <c r="B23197" t="inlineStr">
        <is>
          <t>Nue Gentle Toning Mist - Delicate Toning Mist For Face And Eyes, 200ml</t>
        </is>
      </c>
      <c r="C23197" t="inlineStr">
        <is>
          <t>Facial Spray</t>
        </is>
      </c>
      <c r="D23197" t="inlineStr">
        <is>
          <t>Nu</t>
        </is>
      </c>
      <c r="E23197" t="n">
        <v>10.51</v>
      </c>
      <c r="F23197" t="n">
        <v>1</v>
      </c>
      <c r="G23197" t="n">
        <v>4</v>
      </c>
      <c r="H23197" s="5">
        <f>HYPERLINK("https://api.qogita.com/variants/link/3390150583711/", "View Product")</f>
        <v/>
      </c>
    </row>
    <row r="23198">
      <c r="A23198" t="inlineStr">
        <is>
          <t>3390150584176</t>
        </is>
      </c>
      <c r="B23198" t="inlineStr">
        <is>
          <t>Payot Herbier Rollon Eye Fatigue Relief With Flaxseed Oil</t>
        </is>
      </c>
      <c r="C23198" t="inlineStr">
        <is>
          <t>Eye Cream</t>
        </is>
      </c>
      <c r="D23198" t="inlineStr">
        <is>
          <t>Payot</t>
        </is>
      </c>
      <c r="E23198" t="n">
        <v>15.22</v>
      </c>
      <c r="F23198" t="n">
        <v>1</v>
      </c>
      <c r="G23198" t="n">
        <v>2</v>
      </c>
      <c r="H23198" s="5">
        <f>HYPERLINK("https://api.qogita.com/variants/link/3390150584176/", "View Product")</f>
        <v/>
      </c>
    </row>
    <row r="23199">
      <c r="A23199" t="inlineStr">
        <is>
          <t>3390150585593</t>
        </is>
      </c>
      <c r="B23199" t="inlineStr">
        <is>
          <t>Payot N2 Soothing Cashmere Cream 50ml Soothing Cream For Sensitive Skin</t>
        </is>
      </c>
      <c r="C23199" t="inlineStr">
        <is>
          <t>Face Cream</t>
        </is>
      </c>
      <c r="D23199" t="inlineStr">
        <is>
          <t>Payot</t>
        </is>
      </c>
      <c r="E23199" t="n">
        <v>23.62</v>
      </c>
      <c r="F23199" t="n">
        <v>1</v>
      </c>
      <c r="G23199" t="n">
        <v>5</v>
      </c>
      <c r="H23199" s="5">
        <f>HYPERLINK("https://api.qogita.com/variants/link/3390150585593/", "View Product")</f>
        <v/>
      </c>
    </row>
    <row r="23200">
      <c r="A23200" t="inlineStr">
        <is>
          <t>3390150585937</t>
        </is>
      </c>
      <c r="B23200" t="inlineStr">
        <is>
          <t>Payot Roselift Eye Lifting Cream 15ml</t>
        </is>
      </c>
      <c r="C23200" t="inlineStr">
        <is>
          <t>Eye Cream</t>
        </is>
      </c>
      <c r="D23200" t="inlineStr">
        <is>
          <t>Payot</t>
        </is>
      </c>
      <c r="E23200" t="n">
        <v>28.18</v>
      </c>
      <c r="F23200" t="n">
        <v>1</v>
      </c>
      <c r="G23200" t="n">
        <v>5</v>
      </c>
      <c r="H23200" s="5">
        <f>HYPERLINK("https://api.qogita.com/variants/link/3390150585937/", "View Product")</f>
        <v/>
      </c>
    </row>
    <row r="23201">
      <c r="A23201" t="inlineStr">
        <is>
          <t>3390150586149</t>
        </is>
      </c>
      <c r="B23201" t="inlineStr">
        <is>
          <t>Payot Supreme Youth Hand Cream - 50ml</t>
        </is>
      </c>
      <c r="C23201" t="inlineStr">
        <is>
          <t>Hand Cream</t>
        </is>
      </c>
      <c r="D23201" t="inlineStr">
        <is>
          <t>Payot</t>
        </is>
      </c>
      <c r="E23201" t="n">
        <v>17.22</v>
      </c>
      <c r="F23201" t="n">
        <v>1</v>
      </c>
      <c r="G23201" t="n">
        <v>3</v>
      </c>
      <c r="H23201" s="5">
        <f>HYPERLINK("https://api.qogita.com/variants/link/3390150586149/", "View Product")</f>
        <v/>
      </c>
    </row>
    <row r="23202">
      <c r="A23202" t="inlineStr">
        <is>
          <t>3390150586170</t>
        </is>
      </c>
      <c r="B23202" t="inlineStr">
        <is>
          <t>Payot Suprme Jeunesse Le Soin Proge 50ml Supreme Fortifying Proage Cream</t>
        </is>
      </c>
      <c r="C23202" t="inlineStr">
        <is>
          <t>Anti-Aging Facial Care</t>
        </is>
      </c>
      <c r="D23202" t="inlineStr">
        <is>
          <t>Payot</t>
        </is>
      </c>
      <c r="E23202" t="n">
        <v>81.98</v>
      </c>
      <c r="F23202" t="n">
        <v>1</v>
      </c>
      <c r="G23202" t="n">
        <v>13</v>
      </c>
      <c r="H23202" s="5">
        <f>HYPERLINK("https://api.qogita.com/variants/link/3390150586170/", "View Product")</f>
        <v/>
      </c>
    </row>
    <row r="23203">
      <c r="A23203" t="inlineStr">
        <is>
          <t>3390150586200</t>
        </is>
      </c>
      <c r="B23203" t="inlineStr">
        <is>
          <t>Payot Meltinbody Cream Scrub 200 Ml Exfoliating Body Peeling</t>
        </is>
      </c>
      <c r="C23203" t="inlineStr">
        <is>
          <t>Body Scrub &amp; Peeling</t>
        </is>
      </c>
      <c r="D23203" t="inlineStr">
        <is>
          <t>Payot</t>
        </is>
      </c>
      <c r="E23203" t="n">
        <v>16.57</v>
      </c>
      <c r="F23203" t="n">
        <v>1</v>
      </c>
      <c r="G23203" t="n">
        <v>8</v>
      </c>
      <c r="H23203" s="5">
        <f>HYPERLINK("https://api.qogita.com/variants/link/3390150586200/", "View Product")</f>
        <v/>
      </c>
    </row>
    <row r="23204">
      <c r="A23204" t="inlineStr">
        <is>
          <t>3390150586248</t>
        </is>
      </c>
      <c r="B23204" t="inlineStr">
        <is>
          <t>Payot Rituel Douceur Moisturising Body Lotion 400ml</t>
        </is>
      </c>
      <c r="C23204" t="inlineStr">
        <is>
          <t>Body Lotion</t>
        </is>
      </c>
      <c r="D23204" t="inlineStr">
        <is>
          <t>Payot</t>
        </is>
      </c>
      <c r="E23204" t="n">
        <v>20.13</v>
      </c>
      <c r="F23204" t="n">
        <v>1</v>
      </c>
      <c r="G23204" t="n">
        <v>37</v>
      </c>
      <c r="H23204" s="5">
        <f>HYPERLINK("https://api.qogita.com/variants/link/3390150586248/", "View Product")</f>
        <v/>
      </c>
    </row>
    <row r="23205">
      <c r="A23205" t="inlineStr">
        <is>
          <t>3390150586279</t>
        </is>
      </c>
      <c r="B23205" t="inlineStr">
        <is>
          <t>Payot Relaxing Shower Oil 400 Ml</t>
        </is>
      </c>
      <c r="C23205" t="inlineStr">
        <is>
          <t>Shower Oil</t>
        </is>
      </c>
      <c r="D23205" t="inlineStr">
        <is>
          <t>Payot</t>
        </is>
      </c>
      <c r="E23205" t="n">
        <v>22.93</v>
      </c>
      <c r="F23205" t="n">
        <v>1</v>
      </c>
      <c r="G23205" t="n">
        <v>5</v>
      </c>
      <c r="H23205" s="5">
        <f>HYPERLINK("https://api.qogita.com/variants/link/3390150586279/", "View Product")</f>
        <v/>
      </c>
    </row>
    <row r="23206">
      <c r="A23206" t="inlineStr">
        <is>
          <t>3390150587290</t>
        </is>
      </c>
      <c r="B23206" t="inlineStr">
        <is>
          <t>Payot Advent Calendar 2023 Beauty</t>
        </is>
      </c>
      <c r="C23206" t="inlineStr">
        <is>
          <t>Facial Care Sets</t>
        </is>
      </c>
      <c r="D23206" t="inlineStr">
        <is>
          <t>Payot</t>
        </is>
      </c>
      <c r="E23206" t="n">
        <v>67.40000000000001</v>
      </c>
      <c r="F23206" t="n">
        <v>1</v>
      </c>
      <c r="G23206" t="n">
        <v>5</v>
      </c>
      <c r="H23206" s="5">
        <f>HYPERLINK("https://api.qogita.com/variants/link/3390150587290/", "View Product")</f>
        <v/>
      </c>
    </row>
    <row r="23207">
      <c r="A23207" t="inlineStr">
        <is>
          <t>3390150587672</t>
        </is>
      </c>
      <c r="B23207" t="inlineStr">
        <is>
          <t>Payot Deodorant Spray Fraicheur 125ml 48h Antiperspirant Deodorant Spray</t>
        </is>
      </c>
      <c r="C23207" t="inlineStr">
        <is>
          <t>Deodorant &amp; Anti-Perspirant</t>
        </is>
      </c>
      <c r="D23207" t="inlineStr">
        <is>
          <t>Payot</t>
        </is>
      </c>
      <c r="E23207" t="n">
        <v>15.06</v>
      </c>
      <c r="F23207" t="n">
        <v>1</v>
      </c>
      <c r="G23207" t="n">
        <v>4</v>
      </c>
      <c r="H23207" s="5">
        <f>HYPERLINK("https://api.qogita.com/variants/link/3390150587672/", "View Product")</f>
        <v/>
      </c>
    </row>
    <row r="23208">
      <c r="A23208" t="inlineStr">
        <is>
          <t>3390150587788</t>
        </is>
      </c>
      <c r="B23208" t="inlineStr">
        <is>
          <t>Payot Essentiel Gentle Biomefriendly Shampoo 280 Ml</t>
        </is>
      </c>
      <c r="C23208" t="inlineStr">
        <is>
          <t>Shampoo</t>
        </is>
      </c>
      <c r="D23208" t="inlineStr">
        <is>
          <t>Payot</t>
        </is>
      </c>
      <c r="E23208" t="n">
        <v>20.96</v>
      </c>
      <c r="F23208" t="n">
        <v>1</v>
      </c>
      <c r="G23208" t="n">
        <v>5</v>
      </c>
      <c r="H23208" s="5">
        <f>HYPERLINK("https://api.qogita.com/variants/link/3390150587788/", "View Product")</f>
        <v/>
      </c>
    </row>
    <row r="23209">
      <c r="A23209" t="inlineStr">
        <is>
          <t>3390150587795</t>
        </is>
      </c>
      <c r="B23209" t="inlineStr">
        <is>
          <t>Payot Essentiel Biomefriendly Solid Shampoo 80g</t>
        </is>
      </c>
      <c r="C23209" t="inlineStr">
        <is>
          <t>Shampoo</t>
        </is>
      </c>
      <c r="D23209" t="inlineStr">
        <is>
          <t>Payot</t>
        </is>
      </c>
      <c r="E23209" t="n">
        <v>11.77</v>
      </c>
      <c r="F23209" t="n">
        <v>1</v>
      </c>
      <c r="G23209" t="n">
        <v>8</v>
      </c>
      <c r="H23209" s="5">
        <f>HYPERLINK("https://api.qogita.com/variants/link/3390150587795/", "View Product")</f>
        <v/>
      </c>
    </row>
    <row r="23210">
      <c r="A23210" t="inlineStr">
        <is>
          <t>3390150587801</t>
        </is>
      </c>
      <c r="B23210" t="inlineStr">
        <is>
          <t>Payot Essentiel Biome Friendly Conditioner 150 Ml</t>
        </is>
      </c>
      <c r="C23210" t="inlineStr">
        <is>
          <t>Conditioner</t>
        </is>
      </c>
      <c r="D23210" t="inlineStr">
        <is>
          <t>Payot</t>
        </is>
      </c>
      <c r="E23210" t="n">
        <v>13.69</v>
      </c>
      <c r="F23210" t="n">
        <v>1</v>
      </c>
      <c r="G23210" t="n">
        <v>3</v>
      </c>
      <c r="H23210" s="5">
        <f>HYPERLINK("https://api.qogita.com/variants/link/3390150587801/", "View Product")</f>
        <v/>
      </c>
    </row>
    <row r="23211">
      <c r="A23211" t="inlineStr">
        <is>
          <t>3390150588297</t>
        </is>
      </c>
      <c r="B23211" t="inlineStr">
        <is>
          <t>Payot Nue Makeup Remover Stick 50g For Face Eyes And Lips</t>
        </is>
      </c>
      <c r="C23211" t="inlineStr">
        <is>
          <t>Makeup Remover</t>
        </is>
      </c>
      <c r="D23211" t="inlineStr">
        <is>
          <t>Payot</t>
        </is>
      </c>
      <c r="E23211" t="n">
        <v>13.41</v>
      </c>
      <c r="F23211" t="n">
        <v>1</v>
      </c>
      <c r="G23211" t="n">
        <v>4</v>
      </c>
      <c r="H23211" s="5">
        <f>HYPERLINK("https://api.qogita.com/variants/link/3390150588297/", "View Product")</f>
        <v/>
      </c>
    </row>
    <row r="23212">
      <c r="A23212" t="inlineStr">
        <is>
          <t>3390150588631</t>
        </is>
      </c>
      <c r="B23212" t="inlineStr">
        <is>
          <t>Payot Pte Grise Speciale 5 Drying Gel 15ml Antiacne Treatment</t>
        </is>
      </c>
      <c r="C23212" t="inlineStr">
        <is>
          <t>Pimple &amp; Blackhead Treatments</t>
        </is>
      </c>
      <c r="D23212" t="inlineStr">
        <is>
          <t>Payot</t>
        </is>
      </c>
      <c r="E23212" t="n">
        <v>11.52</v>
      </c>
      <c r="F23212" t="n">
        <v>1</v>
      </c>
      <c r="G23212" t="n">
        <v>3</v>
      </c>
      <c r="H23212" s="5">
        <f>HYPERLINK("https://api.qogita.com/variants/link/3390150588631/", "View Product")</f>
        <v/>
      </c>
    </row>
    <row r="23213">
      <c r="A23213" t="inlineStr">
        <is>
          <t>3390150588648</t>
        </is>
      </c>
      <c r="B23213" t="inlineStr">
        <is>
          <t>Payot Pate Grise Cleansing Gel-Cream Against Blackheads 30ml</t>
        </is>
      </c>
      <c r="C23213" t="inlineStr">
        <is>
          <t>Cleansing Gel</t>
        </is>
      </c>
      <c r="D23213" t="inlineStr">
        <is>
          <t>Payot</t>
        </is>
      </c>
      <c r="E23213" t="n">
        <v>21.94</v>
      </c>
      <c r="F23213" t="n">
        <v>1</v>
      </c>
      <c r="G23213" t="n">
        <v>4</v>
      </c>
      <c r="H23213" s="5">
        <f>HYPERLINK("https://api.qogita.com/variants/link/3390150588648/", "View Product")</f>
        <v/>
      </c>
    </row>
    <row r="23214">
      <c r="A23214" t="inlineStr">
        <is>
          <t>3390150590351</t>
        </is>
      </c>
      <c r="B23214" t="inlineStr">
        <is>
          <t>Payot Source Mask Moisturizing 50ml</t>
        </is>
      </c>
      <c r="C23214" t="inlineStr">
        <is>
          <t>Hydrating Mask</t>
        </is>
      </c>
      <c r="D23214" t="inlineStr">
        <is>
          <t>Payot</t>
        </is>
      </c>
      <c r="E23214" t="n">
        <v>21.05</v>
      </c>
      <c r="F23214" t="n">
        <v>1</v>
      </c>
      <c r="G23214" t="n">
        <v>14</v>
      </c>
      <c r="H23214" s="5">
        <f>HYPERLINK("https://api.qogita.com/variants/link/3390150590351/", "View Product")</f>
        <v/>
      </c>
    </row>
    <row r="23215">
      <c r="A23215" t="inlineStr">
        <is>
          <t>3390150590788</t>
        </is>
      </c>
      <c r="B23215" t="inlineStr">
        <is>
          <t>Payot Nue Radianceboosting Toning Lotion 400 Ml</t>
        </is>
      </c>
      <c r="C23215" t="inlineStr">
        <is>
          <t>Facial Spray</t>
        </is>
      </c>
      <c r="D23215" t="inlineStr">
        <is>
          <t>Payot</t>
        </is>
      </c>
      <c r="E23215" t="n">
        <v>19.65</v>
      </c>
      <c r="F23215" t="n">
        <v>1</v>
      </c>
      <c r="G23215" t="n">
        <v>15</v>
      </c>
      <c r="H23215" s="5">
        <f>HYPERLINK("https://api.qogita.com/variants/link/3390150590788/", "View Product")</f>
        <v/>
      </c>
    </row>
    <row r="23216">
      <c r="A23216" t="inlineStr">
        <is>
          <t>3390150590801</t>
        </is>
      </c>
      <c r="B23216" t="inlineStr">
        <is>
          <t>Payot Optimale Mens Care Ritual Set Gift Set For Men</t>
        </is>
      </c>
      <c r="C23216" t="inlineStr">
        <is>
          <t>Facial Care Sets</t>
        </is>
      </c>
      <c r="D23216" t="inlineStr">
        <is>
          <t>Payot</t>
        </is>
      </c>
      <c r="E23216" t="n">
        <v>33.44</v>
      </c>
      <c r="F23216" t="n">
        <v>1</v>
      </c>
      <c r="G23216" t="n">
        <v>4</v>
      </c>
      <c r="H23216" s="5">
        <f>HYPERLINK("https://api.qogita.com/variants/link/3390150590801/", "View Product")</f>
        <v/>
      </c>
    </row>
    <row r="23217">
      <c r="A23217" t="inlineStr">
        <is>
          <t>3390150590863</t>
        </is>
      </c>
      <c r="B23217" t="inlineStr">
        <is>
          <t>Payot Nue Cleansing Micellar Milk 400ml</t>
        </is>
      </c>
      <c r="C23217" t="inlineStr">
        <is>
          <t>Cleansing Milk</t>
        </is>
      </c>
      <c r="D23217" t="inlineStr">
        <is>
          <t>Payot</t>
        </is>
      </c>
      <c r="E23217" t="n">
        <v>21.63</v>
      </c>
      <c r="F23217" t="n">
        <v>1</v>
      </c>
      <c r="G23217" t="n">
        <v>3</v>
      </c>
      <c r="H23217" s="5">
        <f>HYPERLINK("https://api.qogita.com/variants/link/3390150590863/", "View Product")</f>
        <v/>
      </c>
    </row>
    <row r="23218">
      <c r="A23218" t="inlineStr">
        <is>
          <t>3390150590979</t>
        </is>
      </c>
      <c r="B23218" t="inlineStr">
        <is>
          <t>Payot Payot Lisse Lissante Rides Cream 50ml Set</t>
        </is>
      </c>
      <c r="C23218" t="inlineStr">
        <is>
          <t>Facial Care Sets</t>
        </is>
      </c>
      <c r="D23218" t="inlineStr">
        <is>
          <t>Payot</t>
        </is>
      </c>
      <c r="E23218" t="n">
        <v>40.97</v>
      </c>
      <c r="F23218" t="n">
        <v>1</v>
      </c>
      <c r="G23218" t="n">
        <v>7</v>
      </c>
      <c r="H23218" s="5">
        <f>HYPERLINK("https://api.qogita.com/variants/link/3390150590979/", "View Product")</f>
        <v/>
      </c>
    </row>
    <row r="23219">
      <c r="A23219" t="inlineStr">
        <is>
          <t>3390150591747</t>
        </is>
      </c>
      <c r="B23219" t="inlineStr">
        <is>
          <t>Payot My Payot Vitamin C Radiance Serum 30ml Brightening Serum With Vitamin C For All Skin Types</t>
        </is>
      </c>
      <c r="C23219" t="inlineStr">
        <is>
          <t>Vitamin Serum</t>
        </is>
      </c>
      <c r="D23219" t="inlineStr">
        <is>
          <t>Payot</t>
        </is>
      </c>
      <c r="E23219" t="n">
        <v>28.5</v>
      </c>
      <c r="F23219" t="n">
        <v>1</v>
      </c>
      <c r="G23219" t="n">
        <v>8</v>
      </c>
      <c r="H23219" s="5">
        <f>HYPERLINK("https://api.qogita.com/variants/link/3390150591747/", "View Product")</f>
        <v/>
      </c>
    </row>
    <row r="23220">
      <c r="A23220" t="inlineStr">
        <is>
          <t>3390150591761</t>
        </is>
      </c>
      <c r="B23220" t="inlineStr">
        <is>
          <t>Payot My Payot Healthy Glow Radiance Oil 30 Ml Brightening Skin Oil</t>
        </is>
      </c>
      <c r="C23220" t="inlineStr">
        <is>
          <t>Glow Serum</t>
        </is>
      </c>
      <c r="D23220" t="inlineStr">
        <is>
          <t>Payot</t>
        </is>
      </c>
      <c r="E23220" t="n">
        <v>19.19</v>
      </c>
      <c r="F23220" t="n">
        <v>1</v>
      </c>
      <c r="G23220" t="n">
        <v>5</v>
      </c>
      <c r="H23220" s="5">
        <f>HYPERLINK("https://api.qogita.com/variants/link/3390150591761/", "View Product")</f>
        <v/>
      </c>
    </row>
    <row r="23221">
      <c r="A23221" t="inlineStr">
        <is>
          <t>3390150592485</t>
        </is>
      </c>
      <c r="B23221" t="inlineStr">
        <is>
          <t>Payot Pates Grise Purifying Balancing Mask 75ml</t>
        </is>
      </c>
      <c r="C23221" t="inlineStr">
        <is>
          <t>Purifying Mask</t>
        </is>
      </c>
      <c r="D23221" t="inlineStr">
        <is>
          <t>Payot</t>
        </is>
      </c>
      <c r="E23221" t="n">
        <v>20.3</v>
      </c>
      <c r="F23221" t="n">
        <v>1</v>
      </c>
      <c r="G23221" t="n">
        <v>2</v>
      </c>
      <c r="H23221" s="5">
        <f>HYPERLINK("https://api.qogita.com/variants/link/3390150592485/", "View Product")</f>
        <v/>
      </c>
    </row>
    <row r="23222">
      <c r="A23222" t="inlineStr">
        <is>
          <t>3390150593284</t>
        </is>
      </c>
      <c r="B23222" t="inlineStr">
        <is>
          <t>Payot Neroli D'Été Body Milk 200ml</t>
        </is>
      </c>
      <c r="C23222" t="inlineStr">
        <is>
          <t>Body Lotion</t>
        </is>
      </c>
      <c r="D23222" t="inlineStr">
        <is>
          <t>Payot</t>
        </is>
      </c>
      <c r="E23222" t="n">
        <v>19.33</v>
      </c>
      <c r="F23222" t="n">
        <v>1</v>
      </c>
      <c r="G23222" t="n">
        <v>14</v>
      </c>
      <c r="H23222" s="5">
        <f>HYPERLINK("https://api.qogita.com/variants/link/3390150593284/", "View Product")</f>
        <v/>
      </c>
    </row>
    <row r="23223">
      <c r="A23223" t="inlineStr">
        <is>
          <t>3390150595318</t>
        </is>
      </c>
      <c r="B23223" t="inlineStr">
        <is>
          <t>Payot My Payot Vitamin Rich Radiance Cream 50ml</t>
        </is>
      </c>
      <c r="C23223" t="inlineStr">
        <is>
          <t>Day Cream</t>
        </is>
      </c>
      <c r="D23223" t="inlineStr">
        <is>
          <t>Payot</t>
        </is>
      </c>
      <c r="E23223" t="n">
        <v>21.1</v>
      </c>
      <c r="F23223" t="n">
        <v>1</v>
      </c>
      <c r="G23223" t="n">
        <v>9</v>
      </c>
      <c r="H23223" s="5">
        <f>HYPERLINK("https://api.qogita.com/variants/link/3390150595318/", "View Product")</f>
        <v/>
      </c>
    </row>
    <row r="23224">
      <c r="A23224" t="inlineStr">
        <is>
          <t>3392865074171</t>
        </is>
      </c>
      <c r="B23224" t="inlineStr">
        <is>
          <t>Jacomo De Jacomo In White Eau De Toilette Spray 100ml</t>
        </is>
      </c>
      <c r="C23224" t="inlineStr">
        <is>
          <t>Eau De Toilette</t>
        </is>
      </c>
      <c r="D23224" t="inlineStr">
        <is>
          <t>Jacomo</t>
        </is>
      </c>
      <c r="E23224" t="n">
        <v>18.31</v>
      </c>
      <c r="F23224" t="n">
        <v>1</v>
      </c>
      <c r="G23224" t="n">
        <v>9</v>
      </c>
      <c r="H23224" s="5">
        <f>HYPERLINK("https://api.qogita.com/variants/link/3392865074171/", "View Product")</f>
        <v/>
      </c>
    </row>
    <row r="23225">
      <c r="A23225" t="inlineStr">
        <is>
          <t>3392865241160</t>
        </is>
      </c>
      <c r="B23225" t="inlineStr">
        <is>
          <t>Jacomo Night Bloom for Women EDP Spray 50ml</t>
        </is>
      </c>
      <c r="C23225" t="inlineStr">
        <is>
          <t>Eau De Parfum</t>
        </is>
      </c>
      <c r="D23225" t="inlineStr">
        <is>
          <t>Corine de Farme</t>
        </is>
      </c>
      <c r="E23225" t="n">
        <v>10.84</v>
      </c>
      <c r="F23225" t="n">
        <v>1</v>
      </c>
      <c r="G23225" t="n">
        <v>9</v>
      </c>
      <c r="H23225" s="5">
        <f>HYPERLINK("https://api.qogita.com/variants/link/3392865241160/", "View Product")</f>
        <v/>
      </c>
    </row>
    <row r="23226">
      <c r="A23226" t="inlineStr">
        <is>
          <t>3392865441201</t>
        </is>
      </c>
      <c r="B23226" t="inlineStr">
        <is>
          <t>Korloff Lady Eau de Parfum 88ml</t>
        </is>
      </c>
      <c r="C23226" t="inlineStr">
        <is>
          <t>Eau De Parfum</t>
        </is>
      </c>
      <c r="D23226" t="inlineStr">
        <is>
          <t>Korloff</t>
        </is>
      </c>
      <c r="E23226" t="n">
        <v>23.35</v>
      </c>
      <c r="F23226" t="n">
        <v>1</v>
      </c>
      <c r="G23226" t="n">
        <v>8</v>
      </c>
      <c r="H23226" s="5">
        <f>HYPERLINK("https://api.qogita.com/variants/link/3392865441201/", "View Product")</f>
        <v/>
      </c>
    </row>
    <row r="23227">
      <c r="A23227" t="inlineStr">
        <is>
          <t>3401343613730</t>
        </is>
      </c>
      <c r="B23227" t="inlineStr">
        <is>
          <t>Bioderma Hydrabio Moisturising Mask 75 Ml For Sensitive Dehydrated And Tired Skin</t>
        </is>
      </c>
      <c r="C23227" t="inlineStr">
        <is>
          <t>Hydrating Mask</t>
        </is>
      </c>
      <c r="D23227" t="inlineStr">
        <is>
          <t>Bioderma</t>
        </is>
      </c>
      <c r="E23227" t="n">
        <v>18.58</v>
      </c>
      <c r="F23227" t="n">
        <v>1</v>
      </c>
      <c r="G23227" t="n">
        <v>11</v>
      </c>
      <c r="H23227" s="5">
        <f>HYPERLINK("https://api.qogita.com/variants/link/3401343613730/", "View Product")</f>
        <v/>
      </c>
    </row>
    <row r="23228">
      <c r="A23228" t="inlineStr">
        <is>
          <t>3401345060150</t>
        </is>
      </c>
      <c r="B23228" t="inlineStr">
        <is>
          <t>Bioderma Node Nondetergent Fluid Shampoo Gentle Shampoo For Daily Use 200 Ml</t>
        </is>
      </c>
      <c r="C23228" t="inlineStr">
        <is>
          <t>Shampoo</t>
        </is>
      </c>
      <c r="D23228" t="inlineStr">
        <is>
          <t>Bioderma</t>
        </is>
      </c>
      <c r="E23228" t="n">
        <v>11.77</v>
      </c>
      <c r="F23228" t="n">
        <v>1</v>
      </c>
      <c r="G23228" t="n">
        <v>55</v>
      </c>
      <c r="H23228" s="5">
        <f>HYPERLINK("https://api.qogita.com/variants/link/3401345060150/", "View Product")</f>
        <v/>
      </c>
    </row>
    <row r="23229">
      <c r="A23229" t="inlineStr">
        <is>
          <t>3401346673564</t>
        </is>
      </c>
      <c r="B23229" t="inlineStr">
        <is>
          <t>Bioderma Sensibio Soothing Mask 75 Ml Soothing Moisturizing Mask For Sensitive Skin</t>
        </is>
      </c>
      <c r="C23229" t="inlineStr">
        <is>
          <t>Hydrating Mask</t>
        </is>
      </c>
      <c r="D23229" t="inlineStr">
        <is>
          <t>Bioderma</t>
        </is>
      </c>
      <c r="E23229" t="n">
        <v>10.81</v>
      </c>
      <c r="F23229" t="n">
        <v>1</v>
      </c>
      <c r="G23229" t="n">
        <v>61</v>
      </c>
      <c r="H23229" s="5">
        <f>HYPERLINK("https://api.qogita.com/variants/link/3401346673564/", "View Product")</f>
        <v/>
      </c>
    </row>
    <row r="23230">
      <c r="A23230" t="inlineStr">
        <is>
          <t>3401347869775</t>
        </is>
      </c>
      <c r="B23230" t="inlineStr">
        <is>
          <t>Bioderma Hydrabio Serum Moisturising Concentrate 40ml For Sensitive Very Dehydrated Skin</t>
        </is>
      </c>
      <c r="C23230" t="inlineStr">
        <is>
          <t>Hydrating Serum</t>
        </is>
      </c>
      <c r="D23230" t="inlineStr">
        <is>
          <t>Bioderma</t>
        </is>
      </c>
      <c r="E23230" t="n">
        <v>14.82</v>
      </c>
      <c r="F23230" t="n">
        <v>1</v>
      </c>
      <c r="G23230" t="n">
        <v>15</v>
      </c>
      <c r="H23230" s="5">
        <f>HYPERLINK("https://api.qogita.com/variants/link/3401347869775/", "View Product")</f>
        <v/>
      </c>
    </row>
    <row r="23231">
      <c r="A23231" t="inlineStr">
        <is>
          <t>3401353695146</t>
        </is>
      </c>
      <c r="B23231" t="inlineStr">
        <is>
          <t>Filorga Neocica Universal Repair Care 40ml Local Care For Irritated Skin</t>
        </is>
      </c>
      <c r="C23231" t="inlineStr">
        <is>
          <t>Body Care</t>
        </is>
      </c>
      <c r="D23231" t="inlineStr">
        <is>
          <t>Filorga</t>
        </is>
      </c>
      <c r="E23231" t="n">
        <v>20.77</v>
      </c>
      <c r="F23231" t="n">
        <v>1</v>
      </c>
      <c r="G23231" t="n">
        <v>9</v>
      </c>
      <c r="H23231" s="5">
        <f>HYPERLINK("https://api.qogita.com/variants/link/3401353695146/", "View Product")</f>
        <v/>
      </c>
    </row>
    <row r="23232">
      <c r="A23232" t="inlineStr">
        <is>
          <t>3401360147508</t>
        </is>
      </c>
      <c r="B23232" t="inlineStr">
        <is>
          <t>Bioderma Sebium Global Intensive Purifying Care 30ml</t>
        </is>
      </c>
      <c r="C23232" t="inlineStr">
        <is>
          <t>Face Dermacosmetics Sun Protection</t>
        </is>
      </c>
      <c r="D23232" t="inlineStr">
        <is>
          <t>Bioderma</t>
        </is>
      </c>
      <c r="E23232" t="n">
        <v>10.28</v>
      </c>
      <c r="F23232" t="n">
        <v>1</v>
      </c>
      <c r="G23232" t="n">
        <v>56</v>
      </c>
      <c r="H23232" s="5">
        <f>HYPERLINK("https://api.qogita.com/variants/link/3401360147508/", "View Product")</f>
        <v/>
      </c>
    </row>
    <row r="23233">
      <c r="A23233" t="inlineStr">
        <is>
          <t>3401381332495</t>
        </is>
      </c>
      <c r="B23233" t="inlineStr">
        <is>
          <t>Laboratoires Svr Sebiaclear Micellar Water 400 Ml Purifying Cleansing Micellar Water</t>
        </is>
      </c>
      <c r="C23233" t="inlineStr">
        <is>
          <t>Micellar Water</t>
        </is>
      </c>
      <c r="D23233" t="inlineStr">
        <is>
          <t>Laboratoires Svr</t>
        </is>
      </c>
      <c r="E23233" t="n">
        <v>10.11</v>
      </c>
      <c r="F23233" t="n">
        <v>1</v>
      </c>
      <c r="G23233" t="n">
        <v>2</v>
      </c>
      <c r="H23233" s="5">
        <f>HYPERLINK("https://api.qogita.com/variants/link/3401381332495/", "View Product")</f>
        <v/>
      </c>
    </row>
    <row r="23234">
      <c r="A23234" t="inlineStr">
        <is>
          <t>3401381682361</t>
        </is>
      </c>
      <c r="B23234" t="inlineStr">
        <is>
          <t>Bioderma Sebium Mat Control Shinecontrol Moisturiser 30ml Mattifying Moisturizing Cream Against Skin Shine And Enlarged Pores</t>
        </is>
      </c>
      <c r="C23234" t="inlineStr">
        <is>
          <t>Face Cream</t>
        </is>
      </c>
      <c r="D23234" t="inlineStr">
        <is>
          <t>Bioderma</t>
        </is>
      </c>
      <c r="E23234" t="n">
        <v>12.95</v>
      </c>
      <c r="F23234" t="n">
        <v>1</v>
      </c>
      <c r="G23234" t="n">
        <v>18</v>
      </c>
      <c r="H23234" s="5">
        <f>HYPERLINK("https://api.qogita.com/variants/link/3401381682361/", "View Product")</f>
        <v/>
      </c>
    </row>
    <row r="23235">
      <c r="A23235" t="inlineStr">
        <is>
          <t>3401396936190</t>
        </is>
      </c>
      <c r="B23235" t="inlineStr">
        <is>
          <t>ABC Bioderma Derm Cleansing Milk 500ml</t>
        </is>
      </c>
      <c r="C23235" t="inlineStr">
        <is>
          <t>Cleansing Milk</t>
        </is>
      </c>
      <c r="D23235" t="inlineStr">
        <is>
          <t>Bioderma</t>
        </is>
      </c>
      <c r="E23235" t="n">
        <v>18.4</v>
      </c>
      <c r="F23235" t="n">
        <v>1</v>
      </c>
      <c r="G23235" t="n">
        <v>18</v>
      </c>
      <c r="H23235" s="5">
        <f>HYPERLINK("https://api.qogita.com/variants/link/3401396936190/", "View Product")</f>
        <v/>
      </c>
    </row>
    <row r="23236">
      <c r="A23236" t="inlineStr">
        <is>
          <t>3401396936480</t>
        </is>
      </c>
      <c r="B23236" t="inlineStr">
        <is>
          <t>Abcderm Huile Douceur Relaxing Oil For Children And Infants 200ml</t>
        </is>
      </c>
      <c r="C23236" t="inlineStr">
        <is>
          <t>Baby Cream &amp; Oil</t>
        </is>
      </c>
      <c r="D23236" t="inlineStr">
        <is>
          <t>Abcderm</t>
        </is>
      </c>
      <c r="E23236" t="n">
        <v>17.51</v>
      </c>
      <c r="F23236" t="n">
        <v>1</v>
      </c>
      <c r="G23236" t="n">
        <v>10</v>
      </c>
      <c r="H23236" s="5">
        <f>HYPERLINK("https://api.qogita.com/variants/link/3401396936480/", "View Product")</f>
        <v/>
      </c>
    </row>
    <row r="23237">
      <c r="A23237" t="inlineStr">
        <is>
          <t>3401528519895</t>
        </is>
      </c>
      <c r="B23237" t="inlineStr">
        <is>
          <t>Bioderma Atoderm Shower Oil 200ml</t>
        </is>
      </c>
      <c r="C23237" t="inlineStr">
        <is>
          <t>Shower Oil</t>
        </is>
      </c>
      <c r="D23237" t="inlineStr">
        <is>
          <t>Bioderma</t>
        </is>
      </c>
      <c r="E23237" t="n">
        <v>10.16</v>
      </c>
      <c r="F23237" t="n">
        <v>1</v>
      </c>
      <c r="G23237" t="n">
        <v>3</v>
      </c>
      <c r="H23237" s="5">
        <f>HYPERLINK("https://api.qogita.com/variants/link/3401528519895/", "View Product")</f>
        <v/>
      </c>
    </row>
    <row r="23238">
      <c r="A23238" t="inlineStr">
        <is>
          <t>3401560912807</t>
        </is>
      </c>
      <c r="B23238" t="inlineStr">
        <is>
          <t>Bioderma Atoderm Intensive Foaming Gel 1000ml Moisturizing Shower Gel</t>
        </is>
      </c>
      <c r="C23238" t="inlineStr">
        <is>
          <t>Shower Gel</t>
        </is>
      </c>
      <c r="D23238" t="inlineStr">
        <is>
          <t>Bioderma</t>
        </is>
      </c>
      <c r="E23238" t="n">
        <v>14.5</v>
      </c>
      <c r="F23238" t="n">
        <v>1</v>
      </c>
      <c r="G23238" t="n">
        <v>19</v>
      </c>
      <c r="H23238" s="5">
        <f>HYPERLINK("https://api.qogita.com/variants/link/3401560912807/", "View Product")</f>
        <v/>
      </c>
    </row>
    <row r="23239">
      <c r="A23239" t="inlineStr">
        <is>
          <t>3401575390447</t>
        </is>
      </c>
      <c r="B23239" t="inlineStr">
        <is>
          <t>Bioderma Sensibio H2o Micellar Solution 250ml</t>
        </is>
      </c>
      <c r="C23239" t="inlineStr">
        <is>
          <t>Micellar Water</t>
        </is>
      </c>
      <c r="D23239" t="inlineStr">
        <is>
          <t>Bioderma</t>
        </is>
      </c>
      <c r="E23239" t="n">
        <v>7.08</v>
      </c>
      <c r="F23239" t="n">
        <v>1</v>
      </c>
      <c r="G23239" t="n">
        <v>15</v>
      </c>
      <c r="H23239" s="5">
        <f>HYPERLINK("https://api.qogita.com/variants/link/3401575390447/", "View Product")</f>
        <v/>
      </c>
    </row>
    <row r="23240">
      <c r="A23240" t="inlineStr">
        <is>
          <t>3401577939958</t>
        </is>
      </c>
      <c r="B23240" t="inlineStr">
        <is>
          <t>Bioderma Nod K Shampoo Keratoreducing Antidandruff 150ml</t>
        </is>
      </c>
      <c r="C23240" t="inlineStr">
        <is>
          <t>Shampoo</t>
        </is>
      </c>
      <c r="D23240" t="inlineStr">
        <is>
          <t>Bioderma</t>
        </is>
      </c>
      <c r="E23240" t="n">
        <v>9.98</v>
      </c>
      <c r="F23240" t="n">
        <v>1</v>
      </c>
      <c r="G23240" t="n">
        <v>2</v>
      </c>
      <c r="H23240" s="5">
        <f>HYPERLINK("https://api.qogita.com/variants/link/3401577939958/", "View Product")</f>
        <v/>
      </c>
    </row>
    <row r="23241">
      <c r="A23241" t="inlineStr">
        <is>
          <t>3401578653709</t>
        </is>
      </c>
      <c r="B23241" t="inlineStr">
        <is>
          <t>Bioderma Sebium Foaming Cleansing Gel 200ml Purifying And Foaming Gel For Combination To Oily Skin</t>
        </is>
      </c>
      <c r="C23241" t="inlineStr">
        <is>
          <t>Cleansing Gel</t>
        </is>
      </c>
      <c r="D23241" t="inlineStr">
        <is>
          <t>Bioderma</t>
        </is>
      </c>
      <c r="E23241" t="n">
        <v>6.54</v>
      </c>
      <c r="F23241" t="n">
        <v>1</v>
      </c>
      <c r="G23241" t="n">
        <v>41</v>
      </c>
      <c r="H23241" s="5">
        <f>HYPERLINK("https://api.qogita.com/variants/link/3401578653709/", "View Product")</f>
        <v/>
      </c>
    </row>
    <row r="23242">
      <c r="A23242" t="inlineStr">
        <is>
          <t>3412242503350</t>
        </is>
      </c>
      <c r="B23242" t="inlineStr">
        <is>
          <t>Pret A Porter Original Deodorant 75ml</t>
        </is>
      </c>
      <c r="C23242" t="inlineStr">
        <is>
          <t>Deodorant &amp; Anti-Perspirant</t>
        </is>
      </c>
      <c r="D23242" t="inlineStr">
        <is>
          <t>Coty</t>
        </is>
      </c>
      <c r="E23242" t="n">
        <v>2.62</v>
      </c>
      <c r="F23242" t="n">
        <v>1</v>
      </c>
      <c r="G23242" t="n">
        <v>884</v>
      </c>
      <c r="H23242" s="5">
        <f>HYPERLINK("https://api.qogita.com/variants/link/3412242503350/", "View Product")</f>
        <v/>
      </c>
    </row>
    <row r="23243">
      <c r="A23243" t="inlineStr">
        <is>
          <t>3412242509413</t>
        </is>
      </c>
      <c r="B23243" t="inlineStr">
        <is>
          <t>Nautica Blue Eau de Toilette Spray 50ml</t>
        </is>
      </c>
      <c r="C23243" t="inlineStr">
        <is>
          <t>Eau De Toilette</t>
        </is>
      </c>
      <c r="D23243" t="inlineStr">
        <is>
          <t>Nautica</t>
        </is>
      </c>
      <c r="E23243" t="n">
        <v>8.68</v>
      </c>
      <c r="F23243" t="n">
        <v>1</v>
      </c>
      <c r="G23243" t="n">
        <v>9</v>
      </c>
      <c r="H23243" s="5">
        <f>HYPERLINK("https://api.qogita.com/variants/link/3412242509413/", "View Product")</f>
        <v/>
      </c>
    </row>
    <row r="23244">
      <c r="A23244" t="inlineStr">
        <is>
          <t>3414200010214</t>
        </is>
      </c>
      <c r="B23244" t="inlineStr">
        <is>
          <t>Davidoff Cool Water Shower Gel 150ml For Men</t>
        </is>
      </c>
      <c r="C23244" t="inlineStr">
        <is>
          <t>Shower Gel</t>
        </is>
      </c>
      <c r="D23244" t="inlineStr">
        <is>
          <t>Davidoff</t>
        </is>
      </c>
      <c r="E23244" t="n">
        <v>6.64</v>
      </c>
      <c r="F23244" t="n">
        <v>1</v>
      </c>
      <c r="G23244" t="n">
        <v>50</v>
      </c>
      <c r="H23244" s="5">
        <f>HYPERLINK("https://api.qogita.com/variants/link/3414200010214/", "View Product")</f>
        <v/>
      </c>
    </row>
    <row r="23245">
      <c r="A23245" t="inlineStr">
        <is>
          <t>3414200065047</t>
        </is>
      </c>
      <c r="B23245" t="inlineStr">
        <is>
          <t>Lancaster Eau De Lancaster Body Milk 200ml</t>
        </is>
      </c>
      <c r="C23245" t="inlineStr">
        <is>
          <t>Body Lotion</t>
        </is>
      </c>
      <c r="D23245" t="inlineStr">
        <is>
          <t>Lancaster</t>
        </is>
      </c>
      <c r="E23245" t="n">
        <v>4.42</v>
      </c>
      <c r="F23245" t="n">
        <v>1</v>
      </c>
      <c r="G23245" t="n">
        <v>21</v>
      </c>
      <c r="H23245" s="5">
        <f>HYPERLINK("https://api.qogita.com/variants/link/3414200065047/", "View Product")</f>
        <v/>
      </c>
    </row>
    <row r="23246">
      <c r="A23246" t="inlineStr">
        <is>
          <t>3414200143004</t>
        </is>
      </c>
      <c r="B23246" t="inlineStr">
        <is>
          <t>Jennifer Lopez Love At First Glow Eau De Toilette</t>
        </is>
      </c>
      <c r="C23246" t="inlineStr">
        <is>
          <t>Eau De Toilette</t>
        </is>
      </c>
      <c r="D23246" t="inlineStr">
        <is>
          <t>Jennifer Lopez</t>
        </is>
      </c>
      <c r="E23246" t="n">
        <v>9.06</v>
      </c>
      <c r="F23246" t="n">
        <v>1</v>
      </c>
      <c r="G23246" t="n">
        <v>49</v>
      </c>
      <c r="H23246" s="5">
        <f>HYPERLINK("https://api.qogita.com/variants/link/3414200143004/", "View Product")</f>
        <v/>
      </c>
    </row>
    <row r="23247">
      <c r="A23247" t="inlineStr">
        <is>
          <t>3414200204415</t>
        </is>
      </c>
      <c r="B23247" t="inlineStr">
        <is>
          <t>Davidoff Adventure Eau De Toilette Spray 100ml For Men</t>
        </is>
      </c>
      <c r="C23247" t="inlineStr">
        <is>
          <t>Eau De Toilette</t>
        </is>
      </c>
      <c r="D23247" t="inlineStr">
        <is>
          <t>Davidoff</t>
        </is>
      </c>
      <c r="E23247" t="n">
        <v>19.42</v>
      </c>
      <c r="F23247" t="n">
        <v>1</v>
      </c>
      <c r="G23247" t="n">
        <v>54</v>
      </c>
      <c r="H23247" s="5">
        <f>HYPERLINK("https://api.qogita.com/variants/link/3414200204415/", "View Product")</f>
        <v/>
      </c>
    </row>
    <row r="23248">
      <c r="A23248" t="inlineStr">
        <is>
          <t>3414200380010</t>
        </is>
      </c>
      <c r="B23248" t="inlineStr">
        <is>
          <t>Lancaster Comforting Perfecting Toner 13.4 Ounce</t>
        </is>
      </c>
      <c r="C23248" t="inlineStr">
        <is>
          <t>Facial Spray</t>
        </is>
      </c>
      <c r="D23248" t="inlineStr">
        <is>
          <t>Lancaster</t>
        </is>
      </c>
      <c r="E23248" t="n">
        <v>12.58</v>
      </c>
      <c r="F23248" t="n">
        <v>1</v>
      </c>
      <c r="G23248" t="n">
        <v>32</v>
      </c>
      <c r="H23248" s="5">
        <f>HYPERLINK("https://api.qogita.com/variants/link/3414200380010/", "View Product")</f>
        <v/>
      </c>
    </row>
    <row r="23249">
      <c r="A23249" t="inlineStr">
        <is>
          <t>3414201002683</t>
        </is>
      </c>
      <c r="B23249" t="inlineStr">
        <is>
          <t>Jil Sander Sun Eau De Toilette Spray 75ml For Women</t>
        </is>
      </c>
      <c r="C23249" t="inlineStr">
        <is>
          <t>Eau De Toilette</t>
        </is>
      </c>
      <c r="D23249" t="inlineStr">
        <is>
          <t>Jil Sander</t>
        </is>
      </c>
      <c r="E23249" t="n">
        <v>15.37</v>
      </c>
      <c r="F23249" t="n">
        <v>1</v>
      </c>
      <c r="G23249" t="n">
        <v>52</v>
      </c>
      <c r="H23249" s="5">
        <f>HYPERLINK("https://api.qogita.com/variants/link/3414201002683/", "View Product")</f>
        <v/>
      </c>
    </row>
    <row r="23250">
      <c r="A23250" t="inlineStr">
        <is>
          <t>3414202011769</t>
        </is>
      </c>
      <c r="B23250" t="inlineStr">
        <is>
          <t>Davidoff Cool Water Woman Eau De Toilette Spray 50ml</t>
        </is>
      </c>
      <c r="C23250" t="inlineStr">
        <is>
          <t>Eau De Toilette</t>
        </is>
      </c>
      <c r="D23250" t="inlineStr">
        <is>
          <t>Davidoff</t>
        </is>
      </c>
      <c r="E23250" t="n">
        <v>14.48</v>
      </c>
      <c r="F23250" t="n">
        <v>1</v>
      </c>
      <c r="G23250" t="n">
        <v>7</v>
      </c>
      <c r="H23250" s="5">
        <f>HYPERLINK("https://api.qogita.com/variants/link/3414202011769/", "View Product")</f>
        <v/>
      </c>
    </row>
    <row r="23251">
      <c r="A23251" t="inlineStr">
        <is>
          <t>3414206000059</t>
        </is>
      </c>
      <c r="B23251" t="inlineStr">
        <is>
          <t>Joop Joop Femme Eau De Toilette Spray 100ml Selective Fragrance For Women</t>
        </is>
      </c>
      <c r="C23251" t="inlineStr">
        <is>
          <t>Eau De Toilette</t>
        </is>
      </c>
      <c r="D23251" t="inlineStr">
        <is>
          <t>Joop!</t>
        </is>
      </c>
      <c r="E23251" t="n">
        <v>17.69</v>
      </c>
      <c r="F23251" t="n">
        <v>1</v>
      </c>
      <c r="G23251" t="n">
        <v>27</v>
      </c>
      <c r="H23251" s="5">
        <f>HYPERLINK("https://api.qogita.com/variants/link/3414206000059/", "View Product")</f>
        <v/>
      </c>
    </row>
    <row r="23252">
      <c r="A23252" t="inlineStr">
        <is>
          <t>3414206000165</t>
        </is>
      </c>
      <c r="B23252" t="inlineStr">
        <is>
          <t>Joop Le Bain Eau De Parfum Spray 75ml For Women</t>
        </is>
      </c>
      <c r="C23252" t="inlineStr">
        <is>
          <t>Eau De Parfum</t>
        </is>
      </c>
      <c r="D23252" t="inlineStr">
        <is>
          <t>Joop!</t>
        </is>
      </c>
      <c r="E23252" t="n">
        <v>17.66</v>
      </c>
      <c r="F23252" t="n">
        <v>1</v>
      </c>
      <c r="G23252" t="n">
        <v>128</v>
      </c>
      <c r="H23252" s="5">
        <f>HYPERLINK("https://api.qogita.com/variants/link/3414206000165/", "View Product")</f>
        <v/>
      </c>
    </row>
    <row r="23253">
      <c r="A23253" t="inlineStr">
        <is>
          <t>3423222015800</t>
        </is>
      </c>
      <c r="B23253" t="inlineStr">
        <is>
          <t>Dolce &amp; Gabbana The One Gold for Women 1oz EDP Intense Spray</t>
        </is>
      </c>
      <c r="C23253" t="inlineStr">
        <is>
          <t>Eau De Parfum</t>
        </is>
      </c>
      <c r="D23253" t="inlineStr">
        <is>
          <t>Dolce &amp; Gabbana</t>
        </is>
      </c>
      <c r="E23253" t="n">
        <v>49.16</v>
      </c>
      <c r="F23253" t="n">
        <v>1</v>
      </c>
      <c r="G23253" t="n">
        <v>3</v>
      </c>
      <c r="H23253" s="5">
        <f>HYPERLINK("https://api.qogita.com/variants/link/3423222015800/", "View Product")</f>
        <v/>
      </c>
    </row>
    <row r="23254">
      <c r="A23254" t="inlineStr">
        <is>
          <t>3423222015961</t>
        </is>
      </c>
      <c r="B23254" t="inlineStr">
        <is>
          <t>Dolce &amp; Gabbana Light Blue Forever Eau De Parfum 50ml</t>
        </is>
      </c>
      <c r="C23254" t="inlineStr">
        <is>
          <t>Eau De Parfum</t>
        </is>
      </c>
      <c r="D23254" t="inlineStr">
        <is>
          <t>Dolce &amp; Gabbana</t>
        </is>
      </c>
      <c r="E23254" t="n">
        <v>40.88</v>
      </c>
      <c r="F23254" t="n">
        <v>1</v>
      </c>
      <c r="G23254" t="n">
        <v>13</v>
      </c>
      <c r="H23254" s="5">
        <f>HYPERLINK("https://api.qogita.com/variants/link/3423222015961/", "View Product")</f>
        <v/>
      </c>
    </row>
    <row r="23255">
      <c r="A23255" t="inlineStr">
        <is>
          <t>3423473026396</t>
        </is>
      </c>
      <c r="B23255" t="inlineStr">
        <is>
          <t>Dolce &amp; Gabbana Velvet Desert Oud Eau de Parfum 150ml</t>
        </is>
      </c>
      <c r="C23255" t="inlineStr">
        <is>
          <t>Eau De Parfum</t>
        </is>
      </c>
      <c r="D23255" t="inlineStr">
        <is>
          <t>Dolce &amp; Gabbana</t>
        </is>
      </c>
      <c r="E23255" t="n">
        <v>347.17</v>
      </c>
      <c r="F23255" t="n">
        <v>1</v>
      </c>
      <c r="G23255" t="n">
        <v>3</v>
      </c>
      <c r="H23255" s="5">
        <f>HYPERLINK("https://api.qogita.com/variants/link/3423473026396/", "View Product")</f>
        <v/>
      </c>
    </row>
    <row r="23256">
      <c r="A23256" t="inlineStr">
        <is>
          <t>3423473026785</t>
        </is>
      </c>
      <c r="B23256" t="inlineStr">
        <is>
          <t>Dolce &amp; Gabbana Eau De Toilette Spray 4.2 Oz for Men</t>
        </is>
      </c>
      <c r="C23256" t="inlineStr">
        <is>
          <t>Eau De Toilette</t>
        </is>
      </c>
      <c r="D23256" t="inlineStr">
        <is>
          <t>Dolce &amp; Gabbana</t>
        </is>
      </c>
      <c r="E23256" t="n">
        <v>31.61</v>
      </c>
      <c r="F23256" t="n">
        <v>1</v>
      </c>
      <c r="G23256" t="n">
        <v>250</v>
      </c>
      <c r="H23256" s="5">
        <f>HYPERLINK("https://api.qogita.com/variants/link/3423473026785/", "View Product")</f>
        <v/>
      </c>
    </row>
    <row r="23257">
      <c r="A23257" t="inlineStr">
        <is>
          <t>3423473049463</t>
        </is>
      </c>
      <c r="B23257" t="inlineStr">
        <is>
          <t>Dolce &amp; Gabbana K Eau De Toilette Spray 100ml - Product Without Packaging</t>
        </is>
      </c>
      <c r="C23257" t="inlineStr">
        <is>
          <t>Eau De Toilette</t>
        </is>
      </c>
      <c r="D23257" t="inlineStr">
        <is>
          <t>Dolce &amp; Gabbana</t>
        </is>
      </c>
      <c r="E23257" t="n">
        <v>38.92</v>
      </c>
      <c r="F23257" t="n">
        <v>1</v>
      </c>
      <c r="G23257" t="n">
        <v>3</v>
      </c>
      <c r="H23257" s="5">
        <f>HYPERLINK("https://api.qogita.com/variants/link/3423473049463/", "View Product")</f>
        <v/>
      </c>
    </row>
    <row r="23258">
      <c r="A23258" t="inlineStr">
        <is>
          <t>3423473101253</t>
        </is>
      </c>
      <c r="B23258" t="inlineStr">
        <is>
          <t>Dolce &amp; Gabbana K Eau De Parfum Spray 100ml</t>
        </is>
      </c>
      <c r="C23258" t="inlineStr">
        <is>
          <t>Eau De Parfum</t>
        </is>
      </c>
      <c r="D23258" t="inlineStr">
        <is>
          <t>Dolce &amp; Gabbana</t>
        </is>
      </c>
      <c r="E23258" t="n">
        <v>64.48999999999999</v>
      </c>
      <c r="F23258" t="n">
        <v>1</v>
      </c>
      <c r="G23258" t="n">
        <v>18</v>
      </c>
      <c r="H23258" s="5">
        <f>HYPERLINK("https://api.qogita.com/variants/link/3423473101253/", "View Product")</f>
        <v/>
      </c>
    </row>
    <row r="23259">
      <c r="A23259" t="inlineStr">
        <is>
          <t>3423478642058</t>
        </is>
      </c>
      <c r="B23259" t="inlineStr">
        <is>
          <t>Dolce &amp; Gabbana Dolce Peony Eau De Parfum 75ml Women Spray</t>
        </is>
      </c>
      <c r="C23259" t="inlineStr">
        <is>
          <t>Eau De Parfum</t>
        </is>
      </c>
      <c r="D23259" t="inlineStr">
        <is>
          <t>Dolce &amp; Gabbana</t>
        </is>
      </c>
      <c r="E23259" t="n">
        <v>46.94</v>
      </c>
      <c r="F23259" t="n">
        <v>1</v>
      </c>
      <c r="G23259" t="n">
        <v>29</v>
      </c>
      <c r="H23259" s="5">
        <f>HYPERLINK("https://api.qogita.com/variants/link/3423478642058/", "View Product")</f>
        <v/>
      </c>
    </row>
    <row r="23260">
      <c r="A23260" t="inlineStr">
        <is>
          <t>3423478960756</t>
        </is>
      </c>
      <c r="B23260" t="inlineStr">
        <is>
          <t>Dolce &amp; Gabbana Shinissimo High Shine Lacquer 140 Pink Crush 45 Ml</t>
        </is>
      </c>
      <c r="C23260" t="inlineStr">
        <is>
          <t>Lip Gloss</t>
        </is>
      </c>
      <c r="D23260" t="inlineStr">
        <is>
          <t>Dolce &amp; Gabbana</t>
        </is>
      </c>
      <c r="E23260" t="n">
        <v>27.35</v>
      </c>
      <c r="F23260" t="n">
        <v>1</v>
      </c>
      <c r="G23260" t="n">
        <v>5</v>
      </c>
      <c r="H23260" s="5">
        <f>HYPERLINK("https://api.qogita.com/variants/link/3423478960756/", "View Product")</f>
        <v/>
      </c>
    </row>
    <row r="23261">
      <c r="A23261" t="inlineStr">
        <is>
          <t>3423478961456</t>
        </is>
      </c>
      <c r="B23261" t="inlineStr">
        <is>
          <t>Dolce &amp; Gabbana Shinissimo High Shine Lacquer 410 Coral Lust 45 Ml</t>
        </is>
      </c>
      <c r="C23261" t="inlineStr">
        <is>
          <t>Lip Gloss</t>
        </is>
      </c>
      <c r="D23261" t="inlineStr">
        <is>
          <t>Dolce &amp; Gabbana</t>
        </is>
      </c>
      <c r="E23261" t="n">
        <v>27.38</v>
      </c>
      <c r="F23261" t="n">
        <v>1</v>
      </c>
      <c r="G23261" t="n">
        <v>2</v>
      </c>
      <c r="H23261" s="5">
        <f>HYPERLINK("https://api.qogita.com/variants/link/3423478961456/", "View Product")</f>
        <v/>
      </c>
    </row>
    <row r="23262">
      <c r="A23262" t="inlineStr">
        <is>
          <t>3423478961753</t>
        </is>
      </c>
      <c r="B23262" t="inlineStr">
        <is>
          <t>Dolce &amp; Gabbana Shinissimo High Shine Lacquer Liquid Lipstick 45 Ml</t>
        </is>
      </c>
      <c r="C23262" t="inlineStr">
        <is>
          <t>Lipstick</t>
        </is>
      </c>
      <c r="D23262" t="inlineStr">
        <is>
          <t>Dolce &amp; Gabbana</t>
        </is>
      </c>
      <c r="E23262" t="n">
        <v>29.37</v>
      </c>
      <c r="F23262" t="n">
        <v>1</v>
      </c>
      <c r="G23262" t="n">
        <v>4</v>
      </c>
      <c r="H23262" s="5">
        <f>HYPERLINK("https://api.qogita.com/variants/link/3423478961753/", "View Product")</f>
        <v/>
      </c>
    </row>
    <row r="23263">
      <c r="A23263" t="inlineStr">
        <is>
          <t>3423478961852</t>
        </is>
      </c>
      <c r="B23263" t="inlineStr">
        <is>
          <t>Dolce &amp; Gabbana Shinissimo High Shine Lacquer Liquid Lipstick 45 Ml</t>
        </is>
      </c>
      <c r="C23263" t="inlineStr">
        <is>
          <t>Lipstick</t>
        </is>
      </c>
      <c r="D23263" t="inlineStr">
        <is>
          <t>Dolce &amp; Gabbana</t>
        </is>
      </c>
      <c r="E23263" t="n">
        <v>27.38</v>
      </c>
      <c r="F23263" t="n">
        <v>1</v>
      </c>
      <c r="G23263" t="n">
        <v>5</v>
      </c>
      <c r="H23263" s="5">
        <f>HYPERLINK("https://api.qogita.com/variants/link/3423478961852/", "View Product")</f>
        <v/>
      </c>
    </row>
    <row r="23264">
      <c r="A23264" t="inlineStr">
        <is>
          <t>3423478962057</t>
        </is>
      </c>
      <c r="B23264" t="inlineStr">
        <is>
          <t>Dolce &amp; Gabbana Shinissimo High Shine Lacquer Liquid Lipstick 45 Ml 330 Amethyst</t>
        </is>
      </c>
      <c r="C23264" t="inlineStr">
        <is>
          <t>Lipstick</t>
        </is>
      </c>
      <c r="D23264" t="inlineStr">
        <is>
          <t>Dolce &amp; Gabbana</t>
        </is>
      </c>
      <c r="E23264" t="n">
        <v>27.35</v>
      </c>
      <c r="F23264" t="n">
        <v>1</v>
      </c>
      <c r="G23264" t="n">
        <v>4</v>
      </c>
      <c r="H23264" s="5">
        <f>HYPERLINK("https://api.qogita.com/variants/link/3423478962057/", "View Product")</f>
        <v/>
      </c>
    </row>
    <row r="23265">
      <c r="A23265" t="inlineStr">
        <is>
          <t>3432240026774</t>
        </is>
      </c>
      <c r="B23265" t="inlineStr">
        <is>
          <t>Cartier Baiser Vole Eau De Parfum Vapo 30ml</t>
        </is>
      </c>
      <c r="C23265" t="inlineStr">
        <is>
          <t>Eau De Parfum</t>
        </is>
      </c>
      <c r="D23265" t="inlineStr">
        <is>
          <t>Cartier</t>
        </is>
      </c>
      <c r="E23265" t="n">
        <v>59.31</v>
      </c>
      <c r="F23265" t="n">
        <v>1</v>
      </c>
      <c r="G23265" t="n">
        <v>5</v>
      </c>
      <c r="H23265" s="5">
        <f>HYPERLINK("https://api.qogita.com/variants/link/3432240026774/", "View Product")</f>
        <v/>
      </c>
    </row>
    <row r="23266">
      <c r="A23266" t="inlineStr">
        <is>
          <t>3432240502117</t>
        </is>
      </c>
      <c r="B23266" t="inlineStr">
        <is>
          <t>Cartier Declaration Eau De Toilette Spray 50ml</t>
        </is>
      </c>
      <c r="C23266" t="inlineStr">
        <is>
          <t>Eau De Toilette</t>
        </is>
      </c>
      <c r="D23266" t="inlineStr">
        <is>
          <t>Cartier</t>
        </is>
      </c>
      <c r="E23266" t="n">
        <v>46.53</v>
      </c>
      <c r="F23266" t="n">
        <v>1</v>
      </c>
      <c r="G23266" t="n">
        <v>55</v>
      </c>
      <c r="H23266" s="5">
        <f>HYPERLINK("https://api.qogita.com/variants/link/3432240502117/", "View Product")</f>
        <v/>
      </c>
    </row>
    <row r="23267">
      <c r="A23267" t="inlineStr">
        <is>
          <t>3432240504814</t>
        </is>
      </c>
      <c r="B23267" t="inlineStr">
        <is>
          <t>Cartier Rivieres De Cartier Luxuriance Eau De Toilette Spray 100ml</t>
        </is>
      </c>
      <c r="C23267" t="inlineStr">
        <is>
          <t>Eau De Toilette</t>
        </is>
      </c>
      <c r="D23267" t="inlineStr">
        <is>
          <t>Cartier</t>
        </is>
      </c>
      <c r="E23267" t="n">
        <v>66.28</v>
      </c>
      <c r="F23267" t="n">
        <v>1</v>
      </c>
      <c r="G23267" t="n">
        <v>15</v>
      </c>
      <c r="H23267" s="5">
        <f>HYPERLINK("https://api.qogita.com/variants/link/3432240504814/", "View Product")</f>
        <v/>
      </c>
    </row>
    <row r="23268">
      <c r="A23268" t="inlineStr">
        <is>
          <t>3432240506283</t>
        </is>
      </c>
      <c r="B23268" t="inlineStr">
        <is>
          <t>Cartier Pasha De Cartier Perfume Spray 100ml</t>
        </is>
      </c>
      <c r="C23268" t="inlineStr">
        <is>
          <t>Eau De Parfum</t>
        </is>
      </c>
      <c r="D23268" t="inlineStr">
        <is>
          <t>Cartier</t>
        </is>
      </c>
      <c r="E23268" t="n">
        <v>76.23</v>
      </c>
      <c r="F23268" t="n">
        <v>1</v>
      </c>
      <c r="G23268" t="n">
        <v>12</v>
      </c>
      <c r="H23268" s="5">
        <f>HYPERLINK("https://api.qogita.com/variants/link/3432240506283/", "View Product")</f>
        <v/>
      </c>
    </row>
    <row r="23269">
      <c r="A23269" t="inlineStr">
        <is>
          <t>3432240506634</t>
        </is>
      </c>
      <c r="B23269" t="inlineStr">
        <is>
          <t>Cartier La Panthere Eau De Parfum 50ml</t>
        </is>
      </c>
      <c r="C23269" t="inlineStr">
        <is>
          <t>Eau De Parfum</t>
        </is>
      </c>
      <c r="D23269" t="inlineStr">
        <is>
          <t>Cartier</t>
        </is>
      </c>
      <c r="E23269" t="n">
        <v>62.55</v>
      </c>
      <c r="F23269" t="n">
        <v>1</v>
      </c>
      <c r="G23269" t="n">
        <v>46</v>
      </c>
      <c r="H23269" s="5">
        <f>HYPERLINK("https://api.qogita.com/variants/link/3432240506634/", "View Product")</f>
        <v/>
      </c>
    </row>
    <row r="23270">
      <c r="A23270" t="inlineStr">
        <is>
          <t>3433422404397</t>
        </is>
      </c>
      <c r="B23270" t="inlineStr">
        <is>
          <t>La Rocheposay Thermal Water Spray 150ml Soothing And Hydrating Thermal Spring Water</t>
        </is>
      </c>
      <c r="C23270" t="inlineStr">
        <is>
          <t>Facial Spray</t>
        </is>
      </c>
      <c r="D23270" t="inlineStr">
        <is>
          <t>La Roche-Posay</t>
        </is>
      </c>
      <c r="E23270" t="n">
        <v>9.470000000000001</v>
      </c>
      <c r="F23270" t="n">
        <v>1</v>
      </c>
      <c r="G23270" t="n">
        <v>24</v>
      </c>
      <c r="H23270" s="5">
        <f>HYPERLINK("https://api.qogita.com/variants/link/3433422404397/", "View Product")</f>
        <v/>
      </c>
    </row>
    <row r="23271">
      <c r="A23271" t="inlineStr">
        <is>
          <t>3433422408357</t>
        </is>
      </c>
      <c r="B23271" t="inlineStr">
        <is>
          <t>Roche L'Orealposay Micellar Water 200ml</t>
        </is>
      </c>
      <c r="C23271" t="inlineStr">
        <is>
          <t>Micellar Water</t>
        </is>
      </c>
      <c r="D23271" t="inlineStr">
        <is>
          <t>La Roche-Posay</t>
        </is>
      </c>
      <c r="E23271" t="n">
        <v>12.75</v>
      </c>
      <c r="F23271" t="n">
        <v>1</v>
      </c>
      <c r="G23271" t="n">
        <v>32</v>
      </c>
      <c r="H23271" s="5">
        <f>HYPERLINK("https://api.qogita.com/variants/link/3433422408357/", "View Product")</f>
        <v/>
      </c>
    </row>
    <row r="23272">
      <c r="A23272" t="inlineStr">
        <is>
          <t>3433422408586</t>
        </is>
      </c>
      <c r="B23272" t="inlineStr">
        <is>
          <t>La Rocheposay Lipikar Surgras Shower Cream For Dry Skin 400 Ml Moisturizing Shower Gel</t>
        </is>
      </c>
      <c r="C23272" t="inlineStr">
        <is>
          <t>Shower Gel</t>
        </is>
      </c>
      <c r="D23272" t="inlineStr">
        <is>
          <t>La Roche-Posay</t>
        </is>
      </c>
      <c r="E23272" t="n">
        <v>16.08</v>
      </c>
      <c r="F23272" t="n">
        <v>1</v>
      </c>
      <c r="G23272" t="n">
        <v>5</v>
      </c>
      <c r="H23272" s="5">
        <f>HYPERLINK("https://api.qogita.com/variants/link/3433422408586/", "View Product")</f>
        <v/>
      </c>
    </row>
    <row r="23273">
      <c r="A23273" t="inlineStr">
        <is>
          <t>3433425457741</t>
        </is>
      </c>
      <c r="B23273" t="inlineStr">
        <is>
          <t>Vichy Capital Soleil Invisible Fluid Spray Spf50+ 200ml With Free Soothing After-Sun Milk 100ml</t>
        </is>
      </c>
      <c r="C23273" t="inlineStr">
        <is>
          <t>Body Sun Protection</t>
        </is>
      </c>
      <c r="D23273" t="inlineStr">
        <is>
          <t>Vichy</t>
        </is>
      </c>
      <c r="E23273" t="n">
        <v>21.37</v>
      </c>
      <c r="F23273" t="n">
        <v>1</v>
      </c>
      <c r="G23273" t="n">
        <v>19</v>
      </c>
      <c r="H23273" s="5">
        <f>HYPERLINK("https://api.qogita.com/variants/link/3433425457741/", "View Product")</f>
        <v/>
      </c>
    </row>
    <row r="23274">
      <c r="A23274" t="inlineStr">
        <is>
          <t>3434730706036</t>
        </is>
      </c>
      <c r="B23274" t="inlineStr">
        <is>
          <t>Alyssa Ashley Musk Cologne 100ml 450g</t>
        </is>
      </c>
      <c r="C23274" t="inlineStr">
        <is>
          <t>Eau De Cologne</t>
        </is>
      </c>
      <c r="D23274" t="inlineStr">
        <is>
          <t>Alyssa Ashley</t>
        </is>
      </c>
      <c r="E23274" t="n">
        <v>20.41</v>
      </c>
      <c r="F23274" t="n">
        <v>1</v>
      </c>
      <c r="G23274" t="n">
        <v>12</v>
      </c>
      <c r="H23274" s="5">
        <f>HYPERLINK("https://api.qogita.com/variants/link/3434730706036/", "View Product")</f>
        <v/>
      </c>
    </row>
    <row r="23275">
      <c r="A23275" t="inlineStr">
        <is>
          <t>3434730731731</t>
        </is>
      </c>
      <c r="B23275" t="inlineStr">
        <is>
          <t>Alyssa Ashley Musk Eau de Parfum Spray 50ml</t>
        </is>
      </c>
      <c r="C23275" t="inlineStr">
        <is>
          <t>Eau De Parfum</t>
        </is>
      </c>
      <c r="D23275" t="inlineStr">
        <is>
          <t>Alyssa Ashley</t>
        </is>
      </c>
      <c r="E23275" t="n">
        <v>16.51</v>
      </c>
      <c r="F23275" t="n">
        <v>1</v>
      </c>
      <c r="G23275" t="n">
        <v>5</v>
      </c>
      <c r="H23275" s="5">
        <f>HYPERLINK("https://api.qogita.com/variants/link/3434730731731/", "View Product")</f>
        <v/>
      </c>
    </row>
    <row r="23276">
      <c r="A23276" t="inlineStr">
        <is>
          <t>3439600040913</t>
        </is>
      </c>
      <c r="B23276" t="inlineStr">
        <is>
          <t>Thierry Mugler Angel Eau De Toilette Spray 30ml Women's Fragrance</t>
        </is>
      </c>
      <c r="C23276" t="inlineStr">
        <is>
          <t>Eau De Toilette</t>
        </is>
      </c>
      <c r="D23276" t="inlineStr">
        <is>
          <t>Thierry Mugler</t>
        </is>
      </c>
      <c r="E23276" t="n">
        <v>35.42</v>
      </c>
      <c r="F23276" t="n">
        <v>1</v>
      </c>
      <c r="G23276" t="n">
        <v>15</v>
      </c>
      <c r="H23276" s="5">
        <f>HYPERLINK("https://api.qogita.com/variants/link/3439600040913/", "View Product")</f>
        <v/>
      </c>
    </row>
    <row r="23277">
      <c r="A23277" t="inlineStr">
        <is>
          <t>3439601204642</t>
        </is>
      </c>
      <c r="B23277" t="inlineStr">
        <is>
          <t>Thierry Mugler Alien Goddess Eau De Parfum Spray 30ml</t>
        </is>
      </c>
      <c r="C23277" t="inlineStr">
        <is>
          <t>Eau De Parfum</t>
        </is>
      </c>
      <c r="D23277" t="inlineStr">
        <is>
          <t>Thierry Mugler</t>
        </is>
      </c>
      <c r="E23277" t="n">
        <v>40.22</v>
      </c>
      <c r="F23277" t="n">
        <v>1</v>
      </c>
      <c r="G23277" t="n">
        <v>15</v>
      </c>
      <c r="H23277" s="5">
        <f>HYPERLINK("https://api.qogita.com/variants/link/3439601204642/", "View Product")</f>
        <v/>
      </c>
    </row>
    <row r="23278">
      <c r="A23278" t="inlineStr">
        <is>
          <t>3442180004442</t>
        </is>
      </c>
      <c r="B23278" t="inlineStr">
        <is>
          <t>Courreges Seconde Peau Eau De Parfum Spray 30ml</t>
        </is>
      </c>
      <c r="C23278" t="inlineStr">
        <is>
          <t>Eau De Parfum</t>
        </is>
      </c>
      <c r="D23278" t="inlineStr">
        <is>
          <t>Courreges</t>
        </is>
      </c>
      <c r="E23278" t="n">
        <v>33.72</v>
      </c>
      <c r="F23278" t="n">
        <v>1</v>
      </c>
      <c r="G23278" t="n">
        <v>4</v>
      </c>
      <c r="H23278" s="5">
        <f>HYPERLINK("https://api.qogita.com/variants/link/3442180004442/", "View Product")</f>
        <v/>
      </c>
    </row>
    <row r="23279">
      <c r="A23279" t="inlineStr">
        <is>
          <t>3442180004503</t>
        </is>
      </c>
      <c r="B23279" t="inlineStr">
        <is>
          <t>Courreges Seconde Peau Eau De Parfum Spray 100ml</t>
        </is>
      </c>
      <c r="C23279" t="inlineStr">
        <is>
          <t>Eau De Parfum</t>
        </is>
      </c>
      <c r="D23279" t="inlineStr">
        <is>
          <t>Courreges</t>
        </is>
      </c>
      <c r="E23279" t="n">
        <v>64.51000000000001</v>
      </c>
      <c r="F23279" t="n">
        <v>1</v>
      </c>
      <c r="G23279" t="n">
        <v>3</v>
      </c>
      <c r="H23279" s="5">
        <f>HYPERLINK("https://api.qogita.com/variants/link/3442180004503/", "View Product")</f>
        <v/>
      </c>
    </row>
    <row r="23280">
      <c r="A23280" t="inlineStr">
        <is>
          <t>3442180005524</t>
        </is>
      </c>
      <c r="B23280" t="inlineStr">
        <is>
          <t>Courreges C Eau De Parfum Spray 50ml</t>
        </is>
      </c>
      <c r="C23280" t="inlineStr">
        <is>
          <t>Eau De Parfum</t>
        </is>
      </c>
      <c r="D23280" t="inlineStr">
        <is>
          <t>Courreges</t>
        </is>
      </c>
      <c r="E23280" t="n">
        <v>45.74</v>
      </c>
      <c r="F23280" t="n">
        <v>1</v>
      </c>
      <c r="G23280" t="n">
        <v>8</v>
      </c>
      <c r="H23280" s="5">
        <f>HYPERLINK("https://api.qogita.com/variants/link/3442180005524/", "View Product")</f>
        <v/>
      </c>
    </row>
    <row r="23281">
      <c r="A23281" t="inlineStr">
        <is>
          <t>3442180005548</t>
        </is>
      </c>
      <c r="B23281" t="inlineStr">
        <is>
          <t>Courreges Seconde Peau Eau De Parfum Spray 50ml</t>
        </is>
      </c>
      <c r="C23281" t="inlineStr">
        <is>
          <t>Eau De Parfum</t>
        </is>
      </c>
      <c r="D23281" t="inlineStr">
        <is>
          <t>Courreges</t>
        </is>
      </c>
      <c r="E23281" t="n">
        <v>37.66</v>
      </c>
      <c r="F23281" t="n">
        <v>1</v>
      </c>
      <c r="G23281" t="n">
        <v>23</v>
      </c>
      <c r="H23281" s="5">
        <f>HYPERLINK("https://api.qogita.com/variants/link/3442180005548/", "View Product")</f>
        <v/>
      </c>
    </row>
    <row r="23282">
      <c r="A23282" t="inlineStr">
        <is>
          <t>3454960006270</t>
        </is>
      </c>
      <c r="B23282" t="inlineStr">
        <is>
          <t>Lalique Pour Homme Lion Eau De Parfum Spray for Men 2.5 Oz 75 Ml</t>
        </is>
      </c>
      <c r="C23282" t="inlineStr">
        <is>
          <t>Eau De Parfum</t>
        </is>
      </c>
      <c r="D23282" t="inlineStr">
        <is>
          <t>Lalique</t>
        </is>
      </c>
      <c r="E23282" t="n">
        <v>18.59</v>
      </c>
      <c r="F23282" t="n">
        <v>1</v>
      </c>
      <c r="G23282" t="n">
        <v>3</v>
      </c>
      <c r="H23282" s="5">
        <f>HYPERLINK("https://api.qogita.com/variants/link/3454960006270/", "View Product")</f>
        <v/>
      </c>
    </row>
    <row r="23283">
      <c r="A23283" t="inlineStr">
        <is>
          <t>3454960020917</t>
        </is>
      </c>
      <c r="B23283" t="inlineStr">
        <is>
          <t>Lalique Lalique Le Parfum Eau De Parfum Spray 100ml</t>
        </is>
      </c>
      <c r="C23283" t="inlineStr">
        <is>
          <t>Eau De Parfum</t>
        </is>
      </c>
      <c r="D23283" t="inlineStr">
        <is>
          <t>Lalique</t>
        </is>
      </c>
      <c r="E23283" t="n">
        <v>27.12</v>
      </c>
      <c r="F23283" t="n">
        <v>1</v>
      </c>
      <c r="G23283" t="n">
        <v>23</v>
      </c>
      <c r="H23283" s="5">
        <f>HYPERLINK("https://api.qogita.com/variants/link/3454960020917/", "View Product")</f>
        <v/>
      </c>
    </row>
    <row r="23284">
      <c r="A23284" t="inlineStr">
        <is>
          <t>3461020003513</t>
        </is>
      </c>
      <c r="B23284" t="inlineStr">
        <is>
          <t>Institut Esthederm Intensif Retinol Serum - 15 Ml</t>
        </is>
      </c>
      <c r="C23284" t="inlineStr">
        <is>
          <t>Anti-Aging Serum</t>
        </is>
      </c>
      <c r="D23284" t="inlineStr">
        <is>
          <t>Institut Esthederm</t>
        </is>
      </c>
      <c r="E23284" t="n">
        <v>58.72</v>
      </c>
      <c r="F23284" t="n">
        <v>1</v>
      </c>
      <c r="G23284" t="n">
        <v>5</v>
      </c>
      <c r="H23284" s="5">
        <f>HYPERLINK("https://api.qogita.com/variants/link/3461020003513/", "View Product")</f>
        <v/>
      </c>
    </row>
    <row r="23285">
      <c r="A23285" t="inlineStr">
        <is>
          <t>3461020007726</t>
        </is>
      </c>
      <c r="B23285" t="inlineStr">
        <is>
          <t>Institut Esthederm Esthe White Brightening Youth Anti Dark Spots Serum 30ml</t>
        </is>
      </c>
      <c r="C23285" t="inlineStr">
        <is>
          <t>Anti-Aging Serum</t>
        </is>
      </c>
      <c r="D23285" t="inlineStr">
        <is>
          <t>Institut Esthederm</t>
        </is>
      </c>
      <c r="E23285" t="n">
        <v>39.94</v>
      </c>
      <c r="F23285" t="n">
        <v>1</v>
      </c>
      <c r="G23285" t="n">
        <v>9</v>
      </c>
      <c r="H23285" s="5">
        <f>HYPERLINK("https://api.qogita.com/variants/link/3461020007726/", "View Product")</f>
        <v/>
      </c>
    </row>
    <row r="23286">
      <c r="A23286" t="inlineStr">
        <is>
          <t>3461020008167</t>
        </is>
      </c>
      <c r="B23286" t="inlineStr">
        <is>
          <t>Institut Esthederm Cellular Concentrate Fundamental Serum 30ml</t>
        </is>
      </c>
      <c r="C23286" t="inlineStr">
        <is>
          <t>Anti-Aging Serum</t>
        </is>
      </c>
      <c r="D23286" t="inlineStr">
        <is>
          <t>Institut Esthederm</t>
        </is>
      </c>
      <c r="E23286" t="n">
        <v>48.82</v>
      </c>
      <c r="F23286" t="n">
        <v>1</v>
      </c>
      <c r="G23286" t="n">
        <v>12</v>
      </c>
      <c r="H23286" s="5">
        <f>HYPERLINK("https://api.qogita.com/variants/link/3461020008167/", "View Product")</f>
        <v/>
      </c>
    </row>
    <row r="23287">
      <c r="A23287" t="inlineStr">
        <is>
          <t>3461020012898</t>
        </is>
      </c>
      <c r="B23287" t="inlineStr">
        <is>
          <t>Institut Esthederm Active Repair Eye Contour Care 15ml Eye Care Against Wrinkles Puffiness And Dark Circles</t>
        </is>
      </c>
      <c r="C23287" t="inlineStr">
        <is>
          <t>Eye Cream</t>
        </is>
      </c>
      <c r="D23287" t="inlineStr">
        <is>
          <t>Institut Esthederm</t>
        </is>
      </c>
      <c r="E23287" t="n">
        <v>40.48</v>
      </c>
      <c r="F23287" t="n">
        <v>1</v>
      </c>
      <c r="G23287" t="n">
        <v>9</v>
      </c>
      <c r="H23287" s="5">
        <f>HYPERLINK("https://api.qogita.com/variants/link/3461020012898/", "View Product")</f>
        <v/>
      </c>
    </row>
    <row r="23288">
      <c r="A23288" t="inlineStr">
        <is>
          <t>3461020013208</t>
        </is>
      </c>
      <c r="B23288" t="inlineStr">
        <is>
          <t>Institut Esthederm High Tolerance Make Up Remover 200ml</t>
        </is>
      </c>
      <c r="C23288" t="inlineStr">
        <is>
          <t>Makeup Remover</t>
        </is>
      </c>
      <c r="D23288" t="inlineStr">
        <is>
          <t>Institut Esthederm</t>
        </is>
      </c>
      <c r="E23288" t="n">
        <v>23.05</v>
      </c>
      <c r="F23288" t="n">
        <v>1</v>
      </c>
      <c r="G23288" t="n">
        <v>3</v>
      </c>
      <c r="H23288" s="5">
        <f>HYPERLINK("https://api.qogita.com/variants/link/3461020013208/", "View Product")</f>
        <v/>
      </c>
    </row>
    <row r="23289">
      <c r="A23289" t="inlineStr">
        <is>
          <t>3461020014229</t>
        </is>
      </c>
      <c r="B23289" t="inlineStr">
        <is>
          <t>Institut Esthederm Gentle Cellular Water Scrub 200ml</t>
        </is>
      </c>
      <c r="C23289" t="inlineStr">
        <is>
          <t>Facial Scrub &amp; Peeling</t>
        </is>
      </c>
      <c r="D23289" t="inlineStr">
        <is>
          <t>Institut Esthederm</t>
        </is>
      </c>
      <c r="E23289" t="n">
        <v>21.57</v>
      </c>
      <c r="F23289" t="n">
        <v>1</v>
      </c>
      <c r="G23289" t="n">
        <v>2</v>
      </c>
      <c r="H23289" s="5">
        <f>HYPERLINK("https://api.qogita.com/variants/link/3461020014229/", "View Product")</f>
        <v/>
      </c>
    </row>
    <row r="23290">
      <c r="A23290" t="inlineStr">
        <is>
          <t>3473311140449</t>
        </is>
      </c>
      <c r="B23290" t="inlineStr">
        <is>
          <t>Sisley The Essentials Set - A Complete Skincare Set From Sisley</t>
        </is>
      </c>
      <c r="C23290" t="inlineStr">
        <is>
          <t>Facial Care Sets</t>
        </is>
      </c>
      <c r="D23290" t="inlineStr">
        <is>
          <t>Sisley</t>
        </is>
      </c>
      <c r="E23290" t="n">
        <v>190.94</v>
      </c>
      <c r="F23290" t="n">
        <v>1</v>
      </c>
      <c r="G23290" t="n">
        <v>5</v>
      </c>
      <c r="H23290" s="5">
        <f>HYPERLINK("https://api.qogita.com/variants/link/3473311140449/", "View Product")</f>
        <v/>
      </c>
    </row>
    <row r="23291">
      <c r="A23291" t="inlineStr">
        <is>
          <t>3473311142504</t>
        </is>
      </c>
      <c r="B23291" t="inlineStr">
        <is>
          <t>Sisley Ecological Compound Advanced Formula 60ml</t>
        </is>
      </c>
      <c r="C23291" t="inlineStr">
        <is>
          <t>Face Cream</t>
        </is>
      </c>
      <c r="D23291" t="inlineStr">
        <is>
          <t>Sisley</t>
        </is>
      </c>
      <c r="E23291" t="n">
        <v>84.13</v>
      </c>
      <c r="F23291" t="n">
        <v>1</v>
      </c>
      <c r="G23291" t="n">
        <v>7</v>
      </c>
      <c r="H23291" s="5">
        <f>HYPERLINK("https://api.qogita.com/variants/link/3473311142504/", "View Product")</f>
        <v/>
      </c>
    </row>
    <row r="23292">
      <c r="A23292" t="inlineStr">
        <is>
          <t>3473311415653</t>
        </is>
      </c>
      <c r="B23292" t="inlineStr">
        <is>
          <t>Sisley Deeply Purifying Mask With Tropical Resins 60 Ml</t>
        </is>
      </c>
      <c r="C23292" t="inlineStr">
        <is>
          <t>Purifying Mask</t>
        </is>
      </c>
      <c r="D23292" t="inlineStr">
        <is>
          <t>Sisley</t>
        </is>
      </c>
      <c r="E23292" t="n">
        <v>67.15000000000001</v>
      </c>
      <c r="F23292" t="n">
        <v>1</v>
      </c>
      <c r="G23292" t="n">
        <v>3</v>
      </c>
      <c r="H23292" s="5">
        <f>HYPERLINK("https://api.qogita.com/variants/link/3473311415653/", "View Product")</f>
        <v/>
      </c>
    </row>
    <row r="23293">
      <c r="A23293" t="inlineStr">
        <is>
          <t>3473311415806</t>
        </is>
      </c>
      <c r="B23293" t="inlineStr">
        <is>
          <t>Sisley Mattifying Moisturizing Skin Care With Tropical Resins Face Cream 50ml</t>
        </is>
      </c>
      <c r="C23293" t="inlineStr">
        <is>
          <t>Face Cream</t>
        </is>
      </c>
      <c r="D23293" t="inlineStr">
        <is>
          <t>Sisley</t>
        </is>
      </c>
      <c r="E23293" t="n">
        <v>81.06999999999999</v>
      </c>
      <c r="F23293" t="n">
        <v>1</v>
      </c>
      <c r="G23293" t="n">
        <v>3</v>
      </c>
      <c r="H23293" s="5">
        <f>HYPERLINK("https://api.qogita.com/variants/link/3473311415806/", "View Product")</f>
        <v/>
      </c>
    </row>
    <row r="23294">
      <c r="A23294" t="inlineStr">
        <is>
          <t>3473311450005</t>
        </is>
      </c>
      <c r="B23294" t="inlineStr">
        <is>
          <t>Sisley Global Perfect Pore Minimizer 30ml</t>
        </is>
      </c>
      <c r="C23294" t="inlineStr">
        <is>
          <t>Face Serum</t>
        </is>
      </c>
      <c r="D23294" t="inlineStr">
        <is>
          <t>Sisley</t>
        </is>
      </c>
      <c r="E23294" t="n">
        <v>118.91</v>
      </c>
      <c r="F23294" t="n">
        <v>1</v>
      </c>
      <c r="G23294" t="n">
        <v>10</v>
      </c>
      <c r="H23294" s="5">
        <f>HYPERLINK("https://api.qogita.com/variants/link/3473311450005/", "View Product")</f>
        <v/>
      </c>
    </row>
    <row r="23295">
      <c r="A23295" t="inlineStr">
        <is>
          <t>3473311508102</t>
        </is>
      </c>
      <c r="B23295" t="inlineStr">
        <is>
          <t>Sisley Sisleya L'Integral Anti-Age Concentrated Firming Body Cream - 150ml</t>
        </is>
      </c>
      <c r="C23295" t="inlineStr">
        <is>
          <t>Body Lotion</t>
        </is>
      </c>
      <c r="D23295" t="inlineStr">
        <is>
          <t>Sisley</t>
        </is>
      </c>
      <c r="E23295" t="n">
        <v>174.44</v>
      </c>
      <c r="F23295" t="n">
        <v>1</v>
      </c>
      <c r="G23295" t="n">
        <v>3</v>
      </c>
      <c r="H23295" s="5">
        <f>HYPERLINK("https://api.qogita.com/variants/link/3473311508102/", "View Product")</f>
        <v/>
      </c>
    </row>
    <row r="23296">
      <c r="A23296" t="inlineStr">
        <is>
          <t>3473311521033</t>
        </is>
      </c>
      <c r="B23296" t="inlineStr">
        <is>
          <t>Sisley Phyto-Pate Moussante Soapless Gentle Foaming Cleanser 85g/2.9oz</t>
        </is>
      </c>
      <c r="C23296" t="inlineStr">
        <is>
          <t>Cleansing Foam</t>
        </is>
      </c>
      <c r="D23296" t="inlineStr">
        <is>
          <t>Sisley-Paris</t>
        </is>
      </c>
      <c r="E23296" t="n">
        <v>52.21</v>
      </c>
      <c r="F23296" t="n">
        <v>1</v>
      </c>
      <c r="G23296" t="n">
        <v>3</v>
      </c>
      <c r="H23296" s="5">
        <f>HYPERLINK("https://api.qogita.com/variants/link/3473311521033/", "View Product")</f>
        <v/>
      </c>
    </row>
    <row r="23297">
      <c r="A23297" t="inlineStr">
        <is>
          <t>3473311615237</t>
        </is>
      </c>
      <c r="B23297" t="inlineStr">
        <is>
          <t>Sisley Phyto Cernes Clat Eye Concealer 03 15ml</t>
        </is>
      </c>
      <c r="C23297" t="inlineStr">
        <is>
          <t>Concealer</t>
        </is>
      </c>
      <c r="D23297" t="inlineStr">
        <is>
          <t>Sisley</t>
        </is>
      </c>
      <c r="E23297" t="n">
        <v>60.62</v>
      </c>
      <c r="F23297" t="n">
        <v>1</v>
      </c>
      <c r="G23297" t="n">
        <v>5</v>
      </c>
      <c r="H23297" s="5">
        <f>HYPERLINK("https://api.qogita.com/variants/link/3473311615237/", "View Product")</f>
        <v/>
      </c>
    </row>
    <row r="23298">
      <c r="A23298" t="inlineStr">
        <is>
          <t>3473311681058</t>
        </is>
      </c>
      <c r="B23298" t="inlineStr">
        <is>
          <t>Sisley Super Soin Solaire Soothing Body Sun Care SPF30 200ml</t>
        </is>
      </c>
      <c r="C23298" t="inlineStr">
        <is>
          <t>Body Sun Protection</t>
        </is>
      </c>
      <c r="D23298" t="inlineStr">
        <is>
          <t>Sisley</t>
        </is>
      </c>
      <c r="E23298" t="n">
        <v>94.84999999999999</v>
      </c>
      <c r="F23298" t="n">
        <v>1</v>
      </c>
      <c r="G23298" t="n">
        <v>4</v>
      </c>
      <c r="H23298" s="5">
        <f>HYPERLINK("https://api.qogita.com/variants/link/3473311681058/", "View Product")</f>
        <v/>
      </c>
    </row>
    <row r="23299">
      <c r="A23299" t="inlineStr">
        <is>
          <t>3473311688040</t>
        </is>
      </c>
      <c r="B23299" t="inlineStr">
        <is>
          <t>Sisley Super Sun Care Summer Oil SPF15 150ml</t>
        </is>
      </c>
      <c r="C23299" t="inlineStr">
        <is>
          <t>Body Sun Protection</t>
        </is>
      </c>
      <c r="D23299" t="inlineStr">
        <is>
          <t>Sisley-Paris</t>
        </is>
      </c>
      <c r="E23299" t="n">
        <v>73.64</v>
      </c>
      <c r="F23299" t="n">
        <v>1</v>
      </c>
      <c r="G23299" t="n">
        <v>9</v>
      </c>
      <c r="H23299" s="5">
        <f>HYPERLINK("https://api.qogita.com/variants/link/3473311688040/", "View Product")</f>
        <v/>
      </c>
    </row>
    <row r="23300">
      <c r="A23300" t="inlineStr">
        <is>
          <t>3473311692504</t>
        </is>
      </c>
      <c r="B23300" t="inlineStr">
        <is>
          <t>Sisley Hair Mascaras 280ml</t>
        </is>
      </c>
      <c r="C23300" t="inlineStr">
        <is>
          <t>Hair Masks</t>
        </is>
      </c>
      <c r="D23300" t="inlineStr">
        <is>
          <t>Sisley</t>
        </is>
      </c>
      <c r="E23300" t="n">
        <v>54.99</v>
      </c>
      <c r="F23300" t="n">
        <v>1</v>
      </c>
      <c r="G23300" t="n">
        <v>15</v>
      </c>
      <c r="H23300" s="5">
        <f>HYPERLINK("https://api.qogita.com/variants/link/3473311692504/", "View Product")</f>
        <v/>
      </c>
    </row>
    <row r="23301">
      <c r="A23301" t="inlineStr">
        <is>
          <t>3473311693006</t>
        </is>
      </c>
      <c r="B23301" t="inlineStr">
        <is>
          <t>Sisley Soothing Antidandruff Shampoo 200ml</t>
        </is>
      </c>
      <c r="C23301" t="inlineStr">
        <is>
          <t>Shampoo</t>
        </is>
      </c>
      <c r="D23301" t="inlineStr">
        <is>
          <t>Sisley</t>
        </is>
      </c>
      <c r="E23301" t="n">
        <v>41.07</v>
      </c>
      <c r="F23301" t="n">
        <v>1</v>
      </c>
      <c r="G23301" t="n">
        <v>8</v>
      </c>
      <c r="H23301" s="5">
        <f>HYPERLINK("https://api.qogita.com/variants/link/3473311693006/", "View Product")</f>
        <v/>
      </c>
    </row>
    <row r="23302">
      <c r="A23302" t="inlineStr">
        <is>
          <t>3473311693105</t>
        </is>
      </c>
      <c r="B23302" t="inlineStr">
        <is>
          <t>Hair Rituel by Sisley Pre-Shampoo Purifying Mask 200ml</t>
        </is>
      </c>
      <c r="C23302" t="inlineStr">
        <is>
          <t>Hair Masks</t>
        </is>
      </c>
      <c r="D23302" t="inlineStr">
        <is>
          <t>Sisley</t>
        </is>
      </c>
      <c r="E23302" t="n">
        <v>53.74</v>
      </c>
      <c r="F23302" t="n">
        <v>1</v>
      </c>
      <c r="G23302" t="n">
        <v>8</v>
      </c>
      <c r="H23302" s="5">
        <f>HYPERLINK("https://api.qogita.com/variants/link/3473311693105/", "View Product")</f>
        <v/>
      </c>
    </row>
    <row r="23303">
      <c r="A23303" t="inlineStr">
        <is>
          <t>3473311693402</t>
        </is>
      </c>
      <c r="B23303" t="inlineStr">
        <is>
          <t>Hair Rituel by Sisley Unisex Color Shampoo 200ml - Black</t>
        </is>
      </c>
      <c r="C23303" t="inlineStr">
        <is>
          <t>Shampoo</t>
        </is>
      </c>
      <c r="D23303" t="inlineStr">
        <is>
          <t>Sisley</t>
        </is>
      </c>
      <c r="E23303" t="n">
        <v>39.9</v>
      </c>
      <c r="F23303" t="n">
        <v>1</v>
      </c>
      <c r="G23303" t="n">
        <v>5</v>
      </c>
      <c r="H23303" s="5">
        <f>HYPERLINK("https://api.qogita.com/variants/link/3473311693402/", "View Product")</f>
        <v/>
      </c>
    </row>
    <row r="23304">
      <c r="A23304" t="inlineStr">
        <is>
          <t>3473311693907</t>
        </is>
      </c>
      <c r="B23304" t="inlineStr">
        <is>
          <t>Sisley Shampoo for Women</t>
        </is>
      </c>
      <c r="C23304" t="inlineStr">
        <is>
          <t>Shampoo</t>
        </is>
      </c>
      <c r="D23304" t="inlineStr">
        <is>
          <t>Sisley</t>
        </is>
      </c>
      <c r="E23304" t="n">
        <v>40.31</v>
      </c>
      <c r="F23304" t="n">
        <v>1</v>
      </c>
      <c r="G23304" t="n">
        <v>7</v>
      </c>
      <c r="H23304" s="5">
        <f>HYPERLINK("https://api.qogita.com/variants/link/3473311693907/", "View Product")</f>
        <v/>
      </c>
    </row>
    <row r="23305">
      <c r="A23305" t="inlineStr">
        <is>
          <t>3473311705075</t>
        </is>
      </c>
      <c r="B23305" t="inlineStr">
        <is>
          <t>Sisley Phytorouge Shine Glossy Lipstick 3 Grams</t>
        </is>
      </c>
      <c r="C23305" t="inlineStr">
        <is>
          <t>Lipstick</t>
        </is>
      </c>
      <c r="D23305" t="inlineStr">
        <is>
          <t>Sisley</t>
        </is>
      </c>
      <c r="E23305" t="n">
        <v>29.46</v>
      </c>
      <c r="F23305" t="n">
        <v>1</v>
      </c>
      <c r="G23305" t="n">
        <v>4</v>
      </c>
      <c r="H23305" s="5">
        <f>HYPERLINK("https://api.qogita.com/variants/link/3473311705075/", "View Product")</f>
        <v/>
      </c>
    </row>
    <row r="23306">
      <c r="A23306" t="inlineStr">
        <is>
          <t>3473311705082</t>
        </is>
      </c>
      <c r="B23306" t="inlineStr">
        <is>
          <t>Sisley Phytorouge Shine Lipstick 31 Sheer Chili 3 Grams</t>
        </is>
      </c>
      <c r="C23306" t="inlineStr">
        <is>
          <t>Lipstick</t>
        </is>
      </c>
      <c r="D23306" t="inlineStr">
        <is>
          <t>Sisley</t>
        </is>
      </c>
      <c r="E23306" t="n">
        <v>32.83</v>
      </c>
      <c r="F23306" t="n">
        <v>1</v>
      </c>
      <c r="G23306" t="n">
        <v>3</v>
      </c>
      <c r="H23306" s="5">
        <f>HYPERLINK("https://api.qogita.com/variants/link/3473311705082/", "View Product")</f>
        <v/>
      </c>
    </row>
    <row r="23307">
      <c r="A23307" t="inlineStr">
        <is>
          <t>3473311707093</t>
        </is>
      </c>
      <c r="B23307" t="inlineStr">
        <is>
          <t>Sisley Phyto Rouge Velvet Lipstick - 3 Grams</t>
        </is>
      </c>
      <c r="C23307" t="inlineStr">
        <is>
          <t>Lipstick</t>
        </is>
      </c>
      <c r="D23307" t="inlineStr">
        <is>
          <t>Sisley</t>
        </is>
      </c>
      <c r="E23307" t="n">
        <v>39.82</v>
      </c>
      <c r="F23307" t="n">
        <v>1</v>
      </c>
      <c r="G23307" t="n">
        <v>2</v>
      </c>
      <c r="H23307" s="5">
        <f>HYPERLINK("https://api.qogita.com/variants/link/3473311707093/", "View Product")</f>
        <v/>
      </c>
    </row>
    <row r="23308">
      <c r="A23308" t="inlineStr">
        <is>
          <t>3473311707116</t>
        </is>
      </c>
      <c r="B23308" t="inlineStr">
        <is>
          <t>Sisley Phyto Rouge Velvet Lipstick - 3 Grams</t>
        </is>
      </c>
      <c r="C23308" t="inlineStr">
        <is>
          <t>Lipstick</t>
        </is>
      </c>
      <c r="D23308" t="inlineStr">
        <is>
          <t>Sisley</t>
        </is>
      </c>
      <c r="E23308" t="n">
        <v>39.82</v>
      </c>
      <c r="F23308" t="n">
        <v>1</v>
      </c>
      <c r="G23308" t="n">
        <v>2</v>
      </c>
      <c r="H23308" s="5">
        <f>HYPERLINK("https://api.qogita.com/variants/link/3473311707116/", "View Product")</f>
        <v/>
      </c>
    </row>
    <row r="23309">
      <c r="A23309" t="inlineStr">
        <is>
          <t>3473311754059</t>
        </is>
      </c>
      <c r="B23309" t="inlineStr">
        <is>
          <t>Sisley Le Phytogloss Lip Gloss 65 Ml And 65 Ml In Shade 5 Fireworks</t>
        </is>
      </c>
      <c r="C23309" t="inlineStr">
        <is>
          <t>Lip Gloss</t>
        </is>
      </c>
      <c r="D23309" t="inlineStr">
        <is>
          <t>Sisley</t>
        </is>
      </c>
      <c r="E23309" t="n">
        <v>31.53</v>
      </c>
      <c r="F23309" t="n">
        <v>1</v>
      </c>
      <c r="G23309" t="n">
        <v>2</v>
      </c>
      <c r="H23309" s="5">
        <f>HYPERLINK("https://api.qogita.com/variants/link/3473311754059/", "View Product")</f>
        <v/>
      </c>
    </row>
    <row r="23310">
      <c r="A23310" t="inlineStr">
        <is>
          <t>3473311754103</t>
        </is>
      </c>
      <c r="B23310" t="inlineStr">
        <is>
          <t>Sisley Le Phytogloss Lip Gloss 65 Ml</t>
        </is>
      </c>
      <c r="C23310" t="inlineStr">
        <is>
          <t>Lip Gloss</t>
        </is>
      </c>
      <c r="D23310" t="inlineStr">
        <is>
          <t>Sisley</t>
        </is>
      </c>
      <c r="E23310" t="n">
        <v>26.3</v>
      </c>
      <c r="F23310" t="n">
        <v>1</v>
      </c>
      <c r="G23310" t="n">
        <v>2</v>
      </c>
      <c r="H23310" s="5">
        <f>HYPERLINK("https://api.qogita.com/variants/link/3473311754103/", "View Product")</f>
        <v/>
      </c>
    </row>
    <row r="23311">
      <c r="A23311" t="inlineStr">
        <is>
          <t>3473311801142</t>
        </is>
      </c>
      <c r="B23311" t="inlineStr">
        <is>
          <t>Sisley Phytopoudre Libre Ultra Lightweight Powder 04 Sable 12g</t>
        </is>
      </c>
      <c r="C23311" t="inlineStr">
        <is>
          <t>Powder</t>
        </is>
      </c>
      <c r="D23311" t="inlineStr">
        <is>
          <t>Sisley</t>
        </is>
      </c>
      <c r="E23311" t="n">
        <v>53.61</v>
      </c>
      <c r="F23311" t="n">
        <v>1</v>
      </c>
      <c r="G23311" t="n">
        <v>3</v>
      </c>
      <c r="H23311" s="5">
        <f>HYPERLINK("https://api.qogita.com/variants/link/3473311801142/", "View Product")</f>
        <v/>
      </c>
    </row>
    <row r="23312">
      <c r="A23312" t="inlineStr">
        <is>
          <t>3473311809124</t>
        </is>
      </c>
      <c r="B23312" t="inlineStr">
        <is>
          <t>Sisley Phyto-Teint Nude 3W1 Warm Almond 30ml</t>
        </is>
      </c>
      <c r="C23312" t="inlineStr">
        <is>
          <t>Foundation</t>
        </is>
      </c>
      <c r="D23312" t="inlineStr">
        <is>
          <t>Sisley</t>
        </is>
      </c>
      <c r="E23312" t="n">
        <v>49.47</v>
      </c>
      <c r="F23312" t="n">
        <v>1</v>
      </c>
      <c r="G23312" t="n">
        <v>5</v>
      </c>
      <c r="H23312" s="5">
        <f>HYPERLINK("https://api.qogita.com/variants/link/3473311809124/", "View Product")</f>
        <v/>
      </c>
    </row>
    <row r="23313">
      <c r="A23313" t="inlineStr">
        <is>
          <t>3473311809254</t>
        </is>
      </c>
      <c r="B23313" t="inlineStr">
        <is>
          <t>Sisley Phyto-Teint Nude Water Infused Second Skin Foundation 1N Ivory 30ml</t>
        </is>
      </c>
      <c r="C23313" t="inlineStr">
        <is>
          <t>Foundation</t>
        </is>
      </c>
      <c r="D23313" t="inlineStr">
        <is>
          <t>Sisley-Paris</t>
        </is>
      </c>
      <c r="E23313" t="n">
        <v>52.87</v>
      </c>
      <c r="F23313" t="n">
        <v>1</v>
      </c>
      <c r="G23313" t="n">
        <v>2</v>
      </c>
      <c r="H23313" s="5">
        <f>HYPERLINK("https://api.qogita.com/variants/link/3473311809254/", "View Product")</f>
        <v/>
      </c>
    </row>
    <row r="23314">
      <c r="A23314" t="inlineStr">
        <is>
          <t>3473311866011</t>
        </is>
      </c>
      <c r="B23314" t="inlineStr">
        <is>
          <t>Sisley Les Phytoombres Eye Shadow 10 Silky Cream 15 G</t>
        </is>
      </c>
      <c r="C23314" t="inlineStr">
        <is>
          <t>Eyeshadow</t>
        </is>
      </c>
      <c r="D23314" t="inlineStr">
        <is>
          <t>Sisley</t>
        </is>
      </c>
      <c r="E23314" t="n">
        <v>29.04</v>
      </c>
      <c r="F23314" t="n">
        <v>1</v>
      </c>
      <c r="G23314" t="n">
        <v>4</v>
      </c>
      <c r="H23314" s="5">
        <f>HYPERLINK("https://api.qogita.com/variants/link/3473311866011/", "View Product")</f>
        <v/>
      </c>
    </row>
    <row r="23315">
      <c r="A23315" t="inlineStr">
        <is>
          <t>3473311870162</t>
        </is>
      </c>
      <c r="B23315" t="inlineStr">
        <is>
          <t>Sisley Phytoeye Twist Eyeshadow 15 G Color Marine</t>
        </is>
      </c>
      <c r="C23315" t="inlineStr">
        <is>
          <t>Eyeshadow</t>
        </is>
      </c>
      <c r="D23315" t="inlineStr">
        <is>
          <t>Sisley</t>
        </is>
      </c>
      <c r="E23315" t="n">
        <v>28.71</v>
      </c>
      <c r="F23315" t="n">
        <v>1</v>
      </c>
      <c r="G23315" t="n">
        <v>4</v>
      </c>
      <c r="H23315" s="5">
        <f>HYPERLINK("https://api.qogita.com/variants/link/3473311870162/", "View Product")</f>
        <v/>
      </c>
    </row>
    <row r="23316">
      <c r="A23316" t="inlineStr">
        <is>
          <t>3473311873118</t>
        </is>
      </c>
      <c r="B23316" t="inlineStr">
        <is>
          <t>Sisley Phytokhol Perfect Eye Pencil 1 Black 12g</t>
        </is>
      </c>
      <c r="C23316" t="inlineStr">
        <is>
          <t>Eye Pencil</t>
        </is>
      </c>
      <c r="D23316" t="inlineStr">
        <is>
          <t>Sisley</t>
        </is>
      </c>
      <c r="E23316" t="n">
        <v>35.42</v>
      </c>
      <c r="F23316" t="n">
        <v>1</v>
      </c>
      <c r="G23316" t="n">
        <v>4</v>
      </c>
      <c r="H23316" s="5">
        <f>HYPERLINK("https://api.qogita.com/variants/link/3473311873118/", "View Product")</f>
        <v/>
      </c>
    </row>
    <row r="23317">
      <c r="A23317" t="inlineStr">
        <is>
          <t>3473311874245</t>
        </is>
      </c>
      <c r="B23317" t="inlineStr">
        <is>
          <t>Sisley Phytokhol Star Waterproof Eye Pencil 5 Sparkling Blue 03g Waterproof Eyeliner</t>
        </is>
      </c>
      <c r="C23317" t="inlineStr">
        <is>
          <t>Eye Pencil</t>
        </is>
      </c>
      <c r="D23317" t="inlineStr">
        <is>
          <t>Sisley</t>
        </is>
      </c>
      <c r="E23317" t="n">
        <v>29.82</v>
      </c>
      <c r="F23317" t="n">
        <v>1</v>
      </c>
      <c r="G23317" t="n">
        <v>5</v>
      </c>
      <c r="H23317" s="5">
        <f>HYPERLINK("https://api.qogita.com/variants/link/3473311874245/", "View Product")</f>
        <v/>
      </c>
    </row>
    <row r="23318">
      <c r="A23318" t="inlineStr">
        <is>
          <t>3473311874269</t>
        </is>
      </c>
      <c r="B23318" t="inlineStr">
        <is>
          <t>Sisley Phytokhol Star Waterproof Eye Pencil 7 Mystic Blue 03g Waterproof Eyeliner</t>
        </is>
      </c>
      <c r="C23318" t="inlineStr">
        <is>
          <t>Eye Pencil</t>
        </is>
      </c>
      <c r="D23318" t="inlineStr">
        <is>
          <t>Sisley</t>
        </is>
      </c>
      <c r="E23318" t="n">
        <v>29.29</v>
      </c>
      <c r="F23318" t="n">
        <v>1</v>
      </c>
      <c r="G23318" t="n">
        <v>2</v>
      </c>
      <c r="H23318" s="5">
        <f>HYPERLINK("https://api.qogita.com/variants/link/3473311874269/", "View Product")</f>
        <v/>
      </c>
    </row>
    <row r="23319">
      <c r="A23319" t="inlineStr">
        <is>
          <t>3473311904027</t>
        </is>
      </c>
      <c r="B23319" t="inlineStr">
        <is>
          <t>Sisley Eau De Campagne Eau De Toilette 100ml</t>
        </is>
      </c>
      <c r="C23319" t="inlineStr">
        <is>
          <t>Eau De Toilette</t>
        </is>
      </c>
      <c r="D23319" t="inlineStr">
        <is>
          <t>Sisley</t>
        </is>
      </c>
      <c r="E23319" t="n">
        <v>73.59</v>
      </c>
      <c r="F23319" t="n">
        <v>1</v>
      </c>
      <c r="G23319" t="n">
        <v>10</v>
      </c>
      <c r="H23319" s="5">
        <f>HYPERLINK("https://api.qogita.com/variants/link/3473311904027/", "View Product")</f>
        <v/>
      </c>
    </row>
    <row r="23320">
      <c r="A23320" t="inlineStr">
        <is>
          <t>3473311930002</t>
        </is>
      </c>
      <c r="B23320" t="inlineStr">
        <is>
          <t>Eau de Campagne Soap 100g</t>
        </is>
      </c>
      <c r="C23320" t="inlineStr">
        <is>
          <t>Soap</t>
        </is>
      </c>
      <c r="D23320" t="inlineStr">
        <is>
          <t>Sisley</t>
        </is>
      </c>
      <c r="E23320" t="n">
        <v>21.15</v>
      </c>
      <c r="F23320" t="n">
        <v>1</v>
      </c>
      <c r="G23320" t="n">
        <v>5</v>
      </c>
      <c r="H23320" s="5">
        <f>HYPERLINK("https://api.qogita.com/variants/link/3473311930002/", "View Product")</f>
        <v/>
      </c>
    </row>
    <row r="23321">
      <c r="A23321" t="inlineStr">
        <is>
          <t>3473311933607</t>
        </is>
      </c>
      <c r="B23321" t="inlineStr">
        <is>
          <t>L'EAU REVEE D'ARIA edt vapo 50ml</t>
        </is>
      </c>
      <c r="C23321" t="inlineStr">
        <is>
          <t>Eau De Toilette</t>
        </is>
      </c>
      <c r="D23321" t="inlineStr">
        <is>
          <t>Sisley</t>
        </is>
      </c>
      <c r="E23321" t="n">
        <v>61.34</v>
      </c>
      <c r="F23321" t="n">
        <v>1</v>
      </c>
      <c r="G23321" t="n">
        <v>2</v>
      </c>
      <c r="H23321" s="5">
        <f>HYPERLINK("https://api.qogita.com/variants/link/3473311933607/", "View Product")</f>
        <v/>
      </c>
    </row>
    <row r="23322">
      <c r="A23322" t="inlineStr">
        <is>
          <t>3473311935502</t>
        </is>
      </c>
      <c r="B23322" t="inlineStr">
        <is>
          <t>Sisley L'EAU REVEE D'HUBERT 50ml</t>
        </is>
      </c>
      <c r="C23322" t="inlineStr">
        <is>
          <t>Eau De Toilette</t>
        </is>
      </c>
      <c r="D23322" t="inlineStr">
        <is>
          <t>Sisley</t>
        </is>
      </c>
      <c r="E23322" t="n">
        <v>48.64</v>
      </c>
      <c r="F23322" t="n">
        <v>1</v>
      </c>
      <c r="G23322" t="n">
        <v>3</v>
      </c>
      <c r="H23322" s="5">
        <f>HYPERLINK("https://api.qogita.com/variants/link/3473311935502/", "View Product")</f>
        <v/>
      </c>
    </row>
    <row r="23323">
      <c r="A23323" t="inlineStr">
        <is>
          <t>3473311967015</t>
        </is>
      </c>
      <c r="B23323" t="inlineStr">
        <is>
          <t>Sisley Eau Du Soir Deodorant 150ml Perfumed Deodorant Spray</t>
        </is>
      </c>
      <c r="C23323" t="inlineStr">
        <is>
          <t>Deodorant &amp; Anti-Perspirant</t>
        </is>
      </c>
      <c r="D23323" t="inlineStr">
        <is>
          <t>Sisley</t>
        </is>
      </c>
      <c r="E23323" t="n">
        <v>31.28</v>
      </c>
      <c r="F23323" t="n">
        <v>1</v>
      </c>
      <c r="G23323" t="n">
        <v>6</v>
      </c>
      <c r="H23323" s="5">
        <f>HYPERLINK("https://api.qogita.com/variants/link/3473311967015/", "View Product")</f>
        <v/>
      </c>
    </row>
    <row r="23324">
      <c r="A23324" t="inlineStr">
        <is>
          <t>3473311983008</t>
        </is>
      </c>
      <c r="B23324" t="inlineStr">
        <is>
          <t>Sisley Hydrating Perfumed Cream</t>
        </is>
      </c>
      <c r="C23324" t="inlineStr">
        <is>
          <t>Face Cream</t>
        </is>
      </c>
      <c r="D23324" t="inlineStr">
        <is>
          <t>Sisley</t>
        </is>
      </c>
      <c r="E23324" t="n">
        <v>64.29000000000001</v>
      </c>
      <c r="F23324" t="n">
        <v>1</v>
      </c>
      <c r="G23324" t="n">
        <v>3</v>
      </c>
      <c r="H23324" s="5">
        <f>HYPERLINK("https://api.qogita.com/variants/link/3473311983008/", "View Product")</f>
        <v/>
      </c>
    </row>
    <row r="23325">
      <c r="A23325" t="inlineStr">
        <is>
          <t>3473311985705</t>
        </is>
      </c>
      <c r="B23325" t="inlineStr">
        <is>
          <t>Sisley Izia Moisturizing Perfumed Body Lotion 150ml</t>
        </is>
      </c>
      <c r="C23325" t="inlineStr">
        <is>
          <t>Body Lotion</t>
        </is>
      </c>
      <c r="D23325" t="inlineStr">
        <is>
          <t>Sisley-Paris</t>
        </is>
      </c>
      <c r="E23325" t="n">
        <v>57.85</v>
      </c>
      <c r="F23325" t="n">
        <v>1</v>
      </c>
      <c r="G23325" t="n">
        <v>2</v>
      </c>
      <c r="H23325" s="5">
        <f>HYPERLINK("https://api.qogita.com/variants/link/3473311985705/", "View Product")</f>
        <v/>
      </c>
    </row>
    <row r="23326">
      <c r="A23326" t="inlineStr">
        <is>
          <t>3474630258716</t>
        </is>
      </c>
      <c r="B23326" t="inlineStr">
        <is>
          <t>L'Oréal Paris Expert Professional Hair Cream 250 milliliters</t>
        </is>
      </c>
      <c r="C23326" t="inlineStr">
        <is>
          <t>Conditioner</t>
        </is>
      </c>
      <c r="D23326" t="inlineStr">
        <is>
          <t>L'Oréal Professionnel</t>
        </is>
      </c>
      <c r="E23326" t="n">
        <v>31.12</v>
      </c>
      <c r="F23326" t="n">
        <v>1</v>
      </c>
      <c r="G23326" t="n">
        <v>4</v>
      </c>
      <c r="H23326" s="5">
        <f>HYPERLINK("https://api.qogita.com/variants/link/3474630258716/", "View Product")</f>
        <v/>
      </c>
    </row>
    <row r="23327">
      <c r="A23327" t="inlineStr">
        <is>
          <t>3474630517790</t>
        </is>
      </c>
      <c r="B23327" t="inlineStr">
        <is>
          <t>L'Oréal Professional Men Compact Poker Paste Strong Hold Matte Finish 75ml</t>
        </is>
      </c>
      <c r="C23327" t="inlineStr">
        <is>
          <t>Wax</t>
        </is>
      </c>
      <c r="D23327" t="inlineStr">
        <is>
          <t>L'Oréal</t>
        </is>
      </c>
      <c r="E23327" t="n">
        <v>17.31</v>
      </c>
      <c r="F23327" t="n">
        <v>1</v>
      </c>
      <c r="G23327" t="n">
        <v>8</v>
      </c>
      <c r="H23327" s="5">
        <f>HYPERLINK("https://api.qogita.com/variants/link/3474630517790/", "View Product")</f>
        <v/>
      </c>
    </row>
    <row r="23328">
      <c r="A23328" t="inlineStr">
        <is>
          <t>3474630538115</t>
        </is>
      </c>
      <c r="B23328" t="inlineStr">
        <is>
          <t>Krastase Specifique Cleansing Soothing Shampoo 500ml For Sensitive Scalp</t>
        </is>
      </c>
      <c r="C23328" t="inlineStr">
        <is>
          <t>Shampoo</t>
        </is>
      </c>
      <c r="D23328" t="inlineStr">
        <is>
          <t>Kérastase</t>
        </is>
      </c>
      <c r="E23328" t="n">
        <v>42.36</v>
      </c>
      <c r="F23328" t="n">
        <v>1</v>
      </c>
      <c r="G23328" t="n">
        <v>2</v>
      </c>
      <c r="H23328" s="5">
        <f>HYPERLINK("https://api.qogita.com/variants/link/3474630538115/", "View Product")</f>
        <v/>
      </c>
    </row>
    <row r="23329">
      <c r="A23329" t="inlineStr">
        <is>
          <t>3474630542907</t>
        </is>
      </c>
      <c r="B23329" t="inlineStr">
        <is>
          <t>Krastase Mousse Bouffante 150ml Professional Hair Care Mousse</t>
        </is>
      </c>
      <c r="C23329" t="inlineStr">
        <is>
          <t>Mousse</t>
        </is>
      </c>
      <c r="D23329" t="inlineStr">
        <is>
          <t>Kérastase</t>
        </is>
      </c>
      <c r="E23329" t="n">
        <v>29.57</v>
      </c>
      <c r="F23329" t="n">
        <v>1</v>
      </c>
      <c r="G23329" t="n">
        <v>11</v>
      </c>
      <c r="H23329" s="5">
        <f>HYPERLINK("https://api.qogita.com/variants/link/3474630542907/", "View Product")</f>
        <v/>
      </c>
    </row>
    <row r="23330">
      <c r="A23330" t="inlineStr">
        <is>
          <t>3474630645004</t>
        </is>
      </c>
      <c r="B23330" t="inlineStr">
        <is>
          <t>Kerastase Laque Noire Strong Hairspray Protecting Against Humidity 300ml</t>
        </is>
      </c>
      <c r="C23330" t="inlineStr">
        <is>
          <t>Hairspray</t>
        </is>
      </c>
      <c r="D23330" t="inlineStr">
        <is>
          <t>Kérastase</t>
        </is>
      </c>
      <c r="E23330" t="n">
        <v>29.57</v>
      </c>
      <c r="F23330" t="n">
        <v>1</v>
      </c>
      <c r="G23330" t="n">
        <v>8</v>
      </c>
      <c r="H23330" s="5">
        <f>HYPERLINK("https://api.qogita.com/variants/link/3474630645004/", "View Product")</f>
        <v/>
      </c>
    </row>
    <row r="23331">
      <c r="A23331" t="inlineStr">
        <is>
          <t>3474630652439</t>
        </is>
      </c>
      <c r="B23331" t="inlineStr">
        <is>
          <t>Krastase Resistance Ciment Thermique For Damaged Hair Milk 150ml</t>
        </is>
      </c>
      <c r="C23331" t="inlineStr">
        <is>
          <t>Leave-In Conditioner</t>
        </is>
      </c>
      <c r="D23331" t="inlineStr">
        <is>
          <t>Kérastase</t>
        </is>
      </c>
      <c r="E23331" t="n">
        <v>29</v>
      </c>
      <c r="F23331" t="n">
        <v>1</v>
      </c>
      <c r="G23331" t="n">
        <v>10</v>
      </c>
      <c r="H23331" s="5">
        <f>HYPERLINK("https://api.qogita.com/variants/link/3474630652439/", "View Product")</f>
        <v/>
      </c>
    </row>
    <row r="23332">
      <c r="A23332" t="inlineStr">
        <is>
          <t>3474630652750</t>
        </is>
      </c>
      <c r="B23332" t="inlineStr">
        <is>
          <t>Shu Uemura Color Lustre Brilliant Glaze Conditioner 250ml</t>
        </is>
      </c>
      <c r="C23332" t="inlineStr">
        <is>
          <t>Conditioner</t>
        </is>
      </c>
      <c r="D23332" t="inlineStr">
        <is>
          <t>Shu Uemura</t>
        </is>
      </c>
      <c r="E23332" t="n">
        <v>53.82</v>
      </c>
      <c r="F23332" t="n">
        <v>1</v>
      </c>
      <c r="G23332" t="n">
        <v>2</v>
      </c>
      <c r="H23332" s="5">
        <f>HYPERLINK("https://api.qogita.com/variants/link/3474630652750/", "View Product")</f>
        <v/>
      </c>
    </row>
    <row r="23333">
      <c r="A23333" t="inlineStr">
        <is>
          <t>3474630661073</t>
        </is>
      </c>
      <c r="B23333" t="inlineStr">
        <is>
          <t>Krastase Densifying Treatment Mousse Densifique Densimorphose 150 Ml</t>
        </is>
      </c>
      <c r="C23333" t="inlineStr">
        <is>
          <t>Mousse</t>
        </is>
      </c>
      <c r="D23333" t="inlineStr">
        <is>
          <t>Kérastase</t>
        </is>
      </c>
      <c r="E23333" t="n">
        <v>29.57</v>
      </c>
      <c r="F23333" t="n">
        <v>1</v>
      </c>
      <c r="G23333" t="n">
        <v>15</v>
      </c>
      <c r="H23333" s="5">
        <f>HYPERLINK("https://api.qogita.com/variants/link/3474630661073/", "View Product")</f>
        <v/>
      </c>
    </row>
    <row r="23334">
      <c r="A23334" t="inlineStr">
        <is>
          <t>3474630691735</t>
        </is>
      </c>
      <c r="B23334" t="inlineStr">
        <is>
          <t>Loreal Majirel High Lift Neutr 50ml V511 Dark Brown</t>
        </is>
      </c>
      <c r="C23334" t="inlineStr">
        <is>
          <t>Hair Dye</t>
        </is>
      </c>
      <c r="D23334" t="inlineStr">
        <is>
          <t>L'Oréal Professionnel</t>
        </is>
      </c>
      <c r="E23334" t="n">
        <v>8.779999999999999</v>
      </c>
      <c r="F23334" t="n">
        <v>1</v>
      </c>
      <c r="G23334" t="n">
        <v>5</v>
      </c>
      <c r="H23334" s="5">
        <f>HYPERLINK("https://api.qogita.com/variants/link/3474630691735/", "View Product")</f>
        <v/>
      </c>
    </row>
    <row r="23335">
      <c r="A23335" t="inlineStr">
        <is>
          <t>3474630736450</t>
        </is>
      </c>
      <c r="B23335" t="inlineStr">
        <is>
          <t>Biolage Hydra Source Moisturizing Shampoo For Hair 1000ml</t>
        </is>
      </c>
      <c r="C23335" t="inlineStr">
        <is>
          <t>Shampoo</t>
        </is>
      </c>
      <c r="D23335" t="inlineStr">
        <is>
          <t>Biolage</t>
        </is>
      </c>
      <c r="E23335" t="n">
        <v>23.6</v>
      </c>
      <c r="F23335" t="n">
        <v>1</v>
      </c>
      <c r="G23335" t="n">
        <v>5</v>
      </c>
      <c r="H23335" s="5">
        <f>HYPERLINK("https://api.qogita.com/variants/link/3474630736450/", "View Product")</f>
        <v/>
      </c>
    </row>
    <row r="23336">
      <c r="A23336" t="inlineStr">
        <is>
          <t>3474630740259</t>
        </is>
      </c>
      <c r="B23336" t="inlineStr">
        <is>
          <t>Matrix Total Results High Amplify Protein Shampoo - 300ml</t>
        </is>
      </c>
      <c r="C23336" t="inlineStr">
        <is>
          <t>Shampoo</t>
        </is>
      </c>
      <c r="D23336" t="inlineStr">
        <is>
          <t>Matrix</t>
        </is>
      </c>
      <c r="E23336" t="n">
        <v>8.73</v>
      </c>
      <c r="F23336" t="n">
        <v>1</v>
      </c>
      <c r="G23336" t="n">
        <v>19</v>
      </c>
      <c r="H23336" s="5">
        <f>HYPERLINK("https://api.qogita.com/variants/link/3474630740259/", "View Product")</f>
        <v/>
      </c>
    </row>
    <row r="23337">
      <c r="A23337" t="inlineStr">
        <is>
          <t>3474630740716</t>
        </is>
      </c>
      <c r="B23337" t="inlineStr">
        <is>
          <t>Matrix Total Results Mega Sleek Shampoo For Smoothness 300ml</t>
        </is>
      </c>
      <c r="C23337" t="inlineStr">
        <is>
          <t>Shampoo</t>
        </is>
      </c>
      <c r="D23337" t="inlineStr">
        <is>
          <t>Matrix</t>
        </is>
      </c>
      <c r="E23337" t="n">
        <v>8.85</v>
      </c>
      <c r="F23337" t="n">
        <v>1</v>
      </c>
      <c r="G23337" t="n">
        <v>2</v>
      </c>
      <c r="H23337" s="5">
        <f>HYPERLINK("https://api.qogita.com/variants/link/3474630740716/", "View Product")</f>
        <v/>
      </c>
    </row>
    <row r="23338">
      <c r="A23338" t="inlineStr">
        <is>
          <t>3474630740853</t>
        </is>
      </c>
      <c r="B23338" t="inlineStr">
        <is>
          <t>Matrix Total Results Color Obsessed Shampoo For Color Care</t>
        </is>
      </c>
      <c r="C23338" t="inlineStr">
        <is>
          <t>Shampoo</t>
        </is>
      </c>
      <c r="D23338" t="inlineStr">
        <is>
          <t>Matrix</t>
        </is>
      </c>
      <c r="E23338" t="n">
        <v>9.380000000000001</v>
      </c>
      <c r="F23338" t="n">
        <v>1</v>
      </c>
      <c r="G23338" t="n">
        <v>12</v>
      </c>
      <c r="H23338" s="5">
        <f>HYPERLINK("https://api.qogita.com/variants/link/3474630740853/", "View Product")</f>
        <v/>
      </c>
    </row>
    <row r="23339">
      <c r="A23339" t="inlineStr">
        <is>
          <t>3474630740891</t>
        </is>
      </c>
      <c r="B23339" t="inlineStr">
        <is>
          <t>Matrix Total Results Color Obsessed Shampoo For Colored Hair 1000ml</t>
        </is>
      </c>
      <c r="C23339" t="inlineStr">
        <is>
          <t>Shampoo</t>
        </is>
      </c>
      <c r="D23339" t="inlineStr">
        <is>
          <t>Matrix</t>
        </is>
      </c>
      <c r="E23339" t="n">
        <v>16.84</v>
      </c>
      <c r="F23339" t="n">
        <v>1</v>
      </c>
      <c r="G23339" t="n">
        <v>9</v>
      </c>
      <c r="H23339" s="5">
        <f>HYPERLINK("https://api.qogita.com/variants/link/3474630740891/", "View Product")</f>
        <v/>
      </c>
    </row>
    <row r="23340">
      <c r="A23340" t="inlineStr">
        <is>
          <t>3474630741713</t>
        </is>
      </c>
      <c r="B23340" t="inlineStr">
        <is>
          <t>Matrix Total Results So Silver Color Obsessed Shampoo To Neutralize Yellow 300ml</t>
        </is>
      </c>
      <c r="C23340" t="inlineStr">
        <is>
          <t>Shampoo</t>
        </is>
      </c>
      <c r="D23340" t="inlineStr">
        <is>
          <t>Matrix</t>
        </is>
      </c>
      <c r="E23340" t="n">
        <v>9.57</v>
      </c>
      <c r="F23340" t="n">
        <v>1</v>
      </c>
      <c r="G23340" t="n">
        <v>4</v>
      </c>
      <c r="H23340" s="5">
        <f>HYPERLINK("https://api.qogita.com/variants/link/3474630741713/", "View Product")</f>
        <v/>
      </c>
    </row>
    <row r="23341">
      <c r="A23341" t="inlineStr">
        <is>
          <t>3474634003756</t>
        </is>
      </c>
      <c r="B23341" t="inlineStr">
        <is>
          <t>Loreal MAJIREL EU ABS HT/RC 4.15 14B V511 MJ 4,15 Medium Ash Mahogany 50ml</t>
        </is>
      </c>
      <c r="C23341" t="inlineStr">
        <is>
          <t>Hair Dye</t>
        </is>
      </c>
      <c r="D23341" t="inlineStr">
        <is>
          <t>L'Oréal</t>
        </is>
      </c>
      <c r="E23341" t="n">
        <v>7.15</v>
      </c>
      <c r="F23341" t="n">
        <v>1</v>
      </c>
      <c r="G23341" t="n">
        <v>3</v>
      </c>
      <c r="H23341" s="5">
        <f>HYPERLINK("https://api.qogita.com/variants/link/3474634003756/", "View Product")</f>
        <v/>
      </c>
    </row>
    <row r="23342">
      <c r="A23342" t="inlineStr">
        <is>
          <t>3474636397433</t>
        </is>
      </c>
      <c r="B23342" t="inlineStr">
        <is>
          <t>Krastase Bain Prvention 250ml</t>
        </is>
      </c>
      <c r="C23342" t="inlineStr">
        <is>
          <t>Shampoo</t>
        </is>
      </c>
      <c r="D23342" t="inlineStr">
        <is>
          <t>Kérastase</t>
        </is>
      </c>
      <c r="E23342" t="n">
        <v>23.32</v>
      </c>
      <c r="F23342" t="n">
        <v>1</v>
      </c>
      <c r="G23342" t="n">
        <v>11</v>
      </c>
      <c r="H23342" s="5">
        <f>HYPERLINK("https://api.qogita.com/variants/link/3474636397433/", "View Product")</f>
        <v/>
      </c>
    </row>
    <row r="23343">
      <c r="A23343" t="inlineStr">
        <is>
          <t>3474636397556</t>
        </is>
      </c>
      <c r="B23343" t="inlineStr">
        <is>
          <t>Krastase Antihair Loss Aminexil Force R10 Ampoules</t>
        </is>
      </c>
      <c r="C23343" t="inlineStr">
        <is>
          <t>Hair Tonic</t>
        </is>
      </c>
      <c r="D23343" t="inlineStr">
        <is>
          <t>Kérastase</t>
        </is>
      </c>
      <c r="E23343" t="n">
        <v>45.56</v>
      </c>
      <c r="F23343" t="n">
        <v>1</v>
      </c>
      <c r="G23343" t="n">
        <v>5</v>
      </c>
      <c r="H23343" s="5">
        <f>HYPERLINK("https://api.qogita.com/variants/link/3474636397556/", "View Product")</f>
        <v/>
      </c>
    </row>
    <row r="23344">
      <c r="A23344" t="inlineStr">
        <is>
          <t>3474636397884</t>
        </is>
      </c>
      <c r="B23344" t="inlineStr">
        <is>
          <t>Krastase Ciment Antiusure 200ml Restorative Cream For Damaged Hair</t>
        </is>
      </c>
      <c r="C23344" t="inlineStr">
        <is>
          <t>Conditioner</t>
        </is>
      </c>
      <c r="D23344" t="inlineStr">
        <is>
          <t>Kérastase</t>
        </is>
      </c>
      <c r="E23344" t="n">
        <v>31.86</v>
      </c>
      <c r="F23344" t="n">
        <v>1</v>
      </c>
      <c r="G23344" t="n">
        <v>5</v>
      </c>
      <c r="H23344" s="5">
        <f>HYPERLINK("https://api.qogita.com/variants/link/3474636397884/", "View Product")</f>
        <v/>
      </c>
    </row>
    <row r="23345">
      <c r="A23345" t="inlineStr">
        <is>
          <t>3474636397891</t>
        </is>
      </c>
      <c r="B23345" t="inlineStr">
        <is>
          <t>Krastase Bain Volume Shampoo For Fine Hair 250ml</t>
        </is>
      </c>
      <c r="C23345" t="inlineStr">
        <is>
          <t>Shampoo</t>
        </is>
      </c>
      <c r="D23345" t="inlineStr">
        <is>
          <t>Kérastase</t>
        </is>
      </c>
      <c r="E23345" t="n">
        <v>21.24</v>
      </c>
      <c r="F23345" t="n">
        <v>1</v>
      </c>
      <c r="G23345" t="n">
        <v>4</v>
      </c>
      <c r="H23345" s="5">
        <f>HYPERLINK("https://api.qogita.com/variants/link/3474636397891/", "View Product")</f>
        <v/>
      </c>
    </row>
    <row r="23346">
      <c r="A23346" t="inlineStr">
        <is>
          <t>3474636400201</t>
        </is>
      </c>
      <c r="B23346" t="inlineStr">
        <is>
          <t>Kerastase Discipline Fondant Fluidealiste Hair Conditioner 200ml</t>
        </is>
      </c>
      <c r="C23346" t="inlineStr">
        <is>
          <t>Conditioner</t>
        </is>
      </c>
      <c r="D23346" t="inlineStr">
        <is>
          <t>Kérastase</t>
        </is>
      </c>
      <c r="E23346" t="n">
        <v>28.84</v>
      </c>
      <c r="F23346" t="n">
        <v>1</v>
      </c>
      <c r="G23346" t="n">
        <v>4</v>
      </c>
      <c r="H23346" s="5">
        <f>HYPERLINK("https://api.qogita.com/variants/link/3474636400201/", "View Product")</f>
        <v/>
      </c>
    </row>
    <row r="23347">
      <c r="A23347" t="inlineStr">
        <is>
          <t>3474636403912</t>
        </is>
      </c>
      <c r="B23347" t="inlineStr">
        <is>
          <t>Krastase Bain Densifique 250ml Shampoo For Hair Lacking Density</t>
        </is>
      </c>
      <c r="C23347" t="inlineStr">
        <is>
          <t>Shampoo</t>
        </is>
      </c>
      <c r="D23347" t="inlineStr">
        <is>
          <t>Kérastase</t>
        </is>
      </c>
      <c r="E23347" t="n">
        <v>23.32</v>
      </c>
      <c r="F23347" t="n">
        <v>1</v>
      </c>
      <c r="G23347" t="n">
        <v>11</v>
      </c>
      <c r="H23347" s="5">
        <f>HYPERLINK("https://api.qogita.com/variants/link/3474636403912/", "View Product")</f>
        <v/>
      </c>
    </row>
    <row r="23348">
      <c r="A23348" t="inlineStr">
        <is>
          <t>3474636484805</t>
        </is>
      </c>
      <c r="B23348" t="inlineStr">
        <is>
          <t>Matrix Total Results Brass Off Shampoo 300ml</t>
        </is>
      </c>
      <c r="C23348" t="inlineStr">
        <is>
          <t>Shampoo</t>
        </is>
      </c>
      <c r="D23348" t="inlineStr">
        <is>
          <t>Matrix</t>
        </is>
      </c>
      <c r="E23348" t="n">
        <v>11.21</v>
      </c>
      <c r="F23348" t="n">
        <v>1</v>
      </c>
      <c r="G23348" t="n">
        <v>16</v>
      </c>
      <c r="H23348" s="5">
        <f>HYPERLINK("https://api.qogita.com/variants/link/3474636484805/", "View Product")</f>
        <v/>
      </c>
    </row>
    <row r="23349">
      <c r="A23349" t="inlineStr">
        <is>
          <t>3474636531592</t>
        </is>
      </c>
      <c r="B23349" t="inlineStr">
        <is>
          <t>Loreal Majirel Hair Color Cream Various Shades 50ml</t>
        </is>
      </c>
      <c r="C23349" t="inlineStr">
        <is>
          <t>Hair Dye</t>
        </is>
      </c>
      <c r="D23349" t="inlineStr">
        <is>
          <t>L'Oréal Paris</t>
        </is>
      </c>
      <c r="E23349" t="n">
        <v>8.880000000000001</v>
      </c>
      <c r="F23349" t="n">
        <v>1</v>
      </c>
      <c r="G23349" t="n">
        <v>3</v>
      </c>
      <c r="H23349" s="5">
        <f>HYPERLINK("https://api.qogita.com/variants/link/3474636531592/", "View Product")</f>
        <v/>
      </c>
    </row>
    <row r="23350">
      <c r="A23350" t="inlineStr">
        <is>
          <t>3474636531929</t>
        </is>
      </c>
      <c r="B23350" t="inlineStr">
        <is>
          <t>L'Oreal Expert Professionnel MAJIREL Ionene G Cream Hair Color 5.32 50ml</t>
        </is>
      </c>
      <c r="C23350" t="inlineStr">
        <is>
          <t>Hair Dye</t>
        </is>
      </c>
      <c r="D23350" t="inlineStr">
        <is>
          <t>L'Oréal Professionnel</t>
        </is>
      </c>
      <c r="E23350" t="n">
        <v>8.4</v>
      </c>
      <c r="F23350" t="n">
        <v>1</v>
      </c>
      <c r="G23350" t="n">
        <v>2</v>
      </c>
      <c r="H23350" s="5">
        <f>HYPERLINK("https://api.qogita.com/variants/link/3474636531929/", "View Product")</f>
        <v/>
      </c>
    </row>
    <row r="23351">
      <c r="A23351" t="inlineStr">
        <is>
          <t>3474636612666</t>
        </is>
      </c>
      <c r="B23351" t="inlineStr">
        <is>
          <t>Krastase Resistance Bain Extensioniste Length Strengthening Shampoo 250 Ml</t>
        </is>
      </c>
      <c r="C23351" t="inlineStr">
        <is>
          <t>Shampoo</t>
        </is>
      </c>
      <c r="D23351" t="inlineStr">
        <is>
          <t>Kérastase</t>
        </is>
      </c>
      <c r="E23351" t="n">
        <v>23.32</v>
      </c>
      <c r="F23351" t="n">
        <v>1</v>
      </c>
      <c r="G23351" t="n">
        <v>11</v>
      </c>
      <c r="H23351" s="5">
        <f>HYPERLINK("https://api.qogita.com/variants/link/3474636612666/", "View Product")</f>
        <v/>
      </c>
    </row>
    <row r="23352">
      <c r="A23352" t="inlineStr">
        <is>
          <t>3474636612918</t>
        </is>
      </c>
      <c r="B23352" t="inlineStr">
        <is>
          <t>Krastase Fondant Extensioniste Length Strengthening Conditioner 200 Ml</t>
        </is>
      </c>
      <c r="C23352" t="inlineStr">
        <is>
          <t>Conditioner</t>
        </is>
      </c>
      <c r="D23352" t="inlineStr">
        <is>
          <t>Kérastase</t>
        </is>
      </c>
      <c r="E23352" t="n">
        <v>30.99</v>
      </c>
      <c r="F23352" t="n">
        <v>1</v>
      </c>
      <c r="G23352" t="n">
        <v>10</v>
      </c>
      <c r="H23352" s="5">
        <f>HYPERLINK("https://api.qogita.com/variants/link/3474636612918/", "View Product")</f>
        <v/>
      </c>
    </row>
    <row r="23353">
      <c r="A23353" t="inlineStr">
        <is>
          <t>3474636692231</t>
        </is>
      </c>
      <c r="B23353" t="inlineStr">
        <is>
          <t>Krastase Blond Absolu Bain Ultra Violet Shampoo 250ml Antibrass Purple Shampoo For Blond Hair</t>
        </is>
      </c>
      <c r="C23353" t="inlineStr">
        <is>
          <t>Shampoo</t>
        </is>
      </c>
      <c r="D23353" t="inlineStr">
        <is>
          <t>Kérastase</t>
        </is>
      </c>
      <c r="E23353" t="n">
        <v>23.32</v>
      </c>
      <c r="F23353" t="n">
        <v>1</v>
      </c>
      <c r="G23353" t="n">
        <v>11</v>
      </c>
      <c r="H23353" s="5">
        <f>HYPERLINK("https://api.qogita.com/variants/link/3474636692231/", "View Product")</f>
        <v/>
      </c>
    </row>
    <row r="23354">
      <c r="A23354" t="inlineStr">
        <is>
          <t>3474636692361</t>
        </is>
      </c>
      <c r="B23354" t="inlineStr">
        <is>
          <t>Krastase Blond Absolu Cicaflash Intense Fortifying Treatment 250 Ml</t>
        </is>
      </c>
      <c r="C23354" t="inlineStr">
        <is>
          <t>Hair Masks</t>
        </is>
      </c>
      <c r="D23354" t="inlineStr">
        <is>
          <t>Kérastase</t>
        </is>
      </c>
      <c r="E23354" t="n">
        <v>32.03</v>
      </c>
      <c r="F23354" t="n">
        <v>1</v>
      </c>
      <c r="G23354" t="n">
        <v>11</v>
      </c>
      <c r="H23354" s="5">
        <f>HYPERLINK("https://api.qogita.com/variants/link/3474636692361/", "View Product")</f>
        <v/>
      </c>
    </row>
    <row r="23355">
      <c r="A23355" t="inlineStr">
        <is>
          <t>3474636800360</t>
        </is>
      </c>
      <c r="B23355" t="inlineStr">
        <is>
          <t>Krastase Fusioscrub Purifying 250ml Unisex Exfoliating Scrub For Oily Scalp</t>
        </is>
      </c>
      <c r="C23355" t="inlineStr">
        <is>
          <t>Scalp Care</t>
        </is>
      </c>
      <c r="D23355" t="inlineStr">
        <is>
          <t>Kérastase</t>
        </is>
      </c>
      <c r="E23355" t="n">
        <v>49.03</v>
      </c>
      <c r="F23355" t="n">
        <v>1</v>
      </c>
      <c r="G23355" t="n">
        <v>5</v>
      </c>
      <c r="H23355" s="5">
        <f>HYPERLINK("https://api.qogita.com/variants/link/3474636800360/", "View Product")</f>
        <v/>
      </c>
    </row>
    <row r="23356">
      <c r="A23356" t="inlineStr">
        <is>
          <t>3474636819713</t>
        </is>
      </c>
      <c r="B23356" t="inlineStr">
        <is>
          <t>L'Oreal Professionnel Steampod 3 Hair Straightener</t>
        </is>
      </c>
      <c r="C23356" t="inlineStr">
        <is>
          <t>Hair Straighteners</t>
        </is>
      </c>
      <c r="D23356" t="inlineStr">
        <is>
          <t>Lo'real Professionnel</t>
        </is>
      </c>
      <c r="E23356" t="n">
        <v>238.99</v>
      </c>
      <c r="F23356" t="n">
        <v>1</v>
      </c>
      <c r="G23356" t="n">
        <v>5</v>
      </c>
      <c r="H23356" s="5">
        <f>HYPERLINK("https://api.qogita.com/variants/link/3474636819713/", "View Product")</f>
        <v/>
      </c>
    </row>
    <row r="23357">
      <c r="A23357" t="inlineStr">
        <is>
          <t>3474636857814</t>
        </is>
      </c>
      <c r="B23357" t="inlineStr">
        <is>
          <t>Krastase Genesis Bain Hydrafortifiant 250ml Professional Hair Care</t>
        </is>
      </c>
      <c r="C23357" t="inlineStr">
        <is>
          <t>Shampoo</t>
        </is>
      </c>
      <c r="D23357" t="inlineStr">
        <is>
          <t>Kérastase</t>
        </is>
      </c>
      <c r="E23357" t="n">
        <v>23.32</v>
      </c>
      <c r="F23357" t="n">
        <v>1</v>
      </c>
      <c r="G23357" t="n">
        <v>7</v>
      </c>
      <c r="H23357" s="5">
        <f>HYPERLINK("https://api.qogita.com/variants/link/3474636857814/", "View Product")</f>
        <v/>
      </c>
    </row>
    <row r="23358">
      <c r="A23358" t="inlineStr">
        <is>
          <t>3474636858033</t>
        </is>
      </c>
      <c r="B23358" t="inlineStr">
        <is>
          <t>Krastase Genesis Bain Nutrifortifiant 250ml Anti Hairfall Fortifying Shampoo For Weak Hair</t>
        </is>
      </c>
      <c r="C23358" t="inlineStr">
        <is>
          <t>Shampoo</t>
        </is>
      </c>
      <c r="D23358" t="inlineStr">
        <is>
          <t>Kérastase</t>
        </is>
      </c>
      <c r="E23358" t="n">
        <v>23.32</v>
      </c>
      <c r="F23358" t="n">
        <v>1</v>
      </c>
      <c r="G23358" t="n">
        <v>9</v>
      </c>
      <c r="H23358" s="5">
        <f>HYPERLINK("https://api.qogita.com/variants/link/3474636858033/", "View Product")</f>
        <v/>
      </c>
    </row>
    <row r="23359">
      <c r="A23359" t="inlineStr">
        <is>
          <t>3474636876853</t>
        </is>
      </c>
      <c r="B23359" t="inlineStr">
        <is>
          <t>Shu Uemura Shiki Worker Blow Dry Serum 150 Ml</t>
        </is>
      </c>
      <c r="C23359" t="inlineStr">
        <is>
          <t>Hair Oil &amp; Hair Serum</t>
        </is>
      </c>
      <c r="D23359" t="inlineStr">
        <is>
          <t>Shu Uemura</t>
        </is>
      </c>
      <c r="E23359" t="n">
        <v>41.12</v>
      </c>
      <c r="F23359" t="n">
        <v>1</v>
      </c>
      <c r="G23359" t="n">
        <v>5</v>
      </c>
      <c r="H23359" s="5">
        <f>HYPERLINK("https://api.qogita.com/variants/link/3474636876853/", "View Product")</f>
        <v/>
      </c>
    </row>
    <row r="23360">
      <c r="A23360" t="inlineStr">
        <is>
          <t>3474636876860</t>
        </is>
      </c>
      <c r="B23360" t="inlineStr">
        <is>
          <t>Shu Uemura Netsu Design Blow Dry Cream 150 Ml Nourishing And Thermal Protection Cream</t>
        </is>
      </c>
      <c r="C23360" t="inlineStr">
        <is>
          <t>Uv Protection</t>
        </is>
      </c>
      <c r="D23360" t="inlineStr">
        <is>
          <t>Shu Uemura</t>
        </is>
      </c>
      <c r="E23360" t="n">
        <v>41.12</v>
      </c>
      <c r="F23360" t="n">
        <v>1</v>
      </c>
      <c r="G23360" t="n">
        <v>2</v>
      </c>
      <c r="H23360" s="5">
        <f>HYPERLINK("https://api.qogita.com/variants/link/3474636876860/", "View Product")</f>
        <v/>
      </c>
    </row>
    <row r="23361">
      <c r="A23361" t="inlineStr">
        <is>
          <t>3474636876884</t>
        </is>
      </c>
      <c r="B23361" t="inlineStr">
        <is>
          <t>Shu Uemura Nendo Definer Matte Clay 75ml Styling Clay For Hair</t>
        </is>
      </c>
      <c r="C23361" t="inlineStr">
        <is>
          <t>Wax</t>
        </is>
      </c>
      <c r="D23361" t="inlineStr">
        <is>
          <t>Shu Uemura</t>
        </is>
      </c>
      <c r="E23361" t="n">
        <v>40.21</v>
      </c>
      <c r="F23361" t="n">
        <v>1</v>
      </c>
      <c r="G23361" t="n">
        <v>2</v>
      </c>
      <c r="H23361" s="5">
        <f>HYPERLINK("https://api.qogita.com/variants/link/3474636876884/", "View Product")</f>
        <v/>
      </c>
    </row>
    <row r="23362">
      <c r="A23362" t="inlineStr">
        <is>
          <t>3474636909742</t>
        </is>
      </c>
      <c r="B23362" t="inlineStr">
        <is>
          <t>Shu Uemura Intense Revitalization Hair Mask Ashita Supreme Size 200 Ml</t>
        </is>
      </c>
      <c r="C23362" t="inlineStr">
        <is>
          <t>Hair Masks</t>
        </is>
      </c>
      <c r="D23362" t="inlineStr">
        <is>
          <t>Shu Uemura</t>
        </is>
      </c>
      <c r="E23362" t="n">
        <v>83.18000000000001</v>
      </c>
      <c r="F23362" t="n">
        <v>1</v>
      </c>
      <c r="G23362" t="n">
        <v>9</v>
      </c>
      <c r="H23362" s="5">
        <f>HYPERLINK("https://api.qogita.com/variants/link/3474636909742/", "View Product")</f>
        <v/>
      </c>
    </row>
    <row r="23363">
      <c r="A23363" t="inlineStr">
        <is>
          <t>3474636920242</t>
        </is>
      </c>
      <c r="B23363" t="inlineStr">
        <is>
          <t>Redken Frizz Dismiss Shampoo 300ml Sulfatefree Shampoo For Humidity Protection And Smoothing</t>
        </is>
      </c>
      <c r="C23363" t="inlineStr">
        <is>
          <t>Shampoo</t>
        </is>
      </c>
      <c r="D23363" t="inlineStr">
        <is>
          <t>Redken</t>
        </is>
      </c>
      <c r="E23363" t="n">
        <v>17.15</v>
      </c>
      <c r="F23363" t="n">
        <v>1</v>
      </c>
      <c r="G23363" t="n">
        <v>3</v>
      </c>
      <c r="H23363" s="5">
        <f>HYPERLINK("https://api.qogita.com/variants/link/3474636920242/", "View Product")</f>
        <v/>
      </c>
    </row>
    <row r="23364">
      <c r="A23364" t="inlineStr">
        <is>
          <t>3474636954766</t>
        </is>
      </c>
      <c r="B23364" t="inlineStr">
        <is>
          <t>Krastase Spcifique Bain Divalent 250ml Soothing Hair Shampoo</t>
        </is>
      </c>
      <c r="C23364" t="inlineStr">
        <is>
          <t>Shampoo</t>
        </is>
      </c>
      <c r="D23364" t="inlineStr">
        <is>
          <t>Kérastase</t>
        </is>
      </c>
      <c r="E23364" t="n">
        <v>27.22</v>
      </c>
      <c r="F23364" t="n">
        <v>1</v>
      </c>
      <c r="G23364" t="n">
        <v>12</v>
      </c>
      <c r="H23364" s="5">
        <f>HYPERLINK("https://api.qogita.com/variants/link/3474636954766/", "View Product")</f>
        <v/>
      </c>
    </row>
    <row r="23365">
      <c r="A23365" t="inlineStr">
        <is>
          <t>3474636968701</t>
        </is>
      </c>
      <c r="B23365" t="inlineStr">
        <is>
          <t>Krastase Curl Manifesto Huile Sublime Repair 50ml Nourishing Oil For Wavy And Curly Hair</t>
        </is>
      </c>
      <c r="C23365" t="inlineStr">
        <is>
          <t>Hair Oil &amp; Hair Serum</t>
        </is>
      </c>
      <c r="D23365" t="inlineStr">
        <is>
          <t>Kérastase</t>
        </is>
      </c>
      <c r="E23365" t="n">
        <v>36.7</v>
      </c>
      <c r="F23365" t="n">
        <v>1</v>
      </c>
      <c r="G23365" t="n">
        <v>9</v>
      </c>
      <c r="H23365" s="5">
        <f>HYPERLINK("https://api.qogita.com/variants/link/3474636968701/", "View Product")</f>
        <v/>
      </c>
    </row>
    <row r="23366">
      <c r="A23366" t="inlineStr">
        <is>
          <t>3474636974115</t>
        </is>
      </c>
      <c r="B23366" t="inlineStr">
        <is>
          <t>L'Oral Professionnel Expert Silver Shampoo For Damaged And Colored Hair Neutralizing Shampoo For Gray And White Hair</t>
        </is>
      </c>
      <c r="C23366" t="inlineStr">
        <is>
          <t>Shampoo</t>
        </is>
      </c>
      <c r="D23366" t="inlineStr">
        <is>
          <t>L'Oréal Professionnel</t>
        </is>
      </c>
      <c r="E23366" t="n">
        <v>12.69</v>
      </c>
      <c r="F23366" t="n">
        <v>1</v>
      </c>
      <c r="G23366" t="n">
        <v>5</v>
      </c>
      <c r="H23366" s="5">
        <f>HYPERLINK("https://api.qogita.com/variants/link/3474636974115/", "View Product")</f>
        <v/>
      </c>
    </row>
    <row r="23367">
      <c r="A23367" t="inlineStr">
        <is>
          <t>3474636975495</t>
        </is>
      </c>
      <c r="B23367" t="inlineStr">
        <is>
          <t>L'Oreal Professionnel Serie Expert Blondifier Conditioner 500ml</t>
        </is>
      </c>
      <c r="C23367" t="inlineStr">
        <is>
          <t>Conditioner</t>
        </is>
      </c>
      <c r="D23367" t="inlineStr">
        <is>
          <t>Lo'real Professionnel</t>
        </is>
      </c>
      <c r="E23367" t="n">
        <v>35.55</v>
      </c>
      <c r="F23367" t="n">
        <v>1</v>
      </c>
      <c r="G23367" t="n">
        <v>9</v>
      </c>
      <c r="H23367" s="5">
        <f>HYPERLINK("https://api.qogita.com/variants/link/3474636975495/", "View Product")</f>
        <v/>
      </c>
    </row>
    <row r="23368">
      <c r="A23368" t="inlineStr">
        <is>
          <t>3474636975570</t>
        </is>
      </c>
      <c r="B23368" t="inlineStr">
        <is>
          <t>L'Oreal Professionel Serie Expert Magnesium silver shampoo 1500ml</t>
        </is>
      </c>
      <c r="C23368" t="inlineStr">
        <is>
          <t>Shampoo</t>
        </is>
      </c>
      <c r="D23368" t="inlineStr">
        <is>
          <t>L'Oréal Paris</t>
        </is>
      </c>
      <c r="E23368" t="n">
        <v>27.17</v>
      </c>
      <c r="F23368" t="n">
        <v>1</v>
      </c>
      <c r="G23368" t="n">
        <v>9</v>
      </c>
      <c r="H23368" s="5">
        <f>HYPERLINK("https://api.qogita.com/variants/link/3474636975570/", "View Product")</f>
        <v/>
      </c>
    </row>
    <row r="23369">
      <c r="A23369" t="inlineStr">
        <is>
          <t>3474636975624</t>
        </is>
      </c>
      <c r="B23369" t="inlineStr">
        <is>
          <t>L'Oral Professionnel Liss Unlimited Mask 500ml Smoothing Mask For Frizzy And Unruly Hair</t>
        </is>
      </c>
      <c r="C23369" t="inlineStr">
        <is>
          <t>Hair Masks</t>
        </is>
      </c>
      <c r="D23369" t="inlineStr">
        <is>
          <t>L'Oréal Professionnel</t>
        </is>
      </c>
      <c r="E23369" t="n">
        <v>17.97</v>
      </c>
      <c r="F23369" t="n">
        <v>1</v>
      </c>
      <c r="G23369" t="n">
        <v>5</v>
      </c>
      <c r="H23369" s="5">
        <f>HYPERLINK("https://api.qogita.com/variants/link/3474636975624/", "View Product")</f>
        <v/>
      </c>
    </row>
    <row r="23370">
      <c r="A23370" t="inlineStr">
        <is>
          <t>3474636975679</t>
        </is>
      </c>
      <c r="B23370" t="inlineStr">
        <is>
          <t>L'Oréal Vitamino Colour Mask 500ml</t>
        </is>
      </c>
      <c r="C23370" t="inlineStr">
        <is>
          <t>Hair Masks</t>
        </is>
      </c>
      <c r="D23370" t="inlineStr">
        <is>
          <t>L'Oréal Paris</t>
        </is>
      </c>
      <c r="E23370" t="n">
        <v>20.9</v>
      </c>
      <c r="F23370" t="n">
        <v>1</v>
      </c>
      <c r="G23370" t="n">
        <v>21</v>
      </c>
      <c r="H23370" s="5">
        <f>HYPERLINK("https://api.qogita.com/variants/link/3474636975679/", "View Product")</f>
        <v/>
      </c>
    </row>
    <row r="23371">
      <c r="A23371" t="inlineStr">
        <is>
          <t>3474636975891</t>
        </is>
      </c>
      <c r="B23371" t="inlineStr">
        <is>
          <t>L'Oral Professionnel Blondifier Gloss Shampoo 500ml Brightening Shampoo For Blond Hair</t>
        </is>
      </c>
      <c r="C23371" t="inlineStr">
        <is>
          <t>Shampoo</t>
        </is>
      </c>
      <c r="D23371" t="inlineStr">
        <is>
          <t>L'Oréal Professionnel</t>
        </is>
      </c>
      <c r="E23371" t="n">
        <v>17.3</v>
      </c>
      <c r="F23371" t="n">
        <v>1</v>
      </c>
      <c r="G23371" t="n">
        <v>3</v>
      </c>
      <c r="H23371" s="5">
        <f>HYPERLINK("https://api.qogita.com/variants/link/3474636975891/", "View Product")</f>
        <v/>
      </c>
    </row>
    <row r="23372">
      <c r="A23372" t="inlineStr">
        <is>
          <t>3474636975914</t>
        </is>
      </c>
      <c r="B23372" t="inlineStr">
        <is>
          <t>L'Oral Professionnel Absolut Repair Gold Shampoo 500ml</t>
        </is>
      </c>
      <c r="C23372" t="inlineStr">
        <is>
          <t>Shampoo</t>
        </is>
      </c>
      <c r="D23372" t="inlineStr">
        <is>
          <t>L'Oréal Professionnel</t>
        </is>
      </c>
      <c r="E23372" t="n">
        <v>17.56</v>
      </c>
      <c r="F23372" t="n">
        <v>1</v>
      </c>
      <c r="G23372" t="n">
        <v>7</v>
      </c>
      <c r="H23372" s="5">
        <f>HYPERLINK("https://api.qogita.com/variants/link/3474636975914/", "View Product")</f>
        <v/>
      </c>
    </row>
    <row r="23373">
      <c r="A23373" t="inlineStr">
        <is>
          <t>3474636976089</t>
        </is>
      </c>
      <c r="B23373" t="inlineStr">
        <is>
          <t>L'Oral Professionnel Absolut Repair Professional Conditioner 200ml</t>
        </is>
      </c>
      <c r="C23373" t="inlineStr">
        <is>
          <t>Conditioner</t>
        </is>
      </c>
      <c r="D23373" t="inlineStr">
        <is>
          <t>L'Oréal Professionnel</t>
        </is>
      </c>
      <c r="E23373" t="n">
        <v>13.74</v>
      </c>
      <c r="F23373" t="n">
        <v>1</v>
      </c>
      <c r="G23373" t="n">
        <v>31</v>
      </c>
      <c r="H23373" s="5">
        <f>HYPERLINK("https://api.qogita.com/variants/link/3474636976089/", "View Product")</f>
        <v/>
      </c>
    </row>
    <row r="23374">
      <c r="A23374" t="inlineStr">
        <is>
          <t>3474637059125</t>
        </is>
      </c>
      <c r="B23374" t="inlineStr">
        <is>
          <t>Krastase Chroma Masque Filler 500ml Intensively Nourishing Mask For Colored Hair</t>
        </is>
      </c>
      <c r="C23374" t="inlineStr">
        <is>
          <t>Hair Masks</t>
        </is>
      </c>
      <c r="D23374" t="inlineStr">
        <is>
          <t>Kérastase</t>
        </is>
      </c>
      <c r="E23374" t="n">
        <v>64.90000000000001</v>
      </c>
      <c r="F23374" t="n">
        <v>1</v>
      </c>
      <c r="G23374" t="n">
        <v>17</v>
      </c>
      <c r="H23374" s="5">
        <f>HYPERLINK("https://api.qogita.com/variants/link/3474637059125/", "View Product")</f>
        <v/>
      </c>
    </row>
    <row r="23375">
      <c r="A23375" t="inlineStr">
        <is>
          <t>3474637068608</t>
        </is>
      </c>
      <c r="B23375" t="inlineStr">
        <is>
          <t>Matrix Hair Conditioner for Damaged Hair - Strengthens and Anti-Breakage</t>
        </is>
      </c>
      <c r="C23375" t="inlineStr">
        <is>
          <t>Conditioner</t>
        </is>
      </c>
      <c r="D23375" t="inlineStr">
        <is>
          <t>Matrix</t>
        </is>
      </c>
      <c r="E23375" t="n">
        <v>9.57</v>
      </c>
      <c r="F23375" t="n">
        <v>1</v>
      </c>
      <c r="G23375" t="n">
        <v>6</v>
      </c>
      <c r="H23375" s="5">
        <f>HYPERLINK("https://api.qogita.com/variants/link/3474637068608/", "View Product")</f>
        <v/>
      </c>
    </row>
    <row r="23376">
      <c r="A23376" t="inlineStr">
        <is>
          <t>3474637068646</t>
        </is>
      </c>
      <c r="B23376" t="inlineStr">
        <is>
          <t>Matrix Total Results InstaCure Hair Shampoo for Damaged Hair 1000ml</t>
        </is>
      </c>
      <c r="C23376" t="inlineStr">
        <is>
          <t>Shampoo</t>
        </is>
      </c>
      <c r="D23376" t="inlineStr">
        <is>
          <t>Matrix</t>
        </is>
      </c>
      <c r="E23376" t="n">
        <v>21.05</v>
      </c>
      <c r="F23376" t="n">
        <v>1</v>
      </c>
      <c r="G23376" t="n">
        <v>9</v>
      </c>
      <c r="H23376" s="5">
        <f>HYPERLINK("https://api.qogita.com/variants/link/3474637068646/", "View Product")</f>
        <v/>
      </c>
    </row>
    <row r="23377">
      <c r="A23377" t="inlineStr">
        <is>
          <t>3474637068653</t>
        </is>
      </c>
      <c r="B23377" t="inlineStr">
        <is>
          <t>Matrix Total Results Insta Cure Shampoo For Hair 300ml</t>
        </is>
      </c>
      <c r="C23377" t="inlineStr">
        <is>
          <t>Shampoo</t>
        </is>
      </c>
      <c r="D23377" t="inlineStr">
        <is>
          <t>Matrix</t>
        </is>
      </c>
      <c r="E23377" t="n">
        <v>9.529999999999999</v>
      </c>
      <c r="F23377" t="n">
        <v>1</v>
      </c>
      <c r="G23377" t="n">
        <v>18</v>
      </c>
      <c r="H23377" s="5">
        <f>HYPERLINK("https://api.qogita.com/variants/link/3474637068653/", "View Product")</f>
        <v/>
      </c>
    </row>
    <row r="23378">
      <c r="A23378" t="inlineStr">
        <is>
          <t>3474637069094</t>
        </is>
      </c>
      <c r="B23378" t="inlineStr">
        <is>
          <t>L'Oral Professionnel Curl Expression Clarifying Shampoo 1500ml For Wavy And Curly Hair</t>
        </is>
      </c>
      <c r="C23378" t="inlineStr">
        <is>
          <t>Shampoo</t>
        </is>
      </c>
      <c r="D23378" t="inlineStr">
        <is>
          <t>L'Oréal Professionnel</t>
        </is>
      </c>
      <c r="E23378" t="n">
        <v>27.83</v>
      </c>
      <c r="F23378" t="n">
        <v>1</v>
      </c>
      <c r="G23378" t="n">
        <v>5</v>
      </c>
      <c r="H23378" s="5">
        <f>HYPERLINK("https://api.qogita.com/variants/link/3474637069094/", "View Product")</f>
        <v/>
      </c>
    </row>
    <row r="23379">
      <c r="A23379" t="inlineStr">
        <is>
          <t>3474637069155</t>
        </is>
      </c>
      <c r="B23379" t="inlineStr">
        <is>
          <t>L'Oreal Professionnel Curl Activator Jelly - 250ml</t>
        </is>
      </c>
      <c r="C23379" t="inlineStr">
        <is>
          <t>Gel</t>
        </is>
      </c>
      <c r="D23379" t="inlineStr">
        <is>
          <t>Lo'real Professionnel</t>
        </is>
      </c>
      <c r="E23379" t="n">
        <v>19.8</v>
      </c>
      <c r="F23379" t="n">
        <v>1</v>
      </c>
      <c r="G23379" t="n">
        <v>5</v>
      </c>
      <c r="H23379" s="5">
        <f>HYPERLINK("https://api.qogita.com/variants/link/3474637069155/", "View Product")</f>
        <v/>
      </c>
    </row>
    <row r="23380">
      <c r="A23380" t="inlineStr">
        <is>
          <t>3474637072483</t>
        </is>
      </c>
      <c r="B23380" t="inlineStr">
        <is>
          <t>L'Oral Professionnel Curl Expression Anti Build Up Curly And Wavy Hair Professional Shampoo</t>
        </is>
      </c>
      <c r="C23380" t="inlineStr">
        <is>
          <t>Shampoo</t>
        </is>
      </c>
      <c r="D23380" t="inlineStr">
        <is>
          <t>L'Oréal Professionnel</t>
        </is>
      </c>
      <c r="E23380" t="n">
        <v>27.6</v>
      </c>
      <c r="F23380" t="n">
        <v>1</v>
      </c>
      <c r="G23380" t="n">
        <v>5</v>
      </c>
      <c r="H23380" s="5">
        <f>HYPERLINK("https://api.qogita.com/variants/link/3474637072483/", "View Product")</f>
        <v/>
      </c>
    </row>
    <row r="23381">
      <c r="A23381" t="inlineStr">
        <is>
          <t>3474637086930</t>
        </is>
      </c>
      <c r="B23381" t="inlineStr">
        <is>
          <t>Refillable Bottle Absolute Blonde 500ml</t>
        </is>
      </c>
      <c r="C23381" t="inlineStr">
        <is>
          <t>Hair Care Sets</t>
        </is>
      </c>
      <c r="D23381" t="inlineStr">
        <is>
          <t>Kérastase</t>
        </is>
      </c>
      <c r="E23381" t="n">
        <v>16.34</v>
      </c>
      <c r="F23381" t="n">
        <v>1</v>
      </c>
      <c r="G23381" t="n">
        <v>5</v>
      </c>
      <c r="H23381" s="5">
        <f>HYPERLINK("https://api.qogita.com/variants/link/3474637086930/", "View Product")</f>
        <v/>
      </c>
    </row>
    <row r="23382">
      <c r="A23382" t="inlineStr">
        <is>
          <t>3474637087173</t>
        </is>
      </c>
      <c r="B23382" t="inlineStr">
        <is>
          <t>Refillable Bottle Heavy Duty 500ml</t>
        </is>
      </c>
      <c r="C23382" t="inlineStr">
        <is>
          <t>Toiletries Bags</t>
        </is>
      </c>
      <c r="D23382" t="inlineStr">
        <is>
          <t>Kérastase</t>
        </is>
      </c>
      <c r="E23382" t="n">
        <v>15.99</v>
      </c>
      <c r="F23382" t="n">
        <v>1</v>
      </c>
      <c r="G23382" t="n">
        <v>5</v>
      </c>
      <c r="H23382" s="5">
        <f>HYPERLINK("https://api.qogita.com/variants/link/3474637087173/", "View Product")</f>
        <v/>
      </c>
    </row>
    <row r="23383">
      <c r="A23383" t="inlineStr">
        <is>
          <t>3474637090531</t>
        </is>
      </c>
      <c r="B23383" t="inlineStr">
        <is>
          <t>L'Oral Professionnel Scalp Advanced Antioiliness 2in1 Clay Shampoo And Mask 250 Ml</t>
        </is>
      </c>
      <c r="C23383" t="inlineStr">
        <is>
          <t>Shampoo</t>
        </is>
      </c>
      <c r="D23383" t="inlineStr">
        <is>
          <t>L'Oréal Professionnel</t>
        </is>
      </c>
      <c r="E23383" t="n">
        <v>21.07</v>
      </c>
      <c r="F23383" t="n">
        <v>1</v>
      </c>
      <c r="G23383" t="n">
        <v>8</v>
      </c>
      <c r="H23383" s="5">
        <f>HYPERLINK("https://api.qogita.com/variants/link/3474637090531/", "View Product")</f>
        <v/>
      </c>
    </row>
    <row r="23384">
      <c r="A23384" t="inlineStr">
        <is>
          <t>3474637090715</t>
        </is>
      </c>
      <c r="B23384" t="inlineStr">
        <is>
          <t>L'Oreal Professionnel Chroma Absolu Bain Riche Chroma Respect Rich Shampoo For Colored Hair Medium And Thick 500ml</t>
        </is>
      </c>
      <c r="C23384" t="inlineStr">
        <is>
          <t>Shampoo</t>
        </is>
      </c>
      <c r="D23384" t="inlineStr">
        <is>
          <t>Lo'real Professionnel</t>
        </is>
      </c>
      <c r="E23384" t="n">
        <v>43.34</v>
      </c>
      <c r="F23384" t="n">
        <v>1</v>
      </c>
      <c r="G23384" t="n">
        <v>9</v>
      </c>
      <c r="H23384" s="5">
        <f>HYPERLINK("https://api.qogita.com/variants/link/3474637090715/", "View Product")</f>
        <v/>
      </c>
    </row>
    <row r="23385">
      <c r="A23385" t="inlineStr">
        <is>
          <t>3474637103606</t>
        </is>
      </c>
      <c r="B23385" t="inlineStr">
        <is>
          <t>Matrix Vavoom Freezing Extra Hold Hair Spray Fast Drying Strong Hold 500ml</t>
        </is>
      </c>
      <c r="C23385" t="inlineStr">
        <is>
          <t>Hairspray</t>
        </is>
      </c>
      <c r="D23385" t="inlineStr">
        <is>
          <t>Matrix</t>
        </is>
      </c>
      <c r="E23385" t="n">
        <v>11.68</v>
      </c>
      <c r="F23385" t="n">
        <v>1</v>
      </c>
      <c r="G23385" t="n">
        <v>14</v>
      </c>
      <c r="H23385" s="5">
        <f>HYPERLINK("https://api.qogita.com/variants/link/3474637103606/", "View Product")</f>
        <v/>
      </c>
    </row>
    <row r="23386">
      <c r="A23386" t="inlineStr">
        <is>
          <t>3474637106331</t>
        </is>
      </c>
      <c r="B23386" t="inlineStr">
        <is>
          <t>L'Oral Professionnel Aminexil Advanced Antihair Loss Activator Serum 90ml</t>
        </is>
      </c>
      <c r="C23386" t="inlineStr">
        <is>
          <t>Hair Tonic</t>
        </is>
      </c>
      <c r="D23386" t="inlineStr">
        <is>
          <t>L'Oréal Professionnel</t>
        </is>
      </c>
      <c r="E23386" t="n">
        <v>24.22</v>
      </c>
      <c r="F23386" t="n">
        <v>1</v>
      </c>
      <c r="G23386" t="n">
        <v>5</v>
      </c>
      <c r="H23386" s="5">
        <f>HYPERLINK("https://api.qogita.com/variants/link/3474637106331/", "View Product")</f>
        <v/>
      </c>
    </row>
    <row r="23387">
      <c r="A23387" t="inlineStr">
        <is>
          <t>3474637106348</t>
        </is>
      </c>
      <c r="B23387" t="inlineStr">
        <is>
          <t>L'Oral Professionnel Serioxyl Advanced Density Activator Serum 90ml For Thinning Hair</t>
        </is>
      </c>
      <c r="C23387" t="inlineStr">
        <is>
          <t>Hair Oil &amp; Hair Serum</t>
        </is>
      </c>
      <c r="D23387" t="inlineStr">
        <is>
          <t>L'Oréal Professionnel</t>
        </is>
      </c>
      <c r="E23387" t="n">
        <v>30.68</v>
      </c>
      <c r="F23387" t="n">
        <v>1</v>
      </c>
      <c r="G23387" t="n">
        <v>9</v>
      </c>
      <c r="H23387" s="5">
        <f>HYPERLINK("https://api.qogita.com/variants/link/3474637106348/", "View Product")</f>
        <v/>
      </c>
    </row>
    <row r="23388">
      <c r="A23388" t="inlineStr">
        <is>
          <t>3474637124281</t>
        </is>
      </c>
      <c r="B23388" t="inlineStr">
        <is>
          <t>Redken Touchable Texture Volumizing Texture Whip 200ml</t>
        </is>
      </c>
      <c r="C23388" t="inlineStr">
        <is>
          <t>Mousse</t>
        </is>
      </c>
      <c r="D23388" t="inlineStr">
        <is>
          <t>Redken</t>
        </is>
      </c>
      <c r="E23388" t="n">
        <v>18.66</v>
      </c>
      <c r="F23388" t="n">
        <v>1</v>
      </c>
      <c r="G23388" t="n">
        <v>5</v>
      </c>
      <c r="H23388" s="5">
        <f>HYPERLINK("https://api.qogita.com/variants/link/3474637124281/", "View Product")</f>
        <v/>
      </c>
    </row>
    <row r="23389">
      <c r="A23389" t="inlineStr">
        <is>
          <t>3474637124823</t>
        </is>
      </c>
      <c r="B23389" t="inlineStr">
        <is>
          <t>Redken All Soft Moisture Restore Leavein Treatment 150 Ml For Dry And Brittle Hair</t>
        </is>
      </c>
      <c r="C23389" t="inlineStr">
        <is>
          <t>Leave-In Conditioner</t>
        </is>
      </c>
      <c r="D23389" t="inlineStr">
        <is>
          <t>Redken</t>
        </is>
      </c>
      <c r="E23389" t="n">
        <v>23.8</v>
      </c>
      <c r="F23389" t="n">
        <v>1</v>
      </c>
      <c r="G23389" t="n">
        <v>5</v>
      </c>
      <c r="H23389" s="5">
        <f>HYPERLINK("https://api.qogita.com/variants/link/3474637124823/", "View Product")</f>
        <v/>
      </c>
    </row>
    <row r="23390">
      <c r="A23390" t="inlineStr">
        <is>
          <t>3474637125509</t>
        </is>
      </c>
      <c r="B23390" t="inlineStr">
        <is>
          <t>Redken Root Tease Quick Tease 250ml Hair Spray For Rooting Effect</t>
        </is>
      </c>
      <c r="C23390" t="inlineStr">
        <is>
          <t>Hairspray</t>
        </is>
      </c>
      <c r="D23390" t="inlineStr">
        <is>
          <t>Redken</t>
        </is>
      </c>
      <c r="E23390" t="n">
        <v>19.86</v>
      </c>
      <c r="F23390" t="n">
        <v>1</v>
      </c>
      <c r="G23390" t="n">
        <v>2</v>
      </c>
      <c r="H23390" s="5">
        <f>HYPERLINK("https://api.qogita.com/variants/link/3474637125509/", "View Product")</f>
        <v/>
      </c>
    </row>
    <row r="23391">
      <c r="A23391" t="inlineStr">
        <is>
          <t>3474637125578</t>
        </is>
      </c>
      <c r="B23391" t="inlineStr">
        <is>
          <t>Redken Max Hold Hairspray 300ml Professional Hair Care</t>
        </is>
      </c>
      <c r="C23391" t="inlineStr">
        <is>
          <t>Hairspray</t>
        </is>
      </c>
      <c r="D23391" t="inlineStr">
        <is>
          <t>Redken</t>
        </is>
      </c>
      <c r="E23391" t="n">
        <v>20.08</v>
      </c>
      <c r="F23391" t="n">
        <v>1</v>
      </c>
      <c r="G23391" t="n">
        <v>5</v>
      </c>
      <c r="H23391" s="5">
        <f>HYPERLINK("https://api.qogita.com/variants/link/3474637125578/", "View Product")</f>
        <v/>
      </c>
    </row>
    <row r="23392">
      <c r="A23392" t="inlineStr">
        <is>
          <t>3474637126759</t>
        </is>
      </c>
      <c r="B23392" t="inlineStr">
        <is>
          <t>Redken Matte Clay Strong Hold Texturizing Clay 75 Ml</t>
        </is>
      </c>
      <c r="C23392" t="inlineStr">
        <is>
          <t>Wax</t>
        </is>
      </c>
      <c r="D23392" t="inlineStr">
        <is>
          <t>Redken</t>
        </is>
      </c>
      <c r="E23392" t="n">
        <v>20.08</v>
      </c>
      <c r="F23392" t="n">
        <v>1</v>
      </c>
      <c r="G23392" t="n">
        <v>11</v>
      </c>
      <c r="H23392" s="5">
        <f>HYPERLINK("https://api.qogita.com/variants/link/3474637126759/", "View Product")</f>
        <v/>
      </c>
    </row>
    <row r="23393">
      <c r="A23393" t="inlineStr">
        <is>
          <t>3474637135652</t>
        </is>
      </c>
      <c r="B23393" t="inlineStr">
        <is>
          <t>Redken All Soft Mega Curls Conditioner 300ml</t>
        </is>
      </c>
      <c r="C23393" t="inlineStr">
        <is>
          <t>Conditioner</t>
        </is>
      </c>
      <c r="D23393" t="inlineStr">
        <is>
          <t>Redken</t>
        </is>
      </c>
      <c r="E23393" t="n">
        <v>21.98</v>
      </c>
      <c r="F23393" t="n">
        <v>1</v>
      </c>
      <c r="G23393" t="n">
        <v>5</v>
      </c>
      <c r="H23393" s="5">
        <f>HYPERLINK("https://api.qogita.com/variants/link/3474637135652/", "View Product")</f>
        <v/>
      </c>
    </row>
    <row r="23394">
      <c r="A23394" t="inlineStr">
        <is>
          <t>3474637135744</t>
        </is>
      </c>
      <c r="B23394" t="inlineStr">
        <is>
          <t>Krastase Symbiose Micropeeling Cellulaire 200ml Peeling For Sensitive Scalp</t>
        </is>
      </c>
      <c r="C23394" t="inlineStr">
        <is>
          <t>Scalp Care</t>
        </is>
      </c>
      <c r="D23394" t="inlineStr">
        <is>
          <t>Kérastase</t>
        </is>
      </c>
      <c r="E23394" t="n">
        <v>34.74</v>
      </c>
      <c r="F23394" t="n">
        <v>1</v>
      </c>
      <c r="G23394" t="n">
        <v>14</v>
      </c>
      <c r="H23394" s="5">
        <f>HYPERLINK("https://api.qogita.com/variants/link/3474637135744/", "View Product")</f>
        <v/>
      </c>
    </row>
    <row r="23395">
      <c r="A23395" t="inlineStr">
        <is>
          <t>3474637136345</t>
        </is>
      </c>
      <c r="B23395" t="inlineStr">
        <is>
          <t>Krastase Symbiose Antidandruff Revitalizing Mask 200ml</t>
        </is>
      </c>
      <c r="C23395" t="inlineStr">
        <is>
          <t>Hair Masks</t>
        </is>
      </c>
      <c r="D23395" t="inlineStr">
        <is>
          <t>Kérastase</t>
        </is>
      </c>
      <c r="E23395" t="n">
        <v>32.12</v>
      </c>
      <c r="F23395" t="n">
        <v>1</v>
      </c>
      <c r="G23395" t="n">
        <v>3</v>
      </c>
      <c r="H23395" s="5">
        <f>HYPERLINK("https://api.qogita.com/variants/link/3474637136345/", "View Product")</f>
        <v/>
      </c>
    </row>
    <row r="23396">
      <c r="A23396" t="inlineStr">
        <is>
          <t>3474637142360</t>
        </is>
      </c>
      <c r="B23396" t="inlineStr">
        <is>
          <t>Matrix Food For Soft Hydrating Conditioner Moisturizing Hair Conditioner 300ml</t>
        </is>
      </c>
      <c r="C23396" t="inlineStr">
        <is>
          <t>Conditioner</t>
        </is>
      </c>
      <c r="D23396" t="inlineStr">
        <is>
          <t>Matrix</t>
        </is>
      </c>
      <c r="E23396" t="n">
        <v>10.66</v>
      </c>
      <c r="F23396" t="n">
        <v>1</v>
      </c>
      <c r="G23396" t="n">
        <v>4</v>
      </c>
      <c r="H23396" s="5">
        <f>HYPERLINK("https://api.qogita.com/variants/link/3474637142360/", "View Product")</f>
        <v/>
      </c>
    </row>
    <row r="23397">
      <c r="A23397" t="inlineStr">
        <is>
          <t>3474637153601</t>
        </is>
      </c>
      <c r="B23397" t="inlineStr">
        <is>
          <t>L'Oral Professionnel Series Expert Absolut Repair Molecular Professional Concentrated Pretreatment 190ml</t>
        </is>
      </c>
      <c r="C23397" t="inlineStr">
        <is>
          <t>Hair Masks</t>
        </is>
      </c>
      <c r="D23397" t="inlineStr">
        <is>
          <t>L'Oréal Professionnel</t>
        </is>
      </c>
      <c r="E23397" t="n">
        <v>40.48</v>
      </c>
      <c r="F23397" t="n">
        <v>1</v>
      </c>
      <c r="G23397" t="n">
        <v>11</v>
      </c>
      <c r="H23397" s="5">
        <f>HYPERLINK("https://api.qogita.com/variants/link/3474637153601/", "View Product")</f>
        <v/>
      </c>
    </row>
    <row r="23398">
      <c r="A23398" t="inlineStr">
        <is>
          <t>3474637155353</t>
        </is>
      </c>
      <c r="B23398" t="inlineStr">
        <is>
          <t>Matrix Total Results A Curl Can Dream Curl Defining Gel - 250ml</t>
        </is>
      </c>
      <c r="C23398" t="inlineStr">
        <is>
          <t>Gel</t>
        </is>
      </c>
      <c r="D23398" t="inlineStr">
        <is>
          <t>Matrix</t>
        </is>
      </c>
      <c r="E23398" t="n">
        <v>13.72</v>
      </c>
      <c r="F23398" t="n">
        <v>1</v>
      </c>
      <c r="G23398" t="n">
        <v>5</v>
      </c>
      <c r="H23398" s="5">
        <f>HYPERLINK("https://api.qogita.com/variants/link/3474637155353/", "View Product")</f>
        <v/>
      </c>
    </row>
    <row r="23399">
      <c r="A23399" t="inlineStr">
        <is>
          <t>3474637155360</t>
        </is>
      </c>
      <c r="B23399" t="inlineStr">
        <is>
          <t>Matrix Curl Can Dream Mask For Curly And Wavy Hair 250ml</t>
        </is>
      </c>
      <c r="C23399" t="inlineStr">
        <is>
          <t>Hair Masks</t>
        </is>
      </c>
      <c r="D23399" t="inlineStr">
        <is>
          <t>Matrix</t>
        </is>
      </c>
      <c r="E23399" t="n">
        <v>15.47</v>
      </c>
      <c r="F23399" t="n">
        <v>1</v>
      </c>
      <c r="G23399" t="n">
        <v>6</v>
      </c>
      <c r="H23399" s="5">
        <f>HYPERLINK("https://api.qogita.com/variants/link/3474637155360/", "View Product")</f>
        <v/>
      </c>
    </row>
    <row r="23400">
      <c r="A23400" t="inlineStr">
        <is>
          <t>3474637156886</t>
        </is>
      </c>
      <c r="B23400" t="inlineStr">
        <is>
          <t>Shu Uemura Essence Absolue Nourishing Universal Hair &amp; Skin Balm 150 Ml</t>
        </is>
      </c>
      <c r="C23400" t="inlineStr">
        <is>
          <t>Hair Oil &amp; Hair Serum</t>
        </is>
      </c>
      <c r="D23400" t="inlineStr">
        <is>
          <t>Shu Uemura</t>
        </is>
      </c>
      <c r="E23400" t="n">
        <v>59.2</v>
      </c>
      <c r="F23400" t="n">
        <v>1</v>
      </c>
      <c r="G23400" t="n">
        <v>3</v>
      </c>
      <c r="H23400" s="5">
        <f>HYPERLINK("https://api.qogita.com/variants/link/3474637156886/", "View Product")</f>
        <v/>
      </c>
    </row>
    <row r="23401">
      <c r="A23401" t="inlineStr">
        <is>
          <t>3474637156909</t>
        </is>
      </c>
      <c r="B23401" t="inlineStr">
        <is>
          <t>Shu Uemura Essence Absolue Nourishing Overnight Hair Serum 150 Ml</t>
        </is>
      </c>
      <c r="C23401" t="inlineStr">
        <is>
          <t>Hair Oil &amp; Hair Serum</t>
        </is>
      </c>
      <c r="D23401" t="inlineStr">
        <is>
          <t>Shu Uemura</t>
        </is>
      </c>
      <c r="E23401" t="n">
        <v>79.17</v>
      </c>
      <c r="F23401" t="n">
        <v>1</v>
      </c>
      <c r="G23401" t="n">
        <v>5</v>
      </c>
      <c r="H23401" s="5">
        <f>HYPERLINK("https://api.qogita.com/variants/link/3474637156909/", "View Product")</f>
        <v/>
      </c>
    </row>
    <row r="23402">
      <c r="A23402" t="inlineStr">
        <is>
          <t>3474637173494</t>
        </is>
      </c>
      <c r="B23402" t="inlineStr">
        <is>
          <t>Redken Acidic Color Gloss Shampoo 300ml Brightening Shampoo For Longlasting Hair Color And Shine</t>
        </is>
      </c>
      <c r="C23402" t="inlineStr">
        <is>
          <t>Shampoo</t>
        </is>
      </c>
      <c r="D23402" t="inlineStr">
        <is>
          <t>Redken</t>
        </is>
      </c>
      <c r="E23402" t="n">
        <v>23.75</v>
      </c>
      <c r="F23402" t="n">
        <v>1</v>
      </c>
      <c r="G23402" t="n">
        <v>14</v>
      </c>
      <c r="H23402" s="5">
        <f>HYPERLINK("https://api.qogita.com/variants/link/3474637173494/", "View Product")</f>
        <v/>
      </c>
    </row>
    <row r="23403">
      <c r="A23403" t="inlineStr">
        <is>
          <t>3474637173968</t>
        </is>
      </c>
      <c r="B23403" t="inlineStr">
        <is>
          <t>Biolage All-In-One Multi-Tasking Hair Oil 125ml</t>
        </is>
      </c>
      <c r="C23403" t="inlineStr">
        <is>
          <t>Hair Oil &amp; Hair Serum</t>
        </is>
      </c>
      <c r="D23403" t="inlineStr">
        <is>
          <t>Biolage</t>
        </is>
      </c>
      <c r="E23403" t="n">
        <v>21.13</v>
      </c>
      <c r="F23403" t="n">
        <v>1</v>
      </c>
      <c r="G23403" t="n">
        <v>11</v>
      </c>
      <c r="H23403" s="5">
        <f>HYPERLINK("https://api.qogita.com/variants/link/3474637173968/", "View Product")</f>
        <v/>
      </c>
    </row>
    <row r="23404">
      <c r="A23404" t="inlineStr">
        <is>
          <t>3474637177119</t>
        </is>
      </c>
      <c r="B23404" t="inlineStr">
        <is>
          <t>Specifique Divalent Bain 250ml - Specifique</t>
        </is>
      </c>
      <c r="C23404" t="inlineStr">
        <is>
          <t>Shampoo</t>
        </is>
      </c>
      <c r="D23404" t="inlineStr">
        <is>
          <t>Kérastase</t>
        </is>
      </c>
      <c r="E23404" t="n">
        <v>116.22</v>
      </c>
      <c r="F23404" t="n">
        <v>1</v>
      </c>
      <c r="G23404" t="n">
        <v>8</v>
      </c>
      <c r="H23404" s="5">
        <f>HYPERLINK("https://api.qogita.com/variants/link/3474637177119/", "View Product")</f>
        <v/>
      </c>
    </row>
    <row r="23405">
      <c r="A23405" t="inlineStr">
        <is>
          <t>3474637183769</t>
        </is>
      </c>
      <c r="B23405" t="inlineStr">
        <is>
          <t>Kerastase Symbiose Cleansing And Moisturizing Shampoo 250ml + Hair And Scalp Conditioner 200ml + Micro-Peeling 200ml</t>
        </is>
      </c>
      <c r="C23405" t="inlineStr">
        <is>
          <t>Hair Care Sets</t>
        </is>
      </c>
      <c r="D23405" t="inlineStr">
        <is>
          <t>Kérastase</t>
        </is>
      </c>
      <c r="E23405" t="n">
        <v>91.02</v>
      </c>
      <c r="F23405" t="n">
        <v>1</v>
      </c>
      <c r="G23405" t="n">
        <v>12</v>
      </c>
      <c r="H23405" s="5">
        <f>HYPERLINK("https://api.qogita.com/variants/link/3474637183769/", "View Product")</f>
        <v/>
      </c>
    </row>
    <row r="23406">
      <c r="A23406" t="inlineStr">
        <is>
          <t>3474637188306</t>
        </is>
      </c>
      <c r="B23406" t="inlineStr">
        <is>
          <t>Matrix A Curl Can Dream Hair &amp; Scalp Oil 150 Ml Light Oil For Curly And Wavy Hair</t>
        </is>
      </c>
      <c r="C23406" t="inlineStr">
        <is>
          <t>Hair Oil &amp; Hair Serum</t>
        </is>
      </c>
      <c r="D23406" t="inlineStr">
        <is>
          <t>Matrix</t>
        </is>
      </c>
      <c r="E23406" t="n">
        <v>16.82</v>
      </c>
      <c r="F23406" t="n">
        <v>1</v>
      </c>
      <c r="G23406" t="n">
        <v>22</v>
      </c>
      <c r="H23406" s="5">
        <f>HYPERLINK("https://api.qogita.com/variants/link/3474637188306/", "View Product")</f>
        <v/>
      </c>
    </row>
    <row r="23407">
      <c r="A23407" t="inlineStr">
        <is>
          <t>3474637198398</t>
        </is>
      </c>
      <c r="B23407" t="inlineStr">
        <is>
          <t>Redken Acidic Bonding Concentrate Shampoo 500ml Sulfatefree Shampoo For Damaged Hair</t>
        </is>
      </c>
      <c r="C23407" t="inlineStr">
        <is>
          <t>Shampoo</t>
        </is>
      </c>
      <c r="D23407" t="inlineStr">
        <is>
          <t>Redken</t>
        </is>
      </c>
      <c r="E23407" t="n">
        <v>33.22</v>
      </c>
      <c r="F23407" t="n">
        <v>1</v>
      </c>
      <c r="G23407" t="n">
        <v>28</v>
      </c>
      <c r="H23407" s="5">
        <f>HYPERLINK("https://api.qogita.com/variants/link/3474637198398/", "View Product")</f>
        <v/>
      </c>
    </row>
    <row r="23408">
      <c r="A23408" t="inlineStr">
        <is>
          <t>3474637212612</t>
        </is>
      </c>
      <c r="B23408" t="inlineStr">
        <is>
          <t>BIOLAGE Bond Therapy Shampoo for Damaged and Over-Processed Hair 1000ml</t>
        </is>
      </c>
      <c r="C23408" t="inlineStr">
        <is>
          <t>Shampoo</t>
        </is>
      </c>
      <c r="D23408" t="inlineStr">
        <is>
          <t>Biolage</t>
        </is>
      </c>
      <c r="E23408" t="n">
        <v>22.89</v>
      </c>
      <c r="F23408" t="n">
        <v>1</v>
      </c>
      <c r="G23408" t="n">
        <v>5</v>
      </c>
      <c r="H23408" s="5">
        <f>HYPERLINK("https://api.qogita.com/variants/link/3474637212612/", "View Product")</f>
        <v/>
      </c>
    </row>
    <row r="23409">
      <c r="A23409" t="inlineStr">
        <is>
          <t>3474637214753</t>
        </is>
      </c>
      <c r="B23409" t="inlineStr">
        <is>
          <t>Redken Refreshing Curl Mist Spray 250 Ml</t>
        </is>
      </c>
      <c r="C23409" t="inlineStr">
        <is>
          <t>Hair Care Sets</t>
        </is>
      </c>
      <c r="D23409" t="inlineStr">
        <is>
          <t>Redken</t>
        </is>
      </c>
      <c r="E23409" t="n">
        <v>24.92</v>
      </c>
      <c r="F23409" t="n">
        <v>1</v>
      </c>
      <c r="G23409" t="n">
        <v>5</v>
      </c>
      <c r="H23409" s="5">
        <f>HYPERLINK("https://api.qogita.com/variants/link/3474637214753/", "View Product")</f>
        <v/>
      </c>
    </row>
    <row r="23410">
      <c r="A23410" t="inlineStr">
        <is>
          <t>3474637217372</t>
        </is>
      </c>
      <c r="B23410" t="inlineStr">
        <is>
          <t>Shu Uemura Color Lustre Spray 150ml</t>
        </is>
      </c>
      <c r="C23410" t="inlineStr">
        <is>
          <t>Styling Sprays</t>
        </is>
      </c>
      <c r="D23410" t="inlineStr">
        <is>
          <t>Shu Uemura</t>
        </is>
      </c>
      <c r="E23410" t="n">
        <v>32.44</v>
      </c>
      <c r="F23410" t="n">
        <v>1</v>
      </c>
      <c r="G23410" t="n">
        <v>9</v>
      </c>
      <c r="H23410" s="5">
        <f>HYPERLINK("https://api.qogita.com/variants/link/3474637217372/", "View Product")</f>
        <v/>
      </c>
    </row>
    <row r="23411">
      <c r="A23411" t="inlineStr">
        <is>
          <t>3474637220136</t>
        </is>
      </c>
      <c r="B23411" t="inlineStr">
        <is>
          <t>MATRIX TOTAL RESULTS A Curl Can Dream Weightless Moisture Conditioner 300ml</t>
        </is>
      </c>
      <c r="C23411" t="inlineStr">
        <is>
          <t>Conditioner</t>
        </is>
      </c>
      <c r="D23411" t="inlineStr">
        <is>
          <t>Matrix</t>
        </is>
      </c>
      <c r="E23411" t="n">
        <v>11.21</v>
      </c>
      <c r="F23411" t="n">
        <v>1</v>
      </c>
      <c r="G23411" t="n">
        <v>5</v>
      </c>
      <c r="H23411" s="5">
        <f>HYPERLINK("https://api.qogita.com/variants/link/3474637220136/", "View Product")</f>
        <v/>
      </c>
    </row>
    <row r="23412">
      <c r="A23412" t="inlineStr">
        <is>
          <t>3474637240417</t>
        </is>
      </c>
      <c r="B23412" t="inlineStr">
        <is>
          <t>Kérastase Blond Absolu Fondant Gift Set for Natural and Bleached Blonde Hair - Includes Bain Lumière 250ml, Fondant Cicaflash 250ml, Cicaplasme 150ml</t>
        </is>
      </c>
      <c r="C23412" t="inlineStr">
        <is>
          <t>Hair Care Sets</t>
        </is>
      </c>
      <c r="D23412" t="inlineStr">
        <is>
          <t>Kérastase</t>
        </is>
      </c>
      <c r="E23412" t="n">
        <v>93.55</v>
      </c>
      <c r="F23412" t="n">
        <v>1</v>
      </c>
      <c r="G23412" t="n">
        <v>16</v>
      </c>
      <c r="H23412" s="5">
        <f>HYPERLINK("https://api.qogita.com/variants/link/3474637240417/", "View Product")</f>
        <v/>
      </c>
    </row>
    <row r="23413">
      <c r="A23413" t="inlineStr">
        <is>
          <t>3474637241940</t>
        </is>
      </c>
      <c r="B23413" t="inlineStr">
        <is>
          <t>Matrix Instacure Build-A-Bond Instant Revival Liquid Mask for Damaged Hair 250ml</t>
        </is>
      </c>
      <c r="C23413" t="inlineStr">
        <is>
          <t>Hair Masks</t>
        </is>
      </c>
      <c r="D23413" t="inlineStr">
        <is>
          <t>Matrix</t>
        </is>
      </c>
      <c r="E23413" t="n">
        <v>14.5</v>
      </c>
      <c r="F23413" t="n">
        <v>1</v>
      </c>
      <c r="G23413" t="n">
        <v>2</v>
      </c>
      <c r="H23413" s="5">
        <f>HYPERLINK("https://api.qogita.com/variants/link/3474637241940/", "View Product")</f>
        <v/>
      </c>
    </row>
    <row r="23414">
      <c r="A23414" t="inlineStr">
        <is>
          <t>3474637248666</t>
        </is>
      </c>
      <c r="B23414" t="inlineStr">
        <is>
          <t>Redken Acidic Bonding Concentrate Intensive Treatment 190ml Sulfatefree Treatment For Damaged Hair</t>
        </is>
      </c>
      <c r="C23414" t="inlineStr">
        <is>
          <t>Hair Masks</t>
        </is>
      </c>
      <c r="D23414" t="inlineStr">
        <is>
          <t>Redken</t>
        </is>
      </c>
      <c r="E23414" t="n">
        <v>23.51</v>
      </c>
      <c r="F23414" t="n">
        <v>1</v>
      </c>
      <c r="G23414" t="n">
        <v>5</v>
      </c>
      <c r="H23414" s="5">
        <f>HYPERLINK("https://api.qogita.com/variants/link/3474637248666/", "View Product")</f>
        <v/>
      </c>
    </row>
    <row r="23415">
      <c r="A23415" t="inlineStr">
        <is>
          <t>3474637268022</t>
        </is>
      </c>
      <c r="B23415" t="inlineStr">
        <is>
          <t>Biolage Rebalancing Shampoo for Oily Scalp - Suitable for All Hair Types</t>
        </is>
      </c>
      <c r="C23415" t="inlineStr">
        <is>
          <t>Shampoo</t>
        </is>
      </c>
      <c r="D23415" t="inlineStr">
        <is>
          <t>Biolage</t>
        </is>
      </c>
      <c r="E23415" t="n">
        <v>21.1</v>
      </c>
      <c r="F23415" t="n">
        <v>1</v>
      </c>
      <c r="G23415" t="n">
        <v>4</v>
      </c>
      <c r="H23415" s="5">
        <f>HYPERLINK("https://api.qogita.com/variants/link/3474637268022/", "View Product")</f>
        <v/>
      </c>
    </row>
    <row r="23416">
      <c r="A23416" t="inlineStr">
        <is>
          <t>3474637268381</t>
        </is>
      </c>
      <c r="B23416" t="inlineStr">
        <is>
          <t>L'Oreal Professionnel Neutralizing Shampoo For Blonde Hair Vitamino Color Spectrum Purple Dyes</t>
        </is>
      </c>
      <c r="C23416" t="inlineStr">
        <is>
          <t>Shampoo</t>
        </is>
      </c>
      <c r="D23416" t="inlineStr">
        <is>
          <t>Lo'real Professionnel</t>
        </is>
      </c>
      <c r="E23416" t="n">
        <v>23.18</v>
      </c>
      <c r="F23416" t="n">
        <v>1</v>
      </c>
      <c r="G23416" t="n">
        <v>2</v>
      </c>
      <c r="H23416" s="5">
        <f>HYPERLINK("https://api.qogita.com/variants/link/3474637268381/", "View Product")</f>
        <v/>
      </c>
    </row>
    <row r="23417">
      <c r="A23417" t="inlineStr">
        <is>
          <t>3474637286538</t>
        </is>
      </c>
      <c r="B23417" t="inlineStr">
        <is>
          <t>Redken Acidic Color Gloss Oil Naked Gloss 100ml Professional Hair Care</t>
        </is>
      </c>
      <c r="C23417" t="inlineStr">
        <is>
          <t>Hair Oil &amp; Hair Serum</t>
        </is>
      </c>
      <c r="D23417" t="inlineStr">
        <is>
          <t>Redken</t>
        </is>
      </c>
      <c r="E23417" t="n">
        <v>35.13</v>
      </c>
      <c r="F23417" t="n">
        <v>1</v>
      </c>
      <c r="G23417" t="n">
        <v>7</v>
      </c>
      <c r="H23417" s="5">
        <f>HYPERLINK("https://api.qogita.com/variants/link/3474637286538/", "View Product")</f>
        <v/>
      </c>
    </row>
    <row r="23418">
      <c r="A23418" t="inlineStr">
        <is>
          <t>3474637292461</t>
        </is>
      </c>
      <c r="B23418" t="inlineStr">
        <is>
          <t>L'Oreal Professionnel Expert Blow-Dry Fluidifier - Leave In Heat Protection Cream</t>
        </is>
      </c>
      <c r="C23418" t="inlineStr">
        <is>
          <t>Leave-In Conditioner</t>
        </is>
      </c>
      <c r="D23418" t="inlineStr">
        <is>
          <t>Lo'real Professionnel</t>
        </is>
      </c>
      <c r="E23418" t="n">
        <v>18.96</v>
      </c>
      <c r="F23418" t="n">
        <v>1</v>
      </c>
      <c r="G23418" t="n">
        <v>16</v>
      </c>
      <c r="H23418" s="5">
        <f>HYPERLINK("https://api.qogita.com/variants/link/3474637292461/", "View Product")</f>
        <v/>
      </c>
    </row>
    <row r="23419">
      <c r="A23419" t="inlineStr">
        <is>
          <t>3495080212059</t>
        </is>
      </c>
      <c r="B23419" t="inlineStr">
        <is>
          <t>Alyssa Ashley EDP Ambre Marine Unisex Perfume 50ml</t>
        </is>
      </c>
      <c r="C23419" t="inlineStr">
        <is>
          <t>Eau De Parfum</t>
        </is>
      </c>
      <c r="D23419" t="inlineStr">
        <is>
          <t>Alyssa Ashley</t>
        </is>
      </c>
      <c r="E23419" t="n">
        <v>21.66</v>
      </c>
      <c r="F23419" t="n">
        <v>1</v>
      </c>
      <c r="G23419" t="n">
        <v>2</v>
      </c>
      <c r="H23419" s="5">
        <f>HYPERLINK("https://api.qogita.com/variants/link/3495080212059/", "View Product")</f>
        <v/>
      </c>
    </row>
    <row r="23420">
      <c r="A23420" t="inlineStr">
        <is>
          <t>3495080309230</t>
        </is>
      </c>
      <c r="B23420" t="inlineStr">
        <is>
          <t>Alyssa Ashley Musk White Eau De Toilette Spray 25ml</t>
        </is>
      </c>
      <c r="C23420" t="inlineStr">
        <is>
          <t>Eau De Toilette</t>
        </is>
      </c>
      <c r="D23420" t="inlineStr">
        <is>
          <t>Alyssa Ashley</t>
        </is>
      </c>
      <c r="E23420" t="n">
        <v>5.88</v>
      </c>
      <c r="F23420" t="n">
        <v>1</v>
      </c>
      <c r="G23420" t="n">
        <v>12</v>
      </c>
      <c r="H23420" s="5">
        <f>HYPERLINK("https://api.qogita.com/variants/link/3495080309230/", "View Product")</f>
        <v/>
      </c>
    </row>
    <row r="23421">
      <c r="A23421" t="inlineStr">
        <is>
          <t>3495080312032</t>
        </is>
      </c>
      <c r="B23421" t="inlineStr">
        <is>
          <t>Alyssa Ashley Tonka Musk Eau de Parfum 30ml</t>
        </is>
      </c>
      <c r="C23421" t="inlineStr">
        <is>
          <t>Eau De Parfum</t>
        </is>
      </c>
      <c r="D23421" t="inlineStr">
        <is>
          <t>Tonka</t>
        </is>
      </c>
      <c r="E23421" t="n">
        <v>16.17</v>
      </c>
      <c r="F23421" t="n">
        <v>1</v>
      </c>
      <c r="G23421" t="n">
        <v>14</v>
      </c>
      <c r="H23421" s="5">
        <f>HYPERLINK("https://api.qogita.com/variants/link/3495080312032/", "View Product")</f>
        <v/>
      </c>
    </row>
    <row r="23422">
      <c r="A23422" t="inlineStr">
        <is>
          <t>3495080322109</t>
        </is>
      </c>
      <c r="B23422" t="inlineStr">
        <is>
          <t>Alyssa Ashley Rose Musk Eau De Parfum Spray 100ml</t>
        </is>
      </c>
      <c r="C23422" t="inlineStr">
        <is>
          <t>Eau De Parfum</t>
        </is>
      </c>
      <c r="D23422" t="inlineStr">
        <is>
          <t>Alyssa Ashley</t>
        </is>
      </c>
      <c r="E23422" t="n">
        <v>28.21</v>
      </c>
      <c r="F23422" t="n">
        <v>1</v>
      </c>
      <c r="G23422" t="n">
        <v>5</v>
      </c>
      <c r="H23422" s="5">
        <f>HYPERLINK("https://api.qogita.com/variants/link/3495080322109/", "View Product")</f>
        <v/>
      </c>
    </row>
    <row r="23423">
      <c r="A23423" t="inlineStr">
        <is>
          <t>3495080337035</t>
        </is>
      </c>
      <c r="B23423" t="inlineStr">
        <is>
          <t>Alyssa Ashley White Musk Hand &amp; Body Moisturiser 500ml</t>
        </is>
      </c>
      <c r="C23423" t="inlineStr">
        <is>
          <t>Body Lotion</t>
        </is>
      </c>
      <c r="D23423" t="inlineStr">
        <is>
          <t>Alyssa Ashley</t>
        </is>
      </c>
      <c r="E23423" t="n">
        <v>9.199999999999999</v>
      </c>
      <c r="F23423" t="n">
        <v>1</v>
      </c>
      <c r="G23423" t="n">
        <v>9</v>
      </c>
      <c r="H23423" s="5">
        <f>HYPERLINK("https://api.qogita.com/variants/link/3495080337035/", "View Product")</f>
        <v/>
      </c>
    </row>
    <row r="23424">
      <c r="A23424" t="inlineStr">
        <is>
          <t>3495080342039</t>
        </is>
      </c>
      <c r="B23424" t="inlineStr">
        <is>
          <t>Alyssa Ashley Amber Musk Eau De Parfum Spray 30ml</t>
        </is>
      </c>
      <c r="C23424" t="inlineStr">
        <is>
          <t>Eau De Parfum</t>
        </is>
      </c>
      <c r="D23424" t="inlineStr">
        <is>
          <t>Alyssa Ashley</t>
        </is>
      </c>
      <c r="E23424" t="n">
        <v>16.48</v>
      </c>
      <c r="F23424" t="n">
        <v>1</v>
      </c>
      <c r="G23424" t="n">
        <v>3</v>
      </c>
      <c r="H23424" s="5">
        <f>HYPERLINK("https://api.qogita.com/variants/link/3495080342039/", "View Product")</f>
        <v/>
      </c>
    </row>
    <row r="23425">
      <c r="A23425" t="inlineStr">
        <is>
          <t>3495080342107</t>
        </is>
      </c>
      <c r="B23425" t="inlineStr">
        <is>
          <t>Amber Musk Eau de Parfum Spray 100ml</t>
        </is>
      </c>
      <c r="C23425" t="inlineStr">
        <is>
          <t>Eau De Parfum</t>
        </is>
      </c>
      <c r="D23425" t="inlineStr">
        <is>
          <t>Alyssa Ashley</t>
        </is>
      </c>
      <c r="E23425" t="n">
        <v>33.95</v>
      </c>
      <c r="F23425" t="n">
        <v>1</v>
      </c>
      <c r="G23425" t="n">
        <v>2</v>
      </c>
      <c r="H23425" s="5">
        <f>HYPERLINK("https://api.qogita.com/variants/link/3495080342107/", "View Product")</f>
        <v/>
      </c>
    </row>
    <row r="23426">
      <c r="A23426" t="inlineStr">
        <is>
          <t>3495080352038</t>
        </is>
      </c>
      <c r="B23426" t="inlineStr">
        <is>
          <t>Alyssa Ashley Cedro Musk Eau de Parfum Spray 30ml</t>
        </is>
      </c>
      <c r="C23426" t="inlineStr">
        <is>
          <t>Eau De Parfum</t>
        </is>
      </c>
      <c r="D23426" t="inlineStr">
        <is>
          <t>Alyssa Ashley</t>
        </is>
      </c>
      <c r="E23426" t="n">
        <v>17.82</v>
      </c>
      <c r="F23426" t="n">
        <v>1</v>
      </c>
      <c r="G23426" t="n">
        <v>3</v>
      </c>
      <c r="H23426" s="5">
        <f>HYPERLINK("https://api.qogita.com/variants/link/3495080352038/", "View Product")</f>
        <v/>
      </c>
    </row>
    <row r="23427">
      <c r="A23427" t="inlineStr">
        <is>
          <t>3495080352106</t>
        </is>
      </c>
      <c r="B23427" t="inlineStr">
        <is>
          <t>Alyssa Ashley Cedro Musk Eau de Parfum Spray for Men and Women 100ml</t>
        </is>
      </c>
      <c r="C23427" t="inlineStr">
        <is>
          <t>Eau De Parfum</t>
        </is>
      </c>
      <c r="D23427" t="inlineStr">
        <is>
          <t>Alyssa Ashley</t>
        </is>
      </c>
      <c r="E23427" t="n">
        <v>26.18</v>
      </c>
      <c r="F23427" t="n">
        <v>1</v>
      </c>
      <c r="G23427" t="n">
        <v>5</v>
      </c>
      <c r="H23427" s="5">
        <f>HYPERLINK("https://api.qogita.com/variants/link/3495080352106/", "View Product")</f>
        <v/>
      </c>
    </row>
    <row r="23428">
      <c r="A23428" t="inlineStr">
        <is>
          <t>3495080392034</t>
        </is>
      </c>
      <c r="B23428" t="inlineStr">
        <is>
          <t>Cashmeran Vanilla EDP 30ml</t>
        </is>
      </c>
      <c r="C23428" t="inlineStr">
        <is>
          <t>Eau De Parfum</t>
        </is>
      </c>
      <c r="D23428" t="inlineStr">
        <is>
          <t>Alyssa Ashley</t>
        </is>
      </c>
      <c r="E23428" t="n">
        <v>16.67</v>
      </c>
      <c r="F23428" t="n">
        <v>1</v>
      </c>
      <c r="G23428" t="n">
        <v>11</v>
      </c>
      <c r="H23428" s="5">
        <f>HYPERLINK("https://api.qogita.com/variants/link/3495080392034/", "View Product")</f>
        <v/>
      </c>
    </row>
    <row r="23429">
      <c r="A23429" t="inlineStr">
        <is>
          <t>3495080612101</t>
        </is>
      </c>
      <c r="B23429" t="inlineStr">
        <is>
          <t>Alyssa Ashley Marijane Eau De Parfum</t>
        </is>
      </c>
      <c r="C23429" t="inlineStr">
        <is>
          <t>Eau De Parfum</t>
        </is>
      </c>
      <c r="D23429" t="inlineStr">
        <is>
          <t>Alyssa Ashley</t>
        </is>
      </c>
      <c r="E23429" t="n">
        <v>18.1</v>
      </c>
      <c r="F23429" t="n">
        <v>1</v>
      </c>
      <c r="G23429" t="n">
        <v>6</v>
      </c>
      <c r="H23429" s="5">
        <f>HYPERLINK("https://api.qogita.com/variants/link/3495080612101/", "View Product")</f>
        <v/>
      </c>
    </row>
    <row r="23430">
      <c r="A23430" t="inlineStr">
        <is>
          <t>3495080707036</t>
        </is>
      </c>
      <c r="B23430" t="inlineStr">
        <is>
          <t>Alyssa Ashley Musk Eau De Toilette Spray 200ml</t>
        </is>
      </c>
      <c r="C23430" t="inlineStr">
        <is>
          <t>Eau De Toilette</t>
        </is>
      </c>
      <c r="D23430" t="inlineStr">
        <is>
          <t>Alyssa Ashley</t>
        </is>
      </c>
      <c r="E23430" t="n">
        <v>25.52</v>
      </c>
      <c r="F23430" t="n">
        <v>1</v>
      </c>
      <c r="G23430" t="n">
        <v>5</v>
      </c>
      <c r="H23430" s="5">
        <f>HYPERLINK("https://api.qogita.com/variants/link/3495080707036/", "View Product")</f>
        <v/>
      </c>
    </row>
    <row r="23431">
      <c r="A23431" t="inlineStr">
        <is>
          <t>3495080723104</t>
        </is>
      </c>
      <c r="B23431" t="inlineStr">
        <is>
          <t>Alyssa Ashley Green Tea Essence Eau De Toilette for Women 100ml</t>
        </is>
      </c>
      <c r="C23431" t="inlineStr">
        <is>
          <t>Eau De Toilette</t>
        </is>
      </c>
      <c r="D23431" t="inlineStr">
        <is>
          <t>Alyssa Ashley</t>
        </is>
      </c>
      <c r="E23431" t="n">
        <v>13.49</v>
      </c>
      <c r="F23431" t="n">
        <v>1</v>
      </c>
      <c r="G23431" t="n">
        <v>3</v>
      </c>
      <c r="H23431" s="5">
        <f>HYPERLINK("https://api.qogita.com/variants/link/3495080723104/", "View Product")</f>
        <v/>
      </c>
    </row>
    <row r="23432">
      <c r="A23432" t="inlineStr">
        <is>
          <t>3495080771723</t>
        </is>
      </c>
      <c r="B23432" t="inlineStr">
        <is>
          <t>Alyssa Ashley Vanilla Eau De Parfum 30ml Unisex</t>
        </is>
      </c>
      <c r="C23432" t="inlineStr">
        <is>
          <t>Eau De Parfum</t>
        </is>
      </c>
      <c r="D23432" t="inlineStr">
        <is>
          <t>Alyssa Ashley</t>
        </is>
      </c>
      <c r="E23432" t="n">
        <v>16.45</v>
      </c>
      <c r="F23432" t="n">
        <v>1</v>
      </c>
      <c r="G23432" t="n">
        <v>16</v>
      </c>
      <c r="H23432" s="5">
        <f>HYPERLINK("https://api.qogita.com/variants/link/3495080771723/", "View Product")</f>
        <v/>
      </c>
    </row>
    <row r="23433">
      <c r="A23433" t="inlineStr">
        <is>
          <t>3495080771730</t>
        </is>
      </c>
      <c r="B23433" t="inlineStr">
        <is>
          <t>Alyssa Ashley Vanilla Eau De Parfum 50ml For Women</t>
        </is>
      </c>
      <c r="C23433" t="inlineStr">
        <is>
          <t>Eau De Parfum</t>
        </is>
      </c>
      <c r="D23433" t="inlineStr">
        <is>
          <t>Alyssa Ashley</t>
        </is>
      </c>
      <c r="E23433" t="n">
        <v>21.79</v>
      </c>
      <c r="F23433" t="n">
        <v>1</v>
      </c>
      <c r="G23433" t="n">
        <v>3</v>
      </c>
      <c r="H23433" s="5">
        <f>HYPERLINK("https://api.qogita.com/variants/link/3495080771730/", "View Product")</f>
        <v/>
      </c>
    </row>
    <row r="23434">
      <c r="A23434" t="inlineStr">
        <is>
          <t>3495080841419</t>
        </is>
      </c>
      <c r="B23434" t="inlineStr">
        <is>
          <t>Quelques Fleurs for Women by Houbigant 100ml EDP Spray</t>
        </is>
      </c>
      <c r="C23434" t="inlineStr">
        <is>
          <t>Eau De Parfum</t>
        </is>
      </c>
      <c r="D23434" t="inlineStr">
        <is>
          <t>Houbigant</t>
        </is>
      </c>
      <c r="E23434" t="n">
        <v>59.06</v>
      </c>
      <c r="F23434" t="n">
        <v>1</v>
      </c>
      <c r="G23434" t="n">
        <v>20</v>
      </c>
      <c r="H23434" s="5">
        <f>HYPERLINK("https://api.qogita.com/variants/link/3495080841419/", "View Product")</f>
        <v/>
      </c>
    </row>
    <row r="23435">
      <c r="A23435" t="inlineStr">
        <is>
          <t>3499320010276</t>
        </is>
      </c>
      <c r="B23435" t="inlineStr">
        <is>
          <t>Cetaphil Sun Kids Liposomal Sun Lotion SPF 50+ 150ml Moisturizing Sun Protection Pump Dispenser Sensitive Baby Children's Skin Easy Distributable Cream Extra Water Resistant</t>
        </is>
      </c>
      <c r="C23435" t="inlineStr">
        <is>
          <t>Sun Protection For Children</t>
        </is>
      </c>
      <c r="D23435" t="inlineStr">
        <is>
          <t>Cetaphil</t>
        </is>
      </c>
      <c r="E23435" t="n">
        <v>24.38</v>
      </c>
      <c r="F23435" t="n">
        <v>1</v>
      </c>
      <c r="G23435" t="n">
        <v>29</v>
      </c>
      <c r="H23435" s="5">
        <f>HYPERLINK("https://api.qogita.com/variants/link/3499320010276/", "View Product")</f>
        <v/>
      </c>
    </row>
    <row r="23436">
      <c r="A23436" t="inlineStr">
        <is>
          <t>3504105024932</t>
        </is>
      </c>
      <c r="B23436" t="inlineStr">
        <is>
          <t>Mustela Hydra Baby Facial Cream Moisturizing Cream For Children And Infants 100ml</t>
        </is>
      </c>
      <c r="C23436" t="inlineStr">
        <is>
          <t>Baby Cream &amp; Oil</t>
        </is>
      </c>
      <c r="D23436" t="inlineStr">
        <is>
          <t>Mustela</t>
        </is>
      </c>
      <c r="E23436" t="n">
        <v>7.64</v>
      </c>
      <c r="F23436" t="n">
        <v>1</v>
      </c>
      <c r="G23436" t="n">
        <v>5</v>
      </c>
      <c r="H23436" s="5">
        <f>HYPERLINK("https://api.qogita.com/variants/link/3504105024932/", "View Product")</f>
        <v/>
      </c>
    </row>
    <row r="23437">
      <c r="A23437" t="inlineStr">
        <is>
          <t>3504105025885</t>
        </is>
      </c>
      <c r="B23437" t="inlineStr">
        <is>
          <t>Mustela Creams 150ml</t>
        </is>
      </c>
      <c r="C23437" t="inlineStr">
        <is>
          <t>Baby &amp; Child</t>
        </is>
      </c>
      <c r="D23437" t="inlineStr">
        <is>
          <t>Mustela</t>
        </is>
      </c>
      <c r="E23437" t="n">
        <v>8.9</v>
      </c>
      <c r="F23437" t="n">
        <v>1</v>
      </c>
      <c r="G23437" t="n">
        <v>5</v>
      </c>
      <c r="H23437" s="5">
        <f>HYPERLINK("https://api.qogita.com/variants/link/3504105025885/", "View Product")</f>
        <v/>
      </c>
    </row>
    <row r="23438">
      <c r="A23438" t="inlineStr">
        <is>
          <t>3504105033811</t>
        </is>
      </c>
      <c r="B23438" t="inlineStr">
        <is>
          <t>Mustela Maternité Stretch Marks Prevention Cream 250ml 250g</t>
        </is>
      </c>
      <c r="C23438" t="inlineStr">
        <is>
          <t>Anti-Stretch Mark Cream</t>
        </is>
      </c>
      <c r="D23438" t="inlineStr">
        <is>
          <t>Mustela</t>
        </is>
      </c>
      <c r="E23438" t="n">
        <v>17.85</v>
      </c>
      <c r="F23438" t="n">
        <v>1</v>
      </c>
      <c r="G23438" t="n">
        <v>14</v>
      </c>
      <c r="H23438" s="5">
        <f>HYPERLINK("https://api.qogita.com/variants/link/3504105033811/", "View Product")</f>
        <v/>
      </c>
    </row>
    <row r="23439">
      <c r="A23439" t="inlineStr">
        <is>
          <t>3504105034696</t>
        </is>
      </c>
      <c r="B23439" t="inlineStr">
        <is>
          <t>Mustela No Rinse Cleansing Milk 200 Ml Unisex Baby Cleansing Milk</t>
        </is>
      </c>
      <c r="C23439" t="inlineStr">
        <is>
          <t>Baby Bath</t>
        </is>
      </c>
      <c r="D23439" t="inlineStr">
        <is>
          <t>Mustela</t>
        </is>
      </c>
      <c r="E23439" t="n">
        <v>6.02</v>
      </c>
      <c r="F23439" t="n">
        <v>1</v>
      </c>
      <c r="G23439" t="n">
        <v>4</v>
      </c>
      <c r="H23439" s="5">
        <f>HYPERLINK("https://api.qogita.com/variants/link/3504105034696/", "View Product")</f>
        <v/>
      </c>
    </row>
    <row r="23440">
      <c r="A23440" t="inlineStr">
        <is>
          <t>3504105035433</t>
        </is>
      </c>
      <c r="B23440" t="inlineStr">
        <is>
          <t>Mustela Cleansing Water 750ml</t>
        </is>
      </c>
      <c r="C23440" t="inlineStr">
        <is>
          <t>Baby Bath</t>
        </is>
      </c>
      <c r="D23440" t="inlineStr">
        <is>
          <t>Mustela</t>
        </is>
      </c>
      <c r="E23440" t="n">
        <v>15.46</v>
      </c>
      <c r="F23440" t="n">
        <v>1</v>
      </c>
      <c r="G23440" t="n">
        <v>5</v>
      </c>
      <c r="H23440" s="5">
        <f>HYPERLINK("https://api.qogita.com/variants/link/3504105035433/", "View Product")</f>
        <v/>
      </c>
    </row>
    <row r="23441">
      <c r="A23441" t="inlineStr">
        <is>
          <t>3504105035709</t>
        </is>
      </c>
      <c r="B23441" t="inlineStr">
        <is>
          <t>Mustela Comfort Bath Gel 300ml Soothing Cleansing Gel For Hair And Body Ideal For Very Sensitive Skin</t>
        </is>
      </c>
      <c r="C23441" t="inlineStr">
        <is>
          <t>Baby Shower Gel &amp; Soap</t>
        </is>
      </c>
      <c r="D23441" t="inlineStr">
        <is>
          <t>Mustela</t>
        </is>
      </c>
      <c r="E23441" t="n">
        <v>8.56</v>
      </c>
      <c r="F23441" t="n">
        <v>1</v>
      </c>
      <c r="G23441" t="n">
        <v>9</v>
      </c>
      <c r="H23441" s="5">
        <f>HYPERLINK("https://api.qogita.com/variants/link/3504105035709/", "View Product")</f>
        <v/>
      </c>
    </row>
    <row r="23442">
      <c r="A23442" t="inlineStr">
        <is>
          <t>3504105035822</t>
        </is>
      </c>
      <c r="B23442" t="inlineStr">
        <is>
          <t>Mustela No Rinse Cleansing Water 500ml</t>
        </is>
      </c>
      <c r="C23442" t="inlineStr">
        <is>
          <t>Baby Bath</t>
        </is>
      </c>
      <c r="D23442" t="inlineStr">
        <is>
          <t>Mustela</t>
        </is>
      </c>
      <c r="E23442" t="n">
        <v>11.8</v>
      </c>
      <c r="F23442" t="n">
        <v>1</v>
      </c>
      <c r="G23442" t="n">
        <v>5</v>
      </c>
      <c r="H23442" s="5">
        <f>HYPERLINK("https://api.qogita.com/variants/link/3504105035822/", "View Product")</f>
        <v/>
      </c>
    </row>
    <row r="23443">
      <c r="A23443" t="inlineStr">
        <is>
          <t>3504105035969</t>
        </is>
      </c>
      <c r="B23443" t="inlineStr">
        <is>
          <t>Mustela Hydra Bebe Facial Cream from Birth 40ml</t>
        </is>
      </c>
      <c r="C23443" t="inlineStr">
        <is>
          <t>Face Cream</t>
        </is>
      </c>
      <c r="D23443" t="inlineStr">
        <is>
          <t>Mustela</t>
        </is>
      </c>
      <c r="E23443" t="n">
        <v>6.71</v>
      </c>
      <c r="F23443" t="n">
        <v>1</v>
      </c>
      <c r="G23443" t="n">
        <v>5</v>
      </c>
      <c r="H23443" s="5">
        <f>HYPERLINK("https://api.qogita.com/variants/link/3504105035969/", "View Product")</f>
        <v/>
      </c>
    </row>
    <row r="23444">
      <c r="A23444" t="inlineStr">
        <is>
          <t>3504105036157</t>
        </is>
      </c>
      <c r="B23444" t="inlineStr">
        <is>
          <t>Mustela Lip And Cheek Stick With Cold Cream 92g</t>
        </is>
      </c>
      <c r="C23444" t="inlineStr">
        <is>
          <t>Lip Balm</t>
        </is>
      </c>
      <c r="D23444" t="inlineStr">
        <is>
          <t>Mustela</t>
        </is>
      </c>
      <c r="E23444" t="n">
        <v>6.07</v>
      </c>
      <c r="F23444" t="n">
        <v>1</v>
      </c>
      <c r="G23444" t="n">
        <v>15</v>
      </c>
      <c r="H23444" s="5">
        <f>HYPERLINK("https://api.qogita.com/variants/link/3504105036157/", "View Product")</f>
        <v/>
      </c>
    </row>
    <row r="23445">
      <c r="A23445" t="inlineStr">
        <is>
          <t>3504105036454</t>
        </is>
      </c>
      <c r="B23445" t="inlineStr">
        <is>
          <t>Mustela Soothing Moisturizing Lotion 200ml For Very Sensitive Skin</t>
        </is>
      </c>
      <c r="C23445" t="inlineStr">
        <is>
          <t>Baby Cream &amp; Oil</t>
        </is>
      </c>
      <c r="D23445" t="inlineStr">
        <is>
          <t>Mustela</t>
        </is>
      </c>
      <c r="E23445" t="n">
        <v>8.050000000000001</v>
      </c>
      <c r="F23445" t="n">
        <v>1</v>
      </c>
      <c r="G23445" t="n">
        <v>11</v>
      </c>
      <c r="H23445" s="5">
        <f>HYPERLINK("https://api.qogita.com/variants/link/3504105036454/", "View Product")</f>
        <v/>
      </c>
    </row>
    <row r="23446">
      <c r="A23446" t="inlineStr">
        <is>
          <t>3504105036751</t>
        </is>
      </c>
      <c r="B23446" t="inlineStr">
        <is>
          <t>Mustela Spray Sun Milk SPF 50 for Face and Body with Avocado and Vitamin E</t>
        </is>
      </c>
      <c r="C23446" t="inlineStr">
        <is>
          <t>Body Sun Protection</t>
        </is>
      </c>
      <c r="D23446" t="inlineStr">
        <is>
          <t>Mustela</t>
        </is>
      </c>
      <c r="E23446" t="n">
        <v>18.17</v>
      </c>
      <c r="F23446" t="n">
        <v>1</v>
      </c>
      <c r="G23446" t="n">
        <v>5</v>
      </c>
      <c r="H23446" s="5">
        <f>HYPERLINK("https://api.qogita.com/variants/link/3504105036751/", "View Product")</f>
        <v/>
      </c>
    </row>
    <row r="23447">
      <c r="A23447" t="inlineStr">
        <is>
          <t>3504105037963</t>
        </is>
      </c>
      <c r="B23447" t="inlineStr">
        <is>
          <t>Mustela Organic Micellar Water - 400ml</t>
        </is>
      </c>
      <c r="C23447" t="inlineStr">
        <is>
          <t>Micellar Water</t>
        </is>
      </c>
      <c r="D23447" t="inlineStr">
        <is>
          <t>Mustela</t>
        </is>
      </c>
      <c r="E23447" t="n">
        <v>12.83</v>
      </c>
      <c r="F23447" t="n">
        <v>1</v>
      </c>
      <c r="G23447" t="n">
        <v>5</v>
      </c>
      <c r="H23447" s="5">
        <f>HYPERLINK("https://api.qogita.com/variants/link/3504105037963/", "View Product")</f>
        <v/>
      </c>
    </row>
    <row r="23448">
      <c r="A23448" t="inlineStr">
        <is>
          <t>3508240014056</t>
        </is>
      </c>
      <c r="B23448" t="inlineStr">
        <is>
          <t>Lierac Homme After Shave Balm 75ml Soothing Balm For Men</t>
        </is>
      </c>
      <c r="C23448" t="inlineStr">
        <is>
          <t>Aftershave</t>
        </is>
      </c>
      <c r="D23448" t="inlineStr">
        <is>
          <t>Lierac</t>
        </is>
      </c>
      <c r="E23448" t="n">
        <v>10.99</v>
      </c>
      <c r="F23448" t="n">
        <v>1</v>
      </c>
      <c r="G23448" t="n">
        <v>9</v>
      </c>
      <c r="H23448" s="5">
        <f>HYPERLINK("https://api.qogita.com/variants/link/3508240014056/", "View Product")</f>
        <v/>
      </c>
    </row>
    <row r="23449">
      <c r="A23449" t="inlineStr">
        <is>
          <t>3508240014070</t>
        </is>
      </c>
      <c r="B23449" t="inlineStr">
        <is>
          <t>Lierac Homme Energising Moisturising Gel 50ml</t>
        </is>
      </c>
      <c r="C23449" t="inlineStr">
        <is>
          <t>Face Cream</t>
        </is>
      </c>
      <c r="D23449" t="inlineStr">
        <is>
          <t>Lierac</t>
        </is>
      </c>
      <c r="E23449" t="n">
        <v>13.79</v>
      </c>
      <c r="F23449" t="n">
        <v>1</v>
      </c>
      <c r="G23449" t="n">
        <v>2</v>
      </c>
      <c r="H23449" s="5">
        <f>HYPERLINK("https://api.qogita.com/variants/link/3508240014070/", "View Product")</f>
        <v/>
      </c>
    </row>
    <row r="23450">
      <c r="A23450" t="inlineStr">
        <is>
          <t>3508440004185</t>
        </is>
      </c>
      <c r="B23450" t="inlineStr">
        <is>
          <t>Creed Millesime Eladaria Eau De Parfum 75 Milliliters By Creed</t>
        </is>
      </c>
      <c r="C23450" t="inlineStr">
        <is>
          <t>Eau De Parfum</t>
        </is>
      </c>
      <c r="D23450" t="inlineStr">
        <is>
          <t>Creed</t>
        </is>
      </c>
      <c r="E23450" t="n">
        <v>221.89</v>
      </c>
      <c r="F23450" t="n">
        <v>1</v>
      </c>
      <c r="G23450" t="n">
        <v>4</v>
      </c>
      <c r="H23450" s="5">
        <f>HYPERLINK("https://api.qogita.com/variants/link/3508440004185/", "View Product")</f>
        <v/>
      </c>
    </row>
    <row r="23451">
      <c r="A23451" t="inlineStr">
        <is>
          <t>3508440505040</t>
        </is>
      </c>
      <c r="B23451" t="inlineStr">
        <is>
          <t>Creed Neroli Sauvage Eau De Toilette 50ml Men Spray</t>
        </is>
      </c>
      <c r="C23451" t="inlineStr">
        <is>
          <t>Eau De Toilette</t>
        </is>
      </c>
      <c r="D23451" t="inlineStr">
        <is>
          <t>Creed</t>
        </is>
      </c>
      <c r="E23451" t="n">
        <v>152.89</v>
      </c>
      <c r="F23451" t="n">
        <v>1</v>
      </c>
      <c r="G23451" t="n">
        <v>2</v>
      </c>
      <c r="H23451" s="5">
        <f>HYPERLINK("https://api.qogita.com/variants/link/3508440505040/", "View Product")</f>
        <v/>
      </c>
    </row>
    <row r="23452">
      <c r="A23452" t="inlineStr">
        <is>
          <t>3508440505064</t>
        </is>
      </c>
      <c r="B23452" t="inlineStr">
        <is>
          <t>Creed Royal Water Eau De Parfum Spray 50ml</t>
        </is>
      </c>
      <c r="C23452" t="inlineStr">
        <is>
          <t>Eau De Parfum</t>
        </is>
      </c>
      <c r="D23452" t="inlineStr">
        <is>
          <t>Creed</t>
        </is>
      </c>
      <c r="E23452" t="n">
        <v>132.41</v>
      </c>
      <c r="F23452" t="n">
        <v>1</v>
      </c>
      <c r="G23452" t="n">
        <v>14</v>
      </c>
      <c r="H23452" s="5">
        <f>HYPERLINK("https://api.qogita.com/variants/link/3508440505064/", "View Product")</f>
        <v/>
      </c>
    </row>
    <row r="23453">
      <c r="A23453" t="inlineStr">
        <is>
          <t>3508440505118</t>
        </is>
      </c>
      <c r="B23453" t="inlineStr">
        <is>
          <t>Creed Aventus Eau De Parfum 50ml For Men</t>
        </is>
      </c>
      <c r="C23453" t="inlineStr">
        <is>
          <t>Eau De Parfum</t>
        </is>
      </c>
      <c r="D23453" t="inlineStr">
        <is>
          <t>Creed</t>
        </is>
      </c>
      <c r="E23453" t="n">
        <v>180.13</v>
      </c>
      <c r="F23453" t="n">
        <v>1</v>
      </c>
      <c r="G23453" t="n">
        <v>60</v>
      </c>
      <c r="H23453" s="5">
        <f>HYPERLINK("https://api.qogita.com/variants/link/3508440505118/", "View Product")</f>
        <v/>
      </c>
    </row>
    <row r="23454">
      <c r="A23454" t="inlineStr">
        <is>
          <t>3508441001114</t>
        </is>
      </c>
      <c r="B23454" t="inlineStr">
        <is>
          <t>Creed Aventus Eau De Parfum 100ml For Men</t>
        </is>
      </c>
      <c r="C23454" t="inlineStr">
        <is>
          <t>Eau De Parfum</t>
        </is>
      </c>
      <c r="D23454" t="inlineStr">
        <is>
          <t>Creed</t>
        </is>
      </c>
      <c r="E23454" t="n">
        <v>246.39</v>
      </c>
      <c r="F23454" t="n">
        <v>1</v>
      </c>
      <c r="G23454" t="n">
        <v>158</v>
      </c>
      <c r="H23454" s="5">
        <f>HYPERLINK("https://api.qogita.com/variants/link/3508441001114/", "View Product")</f>
        <v/>
      </c>
    </row>
    <row r="23455">
      <c r="A23455" t="inlineStr">
        <is>
          <t>3508441001138</t>
        </is>
      </c>
      <c r="B23455" t="inlineStr">
        <is>
          <t>Creed Virgin Island Water Eau De Parfum 100ml</t>
        </is>
      </c>
      <c r="C23455" t="inlineStr">
        <is>
          <t>Eau De Parfum</t>
        </is>
      </c>
      <c r="D23455" t="inlineStr">
        <is>
          <t>Creed</t>
        </is>
      </c>
      <c r="E23455" t="n">
        <v>213.3</v>
      </c>
      <c r="F23455" t="n">
        <v>1</v>
      </c>
      <c r="G23455" t="n">
        <v>2</v>
      </c>
      <c r="H23455" s="5">
        <f>HYPERLINK("https://api.qogita.com/variants/link/3508441001138/", "View Product")</f>
        <v/>
      </c>
    </row>
    <row r="23456">
      <c r="A23456" t="inlineStr">
        <is>
          <t>3508441001367</t>
        </is>
      </c>
      <c r="B23456" t="inlineStr">
        <is>
          <t>Creed Viking Cologne Eau De Parfum Spray 50ml</t>
        </is>
      </c>
      <c r="C23456" t="inlineStr">
        <is>
          <t>Eau De Parfum</t>
        </is>
      </c>
      <c r="D23456" t="inlineStr">
        <is>
          <t>Creed</t>
        </is>
      </c>
      <c r="E23456" t="n">
        <v>112.54</v>
      </c>
      <c r="F23456" t="n">
        <v>1</v>
      </c>
      <c r="G23456" t="n">
        <v>8</v>
      </c>
      <c r="H23456" s="5">
        <f>HYPERLINK("https://api.qogita.com/variants/link/3508441001367/", "View Product")</f>
        <v/>
      </c>
    </row>
    <row r="23457">
      <c r="A23457" t="inlineStr">
        <is>
          <t>3508441103610</t>
        </is>
      </c>
      <c r="B23457" t="inlineStr">
        <is>
          <t>Creed Love In White Eau De Parfum</t>
        </is>
      </c>
      <c r="C23457" t="inlineStr">
        <is>
          <t>Eau De Parfum</t>
        </is>
      </c>
      <c r="D23457" t="inlineStr">
        <is>
          <t>Creed</t>
        </is>
      </c>
      <c r="E23457" t="n">
        <v>117.12</v>
      </c>
      <c r="F23457" t="n">
        <v>1</v>
      </c>
      <c r="G23457" t="n">
        <v>11</v>
      </c>
      <c r="H23457" s="5">
        <f>HYPERLINK("https://api.qogita.com/variants/link/3508441103610/", "View Product")</f>
        <v/>
      </c>
    </row>
    <row r="23458">
      <c r="A23458" t="inlineStr">
        <is>
          <t>3508441104648</t>
        </is>
      </c>
      <c r="B23458" t="inlineStr">
        <is>
          <t>Creed Royal Princess Oud Eau De Parfum Spray 75ml</t>
        </is>
      </c>
      <c r="C23458" t="inlineStr">
        <is>
          <t>Eau De Parfum</t>
        </is>
      </c>
      <c r="D23458" t="inlineStr">
        <is>
          <t>Creed</t>
        </is>
      </c>
      <c r="E23458" t="n">
        <v>200.13</v>
      </c>
      <c r="F23458" t="n">
        <v>1</v>
      </c>
      <c r="G23458" t="n">
        <v>8</v>
      </c>
      <c r="H23458" s="5">
        <f>HYPERLINK("https://api.qogita.com/variants/link/3508441104648/", "View Product")</f>
        <v/>
      </c>
    </row>
    <row r="23459">
      <c r="A23459" t="inlineStr">
        <is>
          <t>3516640511327</t>
        </is>
      </c>
      <c r="B23459" t="inlineStr">
        <is>
          <t>Franck Olivier Sun Java For Women Eau De Parfum Spray 75ml</t>
        </is>
      </c>
      <c r="C23459" t="inlineStr">
        <is>
          <t>Eau De Parfum</t>
        </is>
      </c>
      <c r="D23459" t="inlineStr">
        <is>
          <t>Franck Olivier</t>
        </is>
      </c>
      <c r="E23459" t="n">
        <v>16.74</v>
      </c>
      <c r="F23459" t="n">
        <v>1</v>
      </c>
      <c r="G23459" t="n">
        <v>3</v>
      </c>
      <c r="H23459" s="5">
        <f>HYPERLINK("https://api.qogita.com/variants/link/3516640511327/", "View Product")</f>
        <v/>
      </c>
    </row>
    <row r="23460">
      <c r="A23460" t="inlineStr">
        <is>
          <t>3516641542320</t>
        </is>
      </c>
      <c r="B23460" t="inlineStr">
        <is>
          <t>Franck Olivier Bella For Women Eau De Parfum Spray 2.5 Ounce</t>
        </is>
      </c>
      <c r="C23460" t="inlineStr">
        <is>
          <t>Eau De Parfum</t>
        </is>
      </c>
      <c r="D23460" t="inlineStr">
        <is>
          <t>Franck Olivier</t>
        </is>
      </c>
      <c r="E23460" t="n">
        <v>12.09</v>
      </c>
      <c r="F23460" t="n">
        <v>1</v>
      </c>
      <c r="G23460" t="n">
        <v>24</v>
      </c>
      <c r="H23460" s="5">
        <f>HYPERLINK("https://api.qogita.com/variants/link/3516641542320/", "View Product")</f>
        <v/>
      </c>
    </row>
    <row r="23461">
      <c r="A23461" t="inlineStr">
        <is>
          <t>3516641813321</t>
        </is>
      </c>
      <c r="B23461" t="inlineStr">
        <is>
          <t>Franck Olivier Sun Royal Oud Eau De Parfum Spray 75ml</t>
        </is>
      </c>
      <c r="C23461" t="inlineStr">
        <is>
          <t>Eau De Parfum</t>
        </is>
      </c>
      <c r="D23461" t="inlineStr">
        <is>
          <t>Franck Olivier</t>
        </is>
      </c>
      <c r="E23461" t="n">
        <v>13.7</v>
      </c>
      <c r="F23461" t="n">
        <v>1</v>
      </c>
      <c r="G23461" t="n">
        <v>3</v>
      </c>
      <c r="H23461" s="5">
        <f>HYPERLINK("https://api.qogita.com/variants/link/3516641813321/", "View Product")</f>
        <v/>
      </c>
    </row>
    <row r="23462">
      <c r="A23462" t="inlineStr">
        <is>
          <t>3516641962319</t>
        </is>
      </c>
      <c r="B23462" t="inlineStr">
        <is>
          <t>Franck Olivier Mademoiselle Floral Eau De Parfum</t>
        </is>
      </c>
      <c r="C23462" t="inlineStr">
        <is>
          <t>Eau De Parfum</t>
        </is>
      </c>
      <c r="D23462" t="inlineStr">
        <is>
          <t>Franck Olivier</t>
        </is>
      </c>
      <c r="E23462" t="n">
        <v>15.95</v>
      </c>
      <c r="F23462" t="n">
        <v>1</v>
      </c>
      <c r="G23462" t="n">
        <v>5</v>
      </c>
      <c r="H23462" s="5">
        <f>HYPERLINK("https://api.qogita.com/variants/link/3516641962319/", "View Product")</f>
        <v/>
      </c>
    </row>
    <row r="23463">
      <c r="A23463" t="inlineStr">
        <is>
          <t>3516642045325</t>
        </is>
      </c>
      <c r="B23463" t="inlineStr">
        <is>
          <t>Franck Olivier Giorgio L'imperatrice by Franck Olivier</t>
        </is>
      </c>
      <c r="C23463" t="inlineStr">
        <is>
          <t>Eau De Parfum</t>
        </is>
      </c>
      <c r="D23463" t="inlineStr">
        <is>
          <t>Franck Olivier</t>
        </is>
      </c>
      <c r="E23463" t="n">
        <v>12.36</v>
      </c>
      <c r="F23463" t="n">
        <v>1</v>
      </c>
      <c r="G23463" t="n">
        <v>8</v>
      </c>
      <c r="H23463" s="5">
        <f>HYPERLINK("https://api.qogita.com/variants/link/3516642045325/", "View Product")</f>
        <v/>
      </c>
    </row>
    <row r="23464">
      <c r="A23464" t="inlineStr">
        <is>
          <t>3516642101335</t>
        </is>
      </c>
      <c r="B23464" t="inlineStr">
        <is>
          <t>Franck Olivier Ladies Eau De Parfum 1.7 Ounces</t>
        </is>
      </c>
      <c r="C23464" t="inlineStr">
        <is>
          <t>Eau De Parfum</t>
        </is>
      </c>
      <c r="D23464" t="inlineStr">
        <is>
          <t>Franck Olivier</t>
        </is>
      </c>
      <c r="E23464" t="n">
        <v>18.62</v>
      </c>
      <c r="F23464" t="n">
        <v>1</v>
      </c>
      <c r="G23464" t="n">
        <v>3</v>
      </c>
      <c r="H23464" s="5">
        <f>HYPERLINK("https://api.qogita.com/variants/link/3516642101335/", "View Product")</f>
        <v/>
      </c>
    </row>
    <row r="23465">
      <c r="A23465" t="inlineStr">
        <is>
          <t>3516642211126</t>
        </is>
      </c>
      <c r="B23465" t="inlineStr">
        <is>
          <t>Frank Olivier Sun Java Eau De Toilette Spray for Men 2.5 Fl Oz</t>
        </is>
      </c>
      <c r="C23465" t="inlineStr">
        <is>
          <t>Eau De Toilette</t>
        </is>
      </c>
      <c r="D23465" t="inlineStr">
        <is>
          <t>Franck Olivier</t>
        </is>
      </c>
      <c r="E23465" t="n">
        <v>18.09</v>
      </c>
      <c r="F23465" t="n">
        <v>1</v>
      </c>
      <c r="G23465" t="n">
        <v>17</v>
      </c>
      <c r="H23465" s="5">
        <f>HYPERLINK("https://api.qogita.com/variants/link/3516642211126/", "View Product")</f>
        <v/>
      </c>
    </row>
    <row r="23466">
      <c r="A23466" t="inlineStr">
        <is>
          <t>3522930003816</t>
        </is>
      </c>
      <c r="B23466" t="inlineStr">
        <is>
          <t>Caudalie Fleur De Vigne Shower Gel 200ml</t>
        </is>
      </c>
      <c r="C23466" t="inlineStr">
        <is>
          <t>Shower Gel</t>
        </is>
      </c>
      <c r="D23466" t="inlineStr">
        <is>
          <t>Caudalie</t>
        </is>
      </c>
      <c r="E23466" t="n">
        <v>6.75</v>
      </c>
      <c r="F23466" t="n">
        <v>1</v>
      </c>
      <c r="G23466" t="n">
        <v>4</v>
      </c>
      <c r="H23466" s="5">
        <f>HYPERLINK("https://api.qogita.com/variants/link/3522930003816/", "View Product")</f>
        <v/>
      </c>
    </row>
    <row r="23467">
      <c r="A23467" t="inlineStr">
        <is>
          <t>3522931003747</t>
        </is>
      </c>
      <c r="B23467" t="inlineStr">
        <is>
          <t>Caudalie Vinosun Cream Spf50 50ml High Protection Sunscreen</t>
        </is>
      </c>
      <c r="C23467" t="inlineStr">
        <is>
          <t>Face Sun Protection</t>
        </is>
      </c>
      <c r="D23467" t="inlineStr">
        <is>
          <t>Caudalie</t>
        </is>
      </c>
      <c r="E23467" t="n">
        <v>22.53</v>
      </c>
      <c r="F23467" t="n">
        <v>1</v>
      </c>
      <c r="G23467" t="n">
        <v>3</v>
      </c>
      <c r="H23467" s="5">
        <f>HYPERLINK("https://api.qogita.com/variants/link/3522931003747/", "View Product")</f>
        <v/>
      </c>
    </row>
    <row r="23468">
      <c r="A23468" t="inlineStr">
        <is>
          <t>3525801651802</t>
        </is>
      </c>
      <c r="B23468" t="inlineStr">
        <is>
          <t>Thalgo Cold Cream Marine Hand Cream 50ml By Thalgo</t>
        </is>
      </c>
      <c r="C23468" t="inlineStr">
        <is>
          <t>Hand Cream</t>
        </is>
      </c>
      <c r="D23468" t="inlineStr">
        <is>
          <t>Thalgo</t>
        </is>
      </c>
      <c r="E23468" t="n">
        <v>11.37</v>
      </c>
      <c r="F23468" t="n">
        <v>1</v>
      </c>
      <c r="G23468" t="n">
        <v>8</v>
      </c>
      <c r="H23468" s="5">
        <f>HYPERLINK("https://api.qogita.com/variants/link/3525801651802/", "View Product")</f>
        <v/>
      </c>
    </row>
    <row r="23469">
      <c r="A23469" t="inlineStr">
        <is>
          <t>3525801663812</t>
        </is>
      </c>
      <c r="B23469" t="inlineStr">
        <is>
          <t>Thalgo Purete Marine Gentle Purifying Gel Face Makeup Remover 200ml</t>
        </is>
      </c>
      <c r="C23469" t="inlineStr">
        <is>
          <t>Cleansing Gel</t>
        </is>
      </c>
      <c r="D23469" t="inlineStr">
        <is>
          <t>Thalgo</t>
        </is>
      </c>
      <c r="E23469" t="n">
        <v>15.12</v>
      </c>
      <c r="F23469" t="n">
        <v>1</v>
      </c>
      <c r="G23469" t="n">
        <v>3</v>
      </c>
      <c r="H23469" s="5">
        <f>HYPERLINK("https://api.qogita.com/variants/link/3525801663812/", "View Product")</f>
        <v/>
      </c>
    </row>
    <row r="23470">
      <c r="A23470" t="inlineStr">
        <is>
          <t>3525801693949</t>
        </is>
      </c>
      <c r="B23470" t="inlineStr">
        <is>
          <t>Thalgo Nourishing Mask For Dry Skin Cold Cream Marine Nutricomfort Pro Mask 50 Ml</t>
        </is>
      </c>
      <c r="C23470" t="inlineStr">
        <is>
          <t>Hydrating Mask</t>
        </is>
      </c>
      <c r="D23470" t="inlineStr">
        <is>
          <t>Thalgo</t>
        </is>
      </c>
      <c r="E23470" t="n">
        <v>20.18</v>
      </c>
      <c r="F23470" t="n">
        <v>1</v>
      </c>
      <c r="G23470" t="n">
        <v>8</v>
      </c>
      <c r="H23470" s="5">
        <f>HYPERLINK("https://api.qogita.com/variants/link/3525801693949/", "View Product")</f>
        <v/>
      </c>
    </row>
    <row r="23471">
      <c r="A23471" t="inlineStr">
        <is>
          <t>3540550009629</t>
        </is>
      </c>
      <c r="B23471" t="inlineStr">
        <is>
          <t>Filorga Age-Purify Intensive Double Correction Serum - 30ml For Oily And Combination Skin</t>
        </is>
      </c>
      <c r="C23471" t="inlineStr">
        <is>
          <t>Anti-Aging Serum</t>
        </is>
      </c>
      <c r="D23471" t="inlineStr">
        <is>
          <t>Filorga</t>
        </is>
      </c>
      <c r="E23471" t="n">
        <v>35.2</v>
      </c>
      <c r="F23471" t="n">
        <v>1</v>
      </c>
      <c r="G23471" t="n">
        <v>23</v>
      </c>
      <c r="H23471" s="5">
        <f>HYPERLINK("https://api.qogita.com/variants/link/3540550009629/", "View Product")</f>
        <v/>
      </c>
    </row>
    <row r="23472">
      <c r="A23472" t="inlineStr">
        <is>
          <t>3540550013404</t>
        </is>
      </c>
      <c r="B23472" t="inlineStr">
        <is>
          <t>Filorga Timefiller Essence Smoothing Antiageing Essence Lotion 150 Ml</t>
        </is>
      </c>
      <c r="C23472" t="inlineStr">
        <is>
          <t>Anti-Aging Facial Care</t>
        </is>
      </c>
      <c r="D23472" t="inlineStr">
        <is>
          <t>Filorga</t>
        </is>
      </c>
      <c r="E23472" t="n">
        <v>23.29</v>
      </c>
      <c r="F23472" t="n">
        <v>1</v>
      </c>
      <c r="G23472" t="n">
        <v>6</v>
      </c>
      <c r="H23472" s="5">
        <f>HYPERLINK("https://api.qogita.com/variants/link/3540550013404/", "View Product")</f>
        <v/>
      </c>
    </row>
    <row r="23473">
      <c r="A23473" t="inlineStr">
        <is>
          <t>3552575000864</t>
        </is>
      </c>
      <c r="B23473" t="inlineStr">
        <is>
          <t>Annayake Natsumi Perfume For Women Size 100 Ml</t>
        </is>
      </c>
      <c r="C23473" t="inlineStr">
        <is>
          <t>Eau De Parfum</t>
        </is>
      </c>
      <c r="D23473" t="inlineStr">
        <is>
          <t>Annayake</t>
        </is>
      </c>
      <c r="E23473" t="n">
        <v>39.97</v>
      </c>
      <c r="F23473" t="n">
        <v>1</v>
      </c>
      <c r="G23473" t="n">
        <v>4</v>
      </c>
      <c r="H23473" s="5">
        <f>HYPERLINK("https://api.qogita.com/variants/link/3552575000864/", "View Product")</f>
        <v/>
      </c>
    </row>
    <row r="23474">
      <c r="A23474" t="inlineStr">
        <is>
          <t>3552576100112</t>
        </is>
      </c>
      <c r="B23474" t="inlineStr">
        <is>
          <t>Annayake Miyabi Homme Men Eau de Toilette 100ml</t>
        </is>
      </c>
      <c r="C23474" t="inlineStr">
        <is>
          <t>Eau De Toilette</t>
        </is>
      </c>
      <c r="D23474" t="inlineStr">
        <is>
          <t>Annayake</t>
        </is>
      </c>
      <c r="E23474" t="n">
        <v>46.78</v>
      </c>
      <c r="F23474" t="n">
        <v>1</v>
      </c>
      <c r="G23474" t="n">
        <v>3</v>
      </c>
      <c r="H23474" s="5">
        <f>HYPERLINK("https://api.qogita.com/variants/link/3552576100112/", "View Product")</f>
        <v/>
      </c>
    </row>
    <row r="23475">
      <c r="A23475" t="inlineStr">
        <is>
          <t>3562700373107</t>
        </is>
      </c>
      <c r="B23475" t="inlineStr">
        <is>
          <t>Jaguar Eau De Toilette Spray 75ml</t>
        </is>
      </c>
      <c r="C23475" t="inlineStr">
        <is>
          <t>Eau De Toilette</t>
        </is>
      </c>
      <c r="D23475" t="inlineStr">
        <is>
          <t>Jaguar</t>
        </is>
      </c>
      <c r="E23475" t="n">
        <v>10.76</v>
      </c>
      <c r="F23475" t="n">
        <v>1</v>
      </c>
      <c r="G23475" t="n">
        <v>8</v>
      </c>
      <c r="H23475" s="5">
        <f>HYPERLINK("https://api.qogita.com/variants/link/3562700373107/", "View Product")</f>
        <v/>
      </c>
    </row>
    <row r="23476">
      <c r="A23476" t="inlineStr">
        <is>
          <t>3574660271072</t>
        </is>
      </c>
      <c r="B23476" t="inlineStr">
        <is>
          <t>Neutrogena Norwegian Formula Lipcare Spf 4 Protective Stick For Dry And Chapped Lips 4.8g</t>
        </is>
      </c>
      <c r="C23476" t="inlineStr">
        <is>
          <t>Medicated Treatments</t>
        </is>
      </c>
      <c r="D23476" t="inlineStr">
        <is>
          <t>Neutrogena</t>
        </is>
      </c>
      <c r="E23476" t="n">
        <v>4.24</v>
      </c>
      <c r="F23476" t="n">
        <v>1</v>
      </c>
      <c r="G23476" t="n">
        <v>24</v>
      </c>
      <c r="H23476" s="5">
        <f>HYPERLINK("https://api.qogita.com/variants/link/3574660271072/", "View Product")</f>
        <v/>
      </c>
    </row>
    <row r="23477">
      <c r="A23477" t="inlineStr">
        <is>
          <t>3574660271096</t>
        </is>
      </c>
      <c r="B23477" t="inlineStr">
        <is>
          <t>Neutrogena Norwegian Formula Lipcare Spf20 Protective Stick For Dry And Chapped Lips 4.8g</t>
        </is>
      </c>
      <c r="C23477" t="inlineStr">
        <is>
          <t>Medicated Treatments</t>
        </is>
      </c>
      <c r="D23477" t="inlineStr">
        <is>
          <t>Neutrogena</t>
        </is>
      </c>
      <c r="E23477" t="n">
        <v>4.65</v>
      </c>
      <c r="F23477" t="n">
        <v>1</v>
      </c>
      <c r="G23477" t="n">
        <v>24</v>
      </c>
      <c r="H23477" s="5">
        <f>HYPERLINK("https://api.qogita.com/variants/link/3574660271096/", "View Product")</f>
        <v/>
      </c>
    </row>
    <row r="23478">
      <c r="A23478" t="inlineStr">
        <is>
          <t>3574660412277</t>
        </is>
      </c>
      <c r="B23478" t="inlineStr">
        <is>
          <t>Neutrogena Norwegian Formula Fast Absorbing Hand Cream With Light Consistency 75ml</t>
        </is>
      </c>
      <c r="C23478" t="inlineStr">
        <is>
          <t>Hand Cream</t>
        </is>
      </c>
      <c r="D23478" t="inlineStr">
        <is>
          <t>Neutrogena</t>
        </is>
      </c>
      <c r="E23478" t="n">
        <v>5.18</v>
      </c>
      <c r="F23478" t="n">
        <v>1</v>
      </c>
      <c r="G23478" t="n">
        <v>22</v>
      </c>
      <c r="H23478" s="5">
        <f>HYPERLINK("https://api.qogita.com/variants/link/3574660412277/", "View Product")</f>
        <v/>
      </c>
    </row>
    <row r="23479">
      <c r="A23479" t="inlineStr">
        <is>
          <t>3574660520101</t>
        </is>
      </c>
      <c r="B23479" t="inlineStr">
        <is>
          <t>Listerine Total Care Teeth Protection Mouthwash 1000ml</t>
        </is>
      </c>
      <c r="C23479" t="inlineStr">
        <is>
          <t>Mouthwash</t>
        </is>
      </c>
      <c r="D23479" t="inlineStr">
        <is>
          <t>Listerine</t>
        </is>
      </c>
      <c r="E23479" t="n">
        <v>6.54</v>
      </c>
      <c r="F23479" t="n">
        <v>1</v>
      </c>
      <c r="G23479" t="n">
        <v>23</v>
      </c>
      <c r="H23479" s="5">
        <f>HYPERLINK("https://api.qogita.com/variants/link/3574660520101/", "View Product")</f>
        <v/>
      </c>
    </row>
    <row r="23480">
      <c r="A23480" t="inlineStr">
        <is>
          <t>3574660527452</t>
        </is>
      </c>
      <c r="B23480" t="inlineStr">
        <is>
          <t>Neutrogena Fine Care Body Lotion 400ml - No Perfume</t>
        </is>
      </c>
      <c r="C23480" t="inlineStr">
        <is>
          <t>Body Lotion</t>
        </is>
      </c>
      <c r="D23480" t="inlineStr">
        <is>
          <t>Neutrogena</t>
        </is>
      </c>
      <c r="E23480" t="n">
        <v>7.88</v>
      </c>
      <c r="F23480" t="n">
        <v>1</v>
      </c>
      <c r="G23480" t="n">
        <v>29</v>
      </c>
      <c r="H23480" s="5">
        <f>HYPERLINK("https://api.qogita.com/variants/link/3574660527452/", "View Product")</f>
        <v/>
      </c>
    </row>
    <row r="23481">
      <c r="A23481" t="inlineStr">
        <is>
          <t>3574660549065</t>
        </is>
      </c>
      <c r="B23481" t="inlineStr">
        <is>
          <t>Neutrogena Norwegian Formula Intense Repair Body Lotion - 400ml</t>
        </is>
      </c>
      <c r="C23481" t="inlineStr">
        <is>
          <t>Body Lotion</t>
        </is>
      </c>
      <c r="D23481" t="inlineStr">
        <is>
          <t>Neutrogena</t>
        </is>
      </c>
      <c r="E23481" t="n">
        <v>7.88</v>
      </c>
      <c r="F23481" t="n">
        <v>1</v>
      </c>
      <c r="G23481" t="n">
        <v>4</v>
      </c>
      <c r="H23481" s="5">
        <f>HYPERLINK("https://api.qogita.com/variants/link/3574660549065/", "View Product")</f>
        <v/>
      </c>
    </row>
    <row r="23482">
      <c r="A23482" t="inlineStr">
        <is>
          <t>3574660578300</t>
        </is>
      </c>
      <c r="B23482" t="inlineStr">
        <is>
          <t>Listerine Total Care Stay White Mouthwash With Whitening Effect</t>
        </is>
      </c>
      <c r="C23482" t="inlineStr">
        <is>
          <t>Mouthwash</t>
        </is>
      </c>
      <c r="D23482" t="inlineStr">
        <is>
          <t>Listerine</t>
        </is>
      </c>
      <c r="E23482" t="n">
        <v>7.3</v>
      </c>
      <c r="F23482" t="n">
        <v>1</v>
      </c>
      <c r="G23482" t="n">
        <v>14</v>
      </c>
      <c r="H23482" s="5">
        <f>HYPERLINK("https://api.qogita.com/variants/link/3574660578300/", "View Product")</f>
        <v/>
      </c>
    </row>
    <row r="23483">
      <c r="A23483" t="inlineStr">
        <is>
          <t>3574660679946</t>
        </is>
      </c>
      <c r="B23483" t="inlineStr">
        <is>
          <t>Piz Buin Aloe Vera Lipstick Spf 30 Moisturizing Lip Balm With Aloe Vera 49g</t>
        </is>
      </c>
      <c r="C23483" t="inlineStr">
        <is>
          <t>Medicated Treatments</t>
        </is>
      </c>
      <c r="D23483" t="inlineStr">
        <is>
          <t>Piz Buin</t>
        </is>
      </c>
      <c r="E23483" t="n">
        <v>3.99</v>
      </c>
      <c r="F23483" t="n">
        <v>1</v>
      </c>
      <c r="G23483" t="n">
        <v>31</v>
      </c>
      <c r="H23483" s="5">
        <f>HYPERLINK("https://api.qogita.com/variants/link/3574660679946/", "View Product")</f>
        <v/>
      </c>
    </row>
    <row r="23484">
      <c r="A23484" t="inlineStr">
        <is>
          <t>3574661199283</t>
        </is>
      </c>
      <c r="B23484" t="inlineStr">
        <is>
          <t>Neutrogena Visibly Renew Supple Touch Body Lotion - 400ml</t>
        </is>
      </c>
      <c r="C23484" t="inlineStr">
        <is>
          <t>Body Lotion</t>
        </is>
      </c>
      <c r="D23484" t="inlineStr">
        <is>
          <t>Neutrogena</t>
        </is>
      </c>
      <c r="E23484" t="n">
        <v>8.48</v>
      </c>
      <c r="F23484" t="n">
        <v>1</v>
      </c>
      <c r="G23484" t="n">
        <v>15</v>
      </c>
      <c r="H23484" s="5">
        <f>HYPERLINK("https://api.qogita.com/variants/link/3574661199283/", "View Product")</f>
        <v/>
      </c>
    </row>
    <row r="23485">
      <c r="A23485" t="inlineStr">
        <is>
          <t>3574661288345</t>
        </is>
      </c>
      <c r="B23485" t="inlineStr">
        <is>
          <t>Neutrogena Hydro Boost Water Gel Facial Cleanser with Hyaluronic Acid for Dry Skin</t>
        </is>
      </c>
      <c r="C23485" t="inlineStr">
        <is>
          <t>Cleansing Gel</t>
        </is>
      </c>
      <c r="D23485" t="inlineStr">
        <is>
          <t>Neutrogena</t>
        </is>
      </c>
      <c r="E23485" t="n">
        <v>7.36</v>
      </c>
      <c r="F23485" t="n">
        <v>1</v>
      </c>
      <c r="G23485" t="n">
        <v>11</v>
      </c>
      <c r="H23485" s="5">
        <f>HYPERLINK("https://api.qogita.com/variants/link/3574661288345/", "View Product")</f>
        <v/>
      </c>
    </row>
    <row r="23486">
      <c r="A23486" t="inlineStr">
        <is>
          <t>3574661292014</t>
        </is>
      </c>
      <c r="B23486" t="inlineStr">
        <is>
          <t>Neutrogena Hydro Boost Gelée Milk Cleanser for Visibly Clean Skin with Hyaluronic Acid 200ml</t>
        </is>
      </c>
      <c r="C23486" t="inlineStr">
        <is>
          <t>Cleansing Milk</t>
        </is>
      </c>
      <c r="D23486" t="inlineStr">
        <is>
          <t>Neutrogena</t>
        </is>
      </c>
      <c r="E23486" t="n">
        <v>7.36</v>
      </c>
      <c r="F23486" t="n">
        <v>1</v>
      </c>
      <c r="G23486" t="n">
        <v>15</v>
      </c>
      <c r="H23486" s="5">
        <f>HYPERLINK("https://api.qogita.com/variants/link/3574661292014/", "View Product")</f>
        <v/>
      </c>
    </row>
    <row r="23487">
      <c r="A23487" t="inlineStr">
        <is>
          <t>3574661371290</t>
        </is>
      </c>
      <c r="B23487" t="inlineStr">
        <is>
          <t>O.B. Procomfort Tampons Mini - 32 Pieces</t>
        </is>
      </c>
      <c r="C23487" t="inlineStr">
        <is>
          <t>Feminine Sanitary Supplies</t>
        </is>
      </c>
      <c r="D23487" t="inlineStr">
        <is>
          <t>O.B</t>
        </is>
      </c>
      <c r="E23487" t="n">
        <v>5.75</v>
      </c>
      <c r="F23487" t="n">
        <v>1</v>
      </c>
      <c r="G23487" t="n">
        <v>3</v>
      </c>
      <c r="H23487" s="5">
        <f>HYPERLINK("https://api.qogita.com/variants/link/3574661371290/", "View Product")</f>
        <v/>
      </c>
    </row>
    <row r="23488">
      <c r="A23488" t="inlineStr">
        <is>
          <t>3574661373577</t>
        </is>
      </c>
      <c r="B23488" t="inlineStr">
        <is>
          <t>Piz Buin Tan Intensifying Sun Spray Spf 30 150ml</t>
        </is>
      </c>
      <c r="C23488" t="inlineStr">
        <is>
          <t>Body Sun Protection</t>
        </is>
      </c>
      <c r="D23488" t="inlineStr">
        <is>
          <t>Piz Buin</t>
        </is>
      </c>
      <c r="E23488" t="n">
        <v>8.539999999999999</v>
      </c>
      <c r="F23488" t="n">
        <v>1</v>
      </c>
      <c r="G23488" t="n">
        <v>23</v>
      </c>
      <c r="H23488" s="5">
        <f>HYPERLINK("https://api.qogita.com/variants/link/3574661373577/", "View Product")</f>
        <v/>
      </c>
    </row>
    <row r="23489">
      <c r="A23489" t="inlineStr">
        <is>
          <t>3574661392462</t>
        </is>
      </c>
      <c r="B23489" t="inlineStr">
        <is>
          <t>Neutrogena Hydro Boost Gel Hand Cream</t>
        </is>
      </c>
      <c r="C23489" t="inlineStr">
        <is>
          <t>Hand Cream</t>
        </is>
      </c>
      <c r="D23489" t="inlineStr">
        <is>
          <t>Neutrogena</t>
        </is>
      </c>
      <c r="E23489" t="n">
        <v>5.43</v>
      </c>
      <c r="F23489" t="n">
        <v>1</v>
      </c>
      <c r="G23489" t="n">
        <v>5</v>
      </c>
      <c r="H23489" s="5">
        <f>HYPERLINK("https://api.qogita.com/variants/link/3574661392462/", "View Product")</f>
        <v/>
      </c>
    </row>
    <row r="23490">
      <c r="A23490" t="inlineStr">
        <is>
          <t>3574661465043</t>
        </is>
      </c>
      <c r="B23490" t="inlineStr">
        <is>
          <t>Piz Buin Allergy Lotion Spf 30 200 Ml For Sensitive Skin</t>
        </is>
      </c>
      <c r="C23490" t="inlineStr">
        <is>
          <t>Body Sun Protection</t>
        </is>
      </c>
      <c r="D23490" t="inlineStr">
        <is>
          <t>Piz Buin</t>
        </is>
      </c>
      <c r="E23490" t="n">
        <v>6.57</v>
      </c>
      <c r="F23490" t="n">
        <v>1</v>
      </c>
      <c r="G23490" t="n">
        <v>93</v>
      </c>
      <c r="H23490" s="5">
        <f>HYPERLINK("https://api.qogita.com/variants/link/3574661465043/", "View Product")</f>
        <v/>
      </c>
    </row>
    <row r="23491">
      <c r="A23491" t="inlineStr">
        <is>
          <t>3574661469911</t>
        </is>
      </c>
      <c r="B23491" t="inlineStr">
        <is>
          <t>Piz Buin Moisturizing Sun Lotion Spf 30 400 Ml</t>
        </is>
      </c>
      <c r="C23491" t="inlineStr">
        <is>
          <t>Body Sun Protection</t>
        </is>
      </c>
      <c r="D23491" t="inlineStr">
        <is>
          <t>Piz Buin</t>
        </is>
      </c>
      <c r="E23491" t="n">
        <v>13.48</v>
      </c>
      <c r="F23491" t="n">
        <v>1</v>
      </c>
      <c r="G23491" t="n">
        <v>10</v>
      </c>
      <c r="H23491" s="5">
        <f>HYPERLINK("https://api.qogita.com/variants/link/3574661469911/", "View Product")</f>
        <v/>
      </c>
    </row>
    <row r="23492">
      <c r="A23492" t="inlineStr">
        <is>
          <t>3574661501130</t>
        </is>
      </c>
      <c r="B23492" t="inlineStr">
        <is>
          <t>Aveeno Daily Moisturizing Creamy Oil Body Cream 300 Ml</t>
        </is>
      </c>
      <c r="C23492" t="inlineStr">
        <is>
          <t>Body Lotion</t>
        </is>
      </c>
      <c r="D23492" t="inlineStr">
        <is>
          <t>Aveeno</t>
        </is>
      </c>
      <c r="E23492" t="n">
        <v>12.44</v>
      </c>
      <c r="F23492" t="n">
        <v>1</v>
      </c>
      <c r="G23492" t="n">
        <v>30</v>
      </c>
      <c r="H23492" s="5">
        <f>HYPERLINK("https://api.qogita.com/variants/link/3574661501130/", "View Product")</f>
        <v/>
      </c>
    </row>
    <row r="23493">
      <c r="A23493" t="inlineStr">
        <is>
          <t>3574661620008</t>
        </is>
      </c>
      <c r="B23493" t="inlineStr">
        <is>
          <t>Neutrogena T Gel Forte Dandruff Shampoo 125 Ml</t>
        </is>
      </c>
      <c r="C23493" t="inlineStr">
        <is>
          <t>Shampoo</t>
        </is>
      </c>
      <c r="D23493" t="inlineStr">
        <is>
          <t>Neutrogena</t>
        </is>
      </c>
      <c r="E23493" t="n">
        <v>10.72</v>
      </c>
      <c r="F23493" t="n">
        <v>1</v>
      </c>
      <c r="G23493" t="n">
        <v>240</v>
      </c>
      <c r="H23493" s="5">
        <f>HYPERLINK("https://api.qogita.com/variants/link/3574661620008/", "View Product")</f>
        <v/>
      </c>
    </row>
    <row r="23494">
      <c r="A23494" t="inlineStr">
        <is>
          <t>3574661657462</t>
        </is>
      </c>
      <c r="B23494" t="inlineStr">
        <is>
          <t>Listerine Naturals Mouthwash Gum Protection 500ml</t>
        </is>
      </c>
      <c r="C23494" t="inlineStr">
        <is>
          <t>Mouthwash</t>
        </is>
      </c>
      <c r="D23494" t="inlineStr">
        <is>
          <t>Listerine</t>
        </is>
      </c>
      <c r="E23494" t="n">
        <v>7.3</v>
      </c>
      <c r="F23494" t="n">
        <v>1</v>
      </c>
      <c r="G23494" t="n">
        <v>13</v>
      </c>
      <c r="H23494" s="5">
        <f>HYPERLINK("https://api.qogita.com/variants/link/3574661657462/", "View Product")</f>
        <v/>
      </c>
    </row>
    <row r="23495">
      <c r="A23495" t="inlineStr">
        <is>
          <t>3574661658605</t>
        </is>
      </c>
      <c r="B23495" t="inlineStr">
        <is>
          <t>Neutrogena Retinol Boost Day Cream Spf15 Face Cream 50ml</t>
        </is>
      </c>
      <c r="C23495" t="inlineStr">
        <is>
          <t>Day Cream</t>
        </is>
      </c>
      <c r="D23495" t="inlineStr">
        <is>
          <t>Neutrogena</t>
        </is>
      </c>
      <c r="E23495" t="n">
        <v>16.63</v>
      </c>
      <c r="F23495" t="n">
        <v>1</v>
      </c>
      <c r="G23495" t="n">
        <v>22</v>
      </c>
      <c r="H23495" s="5">
        <f>HYPERLINK("https://api.qogita.com/variants/link/3574661658605/", "View Product")</f>
        <v/>
      </c>
    </row>
    <row r="23496">
      <c r="A23496" t="inlineStr">
        <is>
          <t>3574661688046</t>
        </is>
      </c>
      <c r="B23496" t="inlineStr">
        <is>
          <t>Neutrogena Retinol Boost Intense Care Cream 50 Ml</t>
        </is>
      </c>
      <c r="C23496" t="inlineStr">
        <is>
          <t>Anti-Aging Facial Care</t>
        </is>
      </c>
      <c r="D23496" t="inlineStr">
        <is>
          <t>Neutrogena</t>
        </is>
      </c>
      <c r="E23496" t="n">
        <v>18.95</v>
      </c>
      <c r="F23496" t="n">
        <v>1</v>
      </c>
      <c r="G23496" t="n">
        <v>8</v>
      </c>
      <c r="H23496" s="5">
        <f>HYPERLINK("https://api.qogita.com/variants/link/3574661688046/", "View Product")</f>
        <v/>
      </c>
    </row>
    <row r="23497">
      <c r="A23497" t="inlineStr">
        <is>
          <t>3574661749549</t>
        </is>
      </c>
      <c r="B23497" t="inlineStr">
        <is>
          <t>Neutrogena Clear &amp; Defend+ Gel Moisturiser 50ml</t>
        </is>
      </c>
      <c r="C23497" t="inlineStr">
        <is>
          <t>Face Cream</t>
        </is>
      </c>
      <c r="D23497" t="inlineStr">
        <is>
          <t>Neutrogena</t>
        </is>
      </c>
      <c r="E23497" t="n">
        <v>9.69</v>
      </c>
      <c r="F23497" t="n">
        <v>1</v>
      </c>
      <c r="G23497" t="n">
        <v>7</v>
      </c>
      <c r="H23497" s="5">
        <f>HYPERLINK("https://api.qogita.com/variants/link/3574661749549/", "View Product")</f>
        <v/>
      </c>
    </row>
    <row r="23498">
      <c r="A23498" t="inlineStr">
        <is>
          <t>3574661774626</t>
        </is>
      </c>
      <c r="B23498" t="inlineStr">
        <is>
          <t>Neutrogena Hydro Boost Intensively Moisturizing Face Serum 30ml</t>
        </is>
      </c>
      <c r="C23498" t="inlineStr">
        <is>
          <t>Hydrating Serum</t>
        </is>
      </c>
      <c r="D23498" t="inlineStr">
        <is>
          <t>Neutrogena</t>
        </is>
      </c>
      <c r="E23498" t="n">
        <v>13.4</v>
      </c>
      <c r="F23498" t="n">
        <v>1</v>
      </c>
      <c r="G23498" t="n">
        <v>38</v>
      </c>
      <c r="H23498" s="5">
        <f>HYPERLINK("https://api.qogita.com/variants/link/3574661774626/", "View Product")</f>
        <v/>
      </c>
    </row>
    <row r="23499">
      <c r="A23499" t="inlineStr">
        <is>
          <t>3574661808895</t>
        </is>
      </c>
      <c r="B23499" t="inlineStr">
        <is>
          <t>Aveeno Dermexa Moisturizing Daily Emollient Cream Body Lotion</t>
        </is>
      </c>
      <c r="C23499" t="inlineStr">
        <is>
          <t>Body Lotion</t>
        </is>
      </c>
      <c r="D23499" t="inlineStr">
        <is>
          <t>Aveeno</t>
        </is>
      </c>
      <c r="E23499" t="n">
        <v>15.98</v>
      </c>
      <c r="F23499" t="n">
        <v>1</v>
      </c>
      <c r="G23499" t="n">
        <v>27</v>
      </c>
      <c r="H23499" s="5">
        <f>HYPERLINK("https://api.qogita.com/variants/link/3574661808895/", "View Product")</f>
        <v/>
      </c>
    </row>
    <row r="23500">
      <c r="A23500" t="inlineStr">
        <is>
          <t>3574661809014</t>
        </is>
      </c>
      <c r="B23500" t="inlineStr">
        <is>
          <t>Aveeno Calm Restore Oat Gel Moisturiser 50 Ml Hydrating Skin Gel</t>
        </is>
      </c>
      <c r="C23500" t="inlineStr">
        <is>
          <t>Face Cream</t>
        </is>
      </c>
      <c r="D23500" t="inlineStr">
        <is>
          <t>Aveeno</t>
        </is>
      </c>
      <c r="E23500" t="n">
        <v>16</v>
      </c>
      <c r="F23500" t="n">
        <v>1</v>
      </c>
      <c r="G23500" t="n">
        <v>44</v>
      </c>
      <c r="H23500" s="5">
        <f>HYPERLINK("https://api.qogita.com/variants/link/3574661809014/", "View Product")</f>
        <v/>
      </c>
    </row>
    <row r="23501">
      <c r="A23501" t="inlineStr">
        <is>
          <t>3574661810768</t>
        </is>
      </c>
      <c r="B23501" t="inlineStr">
        <is>
          <t>Aveeno Daily Emollient Body Wash 300 Ml</t>
        </is>
      </c>
      <c r="C23501" t="inlineStr">
        <is>
          <t>Shower Gel</t>
        </is>
      </c>
      <c r="D23501" t="inlineStr">
        <is>
          <t>Aveeno</t>
        </is>
      </c>
      <c r="E23501" t="n">
        <v>14.06</v>
      </c>
      <c r="F23501" t="n">
        <v>1</v>
      </c>
      <c r="G23501" t="n">
        <v>22</v>
      </c>
      <c r="H23501" s="5">
        <f>HYPERLINK("https://api.qogita.com/variants/link/3574661810768/", "View Product")</f>
        <v/>
      </c>
    </row>
    <row r="23502">
      <c r="A23502" t="inlineStr">
        <is>
          <t>3574661812977</t>
        </is>
      </c>
      <c r="B23502" t="inlineStr">
        <is>
          <t>Neutrogena Brightening Cleansing Gel For Problematic Skin Clear &amp; Radiant Face Wash 200 Ml</t>
        </is>
      </c>
      <c r="C23502" t="inlineStr">
        <is>
          <t>Cleansing Gel</t>
        </is>
      </c>
      <c r="D23502" t="inlineStr">
        <is>
          <t>Neutrogena</t>
        </is>
      </c>
      <c r="E23502" t="n">
        <v>6.94</v>
      </c>
      <c r="F23502" t="n">
        <v>1</v>
      </c>
      <c r="G23502" t="n">
        <v>24</v>
      </c>
      <c r="H23502" s="5">
        <f>HYPERLINK("https://api.qogita.com/variants/link/3574661812977/", "View Product")</f>
        <v/>
      </c>
    </row>
    <row r="23503">
      <c r="A23503" t="inlineStr">
        <is>
          <t>3574661814773</t>
        </is>
      </c>
      <c r="B23503" t="inlineStr">
        <is>
          <t>Neutrogena Oil Balancing Cleansing Gel Face Wash - 200 Ml</t>
        </is>
      </c>
      <c r="C23503" t="inlineStr">
        <is>
          <t>Cleansing Gel</t>
        </is>
      </c>
      <c r="D23503" t="inlineStr">
        <is>
          <t>Neutrogena</t>
        </is>
      </c>
      <c r="E23503" t="n">
        <v>6.94</v>
      </c>
      <c r="F23503" t="n">
        <v>1</v>
      </c>
      <c r="G23503" t="n">
        <v>13</v>
      </c>
      <c r="H23503" s="5">
        <f>HYPERLINK("https://api.qogita.com/variants/link/3574661814773/", "View Product")</f>
        <v/>
      </c>
    </row>
    <row r="23504">
      <c r="A23504" t="inlineStr">
        <is>
          <t>3574661818320</t>
        </is>
      </c>
      <c r="B23504" t="inlineStr">
        <is>
          <t>Neutrogena Hydro Boost Gift Set New Set - Perfect For Skincare Lovers</t>
        </is>
      </c>
      <c r="C23504" t="inlineStr">
        <is>
          <t>Facial Care Sets</t>
        </is>
      </c>
      <c r="D23504" t="inlineStr">
        <is>
          <t>Neutrogena</t>
        </is>
      </c>
      <c r="E23504" t="n">
        <v>27.11</v>
      </c>
      <c r="F23504" t="n">
        <v>1</v>
      </c>
      <c r="G23504" t="n">
        <v>29</v>
      </c>
      <c r="H23504" s="5">
        <f>HYPERLINK("https://api.qogita.com/variants/link/3574661818320/", "View Product")</f>
        <v/>
      </c>
    </row>
    <row r="23505">
      <c r="A23505" t="inlineStr">
        <is>
          <t>3575070044645</t>
        </is>
      </c>
      <c r="B23505" t="inlineStr">
        <is>
          <t>Franck Boclet Cafe 100ml Spray Eau de Parfum</t>
        </is>
      </c>
      <c r="C23505" t="inlineStr">
        <is>
          <t>Eau De Parfum</t>
        </is>
      </c>
      <c r="D23505" t="inlineStr">
        <is>
          <t>Franck Boclet</t>
        </is>
      </c>
      <c r="E23505" t="n">
        <v>63.17</v>
      </c>
      <c r="F23505" t="n">
        <v>1</v>
      </c>
      <c r="G23505" t="n">
        <v>5</v>
      </c>
      <c r="H23505" s="5">
        <f>HYPERLINK("https://api.qogita.com/variants/link/3575070044645/", "View Product")</f>
        <v/>
      </c>
    </row>
    <row r="23506">
      <c r="A23506" t="inlineStr">
        <is>
          <t>3575070054491</t>
        </is>
      </c>
      <c r="B23506" t="inlineStr">
        <is>
          <t>Franck Boclet Icon Extrait De Parfum 100ml</t>
        </is>
      </c>
      <c r="C23506" t="inlineStr">
        <is>
          <t>Extrait De Parfum</t>
        </is>
      </c>
      <c r="D23506" t="inlineStr">
        <is>
          <t>Franck Boclet</t>
        </is>
      </c>
      <c r="E23506" t="n">
        <v>90.39</v>
      </c>
      <c r="F23506" t="n">
        <v>1</v>
      </c>
      <c r="G23506" t="n">
        <v>2</v>
      </c>
      <c r="H23506" s="5">
        <f>HYPERLINK("https://api.qogita.com/variants/link/3575070054491/", "View Product")</f>
        <v/>
      </c>
    </row>
    <row r="23507">
      <c r="A23507" t="inlineStr">
        <is>
          <t>3593787001218</t>
        </is>
      </c>
      <c r="B23507" t="inlineStr">
        <is>
          <t>Rexaline Hydra-Dose Hyper-Hydrating Rejuvenating Anti-Wrinkle Cream</t>
        </is>
      </c>
      <c r="C23507" t="inlineStr">
        <is>
          <t>Anti-Aging Facial Care</t>
        </is>
      </c>
      <c r="D23507" t="inlineStr">
        <is>
          <t>Rexaline</t>
        </is>
      </c>
      <c r="E23507" t="n">
        <v>52.23</v>
      </c>
      <c r="F23507" t="n">
        <v>1</v>
      </c>
      <c r="G23507" t="n">
        <v>4</v>
      </c>
      <c r="H23507" s="5">
        <f>HYPERLINK("https://api.qogita.com/variants/link/3593787001218/", "View Product")</f>
        <v/>
      </c>
    </row>
    <row r="23508">
      <c r="A23508" t="inlineStr">
        <is>
          <t>3593787001270</t>
        </is>
      </c>
      <c r="B23508" t="inlineStr">
        <is>
          <t>Rexaline Hydradepolluskin Depolluting Protecting Gelcream 50ml</t>
        </is>
      </c>
      <c r="C23508" t="inlineStr">
        <is>
          <t>Face Cream</t>
        </is>
      </c>
      <c r="D23508" t="inlineStr">
        <is>
          <t>Rexaline</t>
        </is>
      </c>
      <c r="E23508" t="n">
        <v>54.03</v>
      </c>
      <c r="F23508" t="n">
        <v>1</v>
      </c>
      <c r="G23508" t="n">
        <v>2</v>
      </c>
      <c r="H23508" s="5">
        <f>HYPERLINK("https://api.qogita.com/variants/link/3593787001270/", "View Product")</f>
        <v/>
      </c>
    </row>
    <row r="23509">
      <c r="A23509" t="inlineStr">
        <is>
          <t>3593787003021</t>
        </is>
      </c>
      <c r="B23509" t="inlineStr">
        <is>
          <t>Rexaline Crystal Bright Serum for Face 30ml</t>
        </is>
      </c>
      <c r="C23509" t="inlineStr">
        <is>
          <t>Glow Serum</t>
        </is>
      </c>
      <c r="D23509" t="inlineStr">
        <is>
          <t>Rexaline</t>
        </is>
      </c>
      <c r="E23509" t="n">
        <v>53.51</v>
      </c>
      <c r="F23509" t="n">
        <v>1</v>
      </c>
      <c r="G23509" t="n">
        <v>3</v>
      </c>
      <c r="H23509" s="5">
        <f>HYPERLINK("https://api.qogita.com/variants/link/3593787003021/", "View Product")</f>
        <v/>
      </c>
    </row>
    <row r="23510">
      <c r="A23510" t="inlineStr">
        <is>
          <t>3593787003045</t>
        </is>
      </c>
      <c r="B23510" t="inlineStr">
        <is>
          <t>Rexaline Crystal Bright Moisturizing and Matifying Fluid with SPF 50 and Hyaluronic Acid</t>
        </is>
      </c>
      <c r="C23510" t="inlineStr">
        <is>
          <t>Face Sun Protection</t>
        </is>
      </c>
      <c r="D23510" t="inlineStr">
        <is>
          <t>Rexaline</t>
        </is>
      </c>
      <c r="E23510" t="n">
        <v>36.78</v>
      </c>
      <c r="F23510" t="n">
        <v>1</v>
      </c>
      <c r="G23510" t="n">
        <v>5</v>
      </c>
      <c r="H23510" s="5">
        <f>HYPERLINK("https://api.qogita.com/variants/link/3593787003045/", "View Product")</f>
        <v/>
      </c>
    </row>
    <row r="23511">
      <c r="A23511" t="inlineStr">
        <is>
          <t>3593787500209</t>
        </is>
      </c>
      <c r="B23511" t="inlineStr">
        <is>
          <t>Hydration Booster Gift Set</t>
        </is>
      </c>
      <c r="C23511" t="inlineStr">
        <is>
          <t>Nutrition</t>
        </is>
      </c>
      <c r="D23511" t="inlineStr">
        <is>
          <t>Rexaline</t>
        </is>
      </c>
      <c r="E23511" t="n">
        <v>26.21</v>
      </c>
      <c r="F23511" t="n">
        <v>1</v>
      </c>
      <c r="G23511" t="n">
        <v>2</v>
      </c>
      <c r="H23511" s="5">
        <f>HYPERLINK("https://api.qogita.com/variants/link/3593787500209/", "View Product")</f>
        <v/>
      </c>
    </row>
    <row r="23512">
      <c r="A23512" t="inlineStr">
        <is>
          <t>3593787501015</t>
        </is>
      </c>
      <c r="B23512" t="inlineStr">
        <is>
          <t>HYALURX Flash Hydrating Mask 20ml</t>
        </is>
      </c>
      <c r="C23512" t="inlineStr">
        <is>
          <t>Hydrating Mask</t>
        </is>
      </c>
      <c r="D23512" t="inlineStr">
        <is>
          <t>Rexaline</t>
        </is>
      </c>
      <c r="E23512" t="n">
        <v>8.710000000000001</v>
      </c>
      <c r="F23512" t="n">
        <v>1</v>
      </c>
      <c r="G23512" t="n">
        <v>2</v>
      </c>
      <c r="H23512" s="5">
        <f>HYPERLINK("https://api.qogita.com/variants/link/3593787501015/", "View Product")</f>
        <v/>
      </c>
    </row>
    <row r="23513">
      <c r="A23513" t="inlineStr">
        <is>
          <t>3595471024299</t>
        </is>
      </c>
      <c r="B23513" t="inlineStr">
        <is>
          <t>Mercedes-Benz Sign Your Attitude Eau De Toilette Spray 50ml</t>
        </is>
      </c>
      <c r="C23513" t="inlineStr">
        <is>
          <t>Eau De Toilette</t>
        </is>
      </c>
      <c r="D23513" t="inlineStr">
        <is>
          <t>Mercedes-Benz</t>
        </is>
      </c>
      <c r="E23513" t="n">
        <v>18.08</v>
      </c>
      <c r="F23513" t="n">
        <v>1</v>
      </c>
      <c r="G23513" t="n">
        <v>2</v>
      </c>
      <c r="H23513" s="5">
        <f>HYPERLINK("https://api.qogita.com/variants/link/3595471024299/", "View Product")</f>
        <v/>
      </c>
    </row>
    <row r="23514">
      <c r="A23514" t="inlineStr">
        <is>
          <t>3595471026248</t>
        </is>
      </c>
      <c r="B23514" t="inlineStr">
        <is>
          <t>Mercedes-Benz Rose Eau De Toilette Spray 90ml</t>
        </is>
      </c>
      <c r="C23514" t="inlineStr">
        <is>
          <t>Eau De Toilette</t>
        </is>
      </c>
      <c r="D23514" t="inlineStr">
        <is>
          <t>Mercedes-Benz</t>
        </is>
      </c>
      <c r="E23514" t="n">
        <v>27.43</v>
      </c>
      <c r="F23514" t="n">
        <v>1</v>
      </c>
      <c r="G23514" t="n">
        <v>44</v>
      </c>
      <c r="H23514" s="5">
        <f>HYPERLINK("https://api.qogita.com/variants/link/3595471026248/", "View Product")</f>
        <v/>
      </c>
    </row>
    <row r="23515">
      <c r="A23515" t="inlineStr">
        <is>
          <t>3595471026286</t>
        </is>
      </c>
      <c r="B23515" t="inlineStr">
        <is>
          <t>Mercedes Benz Rose Edt</t>
        </is>
      </c>
      <c r="C23515" t="inlineStr">
        <is>
          <t>Eau De Toilette</t>
        </is>
      </c>
      <c r="D23515" t="inlineStr">
        <is>
          <t>Mercedes-Benz</t>
        </is>
      </c>
      <c r="E23515" t="n">
        <v>22.24</v>
      </c>
      <c r="F23515" t="n">
        <v>1</v>
      </c>
      <c r="G23515" t="n">
        <v>6</v>
      </c>
      <c r="H23515" s="5">
        <f>HYPERLINK("https://api.qogita.com/variants/link/3595471026286/", "View Product")</f>
        <v/>
      </c>
    </row>
    <row r="23516">
      <c r="A23516" t="inlineStr">
        <is>
          <t>3595471026538</t>
        </is>
      </c>
      <c r="B23516" t="inlineStr">
        <is>
          <t>Mercedes-Benz Deodorant Spray 200ml</t>
        </is>
      </c>
      <c r="C23516" t="inlineStr">
        <is>
          <t>Deodorant &amp; Anti-Perspirant</t>
        </is>
      </c>
      <c r="D23516" t="inlineStr">
        <is>
          <t>Mercedes-Benz</t>
        </is>
      </c>
      <c r="E23516" t="n">
        <v>8.31</v>
      </c>
      <c r="F23516" t="n">
        <v>1</v>
      </c>
      <c r="G23516" t="n">
        <v>26</v>
      </c>
      <c r="H23516" s="5">
        <f>HYPERLINK("https://api.qogita.com/variants/link/3595471026538/", "View Product")</f>
        <v/>
      </c>
    </row>
    <row r="23517">
      <c r="A23517" t="inlineStr">
        <is>
          <t>3595471026903</t>
        </is>
      </c>
      <c r="B23517" t="inlineStr">
        <is>
          <t>Mercedes-Benz Land Eau De Parfum Spray 60ml</t>
        </is>
      </c>
      <c r="C23517" t="inlineStr">
        <is>
          <t>Eau De Parfum</t>
        </is>
      </c>
      <c r="D23517" t="inlineStr">
        <is>
          <t>Mercedes-Benz</t>
        </is>
      </c>
      <c r="E23517" t="n">
        <v>27.98</v>
      </c>
      <c r="F23517" t="n">
        <v>1</v>
      </c>
      <c r="G23517" t="n">
        <v>10</v>
      </c>
      <c r="H23517" s="5">
        <f>HYPERLINK("https://api.qogita.com/variants/link/3595471026903/", "View Product")</f>
        <v/>
      </c>
    </row>
    <row r="23518">
      <c r="A23518" t="inlineStr">
        <is>
          <t>3595471041197</t>
        </is>
      </c>
      <c r="B23518" t="inlineStr">
        <is>
          <t>Mercedes-Benz Club Black Eau de Toilette 100ml</t>
        </is>
      </c>
      <c r="C23518" t="inlineStr">
        <is>
          <t>Eau De Toilette</t>
        </is>
      </c>
      <c r="D23518" t="inlineStr">
        <is>
          <t>Mercedes-Benz</t>
        </is>
      </c>
      <c r="E23518" t="n">
        <v>37.85</v>
      </c>
      <c r="F23518" t="n">
        <v>1</v>
      </c>
      <c r="G23518" t="n">
        <v>36</v>
      </c>
      <c r="H23518" s="5">
        <f>HYPERLINK("https://api.qogita.com/variants/link/3595471041197/", "View Product")</f>
        <v/>
      </c>
    </row>
    <row r="23519">
      <c r="A23519" t="inlineStr">
        <is>
          <t>3595471071125</t>
        </is>
      </c>
      <c r="B23519" t="inlineStr">
        <is>
          <t>Mercedes Benz Woman In Red Eau De Parfum 60 Ml</t>
        </is>
      </c>
      <c r="C23519" t="inlineStr">
        <is>
          <t>Eau De Parfum</t>
        </is>
      </c>
      <c r="D23519" t="inlineStr">
        <is>
          <t>Mercedes-Benz</t>
        </is>
      </c>
      <c r="E23519" t="n">
        <v>34.48</v>
      </c>
      <c r="F23519" t="n">
        <v>1</v>
      </c>
      <c r="G23519" t="n">
        <v>14</v>
      </c>
      <c r="H23519" s="5">
        <f>HYPERLINK("https://api.qogita.com/variants/link/3595471071125/", "View Product")</f>
        <v/>
      </c>
    </row>
    <row r="23520">
      <c r="A23520" t="inlineStr">
        <is>
          <t>3595471081025</t>
        </is>
      </c>
      <c r="B23520" t="inlineStr">
        <is>
          <t>Mercedes Benz Select Eau De Toilette 50ml For Men</t>
        </is>
      </c>
      <c r="C23520" t="inlineStr">
        <is>
          <t>Eau De Toilette</t>
        </is>
      </c>
      <c r="D23520" t="inlineStr">
        <is>
          <t>Mercedes-Benz</t>
        </is>
      </c>
      <c r="E23520" t="n">
        <v>26.66</v>
      </c>
      <c r="F23520" t="n">
        <v>1</v>
      </c>
      <c r="G23520" t="n">
        <v>31</v>
      </c>
      <c r="H23520" s="5">
        <f>HYPERLINK("https://api.qogita.com/variants/link/3595471081025/", "View Product")</f>
        <v/>
      </c>
    </row>
    <row r="23521">
      <c r="A23521" t="inlineStr">
        <is>
          <t>3595471081070</t>
        </is>
      </c>
      <c r="B23521" t="inlineStr">
        <is>
          <t>Mercedes-Benz Man Bright Eau De Parfum for Men - Long Lasting Cologne</t>
        </is>
      </c>
      <c r="C23521" t="inlineStr">
        <is>
          <t>Eau De Parfum</t>
        </is>
      </c>
      <c r="D23521" t="inlineStr">
        <is>
          <t>Mercedes-Benz</t>
        </is>
      </c>
      <c r="E23521" t="n">
        <v>27.25</v>
      </c>
      <c r="F23521" t="n">
        <v>1</v>
      </c>
      <c r="G23521" t="n">
        <v>5</v>
      </c>
      <c r="H23521" s="5">
        <f>HYPERLINK("https://api.qogita.com/variants/link/3595471081070/", "View Product")</f>
        <v/>
      </c>
    </row>
    <row r="23522">
      <c r="A23522" t="inlineStr">
        <is>
          <t>3595471081087</t>
        </is>
      </c>
      <c r="B23522" t="inlineStr">
        <is>
          <t>Mercedes-Benz Select Day Eau de Toilette for Men 50ml</t>
        </is>
      </c>
      <c r="C23522" t="inlineStr">
        <is>
          <t>Eau De Toilette</t>
        </is>
      </c>
      <c r="D23522" t="inlineStr">
        <is>
          <t>Mercedes-Benz</t>
        </is>
      </c>
      <c r="E23522" t="n">
        <v>23.26</v>
      </c>
      <c r="F23522" t="n">
        <v>1</v>
      </c>
      <c r="G23522" t="n">
        <v>7</v>
      </c>
      <c r="H23522" s="5">
        <f>HYPERLINK("https://api.qogita.com/variants/link/3595471081087/", "View Product")</f>
        <v/>
      </c>
    </row>
    <row r="23523">
      <c r="A23523" t="inlineStr">
        <is>
          <t>3595471085153</t>
        </is>
      </c>
      <c r="B23523" t="inlineStr">
        <is>
          <t>Mercedes-Benz Fanciful Edition Eau De Toilette 60ml</t>
        </is>
      </c>
      <c r="C23523" t="inlineStr">
        <is>
          <t>Eau De Toilette</t>
        </is>
      </c>
      <c r="D23523" t="inlineStr">
        <is>
          <t>Mercedes-Benz</t>
        </is>
      </c>
      <c r="E23523" t="n">
        <v>25.86</v>
      </c>
      <c r="F23523" t="n">
        <v>1</v>
      </c>
      <c r="G23523" t="n">
        <v>9</v>
      </c>
      <c r="H23523" s="5">
        <f>HYPERLINK("https://api.qogita.com/variants/link/3595471085153/", "View Product")</f>
        <v/>
      </c>
    </row>
    <row r="23524">
      <c r="A23524" t="inlineStr">
        <is>
          <t>3595472061262</t>
        </is>
      </c>
      <c r="B23524" t="inlineStr">
        <is>
          <t>Mercedes-Benz Man Bright Eau De Parfum 100ml</t>
        </is>
      </c>
      <c r="C23524" t="inlineStr">
        <is>
          <t>Eau De Parfum</t>
        </is>
      </c>
      <c r="D23524" t="inlineStr">
        <is>
          <t>Mercedes-Benz</t>
        </is>
      </c>
      <c r="E23524" t="n">
        <v>33.06</v>
      </c>
      <c r="F23524" t="n">
        <v>1</v>
      </c>
      <c r="G23524" t="n">
        <v>24</v>
      </c>
      <c r="H23524" s="5">
        <f>HYPERLINK("https://api.qogita.com/variants/link/3595472061262/", "View Product")</f>
        <v/>
      </c>
    </row>
    <row r="23525">
      <c r="A23525" t="inlineStr">
        <is>
          <t>3595472061286</t>
        </is>
      </c>
      <c r="B23525" t="inlineStr">
        <is>
          <t>Mercedes-Benz Man Eau De Toilette Spray 200ml</t>
        </is>
      </c>
      <c r="C23525" t="inlineStr">
        <is>
          <t>Eau De Toilette</t>
        </is>
      </c>
      <c r="D23525" t="inlineStr">
        <is>
          <t>Mercedes-Benz</t>
        </is>
      </c>
      <c r="E23525" t="n">
        <v>39.3</v>
      </c>
      <c r="F23525" t="n">
        <v>1</v>
      </c>
      <c r="G23525" t="n">
        <v>18</v>
      </c>
      <c r="H23525" s="5">
        <f>HYPERLINK("https://api.qogita.com/variants/link/3595472061286/", "View Product")</f>
        <v/>
      </c>
    </row>
    <row r="23526">
      <c r="A23526" t="inlineStr">
        <is>
          <t>3596200080319</t>
        </is>
      </c>
      <c r="B23526" t="inlineStr">
        <is>
          <t>Sensitive Soothing Cleansing Milk</t>
        </is>
      </c>
      <c r="C23526" t="inlineStr">
        <is>
          <t>Cleansing Milk</t>
        </is>
      </c>
      <c r="D23526" t="inlineStr">
        <is>
          <t>Weleda</t>
        </is>
      </c>
      <c r="E23526" t="n">
        <v>11.35</v>
      </c>
      <c r="F23526" t="n">
        <v>1</v>
      </c>
      <c r="G23526" t="n">
        <v>3</v>
      </c>
      <c r="H23526" s="5">
        <f>HYPERLINK("https://api.qogita.com/variants/link/3596200080319/", "View Product")</f>
        <v/>
      </c>
    </row>
    <row r="23527">
      <c r="A23527" t="inlineStr">
        <is>
          <t>3596200086885</t>
        </is>
      </c>
      <c r="B23527" t="inlineStr">
        <is>
          <t>Sensitive Hydrating Face Cream Light</t>
        </is>
      </c>
      <c r="C23527" t="inlineStr">
        <is>
          <t>Face Cream</t>
        </is>
      </c>
      <c r="D23527" t="inlineStr">
        <is>
          <t>Weleda</t>
        </is>
      </c>
      <c r="E23527" t="n">
        <v>15.17</v>
      </c>
      <c r="F23527" t="n">
        <v>1</v>
      </c>
      <c r="G23527" t="n">
        <v>2</v>
      </c>
      <c r="H23527" s="5">
        <f>HYPERLINK("https://api.qogita.com/variants/link/3596200086885/", "View Product")</f>
        <v/>
      </c>
    </row>
    <row r="23528">
      <c r="A23528" t="inlineStr">
        <is>
          <t>3596936251526</t>
        </is>
      </c>
      <c r="B23528" t="inlineStr">
        <is>
          <t>Reminiscence Eau De Parfum 210g</t>
        </is>
      </c>
      <c r="C23528" t="inlineStr">
        <is>
          <t>Eau De Parfum</t>
        </is>
      </c>
      <c r="D23528" t="inlineStr">
        <is>
          <t>Reminiscence</t>
        </is>
      </c>
      <c r="E23528" t="n">
        <v>20.81</v>
      </c>
      <c r="F23528" t="n">
        <v>1</v>
      </c>
      <c r="G23528" t="n">
        <v>2</v>
      </c>
      <c r="H23528" s="5">
        <f>HYPERLINK("https://api.qogita.com/variants/link/3596936251526/", "View Product")</f>
        <v/>
      </c>
    </row>
    <row r="23529">
      <c r="A23529" t="inlineStr">
        <is>
          <t>3600010010869</t>
        </is>
      </c>
      <c r="B23529" t="inlineStr">
        <is>
          <t>L'Oral Professionnel Elsev Color Vive Shampoo For Colored Hair</t>
        </is>
      </c>
      <c r="C23529" t="inlineStr">
        <is>
          <t>Shampoo</t>
        </is>
      </c>
      <c r="D23529" t="inlineStr">
        <is>
          <t>L'Oréal Professionnel</t>
        </is>
      </c>
      <c r="E23529" t="n">
        <v>5.76</v>
      </c>
      <c r="F23529" t="n">
        <v>1</v>
      </c>
      <c r="G23529" t="n">
        <v>23</v>
      </c>
      <c r="H23529" s="5">
        <f>HYPERLINK("https://api.qogita.com/variants/link/3600010010869/", "View Product")</f>
        <v/>
      </c>
    </row>
    <row r="23530">
      <c r="A23530" t="inlineStr">
        <is>
          <t>3600520772035</t>
        </is>
      </c>
      <c r="B23530" t="inlineStr">
        <is>
          <t>L'Oreal True Match Powder Pressed Powder 3w Warm Undertone 9g</t>
        </is>
      </c>
      <c r="C23530" t="inlineStr">
        <is>
          <t>Powder</t>
        </is>
      </c>
      <c r="D23530" t="inlineStr">
        <is>
          <t>L'Oréal</t>
        </is>
      </c>
      <c r="E23530" t="n">
        <v>8.75</v>
      </c>
      <c r="F23530" t="n">
        <v>1</v>
      </c>
      <c r="G23530" t="n">
        <v>33</v>
      </c>
      <c r="H23530" s="5">
        <f>HYPERLINK("https://api.qogita.com/variants/link/3600520772035/", "View Product")</f>
        <v/>
      </c>
    </row>
    <row r="23531">
      <c r="A23531" t="inlineStr">
        <is>
          <t>3600520932897</t>
        </is>
      </c>
      <c r="B23531" t="inlineStr">
        <is>
          <t>L'Oreal True Match Powder Pressed Powder 4n Neutral Undertone 9g</t>
        </is>
      </c>
      <c r="C23531" t="inlineStr">
        <is>
          <t>Powder</t>
        </is>
      </c>
      <c r="D23531" t="inlineStr">
        <is>
          <t>L'Oréal</t>
        </is>
      </c>
      <c r="E23531" t="n">
        <v>9.460000000000001</v>
      </c>
      <c r="F23531" t="n">
        <v>1</v>
      </c>
      <c r="G23531" t="n">
        <v>3</v>
      </c>
      <c r="H23531" s="5">
        <f>HYPERLINK("https://api.qogita.com/variants/link/3600520932897/", "View Product")</f>
        <v/>
      </c>
    </row>
    <row r="23532">
      <c r="A23532" t="inlineStr">
        <is>
          <t>3600520932903</t>
        </is>
      </c>
      <c r="B23532" t="inlineStr">
        <is>
          <t>L'Oreal True Match Powder Pressed Powder 2c Cool Undertone 9g</t>
        </is>
      </c>
      <c r="C23532" t="inlineStr">
        <is>
          <t>Powder</t>
        </is>
      </c>
      <c r="D23532" t="inlineStr">
        <is>
          <t>L'Oréal</t>
        </is>
      </c>
      <c r="E23532" t="n">
        <v>9.9</v>
      </c>
      <c r="F23532" t="n">
        <v>1</v>
      </c>
      <c r="G23532" t="n">
        <v>2</v>
      </c>
      <c r="H23532" s="5">
        <f>HYPERLINK("https://api.qogita.com/variants/link/3600520932903/", "View Product")</f>
        <v/>
      </c>
    </row>
    <row r="23533">
      <c r="A23533" t="inlineStr">
        <is>
          <t>3600521627402</t>
        </is>
      </c>
      <c r="B23533" t="inlineStr">
        <is>
          <t>L'Oral Paris True Match Blush 145 Bois De Rose Perfect For A Natural Flush</t>
        </is>
      </c>
      <c r="C23533" t="inlineStr">
        <is>
          <t>Blush</t>
        </is>
      </c>
      <c r="D23533" t="inlineStr">
        <is>
          <t>L'Oréal Paris</t>
        </is>
      </c>
      <c r="E23533" t="n">
        <v>11.06</v>
      </c>
      <c r="F23533" t="n">
        <v>1</v>
      </c>
      <c r="G23533" t="n">
        <v>8</v>
      </c>
      <c r="H23533" s="5">
        <f>HYPERLINK("https://api.qogita.com/variants/link/3600521627402/", "View Product")</f>
        <v/>
      </c>
    </row>
    <row r="23534">
      <c r="A23534" t="inlineStr">
        <is>
          <t>3600521752173</t>
        </is>
      </c>
      <c r="B23534" t="inlineStr">
        <is>
          <t>L'Oreal Elseve Full Repair 5 Elvive Full Restore 5 Hair Mask 300ml 10oz</t>
        </is>
      </c>
      <c r="C23534" t="inlineStr">
        <is>
          <t>Hair Masks</t>
        </is>
      </c>
      <c r="D23534" t="inlineStr">
        <is>
          <t>L'Oréal</t>
        </is>
      </c>
      <c r="E23534" t="n">
        <v>6.87</v>
      </c>
      <c r="F23534" t="n">
        <v>1</v>
      </c>
      <c r="G23534" t="n">
        <v>7</v>
      </c>
      <c r="H23534" s="5">
        <f>HYPERLINK("https://api.qogita.com/variants/link/3600521752173/", "View Product")</f>
        <v/>
      </c>
    </row>
    <row r="23535">
      <c r="A23535" t="inlineStr">
        <is>
          <t>3600521823729</t>
        </is>
      </c>
      <c r="B23535" t="inlineStr">
        <is>
          <t>L'Oreal Paris Revitalift Eye Cream 15 Ml</t>
        </is>
      </c>
      <c r="C23535" t="inlineStr">
        <is>
          <t>Eye Cream</t>
        </is>
      </c>
      <c r="D23535" t="inlineStr">
        <is>
          <t>L'Oréal Paris</t>
        </is>
      </c>
      <c r="E23535" t="n">
        <v>10.24</v>
      </c>
      <c r="F23535" t="n">
        <v>1</v>
      </c>
      <c r="G23535" t="n">
        <v>10</v>
      </c>
      <c r="H23535" s="5">
        <f>HYPERLINK("https://api.qogita.com/variants/link/3600521823729/", "View Product")</f>
        <v/>
      </c>
    </row>
    <row r="23536">
      <c r="A23536" t="inlineStr">
        <is>
          <t>3600522097303</t>
        </is>
      </c>
      <c r="B23536" t="inlineStr">
        <is>
          <t>L'Oreal False Lash Telescopic Mascara Magnetic Black 9ml</t>
        </is>
      </c>
      <c r="C23536" t="inlineStr">
        <is>
          <t>Mascara</t>
        </is>
      </c>
      <c r="D23536" t="inlineStr">
        <is>
          <t>L'Oréal</t>
        </is>
      </c>
      <c r="E23536" t="n">
        <v>7.92</v>
      </c>
      <c r="F23536" t="n">
        <v>1</v>
      </c>
      <c r="G23536" t="n">
        <v>3</v>
      </c>
      <c r="H23536" s="5">
        <f>HYPERLINK("https://api.qogita.com/variants/link/3600522097303/", "View Product")</f>
        <v/>
      </c>
    </row>
    <row r="23537">
      <c r="A23537" t="inlineStr">
        <is>
          <t>3600522107460</t>
        </is>
      </c>
      <c r="B23537" t="inlineStr">
        <is>
          <t>L'Oréal Men Expert Carbon Protect 48H Antiperspirant Deodorant 250ml</t>
        </is>
      </c>
      <c r="C23537" t="inlineStr">
        <is>
          <t>Deodorant &amp; Anti-Perspirant</t>
        </is>
      </c>
      <c r="D23537" t="inlineStr">
        <is>
          <t>L'Oréal Paris</t>
        </is>
      </c>
      <c r="E23537" t="n">
        <v>6.94</v>
      </c>
      <c r="F23537" t="n">
        <v>1</v>
      </c>
      <c r="G23537" t="n">
        <v>2</v>
      </c>
      <c r="H23537" s="5">
        <f>HYPERLINK("https://api.qogita.com/variants/link/3600522107460/", "View Product")</f>
        <v/>
      </c>
    </row>
    <row r="23538">
      <c r="A23538" t="inlineStr">
        <is>
          <t>3600522372639</t>
        </is>
      </c>
      <c r="B23538" t="inlineStr">
        <is>
          <t>L'Oréal Paris Men Expert Anti-Perspirant Roll-On Deodorant 50ml Fresh</t>
        </is>
      </c>
      <c r="C23538" t="inlineStr">
        <is>
          <t>Deodorant &amp; Anti-Perspirant</t>
        </is>
      </c>
      <c r="D23538" t="inlineStr">
        <is>
          <t>L'Oréal Paris</t>
        </is>
      </c>
      <c r="E23538" t="n">
        <v>5.1</v>
      </c>
      <c r="F23538" t="n">
        <v>1</v>
      </c>
      <c r="G23538" t="n">
        <v>12</v>
      </c>
      <c r="H23538" s="5">
        <f>HYPERLINK("https://api.qogita.com/variants/link/3600522372639/", "View Product")</f>
        <v/>
      </c>
    </row>
    <row r="23539">
      <c r="A23539" t="inlineStr">
        <is>
          <t>3600522412595</t>
        </is>
      </c>
      <c r="B23539" t="inlineStr">
        <is>
          <t>L'Oral Paris Gentle Makeup Remover For Eyes &amp; Lips 125 Ml</t>
        </is>
      </c>
      <c r="C23539" t="inlineStr">
        <is>
          <t>Eye Makeup Remover</t>
        </is>
      </c>
      <c r="D23539" t="inlineStr">
        <is>
          <t>L'Oréal Paris</t>
        </is>
      </c>
      <c r="E23539" t="n">
        <v>6.58</v>
      </c>
      <c r="F23539" t="n">
        <v>1</v>
      </c>
      <c r="G23539" t="n">
        <v>4</v>
      </c>
      <c r="H23539" s="5">
        <f>HYPERLINK("https://api.qogita.com/variants/link/3600522412595/", "View Product")</f>
        <v/>
      </c>
    </row>
    <row r="23540">
      <c r="A23540" t="inlineStr">
        <is>
          <t>3600522862383</t>
        </is>
      </c>
      <c r="B23540" t="inlineStr">
        <is>
          <t>L'Oreal True Match Foundation 1n Neutral Undertone 30ml</t>
        </is>
      </c>
      <c r="C23540" t="inlineStr">
        <is>
          <t>Foundation</t>
        </is>
      </c>
      <c r="D23540" t="inlineStr">
        <is>
          <t>L'Oréal</t>
        </is>
      </c>
      <c r="E23540" t="n">
        <v>10.42</v>
      </c>
      <c r="F23540" t="n">
        <v>1</v>
      </c>
      <c r="G23540" t="n">
        <v>14</v>
      </c>
      <c r="H23540" s="5">
        <f>HYPERLINK("https://api.qogita.com/variants/link/3600522862383/", "View Product")</f>
        <v/>
      </c>
    </row>
    <row r="23541">
      <c r="A23541" t="inlineStr">
        <is>
          <t>3600522862543</t>
        </is>
      </c>
      <c r="B23541" t="inlineStr">
        <is>
          <t>L'Oreal True Match Foundation - D3-W3 Golden Beige, 30ml</t>
        </is>
      </c>
      <c r="C23541" t="inlineStr">
        <is>
          <t>Foundation</t>
        </is>
      </c>
      <c r="D23541" t="inlineStr">
        <is>
          <t>L'Oréal</t>
        </is>
      </c>
      <c r="E23541" t="n">
        <v>9.789999999999999</v>
      </c>
      <c r="F23541" t="n">
        <v>1</v>
      </c>
      <c r="G23541" t="n">
        <v>14</v>
      </c>
      <c r="H23541" s="5">
        <f>HYPERLINK("https://api.qogita.com/variants/link/3600522862543/", "View Product")</f>
        <v/>
      </c>
    </row>
    <row r="23542">
      <c r="A23542" t="inlineStr">
        <is>
          <t>3600522894995</t>
        </is>
      </c>
      <c r="B23542" t="inlineStr">
        <is>
          <t>L'Oreal Elseve Elvive Extraordinary Oil Shampoo 400ml</t>
        </is>
      </c>
      <c r="C23542" t="inlineStr">
        <is>
          <t>Shampoo</t>
        </is>
      </c>
      <c r="D23542" t="inlineStr">
        <is>
          <t>L'Oréal Paris</t>
        </is>
      </c>
      <c r="E23542" t="n">
        <v>7.03</v>
      </c>
      <c r="F23542" t="n">
        <v>1</v>
      </c>
      <c r="G23542" t="n">
        <v>27</v>
      </c>
      <c r="H23542" s="5">
        <f>HYPERLINK("https://api.qogita.com/variants/link/3600522894995/", "View Product")</f>
        <v/>
      </c>
    </row>
    <row r="23543">
      <c r="A23543" t="inlineStr">
        <is>
          <t>3600523155200</t>
        </is>
      </c>
      <c r="B23543" t="inlineStr">
        <is>
          <t>L'Oreal True Match Powder Pressed Powder 2n Neutral Undertone 9g</t>
        </is>
      </c>
      <c r="C23543" t="inlineStr">
        <is>
          <t>Powder</t>
        </is>
      </c>
      <c r="D23543" t="inlineStr">
        <is>
          <t>L'Oréal</t>
        </is>
      </c>
      <c r="E23543" t="n">
        <v>9.9</v>
      </c>
      <c r="F23543" t="n">
        <v>1</v>
      </c>
      <c r="G23543" t="n">
        <v>2</v>
      </c>
      <c r="H23543" s="5">
        <f>HYPERLINK("https://api.qogita.com/variants/link/3600523155200/", "View Product")</f>
        <v/>
      </c>
    </row>
    <row r="23544">
      <c r="A23544" t="inlineStr">
        <is>
          <t>3600523192892</t>
        </is>
      </c>
      <c r="B23544" t="inlineStr">
        <is>
          <t>L'Oral Paris Magic Retouch Instant Root Concealer Spray 75 Ml Dark Brown</t>
        </is>
      </c>
      <c r="C23544" t="inlineStr">
        <is>
          <t>Hairline Paint</t>
        </is>
      </c>
      <c r="D23544" t="inlineStr">
        <is>
          <t>L'Oréal Paris</t>
        </is>
      </c>
      <c r="E23544" t="n">
        <v>6.58</v>
      </c>
      <c r="F23544" t="n">
        <v>1</v>
      </c>
      <c r="G23544" t="n">
        <v>3</v>
      </c>
      <c r="H23544" s="5">
        <f>HYPERLINK("https://api.qogita.com/variants/link/3600523192892/", "View Product")</f>
        <v/>
      </c>
    </row>
    <row r="23545">
      <c r="A23545" t="inlineStr">
        <is>
          <t>3600523192915</t>
        </is>
      </c>
      <c r="B23545" t="inlineStr">
        <is>
          <t>L'Oral Paris Magic Retouch Instant Root Concealer Spray 16 Beige 75 Ml</t>
        </is>
      </c>
      <c r="C23545" t="inlineStr">
        <is>
          <t>Hairline Paint</t>
        </is>
      </c>
      <c r="D23545" t="inlineStr">
        <is>
          <t>L'Oréal Paris</t>
        </is>
      </c>
      <c r="E23545" t="n">
        <v>7.97</v>
      </c>
      <c r="F23545" t="n">
        <v>1</v>
      </c>
      <c r="G23545" t="n">
        <v>5</v>
      </c>
      <c r="H23545" s="5">
        <f>HYPERLINK("https://api.qogita.com/variants/link/3600523192915/", "View Product")</f>
        <v/>
      </c>
    </row>
    <row r="23546">
      <c r="A23546" t="inlineStr">
        <is>
          <t>3600523193035</t>
        </is>
      </c>
      <c r="B23546" t="inlineStr">
        <is>
          <t>L'Oreal Magic Retouch Instant Root Concealer Spray Red 75ml</t>
        </is>
      </c>
      <c r="C23546" t="inlineStr">
        <is>
          <t>Hairline Paint</t>
        </is>
      </c>
      <c r="D23546" t="inlineStr">
        <is>
          <t>L'Oréal</t>
        </is>
      </c>
      <c r="E23546" t="n">
        <v>6.58</v>
      </c>
      <c r="F23546" t="n">
        <v>1</v>
      </c>
      <c r="G23546" t="n">
        <v>2</v>
      </c>
      <c r="H23546" s="5">
        <f>HYPERLINK("https://api.qogita.com/variants/link/3600523193035/", "View Product")</f>
        <v/>
      </c>
    </row>
    <row r="23547">
      <c r="A23547" t="inlineStr">
        <is>
          <t>3600523201501</t>
        </is>
      </c>
      <c r="B23547" t="inlineStr">
        <is>
          <t>L'Oreal Revitalift Filler Anti-Age Night Cream 50ml</t>
        </is>
      </c>
      <c r="C23547" t="inlineStr">
        <is>
          <t>Night Cream</t>
        </is>
      </c>
      <c r="D23547" t="inlineStr">
        <is>
          <t>L'Oréal</t>
        </is>
      </c>
      <c r="E23547" t="n">
        <v>14.72</v>
      </c>
      <c r="F23547" t="n">
        <v>1</v>
      </c>
      <c r="G23547" t="n">
        <v>14</v>
      </c>
      <c r="H23547" s="5">
        <f>HYPERLINK("https://api.qogita.com/variants/link/3600523201501/", "View Product")</f>
        <v/>
      </c>
    </row>
    <row r="23548">
      <c r="A23548" t="inlineStr">
        <is>
          <t>3600523329847</t>
        </is>
      </c>
      <c r="B23548" t="inlineStr">
        <is>
          <t>L'Oreal Paris Micellar Water Makeup Remover for Normal to Dry Skin 400ml</t>
        </is>
      </c>
      <c r="C23548" t="inlineStr">
        <is>
          <t>Micellar Water</t>
        </is>
      </c>
      <c r="D23548" t="inlineStr">
        <is>
          <t>L'Oréal</t>
        </is>
      </c>
      <c r="E23548" t="n">
        <v>7.66</v>
      </c>
      <c r="F23548" t="n">
        <v>1</v>
      </c>
      <c r="G23548" t="n">
        <v>13</v>
      </c>
      <c r="H23548" s="5">
        <f>HYPERLINK("https://api.qogita.com/variants/link/3600523329847/", "View Product")</f>
        <v/>
      </c>
    </row>
    <row r="23549">
      <c r="A23549" t="inlineStr">
        <is>
          <t>3600523337699</t>
        </is>
      </c>
      <c r="B23549" t="inlineStr">
        <is>
          <t>L'Oreal Magic Retouch Instant Root Concealer Spray Mahogany Brown 75ml</t>
        </is>
      </c>
      <c r="C23549" t="inlineStr">
        <is>
          <t>Hairline Paint</t>
        </is>
      </c>
      <c r="D23549" t="inlineStr">
        <is>
          <t>L'Oréal</t>
        </is>
      </c>
      <c r="E23549" t="n">
        <v>6.58</v>
      </c>
      <c r="F23549" t="n">
        <v>1</v>
      </c>
      <c r="G23549" t="n">
        <v>3</v>
      </c>
      <c r="H23549" s="5">
        <f>HYPERLINK("https://api.qogita.com/variants/link/3600523337699/", "View Product")</f>
        <v/>
      </c>
    </row>
    <row r="23550">
      <c r="A23550" t="inlineStr">
        <is>
          <t>3600523465262</t>
        </is>
      </c>
      <c r="B23550" t="inlineStr">
        <is>
          <t>L'Oreal Color Riche Shine Lipstick 112 Only In Paris 4.8g</t>
        </is>
      </c>
      <c r="C23550" t="inlineStr">
        <is>
          <t>Lipstick</t>
        </is>
      </c>
      <c r="D23550" t="inlineStr">
        <is>
          <t>L'Oréal</t>
        </is>
      </c>
      <c r="E23550" t="n">
        <v>6.92</v>
      </c>
      <c r="F23550" t="n">
        <v>1</v>
      </c>
      <c r="G23550" t="n">
        <v>3</v>
      </c>
      <c r="H23550" s="5">
        <f>HYPERLINK("https://api.qogita.com/variants/link/3600523465262/", "View Product")</f>
        <v/>
      </c>
    </row>
    <row r="23551">
      <c r="A23551" t="inlineStr">
        <is>
          <t>3600523526130</t>
        </is>
      </c>
      <c r="B23551" t="inlineStr">
        <is>
          <t>L'Oreal Men Expert Barber Club 3-in-1 Beard, Hair &amp; Face Wash 200ml</t>
        </is>
      </c>
      <c r="C23551" t="inlineStr">
        <is>
          <t>Shaving</t>
        </is>
      </c>
      <c r="D23551" t="inlineStr">
        <is>
          <t>L'Oréal</t>
        </is>
      </c>
      <c r="E23551" t="n">
        <v>7.72</v>
      </c>
      <c r="F23551" t="n">
        <v>1</v>
      </c>
      <c r="G23551" t="n">
        <v>13</v>
      </c>
      <c r="H23551" s="5">
        <f>HYPERLINK("https://api.qogita.com/variants/link/3600523526130/", "View Product")</f>
        <v/>
      </c>
    </row>
    <row r="23552">
      <c r="A23552" t="inlineStr">
        <is>
          <t>3600523635672</t>
        </is>
      </c>
      <c r="B23552" t="inlineStr">
        <is>
          <t>L'Oreal True Match Foundation - 2dw Warm Undertone/Golden Almond, 30ml</t>
        </is>
      </c>
      <c r="C23552" t="inlineStr">
        <is>
          <t>Foundation</t>
        </is>
      </c>
      <c r="D23552" t="inlineStr">
        <is>
          <t>L'Oréal</t>
        </is>
      </c>
      <c r="E23552" t="n">
        <v>11.05</v>
      </c>
      <c r="F23552" t="n">
        <v>1</v>
      </c>
      <c r="G23552" t="n">
        <v>2</v>
      </c>
      <c r="H23552" s="5">
        <f>HYPERLINK("https://api.qogita.com/variants/link/3600523635672/", "View Product")</f>
        <v/>
      </c>
    </row>
    <row r="23553">
      <c r="A23553" t="inlineStr">
        <is>
          <t>3600523755271</t>
        </is>
      </c>
      <c r="B23553" t="inlineStr">
        <is>
          <t>L'Oreal Infaillible Brows Eyebrow Gel 5.0 Light Brunette 4.4ml</t>
        </is>
      </c>
      <c r="C23553" t="inlineStr">
        <is>
          <t>Eyebrow Gel</t>
        </is>
      </c>
      <c r="D23553" t="inlineStr">
        <is>
          <t>L'Oréal</t>
        </is>
      </c>
      <c r="E23553" t="n">
        <v>7.41</v>
      </c>
      <c r="F23553" t="n">
        <v>1</v>
      </c>
      <c r="G23553" t="n">
        <v>3</v>
      </c>
      <c r="H23553" s="5">
        <f>HYPERLINK("https://api.qogita.com/variants/link/3600523755271/", "View Product")</f>
        <v/>
      </c>
    </row>
    <row r="23554">
      <c r="A23554" t="inlineStr">
        <is>
          <t>3600523794966</t>
        </is>
      </c>
      <c r="B23554" t="inlineStr">
        <is>
          <t>L'Oral Brilliant Signature High Shine Colour Lip Ink Liquid Glossy Lipstick 312 Be Powerful 64 Ml</t>
        </is>
      </c>
      <c r="C23554" t="inlineStr">
        <is>
          <t>Lip Gloss</t>
        </is>
      </c>
      <c r="D23554" t="inlineStr">
        <is>
          <t>L'Oréal</t>
        </is>
      </c>
      <c r="E23554" t="n">
        <v>8.390000000000001</v>
      </c>
      <c r="F23554" t="n">
        <v>1</v>
      </c>
      <c r="G23554" t="n">
        <v>2</v>
      </c>
      <c r="H23554" s="5">
        <f>HYPERLINK("https://api.qogita.com/variants/link/3600523794966/", "View Product")</f>
        <v/>
      </c>
    </row>
    <row r="23555">
      <c r="A23555" t="inlineStr">
        <is>
          <t>3600523816255</t>
        </is>
      </c>
      <c r="B23555" t="inlineStr">
        <is>
          <t>Men Expert Nourishing Beard Cream 50ml</t>
        </is>
      </c>
      <c r="C23555" t="inlineStr">
        <is>
          <t>Beard Care Sets</t>
        </is>
      </c>
      <c r="D23555" t="inlineStr">
        <is>
          <t>Garnier</t>
        </is>
      </c>
      <c r="E23555" t="n">
        <v>11.8</v>
      </c>
      <c r="F23555" t="n">
        <v>1</v>
      </c>
      <c r="G23555" t="n">
        <v>16</v>
      </c>
      <c r="H23555" s="5">
        <f>HYPERLINK("https://api.qogita.com/variants/link/3600523816255/", "View Product")</f>
        <v/>
      </c>
    </row>
    <row r="23556">
      <c r="A23556" t="inlineStr">
        <is>
          <t>3600523827732</t>
        </is>
      </c>
      <c r="B23556" t="inlineStr">
        <is>
          <t>L'Oreal Color Riche Le Lip Liner 236 Organza - Lip Liner</t>
        </is>
      </c>
      <c r="C23556" t="inlineStr">
        <is>
          <t>Lip Liner</t>
        </is>
      </c>
      <c r="D23556" t="inlineStr">
        <is>
          <t>L'Oréal</t>
        </is>
      </c>
      <c r="E23556" t="n">
        <v>5.74</v>
      </c>
      <c r="F23556" t="n">
        <v>1</v>
      </c>
      <c r="G23556" t="n">
        <v>2</v>
      </c>
      <c r="H23556" s="5">
        <f>HYPERLINK("https://api.qogita.com/variants/link/3600523827732/", "View Product")</f>
        <v/>
      </c>
    </row>
    <row r="23557">
      <c r="A23557" t="inlineStr">
        <is>
          <t>3600523827756</t>
        </is>
      </c>
      <c r="B23557" t="inlineStr">
        <is>
          <t>L'Oreal Color Riche Le Lip Liner 107 Seine Sunset - Lip Liner</t>
        </is>
      </c>
      <c r="C23557" t="inlineStr">
        <is>
          <t>Lip Liner</t>
        </is>
      </c>
      <c r="D23557" t="inlineStr">
        <is>
          <t>L'Oréal</t>
        </is>
      </c>
      <c r="E23557" t="n">
        <v>5.74</v>
      </c>
      <c r="F23557" t="n">
        <v>1</v>
      </c>
      <c r="G23557" t="n">
        <v>3</v>
      </c>
      <c r="H23557" s="5">
        <f>HYPERLINK("https://api.qogita.com/variants/link/3600523827756/", "View Product")</f>
        <v/>
      </c>
    </row>
    <row r="23558">
      <c r="A23558" t="inlineStr">
        <is>
          <t>3600523827824</t>
        </is>
      </c>
      <c r="B23558" t="inlineStr">
        <is>
          <t>L'Oreal Color Riche Le Lip Liner In 297 Red Passion, 1.2g</t>
        </is>
      </c>
      <c r="C23558" t="inlineStr">
        <is>
          <t>Lip Liner</t>
        </is>
      </c>
      <c r="D23558" t="inlineStr">
        <is>
          <t>L'Oréal</t>
        </is>
      </c>
      <c r="E23558" t="n">
        <v>6.06</v>
      </c>
      <c r="F23558" t="n">
        <v>1</v>
      </c>
      <c r="G23558" t="n">
        <v>2</v>
      </c>
      <c r="H23558" s="5">
        <f>HYPERLINK("https://api.qogita.com/variants/link/3600523827824/", "View Product")</f>
        <v/>
      </c>
    </row>
    <row r="23559">
      <c r="A23559" t="inlineStr">
        <is>
          <t>3600523912612</t>
        </is>
      </c>
      <c r="B23559" t="inlineStr">
        <is>
          <t>L'Oréal Paris Elseve Color Vive Purple Mask 150ml</t>
        </is>
      </c>
      <c r="C23559" t="inlineStr">
        <is>
          <t>Hair Masks</t>
        </is>
      </c>
      <c r="D23559" t="inlineStr">
        <is>
          <t>L'Oréal Professionnel</t>
        </is>
      </c>
      <c r="E23559" t="n">
        <v>6.87</v>
      </c>
      <c r="F23559" t="n">
        <v>1</v>
      </c>
      <c r="G23559" t="n">
        <v>4</v>
      </c>
      <c r="H23559" s="5">
        <f>HYPERLINK("https://api.qogita.com/variants/link/3600523912612/", "View Product")</f>
        <v/>
      </c>
    </row>
    <row r="23560">
      <c r="A23560" t="inlineStr">
        <is>
          <t>3600523937424</t>
        </is>
      </c>
      <c r="B23560" t="inlineStr">
        <is>
          <t>L'Oreal Revitalift Filler Anti-Wrinkle Serum With 1.5% Pure Hyaluronic Acid - 30ml</t>
        </is>
      </c>
      <c r="C23560" t="inlineStr">
        <is>
          <t>Anti-Aging Serum</t>
        </is>
      </c>
      <c r="D23560" t="inlineStr">
        <is>
          <t>L'Oréal</t>
        </is>
      </c>
      <c r="E23560" t="n">
        <v>16.72</v>
      </c>
      <c r="F23560" t="n">
        <v>1</v>
      </c>
      <c r="G23560" t="n">
        <v>10</v>
      </c>
      <c r="H23560" s="5">
        <f>HYPERLINK("https://api.qogita.com/variants/link/3600523937424/", "View Product")</f>
        <v/>
      </c>
    </row>
    <row r="23561">
      <c r="A23561" t="inlineStr">
        <is>
          <t>3600523959877</t>
        </is>
      </c>
      <c r="B23561" t="inlineStr">
        <is>
          <t>L'Oreal Super Liner Perfect Slim Eyeliner 01 Intense Black</t>
        </is>
      </c>
      <c r="C23561" t="inlineStr">
        <is>
          <t>Eyeliner</t>
        </is>
      </c>
      <c r="D23561" t="inlineStr">
        <is>
          <t>L'Oréal</t>
        </is>
      </c>
      <c r="E23561" t="n">
        <v>6.2</v>
      </c>
      <c r="F23561" t="n">
        <v>1</v>
      </c>
      <c r="G23561" t="n">
        <v>44</v>
      </c>
      <c r="H23561" s="5">
        <f>HYPERLINK("https://api.qogita.com/variants/link/3600523959877/", "View Product")</f>
        <v/>
      </c>
    </row>
    <row r="23562">
      <c r="A23562" t="inlineStr">
        <is>
          <t>3600523971343</t>
        </is>
      </c>
      <c r="B23562" t="inlineStr">
        <is>
          <t>L'Oreal Brilliant Signature Plump In Gloss Lip Gloss 408 Accetua 7ml</t>
        </is>
      </c>
      <c r="C23562" t="inlineStr">
        <is>
          <t>Lip Gloss</t>
        </is>
      </c>
      <c r="D23562" t="inlineStr">
        <is>
          <t>L'Oréal</t>
        </is>
      </c>
      <c r="E23562" t="n">
        <v>9.58</v>
      </c>
      <c r="F23562" t="n">
        <v>1</v>
      </c>
      <c r="G23562" t="n">
        <v>2</v>
      </c>
      <c r="H23562" s="5">
        <f>HYPERLINK("https://api.qogita.com/variants/link/3600523971343/", "View Product")</f>
        <v/>
      </c>
    </row>
    <row r="23563">
      <c r="A23563" t="inlineStr">
        <is>
          <t>3600523989904</t>
        </is>
      </c>
      <c r="B23563" t="inlineStr">
        <is>
          <t>L'Oreal True Match Serum Nude Plumping Tinted Serum - 2-3 Light, 30ml</t>
        </is>
      </c>
      <c r="C23563" t="inlineStr">
        <is>
          <t>Hydrating Serum</t>
        </is>
      </c>
      <c r="D23563" t="inlineStr">
        <is>
          <t>L'Oréal</t>
        </is>
      </c>
      <c r="E23563" t="n">
        <v>14.97</v>
      </c>
      <c r="F23563" t="n">
        <v>1</v>
      </c>
      <c r="G23563" t="n">
        <v>14</v>
      </c>
      <c r="H23563" s="5">
        <f>HYPERLINK("https://api.qogita.com/variants/link/3600523989904/", "View Product")</f>
        <v/>
      </c>
    </row>
    <row r="23564">
      <c r="A23564" t="inlineStr">
        <is>
          <t>3600523989911</t>
        </is>
      </c>
      <c r="B23564" t="inlineStr">
        <is>
          <t>L'Oreal True Match Serum Nude Plumping Tinted Serum - 3-4 Light Medium, 30ml</t>
        </is>
      </c>
      <c r="C23564" t="inlineStr">
        <is>
          <t>Hydrating Serum</t>
        </is>
      </c>
      <c r="D23564" t="inlineStr">
        <is>
          <t>L'Oréal</t>
        </is>
      </c>
      <c r="E23564" t="n">
        <v>14.97</v>
      </c>
      <c r="F23564" t="n">
        <v>1</v>
      </c>
      <c r="G23564" t="n">
        <v>8</v>
      </c>
      <c r="H23564" s="5">
        <f>HYPERLINK("https://api.qogita.com/variants/link/3600523989911/", "View Product")</f>
        <v/>
      </c>
    </row>
    <row r="23565">
      <c r="A23565" t="inlineStr">
        <is>
          <t>3600523997558</t>
        </is>
      </c>
      <c r="B23565" t="inlineStr">
        <is>
          <t>L'Oreal Age Perfect Collagen Expert Firming Day Cream Spf 30 50ml</t>
        </is>
      </c>
      <c r="C23565" t="inlineStr">
        <is>
          <t>Day Cream</t>
        </is>
      </c>
      <c r="D23565" t="inlineStr">
        <is>
          <t>L'Oréal</t>
        </is>
      </c>
      <c r="E23565" t="n">
        <v>11.34</v>
      </c>
      <c r="F23565" t="n">
        <v>1</v>
      </c>
      <c r="G23565" t="n">
        <v>3</v>
      </c>
      <c r="H23565" s="5">
        <f>HYPERLINK("https://api.qogita.com/variants/link/3600523997558/", "View Product")</f>
        <v/>
      </c>
    </row>
    <row r="23566">
      <c r="A23566" t="inlineStr">
        <is>
          <t>3600524026547</t>
        </is>
      </c>
      <c r="B23566" t="inlineStr">
        <is>
          <t>L'Oreal Glow Paradise Balm In Lipstick 191 Nude Heaven - 3.8g</t>
        </is>
      </c>
      <c r="C23566" t="inlineStr">
        <is>
          <t>Lipstick</t>
        </is>
      </c>
      <c r="D23566" t="inlineStr">
        <is>
          <t>L'Oréal</t>
        </is>
      </c>
      <c r="E23566" t="n">
        <v>8.039999999999999</v>
      </c>
      <c r="F23566" t="n">
        <v>1</v>
      </c>
      <c r="G23566" t="n">
        <v>2</v>
      </c>
      <c r="H23566" s="5">
        <f>HYPERLINK("https://api.qogita.com/variants/link/3600524026547/", "View Product")</f>
        <v/>
      </c>
    </row>
    <row r="23567">
      <c r="A23567" t="inlineStr">
        <is>
          <t>3600524026677</t>
        </is>
      </c>
      <c r="B23567" t="inlineStr">
        <is>
          <t>L'Oreal Infallible Grip Gel Automatic Eye Liner - Blue Jersey, 5g</t>
        </is>
      </c>
      <c r="C23567" t="inlineStr">
        <is>
          <t>Eyeliner</t>
        </is>
      </c>
      <c r="D23567" t="inlineStr">
        <is>
          <t>L'Oréal</t>
        </is>
      </c>
      <c r="E23567" t="n">
        <v>6.07</v>
      </c>
      <c r="F23567" t="n">
        <v>1</v>
      </c>
      <c r="G23567" t="n">
        <v>2</v>
      </c>
      <c r="H23567" s="5">
        <f>HYPERLINK("https://api.qogita.com/variants/link/3600524026677/", "View Product")</f>
        <v/>
      </c>
    </row>
    <row r="23568">
      <c r="A23568" t="inlineStr">
        <is>
          <t>3600524105150</t>
        </is>
      </c>
      <c r="B23568" t="inlineStr">
        <is>
          <t>L'Oreal Color Rich Lipstick 505 Le Nude Resilient</t>
        </is>
      </c>
      <c r="C23568" t="inlineStr">
        <is>
          <t>Lipstick</t>
        </is>
      </c>
      <c r="D23568" t="inlineStr">
        <is>
          <t>L'Oréal</t>
        </is>
      </c>
      <c r="E23568" t="n">
        <v>10.25</v>
      </c>
      <c r="F23568" t="n">
        <v>1</v>
      </c>
      <c r="G23568" t="n">
        <v>3</v>
      </c>
      <c r="H23568" s="5">
        <f>HYPERLINK("https://api.qogita.com/variants/link/3600524105150/", "View Product")</f>
        <v/>
      </c>
    </row>
    <row r="23569">
      <c r="A23569" t="inlineStr">
        <is>
          <t>3600524105167</t>
        </is>
      </c>
      <c r="B23569" t="inlineStr">
        <is>
          <t>L'Oréal Paris Color Riche Free the Nudes Lipstick 47ml</t>
        </is>
      </c>
      <c r="C23569" t="inlineStr">
        <is>
          <t>Lipstick</t>
        </is>
      </c>
      <c r="D23569" t="inlineStr">
        <is>
          <t>L'Oréal</t>
        </is>
      </c>
      <c r="E23569" t="n">
        <v>10.25</v>
      </c>
      <c r="F23569" t="n">
        <v>1</v>
      </c>
      <c r="G23569" t="n">
        <v>2</v>
      </c>
      <c r="H23569" s="5">
        <f>HYPERLINK("https://api.qogita.com/variants/link/3600524105167/", "View Product")</f>
        <v/>
      </c>
    </row>
    <row r="23570">
      <c r="A23570" t="inlineStr">
        <is>
          <t>3600524105174</t>
        </is>
      </c>
      <c r="B23570" t="inlineStr">
        <is>
          <t>L'Oral Paris Color Riche Nude Lipstick Nude Unstoppable Creamy Hydrating Lipstick 47 G</t>
        </is>
      </c>
      <c r="C23570" t="inlineStr">
        <is>
          <t>Lipstick</t>
        </is>
      </c>
      <c r="D23570" t="inlineStr">
        <is>
          <t>L'Oréal Paris</t>
        </is>
      </c>
      <c r="E23570" t="n">
        <v>10.25</v>
      </c>
      <c r="F23570" t="n">
        <v>1</v>
      </c>
      <c r="G23570" t="n">
        <v>3</v>
      </c>
      <c r="H23570" s="5">
        <f>HYPERLINK("https://api.qogita.com/variants/link/3600524105174/", "View Product")</f>
        <v/>
      </c>
    </row>
    <row r="23571">
      <c r="A23571" t="inlineStr">
        <is>
          <t>3600524105280</t>
        </is>
      </c>
      <c r="B23571" t="inlineStr">
        <is>
          <t>L'Oréal Paris Elseve Hyaluron Plump Moisture Shampoo 1000ml</t>
        </is>
      </c>
      <c r="C23571" t="inlineStr">
        <is>
          <t>Shampoo</t>
        </is>
      </c>
      <c r="D23571" t="inlineStr">
        <is>
          <t>L'Oréal</t>
        </is>
      </c>
      <c r="E23571" t="n">
        <v>12.83</v>
      </c>
      <c r="F23571" t="n">
        <v>1</v>
      </c>
      <c r="G23571" t="n">
        <v>6</v>
      </c>
      <c r="H23571" s="5">
        <f>HYPERLINK("https://api.qogita.com/variants/link/3600524105280/", "View Product")</f>
        <v/>
      </c>
    </row>
    <row r="23572">
      <c r="A23572" t="inlineStr">
        <is>
          <t>3600524108045</t>
        </is>
      </c>
      <c r="B23572" t="inlineStr">
        <is>
          <t>L'Oreal Color Rich Lipstick 601 Worth It</t>
        </is>
      </c>
      <c r="C23572" t="inlineStr">
        <is>
          <t>Lipstick</t>
        </is>
      </c>
      <c r="D23572" t="inlineStr">
        <is>
          <t>L'Oréal</t>
        </is>
      </c>
      <c r="E23572" t="n">
        <v>8.789999999999999</v>
      </c>
      <c r="F23572" t="n">
        <v>1</v>
      </c>
      <c r="G23572" t="n">
        <v>3</v>
      </c>
      <c r="H23572" s="5">
        <f>HYPERLINK("https://api.qogita.com/variants/link/3600524108045/", "View Product")</f>
        <v/>
      </c>
    </row>
    <row r="23573">
      <c r="A23573" t="inlineStr">
        <is>
          <t>3600524125615</t>
        </is>
      </c>
      <c r="B23573" t="inlineStr">
        <is>
          <t>L'Oral Paris Men Expert Magnesium Defense Shower Gel 300 Ml Hypoallergenic</t>
        </is>
      </c>
      <c r="C23573" t="inlineStr">
        <is>
          <t>Shower Gel</t>
        </is>
      </c>
      <c r="D23573" t="inlineStr">
        <is>
          <t>L'Oréal Paris</t>
        </is>
      </c>
      <c r="E23573" t="n">
        <v>5.93</v>
      </c>
      <c r="F23573" t="n">
        <v>1</v>
      </c>
      <c r="G23573" t="n">
        <v>4</v>
      </c>
      <c r="H23573" s="5">
        <f>HYPERLINK("https://api.qogita.com/variants/link/3600524125615/", "View Product")</f>
        <v/>
      </c>
    </row>
    <row r="23574">
      <c r="A23574" t="inlineStr">
        <is>
          <t>3600524128388</t>
        </is>
      </c>
      <c r="B23574" t="inlineStr">
        <is>
          <t>L'Oréal Paris Elseve Glycolic Gloss 5 Minute Lamination 200ml</t>
        </is>
      </c>
      <c r="C23574" t="inlineStr">
        <is>
          <t>Hair Masks</t>
        </is>
      </c>
      <c r="D23574" t="inlineStr">
        <is>
          <t>L'Oréal</t>
        </is>
      </c>
      <c r="E23574" t="n">
        <v>9.880000000000001</v>
      </c>
      <c r="F23574" t="n">
        <v>1</v>
      </c>
      <c r="G23574" t="n">
        <v>70</v>
      </c>
      <c r="H23574" s="5">
        <f>HYPERLINK("https://api.qogita.com/variants/link/3600524128388/", "View Product")</f>
        <v/>
      </c>
    </row>
    <row r="23575">
      <c r="A23575" t="inlineStr">
        <is>
          <t>3600524135072</t>
        </is>
      </c>
      <c r="B23575" t="inlineStr">
        <is>
          <t>L'Oréal Paris Elseve Hyaluron Pure 400ml Shampoo</t>
        </is>
      </c>
      <c r="C23575" t="inlineStr">
        <is>
          <t>Shampoo</t>
        </is>
      </c>
      <c r="D23575" t="inlineStr">
        <is>
          <t>L'Oréal</t>
        </is>
      </c>
      <c r="E23575" t="n">
        <v>7.03</v>
      </c>
      <c r="F23575" t="n">
        <v>1</v>
      </c>
      <c r="G23575" t="n">
        <v>6</v>
      </c>
      <c r="H23575" s="5">
        <f>HYPERLINK("https://api.qogita.com/variants/link/3600524135072/", "View Product")</f>
        <v/>
      </c>
    </row>
    <row r="23576">
      <c r="A23576" t="inlineStr">
        <is>
          <t>3600524135775</t>
        </is>
      </c>
      <c r="B23576" t="inlineStr">
        <is>
          <t>L'Oreal Paris Hair Serum for Dry Hair Nutrition &amp; Transfer-Free</t>
        </is>
      </c>
      <c r="C23576" t="inlineStr">
        <is>
          <t>Hair Oil &amp; Hair Serum</t>
        </is>
      </c>
      <c r="D23576" t="inlineStr">
        <is>
          <t>L'Oréal Paris</t>
        </is>
      </c>
      <c r="E23576" t="n">
        <v>9.9</v>
      </c>
      <c r="F23576" t="n">
        <v>1</v>
      </c>
      <c r="G23576" t="n">
        <v>18</v>
      </c>
      <c r="H23576" s="5">
        <f>HYPERLINK("https://api.qogita.com/variants/link/3600524135775/", "View Product")</f>
        <v/>
      </c>
    </row>
    <row r="23577">
      <c r="A23577" t="inlineStr">
        <is>
          <t>3600524135973</t>
        </is>
      </c>
      <c r="B23577" t="inlineStr">
        <is>
          <t>L'Oreal Brow Tint Henna For Eyebrows 5.0 Brunette 15ml</t>
        </is>
      </c>
      <c r="C23577" t="inlineStr">
        <is>
          <t>Eyebrow Dye</t>
        </is>
      </c>
      <c r="D23577" t="inlineStr">
        <is>
          <t>L'Oréal</t>
        </is>
      </c>
      <c r="E23577" t="n">
        <v>14.5</v>
      </c>
      <c r="F23577" t="n">
        <v>1</v>
      </c>
      <c r="G23577" t="n">
        <v>2</v>
      </c>
      <c r="H23577" s="5">
        <f>HYPERLINK("https://api.qogita.com/variants/link/3600524135973/", "View Product")</f>
        <v/>
      </c>
    </row>
    <row r="23578">
      <c r="A23578" t="inlineStr">
        <is>
          <t>3600524143916</t>
        </is>
      </c>
      <c r="B23578" t="inlineStr">
        <is>
          <t>L'Oréal Paris Elseve Glycolic Gloss Conditioner 150ml</t>
        </is>
      </c>
      <c r="C23578" t="inlineStr">
        <is>
          <t>Conditioner</t>
        </is>
      </c>
      <c r="D23578" t="inlineStr">
        <is>
          <t>L'Oréal</t>
        </is>
      </c>
      <c r="E23578" t="n">
        <v>9.289999999999999</v>
      </c>
      <c r="F23578" t="n">
        <v>1</v>
      </c>
      <c r="G23578" t="n">
        <v>5</v>
      </c>
      <c r="H23578" s="5">
        <f>HYPERLINK("https://api.qogita.com/variants/link/3600524143916/", "View Product")</f>
        <v/>
      </c>
    </row>
    <row r="23579">
      <c r="A23579" t="inlineStr">
        <is>
          <t>3600524144647</t>
        </is>
      </c>
      <c r="B23579" t="inlineStr">
        <is>
          <t>L'Oreal Paris Gel Eyeshadow In A Pencil Shadow Stick 1.4 G</t>
        </is>
      </c>
      <c r="C23579" t="inlineStr">
        <is>
          <t>Eyeshadow</t>
        </is>
      </c>
      <c r="D23579" t="inlineStr">
        <is>
          <t>L'Oréal Paris</t>
        </is>
      </c>
      <c r="E23579" t="n">
        <v>7.64</v>
      </c>
      <c r="F23579" t="n">
        <v>1</v>
      </c>
      <c r="G23579" t="n">
        <v>2</v>
      </c>
      <c r="H23579" s="5">
        <f>HYPERLINK("https://api.qogita.com/variants/link/3600524144647/", "View Product")</f>
        <v/>
      </c>
    </row>
    <row r="23580">
      <c r="A23580" t="inlineStr">
        <is>
          <t>3600524150570</t>
        </is>
      </c>
      <c r="B23580" t="inlineStr">
        <is>
          <t>L'Oreal Lumi Glotion Liquid Highlighter 903 40ml</t>
        </is>
      </c>
      <c r="C23580" t="inlineStr">
        <is>
          <t>Highlighter</t>
        </is>
      </c>
      <c r="D23580" t="inlineStr">
        <is>
          <t>L'Oréal</t>
        </is>
      </c>
      <c r="E23580" t="n">
        <v>12.76</v>
      </c>
      <c r="F23580" t="n">
        <v>1</v>
      </c>
      <c r="G23580" t="n">
        <v>4</v>
      </c>
      <c r="H23580" s="5">
        <f>HYPERLINK("https://api.qogita.com/variants/link/3600524150570/", "View Product")</f>
        <v/>
      </c>
    </row>
    <row r="23581">
      <c r="A23581" t="inlineStr">
        <is>
          <t>3600524165307</t>
        </is>
      </c>
      <c r="B23581" t="inlineStr">
        <is>
          <t>L'Oral Paris Revitalift Smoothing Cleanser 150 Ml Smoothing Cleansing Gel With Hyaluronic Acid</t>
        </is>
      </c>
      <c r="C23581" t="inlineStr">
        <is>
          <t>Cleansing Gel</t>
        </is>
      </c>
      <c r="D23581" t="inlineStr">
        <is>
          <t>L'Oréal Paris</t>
        </is>
      </c>
      <c r="E23581" t="n">
        <v>7.62</v>
      </c>
      <c r="F23581" t="n">
        <v>1</v>
      </c>
      <c r="G23581" t="n">
        <v>3</v>
      </c>
      <c r="H23581" s="5">
        <f>HYPERLINK("https://api.qogita.com/variants/link/3600524165307/", "View Product")</f>
        <v/>
      </c>
    </row>
    <row r="23582">
      <c r="A23582" t="inlineStr">
        <is>
          <t>3600524172725</t>
        </is>
      </c>
      <c r="B23582" t="inlineStr">
        <is>
          <t>L'Oreal Paris Plump Ambition Hydrating Lip Gloss Hyaluron Lip Oil - 5 Ml</t>
        </is>
      </c>
      <c r="C23582" t="inlineStr">
        <is>
          <t>Lip Gloss</t>
        </is>
      </c>
      <c r="D23582" t="inlineStr">
        <is>
          <t>L'Oréal Paris</t>
        </is>
      </c>
      <c r="E23582" t="n">
        <v>9.58</v>
      </c>
      <c r="F23582" t="n">
        <v>1</v>
      </c>
      <c r="G23582" t="n">
        <v>3</v>
      </c>
      <c r="H23582" s="5">
        <f>HYPERLINK("https://api.qogita.com/variants/link/3600524172725/", "View Product")</f>
        <v/>
      </c>
    </row>
    <row r="23583">
      <c r="A23583" t="inlineStr">
        <is>
          <t>3600524172749</t>
        </is>
      </c>
      <c r="B23583" t="inlineStr">
        <is>
          <t>L'Oreal Paris Lip Plumping Gloss Nourishing and Hydrating with Cooling Sensation</t>
        </is>
      </c>
      <c r="C23583" t="inlineStr">
        <is>
          <t>Lip Gloss</t>
        </is>
      </c>
      <c r="D23583" t="inlineStr">
        <is>
          <t>L'Oréal Paris</t>
        </is>
      </c>
      <c r="E23583" t="n">
        <v>9.949999999999999</v>
      </c>
      <c r="F23583" t="n">
        <v>1</v>
      </c>
      <c r="G23583" t="n">
        <v>7</v>
      </c>
      <c r="H23583" s="5">
        <f>HYPERLINK("https://api.qogita.com/variants/link/3600524172749/", "View Product")</f>
        <v/>
      </c>
    </row>
    <row r="23584">
      <c r="A23584" t="inlineStr">
        <is>
          <t>3600524187071</t>
        </is>
      </c>
      <c r="B23584" t="inlineStr">
        <is>
          <t>L'Oreal Paris Bright Reveal Daily Uv Stick Spf 50+ - 9 Ml</t>
        </is>
      </c>
      <c r="C23584" t="inlineStr">
        <is>
          <t>Face Sun Protection</t>
        </is>
      </c>
      <c r="D23584" t="inlineStr">
        <is>
          <t>L'Oréal Paris</t>
        </is>
      </c>
      <c r="E23584" t="n">
        <v>12.13</v>
      </c>
      <c r="F23584" t="n">
        <v>1</v>
      </c>
      <c r="G23584" t="n">
        <v>4</v>
      </c>
      <c r="H23584" s="5">
        <f>HYPERLINK("https://api.qogita.com/variants/link/3600524187071/", "View Product")</f>
        <v/>
      </c>
    </row>
    <row r="23585">
      <c r="A23585" t="inlineStr">
        <is>
          <t>3600524190163</t>
        </is>
      </c>
      <c r="B23585" t="inlineStr">
        <is>
          <t>L'Oreal Infallible Skin Ink Multifunctional Foundation 20 Light Natural 15ml</t>
        </is>
      </c>
      <c r="C23585" t="inlineStr">
        <is>
          <t>Foundation</t>
        </is>
      </c>
      <c r="D23585" t="inlineStr">
        <is>
          <t>L'Oréal</t>
        </is>
      </c>
      <c r="E23585" t="n">
        <v>15.29</v>
      </c>
      <c r="F23585" t="n">
        <v>1</v>
      </c>
      <c r="G23585" t="n">
        <v>3</v>
      </c>
      <c r="H23585" s="5">
        <f>HYPERLINK("https://api.qogita.com/variants/link/3600524190163/", "View Product")</f>
        <v/>
      </c>
    </row>
    <row r="23586">
      <c r="A23586" t="inlineStr">
        <is>
          <t>3600524190170</t>
        </is>
      </c>
      <c r="B23586" t="inlineStr">
        <is>
          <t>L'Oreal Infallible Skin Ink Multifunctional Foundation 40 Light Warm 15ml</t>
        </is>
      </c>
      <c r="C23586" t="inlineStr">
        <is>
          <t>Foundation</t>
        </is>
      </c>
      <c r="D23586" t="inlineStr">
        <is>
          <t>L'Oréal</t>
        </is>
      </c>
      <c r="E23586" t="n">
        <v>15.29</v>
      </c>
      <c r="F23586" t="n">
        <v>1</v>
      </c>
      <c r="G23586" t="n">
        <v>3</v>
      </c>
      <c r="H23586" s="5">
        <f>HYPERLINK("https://api.qogita.com/variants/link/3600524190170/", "View Product")</f>
        <v/>
      </c>
    </row>
    <row r="23587">
      <c r="A23587" t="inlineStr">
        <is>
          <t>3600524190187</t>
        </is>
      </c>
      <c r="B23587" t="inlineStr">
        <is>
          <t>L'Oreal Infallible Skin Ink Multifunctional Foundation 130 Light Cool 15ml</t>
        </is>
      </c>
      <c r="C23587" t="inlineStr">
        <is>
          <t>Foundation</t>
        </is>
      </c>
      <c r="D23587" t="inlineStr">
        <is>
          <t>L'Oréal</t>
        </is>
      </c>
      <c r="E23587" t="n">
        <v>15.29</v>
      </c>
      <c r="F23587" t="n">
        <v>1</v>
      </c>
      <c r="G23587" t="n">
        <v>2</v>
      </c>
      <c r="H23587" s="5">
        <f>HYPERLINK("https://api.qogita.com/variants/link/3600524190187/", "View Product")</f>
        <v/>
      </c>
    </row>
    <row r="23588">
      <c r="A23588" t="inlineStr">
        <is>
          <t>3600524196585</t>
        </is>
      </c>
      <c r="B23588" t="inlineStr">
        <is>
          <t>L'Oreal Paris Elseve Growth Booster Anti-Hair Loss Shampoo - 200 Ml</t>
        </is>
      </c>
      <c r="C23588" t="inlineStr">
        <is>
          <t>Shampoo</t>
        </is>
      </c>
      <c r="D23588" t="inlineStr">
        <is>
          <t>L'Oréal Paris</t>
        </is>
      </c>
      <c r="E23588" t="n">
        <v>9.289999999999999</v>
      </c>
      <c r="F23588" t="n">
        <v>1</v>
      </c>
      <c r="G23588" t="n">
        <v>8</v>
      </c>
      <c r="H23588" s="5">
        <f>HYPERLINK("https://api.qogita.com/variants/link/3600524196585/", "View Product")</f>
        <v/>
      </c>
    </row>
    <row r="23589">
      <c r="A23589" t="inlineStr">
        <is>
          <t>3600524196813</t>
        </is>
      </c>
      <c r="B23589" t="inlineStr">
        <is>
          <t>L'Oreal Infaillible Laque Resistance Lipstick 220 Paris Sunset - 4.3ml</t>
        </is>
      </c>
      <c r="C23589" t="inlineStr">
        <is>
          <t>Lipstick</t>
        </is>
      </c>
      <c r="D23589" t="inlineStr">
        <is>
          <t>L'Oréal</t>
        </is>
      </c>
      <c r="E23589" t="n">
        <v>11.74</v>
      </c>
      <c r="F23589" t="n">
        <v>1</v>
      </c>
      <c r="G23589" t="n">
        <v>2</v>
      </c>
      <c r="H23589" s="5">
        <f>HYPERLINK("https://api.qogita.com/variants/link/3600524196813/", "View Product")</f>
        <v/>
      </c>
    </row>
    <row r="23590">
      <c r="A23590" t="inlineStr">
        <is>
          <t>3600524196868</t>
        </is>
      </c>
      <c r="B23590" t="inlineStr">
        <is>
          <t>L'Oreal Infallible Laque Resistance Lipstick 510 Cafe Parisien 4.3ml</t>
        </is>
      </c>
      <c r="C23590" t="inlineStr">
        <is>
          <t>Lipstick</t>
        </is>
      </c>
      <c r="D23590" t="inlineStr">
        <is>
          <t>L'Oréal</t>
        </is>
      </c>
      <c r="E23590" t="n">
        <v>11.74</v>
      </c>
      <c r="F23590" t="n">
        <v>1</v>
      </c>
      <c r="G23590" t="n">
        <v>3</v>
      </c>
      <c r="H23590" s="5">
        <f>HYPERLINK("https://api.qogita.com/variants/link/3600524196868/", "View Product")</f>
        <v/>
      </c>
    </row>
    <row r="23591">
      <c r="A23591" t="inlineStr">
        <is>
          <t>3600524202637</t>
        </is>
      </c>
      <c r="B23591" t="inlineStr">
        <is>
          <t>L'Oreal Paris Men Expert Derma Control Purifying Gel Cleanser - 260 Ml</t>
        </is>
      </c>
      <c r="C23591" t="inlineStr">
        <is>
          <t>Cleansing Gel</t>
        </is>
      </c>
      <c r="D23591" t="inlineStr">
        <is>
          <t>L'Oréal Paris</t>
        </is>
      </c>
      <c r="E23591" t="n">
        <v>7.89</v>
      </c>
      <c r="F23591" t="n">
        <v>1</v>
      </c>
      <c r="G23591" t="n">
        <v>3</v>
      </c>
      <c r="H23591" s="5">
        <f>HYPERLINK("https://api.qogita.com/variants/link/3600524202637/", "View Product")</f>
        <v/>
      </c>
    </row>
    <row r="23592">
      <c r="A23592" t="inlineStr">
        <is>
          <t>3600530169962</t>
        </is>
      </c>
      <c r="B23592" t="inlineStr">
        <is>
          <t>Maybelline Dream Matte Mousse Makeup 21 Beige Dor</t>
        </is>
      </c>
      <c r="C23592" t="inlineStr">
        <is>
          <t>Foundation</t>
        </is>
      </c>
      <c r="D23592" t="inlineStr">
        <is>
          <t>Maybelline</t>
        </is>
      </c>
      <c r="E23592" t="n">
        <v>6.09</v>
      </c>
      <c r="F23592" t="n">
        <v>1</v>
      </c>
      <c r="G23592" t="n">
        <v>14</v>
      </c>
      <c r="H23592" s="5">
        <f>HYPERLINK("https://api.qogita.com/variants/link/3600530169962/", "View Product")</f>
        <v/>
      </c>
    </row>
    <row r="23593">
      <c r="A23593" t="inlineStr">
        <is>
          <t>3600530427482</t>
        </is>
      </c>
      <c r="B23593" t="inlineStr">
        <is>
          <t>Maybelline Affinitone Foundation 16 Vanilla Rose 30ml</t>
        </is>
      </c>
      <c r="C23593" t="inlineStr">
        <is>
          <t>Foundation</t>
        </is>
      </c>
      <c r="D23593" t="inlineStr">
        <is>
          <t>Maybelline</t>
        </is>
      </c>
      <c r="E23593" t="n">
        <v>5.57</v>
      </c>
      <c r="F23593" t="n">
        <v>1</v>
      </c>
      <c r="G23593" t="n">
        <v>7</v>
      </c>
      <c r="H23593" s="5">
        <f>HYPERLINK("https://api.qogita.com/variants/link/3600530427482/", "View Product")</f>
        <v/>
      </c>
    </row>
    <row r="23594">
      <c r="A23594" t="inlineStr">
        <is>
          <t>3600530427505</t>
        </is>
      </c>
      <c r="B23594" t="inlineStr">
        <is>
          <t>Maybelline Affinitone Foundation 24 Golden Beige 30ml</t>
        </is>
      </c>
      <c r="C23594" t="inlineStr">
        <is>
          <t>Foundation</t>
        </is>
      </c>
      <c r="D23594" t="inlineStr">
        <is>
          <t>Maybelline</t>
        </is>
      </c>
      <c r="E23594" t="n">
        <v>6.18</v>
      </c>
      <c r="F23594" t="n">
        <v>1</v>
      </c>
      <c r="G23594" t="n">
        <v>6</v>
      </c>
      <c r="H23594" s="5">
        <f>HYPERLINK("https://api.qogita.com/variants/link/3600530427505/", "View Product")</f>
        <v/>
      </c>
    </row>
    <row r="23595">
      <c r="A23595" t="inlineStr">
        <is>
          <t>3600530730308</t>
        </is>
      </c>
      <c r="B23595" t="inlineStr">
        <is>
          <t>Maybelline Hyper Precise All Day Liquid Eyeliner - Black, 6g</t>
        </is>
      </c>
      <c r="C23595" t="inlineStr">
        <is>
          <t>Eyeliner</t>
        </is>
      </c>
      <c r="D23595" t="inlineStr">
        <is>
          <t>Maybelline</t>
        </is>
      </c>
      <c r="E23595" t="n">
        <v>4.36</v>
      </c>
      <c r="F23595" t="n">
        <v>1</v>
      </c>
      <c r="G23595" t="n">
        <v>3</v>
      </c>
      <c r="H23595" s="5">
        <f>HYPERLINK("https://api.qogita.com/variants/link/3600530730308/", "View Product")</f>
        <v/>
      </c>
    </row>
    <row r="23596">
      <c r="A23596" t="inlineStr">
        <is>
          <t>3600530733842</t>
        </is>
      </c>
      <c r="B23596" t="inlineStr">
        <is>
          <t>Maybelline Eraser Eye Perfect &amp; Cover Concealer - Light, 6.8ml</t>
        </is>
      </c>
      <c r="C23596" t="inlineStr">
        <is>
          <t>Concealer</t>
        </is>
      </c>
      <c r="D23596" t="inlineStr">
        <is>
          <t>Maybelline</t>
        </is>
      </c>
      <c r="E23596" t="n">
        <v>6.44</v>
      </c>
      <c r="F23596" t="n">
        <v>1</v>
      </c>
      <c r="G23596" t="n">
        <v>10</v>
      </c>
      <c r="H23596" s="5">
        <f>HYPERLINK("https://api.qogita.com/variants/link/3600530733842/", "View Product")</f>
        <v/>
      </c>
    </row>
    <row r="23597">
      <c r="A23597" t="inlineStr">
        <is>
          <t>3600530733866</t>
        </is>
      </c>
      <c r="B23597" t="inlineStr">
        <is>
          <t>Maybelline Instant Anti Age Eraser Concealer - 03 Fair, 6.8ml</t>
        </is>
      </c>
      <c r="C23597" t="inlineStr">
        <is>
          <t>Concealer</t>
        </is>
      </c>
      <c r="D23597" t="inlineStr">
        <is>
          <t>Maybelline</t>
        </is>
      </c>
      <c r="E23597" t="n">
        <v>8.16</v>
      </c>
      <c r="F23597" t="n">
        <v>1</v>
      </c>
      <c r="G23597" t="n">
        <v>6</v>
      </c>
      <c r="H23597" s="5">
        <f>HYPERLINK("https://api.qogita.com/variants/link/3600530733866/", "View Product")</f>
        <v/>
      </c>
    </row>
    <row r="23598">
      <c r="A23598" t="inlineStr">
        <is>
          <t>3600530746538</t>
        </is>
      </c>
      <c r="B23598" t="inlineStr">
        <is>
          <t>Maybelline Fit Me Luminous + Smooth Foundation 125 Nude Beige 30ml</t>
        </is>
      </c>
      <c r="C23598" t="inlineStr">
        <is>
          <t>Foundation</t>
        </is>
      </c>
      <c r="D23598" t="inlineStr">
        <is>
          <t>Maybelline</t>
        </is>
      </c>
      <c r="E23598" t="n">
        <v>8.640000000000001</v>
      </c>
      <c r="F23598" t="n">
        <v>1</v>
      </c>
      <c r="G23598" t="n">
        <v>3</v>
      </c>
      <c r="H23598" s="5">
        <f>HYPERLINK("https://api.qogita.com/variants/link/3600530746538/", "View Product")</f>
        <v/>
      </c>
    </row>
    <row r="23599">
      <c r="A23599" t="inlineStr">
        <is>
          <t>3600531143459</t>
        </is>
      </c>
      <c r="B23599" t="inlineStr">
        <is>
          <t>Maybelline Lash Sensational Full Fan Effect Mascara Very Black 9.5ml</t>
        </is>
      </c>
      <c r="C23599" t="inlineStr">
        <is>
          <t>Mascara</t>
        </is>
      </c>
      <c r="D23599" t="inlineStr">
        <is>
          <t>Maybelline</t>
        </is>
      </c>
      <c r="E23599" t="n">
        <v>6.16</v>
      </c>
      <c r="F23599" t="n">
        <v>1</v>
      </c>
      <c r="G23599" t="n">
        <v>97</v>
      </c>
      <c r="H23599" s="5">
        <f>HYPERLINK("https://api.qogita.com/variants/link/3600531143459/", "View Product")</f>
        <v/>
      </c>
    </row>
    <row r="23600">
      <c r="A23600" t="inlineStr">
        <is>
          <t>3600531324483</t>
        </is>
      </c>
      <c r="B23600" t="inlineStr">
        <is>
          <t>Maybelline Fit Me Liquid Foundation Mattifying Face Foundation 105 Natural Ivory 30ml</t>
        </is>
      </c>
      <c r="C23600" t="inlineStr">
        <is>
          <t>Foundation</t>
        </is>
      </c>
      <c r="D23600" t="inlineStr">
        <is>
          <t>Maybelline</t>
        </is>
      </c>
      <c r="E23600" t="n">
        <v>4.54</v>
      </c>
      <c r="F23600" t="n">
        <v>1</v>
      </c>
      <c r="G23600" t="n">
        <v>22</v>
      </c>
      <c r="H23600" s="5">
        <f>HYPERLINK("https://api.qogita.com/variants/link/3600531324483/", "View Product")</f>
        <v/>
      </c>
    </row>
    <row r="23601">
      <c r="A23601" t="inlineStr">
        <is>
          <t>3600531361389</t>
        </is>
      </c>
      <c r="B23601" t="inlineStr">
        <is>
          <t>Maybelline Color Sensational Shaping Lip Liner In 10 Nude Whisper, 0.28g</t>
        </is>
      </c>
      <c r="C23601" t="inlineStr">
        <is>
          <t>Lip Liner</t>
        </is>
      </c>
      <c r="D23601" t="inlineStr">
        <is>
          <t>Maybelline</t>
        </is>
      </c>
      <c r="E23601" t="n">
        <v>3.54</v>
      </c>
      <c r="F23601" t="n">
        <v>1</v>
      </c>
      <c r="G23601" t="n">
        <v>4</v>
      </c>
      <c r="H23601" s="5">
        <f>HYPERLINK("https://api.qogita.com/variants/link/3600531361389/", "View Product")</f>
        <v/>
      </c>
    </row>
    <row r="23602">
      <c r="A23602" t="inlineStr">
        <is>
          <t>3600531361433</t>
        </is>
      </c>
      <c r="B23602" t="inlineStr">
        <is>
          <t>Maybelline Color Sensational Shaping Lip Liner 60 Palest Pink 0.28g</t>
        </is>
      </c>
      <c r="C23602" t="inlineStr">
        <is>
          <t>Lip Liner</t>
        </is>
      </c>
      <c r="D23602" t="inlineStr">
        <is>
          <t>Maybelline</t>
        </is>
      </c>
      <c r="E23602" t="n">
        <v>3.54</v>
      </c>
      <c r="F23602" t="n">
        <v>1</v>
      </c>
      <c r="G23602" t="n">
        <v>3</v>
      </c>
      <c r="H23602" s="5">
        <f>HYPERLINK("https://api.qogita.com/variants/link/3600531361433/", "View Product")</f>
        <v/>
      </c>
    </row>
    <row r="23603">
      <c r="A23603" t="inlineStr">
        <is>
          <t>3600531361464</t>
        </is>
      </c>
      <c r="B23603" t="inlineStr">
        <is>
          <t>Maybelline Color Sensational Shaping Lip Liner In 90 Brick Red, 0.28g</t>
        </is>
      </c>
      <c r="C23603" t="inlineStr">
        <is>
          <t>Lip Liner</t>
        </is>
      </c>
      <c r="D23603" t="inlineStr">
        <is>
          <t>Maybelline</t>
        </is>
      </c>
      <c r="E23603" t="n">
        <v>3.48</v>
      </c>
      <c r="F23603" t="n">
        <v>1</v>
      </c>
      <c r="G23603" t="n">
        <v>2</v>
      </c>
      <c r="H23603" s="5">
        <f>HYPERLINK("https://api.qogita.com/variants/link/3600531361464/", "View Product")</f>
        <v/>
      </c>
    </row>
    <row r="23604">
      <c r="A23604" t="inlineStr">
        <is>
          <t>3600531369408</t>
        </is>
      </c>
      <c r="B23604" t="inlineStr">
        <is>
          <t>Maybelline Fit Me Liquid Foundation Mattifying Face Foundation 104 Soft Ivory 30ml</t>
        </is>
      </c>
      <c r="C23604" t="inlineStr">
        <is>
          <t>Foundation</t>
        </is>
      </c>
      <c r="D23604" t="inlineStr">
        <is>
          <t>Maybelline</t>
        </is>
      </c>
      <c r="E23604" t="n">
        <v>5.42</v>
      </c>
      <c r="F23604" t="n">
        <v>1</v>
      </c>
      <c r="G23604" t="n">
        <v>4</v>
      </c>
      <c r="H23604" s="5">
        <f>HYPERLINK("https://api.qogita.com/variants/link/3600531369408/", "View Product")</f>
        <v/>
      </c>
    </row>
    <row r="23605">
      <c r="A23605" t="inlineStr">
        <is>
          <t>3600531384159</t>
        </is>
      </c>
      <c r="B23605" t="inlineStr">
        <is>
          <t>Maybelline Fit Me Matte Poreless Pressed Powder - 105 Natural Ivory, 9g</t>
        </is>
      </c>
      <c r="C23605" t="inlineStr">
        <is>
          <t>Powder</t>
        </is>
      </c>
      <c r="D23605" t="inlineStr">
        <is>
          <t>Maybelline</t>
        </is>
      </c>
      <c r="E23605" t="n">
        <v>6.9</v>
      </c>
      <c r="F23605" t="n">
        <v>1</v>
      </c>
      <c r="G23605" t="n">
        <v>16</v>
      </c>
      <c r="H23605" s="5">
        <f>HYPERLINK("https://api.qogita.com/variants/link/3600531384159/", "View Product")</f>
        <v/>
      </c>
    </row>
    <row r="23606">
      <c r="A23606" t="inlineStr">
        <is>
          <t>3600531384173</t>
        </is>
      </c>
      <c r="B23606" t="inlineStr">
        <is>
          <t>Maybelline Fit Me Pressed Powder 115 - 9g</t>
        </is>
      </c>
      <c r="C23606" t="inlineStr">
        <is>
          <t>Powder</t>
        </is>
      </c>
      <c r="D23606" t="inlineStr">
        <is>
          <t>Maybelline</t>
        </is>
      </c>
      <c r="E23606" t="n">
        <v>6.41</v>
      </c>
      <c r="F23606" t="n">
        <v>1</v>
      </c>
      <c r="G23606" t="n">
        <v>5</v>
      </c>
      <c r="H23606" s="5">
        <f>HYPERLINK("https://api.qogita.com/variants/link/3600531384173/", "View Product")</f>
        <v/>
      </c>
    </row>
    <row r="23607">
      <c r="A23607" t="inlineStr">
        <is>
          <t>3600531396848</t>
        </is>
      </c>
      <c r="B23607" t="inlineStr">
        <is>
          <t>Maybelline Instant Anti Age Eraser Concealer 04 Honey 6.8ml</t>
        </is>
      </c>
      <c r="C23607" t="inlineStr">
        <is>
          <t>Concealer</t>
        </is>
      </c>
      <c r="D23607" t="inlineStr">
        <is>
          <t>Maybelline</t>
        </is>
      </c>
      <c r="E23607" t="n">
        <v>6.86</v>
      </c>
      <c r="F23607" t="n">
        <v>1</v>
      </c>
      <c r="G23607" t="n">
        <v>2</v>
      </c>
      <c r="H23607" s="5">
        <f>HYPERLINK("https://api.qogita.com/variants/link/3600531396848/", "View Product")</f>
        <v/>
      </c>
    </row>
    <row r="23608">
      <c r="A23608" t="inlineStr">
        <is>
          <t>3600531411183</t>
        </is>
      </c>
      <c r="B23608" t="inlineStr">
        <is>
          <t>Maybelline Super Stay New York Matte Ink Liquid Lipstick 10 Dreamer 5ml</t>
        </is>
      </c>
      <c r="C23608" t="inlineStr">
        <is>
          <t>Lipstick</t>
        </is>
      </c>
      <c r="D23608" t="inlineStr">
        <is>
          <t>Maybelline</t>
        </is>
      </c>
      <c r="E23608" t="n">
        <v>9.09</v>
      </c>
      <c r="F23608" t="n">
        <v>1</v>
      </c>
      <c r="G23608" t="n">
        <v>13</v>
      </c>
      <c r="H23608" s="5">
        <f>HYPERLINK("https://api.qogita.com/variants/link/3600531411183/", "View Product")</f>
        <v/>
      </c>
    </row>
    <row r="23609">
      <c r="A23609" t="inlineStr">
        <is>
          <t>3600531543327</t>
        </is>
      </c>
      <c r="B23609" t="inlineStr">
        <is>
          <t>Maybelline Color Sensational Lipstick 376 Pink For Me - 4.4g</t>
        </is>
      </c>
      <c r="C23609" t="inlineStr">
        <is>
          <t>Lipstick</t>
        </is>
      </c>
      <c r="D23609" t="inlineStr">
        <is>
          <t>Maybelline</t>
        </is>
      </c>
      <c r="E23609" t="n">
        <v>6.81</v>
      </c>
      <c r="F23609" t="n">
        <v>1</v>
      </c>
      <c r="G23609" t="n">
        <v>3</v>
      </c>
      <c r="H23609" s="5">
        <f>HYPERLINK("https://api.qogita.com/variants/link/3600531543327/", "View Product")</f>
        <v/>
      </c>
    </row>
    <row r="23610">
      <c r="A23610" t="inlineStr">
        <is>
          <t>3600531544638</t>
        </is>
      </c>
      <c r="B23610" t="inlineStr">
        <is>
          <t>Maybelline Fit Me Matte &amp; Poreless Foundation - 101 True Ivory, 30ml</t>
        </is>
      </c>
      <c r="C23610" t="inlineStr">
        <is>
          <t>Foundation</t>
        </is>
      </c>
      <c r="D23610" t="inlineStr">
        <is>
          <t>Maybelline</t>
        </is>
      </c>
      <c r="E23610" t="n">
        <v>7.41</v>
      </c>
      <c r="F23610" t="n">
        <v>1</v>
      </c>
      <c r="G23610" t="n">
        <v>2</v>
      </c>
      <c r="H23610" s="5">
        <f>HYPERLINK("https://api.qogita.com/variants/link/3600531544638/", "View Product")</f>
        <v/>
      </c>
    </row>
    <row r="23611">
      <c r="A23611" t="inlineStr">
        <is>
          <t>3600531566807</t>
        </is>
      </c>
      <c r="B23611" t="inlineStr">
        <is>
          <t>Maybelline Affinitone Foundation 02 Light Porcelain 30ml</t>
        </is>
      </c>
      <c r="C23611" t="inlineStr">
        <is>
          <t>Foundation</t>
        </is>
      </c>
      <c r="D23611" t="inlineStr">
        <is>
          <t>Maybelline</t>
        </is>
      </c>
      <c r="E23611" t="n">
        <v>4.47</v>
      </c>
      <c r="F23611" t="n">
        <v>1</v>
      </c>
      <c r="G23611" t="n">
        <v>11</v>
      </c>
      <c r="H23611" s="5">
        <f>HYPERLINK("https://api.qogita.com/variants/link/3600531566807/", "View Product")</f>
        <v/>
      </c>
    </row>
    <row r="23612">
      <c r="A23612" t="inlineStr">
        <is>
          <t>3600531579456</t>
        </is>
      </c>
      <c r="B23612" t="inlineStr">
        <is>
          <t>Maybelline Brow Ultra Slim Defining Eyebrow Pencil 04 Medium Brown 15 Mm Tip 4 G</t>
        </is>
      </c>
      <c r="C23612" t="inlineStr">
        <is>
          <t>Eyebrow Pencil</t>
        </is>
      </c>
      <c r="D23612" t="inlineStr">
        <is>
          <t>Maybelline</t>
        </is>
      </c>
      <c r="E23612" t="n">
        <v>5.31</v>
      </c>
      <c r="F23612" t="n">
        <v>1</v>
      </c>
      <c r="G23612" t="n">
        <v>5</v>
      </c>
      <c r="H23612" s="5">
        <f>HYPERLINK("https://api.qogita.com/variants/link/3600531579456/", "View Product")</f>
        <v/>
      </c>
    </row>
    <row r="23613">
      <c r="A23613" t="inlineStr">
        <is>
          <t>3600531579500</t>
        </is>
      </c>
      <c r="B23613" t="inlineStr">
        <is>
          <t>Maybelline Brow Ultra Slim Automatic Eyebrow Pencil Soft Brown 9g</t>
        </is>
      </c>
      <c r="C23613" t="inlineStr">
        <is>
          <t>Eyebrow Pencil</t>
        </is>
      </c>
      <c r="D23613" t="inlineStr">
        <is>
          <t>Maybelline</t>
        </is>
      </c>
      <c r="E23613" t="n">
        <v>6.44</v>
      </c>
      <c r="F23613" t="n">
        <v>1</v>
      </c>
      <c r="G23613" t="n">
        <v>4</v>
      </c>
      <c r="H23613" s="5">
        <f>HYPERLINK("https://api.qogita.com/variants/link/3600531579500/", "View Product")</f>
        <v/>
      </c>
    </row>
    <row r="23614">
      <c r="A23614" t="inlineStr">
        <is>
          <t>3600531591335</t>
        </is>
      </c>
      <c r="B23614" t="inlineStr">
        <is>
          <t>Maybelline Cheek Heat Gelcream Blush 30 Coral Ember 10 Ml</t>
        </is>
      </c>
      <c r="C23614" t="inlineStr">
        <is>
          <t>Blush</t>
        </is>
      </c>
      <c r="D23614" t="inlineStr">
        <is>
          <t>Maybelline</t>
        </is>
      </c>
      <c r="E23614" t="n">
        <v>6.94</v>
      </c>
      <c r="F23614" t="n">
        <v>1</v>
      </c>
      <c r="G23614" t="n">
        <v>3</v>
      </c>
      <c r="H23614" s="5">
        <f>HYPERLINK("https://api.qogita.com/variants/link/3600531591335/", "View Product")</f>
        <v/>
      </c>
    </row>
    <row r="23615">
      <c r="A23615" t="inlineStr">
        <is>
          <t>3600531591342</t>
        </is>
      </c>
      <c r="B23615" t="inlineStr">
        <is>
          <t>Maybelline Cheek Heat Sheer Gelcream Blush 25 Fuchsia Spark 8 Ml</t>
        </is>
      </c>
      <c r="C23615" t="inlineStr">
        <is>
          <t>Blush</t>
        </is>
      </c>
      <c r="D23615" t="inlineStr">
        <is>
          <t>Maybelline</t>
        </is>
      </c>
      <c r="E23615" t="n">
        <v>7.62</v>
      </c>
      <c r="F23615" t="n">
        <v>1</v>
      </c>
      <c r="G23615" t="n">
        <v>4</v>
      </c>
      <c r="H23615" s="5">
        <f>HYPERLINK("https://api.qogita.com/variants/link/3600531591342/", "View Product")</f>
        <v/>
      </c>
    </row>
    <row r="23616">
      <c r="A23616" t="inlineStr">
        <is>
          <t>3600531609696</t>
        </is>
      </c>
      <c r="B23616" t="inlineStr">
        <is>
          <t>Maybelline Lifter Gloss Lip Gloss 009 Topaz 5.4ml</t>
        </is>
      </c>
      <c r="C23616" t="inlineStr">
        <is>
          <t>Lip Gloss</t>
        </is>
      </c>
      <c r="D23616" t="inlineStr">
        <is>
          <t>Maybelline</t>
        </is>
      </c>
      <c r="E23616" t="n">
        <v>5.94</v>
      </c>
      <c r="F23616" t="n">
        <v>1</v>
      </c>
      <c r="G23616" t="n">
        <v>7</v>
      </c>
      <c r="H23616" s="5">
        <f>HYPERLINK("https://api.qogita.com/variants/link/3600531609696/", "View Product")</f>
        <v/>
      </c>
    </row>
    <row r="23617">
      <c r="A23617" t="inlineStr">
        <is>
          <t>3600531662219</t>
        </is>
      </c>
      <c r="B23617" t="inlineStr">
        <is>
          <t>Maybelline Instant Perfector 4in1 Glow Makeup 05 Fair Light Cool 20 Ml</t>
        </is>
      </c>
      <c r="C23617" t="inlineStr">
        <is>
          <t>Bb Cream &amp; Cc Cream</t>
        </is>
      </c>
      <c r="D23617" t="inlineStr">
        <is>
          <t>Maybelline</t>
        </is>
      </c>
      <c r="E23617" t="n">
        <v>12.43</v>
      </c>
      <c r="F23617" t="n">
        <v>1</v>
      </c>
      <c r="G23617" t="n">
        <v>3</v>
      </c>
      <c r="H23617" s="5">
        <f>HYPERLINK("https://api.qogita.com/variants/link/3600531662219/", "View Product")</f>
        <v/>
      </c>
    </row>
    <row r="23618">
      <c r="A23618" t="inlineStr">
        <is>
          <t>3600531662226</t>
        </is>
      </c>
      <c r="B23618" t="inlineStr">
        <is>
          <t>Maybelline Instant Perfector 4in1 Glow Makeup 20 Ml In Light Medium</t>
        </is>
      </c>
      <c r="C23618" t="inlineStr">
        <is>
          <t>Foundation</t>
        </is>
      </c>
      <c r="D23618" t="inlineStr">
        <is>
          <t>Maybelline</t>
        </is>
      </c>
      <c r="E23618" t="n">
        <v>9.58</v>
      </c>
      <c r="F23618" t="n">
        <v>1</v>
      </c>
      <c r="G23618" t="n">
        <v>2</v>
      </c>
      <c r="H23618" s="5">
        <f>HYPERLINK("https://api.qogita.com/variants/link/3600531662226/", "View Product")</f>
        <v/>
      </c>
    </row>
    <row r="23619">
      <c r="A23619" t="inlineStr">
        <is>
          <t>3600531668402</t>
        </is>
      </c>
      <c r="B23619" t="inlineStr">
        <is>
          <t>Maybelline Sunkisser Blush 02 Uptown Glow 47 Ml Liquid Blush</t>
        </is>
      </c>
      <c r="C23619" t="inlineStr">
        <is>
          <t>Blush</t>
        </is>
      </c>
      <c r="D23619" t="inlineStr">
        <is>
          <t>Maybelline</t>
        </is>
      </c>
      <c r="E23619" t="n">
        <v>9.16</v>
      </c>
      <c r="F23619" t="n">
        <v>1</v>
      </c>
      <c r="G23619" t="n">
        <v>3</v>
      </c>
      <c r="H23619" s="5">
        <f>HYPERLINK("https://api.qogita.com/variants/link/3600531668402/", "View Product")</f>
        <v/>
      </c>
    </row>
    <row r="23620">
      <c r="A23620" t="inlineStr">
        <is>
          <t>3600531669454</t>
        </is>
      </c>
      <c r="B23620" t="inlineStr">
        <is>
          <t>Maybelline Tattoo Liner Ink Pen Eyeliner In Black, 1ml</t>
        </is>
      </c>
      <c r="C23620" t="inlineStr">
        <is>
          <t>Eyeliner</t>
        </is>
      </c>
      <c r="D23620" t="inlineStr">
        <is>
          <t>Maybelline</t>
        </is>
      </c>
      <c r="E23620" t="n">
        <v>9.460000000000001</v>
      </c>
      <c r="F23620" t="n">
        <v>1</v>
      </c>
      <c r="G23620" t="n">
        <v>4</v>
      </c>
      <c r="H23620" s="5">
        <f>HYPERLINK("https://api.qogita.com/variants/link/3600531669454/", "View Product")</f>
        <v/>
      </c>
    </row>
    <row r="23621">
      <c r="A23621" t="inlineStr">
        <is>
          <t>3600531672324</t>
        </is>
      </c>
      <c r="B23621" t="inlineStr">
        <is>
          <t>Maybelline Super Stay 24h Skin Tint Illuminating Foundation With Vitamin C 03 30ml</t>
        </is>
      </c>
      <c r="C23621" t="inlineStr">
        <is>
          <t>Foundation</t>
        </is>
      </c>
      <c r="D23621" t="inlineStr">
        <is>
          <t>Maybelline</t>
        </is>
      </c>
      <c r="E23621" t="n">
        <v>12.41</v>
      </c>
      <c r="F23621" t="n">
        <v>1</v>
      </c>
      <c r="G23621" t="n">
        <v>3</v>
      </c>
      <c r="H23621" s="5">
        <f>HYPERLINK("https://api.qogita.com/variants/link/3600531672324/", "View Product")</f>
        <v/>
      </c>
    </row>
    <row r="23622">
      <c r="A23622" t="inlineStr">
        <is>
          <t>3600531674465</t>
        </is>
      </c>
      <c r="B23622" t="inlineStr">
        <is>
          <t>Maybelline Brow Ultra Slim Automatic Eyebrow Pencil 9 G Cool Brown</t>
        </is>
      </c>
      <c r="C23622" t="inlineStr">
        <is>
          <t>Eyebrow Pencil</t>
        </is>
      </c>
      <c r="D23622" t="inlineStr">
        <is>
          <t>Maybelline</t>
        </is>
      </c>
      <c r="E23622" t="n">
        <v>6.44</v>
      </c>
      <c r="F23622" t="n">
        <v>1</v>
      </c>
      <c r="G23622" t="n">
        <v>3</v>
      </c>
      <c r="H23622" s="5">
        <f>HYPERLINK("https://api.qogita.com/variants/link/3600531674465/", "View Product")</f>
        <v/>
      </c>
    </row>
    <row r="23623">
      <c r="A23623" t="inlineStr">
        <is>
          <t>3600531681302</t>
        </is>
      </c>
      <c r="B23623" t="inlineStr">
        <is>
          <t>Maybelline New York Build A Brow 2 in 1 Brow Pen and Sealing Gel Real-looking Fuller Brows Waterproof Sweat and Smudge-resistant 24H Wear Vegan Formula Shade 250 Blonde</t>
        </is>
      </c>
      <c r="C23623" t="inlineStr">
        <is>
          <t>Eyebrow Gel</t>
        </is>
      </c>
      <c r="D23623" t="inlineStr">
        <is>
          <t>Maybelline</t>
        </is>
      </c>
      <c r="E23623" t="n">
        <v>10.8</v>
      </c>
      <c r="F23623" t="n">
        <v>1</v>
      </c>
      <c r="G23623" t="n">
        <v>3</v>
      </c>
      <c r="H23623" s="5">
        <f>HYPERLINK("https://api.qogita.com/variants/link/3600531681302/", "View Product")</f>
        <v/>
      </c>
    </row>
    <row r="23624">
      <c r="A23624" t="inlineStr">
        <is>
          <t>3600531681326</t>
        </is>
      </c>
      <c r="B23624" t="inlineStr">
        <is>
          <t>Maybelline Build A Brow Eyebrow Fix And Gel Brow Pen Sealing Gel 14 G 257 Medium Brown</t>
        </is>
      </c>
      <c r="C23624" t="inlineStr">
        <is>
          <t>Eyebrow Gel</t>
        </is>
      </c>
      <c r="D23624" t="inlineStr">
        <is>
          <t>Maybelline</t>
        </is>
      </c>
      <c r="E23624" t="n">
        <v>10.8</v>
      </c>
      <c r="F23624" t="n">
        <v>1</v>
      </c>
      <c r="G23624" t="n">
        <v>3</v>
      </c>
      <c r="H23624" s="5">
        <f>HYPERLINK("https://api.qogita.com/variants/link/3600531681326/", "View Product")</f>
        <v/>
      </c>
    </row>
    <row r="23625">
      <c r="A23625" t="inlineStr">
        <is>
          <t>3600531681470</t>
        </is>
      </c>
      <c r="B23625" t="inlineStr">
        <is>
          <t>Maybelline Color Tattoo 24h Eyestix 100 I Am Rebelious 14g</t>
        </is>
      </c>
      <c r="C23625" t="inlineStr">
        <is>
          <t>Eye Pencil</t>
        </is>
      </c>
      <c r="D23625" t="inlineStr">
        <is>
          <t>Maybelline</t>
        </is>
      </c>
      <c r="E23625" t="n">
        <v>9.470000000000001</v>
      </c>
      <c r="F23625" t="n">
        <v>1</v>
      </c>
      <c r="G23625" t="n">
        <v>5</v>
      </c>
      <c r="H23625" s="5">
        <f>HYPERLINK("https://api.qogita.com/variants/link/3600531681470/", "View Product")</f>
        <v/>
      </c>
    </row>
    <row r="23626">
      <c r="A23626" t="inlineStr">
        <is>
          <t>3600531681487</t>
        </is>
      </c>
      <c r="B23626" t="inlineStr">
        <is>
          <t>Maybelline Color Tattoo 24h Eyeliner Unmatched Matte</t>
        </is>
      </c>
      <c r="C23626" t="inlineStr">
        <is>
          <t>Eyeliner</t>
        </is>
      </c>
      <c r="D23626" t="inlineStr">
        <is>
          <t>Maybelline</t>
        </is>
      </c>
      <c r="E23626" t="n">
        <v>9.470000000000001</v>
      </c>
      <c r="F23626" t="n">
        <v>1</v>
      </c>
      <c r="G23626" t="n">
        <v>3</v>
      </c>
      <c r="H23626" s="5">
        <f>HYPERLINK("https://api.qogita.com/variants/link/3600531681487/", "View Product")</f>
        <v/>
      </c>
    </row>
    <row r="23627">
      <c r="A23627" t="inlineStr">
        <is>
          <t>3600531681531</t>
        </is>
      </c>
      <c r="B23627" t="inlineStr">
        <is>
          <t>Maybelline Mayb Eyeliner Smokey Gel Pencil Tattoo Liner</t>
        </is>
      </c>
      <c r="C23627" t="inlineStr">
        <is>
          <t>Eyeliner</t>
        </is>
      </c>
      <c r="D23627" t="inlineStr">
        <is>
          <t>Maybelline</t>
        </is>
      </c>
      <c r="E23627" t="n">
        <v>7.54</v>
      </c>
      <c r="F23627" t="n">
        <v>1</v>
      </c>
      <c r="G23627" t="n">
        <v>2</v>
      </c>
      <c r="H23627" s="5">
        <f>HYPERLINK("https://api.qogita.com/variants/link/3600531681531/", "View Product")</f>
        <v/>
      </c>
    </row>
    <row r="23628">
      <c r="A23628" t="inlineStr">
        <is>
          <t>3600531681555</t>
        </is>
      </c>
      <c r="B23628" t="inlineStr">
        <is>
          <t>Maybelline New York Tattoo Liner Gel Pencil Copper Nights 1ml</t>
        </is>
      </c>
      <c r="C23628" t="inlineStr">
        <is>
          <t>Eye Pencil</t>
        </is>
      </c>
      <c r="D23628" t="inlineStr">
        <is>
          <t>Maybelline</t>
        </is>
      </c>
      <c r="E23628" t="n">
        <v>7.54</v>
      </c>
      <c r="F23628" t="n">
        <v>1</v>
      </c>
      <c r="G23628" t="n">
        <v>2</v>
      </c>
      <c r="H23628" s="5">
        <f>HYPERLINK("https://api.qogita.com/variants/link/3600531681555/", "View Product")</f>
        <v/>
      </c>
    </row>
    <row r="23629">
      <c r="A23629" t="inlineStr">
        <is>
          <t>3600531686277</t>
        </is>
      </c>
      <c r="B23629" t="inlineStr">
        <is>
          <t>Maybelline Super Lock Brow Glue Strong Hold Eyebrow Gel 7ml</t>
        </is>
      </c>
      <c r="C23629" t="inlineStr">
        <is>
          <t>Eyebrow Gel</t>
        </is>
      </c>
      <c r="D23629" t="inlineStr">
        <is>
          <t>Maybelline</t>
        </is>
      </c>
      <c r="E23629" t="n">
        <v>8.19</v>
      </c>
      <c r="F23629" t="n">
        <v>1</v>
      </c>
      <c r="G23629" t="n">
        <v>3</v>
      </c>
      <c r="H23629" s="5">
        <f>HYPERLINK("https://api.qogita.com/variants/link/3600531686277/", "View Product")</f>
        <v/>
      </c>
    </row>
    <row r="23630">
      <c r="A23630" t="inlineStr">
        <is>
          <t>3600531687205</t>
        </is>
      </c>
      <c r="B23630" t="inlineStr">
        <is>
          <t>Maybelline Mayb Eyeliner Gel Pencil Tattoo Liner</t>
        </is>
      </c>
      <c r="C23630" t="inlineStr">
        <is>
          <t>Eyeliner</t>
        </is>
      </c>
      <c r="D23630" t="inlineStr">
        <is>
          <t>Maybelline</t>
        </is>
      </c>
      <c r="E23630" t="n">
        <v>6.51</v>
      </c>
      <c r="F23630" t="n">
        <v>1</v>
      </c>
      <c r="G23630" t="n">
        <v>2</v>
      </c>
      <c r="H23630" s="5">
        <f>HYPERLINK("https://api.qogita.com/variants/link/3600531687205/", "View Product")</f>
        <v/>
      </c>
    </row>
    <row r="23631">
      <c r="A23631" t="inlineStr">
        <is>
          <t>3600531691943</t>
        </is>
      </c>
      <c r="B23631" t="inlineStr">
        <is>
          <t>Maybelline Super Stay Lumi Matte 30h Foundation Mattifying-Covering 108 30ml</t>
        </is>
      </c>
      <c r="C23631" t="inlineStr">
        <is>
          <t>Foundation</t>
        </is>
      </c>
      <c r="D23631" t="inlineStr">
        <is>
          <t>Maybelline</t>
        </is>
      </c>
      <c r="E23631" t="n">
        <v>10.75</v>
      </c>
      <c r="F23631" t="n">
        <v>1</v>
      </c>
      <c r="G23631" t="n">
        <v>2</v>
      </c>
      <c r="H23631" s="5">
        <f>HYPERLINK("https://api.qogita.com/variants/link/3600531691943/", "View Product")</f>
        <v/>
      </c>
    </row>
    <row r="23632">
      <c r="A23632" t="inlineStr">
        <is>
          <t>3600531692070</t>
        </is>
      </c>
      <c r="B23632" t="inlineStr">
        <is>
          <t>Maybelline Lifter Liner Lip Liner 009 Peaking 1.2g</t>
        </is>
      </c>
      <c r="C23632" t="inlineStr">
        <is>
          <t>Lip Liner</t>
        </is>
      </c>
      <c r="D23632" t="inlineStr">
        <is>
          <t>Maybelline</t>
        </is>
      </c>
      <c r="E23632" t="n">
        <v>6.81</v>
      </c>
      <c r="F23632" t="n">
        <v>1</v>
      </c>
      <c r="G23632" t="n">
        <v>2</v>
      </c>
      <c r="H23632" s="5">
        <f>HYPERLINK("https://api.qogita.com/variants/link/3600531692070/", "View Product")</f>
        <v/>
      </c>
    </row>
    <row r="23633">
      <c r="A23633" t="inlineStr">
        <is>
          <t>3600531700386</t>
        </is>
      </c>
      <c r="B23633" t="inlineStr">
        <is>
          <t>Maybelline Poreless Jelly Primer - 30 Ml</t>
        </is>
      </c>
      <c r="C23633" t="inlineStr">
        <is>
          <t>Primer</t>
        </is>
      </c>
      <c r="D23633" t="inlineStr">
        <is>
          <t>Maybelline</t>
        </is>
      </c>
      <c r="E23633" t="n">
        <v>8.44</v>
      </c>
      <c r="F23633" t="n">
        <v>1</v>
      </c>
      <c r="G23633" t="n">
        <v>16</v>
      </c>
      <c r="H23633" s="5">
        <f>HYPERLINK("https://api.qogita.com/variants/link/3600531700386/", "View Product")</f>
        <v/>
      </c>
    </row>
    <row r="23634">
      <c r="A23634" t="inlineStr">
        <is>
          <t>3600531701871</t>
        </is>
      </c>
      <c r="B23634" t="inlineStr">
        <is>
          <t>Maybelline Super Lock Eyebrow Gel Tinted Brow - 8 G</t>
        </is>
      </c>
      <c r="C23634" t="inlineStr">
        <is>
          <t>Eyebrow Gel</t>
        </is>
      </c>
      <c r="D23634" t="inlineStr">
        <is>
          <t>Maybelline</t>
        </is>
      </c>
      <c r="E23634" t="n">
        <v>8.050000000000001</v>
      </c>
      <c r="F23634" t="n">
        <v>1</v>
      </c>
      <c r="G23634" t="n">
        <v>3</v>
      </c>
      <c r="H23634" s="5">
        <f>HYPERLINK("https://api.qogita.com/variants/link/3600531701871/", "View Product")</f>
        <v/>
      </c>
    </row>
    <row r="23635">
      <c r="A23635" t="inlineStr">
        <is>
          <t>3600531701895</t>
        </is>
      </c>
      <c r="B23635" t="inlineStr">
        <is>
          <t>Maybelline Super Lock Eyebrow Gel Tinted Brow 8 G</t>
        </is>
      </c>
      <c r="C23635" t="inlineStr">
        <is>
          <t>Eyebrow Gel</t>
        </is>
      </c>
      <c r="D23635" t="inlineStr">
        <is>
          <t>Maybelline</t>
        </is>
      </c>
      <c r="E23635" t="n">
        <v>8.19</v>
      </c>
      <c r="F23635" t="n">
        <v>1</v>
      </c>
      <c r="G23635" t="n">
        <v>4</v>
      </c>
      <c r="H23635" s="5">
        <f>HYPERLINK("https://api.qogita.com/variants/link/3600531701895/", "View Product")</f>
        <v/>
      </c>
    </row>
    <row r="23636">
      <c r="A23636" t="inlineStr">
        <is>
          <t>3600531701901</t>
        </is>
      </c>
      <c r="B23636" t="inlineStr">
        <is>
          <t>Maybelline Super Lock Eyebrow Gel Tinted Brow - 8 G</t>
        </is>
      </c>
      <c r="C23636" t="inlineStr">
        <is>
          <t>Eyebrow Gel</t>
        </is>
      </c>
      <c r="D23636" t="inlineStr">
        <is>
          <t>Maybelline</t>
        </is>
      </c>
      <c r="E23636" t="n">
        <v>8.050000000000001</v>
      </c>
      <c r="F23636" t="n">
        <v>1</v>
      </c>
      <c r="G23636" t="n">
        <v>5</v>
      </c>
      <c r="H23636" s="5">
        <f>HYPERLINK("https://api.qogita.com/variants/link/3600531701901/", "View Product")</f>
        <v/>
      </c>
    </row>
    <row r="23637">
      <c r="A23637" t="inlineStr">
        <is>
          <t>3600531701932</t>
        </is>
      </c>
      <c r="B23637" t="inlineStr">
        <is>
          <t>Maybelline Moisturizing Lip Gloss Lifter Gloss 5.4 Ml</t>
        </is>
      </c>
      <c r="C23637" t="inlineStr">
        <is>
          <t>Lip Gloss</t>
        </is>
      </c>
      <c r="D23637" t="inlineStr">
        <is>
          <t>Maybelline</t>
        </is>
      </c>
      <c r="E23637" t="n">
        <v>7.79</v>
      </c>
      <c r="F23637" t="n">
        <v>1</v>
      </c>
      <c r="G23637" t="n">
        <v>3</v>
      </c>
      <c r="H23637" s="5">
        <f>HYPERLINK("https://api.qogita.com/variants/link/3600531701932/", "View Product")</f>
        <v/>
      </c>
    </row>
    <row r="23638">
      <c r="A23638" t="inlineStr">
        <is>
          <t>3600531702007</t>
        </is>
      </c>
      <c r="B23638" t="inlineStr">
        <is>
          <t>Maybelline Contouring Stick Lifter Stix 6 G</t>
        </is>
      </c>
      <c r="C23638" t="inlineStr">
        <is>
          <t>Contouring</t>
        </is>
      </c>
      <c r="D23638" t="inlineStr">
        <is>
          <t>Maybelline</t>
        </is>
      </c>
      <c r="E23638" t="n">
        <v>7.58</v>
      </c>
      <c r="F23638" t="n">
        <v>1</v>
      </c>
      <c r="G23638" t="n">
        <v>4</v>
      </c>
      <c r="H23638" s="5">
        <f>HYPERLINK("https://api.qogita.com/variants/link/3600531702007/", "View Product")</f>
        <v/>
      </c>
    </row>
    <row r="23639">
      <c r="A23639" t="inlineStr">
        <is>
          <t>3600531702205</t>
        </is>
      </c>
      <c r="B23639" t="inlineStr">
        <is>
          <t>Maybelline New York Moisturizing Oil Balm for Smooth and Shiny Lips</t>
        </is>
      </c>
      <c r="C23639" t="inlineStr">
        <is>
          <t>Lip Balm</t>
        </is>
      </c>
      <c r="D23639" t="inlineStr">
        <is>
          <t>Maybelline</t>
        </is>
      </c>
      <c r="E23639" t="n">
        <v>5.69</v>
      </c>
      <c r="F23639" t="n">
        <v>1</v>
      </c>
      <c r="G23639" t="n">
        <v>5</v>
      </c>
      <c r="H23639" s="5">
        <f>HYPERLINK("https://api.qogita.com/variants/link/3600531702205/", "View Product")</f>
        <v/>
      </c>
    </row>
    <row r="23640">
      <c r="A23640" t="inlineStr">
        <is>
          <t>3600531702212</t>
        </is>
      </c>
      <c r="B23640" t="inlineStr">
        <is>
          <t>Maybelline Lifter Glaze Hydrating Lip Oil Balm 004 Cherry Swirl 2.8g</t>
        </is>
      </c>
      <c r="C23640" t="inlineStr">
        <is>
          <t>Lip Balm</t>
        </is>
      </c>
      <c r="D23640" t="inlineStr">
        <is>
          <t>Maybelline</t>
        </is>
      </c>
      <c r="E23640" t="n">
        <v>5.69</v>
      </c>
      <c r="F23640" t="n">
        <v>1</v>
      </c>
      <c r="G23640" t="n">
        <v>11</v>
      </c>
      <c r="H23640" s="5">
        <f>HYPERLINK("https://api.qogita.com/variants/link/3600531702212/", "View Product")</f>
        <v/>
      </c>
    </row>
    <row r="23641">
      <c r="A23641" t="inlineStr">
        <is>
          <t>3600531702304</t>
        </is>
      </c>
      <c r="B23641" t="inlineStr">
        <is>
          <t>Maybelline Colossal Bubble Waterproof Mascara - 10ml</t>
        </is>
      </c>
      <c r="C23641" t="inlineStr">
        <is>
          <t>Mascara</t>
        </is>
      </c>
      <c r="D23641" t="inlineStr">
        <is>
          <t>Maybelline</t>
        </is>
      </c>
      <c r="E23641" t="n">
        <v>8.42</v>
      </c>
      <c r="F23641" t="n">
        <v>1</v>
      </c>
      <c r="G23641" t="n">
        <v>3</v>
      </c>
      <c r="H23641" s="5">
        <f>HYPERLINK("https://api.qogita.com/variants/link/3600531702304/", "View Product")</f>
        <v/>
      </c>
    </row>
    <row r="23642">
      <c r="A23642" t="inlineStr">
        <is>
          <t>3600540352392</t>
        </is>
      </c>
      <c r="B23642" t="inlineStr">
        <is>
          <t>Garnier Repairing Care Body Milk For Very Dry Skin Regenerating Lotion</t>
        </is>
      </c>
      <c r="C23642" t="inlineStr">
        <is>
          <t>Body Lotion</t>
        </is>
      </c>
      <c r="D23642" t="inlineStr">
        <is>
          <t>Garnier</t>
        </is>
      </c>
      <c r="E23642" t="n">
        <v>8.220000000000001</v>
      </c>
      <c r="F23642" t="n">
        <v>1</v>
      </c>
      <c r="G23642" t="n">
        <v>8</v>
      </c>
      <c r="H23642" s="5">
        <f>HYPERLINK("https://api.qogita.com/variants/link/3600540352392/", "View Product")</f>
        <v/>
      </c>
    </row>
    <row r="23643">
      <c r="A23643" t="inlineStr">
        <is>
          <t>3600540565280</t>
        </is>
      </c>
      <c r="B23643" t="inlineStr">
        <is>
          <t>Garnier Pure 3in1 Cleansing Gel Scrub And Mask Against Imperfections 150 Ml</t>
        </is>
      </c>
      <c r="C23643" t="inlineStr">
        <is>
          <t>Cleansing Gel</t>
        </is>
      </c>
      <c r="D23643" t="inlineStr">
        <is>
          <t>Garnier</t>
        </is>
      </c>
      <c r="E23643" t="n">
        <v>6.75</v>
      </c>
      <c r="F23643" t="n">
        <v>1</v>
      </c>
      <c r="G23643" t="n">
        <v>38</v>
      </c>
      <c r="H23643" s="5">
        <f>HYPERLINK("https://api.qogita.com/variants/link/3600540565280/", "View Product")</f>
        <v/>
      </c>
    </row>
    <row r="23644">
      <c r="A23644" t="inlineStr">
        <is>
          <t>3600540924162</t>
        </is>
      </c>
      <c r="B23644" t="inlineStr">
        <is>
          <t>Garnier Pureactive Cleansing Gel With Brush Exfobrusher 150 Ml</t>
        </is>
      </c>
      <c r="C23644" t="inlineStr">
        <is>
          <t>Cleansing Gel</t>
        </is>
      </c>
      <c r="D23644" t="inlineStr">
        <is>
          <t>Garnier</t>
        </is>
      </c>
      <c r="E23644" t="n">
        <v>6.93</v>
      </c>
      <c r="F23644" t="n">
        <v>1</v>
      </c>
      <c r="G23644" t="n">
        <v>64</v>
      </c>
      <c r="H23644" s="5">
        <f>HYPERLINK("https://api.qogita.com/variants/link/3600540924162/", "View Product")</f>
        <v/>
      </c>
    </row>
    <row r="23645">
      <c r="A23645" t="inlineStr">
        <is>
          <t>3600541023291</t>
        </is>
      </c>
      <c r="B23645" t="inlineStr">
        <is>
          <t>Garnier Moisturising Body Lotion With Aloe Vera Intensive 7 Days 400 Ml</t>
        </is>
      </c>
      <c r="C23645" t="inlineStr">
        <is>
          <t>Body Lotion</t>
        </is>
      </c>
      <c r="D23645" t="inlineStr">
        <is>
          <t>Garnier</t>
        </is>
      </c>
      <c r="E23645" t="n">
        <v>8.220000000000001</v>
      </c>
      <c r="F23645" t="n">
        <v>1</v>
      </c>
      <c r="G23645" t="n">
        <v>55</v>
      </c>
      <c r="H23645" s="5">
        <f>HYPERLINK("https://api.qogita.com/variants/link/3600541023291/", "View Product")</f>
        <v/>
      </c>
    </row>
    <row r="23646">
      <c r="A23646" t="inlineStr">
        <is>
          <t>3600541119239</t>
        </is>
      </c>
      <c r="B23646" t="inlineStr">
        <is>
          <t>Garnier - Bb Cream Bb Cream Svetla Plet 50ml</t>
        </is>
      </c>
      <c r="C23646" t="inlineStr">
        <is>
          <t>Tinted Day Cream</t>
        </is>
      </c>
      <c r="D23646" t="inlineStr">
        <is>
          <t>Garnier</t>
        </is>
      </c>
      <c r="E23646" t="n">
        <v>8.300000000000001</v>
      </c>
      <c r="F23646" t="n">
        <v>1</v>
      </c>
      <c r="G23646" t="n">
        <v>13</v>
      </c>
      <c r="H23646" s="5">
        <f>HYPERLINK("https://api.qogita.com/variants/link/3600541119239/", "View Product")</f>
        <v/>
      </c>
    </row>
    <row r="23647">
      <c r="A23647" t="inlineStr">
        <is>
          <t>3600542086462</t>
        </is>
      </c>
      <c r="B23647" t="inlineStr">
        <is>
          <t>Garnier Fortifying Balm Conditioner With Castor And Almond Oil For Weak And Brittle Hair 200 Ml</t>
        </is>
      </c>
      <c r="C23647" t="inlineStr">
        <is>
          <t>Conditioner</t>
        </is>
      </c>
      <c r="D23647" t="inlineStr">
        <is>
          <t>Garnier</t>
        </is>
      </c>
      <c r="E23647" t="n">
        <v>4.99</v>
      </c>
      <c r="F23647" t="n">
        <v>1</v>
      </c>
      <c r="G23647" t="n">
        <v>2</v>
      </c>
      <c r="H23647" s="5">
        <f>HYPERLINK("https://api.qogita.com/variants/link/3600542086462/", "View Product")</f>
        <v/>
      </c>
    </row>
    <row r="23648">
      <c r="A23648" t="inlineStr">
        <is>
          <t>3600542216630</t>
        </is>
      </c>
      <c r="B23648" t="inlineStr">
        <is>
          <t>Garnier Action Control Antiperspirant Rollon For Men 50 Ml</t>
        </is>
      </c>
      <c r="C23648" t="inlineStr">
        <is>
          <t>Deodorant &amp; Anti-Perspirant</t>
        </is>
      </c>
      <c r="D23648" t="inlineStr">
        <is>
          <t>Garnier</t>
        </is>
      </c>
      <c r="E23648" t="n">
        <v>5.15</v>
      </c>
      <c r="F23648" t="n">
        <v>1</v>
      </c>
      <c r="G23648" t="n">
        <v>3</v>
      </c>
      <c r="H23648" s="5">
        <f>HYPERLINK("https://api.qogita.com/variants/link/3600542216630/", "View Product")</f>
        <v/>
      </c>
    </row>
    <row r="23649">
      <c r="A23649" t="inlineStr">
        <is>
          <t>3600542232623</t>
        </is>
      </c>
      <c r="B23649" t="inlineStr">
        <is>
          <t>Garnier Fructis Invisible Dry Shampoo with Volume Boost for Flat, Greasy Hair 100ml Yuzu Lemon Scent</t>
        </is>
      </c>
      <c r="C23649" t="inlineStr">
        <is>
          <t>Dry Shampoo</t>
        </is>
      </c>
      <c r="D23649" t="inlineStr">
        <is>
          <t>Garnier</t>
        </is>
      </c>
      <c r="E23649" t="n">
        <v>6.57</v>
      </c>
      <c r="F23649" t="n">
        <v>1</v>
      </c>
      <c r="G23649" t="n">
        <v>27</v>
      </c>
      <c r="H23649" s="5">
        <f>HYPERLINK("https://api.qogita.com/variants/link/3600542232623/", "View Product")</f>
        <v/>
      </c>
    </row>
    <row r="23650">
      <c r="A23650" t="inlineStr">
        <is>
          <t>3600542319553</t>
        </is>
      </c>
      <c r="B23650" t="inlineStr">
        <is>
          <t>Garnier Skin Naturals Milky Tissue Mask Textile Face Mask With Almond Milk For Dry And Sensitive Skin</t>
        </is>
      </c>
      <c r="C23650" t="inlineStr">
        <is>
          <t>Sheet Mask</t>
        </is>
      </c>
      <c r="D23650" t="inlineStr">
        <is>
          <t>Garnier</t>
        </is>
      </c>
      <c r="E23650" t="n">
        <v>3.81</v>
      </c>
      <c r="F23650" t="n">
        <v>1</v>
      </c>
      <c r="G23650" t="n">
        <v>18</v>
      </c>
      <c r="H23650" s="5">
        <f>HYPERLINK("https://api.qogita.com/variants/link/3600542319553/", "View Product")</f>
        <v/>
      </c>
    </row>
    <row r="23651">
      <c r="A23651" t="inlineStr">
        <is>
          <t>3600542385619</t>
        </is>
      </c>
      <c r="B23651" t="inlineStr">
        <is>
          <t>Garnier Skin Naturals Hydra Bomb Tissue Mask - 28g</t>
        </is>
      </c>
      <c r="C23651" t="inlineStr">
        <is>
          <t>Sheet Mask</t>
        </is>
      </c>
      <c r="D23651" t="inlineStr">
        <is>
          <t>Garnier</t>
        </is>
      </c>
      <c r="E23651" t="n">
        <v>3.81</v>
      </c>
      <c r="F23651" t="n">
        <v>1</v>
      </c>
      <c r="G23651" t="n">
        <v>10</v>
      </c>
      <c r="H23651" s="5">
        <f>HYPERLINK("https://api.qogita.com/variants/link/3600542385619/", "View Product")</f>
        <v/>
      </c>
    </row>
    <row r="23652">
      <c r="A23652" t="inlineStr">
        <is>
          <t>3600542389082</t>
        </is>
      </c>
      <c r="B23652" t="inlineStr">
        <is>
          <t>Garnier Fructis Hair Food Watermelon Plumping Shampoo Gentle Shampoo For Hair Volume 350 Ml</t>
        </is>
      </c>
      <c r="C23652" t="inlineStr">
        <is>
          <t>Shampoo</t>
        </is>
      </c>
      <c r="D23652" t="inlineStr">
        <is>
          <t>Garnier</t>
        </is>
      </c>
      <c r="E23652" t="n">
        <v>6.39</v>
      </c>
      <c r="F23652" t="n">
        <v>1</v>
      </c>
      <c r="G23652" t="n">
        <v>17</v>
      </c>
      <c r="H23652" s="5">
        <f>HYPERLINK("https://api.qogita.com/variants/link/3600542389082/", "View Product")</f>
        <v/>
      </c>
    </row>
    <row r="23653">
      <c r="A23653" t="inlineStr">
        <is>
          <t>3600542452465</t>
        </is>
      </c>
      <c r="B23653" t="inlineStr">
        <is>
          <t>Garnier Ambre Solaire Spf30 Bronzing Oil 150ml</t>
        </is>
      </c>
      <c r="C23653" t="inlineStr">
        <is>
          <t>Body Sun Protection</t>
        </is>
      </c>
      <c r="D23653" t="inlineStr">
        <is>
          <t>Garnier</t>
        </is>
      </c>
      <c r="E23653" t="n">
        <v>13.17</v>
      </c>
      <c r="F23653" t="n">
        <v>1</v>
      </c>
      <c r="G23653" t="n">
        <v>7</v>
      </c>
      <c r="H23653" s="5">
        <f>HYPERLINK("https://api.qogita.com/variants/link/3600542452465/", "View Product")</f>
        <v/>
      </c>
    </row>
    <row r="23654">
      <c r="A23654" t="inlineStr">
        <is>
          <t>3600542461696</t>
        </is>
      </c>
      <c r="B23654" t="inlineStr">
        <is>
          <t>Garnier Skin Naturals 2 Million Probiotics Fractions Repairing Sheet Mask - 22g</t>
        </is>
      </c>
      <c r="C23654" t="inlineStr">
        <is>
          <t>Sheet Mask</t>
        </is>
      </c>
      <c r="D23654" t="inlineStr">
        <is>
          <t>Garnier</t>
        </is>
      </c>
      <c r="E23654" t="n">
        <v>3.81</v>
      </c>
      <c r="F23654" t="n">
        <v>1</v>
      </c>
      <c r="G23654" t="n">
        <v>16</v>
      </c>
      <c r="H23654" s="5">
        <f>HYPERLINK("https://api.qogita.com/variants/link/3600542461696/", "View Product")</f>
        <v/>
      </c>
    </row>
    <row r="23655">
      <c r="A23655" t="inlineStr">
        <is>
          <t>3600542461740</t>
        </is>
      </c>
      <c r="B23655" t="inlineStr">
        <is>
          <t>Garnier Skin Naturals 1/2 Million Probiotics Fractions Repairing Eye Mask - 6g</t>
        </is>
      </c>
      <c r="C23655" t="inlineStr">
        <is>
          <t>Eye Masks &amp; Eye Pads</t>
        </is>
      </c>
      <c r="D23655" t="inlineStr">
        <is>
          <t>Garnier</t>
        </is>
      </c>
      <c r="E23655" t="n">
        <v>3.81</v>
      </c>
      <c r="F23655" t="n">
        <v>1</v>
      </c>
      <c r="G23655" t="n">
        <v>17</v>
      </c>
      <c r="H23655" s="5">
        <f>HYPERLINK("https://api.qogita.com/variants/link/3600542461740/", "View Product")</f>
        <v/>
      </c>
    </row>
    <row r="23656">
      <c r="A23656" t="inlineStr">
        <is>
          <t>3600542468442</t>
        </is>
      </c>
      <c r="B23656" t="inlineStr">
        <is>
          <t>Garnier Vitamin C Clarifying Wash 200ml</t>
        </is>
      </c>
      <c r="C23656" t="inlineStr">
        <is>
          <t>Cleansing Gel</t>
        </is>
      </c>
      <c r="D23656" t="inlineStr">
        <is>
          <t>Garnier</t>
        </is>
      </c>
      <c r="E23656" t="n">
        <v>6.08</v>
      </c>
      <c r="F23656" t="n">
        <v>1</v>
      </c>
      <c r="G23656" t="n">
        <v>14</v>
      </c>
      <c r="H23656" s="5">
        <f>HYPERLINK("https://api.qogita.com/variants/link/3600542468442/", "View Product")</f>
        <v/>
      </c>
    </row>
    <row r="23657">
      <c r="A23657" t="inlineStr">
        <is>
          <t>3600542488068</t>
        </is>
      </c>
      <c r="B23657" t="inlineStr">
        <is>
          <t>Hydrating Cleansing Gel for Skin Imperfections Pure Active (Hydrating Deep Clean Serum) 250 ml</t>
        </is>
      </c>
      <c r="C23657" t="inlineStr">
        <is>
          <t>Cleansing Gel</t>
        </is>
      </c>
      <c r="D23657" t="inlineStr">
        <is>
          <t>Garnier</t>
        </is>
      </c>
      <c r="E23657" t="n">
        <v>7.3</v>
      </c>
      <c r="F23657" t="n">
        <v>1</v>
      </c>
      <c r="G23657" t="n">
        <v>2</v>
      </c>
      <c r="H23657" s="5">
        <f>HYPERLINK("https://api.qogita.com/variants/link/3600542488068/", "View Product")</f>
        <v/>
      </c>
    </row>
    <row r="23658">
      <c r="A23658" t="inlineStr">
        <is>
          <t>3600542545129</t>
        </is>
      </c>
      <c r="B23658" t="inlineStr">
        <is>
          <t>Garnier Body Superfood 48h Hydrasensitive Balm Oat Milk Prebiotics</t>
        </is>
      </c>
      <c r="C23658" t="inlineStr">
        <is>
          <t>Body Lotion</t>
        </is>
      </c>
      <c r="D23658" t="inlineStr">
        <is>
          <t>Garnier</t>
        </is>
      </c>
      <c r="E23658" t="n">
        <v>8.300000000000001</v>
      </c>
      <c r="F23658" t="n">
        <v>1</v>
      </c>
      <c r="G23658" t="n">
        <v>5</v>
      </c>
      <c r="H23658" s="5">
        <f>HYPERLINK("https://api.qogita.com/variants/link/3600542545129/", "View Product")</f>
        <v/>
      </c>
    </row>
    <row r="23659">
      <c r="A23659" t="inlineStr">
        <is>
          <t>3600542556675</t>
        </is>
      </c>
      <c r="B23659" t="inlineStr">
        <is>
          <t>Garnier Fructis Strength &amp; Shine Strengthening Shampoo For All Hair Types</t>
        </is>
      </c>
      <c r="C23659" t="inlineStr">
        <is>
          <t>Shampoo</t>
        </is>
      </c>
      <c r="D23659" t="inlineStr">
        <is>
          <t>Garnier</t>
        </is>
      </c>
      <c r="E23659" t="n">
        <v>10.97</v>
      </c>
      <c r="F23659" t="n">
        <v>1</v>
      </c>
      <c r="G23659" t="n">
        <v>8</v>
      </c>
      <c r="H23659" s="5">
        <f>HYPERLINK("https://api.qogita.com/variants/link/3600542556675/", "View Product")</f>
        <v/>
      </c>
    </row>
    <row r="23660">
      <c r="A23660" t="inlineStr">
        <is>
          <t>3600542569026</t>
        </is>
      </c>
      <c r="B23660" t="inlineStr">
        <is>
          <t>Garnier Charcoal Caffeine Eye Patches</t>
        </is>
      </c>
      <c r="C23660" t="inlineStr">
        <is>
          <t>Eye Masks &amp; Eye Pads</t>
        </is>
      </c>
      <c r="D23660" t="inlineStr">
        <is>
          <t>Garnier</t>
        </is>
      </c>
      <c r="E23660" t="n">
        <v>3.81</v>
      </c>
      <c r="F23660" t="n">
        <v>1</v>
      </c>
      <c r="G23660" t="n">
        <v>14</v>
      </c>
      <c r="H23660" s="5">
        <f>HYPERLINK("https://api.qogita.com/variants/link/3600542569026/", "View Product")</f>
        <v/>
      </c>
    </row>
    <row r="23661">
      <c r="A23661" t="inlineStr">
        <is>
          <t>3600542586047</t>
        </is>
      </c>
      <c r="B23661" t="inlineStr">
        <is>
          <t>Garnier Hyaluronic Aloe Soothing Cream Cleanser 250ml</t>
        </is>
      </c>
      <c r="C23661" t="inlineStr">
        <is>
          <t>Cleansing Cream</t>
        </is>
      </c>
      <c r="D23661" t="inlineStr">
        <is>
          <t>Skin Naturals</t>
        </is>
      </c>
      <c r="E23661" t="n">
        <v>6.93</v>
      </c>
      <c r="F23661" t="n">
        <v>1</v>
      </c>
      <c r="G23661" t="n">
        <v>4</v>
      </c>
      <c r="H23661" s="5">
        <f>HYPERLINK("https://api.qogita.com/variants/link/3600542586047/", "View Product")</f>
        <v/>
      </c>
    </row>
    <row r="23662">
      <c r="A23662" t="inlineStr">
        <is>
          <t>3600542590624</t>
        </is>
      </c>
      <c r="B23662" t="inlineStr">
        <is>
          <t>Garnier Fructis Method For Curls Mask For Curly Hair - 370 Ml</t>
        </is>
      </c>
      <c r="C23662" t="inlineStr">
        <is>
          <t>Hair Masks</t>
        </is>
      </c>
      <c r="D23662" t="inlineStr">
        <is>
          <t>Garnier</t>
        </is>
      </c>
      <c r="E23662" t="n">
        <v>7.58</v>
      </c>
      <c r="F23662" t="n">
        <v>1</v>
      </c>
      <c r="G23662" t="n">
        <v>22</v>
      </c>
      <c r="H23662" s="5">
        <f>HYPERLINK("https://api.qogita.com/variants/link/3600542590624/", "View Product")</f>
        <v/>
      </c>
    </row>
    <row r="23663">
      <c r="A23663" t="inlineStr">
        <is>
          <t>3600542607544</t>
        </is>
      </c>
      <c r="B23663" t="inlineStr">
        <is>
          <t>Garnier Children's Protective Spray For Sensitive Skin Spf 50+ - 150 Ml</t>
        </is>
      </c>
      <c r="C23663" t="inlineStr">
        <is>
          <t>Baby &amp; Child Accessories</t>
        </is>
      </c>
      <c r="D23663" t="inlineStr">
        <is>
          <t>Garnier</t>
        </is>
      </c>
      <c r="E23663" t="n">
        <v>13.17</v>
      </c>
      <c r="F23663" t="n">
        <v>1</v>
      </c>
      <c r="G23663" t="n">
        <v>3</v>
      </c>
      <c r="H23663" s="5">
        <f>HYPERLINK("https://api.qogita.com/variants/link/3600542607544/", "View Product")</f>
        <v/>
      </c>
    </row>
    <row r="23664">
      <c r="A23664" t="inlineStr">
        <is>
          <t>3600542628440</t>
        </is>
      </c>
      <c r="B23664" t="inlineStr">
        <is>
          <t>Garnier Brightening Skin Essence Vitamin C Brightening Liquid Care 120 Ml</t>
        </is>
      </c>
      <c r="C23664" t="inlineStr">
        <is>
          <t>Vitamin Serum</t>
        </is>
      </c>
      <c r="D23664" t="inlineStr">
        <is>
          <t>Garnier</t>
        </is>
      </c>
      <c r="E23664" t="n">
        <v>8.44</v>
      </c>
      <c r="F23664" t="n">
        <v>1</v>
      </c>
      <c r="G23664" t="n">
        <v>12</v>
      </c>
      <c r="H23664" s="5">
        <f>HYPERLINK("https://api.qogita.com/variants/link/3600542628440/", "View Product")</f>
        <v/>
      </c>
    </row>
    <row r="23665">
      <c r="A23665" t="inlineStr">
        <is>
          <t>3600542638982</t>
        </is>
      </c>
      <c r="B23665" t="inlineStr">
        <is>
          <t>Garnier Fructis Keratin Sleek Mask For Dry And Frizzy Hair - 370 Ml</t>
        </is>
      </c>
      <c r="C23665" t="inlineStr">
        <is>
          <t>Hair Masks</t>
        </is>
      </c>
      <c r="D23665" t="inlineStr">
        <is>
          <t>Garnier</t>
        </is>
      </c>
      <c r="E23665" t="n">
        <v>7.58</v>
      </c>
      <c r="F23665" t="n">
        <v>1</v>
      </c>
      <c r="G23665" t="n">
        <v>10</v>
      </c>
      <c r="H23665" s="5">
        <f>HYPERLINK("https://api.qogita.com/variants/link/3600542638982/", "View Product")</f>
        <v/>
      </c>
    </row>
    <row r="23666">
      <c r="A23666" t="inlineStr">
        <is>
          <t>3600542642859</t>
        </is>
      </c>
      <c r="B23666" t="inlineStr">
        <is>
          <t>Garnier Brightening Micellar Water With Vitamin C Skin Naturals - 700 Ml</t>
        </is>
      </c>
      <c r="C23666" t="inlineStr">
        <is>
          <t>Micellar Water</t>
        </is>
      </c>
      <c r="D23666" t="inlineStr">
        <is>
          <t>Garnier</t>
        </is>
      </c>
      <c r="E23666" t="n">
        <v>9.26</v>
      </c>
      <c r="F23666" t="n">
        <v>1</v>
      </c>
      <c r="G23666" t="n">
        <v>5</v>
      </c>
      <c r="H23666" s="5">
        <f>HYPERLINK("https://api.qogita.com/variants/link/3600542642859/", "View Product")</f>
        <v/>
      </c>
    </row>
    <row r="23667">
      <c r="A23667" t="inlineStr">
        <is>
          <t>3600550290080</t>
        </is>
      </c>
      <c r="B23667" t="inlineStr">
        <is>
          <t>Daniel Hechter Collection Couture Sensual Leather EDT Spray 100ml</t>
        </is>
      </c>
      <c r="C23667" t="inlineStr">
        <is>
          <t>Eau De Toilette</t>
        </is>
      </c>
      <c r="D23667" t="inlineStr">
        <is>
          <t>Daniel Hechter</t>
        </is>
      </c>
      <c r="E23667" t="n">
        <v>7.09</v>
      </c>
      <c r="F23667" t="n">
        <v>1</v>
      </c>
      <c r="G23667" t="n">
        <v>20</v>
      </c>
      <c r="H23667" s="5">
        <f>HYPERLINK("https://api.qogita.com/variants/link/3600550290080/", "View Product")</f>
        <v/>
      </c>
    </row>
    <row r="23668">
      <c r="A23668" t="inlineStr">
        <is>
          <t>3600550295900</t>
        </is>
      </c>
      <c r="B23668" t="inlineStr">
        <is>
          <t>Mixa Optimal Tolerance Cleansing Milk 200ml</t>
        </is>
      </c>
      <c r="C23668" t="inlineStr">
        <is>
          <t>Cleansing Milk</t>
        </is>
      </c>
      <c r="D23668" t="inlineStr">
        <is>
          <t>Mixa</t>
        </is>
      </c>
      <c r="E23668" t="n">
        <v>6.22</v>
      </c>
      <c r="F23668" t="n">
        <v>1</v>
      </c>
      <c r="G23668" t="n">
        <v>77</v>
      </c>
      <c r="H23668" s="5">
        <f>HYPERLINK("https://api.qogita.com/variants/link/3600550295900/", "View Product")</f>
        <v/>
      </c>
    </row>
    <row r="23669">
      <c r="A23669" t="inlineStr">
        <is>
          <t>3600550304992</t>
        </is>
      </c>
      <c r="B23669" t="inlineStr">
        <is>
          <t>Mixa Regenerating Hand Cream For Extra Dry Skin 100 Ml</t>
        </is>
      </c>
      <c r="C23669" t="inlineStr">
        <is>
          <t>Hand Cream</t>
        </is>
      </c>
      <c r="D23669" t="inlineStr">
        <is>
          <t>Mixa</t>
        </is>
      </c>
      <c r="E23669" t="n">
        <v>4.97</v>
      </c>
      <c r="F23669" t="n">
        <v>1</v>
      </c>
      <c r="G23669" t="n">
        <v>11</v>
      </c>
      <c r="H23669" s="5">
        <f>HYPERLINK("https://api.qogita.com/variants/link/3600550304992/", "View Product")</f>
        <v/>
      </c>
    </row>
    <row r="23670">
      <c r="A23670" t="inlineStr">
        <is>
          <t>3600550368512</t>
        </is>
      </c>
      <c r="B23670" t="inlineStr">
        <is>
          <t>MIXA BABY Gel Hair &amp; Body Soap Free Surgras Delicate &amp; Sensitive Skin 400ml</t>
        </is>
      </c>
      <c r="C23670" t="inlineStr">
        <is>
          <t>Baby Shower Gel &amp; Soap</t>
        </is>
      </c>
      <c r="D23670" t="inlineStr">
        <is>
          <t>Mixa</t>
        </is>
      </c>
      <c r="E23670" t="n">
        <v>7.43</v>
      </c>
      <c r="F23670" t="n">
        <v>1</v>
      </c>
      <c r="G23670" t="n">
        <v>23</v>
      </c>
      <c r="H23670" s="5">
        <f>HYPERLINK("https://api.qogita.com/variants/link/3600550368512/", "View Product")</f>
        <v/>
      </c>
    </row>
    <row r="23671">
      <c r="A23671" t="inlineStr">
        <is>
          <t>3600550476040</t>
        </is>
      </c>
      <c r="B23671" t="inlineStr">
        <is>
          <t>Mixa Micellar Cleansing Water For Sensitive Skin Mineral Lotion 400 Ml</t>
        </is>
      </c>
      <c r="C23671" t="inlineStr">
        <is>
          <t>Micellar Water</t>
        </is>
      </c>
      <c r="D23671" t="inlineStr">
        <is>
          <t>Mixa</t>
        </is>
      </c>
      <c r="E23671" t="n">
        <v>8.09</v>
      </c>
      <c r="F23671" t="n">
        <v>1</v>
      </c>
      <c r="G23671" t="n">
        <v>21</v>
      </c>
      <c r="H23671" s="5">
        <f>HYPERLINK("https://api.qogita.com/variants/link/3600550476040/", "View Product")</f>
        <v/>
      </c>
    </row>
    <row r="23672">
      <c r="A23672" t="inlineStr">
        <is>
          <t>3600550929324</t>
        </is>
      </c>
      <c r="B23672" t="inlineStr">
        <is>
          <t>Soothing Cleansing Oil for Body and Hair 250ml</t>
        </is>
      </c>
      <c r="C23672" t="inlineStr">
        <is>
          <t>Shower Oil</t>
        </is>
      </c>
      <c r="D23672" t="inlineStr">
        <is>
          <t>Mixa</t>
        </is>
      </c>
      <c r="E23672" t="n">
        <v>6.34</v>
      </c>
      <c r="F23672" t="n">
        <v>1</v>
      </c>
      <c r="G23672" t="n">
        <v>10</v>
      </c>
      <c r="H23672" s="5">
        <f>HYPERLINK("https://api.qogita.com/variants/link/3600550929324/", "View Product")</f>
        <v/>
      </c>
    </row>
    <row r="23673">
      <c r="A23673" t="inlineStr">
        <is>
          <t>3600550935752</t>
        </is>
      </c>
      <c r="B23673" t="inlineStr">
        <is>
          <t>Daniel Hecter Indigo EDP Spray 100ml</t>
        </is>
      </c>
      <c r="C23673" t="inlineStr">
        <is>
          <t>Eau De Parfum</t>
        </is>
      </c>
      <c r="D23673" t="inlineStr">
        <is>
          <t>Daniel Hechter</t>
        </is>
      </c>
      <c r="E23673" t="n">
        <v>7.09</v>
      </c>
      <c r="F23673" t="n">
        <v>1</v>
      </c>
      <c r="G23673" t="n">
        <v>22</v>
      </c>
      <c r="H23673" s="5">
        <f>HYPERLINK("https://api.qogita.com/variants/link/3600550935752/", "View Product")</f>
        <v/>
      </c>
    </row>
    <row r="23674">
      <c r="A23674" t="inlineStr">
        <is>
          <t>3600551045672</t>
        </is>
      </c>
      <c r="B23674" t="inlineStr">
        <is>
          <t>Daniel Hechter Couture Sport EDP Spray</t>
        </is>
      </c>
      <c r="C23674" t="inlineStr">
        <is>
          <t>Eau De Parfum</t>
        </is>
      </c>
      <c r="D23674" t="inlineStr">
        <is>
          <t>Daniel Hechter</t>
        </is>
      </c>
      <c r="E23674" t="n">
        <v>7.09</v>
      </c>
      <c r="F23674" t="n">
        <v>1</v>
      </c>
      <c r="G23674" t="n">
        <v>21</v>
      </c>
      <c r="H23674" s="5">
        <f>HYPERLINK("https://api.qogita.com/variants/link/3600551045672/", "View Product")</f>
        <v/>
      </c>
    </row>
    <row r="23675">
      <c r="A23675" t="inlineStr">
        <is>
          <t>3600551135953</t>
        </is>
      </c>
      <c r="B23675" t="inlineStr">
        <is>
          <t>Mixa Panthenol Comfort Restoring Cream 400 Ml For Skin Prone To Atopy</t>
        </is>
      </c>
      <c r="C23675" t="inlineStr">
        <is>
          <t>Body Lotion</t>
        </is>
      </c>
      <c r="D23675" t="inlineStr">
        <is>
          <t>Mixa</t>
        </is>
      </c>
      <c r="E23675" t="n">
        <v>9.02</v>
      </c>
      <c r="F23675" t="n">
        <v>1</v>
      </c>
      <c r="G23675" t="n">
        <v>73</v>
      </c>
      <c r="H23675" s="5">
        <f>HYPERLINK("https://api.qogita.com/variants/link/3600551135953/", "View Product")</f>
        <v/>
      </c>
    </row>
    <row r="23676">
      <c r="A23676" t="inlineStr">
        <is>
          <t>3600551136974</t>
        </is>
      </c>
      <c r="B23676" t="inlineStr">
        <is>
          <t>Mixa Salicylic Acid + Niacinamide Anti-Imperfection Face Serum For Oily Skin 30ml</t>
        </is>
      </c>
      <c r="C23676" t="inlineStr">
        <is>
          <t>Face Serum</t>
        </is>
      </c>
      <c r="D23676" t="inlineStr">
        <is>
          <t>Mixa</t>
        </is>
      </c>
      <c r="E23676" t="n">
        <v>11.01</v>
      </c>
      <c r="F23676" t="n">
        <v>1</v>
      </c>
      <c r="G23676" t="n">
        <v>2</v>
      </c>
      <c r="H23676" s="5">
        <f>HYPERLINK("https://api.qogita.com/variants/link/3600551136974/", "View Product")</f>
        <v/>
      </c>
    </row>
    <row r="23677">
      <c r="A23677" t="inlineStr">
        <is>
          <t>3600551153292</t>
        </is>
      </c>
      <c r="B23677" t="inlineStr">
        <is>
          <t>Mixa Daily Invisible Spf Cream Daily Moisturizing Skin Cream With Spf 50 50 Ml</t>
        </is>
      </c>
      <c r="C23677" t="inlineStr">
        <is>
          <t>Face Sun Protection</t>
        </is>
      </c>
      <c r="D23677" t="inlineStr">
        <is>
          <t>Mixa</t>
        </is>
      </c>
      <c r="E23677" t="n">
        <v>10.34</v>
      </c>
      <c r="F23677" t="n">
        <v>1</v>
      </c>
      <c r="G23677" t="n">
        <v>31</v>
      </c>
      <c r="H23677" s="5">
        <f>HYPERLINK("https://api.qogita.com/variants/link/3600551153292/", "View Product")</f>
        <v/>
      </c>
    </row>
    <row r="23678">
      <c r="A23678" t="inlineStr">
        <is>
          <t>3600551154503</t>
        </is>
      </c>
      <c r="B23678" t="inlineStr">
        <is>
          <t>Mixa Urea Cica Repair+ Renewing Cream For Very Dry And Rough Skin - 150 Ml</t>
        </is>
      </c>
      <c r="C23678" t="inlineStr">
        <is>
          <t>Face Cream</t>
        </is>
      </c>
      <c r="D23678" t="inlineStr">
        <is>
          <t>Mixa</t>
        </is>
      </c>
      <c r="E23678" t="n">
        <v>6.17</v>
      </c>
      <c r="F23678" t="n">
        <v>1</v>
      </c>
      <c r="G23678" t="n">
        <v>18</v>
      </c>
      <c r="H23678" s="5">
        <f>HYPERLINK("https://api.qogita.com/variants/link/3600551154503/", "View Product")</f>
        <v/>
      </c>
    </row>
    <row r="23679">
      <c r="A23679" t="inlineStr">
        <is>
          <t>3600551156705</t>
        </is>
      </c>
      <c r="B23679" t="inlineStr">
        <is>
          <t>Mixa Anti-Dark Spot Cream Spf 20 - Krem Proti Pigmentovym Skvrnam</t>
        </is>
      </c>
      <c r="C23679" t="inlineStr">
        <is>
          <t>Anti-Pigmentation Spot Cream</t>
        </is>
      </c>
      <c r="D23679" t="inlineStr">
        <is>
          <t>Mixa</t>
        </is>
      </c>
      <c r="E23679" t="n">
        <v>10.34</v>
      </c>
      <c r="F23679" t="n">
        <v>1</v>
      </c>
      <c r="G23679" t="n">
        <v>8</v>
      </c>
      <c r="H23679" s="5">
        <f>HYPERLINK("https://api.qogita.com/variants/link/3600551156705/", "View Product")</f>
        <v/>
      </c>
    </row>
    <row r="23680">
      <c r="A23680" t="inlineStr">
        <is>
          <t>3600551164557</t>
        </is>
      </c>
      <c r="B23680" t="inlineStr">
        <is>
          <t>Mixa Stretch Mark Oil - 100 Ml</t>
        </is>
      </c>
      <c r="C23680" t="inlineStr">
        <is>
          <t>Body Oil</t>
        </is>
      </c>
      <c r="D23680" t="inlineStr">
        <is>
          <t>Mixa</t>
        </is>
      </c>
      <c r="E23680" t="n">
        <v>11.23</v>
      </c>
      <c r="F23680" t="n">
        <v>1</v>
      </c>
      <c r="G23680" t="n">
        <v>3</v>
      </c>
      <c r="H23680" s="5">
        <f>HYPERLINK("https://api.qogita.com/variants/link/3600551164557/", "View Product")</f>
        <v/>
      </c>
    </row>
    <row r="23681">
      <c r="A23681" t="inlineStr">
        <is>
          <t>3605520838583</t>
        </is>
      </c>
      <c r="B23681" t="inlineStr">
        <is>
          <t>Waves Vertige of Giorgio Armani Eau de Parfum Spray 50ml</t>
        </is>
      </c>
      <c r="C23681" t="inlineStr">
        <is>
          <t>Eau De Parfum</t>
        </is>
      </c>
      <c r="D23681" t="inlineStr">
        <is>
          <t>Giorgio Armani</t>
        </is>
      </c>
      <c r="E23681" t="n">
        <v>48.51</v>
      </c>
      <c r="F23681" t="n">
        <v>1</v>
      </c>
      <c r="G23681" t="n">
        <v>9</v>
      </c>
      <c r="H23681" s="5">
        <f>HYPERLINK("https://api.qogita.com/variants/link/3605520838583/", "View Product")</f>
        <v/>
      </c>
    </row>
    <row r="23682">
      <c r="A23682" t="inlineStr">
        <is>
          <t>3605520847226</t>
        </is>
      </c>
      <c r="B23682" t="inlineStr">
        <is>
          <t>Helena Rubinstein Lash Queen Feline Blacks Waterproof Mascara 01 Deep Black 72 Ml</t>
        </is>
      </c>
      <c r="C23682" t="inlineStr">
        <is>
          <t>Mascara</t>
        </is>
      </c>
      <c r="D23682" t="inlineStr">
        <is>
          <t>Helena Rubinstein</t>
        </is>
      </c>
      <c r="E23682" t="n">
        <v>34.8</v>
      </c>
      <c r="F23682" t="n">
        <v>1</v>
      </c>
      <c r="G23682" t="n">
        <v>71</v>
      </c>
      <c r="H23682" s="5">
        <f>HYPERLINK("https://api.qogita.com/variants/link/3605520847226/", "View Product")</f>
        <v/>
      </c>
    </row>
    <row r="23683">
      <c r="A23683" t="inlineStr">
        <is>
          <t>3605521034014</t>
        </is>
      </c>
      <c r="B23683" t="inlineStr">
        <is>
          <t>Diesel Only The Brave Eau De Toilette 125ml</t>
        </is>
      </c>
      <c r="C23683" t="inlineStr">
        <is>
          <t>Eau De Toilette</t>
        </is>
      </c>
      <c r="D23683" t="inlineStr">
        <is>
          <t>Diesel</t>
        </is>
      </c>
      <c r="E23683" t="n">
        <v>35.57</v>
      </c>
      <c r="F23683" t="n">
        <v>1</v>
      </c>
      <c r="G23683" t="n">
        <v>9</v>
      </c>
      <c r="H23683" s="5">
        <f>HYPERLINK("https://api.qogita.com/variants/link/3605521034014/", "View Product")</f>
        <v/>
      </c>
    </row>
    <row r="23684">
      <c r="A23684" t="inlineStr">
        <is>
          <t>3605521132499</t>
        </is>
      </c>
      <c r="B23684" t="inlineStr">
        <is>
          <t>Diesel Loverdose Eau De Parfum Spray 75ml</t>
        </is>
      </c>
      <c r="C23684" t="inlineStr">
        <is>
          <t>Eau De Parfum</t>
        </is>
      </c>
      <c r="D23684" t="inlineStr">
        <is>
          <t>Diesel</t>
        </is>
      </c>
      <c r="E23684" t="n">
        <v>34.66</v>
      </c>
      <c r="F23684" t="n">
        <v>1</v>
      </c>
      <c r="G23684" t="n">
        <v>89</v>
      </c>
      <c r="H23684" s="5">
        <f>HYPERLINK("https://api.qogita.com/variants/link/3605521132499/", "View Product")</f>
        <v/>
      </c>
    </row>
    <row r="23685">
      <c r="A23685" t="inlineStr">
        <is>
          <t>3605521325624</t>
        </is>
      </c>
      <c r="B23685" t="inlineStr">
        <is>
          <t>Helena Rubinstein Sexy Lash Queen Mascara Waterproof 01 Scandalous Black 58 Ml</t>
        </is>
      </c>
      <c r="C23685" t="inlineStr">
        <is>
          <t>Mascara</t>
        </is>
      </c>
      <c r="D23685" t="inlineStr">
        <is>
          <t>Helena Rubinstein</t>
        </is>
      </c>
      <c r="E23685" t="n">
        <v>33.18</v>
      </c>
      <c r="F23685" t="n">
        <v>1</v>
      </c>
      <c r="G23685" t="n">
        <v>16</v>
      </c>
      <c r="H23685" s="5">
        <f>HYPERLINK("https://api.qogita.com/variants/link/3605521325624/", "View Product")</f>
        <v/>
      </c>
    </row>
    <row r="23686">
      <c r="A23686" t="inlineStr">
        <is>
          <t>3605521403674</t>
        </is>
      </c>
      <c r="B23686" t="inlineStr">
        <is>
          <t>Giorgio Armani Luminous Silk Foundation #3.75 Fair Rosy 30ml 1fl oz</t>
        </is>
      </c>
      <c r="C23686" t="inlineStr">
        <is>
          <t>Foundation</t>
        </is>
      </c>
      <c r="D23686" t="inlineStr">
        <is>
          <t>Giorgio Armani</t>
        </is>
      </c>
      <c r="E23686" t="n">
        <v>44.58</v>
      </c>
      <c r="F23686" t="n">
        <v>1</v>
      </c>
      <c r="G23686" t="n">
        <v>17</v>
      </c>
      <c r="H23686" s="5">
        <f>HYPERLINK("https://api.qogita.com/variants/link/3605521403674/", "View Product")</f>
        <v/>
      </c>
    </row>
    <row r="23687">
      <c r="A23687" t="inlineStr">
        <is>
          <t>3605521648785</t>
        </is>
      </c>
      <c r="B23687" t="inlineStr">
        <is>
          <t>Giorgio Armani Lip Maestro Color No. 500</t>
        </is>
      </c>
      <c r="C23687" t="inlineStr">
        <is>
          <t>Lipstick</t>
        </is>
      </c>
      <c r="D23687" t="inlineStr">
        <is>
          <t>Emporio Armani</t>
        </is>
      </c>
      <c r="E23687" t="n">
        <v>35.17</v>
      </c>
      <c r="F23687" t="n">
        <v>1</v>
      </c>
      <c r="G23687" t="n">
        <v>9</v>
      </c>
      <c r="H23687" s="5">
        <f>HYPERLINK("https://api.qogita.com/variants/link/3605521648785/", "View Product")</f>
        <v/>
      </c>
    </row>
    <row r="23688">
      <c r="A23688" t="inlineStr">
        <is>
          <t>3605521651167</t>
        </is>
      </c>
      <c r="B23688" t="inlineStr">
        <is>
          <t>Replica Flower Market Eau De Toilette Spray 100ml By Replica</t>
        </is>
      </c>
      <c r="C23688" t="inlineStr">
        <is>
          <t>Eau De Toilette</t>
        </is>
      </c>
      <c r="D23688" t="inlineStr">
        <is>
          <t>Replica</t>
        </is>
      </c>
      <c r="E23688" t="n">
        <v>76.93000000000001</v>
      </c>
      <c r="F23688" t="n">
        <v>1</v>
      </c>
      <c r="G23688" t="n">
        <v>49</v>
      </c>
      <c r="H23688" s="5">
        <f>HYPERLINK("https://api.qogita.com/variants/link/3605521651167/", "View Product")</f>
        <v/>
      </c>
    </row>
    <row r="23689">
      <c r="A23689" t="inlineStr">
        <is>
          <t>3605521651587</t>
        </is>
      </c>
      <c r="B23689" t="inlineStr">
        <is>
          <t>Maison Margiela Replica Beach Walk Eau De Toilette 100ml</t>
        </is>
      </c>
      <c r="C23689" t="inlineStr">
        <is>
          <t>Eau De Toilette</t>
        </is>
      </c>
      <c r="D23689" t="inlineStr">
        <is>
          <t>Maison Margiela</t>
        </is>
      </c>
      <c r="E23689" t="n">
        <v>73.67</v>
      </c>
      <c r="F23689" t="n">
        <v>1</v>
      </c>
      <c r="G23689" t="n">
        <v>8</v>
      </c>
      <c r="H23689" s="5">
        <f>HYPERLINK("https://api.qogita.com/variants/link/3605521651587/", "View Product")</f>
        <v/>
      </c>
    </row>
    <row r="23690">
      <c r="A23690" t="inlineStr">
        <is>
          <t>3605521816580</t>
        </is>
      </c>
      <c r="B23690" t="inlineStr">
        <is>
          <t>Giorgio Armani Si Eau De Parfum Spray 50 Ml</t>
        </is>
      </c>
      <c r="C23690" t="inlineStr">
        <is>
          <t>Eau De Parfum</t>
        </is>
      </c>
      <c r="D23690" t="inlineStr">
        <is>
          <t>Giorgio Armani</t>
        </is>
      </c>
      <c r="E23690" t="n">
        <v>63.45</v>
      </c>
      <c r="F23690" t="n">
        <v>1</v>
      </c>
      <c r="G23690" t="n">
        <v>8</v>
      </c>
      <c r="H23690" s="5">
        <f>HYPERLINK("https://api.qogita.com/variants/link/3605521816580/", "View Product")</f>
        <v/>
      </c>
    </row>
    <row r="23691">
      <c r="A23691" t="inlineStr">
        <is>
          <t>3605521819987</t>
        </is>
      </c>
      <c r="B23691" t="inlineStr">
        <is>
          <t>Giorgio Armani Diamonds Rose Eau De Toilette Spray 50ml</t>
        </is>
      </c>
      <c r="C23691" t="inlineStr">
        <is>
          <t>Eau De Toilette</t>
        </is>
      </c>
      <c r="D23691" t="inlineStr">
        <is>
          <t>Giorgio Armani</t>
        </is>
      </c>
      <c r="E23691" t="n">
        <v>38.15</v>
      </c>
      <c r="F23691" t="n">
        <v>1</v>
      </c>
      <c r="G23691" t="n">
        <v>14</v>
      </c>
      <c r="H23691" s="5">
        <f>HYPERLINK("https://api.qogita.com/variants/link/3605521819987/", "View Product")</f>
        <v/>
      </c>
    </row>
    <row r="23692">
      <c r="A23692" t="inlineStr">
        <is>
          <t>3605521879721</t>
        </is>
      </c>
      <c r="B23692" t="inlineStr">
        <is>
          <t>Viktor &amp; Rolf Bonbon Eau De Parfum 90ml Women's Fragrance</t>
        </is>
      </c>
      <c r="C23692" t="inlineStr">
        <is>
          <t>Eau De Parfum</t>
        </is>
      </c>
      <c r="D23692" t="inlineStr">
        <is>
          <t>Viktor &amp; Rolf</t>
        </is>
      </c>
      <c r="E23692" t="n">
        <v>85.86</v>
      </c>
      <c r="F23692" t="n">
        <v>1</v>
      </c>
      <c r="G23692" t="n">
        <v>9</v>
      </c>
      <c r="H23692" s="5">
        <f>HYPERLINK("https://api.qogita.com/variants/link/3605521879721/", "View Product")</f>
        <v/>
      </c>
    </row>
    <row r="23693">
      <c r="A23693" t="inlineStr">
        <is>
          <t>3605521880147</t>
        </is>
      </c>
      <c r="B23693" t="inlineStr">
        <is>
          <t>Viktor&amp;Rolf Bonbon Eau De Parfum Spray 30ml</t>
        </is>
      </c>
      <c r="C23693" t="inlineStr">
        <is>
          <t>Eau De Parfum</t>
        </is>
      </c>
      <c r="D23693" t="inlineStr">
        <is>
          <t>Viktor &amp; Rolf</t>
        </is>
      </c>
      <c r="E23693" t="n">
        <v>40.05</v>
      </c>
      <c r="F23693" t="n">
        <v>1</v>
      </c>
      <c r="G23693" t="n">
        <v>7</v>
      </c>
      <c r="H23693" s="5">
        <f>HYPERLINK("https://api.qogita.com/variants/link/3605521880147/", "View Product")</f>
        <v/>
      </c>
    </row>
    <row r="23694">
      <c r="A23694" t="inlineStr">
        <is>
          <t>3605521954640</t>
        </is>
      </c>
      <c r="B23694" t="inlineStr">
        <is>
          <t>Helena Rubinstein Pure Ritual Creamy Foam Face Cleanser 125ml</t>
        </is>
      </c>
      <c r="C23694" t="inlineStr">
        <is>
          <t>Cleansing Foam</t>
        </is>
      </c>
      <c r="D23694" t="inlineStr">
        <is>
          <t>Helena Rubinstein</t>
        </is>
      </c>
      <c r="E23694" t="n">
        <v>58.1</v>
      </c>
      <c r="F23694" t="n">
        <v>1</v>
      </c>
      <c r="G23694" t="n">
        <v>14</v>
      </c>
      <c r="H23694" s="5">
        <f>HYPERLINK("https://api.qogita.com/variants/link/3605521954640/", "View Product")</f>
        <v/>
      </c>
    </row>
    <row r="23695">
      <c r="A23695" t="inlineStr">
        <is>
          <t>3605522040229</t>
        </is>
      </c>
      <c r="B23695" t="inlineStr">
        <is>
          <t>Armani Emporio Armani Stronger With You Eau De Toilette Spray 30ml</t>
        </is>
      </c>
      <c r="C23695" t="inlineStr">
        <is>
          <t>Eau De Toilette</t>
        </is>
      </c>
      <c r="D23695" t="inlineStr">
        <is>
          <t>Armani</t>
        </is>
      </c>
      <c r="E23695" t="n">
        <v>43.75</v>
      </c>
      <c r="F23695" t="n">
        <v>1</v>
      </c>
      <c r="G23695" t="n">
        <v>12</v>
      </c>
      <c r="H23695" s="5">
        <f>HYPERLINK("https://api.qogita.com/variants/link/3605522040229/", "View Product")</f>
        <v/>
      </c>
    </row>
    <row r="23696">
      <c r="A23696" t="inlineStr">
        <is>
          <t>3605522040588</t>
        </is>
      </c>
      <c r="B23696" t="inlineStr">
        <is>
          <t>Giorgio Armani Stronger With You Eau De Toilette 100ml For Men</t>
        </is>
      </c>
      <c r="C23696" t="inlineStr">
        <is>
          <t>Eau De Toilette</t>
        </is>
      </c>
      <c r="D23696" t="inlineStr">
        <is>
          <t>Giorgio Armani</t>
        </is>
      </c>
      <c r="E23696" t="n">
        <v>65.91</v>
      </c>
      <c r="F23696" t="n">
        <v>1</v>
      </c>
      <c r="G23696" t="n">
        <v>101</v>
      </c>
      <c r="H23696" s="5">
        <f>HYPERLINK("https://api.qogita.com/variants/link/3605522040588/", "View Product")</f>
        <v/>
      </c>
    </row>
    <row r="23697">
      <c r="A23697" t="inlineStr">
        <is>
          <t>3605530931663</t>
        </is>
      </c>
      <c r="B23697" t="inlineStr">
        <is>
          <t>Lancme Bocage Roll On Deodorant 50 Ml Body Care</t>
        </is>
      </c>
      <c r="C23697" t="inlineStr">
        <is>
          <t>Body Care Sets</t>
        </is>
      </c>
      <c r="D23697" t="inlineStr">
        <is>
          <t>Lancôme</t>
        </is>
      </c>
      <c r="E23697" t="n">
        <v>19.83</v>
      </c>
      <c r="F23697" t="n">
        <v>1</v>
      </c>
      <c r="G23697" t="n">
        <v>65</v>
      </c>
      <c r="H23697" s="5">
        <f>HYPERLINK("https://api.qogita.com/variants/link/3605530931663/", "View Product")</f>
        <v/>
      </c>
    </row>
    <row r="23698">
      <c r="A23698" t="inlineStr">
        <is>
          <t>3605533286555</t>
        </is>
      </c>
      <c r="B23698" t="inlineStr">
        <is>
          <t>Lancme La Vie Est Belle Eau De Parfum 100 Ml Spray For Women</t>
        </is>
      </c>
      <c r="C23698" t="inlineStr">
        <is>
          <t>Eau De Parfum</t>
        </is>
      </c>
      <c r="D23698" t="inlineStr">
        <is>
          <t>Lancôme</t>
        </is>
      </c>
      <c r="E23698" t="n">
        <v>84.45</v>
      </c>
      <c r="F23698" t="n">
        <v>1</v>
      </c>
      <c r="G23698" t="n">
        <v>45</v>
      </c>
      <c r="H23698" s="5">
        <f>HYPERLINK("https://api.qogita.com/variants/link/3605533286555/", "View Product")</f>
        <v/>
      </c>
    </row>
    <row r="23699">
      <c r="A23699" t="inlineStr">
        <is>
          <t>3605970024574</t>
        </is>
      </c>
      <c r="B23699" t="inlineStr">
        <is>
          <t>Kiehl's Ultra Facial Toner 250ml</t>
        </is>
      </c>
      <c r="C23699" t="inlineStr">
        <is>
          <t>Face Lotion</t>
        </is>
      </c>
      <c r="D23699" t="inlineStr">
        <is>
          <t>Kiehl's</t>
        </is>
      </c>
      <c r="E23699" t="n">
        <v>19.25</v>
      </c>
      <c r="F23699" t="n">
        <v>1</v>
      </c>
      <c r="G23699" t="n">
        <v>4</v>
      </c>
      <c r="H23699" s="5">
        <f>HYPERLINK("https://api.qogita.com/variants/link/3605970024574/", "View Product")</f>
        <v/>
      </c>
    </row>
    <row r="23700">
      <c r="A23700" t="inlineStr">
        <is>
          <t>3605970265670</t>
        </is>
      </c>
      <c r="B23700" t="inlineStr">
        <is>
          <t>Kiehl's Amino Acid Conditioner 200ml For Women</t>
        </is>
      </c>
      <c r="C23700" t="inlineStr">
        <is>
          <t>Conditioner</t>
        </is>
      </c>
      <c r="D23700" t="inlineStr">
        <is>
          <t>Kiehl's</t>
        </is>
      </c>
      <c r="E23700" t="n">
        <v>21.14</v>
      </c>
      <c r="F23700" t="n">
        <v>1</v>
      </c>
      <c r="G23700" t="n">
        <v>9</v>
      </c>
      <c r="H23700" s="5">
        <f>HYPERLINK("https://api.qogita.com/variants/link/3605970265670/", "View Product")</f>
        <v/>
      </c>
    </row>
    <row r="23701">
      <c r="A23701" t="inlineStr">
        <is>
          <t>3605970363307</t>
        </is>
      </c>
      <c r="B23701" t="inlineStr">
        <is>
          <t>Kiehl's Since 1851 Clearly Corrective Dark Spot Solution Serum 100ml</t>
        </is>
      </c>
      <c r="C23701" t="inlineStr">
        <is>
          <t>Glow Serum</t>
        </is>
      </c>
      <c r="D23701" t="inlineStr">
        <is>
          <t>Kiehl's</t>
        </is>
      </c>
      <c r="E23701" t="n">
        <v>119.94</v>
      </c>
      <c r="F23701" t="n">
        <v>1</v>
      </c>
      <c r="G23701" t="n">
        <v>10</v>
      </c>
      <c r="H23701" s="5">
        <f>HYPERLINK("https://api.qogita.com/variants/link/3605970363307/", "View Product")</f>
        <v/>
      </c>
    </row>
    <row r="23702">
      <c r="A23702" t="inlineStr">
        <is>
          <t>3605970436001</t>
        </is>
      </c>
      <c r="B23702" t="inlineStr">
        <is>
          <t>Ralph Lauren Polo Red Eau de Toilette Spray 40ml Wood</t>
        </is>
      </c>
      <c r="C23702" t="inlineStr">
        <is>
          <t>Eau De Toilette</t>
        </is>
      </c>
      <c r="D23702" t="inlineStr">
        <is>
          <t>Ralph Lauren</t>
        </is>
      </c>
      <c r="E23702" t="n">
        <v>23.63</v>
      </c>
      <c r="F23702" t="n">
        <v>1</v>
      </c>
      <c r="G23702" t="n">
        <v>9</v>
      </c>
      <c r="H23702" s="5">
        <f>HYPERLINK("https://api.qogita.com/variants/link/3605970436001/", "View Product")</f>
        <v/>
      </c>
    </row>
    <row r="23703">
      <c r="A23703" t="inlineStr">
        <is>
          <t>3605970852856</t>
        </is>
      </c>
      <c r="B23703" t="inlineStr">
        <is>
          <t>Ralph Lauren Ralph Fresh Eau De Toilette 100ml For Women</t>
        </is>
      </c>
      <c r="C23703" t="inlineStr">
        <is>
          <t>Eau De Toilette</t>
        </is>
      </c>
      <c r="D23703" t="inlineStr">
        <is>
          <t>Ralph Lauren</t>
        </is>
      </c>
      <c r="E23703" t="n">
        <v>68.65000000000001</v>
      </c>
      <c r="F23703" t="n">
        <v>1</v>
      </c>
      <c r="G23703" t="n">
        <v>3</v>
      </c>
      <c r="H23703" s="5">
        <f>HYPERLINK("https://api.qogita.com/variants/link/3605970852856/", "View Product")</f>
        <v/>
      </c>
    </row>
    <row r="23704">
      <c r="A23704" t="inlineStr">
        <is>
          <t>3605971325366</t>
        </is>
      </c>
      <c r="B23704" t="inlineStr">
        <is>
          <t>Polo Ultra Blue Eau De Toilette Spray 40ml By Polo</t>
        </is>
      </c>
      <c r="C23704" t="inlineStr">
        <is>
          <t>Eau De Toilette</t>
        </is>
      </c>
      <c r="D23704" t="inlineStr">
        <is>
          <t>Polo</t>
        </is>
      </c>
      <c r="E23704" t="n">
        <v>26.33</v>
      </c>
      <c r="F23704" t="n">
        <v>1</v>
      </c>
      <c r="G23704" t="n">
        <v>5</v>
      </c>
      <c r="H23704" s="5">
        <f>HYPERLINK("https://api.qogita.com/variants/link/3605971325366/", "View Product")</f>
        <v/>
      </c>
    </row>
    <row r="23705">
      <c r="A23705" t="inlineStr">
        <is>
          <t>3605971564000</t>
        </is>
      </c>
      <c r="B23705" t="inlineStr">
        <is>
          <t>Kiehl's Creme de Corps Nourishing Dry Body Oil 5.9oz</t>
        </is>
      </c>
      <c r="C23705" t="inlineStr">
        <is>
          <t>Body Oil</t>
        </is>
      </c>
      <c r="D23705" t="inlineStr">
        <is>
          <t>Kiehl's</t>
        </is>
      </c>
      <c r="E23705" t="n">
        <v>31.28</v>
      </c>
      <c r="F23705" t="n">
        <v>1</v>
      </c>
      <c r="G23705" t="n">
        <v>2</v>
      </c>
      <c r="H23705" s="5">
        <f>HYPERLINK("https://api.qogita.com/variants/link/3605971564000/", "View Product")</f>
        <v/>
      </c>
    </row>
    <row r="23706">
      <c r="A23706" t="inlineStr">
        <is>
          <t>3605972230324</t>
        </is>
      </c>
      <c r="B23706" t="inlineStr">
        <is>
          <t>Ralph Lauren Unisex Polo Blue Deep Parfum Pour Homme 125ml</t>
        </is>
      </c>
      <c r="C23706" t="inlineStr">
        <is>
          <t>Eau De Parfum</t>
        </is>
      </c>
      <c r="D23706" t="inlineStr">
        <is>
          <t>Ralph Lauren</t>
        </is>
      </c>
      <c r="E23706" t="n">
        <v>39.93</v>
      </c>
      <c r="F23706" t="n">
        <v>1</v>
      </c>
      <c r="G23706" t="n">
        <v>23</v>
      </c>
      <c r="H23706" s="5">
        <f>HYPERLINK("https://api.qogita.com/variants/link/3605972230324/", "View Product")</f>
        <v/>
      </c>
    </row>
    <row r="23707">
      <c r="A23707" t="inlineStr">
        <is>
          <t>3605972342621</t>
        </is>
      </c>
      <c r="B23707" t="inlineStr">
        <is>
          <t>Ralph Lauren Big Pony Blue Eau De Toilette Spray 100ml For Men</t>
        </is>
      </c>
      <c r="C23707" t="inlineStr">
        <is>
          <t>Eau De Toilette</t>
        </is>
      </c>
      <c r="D23707" t="inlineStr">
        <is>
          <t>Ralph Lauren</t>
        </is>
      </c>
      <c r="E23707" t="n">
        <v>20.07</v>
      </c>
      <c r="F23707" t="n">
        <v>1</v>
      </c>
      <c r="G23707" t="n">
        <v>59</v>
      </c>
      <c r="H23707" s="5">
        <f>HYPERLINK("https://api.qogita.com/variants/link/3605972342621/", "View Product")</f>
        <v/>
      </c>
    </row>
    <row r="23708">
      <c r="A23708" t="inlineStr">
        <is>
          <t>3605972427670</t>
        </is>
      </c>
      <c r="B23708" t="inlineStr">
        <is>
          <t>Ralph Lauren Polo Earth Eau de Toilette 40 ml - Unisex</t>
        </is>
      </c>
      <c r="C23708" t="inlineStr">
        <is>
          <t>Eau De Toilette</t>
        </is>
      </c>
      <c r="D23708" t="inlineStr">
        <is>
          <t>Ralph Lauren</t>
        </is>
      </c>
      <c r="E23708" t="n">
        <v>56.11</v>
      </c>
      <c r="F23708" t="n">
        <v>1</v>
      </c>
      <c r="G23708" t="n">
        <v>2</v>
      </c>
      <c r="H23708" s="5">
        <f>HYPERLINK("https://api.qogita.com/variants/link/3605972427670/", "View Product")</f>
        <v/>
      </c>
    </row>
    <row r="23709">
      <c r="A23709" t="inlineStr">
        <is>
          <t>3605972454652</t>
        </is>
      </c>
      <c r="B23709" t="inlineStr">
        <is>
          <t>Ralph Lauren Polo Cologne Intense Eau De Parfum Spray 59ml</t>
        </is>
      </c>
      <c r="C23709" t="inlineStr">
        <is>
          <t>Eau De Parfum</t>
        </is>
      </c>
      <c r="D23709" t="inlineStr">
        <is>
          <t>Ralph Lauren</t>
        </is>
      </c>
      <c r="E23709" t="n">
        <v>22.04</v>
      </c>
      <c r="F23709" t="n">
        <v>1</v>
      </c>
      <c r="G23709" t="n">
        <v>18</v>
      </c>
      <c r="H23709" s="5">
        <f>HYPERLINK("https://api.qogita.com/variants/link/3605972454652/", "View Product")</f>
        <v/>
      </c>
    </row>
    <row r="23710">
      <c r="A23710" t="inlineStr">
        <is>
          <t>3605972697028</t>
        </is>
      </c>
      <c r="B23710" t="inlineStr">
        <is>
          <t>Ralph Lauren Polo Blue Perfume Spray 75ml</t>
        </is>
      </c>
      <c r="C23710" t="inlineStr">
        <is>
          <t>Eau De Toilette</t>
        </is>
      </c>
      <c r="D23710" t="inlineStr">
        <is>
          <t>Ralph Lauren</t>
        </is>
      </c>
      <c r="E23710" t="n">
        <v>36.56</v>
      </c>
      <c r="F23710" t="n">
        <v>1</v>
      </c>
      <c r="G23710" t="n">
        <v>23</v>
      </c>
      <c r="H23710" s="5">
        <f>HYPERLINK("https://api.qogita.com/variants/link/3605972697028/", "View Product")</f>
        <v/>
      </c>
    </row>
    <row r="23711">
      <c r="A23711" t="inlineStr">
        <is>
          <t>3605972735928</t>
        </is>
      </c>
      <c r="B23711" t="inlineStr">
        <is>
          <t>Kiehl's Ultra Facial Oil-Free Moisturizer Shine-Reducing Gel Cream for Oily to Normal Skin 5.07 Ounce</t>
        </is>
      </c>
      <c r="C23711" t="inlineStr">
        <is>
          <t>Face Cream</t>
        </is>
      </c>
      <c r="D23711" t="inlineStr">
        <is>
          <t>Kiehl's</t>
        </is>
      </c>
      <c r="E23711" t="n">
        <v>54.33</v>
      </c>
      <c r="F23711" t="n">
        <v>1</v>
      </c>
      <c r="G23711" t="n">
        <v>6</v>
      </c>
      <c r="H23711" s="5">
        <f>HYPERLINK("https://api.qogita.com/variants/link/3605972735928/", "View Product")</f>
        <v/>
      </c>
    </row>
    <row r="23712">
      <c r="A23712" t="inlineStr">
        <is>
          <t>3605972789396</t>
        </is>
      </c>
      <c r="B23712" t="inlineStr">
        <is>
          <t>Urban Decay 247 Inks Easy Ergonomic Liquid Eyeliner Pen 028 G</t>
        </is>
      </c>
      <c r="C23712" t="inlineStr">
        <is>
          <t>Eyeliner</t>
        </is>
      </c>
      <c r="D23712" t="inlineStr">
        <is>
          <t>Urban Decay</t>
        </is>
      </c>
      <c r="E23712" t="n">
        <v>19.45</v>
      </c>
      <c r="F23712" t="n">
        <v>1</v>
      </c>
      <c r="G23712" t="n">
        <v>4</v>
      </c>
      <c r="H23712" s="5">
        <f>HYPERLINK("https://api.qogita.com/variants/link/3605972789396/", "View Product")</f>
        <v/>
      </c>
    </row>
    <row r="23713">
      <c r="A23713" t="inlineStr">
        <is>
          <t>3605972789471</t>
        </is>
      </c>
      <c r="B23713" t="inlineStr">
        <is>
          <t>Urban Decay 247 Ink Liner Zero 1 U Easy Ergonomic Liquid Eyeliner Pen 028 G</t>
        </is>
      </c>
      <c r="C23713" t="inlineStr">
        <is>
          <t>Eyeliner</t>
        </is>
      </c>
      <c r="D23713" t="inlineStr">
        <is>
          <t>Urban Decay</t>
        </is>
      </c>
      <c r="E23713" t="n">
        <v>25.7</v>
      </c>
      <c r="F23713" t="n">
        <v>1</v>
      </c>
      <c r="G23713" t="n">
        <v>5</v>
      </c>
      <c r="H23713" s="5">
        <f>HYPERLINK("https://api.qogita.com/variants/link/3605972789471/", "View Product")</f>
        <v/>
      </c>
    </row>
    <row r="23714">
      <c r="A23714" t="inlineStr">
        <is>
          <t>3605972791313</t>
        </is>
      </c>
      <c r="B23714" t="inlineStr">
        <is>
          <t>Kiehl's Ultra Pure 15 Hyaluronic Highpotency Acid Serum 30 Ml</t>
        </is>
      </c>
      <c r="C23714" t="inlineStr">
        <is>
          <t>Hyaluronic Acid Serum</t>
        </is>
      </c>
      <c r="D23714" t="inlineStr">
        <is>
          <t>Kiehl's</t>
        </is>
      </c>
      <c r="E23714" t="n">
        <v>31.77</v>
      </c>
      <c r="F23714" t="n">
        <v>1</v>
      </c>
      <c r="G23714" t="n">
        <v>5</v>
      </c>
      <c r="H23714" s="5">
        <f>HYPERLINK("https://api.qogita.com/variants/link/3605972791313/", "View Product")</f>
        <v/>
      </c>
    </row>
    <row r="23715">
      <c r="A23715" t="inlineStr">
        <is>
          <t>3605972828583</t>
        </is>
      </c>
      <c r="B23715" t="inlineStr">
        <is>
          <t>Urban Decay Naked Chill Happy Eyeshadow Palette Mini Eyeshadow Palette 475 G</t>
        </is>
      </c>
      <c r="C23715" t="inlineStr">
        <is>
          <t>Eye Sets &amp; Pallets</t>
        </is>
      </c>
      <c r="D23715" t="inlineStr">
        <is>
          <t>Urban Decay</t>
        </is>
      </c>
      <c r="E23715" t="n">
        <v>31.94</v>
      </c>
      <c r="F23715" t="n">
        <v>1</v>
      </c>
      <c r="G23715" t="n">
        <v>3</v>
      </c>
      <c r="H23715" s="5">
        <f>HYPERLINK("https://api.qogita.com/variants/link/3605972828583/", "View Product")</f>
        <v/>
      </c>
    </row>
    <row r="23716">
      <c r="A23716" t="inlineStr">
        <is>
          <t>3605972828606</t>
        </is>
      </c>
      <c r="B23716" t="inlineStr">
        <is>
          <t>Urban Decay Naked Mad Happy Palette Mini Eyeshadow Palette 475 G</t>
        </is>
      </c>
      <c r="C23716" t="inlineStr">
        <is>
          <t>Eye Sets &amp; Pallets</t>
        </is>
      </c>
      <c r="D23716" t="inlineStr">
        <is>
          <t>Urban Decay</t>
        </is>
      </c>
      <c r="E23716" t="n">
        <v>36.89</v>
      </c>
      <c r="F23716" t="n">
        <v>1</v>
      </c>
      <c r="G23716" t="n">
        <v>3</v>
      </c>
      <c r="H23716" s="5">
        <f>HYPERLINK("https://api.qogita.com/variants/link/3605972828606/", "View Product")</f>
        <v/>
      </c>
    </row>
    <row r="23717">
      <c r="A23717" t="inlineStr">
        <is>
          <t>3605972852205</t>
        </is>
      </c>
      <c r="B23717" t="inlineStr">
        <is>
          <t>Kiehl's Invisible Liquid Acne Patch Truly Targeted Blemish-Clearing Solution - 15 Ml</t>
        </is>
      </c>
      <c r="C23717" t="inlineStr">
        <is>
          <t>Pimple &amp; Blackhead Treatments</t>
        </is>
      </c>
      <c r="D23717" t="inlineStr">
        <is>
          <t>Kiehl's</t>
        </is>
      </c>
      <c r="E23717" t="n">
        <v>31.28</v>
      </c>
      <c r="F23717" t="n">
        <v>1</v>
      </c>
      <c r="G23717" t="n">
        <v>4</v>
      </c>
      <c r="H23717" s="5">
        <f>HYPERLINK("https://api.qogita.com/variants/link/3605972852205/", "View Product")</f>
        <v/>
      </c>
    </row>
    <row r="23718">
      <c r="A23718" t="inlineStr">
        <is>
          <t>3605972910240</t>
        </is>
      </c>
      <c r="B23718" t="inlineStr">
        <is>
          <t>Ralph Lauren Polo 67 Eau De Toilette Spray 125 Ml</t>
        </is>
      </c>
      <c r="C23718" t="inlineStr">
        <is>
          <t>Eau De Toilette</t>
        </is>
      </c>
      <c r="D23718" t="inlineStr">
        <is>
          <t>Ralph Lauren</t>
        </is>
      </c>
      <c r="E23718" t="n">
        <v>45.19</v>
      </c>
      <c r="F23718" t="n">
        <v>1</v>
      </c>
      <c r="G23718" t="n">
        <v>18</v>
      </c>
      <c r="H23718" s="5">
        <f>HYPERLINK("https://api.qogita.com/variants/link/3605972910240/", "View Product")</f>
        <v/>
      </c>
    </row>
    <row r="23719">
      <c r="A23719" t="inlineStr">
        <is>
          <t>3605972968661</t>
        </is>
      </c>
      <c r="B23719" t="inlineStr">
        <is>
          <t>Ralph Lauren Ralph's Club Eau De Parfum Spray Set 100ml 30ml</t>
        </is>
      </c>
      <c r="C23719" t="inlineStr">
        <is>
          <t>Fragrance Sets</t>
        </is>
      </c>
      <c r="D23719" t="inlineStr">
        <is>
          <t>Ralph Lauren</t>
        </is>
      </c>
      <c r="E23719" t="n">
        <v>52.64</v>
      </c>
      <c r="F23719" t="n">
        <v>1</v>
      </c>
      <c r="G23719" t="n">
        <v>62</v>
      </c>
      <c r="H23719" s="5">
        <f>HYPERLINK("https://api.qogita.com/variants/link/3605972968661/", "View Product")</f>
        <v/>
      </c>
    </row>
    <row r="23720">
      <c r="A23720" t="inlineStr">
        <is>
          <t>3605972980908</t>
        </is>
      </c>
      <c r="B23720" t="inlineStr">
        <is>
          <t>Kiehl's Shave It Off &amp; Take Off Gift Set</t>
        </is>
      </c>
      <c r="C23720" t="inlineStr">
        <is>
          <t>Shaving Sets</t>
        </is>
      </c>
      <c r="D23720" t="inlineStr">
        <is>
          <t>Kiehl's</t>
        </is>
      </c>
      <c r="E23720" t="n">
        <v>53.13</v>
      </c>
      <c r="F23720" t="n">
        <v>1</v>
      </c>
      <c r="G23720" t="n">
        <v>10</v>
      </c>
      <c r="H23720" s="5">
        <f>HYPERLINK("https://api.qogita.com/variants/link/3605972980908/", "View Product")</f>
        <v/>
      </c>
    </row>
    <row r="23721">
      <c r="A23721" t="inlineStr">
        <is>
          <t>3605973003781</t>
        </is>
      </c>
      <c r="B23721" t="inlineStr">
        <is>
          <t>Urban Decay 24/7 Waterproof Waterline Eyeliner Pencil Smudge-Resistant</t>
        </is>
      </c>
      <c r="C23721" t="inlineStr">
        <is>
          <t>Eyeliner</t>
        </is>
      </c>
      <c r="D23721" t="inlineStr">
        <is>
          <t>Urban Decay</t>
        </is>
      </c>
      <c r="E23721" t="n">
        <v>12.64</v>
      </c>
      <c r="F23721" t="n">
        <v>1</v>
      </c>
      <c r="G23721" t="n">
        <v>3</v>
      </c>
      <c r="H23721" s="5">
        <f>HYPERLINK("https://api.qogita.com/variants/link/3605973003781/", "View Product")</f>
        <v/>
      </c>
    </row>
    <row r="23722">
      <c r="A23722" t="inlineStr">
        <is>
          <t>3605973003828</t>
        </is>
      </c>
      <c r="B23722" t="inlineStr">
        <is>
          <t>Urban Decay 24/7 Waterproof Waterline Eyeliner Pencil Smudge-Resistant</t>
        </is>
      </c>
      <c r="C23722" t="inlineStr">
        <is>
          <t>Eyeliner</t>
        </is>
      </c>
      <c r="D23722" t="inlineStr">
        <is>
          <t>Urban Decay</t>
        </is>
      </c>
      <c r="E23722" t="n">
        <v>12.62</v>
      </c>
      <c r="F23722" t="n">
        <v>1</v>
      </c>
      <c r="G23722" t="n">
        <v>5</v>
      </c>
      <c r="H23722" s="5">
        <f>HYPERLINK("https://api.qogita.com/variants/link/3605973003828/", "View Product")</f>
        <v/>
      </c>
    </row>
    <row r="23723">
      <c r="A23723" t="inlineStr">
        <is>
          <t>3605975028898</t>
        </is>
      </c>
      <c r="B23723" t="inlineStr">
        <is>
          <t>Kiehl's Sunflower Color Preserving Shampoo 250ml</t>
        </is>
      </c>
      <c r="C23723" t="inlineStr">
        <is>
          <t>Shampoo</t>
        </is>
      </c>
      <c r="D23723" t="inlineStr">
        <is>
          <t>Kiehl's</t>
        </is>
      </c>
      <c r="E23723" t="n">
        <v>21.63</v>
      </c>
      <c r="F23723" t="n">
        <v>1</v>
      </c>
      <c r="G23723" t="n">
        <v>2</v>
      </c>
      <c r="H23723" s="5">
        <f>HYPERLINK("https://api.qogita.com/variants/link/3605975028898/", "View Product")</f>
        <v/>
      </c>
    </row>
    <row r="23724">
      <c r="A23724" t="inlineStr">
        <is>
          <t>3605975053920</t>
        </is>
      </c>
      <c r="B23724" t="inlineStr">
        <is>
          <t>Kiehl's Midnight Recovery Concentrate Night Regenerating Oil Serum 30ml For Fresh Skin Look</t>
        </is>
      </c>
      <c r="C23724" t="inlineStr">
        <is>
          <t>Glow Serum</t>
        </is>
      </c>
      <c r="D23724" t="inlineStr">
        <is>
          <t>Kiehl's</t>
        </is>
      </c>
      <c r="E23724" t="n">
        <v>44.83</v>
      </c>
      <c r="F23724" t="n">
        <v>1</v>
      </c>
      <c r="G23724" t="n">
        <v>7</v>
      </c>
      <c r="H23724" s="5">
        <f>HYPERLINK("https://api.qogita.com/variants/link/3605975053920/", "View Product")</f>
        <v/>
      </c>
    </row>
    <row r="23725">
      <c r="A23725" t="inlineStr">
        <is>
          <t>3605975062489</t>
        </is>
      </c>
      <c r="B23725" t="inlineStr">
        <is>
          <t>Ralph Lauren The Big Pony For Women 2 Eau De Toilette 50ml</t>
        </is>
      </c>
      <c r="C23725" t="inlineStr">
        <is>
          <t>Eau De Toilette</t>
        </is>
      </c>
      <c r="D23725" t="inlineStr">
        <is>
          <t>Ralph Lauren</t>
        </is>
      </c>
      <c r="E23725" t="n">
        <v>18.91</v>
      </c>
      <c r="F23725" t="n">
        <v>1</v>
      </c>
      <c r="G23725" t="n">
        <v>455</v>
      </c>
      <c r="H23725" s="5">
        <f>HYPERLINK("https://api.qogita.com/variants/link/3605975062489/", "View Product")</f>
        <v/>
      </c>
    </row>
    <row r="23726">
      <c r="A23726" t="inlineStr">
        <is>
          <t>3606000463622</t>
        </is>
      </c>
      <c r="B23726" t="inlineStr">
        <is>
          <t>SkinCeuticals Cleanse Soothing Cleanser Foam 150ml</t>
        </is>
      </c>
      <c r="C23726" t="inlineStr">
        <is>
          <t>Cleansing Foam</t>
        </is>
      </c>
      <c r="D23726" t="inlineStr">
        <is>
          <t>Skinceuticals</t>
        </is>
      </c>
      <c r="E23726" t="n">
        <v>44.67</v>
      </c>
      <c r="F23726" t="n">
        <v>1</v>
      </c>
      <c r="G23726" t="n">
        <v>2</v>
      </c>
      <c r="H23726" s="5">
        <f>HYPERLINK("https://api.qogita.com/variants/link/3606000463622/", "View Product")</f>
        <v/>
      </c>
    </row>
    <row r="23727">
      <c r="A23727" t="inlineStr">
        <is>
          <t>3606000471269</t>
        </is>
      </c>
      <c r="B23727" t="inlineStr">
        <is>
          <t>Skinceuticals Equalizing Toner - 200ml</t>
        </is>
      </c>
      <c r="C23727" t="inlineStr">
        <is>
          <t>Facial Spray</t>
        </is>
      </c>
      <c r="D23727" t="inlineStr">
        <is>
          <t>Skinceuticals</t>
        </is>
      </c>
      <c r="E23727" t="n">
        <v>50.2</v>
      </c>
      <c r="F23727" t="n">
        <v>1</v>
      </c>
      <c r="G23727" t="n">
        <v>2</v>
      </c>
      <c r="H23727" s="5">
        <f>HYPERLINK("https://api.qogita.com/variants/link/3606000471269/", "View Product")</f>
        <v/>
      </c>
    </row>
    <row r="23728">
      <c r="A23728" t="inlineStr">
        <is>
          <t>3606000551954</t>
        </is>
      </c>
      <c r="B23728" t="inlineStr">
        <is>
          <t>Cerave Moisturizing Cream for Body and Face with Pump Dispenser for Dry Skin</t>
        </is>
      </c>
      <c r="C23728" t="inlineStr">
        <is>
          <t>Body Lotion</t>
        </is>
      </c>
      <c r="D23728" t="inlineStr">
        <is>
          <t>CeraVe</t>
        </is>
      </c>
      <c r="E23728" t="n">
        <v>17.97</v>
      </c>
      <c r="F23728" t="n">
        <v>1</v>
      </c>
      <c r="G23728" t="n">
        <v>63</v>
      </c>
      <c r="H23728" s="5">
        <f>HYPERLINK("https://api.qogita.com/variants/link/3606000551954/", "View Product")</f>
        <v/>
      </c>
    </row>
    <row r="23729">
      <c r="A23729" t="inlineStr">
        <is>
          <t>3606000560833</t>
        </is>
      </c>
      <c r="B23729" t="inlineStr">
        <is>
          <t>Cerave Moisturizing Face Serum With Hyaluronic Acid 30ml</t>
        </is>
      </c>
      <c r="C23729" t="inlineStr">
        <is>
          <t>Hyaluronic Acid Serum</t>
        </is>
      </c>
      <c r="D23729" t="inlineStr">
        <is>
          <t>CeraVe</t>
        </is>
      </c>
      <c r="E23729" t="n">
        <v>18.27</v>
      </c>
      <c r="F23729" t="n">
        <v>1</v>
      </c>
      <c r="G23729" t="n">
        <v>6</v>
      </c>
      <c r="H23729" s="5">
        <f>HYPERLINK("https://api.qogita.com/variants/link/3606000560833/", "View Product")</f>
        <v/>
      </c>
    </row>
    <row r="23730">
      <c r="A23730" t="inlineStr">
        <is>
          <t>3607340725845</t>
        </is>
      </c>
      <c r="B23730" t="inlineStr">
        <is>
          <t>Team Force Shower Gel 250ml</t>
        </is>
      </c>
      <c r="C23730" t="inlineStr">
        <is>
          <t>Shower Gel</t>
        </is>
      </c>
      <c r="D23730" t="inlineStr">
        <is>
          <t>Team Force</t>
        </is>
      </c>
      <c r="E23730" t="n">
        <v>3.29</v>
      </c>
      <c r="F23730" t="n">
        <v>1</v>
      </c>
      <c r="G23730" t="n">
        <v>4</v>
      </c>
      <c r="H23730" s="5">
        <f>HYPERLINK("https://api.qogita.com/variants/link/3607340725845/", "View Product")</f>
        <v/>
      </c>
    </row>
    <row r="23731">
      <c r="A23731" t="inlineStr">
        <is>
          <t>3607341046734</t>
        </is>
      </c>
      <c r="B23731" t="inlineStr">
        <is>
          <t>Jovan Black Musk Eau De Cologne Spray 88ml</t>
        </is>
      </c>
      <c r="C23731" t="inlineStr">
        <is>
          <t>Eau De Cologne</t>
        </is>
      </c>
      <c r="D23731" t="inlineStr">
        <is>
          <t>Jovan</t>
        </is>
      </c>
      <c r="E23731" t="n">
        <v>9.49</v>
      </c>
      <c r="F23731" t="n">
        <v>1</v>
      </c>
      <c r="G23731" t="n">
        <v>16</v>
      </c>
      <c r="H23731" s="5">
        <f>HYPERLINK("https://api.qogita.com/variants/link/3607341046734/", "View Product")</f>
        <v/>
      </c>
    </row>
    <row r="23732">
      <c r="A23732" t="inlineStr">
        <is>
          <t>3607341471727</t>
        </is>
      </c>
      <c r="B23732" t="inlineStr">
        <is>
          <t>Calvin Klein Eternity Eau De Toilette for Him Woody-Aromatic Men's Fragrance</t>
        </is>
      </c>
      <c r="C23732" t="inlineStr">
        <is>
          <t>Eau De Toilette</t>
        </is>
      </c>
      <c r="D23732" t="inlineStr">
        <is>
          <t>Calvin Klein</t>
        </is>
      </c>
      <c r="E23732" t="n">
        <v>37.73</v>
      </c>
      <c r="F23732" t="n">
        <v>1</v>
      </c>
      <c r="G23732" t="n">
        <v>35</v>
      </c>
      <c r="H23732" s="5">
        <f>HYPERLINK("https://api.qogita.com/variants/link/3607341471727/", "View Product")</f>
        <v/>
      </c>
    </row>
    <row r="23733">
      <c r="A23733" t="inlineStr">
        <is>
          <t>3607342166875</t>
        </is>
      </c>
      <c r="B23733" t="inlineStr">
        <is>
          <t>Vera Wang Lovestruck Eau De Parfum Spray 100ml</t>
        </is>
      </c>
      <c r="C23733" t="inlineStr">
        <is>
          <t>Eau De Parfum</t>
        </is>
      </c>
      <c r="D23733" t="inlineStr">
        <is>
          <t>Vera Wang</t>
        </is>
      </c>
      <c r="E23733" t="n">
        <v>17.52</v>
      </c>
      <c r="F23733" t="n">
        <v>1</v>
      </c>
      <c r="G23733" t="n">
        <v>16</v>
      </c>
      <c r="H23733" s="5">
        <f>HYPERLINK("https://api.qogita.com/variants/link/3607342166875/", "View Product")</f>
        <v/>
      </c>
    </row>
    <row r="23734">
      <c r="A23734" t="inlineStr">
        <is>
          <t>3607342221208</t>
        </is>
      </c>
      <c r="B23734" t="inlineStr">
        <is>
          <t>Marc Jacobs Daisy Eau So Fresh Eau De Toilette Spray 125ml</t>
        </is>
      </c>
      <c r="C23734" t="inlineStr">
        <is>
          <t>Eau De Toilette</t>
        </is>
      </c>
      <c r="D23734" t="inlineStr">
        <is>
          <t>Marc Jacobs</t>
        </is>
      </c>
      <c r="E23734" t="n">
        <v>54.04</v>
      </c>
      <c r="F23734" t="n">
        <v>1</v>
      </c>
      <c r="G23734" t="n">
        <v>9</v>
      </c>
      <c r="H23734" s="5">
        <f>HYPERLINK("https://api.qogita.com/variants/link/3607342221208/", "View Product")</f>
        <v/>
      </c>
    </row>
    <row r="23735">
      <c r="A23735" t="inlineStr">
        <is>
          <t>3607342306134</t>
        </is>
      </c>
      <c r="B23735" t="inlineStr">
        <is>
          <t>Calvin Klein Sheer Beauty Eau De Toilette 100 Ml</t>
        </is>
      </c>
      <c r="C23735" t="inlineStr">
        <is>
          <t>Eau De Toilette</t>
        </is>
      </c>
      <c r="D23735" t="inlineStr">
        <is>
          <t>Calvin Klein</t>
        </is>
      </c>
      <c r="E23735" t="n">
        <v>22.32</v>
      </c>
      <c r="F23735" t="n">
        <v>1</v>
      </c>
      <c r="G23735" t="n">
        <v>110</v>
      </c>
      <c r="H23735" s="5">
        <f>HYPERLINK("https://api.qogita.com/variants/link/3607342306134/", "View Product")</f>
        <v/>
      </c>
    </row>
    <row r="23736">
      <c r="A23736" t="inlineStr">
        <is>
          <t>3607342489745</t>
        </is>
      </c>
      <c r="B23736" t="inlineStr">
        <is>
          <t>Madonna Truth or Dare Shower Gel 200ml</t>
        </is>
      </c>
      <c r="C23736" t="inlineStr">
        <is>
          <t>Shower Gel</t>
        </is>
      </c>
      <c r="D23736" t="inlineStr">
        <is>
          <t>Coty</t>
        </is>
      </c>
      <c r="E23736" t="n">
        <v>4.45</v>
      </c>
      <c r="F23736" t="n">
        <v>1</v>
      </c>
      <c r="G23736" t="n">
        <v>22</v>
      </c>
      <c r="H23736" s="5">
        <f>HYPERLINK("https://api.qogita.com/variants/link/3607342489745/", "View Product")</f>
        <v/>
      </c>
    </row>
    <row r="23737">
      <c r="A23737" t="inlineStr">
        <is>
          <t>3607342838031</t>
        </is>
      </c>
      <c r="B23737" t="inlineStr">
        <is>
          <t>Calvin Klein Reveal Men Eau De Toilette 30ml Men's Fragrance Spray</t>
        </is>
      </c>
      <c r="C23737" t="inlineStr">
        <is>
          <t>Eau De Toilette</t>
        </is>
      </c>
      <c r="D23737" t="inlineStr">
        <is>
          <t>Calvin Klein</t>
        </is>
      </c>
      <c r="E23737" t="n">
        <v>15.34</v>
      </c>
      <c r="F23737" t="n">
        <v>1</v>
      </c>
      <c r="G23737" t="n">
        <v>59</v>
      </c>
      <c r="H23737" s="5">
        <f>HYPERLINK("https://api.qogita.com/variants/link/3607342838031/", "View Product")</f>
        <v/>
      </c>
    </row>
    <row r="23738">
      <c r="A23738" t="inlineStr">
        <is>
          <t>3607343820318</t>
        </is>
      </c>
      <c r="B23738" t="inlineStr">
        <is>
          <t>Katy Perry Mad Potion Eau De Parfum 100ml For Women</t>
        </is>
      </c>
      <c r="C23738" t="inlineStr">
        <is>
          <t>Eau De Parfum</t>
        </is>
      </c>
      <c r="D23738" t="inlineStr">
        <is>
          <t>Katy Perry</t>
        </is>
      </c>
      <c r="E23738" t="n">
        <v>21.82</v>
      </c>
      <c r="F23738" t="n">
        <v>1</v>
      </c>
      <c r="G23738" t="n">
        <v>8</v>
      </c>
      <c r="H23738" s="5">
        <f>HYPERLINK("https://api.qogita.com/variants/link/3607343820318/", "View Product")</f>
        <v/>
      </c>
    </row>
    <row r="23739">
      <c r="A23739" t="inlineStr">
        <is>
          <t>3607345064543</t>
        </is>
      </c>
      <c r="B23739" t="inlineStr">
        <is>
          <t>Rimmel London Stay Matte Matte Pressed Powder 005 Silky Beige 14 G</t>
        </is>
      </c>
      <c r="C23739" t="inlineStr">
        <is>
          <t>Powder</t>
        </is>
      </c>
      <c r="D23739" t="inlineStr">
        <is>
          <t>Rimmel London</t>
        </is>
      </c>
      <c r="E23739" t="n">
        <v>2.33</v>
      </c>
      <c r="F23739" t="n">
        <v>1</v>
      </c>
      <c r="G23739" t="n">
        <v>23</v>
      </c>
      <c r="H23739" s="5">
        <f>HYPERLINK("https://api.qogita.com/variants/link/3607345064543/", "View Product")</f>
        <v/>
      </c>
    </row>
    <row r="23740">
      <c r="A23740" t="inlineStr">
        <is>
          <t>3607345809915</t>
        </is>
      </c>
      <c r="B23740" t="inlineStr">
        <is>
          <t>Joop Joop Homme Eau De Toilette Spray 200ml For Men</t>
        </is>
      </c>
      <c r="C23740" t="inlineStr">
        <is>
          <t>Eau De Toilette</t>
        </is>
      </c>
      <c r="D23740" t="inlineStr">
        <is>
          <t>Joop!</t>
        </is>
      </c>
      <c r="E23740" t="n">
        <v>23.99</v>
      </c>
      <c r="F23740" t="n">
        <v>1</v>
      </c>
      <c r="G23740" t="n">
        <v>127</v>
      </c>
      <c r="H23740" s="5">
        <f>HYPERLINK("https://api.qogita.com/variants/link/3607345809915/", "View Product")</f>
        <v/>
      </c>
    </row>
    <row r="23741">
      <c r="A23741" t="inlineStr">
        <is>
          <t>3607349153168</t>
        </is>
      </c>
      <c r="B23741" t="inlineStr">
        <is>
          <t>Jil Sander Sun Eau de Toilette 200ml</t>
        </is>
      </c>
      <c r="C23741" t="inlineStr">
        <is>
          <t>Eau De Toilette</t>
        </is>
      </c>
      <c r="D23741" t="inlineStr">
        <is>
          <t>Jil Sander</t>
        </is>
      </c>
      <c r="E23741" t="n">
        <v>28.39</v>
      </c>
      <c r="F23741" t="n">
        <v>1</v>
      </c>
      <c r="G23741" t="n">
        <v>1368</v>
      </c>
      <c r="H23741" s="5">
        <f>HYPERLINK("https://api.qogita.com/variants/link/3607349153168/", "View Product")</f>
        <v/>
      </c>
    </row>
    <row r="23742">
      <c r="A23742" t="inlineStr">
        <is>
          <t>3607349630539</t>
        </is>
      </c>
      <c r="B23742" t="inlineStr">
        <is>
          <t>Calvin Klein Eternity Aqua For Men Eau De Toilette</t>
        </is>
      </c>
      <c r="C23742" t="inlineStr">
        <is>
          <t>Eau De Toilette</t>
        </is>
      </c>
      <c r="D23742" t="inlineStr">
        <is>
          <t>Calvin Klein</t>
        </is>
      </c>
      <c r="E23742" t="n">
        <v>9.4</v>
      </c>
      <c r="F23742" t="n">
        <v>1</v>
      </c>
      <c r="G23742" t="n">
        <v>170</v>
      </c>
      <c r="H23742" s="5">
        <f>HYPERLINK("https://api.qogita.com/variants/link/3607349630539/", "View Product")</f>
        <v/>
      </c>
    </row>
    <row r="23743">
      <c r="A23743" t="inlineStr">
        <is>
          <t>3607349828004</t>
        </is>
      </c>
      <c r="B23743" t="inlineStr">
        <is>
          <t>Nautica N-83 Eau de Toilette Spray 1.0 fl oz</t>
        </is>
      </c>
      <c r="C23743" t="inlineStr">
        <is>
          <t>Eau De Toilette</t>
        </is>
      </c>
      <c r="D23743" t="inlineStr">
        <is>
          <t>Nautica</t>
        </is>
      </c>
      <c r="E23743" t="n">
        <v>7.12</v>
      </c>
      <c r="F23743" t="n">
        <v>1</v>
      </c>
      <c r="G23743" t="n">
        <v>221</v>
      </c>
      <c r="H23743" s="5">
        <f>HYPERLINK("https://api.qogita.com/variants/link/3607349828004/", "View Product")</f>
        <v/>
      </c>
    </row>
    <row r="23744">
      <c r="A23744" t="inlineStr">
        <is>
          <t>3612345680532</t>
        </is>
      </c>
      <c r="B23744" t="inlineStr">
        <is>
          <t>Vertus Chaos Eau De Parfum</t>
        </is>
      </c>
      <c r="C23744" t="inlineStr">
        <is>
          <t>Eau De Parfum</t>
        </is>
      </c>
      <c r="D23744" t="inlineStr">
        <is>
          <t>Vertus</t>
        </is>
      </c>
      <c r="E23744" t="n">
        <v>132.32</v>
      </c>
      <c r="F23744" t="n">
        <v>1</v>
      </c>
      <c r="G23744" t="n">
        <v>160</v>
      </c>
      <c r="H23744" s="5">
        <f>HYPERLINK("https://api.qogita.com/variants/link/3612345680532/", "View Product")</f>
        <v/>
      </c>
    </row>
    <row r="23745">
      <c r="A23745" t="inlineStr">
        <is>
          <t>3613042123124</t>
        </is>
      </c>
      <c r="B23745" t="inlineStr">
        <is>
          <t>24 Elixir Neroli EDP Spray 100ml</t>
        </is>
      </c>
      <c r="C23745" t="inlineStr">
        <is>
          <t>Eau De Parfum</t>
        </is>
      </c>
      <c r="D23745" t="inlineStr">
        <is>
          <t>Scentstory</t>
        </is>
      </c>
      <c r="E23745" t="n">
        <v>31.79</v>
      </c>
      <c r="F23745" t="n">
        <v>1</v>
      </c>
      <c r="G23745" t="n">
        <v>5</v>
      </c>
      <c r="H23745" s="5">
        <f>HYPERLINK("https://api.qogita.com/variants/link/3613042123124/", "View Product")</f>
        <v/>
      </c>
    </row>
    <row r="23746">
      <c r="A23746" t="inlineStr">
        <is>
          <t>3614220904740</t>
        </is>
      </c>
      <c r="B23746" t="inlineStr">
        <is>
          <t>Marc Jacobs Daisy Dream Forever Eau De Toilette 50ml Women Spray</t>
        </is>
      </c>
      <c r="C23746" t="inlineStr">
        <is>
          <t>Eau De Toilette</t>
        </is>
      </c>
      <c r="D23746" t="inlineStr">
        <is>
          <t>Marc Jacobs</t>
        </is>
      </c>
      <c r="E23746" t="n">
        <v>37.46</v>
      </c>
      <c r="F23746" t="n">
        <v>1</v>
      </c>
      <c r="G23746" t="n">
        <v>2</v>
      </c>
      <c r="H23746" s="5">
        <f>HYPERLINK("https://api.qogita.com/variants/link/3614220904740/", "View Product")</f>
        <v/>
      </c>
    </row>
    <row r="23747">
      <c r="A23747" t="inlineStr">
        <is>
          <t>3614221537763</t>
        </is>
      </c>
      <c r="B23747" t="inlineStr">
        <is>
          <t>Calvin Klein Ck One Gold Eau De Toilette Spray 100ml</t>
        </is>
      </c>
      <c r="C23747" t="inlineStr">
        <is>
          <t>Eau De Toilette</t>
        </is>
      </c>
      <c r="D23747" t="inlineStr">
        <is>
          <t>Calvin Klein</t>
        </is>
      </c>
      <c r="E23747" t="n">
        <v>19.19</v>
      </c>
      <c r="F23747" t="n">
        <v>1</v>
      </c>
      <c r="G23747" t="n">
        <v>16</v>
      </c>
      <c r="H23747" s="5">
        <f>HYPERLINK("https://api.qogita.com/variants/link/3614221537763/", "View Product")</f>
        <v/>
      </c>
    </row>
    <row r="23748">
      <c r="A23748" t="inlineStr">
        <is>
          <t>3614221758786</t>
        </is>
      </c>
      <c r="B23748" t="inlineStr">
        <is>
          <t>Nautica Voyage Sport Eau De Toilette Spray 100ml</t>
        </is>
      </c>
      <c r="C23748" t="inlineStr">
        <is>
          <t>Eau De Toilette</t>
        </is>
      </c>
      <c r="D23748" t="inlineStr">
        <is>
          <t>Nautica</t>
        </is>
      </c>
      <c r="E23748" t="n">
        <v>12.62</v>
      </c>
      <c r="F23748" t="n">
        <v>1</v>
      </c>
      <c r="G23748" t="n">
        <v>27</v>
      </c>
      <c r="H23748" s="5">
        <f>HYPERLINK("https://api.qogita.com/variants/link/3614221758786/", "View Product")</f>
        <v/>
      </c>
    </row>
    <row r="23749">
      <c r="A23749" t="inlineStr">
        <is>
          <t>3614222155409</t>
        </is>
      </c>
      <c r="B23749" t="inlineStr">
        <is>
          <t>Calvin Klein Gold Eau De Toilette 200ml Unisex Spray</t>
        </is>
      </c>
      <c r="C23749" t="inlineStr">
        <is>
          <t>Eau De Toilette</t>
        </is>
      </c>
      <c r="D23749" t="inlineStr">
        <is>
          <t>Calvin Klein</t>
        </is>
      </c>
      <c r="E23749" t="n">
        <v>31.69</v>
      </c>
      <c r="F23749" t="n">
        <v>1</v>
      </c>
      <c r="G23749" t="n">
        <v>29</v>
      </c>
      <c r="H23749" s="5">
        <f>HYPERLINK("https://api.qogita.com/variants/link/3614222155409/", "View Product")</f>
        <v/>
      </c>
    </row>
    <row r="23750">
      <c r="A23750" t="inlineStr">
        <is>
          <t>3614222178811</t>
        </is>
      </c>
      <c r="B23750" t="inlineStr">
        <is>
          <t>Sun Men by Jil Sander Fizz Fresh All Over Shampoo 150ml</t>
        </is>
      </c>
      <c r="C23750" t="inlineStr">
        <is>
          <t>Shampoo</t>
        </is>
      </c>
      <c r="D23750" t="inlineStr">
        <is>
          <t>Jil Sander</t>
        </is>
      </c>
      <c r="E23750" t="n">
        <v>5.81</v>
      </c>
      <c r="F23750" t="n">
        <v>1</v>
      </c>
      <c r="G23750" t="n">
        <v>54</v>
      </c>
      <c r="H23750" s="5">
        <f>HYPERLINK("https://api.qogita.com/variants/link/3614222178811/", "View Product")</f>
        <v/>
      </c>
    </row>
    <row r="23751">
      <c r="A23751" t="inlineStr">
        <is>
          <t>3614222595526</t>
        </is>
      </c>
      <c r="B23751" t="inlineStr">
        <is>
          <t>Rimmel Scandaleyes Reloaded 001 Black Mascara 12ml</t>
        </is>
      </c>
      <c r="C23751" t="inlineStr">
        <is>
          <t>Mascara</t>
        </is>
      </c>
      <c r="D23751" t="inlineStr">
        <is>
          <t>Rimmel London</t>
        </is>
      </c>
      <c r="E23751" t="n">
        <v>3.62</v>
      </c>
      <c r="F23751" t="n">
        <v>1</v>
      </c>
      <c r="G23751" t="n">
        <v>3</v>
      </c>
      <c r="H23751" s="5">
        <f>HYPERLINK("https://api.qogita.com/variants/link/3614222595526/", "View Product")</f>
        <v/>
      </c>
    </row>
    <row r="23752">
      <c r="A23752" t="inlineStr">
        <is>
          <t>3614222899198</t>
        </is>
      </c>
      <c r="B23752" t="inlineStr">
        <is>
          <t>Lancaster Skin Life Daily UV Shield Broad Pollution Defense SPF50 30 ml</t>
        </is>
      </c>
      <c r="C23752" t="inlineStr">
        <is>
          <t>Face Sun Protection</t>
        </is>
      </c>
      <c r="D23752" t="inlineStr">
        <is>
          <t>Lancaster</t>
        </is>
      </c>
      <c r="E23752" t="n">
        <v>11.55</v>
      </c>
      <c r="F23752" t="n">
        <v>1</v>
      </c>
      <c r="G23752" t="n">
        <v>14</v>
      </c>
      <c r="H23752" s="5">
        <f>HYPERLINK("https://api.qogita.com/variants/link/3614222899198/", "View Product")</f>
        <v/>
      </c>
    </row>
    <row r="23753">
      <c r="A23753" t="inlineStr">
        <is>
          <t>3614222915706</t>
        </is>
      </c>
      <c r="B23753" t="inlineStr">
        <is>
          <t>Rimmel Bb Cream 9in1 Spf15 Confusing Bb Cream Very Light 30 Ml</t>
        </is>
      </c>
      <c r="C23753" t="inlineStr">
        <is>
          <t>Bb Cream &amp; Cc Cream</t>
        </is>
      </c>
      <c r="D23753" t="inlineStr">
        <is>
          <t>Rimmel London</t>
        </is>
      </c>
      <c r="E23753" t="n">
        <v>5.15</v>
      </c>
      <c r="F23753" t="n">
        <v>1</v>
      </c>
      <c r="G23753" t="n">
        <v>16</v>
      </c>
      <c r="H23753" s="5">
        <f>HYPERLINK("https://api.qogita.com/variants/link/3614222915706/", "View Product")</f>
        <v/>
      </c>
    </row>
    <row r="23754">
      <c r="A23754" t="inlineStr">
        <is>
          <t>3614223111565</t>
        </is>
      </c>
      <c r="B23754" t="inlineStr">
        <is>
          <t>Chlo Nomade Eau De Parfum Spray 50ml</t>
        </is>
      </c>
      <c r="C23754" t="inlineStr">
        <is>
          <t>Eau De Parfum</t>
        </is>
      </c>
      <c r="D23754" t="inlineStr">
        <is>
          <t>Chloé</t>
        </is>
      </c>
      <c r="E23754" t="n">
        <v>49.36</v>
      </c>
      <c r="F23754" t="n">
        <v>1</v>
      </c>
      <c r="G23754" t="n">
        <v>8</v>
      </c>
      <c r="H23754" s="5">
        <f>HYPERLINK("https://api.qogita.com/variants/link/3614223111565/", "View Product")</f>
        <v/>
      </c>
    </row>
    <row r="23755">
      <c r="A23755" t="inlineStr">
        <is>
          <t>3614223379897</t>
        </is>
      </c>
      <c r="B23755" t="inlineStr">
        <is>
          <t>Davidoff Cool Water Wave Eau De Toilette 40ml Men Spray</t>
        </is>
      </c>
      <c r="C23755" t="inlineStr">
        <is>
          <t>Eau De Toilette</t>
        </is>
      </c>
      <c r="D23755" t="inlineStr">
        <is>
          <t>Davidoff</t>
        </is>
      </c>
      <c r="E23755" t="n">
        <v>13.17</v>
      </c>
      <c r="F23755" t="n">
        <v>1</v>
      </c>
      <c r="G23755" t="n">
        <v>7</v>
      </c>
      <c r="H23755" s="5">
        <f>HYPERLINK("https://api.qogita.com/variants/link/3614223379897/", "View Product")</f>
        <v/>
      </c>
    </row>
    <row r="23756">
      <c r="A23756" t="inlineStr">
        <is>
          <t>3614223912124</t>
        </is>
      </c>
      <c r="B23756" t="inlineStr">
        <is>
          <t>Bourjois Khol &amp; Contour Eye Pencil Extra-Long Wear 003 Misti-Gris 1.2g</t>
        </is>
      </c>
      <c r="C23756" t="inlineStr">
        <is>
          <t>Eye Pencil</t>
        </is>
      </c>
      <c r="D23756" t="inlineStr">
        <is>
          <t>Bourjois</t>
        </is>
      </c>
      <c r="E23756" t="n">
        <v>4.51</v>
      </c>
      <c r="F23756" t="n">
        <v>1</v>
      </c>
      <c r="G23756" t="n">
        <v>3</v>
      </c>
      <c r="H23756" s="5">
        <f>HYPERLINK("https://api.qogita.com/variants/link/3614223912124/", "View Product")</f>
        <v/>
      </c>
    </row>
    <row r="23757">
      <c r="A23757" t="inlineStr">
        <is>
          <t>3614224076535</t>
        </is>
      </c>
      <c r="B23757" t="inlineStr">
        <is>
          <t>Rimmel London Rita Ora 60 Seconds Super Shine Nail Polish 811 Hot Metal Love 8ml</t>
        </is>
      </c>
      <c r="C23757" t="inlineStr">
        <is>
          <t>Nail Polish</t>
        </is>
      </c>
      <c r="D23757" t="inlineStr">
        <is>
          <t>Rimmel London</t>
        </is>
      </c>
      <c r="E23757" t="n">
        <v>1.84</v>
      </c>
      <c r="F23757" t="n">
        <v>1</v>
      </c>
      <c r="G23757" t="n">
        <v>7</v>
      </c>
      <c r="H23757" s="5">
        <f>HYPERLINK("https://api.qogita.com/variants/link/3614224076535/", "View Product")</f>
        <v/>
      </c>
    </row>
    <row r="23758">
      <c r="A23758" t="inlineStr">
        <is>
          <t>3614225291401</t>
        </is>
      </c>
      <c r="B23758" t="inlineStr">
        <is>
          <t>Miu Miu Twist Eau de Parfum 50ml</t>
        </is>
      </c>
      <c r="C23758" t="inlineStr">
        <is>
          <t>Eau De Parfum</t>
        </is>
      </c>
      <c r="D23758" t="inlineStr">
        <is>
          <t>Miu Miu</t>
        </is>
      </c>
      <c r="E23758" t="n">
        <v>40.78</v>
      </c>
      <c r="F23758" t="n">
        <v>1</v>
      </c>
      <c r="G23758" t="n">
        <v>4</v>
      </c>
      <c r="H23758" s="5">
        <f>HYPERLINK("https://api.qogita.com/variants/link/3614225291401/", "View Product")</f>
        <v/>
      </c>
    </row>
    <row r="23759">
      <c r="A23759" t="inlineStr">
        <is>
          <t>3614225298806</t>
        </is>
      </c>
      <c r="B23759" t="inlineStr">
        <is>
          <t>Bruno Banani Loyal Man Eau De Parfum Spray 30ml</t>
        </is>
      </c>
      <c r="C23759" t="inlineStr">
        <is>
          <t>Eau De Parfum</t>
        </is>
      </c>
      <c r="D23759" t="inlineStr">
        <is>
          <t>Bruno Banani</t>
        </is>
      </c>
      <c r="E23759" t="n">
        <v>6.77</v>
      </c>
      <c r="F23759" t="n">
        <v>1</v>
      </c>
      <c r="G23759" t="n">
        <v>64</v>
      </c>
      <c r="H23759" s="5">
        <f>HYPERLINK("https://api.qogita.com/variants/link/3614225298806/", "View Product")</f>
        <v/>
      </c>
    </row>
    <row r="23760">
      <c r="A23760" t="inlineStr">
        <is>
          <t>3614225308758</t>
        </is>
      </c>
      <c r="B23760" t="inlineStr">
        <is>
          <t>Hugo Boss Hugo Reversed Eau de Toilette 75ml with Bag - New and Original Packaging</t>
        </is>
      </c>
      <c r="C23760" t="inlineStr">
        <is>
          <t>Eau De Toilette</t>
        </is>
      </c>
      <c r="D23760" t="inlineStr">
        <is>
          <t>Hugo Boss</t>
        </is>
      </c>
      <c r="E23760" t="n">
        <v>33.32</v>
      </c>
      <c r="F23760" t="n">
        <v>1</v>
      </c>
      <c r="G23760" t="n">
        <v>9</v>
      </c>
      <c r="H23760" s="5">
        <f>HYPERLINK("https://api.qogita.com/variants/link/3614225308758/", "View Product")</f>
        <v/>
      </c>
    </row>
    <row r="23761">
      <c r="A23761" t="inlineStr">
        <is>
          <t>3614225613227</t>
        </is>
      </c>
      <c r="B23761" t="inlineStr">
        <is>
          <t>Bourjois Little Round Pot Blush 74 Rose Amber 25 G</t>
        </is>
      </c>
      <c r="C23761" t="inlineStr">
        <is>
          <t>Blush</t>
        </is>
      </c>
      <c r="D23761" t="inlineStr">
        <is>
          <t>Bourjois</t>
        </is>
      </c>
      <c r="E23761" t="n">
        <v>6.2</v>
      </c>
      <c r="F23761" t="n">
        <v>1</v>
      </c>
      <c r="G23761" t="n">
        <v>12</v>
      </c>
      <c r="H23761" s="5">
        <f>HYPERLINK("https://api.qogita.com/variants/link/3614225613227/", "View Product")</f>
        <v/>
      </c>
    </row>
    <row r="23762">
      <c r="A23762" t="inlineStr">
        <is>
          <t>3614225613265</t>
        </is>
      </c>
      <c r="B23762" t="inlineStr">
        <is>
          <t>Bourjois Little Round Pot Blush 54 Rose Frisson 25 G</t>
        </is>
      </c>
      <c r="C23762" t="inlineStr">
        <is>
          <t>Blush</t>
        </is>
      </c>
      <c r="D23762" t="inlineStr">
        <is>
          <t>Bourjois</t>
        </is>
      </c>
      <c r="E23762" t="n">
        <v>6.37</v>
      </c>
      <c r="F23762" t="n">
        <v>1</v>
      </c>
      <c r="G23762" t="n">
        <v>4</v>
      </c>
      <c r="H23762" s="5">
        <f>HYPERLINK("https://api.qogita.com/variants/link/3614225613265/", "View Product")</f>
        <v/>
      </c>
    </row>
    <row r="23763">
      <c r="A23763" t="inlineStr">
        <is>
          <t>3614225613272</t>
        </is>
      </c>
      <c r="B23763" t="inlineStr">
        <is>
          <t>Bourjois Little Round Pot Blusher 95 Rose De Jaspe - 2.5g</t>
        </is>
      </c>
      <c r="C23763" t="inlineStr">
        <is>
          <t>Blush</t>
        </is>
      </c>
      <c r="D23763" t="inlineStr">
        <is>
          <t>Bourjois</t>
        </is>
      </c>
      <c r="E23763" t="n">
        <v>4.76</v>
      </c>
      <c r="F23763" t="n">
        <v>1</v>
      </c>
      <c r="G23763" t="n">
        <v>21</v>
      </c>
      <c r="H23763" s="5">
        <f>HYPERLINK("https://api.qogita.com/variants/link/3614225613272/", "View Product")</f>
        <v/>
      </c>
    </row>
    <row r="23764">
      <c r="A23764" t="inlineStr">
        <is>
          <t>3614225613302</t>
        </is>
      </c>
      <c r="B23764" t="inlineStr">
        <is>
          <t>Bourjois Little Round Pot Blusher 16 Rose Coup De Foudre - 2.5g</t>
        </is>
      </c>
      <c r="C23764" t="inlineStr">
        <is>
          <t>Blush</t>
        </is>
      </c>
      <c r="D23764" t="inlineStr">
        <is>
          <t>Bourjois</t>
        </is>
      </c>
      <c r="E23764" t="n">
        <v>6.47</v>
      </c>
      <c r="F23764" t="n">
        <v>1</v>
      </c>
      <c r="G23764" t="n">
        <v>5</v>
      </c>
      <c r="H23764" s="5">
        <f>HYPERLINK("https://api.qogita.com/variants/link/3614225613302/", "View Product")</f>
        <v/>
      </c>
    </row>
    <row r="23765">
      <c r="A23765" t="inlineStr">
        <is>
          <t>3614225670435</t>
        </is>
      </c>
      <c r="B23765" t="inlineStr">
        <is>
          <t>Calvin Klein Eternity For Men Flame Eau De Toilette Spray 100ml</t>
        </is>
      </c>
      <c r="C23765" t="inlineStr">
        <is>
          <t>Eau De Toilette</t>
        </is>
      </c>
      <c r="D23765" t="inlineStr">
        <is>
          <t>Calvin Klein</t>
        </is>
      </c>
      <c r="E23765" t="n">
        <v>20.73</v>
      </c>
      <c r="F23765" t="n">
        <v>1</v>
      </c>
      <c r="G23765" t="n">
        <v>44</v>
      </c>
      <c r="H23765" s="5">
        <f>HYPERLINK("https://api.qogita.com/variants/link/3614225670435/", "View Product")</f>
        <v/>
      </c>
    </row>
    <row r="23766">
      <c r="A23766" t="inlineStr">
        <is>
          <t>3614225853319</t>
        </is>
      </c>
      <c r="B23766" t="inlineStr">
        <is>
          <t>Max Factor Masterpiece Waterproof Mascara 45 Ml Black</t>
        </is>
      </c>
      <c r="C23766" t="inlineStr">
        <is>
          <t>Mascara</t>
        </is>
      </c>
      <c r="D23766" t="inlineStr">
        <is>
          <t>Max Factor</t>
        </is>
      </c>
      <c r="E23766" t="n">
        <v>5.32</v>
      </c>
      <c r="F23766" t="n">
        <v>1</v>
      </c>
      <c r="G23766" t="n">
        <v>8</v>
      </c>
      <c r="H23766" s="5">
        <f>HYPERLINK("https://api.qogita.com/variants/link/3614225853319/", "View Product")</f>
        <v/>
      </c>
    </row>
    <row r="23767">
      <c r="A23767" t="inlineStr">
        <is>
          <t>3614225971518</t>
        </is>
      </c>
      <c r="B23767" t="inlineStr">
        <is>
          <t>Calvin Klein Ck One Deodorant Spray 150ml</t>
        </is>
      </c>
      <c r="C23767" t="inlineStr">
        <is>
          <t>Deodorant &amp; Anti-Perspirant</t>
        </is>
      </c>
      <c r="D23767" t="inlineStr">
        <is>
          <t>Calvin Klein</t>
        </is>
      </c>
      <c r="E23767" t="n">
        <v>9.220000000000001</v>
      </c>
      <c r="F23767" t="n">
        <v>1</v>
      </c>
      <c r="G23767" t="n">
        <v>24</v>
      </c>
      <c r="H23767" s="5">
        <f>HYPERLINK("https://api.qogita.com/variants/link/3614225971518/", "View Product")</f>
        <v/>
      </c>
    </row>
    <row r="23768">
      <c r="A23768" t="inlineStr">
        <is>
          <t>3614226471222</t>
        </is>
      </c>
      <c r="B23768" t="inlineStr">
        <is>
          <t>Bourjois Healthy Mix Antifatigue Concealer 7 Ml Shade 55 Honey</t>
        </is>
      </c>
      <c r="C23768" t="inlineStr">
        <is>
          <t>Concealer</t>
        </is>
      </c>
      <c r="D23768" t="inlineStr">
        <is>
          <t>Bourjois</t>
        </is>
      </c>
      <c r="E23768" t="n">
        <v>3.87</v>
      </c>
      <c r="F23768" t="n">
        <v>1</v>
      </c>
      <c r="G23768" t="n">
        <v>9</v>
      </c>
      <c r="H23768" s="5">
        <f>HYPERLINK("https://api.qogita.com/variants/link/3614226471222/", "View Product")</f>
        <v/>
      </c>
    </row>
    <row r="23769">
      <c r="A23769" t="inlineStr">
        <is>
          <t>3614226759207</t>
        </is>
      </c>
      <c r="B23769" t="inlineStr">
        <is>
          <t>Max Factor Excess Intensity Longwear Eyeliner - Color Selection</t>
        </is>
      </c>
      <c r="C23769" t="inlineStr">
        <is>
          <t>Eyeliner</t>
        </is>
      </c>
      <c r="D23769" t="inlineStr">
        <is>
          <t>Max Factor</t>
        </is>
      </c>
      <c r="E23769" t="n">
        <v>4.7</v>
      </c>
      <c r="F23769" t="n">
        <v>1</v>
      </c>
      <c r="G23769" t="n">
        <v>8</v>
      </c>
      <c r="H23769" s="5">
        <f>HYPERLINK("https://api.qogita.com/variants/link/3614226759207/", "View Product")</f>
        <v/>
      </c>
    </row>
    <row r="23770">
      <c r="A23770" t="inlineStr">
        <is>
          <t>3614226765437</t>
        </is>
      </c>
      <c r="B23770" t="inlineStr">
        <is>
          <t>Bruno Banani Absolute Men Deodorant Spray 75ml</t>
        </is>
      </c>
      <c r="C23770" t="inlineStr">
        <is>
          <t>Deodorant &amp; Anti-Perspirant</t>
        </is>
      </c>
      <c r="D23770" t="inlineStr">
        <is>
          <t>Bruno Banani</t>
        </is>
      </c>
      <c r="E23770" t="n">
        <v>4.3</v>
      </c>
      <c r="F23770" t="n">
        <v>1</v>
      </c>
      <c r="G23770" t="n">
        <v>14</v>
      </c>
      <c r="H23770" s="5">
        <f>HYPERLINK("https://api.qogita.com/variants/link/3614226765437/", "View Product")</f>
        <v/>
      </c>
    </row>
    <row r="23771">
      <c r="A23771" t="inlineStr">
        <is>
          <t>3614226765741</t>
        </is>
      </c>
      <c r="B23771" t="inlineStr">
        <is>
          <t>Bruno Banani Pure Man Deodorant Spray 75ml</t>
        </is>
      </c>
      <c r="C23771" t="inlineStr">
        <is>
          <t>Deodorant &amp; Anti-Perspirant</t>
        </is>
      </c>
      <c r="D23771" t="inlineStr">
        <is>
          <t>Bruno Banani</t>
        </is>
      </c>
      <c r="E23771" t="n">
        <v>4.37</v>
      </c>
      <c r="F23771" t="n">
        <v>1</v>
      </c>
      <c r="G23771" t="n">
        <v>171</v>
      </c>
      <c r="H23771" s="5">
        <f>HYPERLINK("https://api.qogita.com/variants/link/3614226765741/", "View Product")</f>
        <v/>
      </c>
    </row>
    <row r="23772">
      <c r="A23772" t="inlineStr">
        <is>
          <t>3614226768568</t>
        </is>
      </c>
      <c r="B23772" t="inlineStr">
        <is>
          <t>Londa Lock It Extreme Strong Hold Spray 300ml</t>
        </is>
      </c>
      <c r="C23772" t="inlineStr">
        <is>
          <t>Hairspray</t>
        </is>
      </c>
      <c r="D23772" t="inlineStr">
        <is>
          <t>Londa</t>
        </is>
      </c>
      <c r="E23772" t="n">
        <v>7.84</v>
      </c>
      <c r="F23772" t="n">
        <v>1</v>
      </c>
      <c r="G23772" t="n">
        <v>14</v>
      </c>
      <c r="H23772" s="5">
        <f>HYPERLINK("https://api.qogita.com/variants/link/3614226768568/", "View Product")</f>
        <v/>
      </c>
    </row>
    <row r="23773">
      <c r="A23773" t="inlineStr">
        <is>
          <t>3614226904966</t>
        </is>
      </c>
      <c r="B23773" t="inlineStr">
        <is>
          <t>Burberry Brit Sheer Eau De Toilette 100ml For Women</t>
        </is>
      </c>
      <c r="C23773" t="inlineStr">
        <is>
          <t>Eau De Toilette</t>
        </is>
      </c>
      <c r="D23773" t="inlineStr">
        <is>
          <t>Burberry</t>
        </is>
      </c>
      <c r="E23773" t="n">
        <v>29.16</v>
      </c>
      <c r="F23773" t="n">
        <v>1</v>
      </c>
      <c r="G23773" t="n">
        <v>45</v>
      </c>
      <c r="H23773" s="5">
        <f>HYPERLINK("https://api.qogita.com/variants/link/3614226904966/", "View Product")</f>
        <v/>
      </c>
    </row>
    <row r="23774">
      <c r="A23774" t="inlineStr">
        <is>
          <t>3614226905147</t>
        </is>
      </c>
      <c r="B23774" t="inlineStr">
        <is>
          <t>Burberry Brit Sheer Eau De Toilette Spray 50ml</t>
        </is>
      </c>
      <c r="C23774" t="inlineStr">
        <is>
          <t>Eau De Toilette</t>
        </is>
      </c>
      <c r="D23774" t="inlineStr">
        <is>
          <t>Burberry</t>
        </is>
      </c>
      <c r="E23774" t="n">
        <v>21.57</v>
      </c>
      <c r="F23774" t="n">
        <v>1</v>
      </c>
      <c r="G23774" t="n">
        <v>87</v>
      </c>
      <c r="H23774" s="5">
        <f>HYPERLINK("https://api.qogita.com/variants/link/3614226905147/", "View Product")</f>
        <v/>
      </c>
    </row>
    <row r="23775">
      <c r="A23775" t="inlineStr">
        <is>
          <t>3614226905178</t>
        </is>
      </c>
      <c r="B23775" t="inlineStr">
        <is>
          <t>Burberry Brit Eau De Toilette 30ml Spray For Men</t>
        </is>
      </c>
      <c r="C23775" t="inlineStr">
        <is>
          <t>Eau De Toilette</t>
        </is>
      </c>
      <c r="D23775" t="inlineStr">
        <is>
          <t>Burberry</t>
        </is>
      </c>
      <c r="E23775" t="n">
        <v>19.37</v>
      </c>
      <c r="F23775" t="n">
        <v>1</v>
      </c>
      <c r="G23775" t="n">
        <v>23</v>
      </c>
      <c r="H23775" s="5">
        <f>HYPERLINK("https://api.qogita.com/variants/link/3614226905178/", "View Product")</f>
        <v/>
      </c>
    </row>
    <row r="23776">
      <c r="A23776" t="inlineStr">
        <is>
          <t>3614226905185</t>
        </is>
      </c>
      <c r="B23776" t="inlineStr">
        <is>
          <t>Burberry London Eau De Parfum Spray 100ml</t>
        </is>
      </c>
      <c r="C23776" t="inlineStr">
        <is>
          <t>Eau De Parfum</t>
        </is>
      </c>
      <c r="D23776" t="inlineStr">
        <is>
          <t>Burberry</t>
        </is>
      </c>
      <c r="E23776" t="n">
        <v>27.98</v>
      </c>
      <c r="F23776" t="n">
        <v>1</v>
      </c>
      <c r="G23776" t="n">
        <v>22</v>
      </c>
      <c r="H23776" s="5">
        <f>HYPERLINK("https://api.qogita.com/variants/link/3614226905185/", "View Product")</f>
        <v/>
      </c>
    </row>
    <row r="23777">
      <c r="A23777" t="inlineStr">
        <is>
          <t>3614226905284</t>
        </is>
      </c>
      <c r="B23777" t="inlineStr">
        <is>
          <t>Burberry Weekend Women Eau De Parfum 100ml</t>
        </is>
      </c>
      <c r="C23777" t="inlineStr">
        <is>
          <t>Eau De Parfum</t>
        </is>
      </c>
      <c r="D23777" t="inlineStr">
        <is>
          <t>Burberry</t>
        </is>
      </c>
      <c r="E23777" t="n">
        <v>28.86</v>
      </c>
      <c r="F23777" t="n">
        <v>1</v>
      </c>
      <c r="G23777" t="n">
        <v>22</v>
      </c>
      <c r="H23777" s="5">
        <f>HYPERLINK("https://api.qogita.com/variants/link/3614226905284/", "View Product")</f>
        <v/>
      </c>
    </row>
    <row r="23778">
      <c r="A23778" t="inlineStr">
        <is>
          <t>3614226905666</t>
        </is>
      </c>
      <c r="B23778" t="inlineStr">
        <is>
          <t>Burberry Classic Woman Eau De Parfum 100ml</t>
        </is>
      </c>
      <c r="C23778" t="inlineStr">
        <is>
          <t>Eau De Parfum</t>
        </is>
      </c>
      <c r="D23778" t="inlineStr">
        <is>
          <t>Burberry</t>
        </is>
      </c>
      <c r="E23778" t="n">
        <v>26.93</v>
      </c>
      <c r="F23778" t="n">
        <v>1</v>
      </c>
      <c r="G23778" t="n">
        <v>73</v>
      </c>
      <c r="H23778" s="5">
        <f>HYPERLINK("https://api.qogita.com/variants/link/3614226905666/", "View Product")</f>
        <v/>
      </c>
    </row>
    <row r="23779">
      <c r="A23779" t="inlineStr">
        <is>
          <t>3614226905994</t>
        </is>
      </c>
      <c r="B23779" t="inlineStr">
        <is>
          <t>Burberry My Burberry Eau De Parfum Spray 50ml</t>
        </is>
      </c>
      <c r="C23779" t="inlineStr">
        <is>
          <t>Eau De Parfum</t>
        </is>
      </c>
      <c r="D23779" t="inlineStr">
        <is>
          <t>Burberry</t>
        </is>
      </c>
      <c r="E23779" t="n">
        <v>39.63</v>
      </c>
      <c r="F23779" t="n">
        <v>1</v>
      </c>
      <c r="G23779" t="n">
        <v>3</v>
      </c>
      <c r="H23779" s="5">
        <f>HYPERLINK("https://api.qogita.com/variants/link/3614226905994/", "View Product")</f>
        <v/>
      </c>
    </row>
    <row r="23780">
      <c r="A23780" t="inlineStr">
        <is>
          <t>3614226940490</t>
        </is>
      </c>
      <c r="B23780" t="inlineStr">
        <is>
          <t>Tiffany Intense Eau de Parfum Spray 75ml</t>
        </is>
      </c>
      <c r="C23780" t="inlineStr">
        <is>
          <t>Eau De Parfum</t>
        </is>
      </c>
      <c r="D23780" t="inlineStr">
        <is>
          <t>Tiffany &amp; Co.</t>
        </is>
      </c>
      <c r="E23780" t="n">
        <v>87.87</v>
      </c>
      <c r="F23780" t="n">
        <v>1</v>
      </c>
      <c r="G23780" t="n">
        <v>48</v>
      </c>
      <c r="H23780" s="5">
        <f>HYPERLINK("https://api.qogita.com/variants/link/3614226940490/", "View Product")</f>
        <v/>
      </c>
    </row>
    <row r="23781">
      <c r="A23781" t="inlineStr">
        <is>
          <t>3614226969507</t>
        </is>
      </c>
      <c r="B23781" t="inlineStr">
        <is>
          <t>Tiffany &amp; Co. Sheer Eau De Toilette 30ml</t>
        </is>
      </c>
      <c r="C23781" t="inlineStr">
        <is>
          <t>Eau De Toilette</t>
        </is>
      </c>
      <c r="D23781" t="inlineStr">
        <is>
          <t>Tiffany &amp; Co.</t>
        </is>
      </c>
      <c r="E23781" t="n">
        <v>46.23</v>
      </c>
      <c r="F23781" t="n">
        <v>1</v>
      </c>
      <c r="G23781" t="n">
        <v>5</v>
      </c>
      <c r="H23781" s="5">
        <f>HYPERLINK("https://api.qogita.com/variants/link/3614226969507/", "View Product")</f>
        <v/>
      </c>
    </row>
    <row r="23782">
      <c r="A23782" t="inlineStr">
        <is>
          <t>3614226985880</t>
        </is>
      </c>
      <c r="B23782" t="inlineStr">
        <is>
          <t>Rimmel London Maxi Blush Powder Blush 006 Exposed 9g</t>
        </is>
      </c>
      <c r="C23782" t="inlineStr">
        <is>
          <t>Blush</t>
        </is>
      </c>
      <c r="D23782" t="inlineStr">
        <is>
          <t>Rimmel London</t>
        </is>
      </c>
      <c r="E23782" t="n">
        <v>4.58</v>
      </c>
      <c r="F23782" t="n">
        <v>1</v>
      </c>
      <c r="G23782" t="n">
        <v>5</v>
      </c>
      <c r="H23782" s="5">
        <f>HYPERLINK("https://api.qogita.com/variants/link/3614226985880/", "View Product")</f>
        <v/>
      </c>
    </row>
    <row r="23783">
      <c r="A23783" t="inlineStr">
        <is>
          <t>3614227186521</t>
        </is>
      </c>
      <c r="B23783" t="inlineStr">
        <is>
          <t>Crossmen Original Eau De Toilette Spray 200ml By Crossmen</t>
        </is>
      </c>
      <c r="C23783" t="inlineStr">
        <is>
          <t>Eau De Toilette</t>
        </is>
      </c>
      <c r="D23783" t="inlineStr">
        <is>
          <t>Crossmen</t>
        </is>
      </c>
      <c r="E23783" t="n">
        <v>6.52</v>
      </c>
      <c r="F23783" t="n">
        <v>1</v>
      </c>
      <c r="G23783" t="n">
        <v>7</v>
      </c>
      <c r="H23783" s="5">
        <f>HYPERLINK("https://api.qogita.com/variants/link/3614227186521/", "View Product")</f>
        <v/>
      </c>
    </row>
    <row r="23784">
      <c r="A23784" t="inlineStr">
        <is>
          <t>3614227372375</t>
        </is>
      </c>
      <c r="B23784" t="inlineStr">
        <is>
          <t>Marc Jacobs Daisy Love Eau So Sweet Eau De Toilette</t>
        </is>
      </c>
      <c r="C23784" t="inlineStr">
        <is>
          <t>Eau De Toilette</t>
        </is>
      </c>
      <c r="D23784" t="inlineStr">
        <is>
          <t>Marc Jacobs</t>
        </is>
      </c>
      <c r="E23784" t="n">
        <v>56.7</v>
      </c>
      <c r="F23784" t="n">
        <v>1</v>
      </c>
      <c r="G23784" t="n">
        <v>20</v>
      </c>
      <c r="H23784" s="5">
        <f>HYPERLINK("https://api.qogita.com/variants/link/3614227372375/", "View Product")</f>
        <v/>
      </c>
    </row>
    <row r="23785">
      <c r="A23785" t="inlineStr">
        <is>
          <t>3614227548602</t>
        </is>
      </c>
      <c r="B23785" t="inlineStr">
        <is>
          <t>Chlo Chloe Nomade Absolu Eau De Parfum</t>
        </is>
      </c>
      <c r="C23785" t="inlineStr">
        <is>
          <t>Eau De Parfum</t>
        </is>
      </c>
      <c r="D23785" t="inlineStr">
        <is>
          <t>Chloé</t>
        </is>
      </c>
      <c r="E23785" t="n">
        <v>42.14</v>
      </c>
      <c r="F23785" t="n">
        <v>1</v>
      </c>
      <c r="G23785" t="n">
        <v>17</v>
      </c>
      <c r="H23785" s="5">
        <f>HYPERLINK("https://api.qogita.com/variants/link/3614227548602/", "View Product")</f>
        <v/>
      </c>
    </row>
    <row r="23786">
      <c r="A23786" t="inlineStr">
        <is>
          <t>3614227693876</t>
        </is>
      </c>
      <c r="B23786" t="inlineStr">
        <is>
          <t>Burberry Her Eau De Parfum Spray 100ml Burberry</t>
        </is>
      </c>
      <c r="C23786" t="inlineStr">
        <is>
          <t>Eau De Parfum</t>
        </is>
      </c>
      <c r="D23786" t="inlineStr">
        <is>
          <t>Burberry</t>
        </is>
      </c>
      <c r="E23786" t="n">
        <v>76.14</v>
      </c>
      <c r="F23786" t="n">
        <v>1</v>
      </c>
      <c r="G23786" t="n">
        <v>4</v>
      </c>
      <c r="H23786" s="5">
        <f>HYPERLINK("https://api.qogita.com/variants/link/3614227693876/", "View Product")</f>
        <v/>
      </c>
    </row>
    <row r="23787">
      <c r="A23787" t="inlineStr">
        <is>
          <t>3614227728783</t>
        </is>
      </c>
      <c r="B23787" t="inlineStr">
        <is>
          <t>TIFFANY Tiffany &amp; Love Homme Eau de Toilette 90ml</t>
        </is>
      </c>
      <c r="C23787" t="inlineStr">
        <is>
          <t>Eau De Toilette</t>
        </is>
      </c>
      <c r="D23787" t="inlineStr">
        <is>
          <t>Tiffany &amp; Co.</t>
        </is>
      </c>
      <c r="E23787" t="n">
        <v>63.29</v>
      </c>
      <c r="F23787" t="n">
        <v>1</v>
      </c>
      <c r="G23787" t="n">
        <v>10</v>
      </c>
      <c r="H23787" s="5">
        <f>HYPERLINK("https://api.qogita.com/variants/link/3614227728783/", "View Product")</f>
        <v/>
      </c>
    </row>
    <row r="23788">
      <c r="A23788" t="inlineStr">
        <is>
          <t>3614227902169</t>
        </is>
      </c>
      <c r="B23788" t="inlineStr">
        <is>
          <t>Max Factor Colour Elixir Lipstick 095 Dusky Rose 4g</t>
        </is>
      </c>
      <c r="C23788" t="inlineStr">
        <is>
          <t>Lipstick</t>
        </is>
      </c>
      <c r="D23788" t="inlineStr">
        <is>
          <t>Max Factor</t>
        </is>
      </c>
      <c r="E23788" t="n">
        <v>7.09</v>
      </c>
      <c r="F23788" t="n">
        <v>1</v>
      </c>
      <c r="G23788" t="n">
        <v>3</v>
      </c>
      <c r="H23788" s="5">
        <f>HYPERLINK("https://api.qogita.com/variants/link/3614227902169/", "View Product")</f>
        <v/>
      </c>
    </row>
    <row r="23789">
      <c r="A23789" t="inlineStr">
        <is>
          <t>3614227912274</t>
        </is>
      </c>
      <c r="B23789" t="inlineStr">
        <is>
          <t>Gucci Guilty Pour Homme Eau De Toilette 200ml Men Spray</t>
        </is>
      </c>
      <c r="C23789" t="inlineStr">
        <is>
          <t>Eau De Toilette</t>
        </is>
      </c>
      <c r="D23789" t="inlineStr">
        <is>
          <t>Gucci</t>
        </is>
      </c>
      <c r="E23789" t="n">
        <v>107.59</v>
      </c>
      <c r="F23789" t="n">
        <v>1</v>
      </c>
      <c r="G23789" t="n">
        <v>14</v>
      </c>
      <c r="H23789" s="5">
        <f>HYPERLINK("https://api.qogita.com/variants/link/3614227912274/", "View Product")</f>
        <v/>
      </c>
    </row>
    <row r="23790">
      <c r="A23790" t="inlineStr">
        <is>
          <t>3614227913615</t>
        </is>
      </c>
      <c r="B23790" t="inlineStr">
        <is>
          <t>Lancaster Golden Tan Maximizer After Sun Serum 30ml Prolongs Tan</t>
        </is>
      </c>
      <c r="C23790" t="inlineStr">
        <is>
          <t>Aftersun</t>
        </is>
      </c>
      <c r="D23790" t="inlineStr">
        <is>
          <t>Lancaster</t>
        </is>
      </c>
      <c r="E23790" t="n">
        <v>19.37</v>
      </c>
      <c r="F23790" t="n">
        <v>1</v>
      </c>
      <c r="G23790" t="n">
        <v>2</v>
      </c>
      <c r="H23790" s="5">
        <f>HYPERLINK("https://api.qogita.com/variants/link/3614227913615/", "View Product")</f>
        <v/>
      </c>
    </row>
    <row r="23791">
      <c r="A23791" t="inlineStr">
        <is>
          <t>3614228074889</t>
        </is>
      </c>
      <c r="B23791" t="inlineStr">
        <is>
          <t>Mexx Festival Splashes Le Female EDT 20ml</t>
        </is>
      </c>
      <c r="C23791" t="inlineStr">
        <is>
          <t>Eau De Toilette</t>
        </is>
      </c>
      <c r="D23791" t="inlineStr">
        <is>
          <t>Mexx</t>
        </is>
      </c>
      <c r="E23791" t="n">
        <v>4.41</v>
      </c>
      <c r="F23791" t="n">
        <v>1</v>
      </c>
      <c r="G23791" t="n">
        <v>39</v>
      </c>
      <c r="H23791" s="5">
        <f>HYPERLINK("https://api.qogita.com/variants/link/3614228074889/", "View Product")</f>
        <v/>
      </c>
    </row>
    <row r="23792">
      <c r="A23792" t="inlineStr">
        <is>
          <t>3614228171427</t>
        </is>
      </c>
      <c r="B23792" t="inlineStr">
        <is>
          <t>Davidoff Cool Water Man Intense Eau De Parfum</t>
        </is>
      </c>
      <c r="C23792" t="inlineStr">
        <is>
          <t>Eau De Parfum</t>
        </is>
      </c>
      <c r="D23792" t="inlineStr">
        <is>
          <t>Davidoff</t>
        </is>
      </c>
      <c r="E23792" t="n">
        <v>17.15</v>
      </c>
      <c r="F23792" t="n">
        <v>1</v>
      </c>
      <c r="G23792" t="n">
        <v>9</v>
      </c>
      <c r="H23792" s="5">
        <f>HYPERLINK("https://api.qogita.com/variants/link/3614228171427/", "View Product")</f>
        <v/>
      </c>
    </row>
    <row r="23793">
      <c r="A23793" t="inlineStr">
        <is>
          <t>3614228184267</t>
        </is>
      </c>
      <c r="B23793" t="inlineStr">
        <is>
          <t>Mexx Whenever Wherever For Her Eau De Toilette Spray 15ml</t>
        </is>
      </c>
      <c r="C23793" t="inlineStr">
        <is>
          <t>Eau De Toilette</t>
        </is>
      </c>
      <c r="D23793" t="inlineStr">
        <is>
          <t>Mexx</t>
        </is>
      </c>
      <c r="E23793" t="n">
        <v>3.02</v>
      </c>
      <c r="F23793" t="n">
        <v>1</v>
      </c>
      <c r="G23793" t="n">
        <v>41</v>
      </c>
      <c r="H23793" s="5">
        <f>HYPERLINK("https://api.qogita.com/variants/link/3614228184267/", "View Product")</f>
        <v/>
      </c>
    </row>
    <row r="23794">
      <c r="A23794" t="inlineStr">
        <is>
          <t>3614228236362</t>
        </is>
      </c>
      <c r="B23794" t="inlineStr">
        <is>
          <t>Burberry Eau De Toilette Style 2</t>
        </is>
      </c>
      <c r="C23794" t="inlineStr">
        <is>
          <t>Eau De Toilette</t>
        </is>
      </c>
      <c r="D23794" t="inlineStr">
        <is>
          <t>Burberry</t>
        </is>
      </c>
      <c r="E23794" t="n">
        <v>45.29</v>
      </c>
      <c r="F23794" t="n">
        <v>1</v>
      </c>
      <c r="G23794" t="n">
        <v>2</v>
      </c>
      <c r="H23794" s="5">
        <f>HYPERLINK("https://api.qogita.com/variants/link/3614228236362/", "View Product")</f>
        <v/>
      </c>
    </row>
    <row r="23795">
      <c r="A23795" t="inlineStr">
        <is>
          <t>3614228725422</t>
        </is>
      </c>
      <c r="B23795" t="inlineStr">
        <is>
          <t>Marc Jacobs Daisy Eau de Toilette 3 Piece Gift Set</t>
        </is>
      </c>
      <c r="C23795" t="inlineStr">
        <is>
          <t>Fragrance Sets</t>
        </is>
      </c>
      <c r="D23795" t="inlineStr">
        <is>
          <t>Marc Jacobs</t>
        </is>
      </c>
      <c r="E23795" t="n">
        <v>60.47</v>
      </c>
      <c r="F23795" t="n">
        <v>1</v>
      </c>
      <c r="G23795" t="n">
        <v>224</v>
      </c>
      <c r="H23795" s="5">
        <f>HYPERLINK("https://api.qogita.com/variants/link/3614228725422/", "View Product")</f>
        <v/>
      </c>
    </row>
    <row r="23796">
      <c r="A23796" t="inlineStr">
        <is>
          <t>3614228820370</t>
        </is>
      </c>
      <c r="B23796" t="inlineStr">
        <is>
          <t>Londa Neutralizer 1000ml</t>
        </is>
      </c>
      <c r="C23796" t="inlineStr">
        <is>
          <t>Conditioner</t>
        </is>
      </c>
      <c r="D23796" t="inlineStr">
        <is>
          <t>Londa</t>
        </is>
      </c>
      <c r="E23796" t="n">
        <v>14.65</v>
      </c>
      <c r="F23796" t="n">
        <v>1</v>
      </c>
      <c r="G23796" t="n">
        <v>9</v>
      </c>
      <c r="H23796" s="5">
        <f>HYPERLINK("https://api.qogita.com/variants/link/3614228820370/", "View Product")</f>
        <v/>
      </c>
    </row>
    <row r="23797">
      <c r="A23797" t="inlineStr">
        <is>
          <t>3614228830515</t>
        </is>
      </c>
      <c r="B23797" t="inlineStr">
        <is>
          <t>Hugo Boss Alive Eau De Parfum 50ml Women's Spray</t>
        </is>
      </c>
      <c r="C23797" t="inlineStr">
        <is>
          <t>Eau De Parfum</t>
        </is>
      </c>
      <c r="D23797" t="inlineStr">
        <is>
          <t>Hugo Boss</t>
        </is>
      </c>
      <c r="E23797" t="n">
        <v>59.98</v>
      </c>
      <c r="F23797" t="n">
        <v>1</v>
      </c>
      <c r="G23797" t="n">
        <v>9</v>
      </c>
      <c r="H23797" s="5">
        <f>HYPERLINK("https://api.qogita.com/variants/link/3614228830515/", "View Product")</f>
        <v/>
      </c>
    </row>
    <row r="23798">
      <c r="A23798" t="inlineStr">
        <is>
          <t>3614228832915</t>
        </is>
      </c>
      <c r="B23798" t="inlineStr">
        <is>
          <t>Boss The Scent Eau de Toilette 2 x 50 ml</t>
        </is>
      </c>
      <c r="C23798" t="inlineStr">
        <is>
          <t>Eau De Toilette</t>
        </is>
      </c>
      <c r="D23798" t="inlineStr">
        <is>
          <t>Hugo Boss</t>
        </is>
      </c>
      <c r="E23798" t="n">
        <v>67.39</v>
      </c>
      <c r="F23798" t="n">
        <v>1</v>
      </c>
      <c r="G23798" t="n">
        <v>4</v>
      </c>
      <c r="H23798" s="5">
        <f>HYPERLINK("https://api.qogita.com/variants/link/3614228832915/", "View Product")</f>
        <v/>
      </c>
    </row>
    <row r="23799">
      <c r="A23799" t="inlineStr">
        <is>
          <t>3614228834896</t>
        </is>
      </c>
      <c r="B23799" t="inlineStr">
        <is>
          <t>Calvin Klein Eternity For Men Cologne Eau De Toilette Fresh Fougere Fragrance</t>
        </is>
      </c>
      <c r="C23799" t="inlineStr">
        <is>
          <t>Eau De Toilette</t>
        </is>
      </c>
      <c r="D23799" t="inlineStr">
        <is>
          <t>Calvin Klein</t>
        </is>
      </c>
      <c r="E23799" t="n">
        <v>21.76</v>
      </c>
      <c r="F23799" t="n">
        <v>1</v>
      </c>
      <c r="G23799" t="n">
        <v>53</v>
      </c>
      <c r="H23799" s="5">
        <f>HYPERLINK("https://api.qogita.com/variants/link/3614228834896/", "View Product")</f>
        <v/>
      </c>
    </row>
    <row r="23800">
      <c r="A23800" t="inlineStr">
        <is>
          <t>3614228838016</t>
        </is>
      </c>
      <c r="B23800" t="inlineStr">
        <is>
          <t>Burberry Hero Eau De Parfum 100ml For Men</t>
        </is>
      </c>
      <c r="C23800" t="inlineStr">
        <is>
          <t>Eau De Parfum</t>
        </is>
      </c>
      <c r="D23800" t="inlineStr">
        <is>
          <t>Burberry</t>
        </is>
      </c>
      <c r="E23800" t="n">
        <v>91.64</v>
      </c>
      <c r="F23800" t="n">
        <v>1</v>
      </c>
      <c r="G23800" t="n">
        <v>29</v>
      </c>
      <c r="H23800" s="5">
        <f>HYPERLINK("https://api.qogita.com/variants/link/3614228838016/", "View Product")</f>
        <v/>
      </c>
    </row>
    <row r="23801">
      <c r="A23801" t="inlineStr">
        <is>
          <t>3614228839709</t>
        </is>
      </c>
      <c r="B23801" t="inlineStr">
        <is>
          <t>Gucci Love At Your Darkest Eau De Parfum Spray 100ml</t>
        </is>
      </c>
      <c r="C23801" t="inlineStr">
        <is>
          <t>Eau De Parfum</t>
        </is>
      </c>
      <c r="D23801" t="inlineStr">
        <is>
          <t>Gucci</t>
        </is>
      </c>
      <c r="E23801" t="n">
        <v>121.87</v>
      </c>
      <c r="F23801" t="n">
        <v>1</v>
      </c>
      <c r="G23801" t="n">
        <v>32</v>
      </c>
      <c r="H23801" s="5">
        <f>HYPERLINK("https://api.qogita.com/variants/link/3614228839709/", "View Product")</f>
        <v/>
      </c>
    </row>
    <row r="23802">
      <c r="A23802" t="inlineStr">
        <is>
          <t>3614228842822</t>
        </is>
      </c>
      <c r="B23802" t="inlineStr">
        <is>
          <t>Chloe Chloe Naturelle Eau de Parfum Spray for Women 3.4oz</t>
        </is>
      </c>
      <c r="C23802" t="inlineStr">
        <is>
          <t>Eau De Parfum</t>
        </is>
      </c>
      <c r="D23802" t="inlineStr">
        <is>
          <t>Chloé</t>
        </is>
      </c>
      <c r="E23802" t="n">
        <v>65.05</v>
      </c>
      <c r="F23802" t="n">
        <v>1</v>
      </c>
      <c r="G23802" t="n">
        <v>23</v>
      </c>
      <c r="H23802" s="5">
        <f>HYPERLINK("https://api.qogita.com/variants/link/3614228842822/", "View Product")</f>
        <v/>
      </c>
    </row>
    <row r="23803">
      <c r="A23803" t="inlineStr">
        <is>
          <t>3614228943673</t>
        </is>
      </c>
      <c r="B23803" t="inlineStr">
        <is>
          <t>Max Factor Creme Puff Blusher 15 G In Stunning Sienna</t>
        </is>
      </c>
      <c r="C23803" t="inlineStr">
        <is>
          <t>Blush</t>
        </is>
      </c>
      <c r="D23803" t="inlineStr">
        <is>
          <t>Max Factor</t>
        </is>
      </c>
      <c r="E23803" t="n">
        <v>6.77</v>
      </c>
      <c r="F23803" t="n">
        <v>1</v>
      </c>
      <c r="G23803" t="n">
        <v>3</v>
      </c>
      <c r="H23803" s="5">
        <f>HYPERLINK("https://api.qogita.com/variants/link/3614228943673/", "View Product")</f>
        <v/>
      </c>
    </row>
    <row r="23804">
      <c r="A23804" t="inlineStr">
        <is>
          <t>3614229371482</t>
        </is>
      </c>
      <c r="B23804" t="inlineStr">
        <is>
          <t>Lacoste Match Point Eau De Toilette 30ml For Men</t>
        </is>
      </c>
      <c r="C23804" t="inlineStr">
        <is>
          <t>Eau De Toilette</t>
        </is>
      </c>
      <c r="D23804" t="inlineStr">
        <is>
          <t>Lacoste</t>
        </is>
      </c>
      <c r="E23804" t="n">
        <v>20.56</v>
      </c>
      <c r="F23804" t="n">
        <v>1</v>
      </c>
      <c r="G23804" t="n">
        <v>2</v>
      </c>
      <c r="H23804" s="5">
        <f>HYPERLINK("https://api.qogita.com/variants/link/3614229371482/", "View Product")</f>
        <v/>
      </c>
    </row>
    <row r="23805">
      <c r="A23805" t="inlineStr">
        <is>
          <t>3614229395143</t>
        </is>
      </c>
      <c r="B23805" t="inlineStr">
        <is>
          <t>Mexx Summer Vibes Eau De Toilette</t>
        </is>
      </c>
      <c r="C23805" t="inlineStr">
        <is>
          <t>Eau De Toilette</t>
        </is>
      </c>
      <c r="D23805" t="inlineStr">
        <is>
          <t>Mexx</t>
        </is>
      </c>
      <c r="E23805" t="n">
        <v>6.59</v>
      </c>
      <c r="F23805" t="n">
        <v>1</v>
      </c>
      <c r="G23805" t="n">
        <v>17</v>
      </c>
      <c r="H23805" s="5">
        <f>HYPERLINK("https://api.qogita.com/variants/link/3614229395143/", "View Product")</f>
        <v/>
      </c>
    </row>
    <row r="23806">
      <c r="A23806" t="inlineStr">
        <is>
          <t>3614229395631</t>
        </is>
      </c>
      <c r="B23806" t="inlineStr">
        <is>
          <t>Chloe Rose Tangerine EDT Vaporisateur 50ml</t>
        </is>
      </c>
      <c r="C23806" t="inlineStr">
        <is>
          <t>Eau De Toilette</t>
        </is>
      </c>
      <c r="D23806" t="inlineStr">
        <is>
          <t>Chloé</t>
        </is>
      </c>
      <c r="E23806" t="n">
        <v>42.78</v>
      </c>
      <c r="F23806" t="n">
        <v>1</v>
      </c>
      <c r="G23806" t="n">
        <v>9</v>
      </c>
      <c r="H23806" s="5">
        <f>HYPERLINK("https://api.qogita.com/variants/link/3614229395631/", "View Product")</f>
        <v/>
      </c>
    </row>
    <row r="23807">
      <c r="A23807" t="inlineStr">
        <is>
          <t>3614229395686</t>
        </is>
      </c>
      <c r="B23807" t="inlineStr">
        <is>
          <t>Chloe Nomade Naturelle Eau De Parfum 30ml</t>
        </is>
      </c>
      <c r="C23807" t="inlineStr">
        <is>
          <t>Eau De Parfum</t>
        </is>
      </c>
      <c r="D23807" t="inlineStr">
        <is>
          <t>Chloé</t>
        </is>
      </c>
      <c r="E23807" t="n">
        <v>40.19</v>
      </c>
      <c r="F23807" t="n">
        <v>1</v>
      </c>
      <c r="G23807" t="n">
        <v>32</v>
      </c>
      <c r="H23807" s="5">
        <f>HYPERLINK("https://api.qogita.com/variants/link/3614229395686/", "View Product")</f>
        <v/>
      </c>
    </row>
    <row r="23808">
      <c r="A23808" t="inlineStr">
        <is>
          <t>3614229395693</t>
        </is>
      </c>
      <c r="B23808" t="inlineStr">
        <is>
          <t>Chloe Nomade Naturelle Eau De Parfum Spray 50ml</t>
        </is>
      </c>
      <c r="C23808" t="inlineStr">
        <is>
          <t>Eau De Parfum</t>
        </is>
      </c>
      <c r="D23808" t="inlineStr">
        <is>
          <t>Chloé</t>
        </is>
      </c>
      <c r="E23808" t="n">
        <v>40.12</v>
      </c>
      <c r="F23808" t="n">
        <v>1</v>
      </c>
      <c r="G23808" t="n">
        <v>23</v>
      </c>
      <c r="H23808" s="5">
        <f>HYPERLINK("https://api.qogita.com/variants/link/3614229395693/", "View Product")</f>
        <v/>
      </c>
    </row>
    <row r="23809">
      <c r="A23809" t="inlineStr">
        <is>
          <t>3614229396997</t>
        </is>
      </c>
      <c r="B23809" t="inlineStr">
        <is>
          <t>Chloe Rose Tangerine EDT Vapo 75ml Floral</t>
        </is>
      </c>
      <c r="C23809" t="inlineStr">
        <is>
          <t>Eau De Toilette</t>
        </is>
      </c>
      <c r="D23809" t="inlineStr">
        <is>
          <t>Chloé</t>
        </is>
      </c>
      <c r="E23809" t="n">
        <v>54.1</v>
      </c>
      <c r="F23809" t="n">
        <v>1</v>
      </c>
      <c r="G23809" t="n">
        <v>11</v>
      </c>
      <c r="H23809" s="5">
        <f>HYPERLINK("https://api.qogita.com/variants/link/3614229396997/", "View Product")</f>
        <v/>
      </c>
    </row>
    <row r="23810">
      <c r="A23810" t="inlineStr">
        <is>
          <t>3614229448078</t>
        </is>
      </c>
      <c r="B23810" t="inlineStr">
        <is>
          <t>Max Factor Real Brow Fill &amp; Shape Double-Ended Eyebrow Pencil 02 Soft Brown</t>
        </is>
      </c>
      <c r="C23810" t="inlineStr">
        <is>
          <t>Eyebrow Pencil</t>
        </is>
      </c>
      <c r="D23810" t="inlineStr">
        <is>
          <t>Max Factor</t>
        </is>
      </c>
      <c r="E23810" t="n">
        <v>6.01</v>
      </c>
      <c r="F23810" t="n">
        <v>1</v>
      </c>
      <c r="G23810" t="n">
        <v>2</v>
      </c>
      <c r="H23810" s="5">
        <f>HYPERLINK("https://api.qogita.com/variants/link/3614229448078/", "View Product")</f>
        <v/>
      </c>
    </row>
    <row r="23811">
      <c r="A23811" t="inlineStr">
        <is>
          <t>3614229458169</t>
        </is>
      </c>
      <c r="B23811" t="inlineStr">
        <is>
          <t>Max Factor False Lash Effect Mascara Lengthening And Thickening Mascara In Deep Raven Black, 13.1ml</t>
        </is>
      </c>
      <c r="C23811" t="inlineStr">
        <is>
          <t>Mascara</t>
        </is>
      </c>
      <c r="D23811" t="inlineStr">
        <is>
          <t>Max Factor</t>
        </is>
      </c>
      <c r="E23811" t="n">
        <v>6.39</v>
      </c>
      <c r="F23811" t="n">
        <v>1</v>
      </c>
      <c r="G23811" t="n">
        <v>21</v>
      </c>
      <c r="H23811" s="5">
        <f>HYPERLINK("https://api.qogita.com/variants/link/3614229458169/", "View Product")</f>
        <v/>
      </c>
    </row>
    <row r="23812">
      <c r="A23812" t="inlineStr">
        <is>
          <t>3614229700930</t>
        </is>
      </c>
      <c r="B23812" t="inlineStr">
        <is>
          <t>Londa Professional Toneplex Mask Coloring Mask For Hair Candy 200ml</t>
        </is>
      </c>
      <c r="C23812" t="inlineStr">
        <is>
          <t>Hair Masks</t>
        </is>
      </c>
      <c r="D23812" t="inlineStr">
        <is>
          <t>Londa Professional</t>
        </is>
      </c>
      <c r="E23812" t="n">
        <v>8.51</v>
      </c>
      <c r="F23812" t="n">
        <v>1</v>
      </c>
      <c r="G23812" t="n">
        <v>10</v>
      </c>
      <c r="H23812" s="5">
        <f>HYPERLINK("https://api.qogita.com/variants/link/3614229700930/", "View Product")</f>
        <v/>
      </c>
    </row>
    <row r="23813">
      <c r="A23813" t="inlineStr">
        <is>
          <t>3614229823776</t>
        </is>
      </c>
      <c r="B23813" t="inlineStr">
        <is>
          <t>Hugo Boss Hugo Man Eau De Toilette Spray 200ml</t>
        </is>
      </c>
      <c r="C23813" t="inlineStr">
        <is>
          <t>Eau De Toilette</t>
        </is>
      </c>
      <c r="D23813" t="inlineStr">
        <is>
          <t>Hugo Boss</t>
        </is>
      </c>
      <c r="E23813" t="n">
        <v>39.15</v>
      </c>
      <c r="F23813" t="n">
        <v>1</v>
      </c>
      <c r="G23813" t="n">
        <v>782</v>
      </c>
      <c r="H23813" s="5">
        <f>HYPERLINK("https://api.qogita.com/variants/link/3614229823776/", "View Product")</f>
        <v/>
      </c>
    </row>
    <row r="23814">
      <c r="A23814" t="inlineStr">
        <is>
          <t>3614229823875</t>
        </is>
      </c>
      <c r="B23814" t="inlineStr">
        <is>
          <t>Hugo Boss Hugo Just Different Eau De Toilette Spray 125ml</t>
        </is>
      </c>
      <c r="C23814" t="inlineStr">
        <is>
          <t>Eau De Toilette</t>
        </is>
      </c>
      <c r="D23814" t="inlineStr">
        <is>
          <t>Hugo Boss</t>
        </is>
      </c>
      <c r="E23814" t="n">
        <v>40.19</v>
      </c>
      <c r="F23814" t="n">
        <v>1</v>
      </c>
      <c r="G23814" t="n">
        <v>22</v>
      </c>
      <c r="H23814" s="5">
        <f>HYPERLINK("https://api.qogita.com/variants/link/3614229823875/", "View Product")</f>
        <v/>
      </c>
    </row>
    <row r="23815">
      <c r="A23815" t="inlineStr">
        <is>
          <t>3614229828535</t>
        </is>
      </c>
      <c r="B23815" t="inlineStr">
        <is>
          <t>Hugo Boss Boss Bottled Eau De Parfum Spray 100ml</t>
        </is>
      </c>
      <c r="C23815" t="inlineStr">
        <is>
          <t>Eau De Parfum</t>
        </is>
      </c>
      <c r="D23815" t="inlineStr">
        <is>
          <t>Hugo Boss</t>
        </is>
      </c>
      <c r="E23815" t="n">
        <v>49.09</v>
      </c>
      <c r="F23815" t="n">
        <v>1</v>
      </c>
      <c r="G23815" t="n">
        <v>11</v>
      </c>
      <c r="H23815" s="5">
        <f>HYPERLINK("https://api.qogita.com/variants/link/3614229828535/", "View Product")</f>
        <v/>
      </c>
    </row>
    <row r="23816">
      <c r="A23816" t="inlineStr">
        <is>
          <t>3614229829037</t>
        </is>
      </c>
      <c r="B23816" t="inlineStr">
        <is>
          <t>Burberry My Burberry Blush Eau De Parfum Spray 50ml</t>
        </is>
      </c>
      <c r="C23816" t="inlineStr">
        <is>
          <t>Eau De Parfum</t>
        </is>
      </c>
      <c r="D23816" t="inlineStr">
        <is>
          <t>Burberry</t>
        </is>
      </c>
      <c r="E23816" t="n">
        <v>45.73</v>
      </c>
      <c r="F23816" t="n">
        <v>1</v>
      </c>
      <c r="G23816" t="n">
        <v>45</v>
      </c>
      <c r="H23816" s="5">
        <f>HYPERLINK("https://api.qogita.com/variants/link/3614229829037/", "View Product")</f>
        <v/>
      </c>
    </row>
    <row r="23817">
      <c r="A23817" t="inlineStr">
        <is>
          <t>3614229829051</t>
        </is>
      </c>
      <c r="B23817" t="inlineStr">
        <is>
          <t>Burberry My Burberry Blush Eau De Parfum Spray 30ml</t>
        </is>
      </c>
      <c r="C23817" t="inlineStr">
        <is>
          <t>Eau De Parfum</t>
        </is>
      </c>
      <c r="D23817" t="inlineStr">
        <is>
          <t>Burberry</t>
        </is>
      </c>
      <c r="E23817" t="n">
        <v>28.41</v>
      </c>
      <c r="F23817" t="n">
        <v>1</v>
      </c>
      <c r="G23817" t="n">
        <v>72</v>
      </c>
      <c r="H23817" s="5">
        <f>HYPERLINK("https://api.qogita.com/variants/link/3614229829051/", "View Product")</f>
        <v/>
      </c>
    </row>
    <row r="23818">
      <c r="A23818" t="inlineStr">
        <is>
          <t>3614229832259</t>
        </is>
      </c>
      <c r="B23818" t="inlineStr">
        <is>
          <t>Coty Aspen For Men Eau De Cologne 118ml Spray</t>
        </is>
      </c>
      <c r="C23818" t="inlineStr">
        <is>
          <t>Eau De Cologne</t>
        </is>
      </c>
      <c r="D23818" t="inlineStr">
        <is>
          <t>Coty</t>
        </is>
      </c>
      <c r="E23818" t="n">
        <v>6.59</v>
      </c>
      <c r="F23818" t="n">
        <v>1</v>
      </c>
      <c r="G23818" t="n">
        <v>3</v>
      </c>
      <c r="H23818" s="5">
        <f>HYPERLINK("https://api.qogita.com/variants/link/3614229832259/", "View Product")</f>
        <v/>
      </c>
    </row>
    <row r="23819">
      <c r="A23819" t="inlineStr">
        <is>
          <t>3614229840124</t>
        </is>
      </c>
      <c r="B23819" t="inlineStr">
        <is>
          <t>Burberry Mr. Burberry Eau De Toilette Spray 100ml</t>
        </is>
      </c>
      <c r="C23819" t="inlineStr">
        <is>
          <t>Eau De Toilette</t>
        </is>
      </c>
      <c r="D23819" t="inlineStr">
        <is>
          <t>Burberry</t>
        </is>
      </c>
      <c r="E23819" t="n">
        <v>43.06</v>
      </c>
      <c r="F23819" t="n">
        <v>1</v>
      </c>
      <c r="G23819" t="n">
        <v>22</v>
      </c>
      <c r="H23819" s="5">
        <f>HYPERLINK("https://api.qogita.com/variants/link/3614229840124/", "View Product")</f>
        <v/>
      </c>
    </row>
    <row r="23820">
      <c r="A23820" t="inlineStr">
        <is>
          <t>3614270129681</t>
        </is>
      </c>
      <c r="B23820" t="inlineStr">
        <is>
          <t>Biotherm Aquasource Total Eye Revitalizer 15ml Cooling Effect Eye Care</t>
        </is>
      </c>
      <c r="C23820" t="inlineStr">
        <is>
          <t>Eye Cream</t>
        </is>
      </c>
      <c r="D23820" t="inlineStr">
        <is>
          <t>Biotherm</t>
        </is>
      </c>
      <c r="E23820" t="n">
        <v>28.11</v>
      </c>
      <c r="F23820" t="n">
        <v>1</v>
      </c>
      <c r="G23820" t="n">
        <v>3</v>
      </c>
      <c r="H23820" s="5">
        <f>HYPERLINK("https://api.qogita.com/variants/link/3614270129681/", "View Product")</f>
        <v/>
      </c>
    </row>
    <row r="23821">
      <c r="A23821" t="inlineStr">
        <is>
          <t>3614270197628</t>
        </is>
      </c>
      <c r="B23821" t="inlineStr">
        <is>
          <t>Armani Eyes to Kill Waterproof Mascara 01</t>
        </is>
      </c>
      <c r="C23821" t="inlineStr">
        <is>
          <t>Mascara</t>
        </is>
      </c>
      <c r="D23821" t="inlineStr">
        <is>
          <t>Giorgio Armani</t>
        </is>
      </c>
      <c r="E23821" t="n">
        <v>32.77</v>
      </c>
      <c r="F23821" t="n">
        <v>1</v>
      </c>
      <c r="G23821" t="n">
        <v>26</v>
      </c>
      <c r="H23821" s="5">
        <f>HYPERLINK("https://api.qogita.com/variants/link/3614270197628/", "View Product")</f>
        <v/>
      </c>
    </row>
    <row r="23822">
      <c r="A23822" t="inlineStr">
        <is>
          <t>3614270254215</t>
        </is>
      </c>
      <c r="B23822" t="inlineStr">
        <is>
          <t>Biotherm Homme Aquapower Gel Glacial 72h Hydrating Gel Cream For Men 50 Ml</t>
        </is>
      </c>
      <c r="C23822" t="inlineStr">
        <is>
          <t>Face Cream</t>
        </is>
      </c>
      <c r="D23822" t="inlineStr">
        <is>
          <t>Biotherm</t>
        </is>
      </c>
      <c r="E23822" t="n">
        <v>34.74</v>
      </c>
      <c r="F23822" t="n">
        <v>1</v>
      </c>
      <c r="G23822" t="n">
        <v>10</v>
      </c>
      <c r="H23822" s="5">
        <f>HYPERLINK("https://api.qogita.com/variants/link/3614270254215/", "View Product")</f>
        <v/>
      </c>
    </row>
    <row r="23823">
      <c r="A23823" t="inlineStr">
        <is>
          <t>3614270561634</t>
        </is>
      </c>
      <c r="B23823" t="inlineStr">
        <is>
          <t>Yves Saint Laurent Mon Paris Eau De Parfum 90ml Spray For Women</t>
        </is>
      </c>
      <c r="C23823" t="inlineStr">
        <is>
          <t>Eau De Parfum</t>
        </is>
      </c>
      <c r="D23823" t="inlineStr">
        <is>
          <t>Yves Saint Laurent</t>
        </is>
      </c>
      <c r="E23823" t="n">
        <v>88.42</v>
      </c>
      <c r="F23823" t="n">
        <v>1</v>
      </c>
      <c r="G23823" t="n">
        <v>29</v>
      </c>
      <c r="H23823" s="5">
        <f>HYPERLINK("https://api.qogita.com/variants/link/3614270561634/", "View Product")</f>
        <v/>
      </c>
    </row>
    <row r="23824">
      <c r="A23824" t="inlineStr">
        <is>
          <t>3614270971310</t>
        </is>
      </c>
      <c r="B23824" t="inlineStr">
        <is>
          <t>Lancme Effacernes Longlasting Creamy Concealer 04 Beige Ros 15ml</t>
        </is>
      </c>
      <c r="C23824" t="inlineStr">
        <is>
          <t>Concealer</t>
        </is>
      </c>
      <c r="D23824" t="inlineStr">
        <is>
          <t>Lancôme</t>
        </is>
      </c>
      <c r="E23824" t="n">
        <v>29.5</v>
      </c>
      <c r="F23824" t="n">
        <v>1</v>
      </c>
      <c r="G23824" t="n">
        <v>2</v>
      </c>
      <c r="H23824" s="5">
        <f>HYPERLINK("https://api.qogita.com/variants/link/3614270971310/", "View Product")</f>
        <v/>
      </c>
    </row>
    <row r="23825">
      <c r="A23825" t="inlineStr">
        <is>
          <t>3614271219367</t>
        </is>
      </c>
      <c r="B23825" t="inlineStr">
        <is>
          <t>Biotherm Homme Uv Defense City+ Sunscreen 30ml</t>
        </is>
      </c>
      <c r="C23825" t="inlineStr">
        <is>
          <t>Face Sun Protection</t>
        </is>
      </c>
      <c r="D23825" t="inlineStr">
        <is>
          <t>Biotherm</t>
        </is>
      </c>
      <c r="E23825" t="n">
        <v>41.28</v>
      </c>
      <c r="F23825" t="n">
        <v>1</v>
      </c>
      <c r="G23825" t="n">
        <v>2</v>
      </c>
      <c r="H23825" s="5">
        <f>HYPERLINK("https://api.qogita.com/variants/link/3614271219367/", "View Product")</f>
        <v/>
      </c>
    </row>
    <row r="23826">
      <c r="A23826" t="inlineStr">
        <is>
          <t>3614271256164</t>
        </is>
      </c>
      <c r="B23826" t="inlineStr">
        <is>
          <t>Biotherm Biosource 24h Hydrating &amp; Softening Toner For Dry Skin 200ml</t>
        </is>
      </c>
      <c r="C23826" t="inlineStr">
        <is>
          <t>Facial Spray</t>
        </is>
      </c>
      <c r="D23826" t="inlineStr">
        <is>
          <t>Biotherm</t>
        </is>
      </c>
      <c r="E23826" t="n">
        <v>15.64</v>
      </c>
      <c r="F23826" t="n">
        <v>1</v>
      </c>
      <c r="G23826" t="n">
        <v>2</v>
      </c>
      <c r="H23826" s="5">
        <f>HYPERLINK("https://api.qogita.com/variants/link/3614271256164/", "View Product")</f>
        <v/>
      </c>
    </row>
    <row r="23827">
      <c r="A23827" t="inlineStr">
        <is>
          <t>3614271260437</t>
        </is>
      </c>
      <c r="B23827" t="inlineStr">
        <is>
          <t>Biotherm Biocils Eye Makeup Removal Care 100 Ml Twophase Makeup Remover To Reduce Eyelash Loss</t>
        </is>
      </c>
      <c r="C23827" t="inlineStr">
        <is>
          <t>Makeup Remover</t>
        </is>
      </c>
      <c r="D23827" t="inlineStr">
        <is>
          <t>Biotherm</t>
        </is>
      </c>
      <c r="E23827" t="n">
        <v>19.52</v>
      </c>
      <c r="F23827" t="n">
        <v>1</v>
      </c>
      <c r="G23827" t="n">
        <v>8</v>
      </c>
      <c r="H23827" s="5">
        <f>HYPERLINK("https://api.qogita.com/variants/link/3614271260437/", "View Product")</f>
        <v/>
      </c>
    </row>
    <row r="23828">
      <c r="A23828" t="inlineStr">
        <is>
          <t>3614271276650</t>
        </is>
      </c>
      <c r="B23828" t="inlineStr">
        <is>
          <t>Giorgio Armani Master Fluid Primer</t>
        </is>
      </c>
      <c r="C23828" t="inlineStr">
        <is>
          <t>Face Cream</t>
        </is>
      </c>
      <c r="D23828" t="inlineStr">
        <is>
          <t>Giorgio Armani</t>
        </is>
      </c>
      <c r="E23828" t="n">
        <v>37.99</v>
      </c>
      <c r="F23828" t="n">
        <v>1</v>
      </c>
      <c r="G23828" t="n">
        <v>14</v>
      </c>
      <c r="H23828" s="5">
        <f>HYPERLINK("https://api.qogita.com/variants/link/3614271276650/", "View Product")</f>
        <v/>
      </c>
    </row>
    <row r="23829">
      <c r="A23829" t="inlineStr">
        <is>
          <t>3614271387325</t>
        </is>
      </c>
      <c r="B23829" t="inlineStr">
        <is>
          <t>Lancome Miracle Blossom Eau De Parfum 100ml For Women</t>
        </is>
      </c>
      <c r="C23829" t="inlineStr">
        <is>
          <t>Eau De Parfum</t>
        </is>
      </c>
      <c r="D23829" t="inlineStr">
        <is>
          <t>Lancôme</t>
        </is>
      </c>
      <c r="E23829" t="n">
        <v>75.17</v>
      </c>
      <c r="F23829" t="n">
        <v>1</v>
      </c>
      <c r="G23829" t="n">
        <v>13</v>
      </c>
      <c r="H23829" s="5">
        <f>HYPERLINK("https://api.qogita.com/variants/link/3614271387325/", "View Product")</f>
        <v/>
      </c>
    </row>
    <row r="23830">
      <c r="A23830" t="inlineStr">
        <is>
          <t>3614271576132</t>
        </is>
      </c>
      <c r="B23830" t="inlineStr">
        <is>
          <t>Giorgio Armani Acqua Di Gio Pour Homme Eau De Toilette Spray 15ml</t>
        </is>
      </c>
      <c r="C23830" t="inlineStr">
        <is>
          <t>Eau De Toilette</t>
        </is>
      </c>
      <c r="D23830" t="inlineStr">
        <is>
          <t>Giorgio Armani</t>
        </is>
      </c>
      <c r="E23830" t="n">
        <v>22.29</v>
      </c>
      <c r="F23830" t="n">
        <v>1</v>
      </c>
      <c r="G23830" t="n">
        <v>16</v>
      </c>
      <c r="H23830" s="5">
        <f>HYPERLINK("https://api.qogita.com/variants/link/3614271576132/", "View Product")</f>
        <v/>
      </c>
    </row>
    <row r="23831">
      <c r="A23831" t="inlineStr">
        <is>
          <t>3614271701503</t>
        </is>
      </c>
      <c r="B23831" t="inlineStr">
        <is>
          <t>Biotherm Solar Milk 210g</t>
        </is>
      </c>
      <c r="C23831" t="inlineStr">
        <is>
          <t>Body Sun Protection</t>
        </is>
      </c>
      <c r="D23831" t="inlineStr">
        <is>
          <t>Biotherm</t>
        </is>
      </c>
      <c r="E23831" t="n">
        <v>21.11</v>
      </c>
      <c r="F23831" t="n">
        <v>1</v>
      </c>
      <c r="G23831" t="n">
        <v>5</v>
      </c>
      <c r="H23831" s="5">
        <f>HYPERLINK("https://api.qogita.com/variants/link/3614271701503/", "View Product")</f>
        <v/>
      </c>
    </row>
    <row r="23832">
      <c r="A23832" t="inlineStr">
        <is>
          <t>3614271743886</t>
        </is>
      </c>
      <c r="B23832" t="inlineStr">
        <is>
          <t>Helena Rubinstein Replastics Age Recovery Facial Mask 50ml</t>
        </is>
      </c>
      <c r="C23832" t="inlineStr">
        <is>
          <t>Anti-Aging Mask</t>
        </is>
      </c>
      <c r="D23832" t="inlineStr">
        <is>
          <t>Helena Rubinstein</t>
        </is>
      </c>
      <c r="E23832" t="n">
        <v>234.37</v>
      </c>
      <c r="F23832" t="n">
        <v>1</v>
      </c>
      <c r="G23832" t="n">
        <v>4</v>
      </c>
      <c r="H23832" s="5">
        <f>HYPERLINK("https://api.qogita.com/variants/link/3614271743886/", "View Product")</f>
        <v/>
      </c>
    </row>
    <row r="23833">
      <c r="A23833" t="inlineStr">
        <is>
          <t>3614271774989</t>
        </is>
      </c>
      <c r="B23833" t="inlineStr">
        <is>
          <t>Cacharel Yes I Am Eau De Parfum 30ml For Women</t>
        </is>
      </c>
      <c r="C23833" t="inlineStr">
        <is>
          <t>Eau De Parfum</t>
        </is>
      </c>
      <c r="D23833" t="inlineStr">
        <is>
          <t>Cacharel</t>
        </is>
      </c>
      <c r="E23833" t="n">
        <v>20.04</v>
      </c>
      <c r="F23833" t="n">
        <v>1</v>
      </c>
      <c r="G23833" t="n">
        <v>21</v>
      </c>
      <c r="H23833" s="5">
        <f>HYPERLINK("https://api.qogita.com/variants/link/3614271774989/", "View Product")</f>
        <v/>
      </c>
    </row>
    <row r="23834">
      <c r="A23834" t="inlineStr">
        <is>
          <t>3614271775047</t>
        </is>
      </c>
      <c r="B23834" t="inlineStr">
        <is>
          <t>Cacharel Yes I Am Eau De Parfum Spray 75ml</t>
        </is>
      </c>
      <c r="C23834" t="inlineStr">
        <is>
          <t>Eau De Parfum</t>
        </is>
      </c>
      <c r="D23834" t="inlineStr">
        <is>
          <t>Cacharel</t>
        </is>
      </c>
      <c r="E23834" t="n">
        <v>39.68</v>
      </c>
      <c r="F23834" t="n">
        <v>1</v>
      </c>
      <c r="G23834" t="n">
        <v>23</v>
      </c>
      <c r="H23834" s="5">
        <f>HYPERLINK("https://api.qogita.com/variants/link/3614271775047/", "View Product")</f>
        <v/>
      </c>
    </row>
    <row r="23835">
      <c r="A23835" t="inlineStr">
        <is>
          <t>3614271895455</t>
        </is>
      </c>
      <c r="B23835" t="inlineStr">
        <is>
          <t>Giorgio Armani A-Blush Professional Liquid Face Blush No. 50 Rose Pastel 3.9ml</t>
        </is>
      </c>
      <c r="C23835" t="inlineStr">
        <is>
          <t>Blush</t>
        </is>
      </c>
      <c r="D23835" t="inlineStr">
        <is>
          <t>Giorgio Armani</t>
        </is>
      </c>
      <c r="E23835" t="n">
        <v>30.68</v>
      </c>
      <c r="F23835" t="n">
        <v>1</v>
      </c>
      <c r="G23835" t="n">
        <v>13</v>
      </c>
      <c r="H23835" s="5">
        <f>HYPERLINK("https://api.qogita.com/variants/link/3614271895455/", "View Product")</f>
        <v/>
      </c>
    </row>
    <row r="23836">
      <c r="A23836" t="inlineStr">
        <is>
          <t>3614271895462</t>
        </is>
      </c>
      <c r="B23836" t="inlineStr">
        <is>
          <t>Giorgio Armani A-Line Blush Rouge 51 Candy 9ml</t>
        </is>
      </c>
      <c r="C23836" t="inlineStr">
        <is>
          <t>Blush</t>
        </is>
      </c>
      <c r="D23836" t="inlineStr">
        <is>
          <t>Giorgio Armani</t>
        </is>
      </c>
      <c r="E23836" t="n">
        <v>30.68</v>
      </c>
      <c r="F23836" t="n">
        <v>1</v>
      </c>
      <c r="G23836" t="n">
        <v>16</v>
      </c>
      <c r="H23836" s="5">
        <f>HYPERLINK("https://api.qogita.com/variants/link/3614271895462/", "View Product")</f>
        <v/>
      </c>
    </row>
    <row r="23837">
      <c r="A23837" t="inlineStr">
        <is>
          <t>3614271994806</t>
        </is>
      </c>
      <c r="B23837" t="inlineStr">
        <is>
          <t>Giorgio Armani Armani Si Passione Eau De Parfum 50ml</t>
        </is>
      </c>
      <c r="C23837" t="inlineStr">
        <is>
          <t>Eau De Parfum</t>
        </is>
      </c>
      <c r="D23837" t="inlineStr">
        <is>
          <t>Giorgio Armani</t>
        </is>
      </c>
      <c r="E23837" t="n">
        <v>70.65000000000001</v>
      </c>
      <c r="F23837" t="n">
        <v>1</v>
      </c>
      <c r="G23837" t="n">
        <v>4</v>
      </c>
      <c r="H23837" s="5">
        <f>HYPERLINK("https://api.qogita.com/variants/link/3614271994806/", "View Product")</f>
        <v/>
      </c>
    </row>
    <row r="23838">
      <c r="A23838" t="inlineStr">
        <is>
          <t>3614272039209</t>
        </is>
      </c>
      <c r="B23838" t="inlineStr">
        <is>
          <t>Yves Saint Laurent Volume Effet Faux Cils The Curler Mascara 6 Ml In Rebellious Black</t>
        </is>
      </c>
      <c r="C23838" t="inlineStr">
        <is>
          <t>Mascara</t>
        </is>
      </c>
      <c r="D23838" t="inlineStr">
        <is>
          <t>Yves Saint Laurent</t>
        </is>
      </c>
      <c r="E23838" t="n">
        <v>31.16</v>
      </c>
      <c r="F23838" t="n">
        <v>1</v>
      </c>
      <c r="G23838" t="n">
        <v>3</v>
      </c>
      <c r="H23838" s="5">
        <f>HYPERLINK("https://api.qogita.com/variants/link/3614272039209/", "View Product")</f>
        <v/>
      </c>
    </row>
    <row r="23839">
      <c r="A23839" t="inlineStr">
        <is>
          <t>3614272045873</t>
        </is>
      </c>
      <c r="B23839" t="inlineStr">
        <is>
          <t>Viktor&amp;Rolf Flowerbomb Nectar Eau De Parfum Spray 90ml</t>
        </is>
      </c>
      <c r="C23839" t="inlineStr">
        <is>
          <t>Eau De Parfum</t>
        </is>
      </c>
      <c r="D23839" t="inlineStr">
        <is>
          <t>Viktor &amp; Rolf</t>
        </is>
      </c>
      <c r="E23839" t="n">
        <v>108.35</v>
      </c>
      <c r="F23839" t="n">
        <v>1</v>
      </c>
      <c r="G23839" t="n">
        <v>3</v>
      </c>
      <c r="H23839" s="5">
        <f>HYPERLINK("https://api.qogita.com/variants/link/3614272045873/", "View Product")</f>
        <v/>
      </c>
    </row>
    <row r="23840">
      <c r="A23840" t="inlineStr">
        <is>
          <t>3614272110175</t>
        </is>
      </c>
      <c r="B23840" t="inlineStr">
        <is>
          <t>Lancme Brow Shaping Powdery Pencil 05 Chestnut 119g Eyebrow Pencil With Brush</t>
        </is>
      </c>
      <c r="C23840" t="inlineStr">
        <is>
          <t>Eyebrow Pencil</t>
        </is>
      </c>
      <c r="D23840" t="inlineStr">
        <is>
          <t>Lancôme</t>
        </is>
      </c>
      <c r="E23840" t="n">
        <v>24.58</v>
      </c>
      <c r="F23840" t="n">
        <v>1</v>
      </c>
      <c r="G23840" t="n">
        <v>9</v>
      </c>
      <c r="H23840" s="5">
        <f>HYPERLINK("https://api.qogita.com/variants/link/3614272110175/", "View Product")</f>
        <v/>
      </c>
    </row>
    <row r="23841">
      <c r="A23841" t="inlineStr">
        <is>
          <t>3614272161795</t>
        </is>
      </c>
      <c r="B23841" t="inlineStr">
        <is>
          <t>Lancme Hypnse Volume No02 Brun Hypnotic Mascara 62ml For Women</t>
        </is>
      </c>
      <c r="C23841" t="inlineStr">
        <is>
          <t>Mascara</t>
        </is>
      </c>
      <c r="D23841" t="inlineStr">
        <is>
          <t>Lancôme</t>
        </is>
      </c>
      <c r="E23841" t="n">
        <v>30.53</v>
      </c>
      <c r="F23841" t="n">
        <v>1</v>
      </c>
      <c r="G23841" t="n">
        <v>13</v>
      </c>
      <c r="H23841" s="5">
        <f>HYPERLINK("https://api.qogita.com/variants/link/3614272161795/", "View Product")</f>
        <v/>
      </c>
    </row>
    <row r="23842">
      <c r="A23842" t="inlineStr">
        <is>
          <t>3614272161832</t>
        </is>
      </c>
      <c r="B23842" t="inlineStr">
        <is>
          <t>Lancme Cils Booster Xl Eyelash Primer</t>
        </is>
      </c>
      <c r="C23842" t="inlineStr">
        <is>
          <t>Mascara</t>
        </is>
      </c>
      <c r="D23842" t="inlineStr">
        <is>
          <t>Lancôme</t>
        </is>
      </c>
      <c r="E23842" t="n">
        <v>30.08</v>
      </c>
      <c r="F23842" t="n">
        <v>1</v>
      </c>
      <c r="G23842" t="n">
        <v>2</v>
      </c>
      <c r="H23842" s="5">
        <f>HYPERLINK("https://api.qogita.com/variants/link/3614272161832/", "View Product")</f>
        <v/>
      </c>
    </row>
    <row r="23843">
      <c r="A23843" t="inlineStr">
        <is>
          <t>3614272163508</t>
        </is>
      </c>
      <c r="B23843" t="inlineStr">
        <is>
          <t>Giorgio Armani Eyes to Kill Stellar Eyeshadow 05 Stellar 30g</t>
        </is>
      </c>
      <c r="C23843" t="inlineStr">
        <is>
          <t>Eyeshadow</t>
        </is>
      </c>
      <c r="D23843" t="inlineStr">
        <is>
          <t>Giorgio Armani</t>
        </is>
      </c>
      <c r="E23843" t="n">
        <v>27.78</v>
      </c>
      <c r="F23843" t="n">
        <v>1</v>
      </c>
      <c r="G23843" t="n">
        <v>17</v>
      </c>
      <c r="H23843" s="5">
        <f>HYPERLINK("https://api.qogita.com/variants/link/3614272163508/", "View Product")</f>
        <v/>
      </c>
    </row>
    <row r="23844">
      <c r="A23844" t="inlineStr">
        <is>
          <t>3614272191556</t>
        </is>
      </c>
      <c r="B23844" t="inlineStr">
        <is>
          <t>Viktor&amp;Rolf Spicebomb Night Vision Eau De Toilette Spray 90ml</t>
        </is>
      </c>
      <c r="C23844" t="inlineStr">
        <is>
          <t>Eau De Toilette</t>
        </is>
      </c>
      <c r="D23844" t="inlineStr">
        <is>
          <t>Viktor &amp; Rolf</t>
        </is>
      </c>
      <c r="E23844" t="n">
        <v>63.8</v>
      </c>
      <c r="F23844" t="n">
        <v>1</v>
      </c>
      <c r="G23844" t="n">
        <v>15</v>
      </c>
      <c r="H23844" s="5">
        <f>HYPERLINK("https://api.qogita.com/variants/link/3614272191556/", "View Product")</f>
        <v/>
      </c>
    </row>
    <row r="23845">
      <c r="A23845" t="inlineStr">
        <is>
          <t>3614272225695</t>
        </is>
      </c>
      <c r="B23845" t="inlineStr">
        <is>
          <t>Armani Emporio Armani Stronger With You Intensely Eau De Parfum 30 Ml</t>
        </is>
      </c>
      <c r="C23845" t="inlineStr">
        <is>
          <t>Eau De Parfum</t>
        </is>
      </c>
      <c r="D23845" t="inlineStr">
        <is>
          <t>Armani</t>
        </is>
      </c>
      <c r="E23845" t="n">
        <v>51.1</v>
      </c>
      <c r="F23845" t="n">
        <v>1</v>
      </c>
      <c r="G23845" t="n">
        <v>38</v>
      </c>
      <c r="H23845" s="5">
        <f>HYPERLINK("https://api.qogita.com/variants/link/3614272225695/", "View Product")</f>
        <v/>
      </c>
    </row>
    <row r="23846">
      <c r="A23846" t="inlineStr">
        <is>
          <t>3614272365124</t>
        </is>
      </c>
      <c r="B23846" t="inlineStr">
        <is>
          <t>Cacharel Yes I Am Pink First Eau De Parfum 50ml for Women</t>
        </is>
      </c>
      <c r="C23846" t="inlineStr">
        <is>
          <t>Eau De Parfum</t>
        </is>
      </c>
      <c r="D23846" t="inlineStr">
        <is>
          <t>Cacharel</t>
        </is>
      </c>
      <c r="E23846" t="n">
        <v>23.93</v>
      </c>
      <c r="F23846" t="n">
        <v>1</v>
      </c>
      <c r="G23846" t="n">
        <v>5</v>
      </c>
      <c r="H23846" s="5">
        <f>HYPERLINK("https://api.qogita.com/variants/link/3614272365124/", "View Product")</f>
        <v/>
      </c>
    </row>
    <row r="23847">
      <c r="A23847" t="inlineStr">
        <is>
          <t>3614272374706</t>
        </is>
      </c>
      <c r="B23847" t="inlineStr">
        <is>
          <t>Yves Saint Laurent Touche Eclat All-Over Brightening Pen 0.08oz Luminous Milk Women Concealer</t>
        </is>
      </c>
      <c r="C23847" t="inlineStr">
        <is>
          <t>Concealer</t>
        </is>
      </c>
      <c r="D23847" t="inlineStr">
        <is>
          <t>Yves Saint Laurent</t>
        </is>
      </c>
      <c r="E23847" t="n">
        <v>31.62</v>
      </c>
      <c r="F23847" t="n">
        <v>1</v>
      </c>
      <c r="G23847" t="n">
        <v>4</v>
      </c>
      <c r="H23847" s="5">
        <f>HYPERLINK("https://api.qogita.com/variants/link/3614272374706/", "View Product")</f>
        <v/>
      </c>
    </row>
    <row r="23848">
      <c r="A23848" t="inlineStr">
        <is>
          <t>3614272518148</t>
        </is>
      </c>
      <c r="B23848" t="inlineStr">
        <is>
          <t>Giorgio Armani Eye Tint Eyeshadow 12 Ashes 3.9ml</t>
        </is>
      </c>
      <c r="C23848" t="inlineStr">
        <is>
          <t>Eyeshadow</t>
        </is>
      </c>
      <c r="D23848" t="inlineStr">
        <is>
          <t>Giorgio Armani</t>
        </is>
      </c>
      <c r="E23848" t="n">
        <v>27.8</v>
      </c>
      <c r="F23848" t="n">
        <v>1</v>
      </c>
      <c r="G23848" t="n">
        <v>20</v>
      </c>
      <c r="H23848" s="5">
        <f>HYPERLINK("https://api.qogita.com/variants/link/3614272518148/", "View Product")</f>
        <v/>
      </c>
    </row>
    <row r="23849">
      <c r="A23849" t="inlineStr">
        <is>
          <t>3614272537439</t>
        </is>
      </c>
      <c r="B23849" t="inlineStr">
        <is>
          <t>Biotherm Aqua Bounce Soothing And Moisturizing Facial Fluid Super Concentrate 50 Ml</t>
        </is>
      </c>
      <c r="C23849" t="inlineStr">
        <is>
          <t>Hydrating Serum</t>
        </is>
      </c>
      <c r="D23849" t="inlineStr">
        <is>
          <t>Biotherm</t>
        </is>
      </c>
      <c r="E23849" t="n">
        <v>23.58</v>
      </c>
      <c r="F23849" t="n">
        <v>1</v>
      </c>
      <c r="G23849" t="n">
        <v>17</v>
      </c>
      <c r="H23849" s="5">
        <f>HYPERLINK("https://api.qogita.com/variants/link/3614272537439/", "View Product")</f>
        <v/>
      </c>
    </row>
    <row r="23850">
      <c r="A23850" t="inlineStr">
        <is>
          <t>3614272648418</t>
        </is>
      </c>
      <c r="B23850" t="inlineStr">
        <is>
          <t>Yves Saint Laurent Libre Eau De Parfum 50ml Women's Fragrance</t>
        </is>
      </c>
      <c r="C23850" t="inlineStr">
        <is>
          <t>Eau De Parfum</t>
        </is>
      </c>
      <c r="D23850" t="inlineStr">
        <is>
          <t>Yves Saint Laurent</t>
        </is>
      </c>
      <c r="E23850" t="n">
        <v>79.45999999999999</v>
      </c>
      <c r="F23850" t="n">
        <v>1</v>
      </c>
      <c r="G23850" t="n">
        <v>8</v>
      </c>
      <c r="H23850" s="5">
        <f>HYPERLINK("https://api.qogita.com/variants/link/3614272648418/", "View Product")</f>
        <v/>
      </c>
    </row>
    <row r="23851">
      <c r="A23851" t="inlineStr">
        <is>
          <t>3614272648425</t>
        </is>
      </c>
      <c r="B23851" t="inlineStr">
        <is>
          <t>Yves Saint Laurent Libre Eau De Parfum Spray 90 Ml</t>
        </is>
      </c>
      <c r="C23851" t="inlineStr">
        <is>
          <t>Eau De Parfum</t>
        </is>
      </c>
      <c r="D23851" t="inlineStr">
        <is>
          <t>Yves Saint Laurent</t>
        </is>
      </c>
      <c r="E23851" t="n">
        <v>93.87</v>
      </c>
      <c r="F23851" t="n">
        <v>1</v>
      </c>
      <c r="G23851" t="n">
        <v>130</v>
      </c>
      <c r="H23851" s="5">
        <f>HYPERLINK("https://api.qogita.com/variants/link/3614272648425/", "View Product")</f>
        <v/>
      </c>
    </row>
    <row r="23852">
      <c r="A23852" t="inlineStr">
        <is>
          <t>3614272649279</t>
        </is>
      </c>
      <c r="B23852" t="inlineStr">
        <is>
          <t>Giorgio Armani Lip Power 104 3.1g</t>
        </is>
      </c>
      <c r="C23852" t="inlineStr">
        <is>
          <t>Lipstick</t>
        </is>
      </c>
      <c r="D23852" t="inlineStr">
        <is>
          <t>Giorgio Armani</t>
        </is>
      </c>
      <c r="E23852" t="n">
        <v>35.92</v>
      </c>
      <c r="F23852" t="n">
        <v>1</v>
      </c>
      <c r="G23852" t="n">
        <v>10</v>
      </c>
      <c r="H23852" s="5">
        <f>HYPERLINK("https://api.qogita.com/variants/link/3614272649279/", "View Product")</f>
        <v/>
      </c>
    </row>
    <row r="23853">
      <c r="A23853" t="inlineStr">
        <is>
          <t>3614272650985</t>
        </is>
      </c>
      <c r="B23853" t="inlineStr">
        <is>
          <t>Armani Prive Jasmin Kusamono Eau De Toilette Spray 100ml</t>
        </is>
      </c>
      <c r="C23853" t="inlineStr">
        <is>
          <t>Eau De Toilette</t>
        </is>
      </c>
      <c r="D23853" t="inlineStr">
        <is>
          <t>Giorgio Armani</t>
        </is>
      </c>
      <c r="E23853" t="n">
        <v>110.76</v>
      </c>
      <c r="F23853" t="n">
        <v>1</v>
      </c>
      <c r="G23853" t="n">
        <v>13</v>
      </c>
      <c r="H23853" s="5">
        <f>HYPERLINK("https://api.qogita.com/variants/link/3614272650985/", "View Product")</f>
        <v/>
      </c>
    </row>
    <row r="23854">
      <c r="A23854" t="inlineStr">
        <is>
          <t>3614272651173</t>
        </is>
      </c>
      <c r="B23854" t="inlineStr">
        <is>
          <t>Giorgio Armani Prive Gardenia Antigua Eau De Toilette 50ml</t>
        </is>
      </c>
      <c r="C23854" t="inlineStr">
        <is>
          <t>Eau De Toilette</t>
        </is>
      </c>
      <c r="D23854" t="inlineStr">
        <is>
          <t>Giorgio Armani</t>
        </is>
      </c>
      <c r="E23854" t="n">
        <v>78.83</v>
      </c>
      <c r="F23854" t="n">
        <v>1</v>
      </c>
      <c r="G23854" t="n">
        <v>4</v>
      </c>
      <c r="H23854" s="5">
        <f>HYPERLINK("https://api.qogita.com/variants/link/3614272651173/", "View Product")</f>
        <v/>
      </c>
    </row>
    <row r="23855">
      <c r="A23855" t="inlineStr">
        <is>
          <t>3614272731943</t>
        </is>
      </c>
      <c r="B23855" t="inlineStr">
        <is>
          <t>Valentino Donna Eau De Parfum Spray 30ml</t>
        </is>
      </c>
      <c r="C23855" t="inlineStr">
        <is>
          <t>Eau De Parfum</t>
        </is>
      </c>
      <c r="D23855" t="inlineStr">
        <is>
          <t>Valentino</t>
        </is>
      </c>
      <c r="E23855" t="n">
        <v>51.96</v>
      </c>
      <c r="F23855" t="n">
        <v>1</v>
      </c>
      <c r="G23855" t="n">
        <v>2</v>
      </c>
      <c r="H23855" s="5">
        <f>HYPERLINK("https://api.qogita.com/variants/link/3614272731943/", "View Product")</f>
        <v/>
      </c>
    </row>
    <row r="23856">
      <c r="A23856" t="inlineStr">
        <is>
          <t>3614272732230</t>
        </is>
      </c>
      <c r="B23856" t="inlineStr">
        <is>
          <t>Valentino Uomo Eau De Toilette Spray 50ml</t>
        </is>
      </c>
      <c r="C23856" t="inlineStr">
        <is>
          <t>Eau De Toilette</t>
        </is>
      </c>
      <c r="D23856" t="inlineStr">
        <is>
          <t>Valentino</t>
        </is>
      </c>
      <c r="E23856" t="n">
        <v>44.77</v>
      </c>
      <c r="F23856" t="n">
        <v>1</v>
      </c>
      <c r="G23856" t="n">
        <v>5</v>
      </c>
      <c r="H23856" s="5">
        <f>HYPERLINK("https://api.qogita.com/variants/link/3614272732230/", "View Product")</f>
        <v/>
      </c>
    </row>
    <row r="23857">
      <c r="A23857" t="inlineStr">
        <is>
          <t>3614272761445</t>
        </is>
      </c>
      <c r="B23857" t="inlineStr">
        <is>
          <t>Valentino Donna Born In Roma Eau De Parfum Spray 100ml</t>
        </is>
      </c>
      <c r="C23857" t="inlineStr">
        <is>
          <t>Eau De Parfum</t>
        </is>
      </c>
      <c r="D23857" t="inlineStr">
        <is>
          <t>Valentino</t>
        </is>
      </c>
      <c r="E23857" t="n">
        <v>103.16</v>
      </c>
      <c r="F23857" t="n">
        <v>1</v>
      </c>
      <c r="G23857" t="n">
        <v>74</v>
      </c>
      <c r="H23857" s="5">
        <f>HYPERLINK("https://api.qogita.com/variants/link/3614272761445/", "View Product")</f>
        <v/>
      </c>
    </row>
    <row r="23858">
      <c r="A23858" t="inlineStr">
        <is>
          <t>3614272824966</t>
        </is>
      </c>
      <c r="B23858" t="inlineStr">
        <is>
          <t>Yves Saint Laurent Black Opium Neon Eau De Parfum Spray 30ml</t>
        </is>
      </c>
      <c r="C23858" t="inlineStr">
        <is>
          <t>Eau De Parfum</t>
        </is>
      </c>
      <c r="D23858" t="inlineStr">
        <is>
          <t>Yves Saint Laurent</t>
        </is>
      </c>
      <c r="E23858" t="n">
        <v>48.61</v>
      </c>
      <c r="F23858" t="n">
        <v>1</v>
      </c>
      <c r="G23858" t="n">
        <v>14</v>
      </c>
      <c r="H23858" s="5">
        <f>HYPERLINK("https://api.qogita.com/variants/link/3614272824966/", "View Product")</f>
        <v/>
      </c>
    </row>
    <row r="23859">
      <c r="A23859" t="inlineStr">
        <is>
          <t>3614272899711</t>
        </is>
      </c>
      <c r="B23859" t="inlineStr">
        <is>
          <t>Mon Paris Intensement Eau De Parfum Spray for Women 90ml</t>
        </is>
      </c>
      <c r="C23859" t="inlineStr">
        <is>
          <t>Eau De Parfum</t>
        </is>
      </c>
      <c r="D23859" t="inlineStr">
        <is>
          <t>Yves Saint Laurent</t>
        </is>
      </c>
      <c r="E23859" t="n">
        <v>96.79000000000001</v>
      </c>
      <c r="F23859" t="n">
        <v>1</v>
      </c>
      <c r="G23859" t="n">
        <v>6</v>
      </c>
      <c r="H23859" s="5">
        <f>HYPERLINK("https://api.qogita.com/variants/link/3614272899711/", "View Product")</f>
        <v/>
      </c>
    </row>
    <row r="23860">
      <c r="A23860" t="inlineStr">
        <is>
          <t>3614272941625</t>
        </is>
      </c>
      <c r="B23860" t="inlineStr">
        <is>
          <t>Giorgio Armani Luminous Silk Foundation 8.75 Tan to Deep Peach 30ml</t>
        </is>
      </c>
      <c r="C23860" t="inlineStr">
        <is>
          <t>Foundation</t>
        </is>
      </c>
      <c r="D23860" t="inlineStr">
        <is>
          <t>Giorgio Armani</t>
        </is>
      </c>
      <c r="E23860" t="n">
        <v>44.58</v>
      </c>
      <c r="F23860" t="n">
        <v>1</v>
      </c>
      <c r="G23860" t="n">
        <v>4</v>
      </c>
      <c r="H23860" s="5">
        <f>HYPERLINK("https://api.qogita.com/variants/link/3614272941625/", "View Product")</f>
        <v/>
      </c>
    </row>
    <row r="23861">
      <c r="A23861" t="inlineStr">
        <is>
          <t>3614272941649</t>
        </is>
      </c>
      <c r="B23861" t="inlineStr">
        <is>
          <t>Giorgio Armani Luminous Silk Foundation #5.3 30ml</t>
        </is>
      </c>
      <c r="C23861" t="inlineStr">
        <is>
          <t>Foundation</t>
        </is>
      </c>
      <c r="D23861" t="inlineStr">
        <is>
          <t>Emporio Armani</t>
        </is>
      </c>
      <c r="E23861" t="n">
        <v>44.58</v>
      </c>
      <c r="F23861" t="n">
        <v>1</v>
      </c>
      <c r="G23861" t="n">
        <v>20</v>
      </c>
      <c r="H23861" s="5">
        <f>HYPERLINK("https://api.qogita.com/variants/link/3614272941649/", "View Product")</f>
        <v/>
      </c>
    </row>
    <row r="23862">
      <c r="A23862" t="inlineStr">
        <is>
          <t>3614272951556</t>
        </is>
      </c>
      <c r="B23862" t="inlineStr">
        <is>
          <t>Giorgio Armani Luminous Silk Multi-Purpose Glow Concealer 2 12ml</t>
        </is>
      </c>
      <c r="C23862" t="inlineStr">
        <is>
          <t>Concealer</t>
        </is>
      </c>
      <c r="D23862" t="inlineStr">
        <is>
          <t>Giorgio Armani</t>
        </is>
      </c>
      <c r="E23862" t="n">
        <v>31.41</v>
      </c>
      <c r="F23862" t="n">
        <v>1</v>
      </c>
      <c r="G23862" t="n">
        <v>10</v>
      </c>
      <c r="H23862" s="5">
        <f>HYPERLINK("https://api.qogita.com/variants/link/3614272951556/", "View Product")</f>
        <v/>
      </c>
    </row>
    <row r="23863">
      <c r="A23863" t="inlineStr">
        <is>
          <t>3614272951563</t>
        </is>
      </c>
      <c r="B23863" t="inlineStr">
        <is>
          <t>Giorgio Armani Luminous Silk Concealer 12 Ml</t>
        </is>
      </c>
      <c r="C23863" t="inlineStr">
        <is>
          <t>Concealer</t>
        </is>
      </c>
      <c r="D23863" t="inlineStr">
        <is>
          <t>Giorgio Armani</t>
        </is>
      </c>
      <c r="E23863" t="n">
        <v>31.41</v>
      </c>
      <c r="F23863" t="n">
        <v>1</v>
      </c>
      <c r="G23863" t="n">
        <v>15</v>
      </c>
      <c r="H23863" s="5">
        <f>HYPERLINK("https://api.qogita.com/variants/link/3614272951563/", "View Product")</f>
        <v/>
      </c>
    </row>
    <row r="23864">
      <c r="A23864" t="inlineStr">
        <is>
          <t>3614272964662</t>
        </is>
      </c>
      <c r="B23864" t="inlineStr">
        <is>
          <t>Lancome La Vie Est Belle Intensement Eau De Parfum Spray 30ml</t>
        </is>
      </c>
      <c r="C23864" t="inlineStr">
        <is>
          <t>Eau De Parfum</t>
        </is>
      </c>
      <c r="D23864" t="inlineStr">
        <is>
          <t>Lancôme</t>
        </is>
      </c>
      <c r="E23864" t="n">
        <v>66.06</v>
      </c>
      <c r="F23864" t="n">
        <v>1</v>
      </c>
      <c r="G23864" t="n">
        <v>5</v>
      </c>
      <c r="H23864" s="5">
        <f>HYPERLINK("https://api.qogita.com/variants/link/3614272964662/", "View Product")</f>
        <v/>
      </c>
    </row>
    <row r="23865">
      <c r="A23865" t="inlineStr">
        <is>
          <t>3614272968141</t>
        </is>
      </c>
      <c r="B23865" t="inlineStr">
        <is>
          <t>Giorgio Armani Fluid Sheer Glow Enhancer Nr.02 Champagne 18ml</t>
        </is>
      </c>
      <c r="C23865" t="inlineStr">
        <is>
          <t>Highlighter</t>
        </is>
      </c>
      <c r="D23865" t="inlineStr">
        <is>
          <t>Giorgio Armani</t>
        </is>
      </c>
      <c r="E23865" t="n">
        <v>31.79</v>
      </c>
      <c r="F23865" t="n">
        <v>1</v>
      </c>
      <c r="G23865" t="n">
        <v>11</v>
      </c>
      <c r="H23865" s="5">
        <f>HYPERLINK("https://api.qogita.com/variants/link/3614272968141/", "View Product")</f>
        <v/>
      </c>
    </row>
    <row r="23866">
      <c r="A23866" t="inlineStr">
        <is>
          <t>3614272974999</t>
        </is>
      </c>
      <c r="B23866" t="inlineStr">
        <is>
          <t>Biotherm Homme Force Supreme Gel 50 Ml Antiaging Rejuvenating Gel For Men</t>
        </is>
      </c>
      <c r="C23866" t="inlineStr">
        <is>
          <t>Anti-Aging Facial Care</t>
        </is>
      </c>
      <c r="D23866" t="inlineStr">
        <is>
          <t>Biotherm</t>
        </is>
      </c>
      <c r="E23866" t="n">
        <v>55.96</v>
      </c>
      <c r="F23866" t="n">
        <v>1</v>
      </c>
      <c r="G23866" t="n">
        <v>5</v>
      </c>
      <c r="H23866" s="5">
        <f>HYPERLINK("https://api.qogita.com/variants/link/3614272974999/", "View Product")</f>
        <v/>
      </c>
    </row>
    <row r="23867">
      <c r="A23867" t="inlineStr">
        <is>
          <t>3614272975019</t>
        </is>
      </c>
      <c r="B23867" t="inlineStr">
        <is>
          <t>Biotherm Homme Tpur Ultramattifying And Oilcontrol Gel 50 Ml</t>
        </is>
      </c>
      <c r="C23867" t="inlineStr">
        <is>
          <t>Face Cream</t>
        </is>
      </c>
      <c r="D23867" t="inlineStr">
        <is>
          <t>Biotherm</t>
        </is>
      </c>
      <c r="E23867" t="n">
        <v>32.86</v>
      </c>
      <c r="F23867" t="n">
        <v>1</v>
      </c>
      <c r="G23867" t="n">
        <v>2</v>
      </c>
      <c r="H23867" s="5">
        <f>HYPERLINK("https://api.qogita.com/variants/link/3614272975019/", "View Product")</f>
        <v/>
      </c>
    </row>
    <row r="23868">
      <c r="A23868" t="inlineStr">
        <is>
          <t>3614273010115</t>
        </is>
      </c>
      <c r="B23868" t="inlineStr">
        <is>
          <t>Biotherm Aqua Pure Super Mask Moisturizing Face Mask With Salicylic Acid 35 Ml</t>
        </is>
      </c>
      <c r="C23868" t="inlineStr">
        <is>
          <t>Hydrating Mask</t>
        </is>
      </c>
      <c r="D23868" t="inlineStr">
        <is>
          <t>Biotherm</t>
        </is>
      </c>
      <c r="E23868" t="n">
        <v>8.69</v>
      </c>
      <c r="F23868" t="n">
        <v>1</v>
      </c>
      <c r="G23868" t="n">
        <v>10</v>
      </c>
      <c r="H23868" s="5">
        <f>HYPERLINK("https://api.qogita.com/variants/link/3614273010115/", "View Product")</f>
        <v/>
      </c>
    </row>
    <row r="23869">
      <c r="A23869" t="inlineStr">
        <is>
          <t>3614273067775</t>
        </is>
      </c>
      <c r="B23869" t="inlineStr">
        <is>
          <t>Victor &amp; Rolf Spicebomb Night Vision Eau De Parfum Spray 50ml</t>
        </is>
      </c>
      <c r="C23869" t="inlineStr">
        <is>
          <t>Eau De Parfum</t>
        </is>
      </c>
      <c r="D23869" t="inlineStr">
        <is>
          <t>Viktor &amp; Rolf</t>
        </is>
      </c>
      <c r="E23869" t="n">
        <v>46.35</v>
      </c>
      <c r="F23869" t="n">
        <v>1</v>
      </c>
      <c r="G23869" t="n">
        <v>5</v>
      </c>
      <c r="H23869" s="5">
        <f>HYPERLINK("https://api.qogita.com/variants/link/3614273067775/", "View Product")</f>
        <v/>
      </c>
    </row>
    <row r="23870">
      <c r="A23870" t="inlineStr">
        <is>
          <t>3614273069175</t>
        </is>
      </c>
      <c r="B23870" t="inlineStr">
        <is>
          <t>Lancme Idle Eau De Parfum 100ml Spray For Women</t>
        </is>
      </c>
      <c r="C23870" t="inlineStr">
        <is>
          <t>Eau De Parfum</t>
        </is>
      </c>
      <c r="D23870" t="inlineStr">
        <is>
          <t>Lancôme</t>
        </is>
      </c>
      <c r="E23870" t="n">
        <v>88.88</v>
      </c>
      <c r="F23870" t="n">
        <v>1</v>
      </c>
      <c r="G23870" t="n">
        <v>9</v>
      </c>
      <c r="H23870" s="5">
        <f>HYPERLINK("https://api.qogita.com/variants/link/3614273069175/", "View Product")</f>
        <v/>
      </c>
    </row>
    <row r="23871">
      <c r="A23871" t="inlineStr">
        <is>
          <t>3614273069540</t>
        </is>
      </c>
      <c r="B23871" t="inlineStr">
        <is>
          <t>Yves Saint Laurent Libre Eau De Parfum Intense 50 Ml</t>
        </is>
      </c>
      <c r="C23871" t="inlineStr">
        <is>
          <t>Eau De Parfum</t>
        </is>
      </c>
      <c r="D23871" t="inlineStr">
        <is>
          <t>Yves Saint Laurent</t>
        </is>
      </c>
      <c r="E23871" t="n">
        <v>76.65000000000001</v>
      </c>
      <c r="F23871" t="n">
        <v>1</v>
      </c>
      <c r="G23871" t="n">
        <v>11</v>
      </c>
      <c r="H23871" s="5">
        <f>HYPERLINK("https://api.qogita.com/variants/link/3614273069540/", "View Product")</f>
        <v/>
      </c>
    </row>
    <row r="23872">
      <c r="A23872" t="inlineStr">
        <is>
          <t>3614273070256</t>
        </is>
      </c>
      <c r="B23872" t="inlineStr">
        <is>
          <t>Emporio Armani She Eau De Parfum 30ml</t>
        </is>
      </c>
      <c r="C23872" t="inlineStr">
        <is>
          <t>Eau De Parfum</t>
        </is>
      </c>
      <c r="D23872" t="inlineStr">
        <is>
          <t>Giorgio Armani</t>
        </is>
      </c>
      <c r="E23872" t="n">
        <v>39.57</v>
      </c>
      <c r="F23872" t="n">
        <v>1</v>
      </c>
      <c r="G23872" t="n">
        <v>8</v>
      </c>
      <c r="H23872" s="5">
        <f>HYPERLINK("https://api.qogita.com/variants/link/3614273070256/", "View Product")</f>
        <v/>
      </c>
    </row>
    <row r="23873">
      <c r="A23873" t="inlineStr">
        <is>
          <t>3614273070263</t>
        </is>
      </c>
      <c r="B23873" t="inlineStr">
        <is>
          <t>Emporio Armani She Eau De Parfum 50ml</t>
        </is>
      </c>
      <c r="C23873" t="inlineStr">
        <is>
          <t>Eau De Parfum</t>
        </is>
      </c>
      <c r="D23873" t="inlineStr">
        <is>
          <t>Armani Beauty</t>
        </is>
      </c>
      <c r="E23873" t="n">
        <v>43.73</v>
      </c>
      <c r="F23873" t="n">
        <v>1</v>
      </c>
      <c r="G23873" t="n">
        <v>29</v>
      </c>
      <c r="H23873" s="5">
        <f>HYPERLINK("https://api.qogita.com/variants/link/3614273070263/", "View Product")</f>
        <v/>
      </c>
    </row>
    <row r="23874">
      <c r="A23874" t="inlineStr">
        <is>
          <t>3614273073899</t>
        </is>
      </c>
      <c r="B23874" t="inlineStr">
        <is>
          <t>Valentino Voce Viva Eau De Parfum Spray 100ml</t>
        </is>
      </c>
      <c r="C23874" t="inlineStr">
        <is>
          <t>Eau De Parfum</t>
        </is>
      </c>
      <c r="D23874" t="inlineStr">
        <is>
          <t>Valentino</t>
        </is>
      </c>
      <c r="E23874" t="n">
        <v>80.01000000000001</v>
      </c>
      <c r="F23874" t="n">
        <v>1</v>
      </c>
      <c r="G23874" t="n">
        <v>4</v>
      </c>
      <c r="H23874" s="5">
        <f>HYPERLINK("https://api.qogita.com/variants/link/3614273073899/", "View Product")</f>
        <v/>
      </c>
    </row>
    <row r="23875">
      <c r="A23875" t="inlineStr">
        <is>
          <t>3614273074629</t>
        </is>
      </c>
      <c r="B23875" t="inlineStr">
        <is>
          <t>Lancme Teint Idole Ultra Wear All Over Concealer 04 Beige Nature 13 Ml</t>
        </is>
      </c>
      <c r="C23875" t="inlineStr">
        <is>
          <t>Concealer</t>
        </is>
      </c>
      <c r="D23875" t="inlineStr">
        <is>
          <t>Lancôme</t>
        </is>
      </c>
      <c r="E23875" t="n">
        <v>26.25</v>
      </c>
      <c r="F23875" t="n">
        <v>1</v>
      </c>
      <c r="G23875" t="n">
        <v>2</v>
      </c>
      <c r="H23875" s="5">
        <f>HYPERLINK("https://api.qogita.com/variants/link/3614273074629/", "View Product")</f>
        <v/>
      </c>
    </row>
    <row r="23876">
      <c r="A23876" t="inlineStr">
        <is>
          <t>3614273185929</t>
        </is>
      </c>
      <c r="B23876" t="inlineStr">
        <is>
          <t>Replica Springtime In A Park Eau De Toilette Spray 30ml By Replica</t>
        </is>
      </c>
      <c r="C23876" t="inlineStr">
        <is>
          <t>Eau De Toilette</t>
        </is>
      </c>
      <c r="D23876" t="inlineStr">
        <is>
          <t>Replica</t>
        </is>
      </c>
      <c r="E23876" t="n">
        <v>40.78</v>
      </c>
      <c r="F23876" t="n">
        <v>1</v>
      </c>
      <c r="G23876" t="n">
        <v>3</v>
      </c>
      <c r="H23876" s="5">
        <f>HYPERLINK("https://api.qogita.com/variants/link/3614273185929/", "View Product")</f>
        <v/>
      </c>
    </row>
    <row r="23877">
      <c r="A23877" t="inlineStr">
        <is>
          <t>3614273195522</t>
        </is>
      </c>
      <c r="B23877" t="inlineStr">
        <is>
          <t>YSL Pure Shots Night Reboot Serum 1.6oz Refill - New in Box Sealed</t>
        </is>
      </c>
      <c r="C23877" t="inlineStr">
        <is>
          <t>Anti-Aging Serum</t>
        </is>
      </c>
      <c r="D23877" t="inlineStr">
        <is>
          <t>Yves Saint Laurent</t>
        </is>
      </c>
      <c r="E23877" t="n">
        <v>76.39</v>
      </c>
      <c r="F23877" t="n">
        <v>1</v>
      </c>
      <c r="G23877" t="n">
        <v>2</v>
      </c>
      <c r="H23877" s="5">
        <f>HYPERLINK("https://api.qogita.com/variants/link/3614273195522/", "View Product")</f>
        <v/>
      </c>
    </row>
    <row r="23878">
      <c r="A23878" t="inlineStr">
        <is>
          <t>3614273250757</t>
        </is>
      </c>
      <c r="B23878" t="inlineStr">
        <is>
          <t>Lancme L'Absolu Rouge Drama Ink 555 Soif De Vivre Makeup</t>
        </is>
      </c>
      <c r="C23878" t="inlineStr">
        <is>
          <t>Lipstick</t>
        </is>
      </c>
      <c r="D23878" t="inlineStr">
        <is>
          <t>Lancôme</t>
        </is>
      </c>
      <c r="E23878" t="n">
        <v>32.05</v>
      </c>
      <c r="F23878" t="n">
        <v>1</v>
      </c>
      <c r="G23878" t="n">
        <v>2</v>
      </c>
      <c r="H23878" s="5">
        <f>HYPERLINK("https://api.qogita.com/variants/link/3614273250757/", "View Product")</f>
        <v/>
      </c>
    </row>
    <row r="23879">
      <c r="A23879" t="inlineStr">
        <is>
          <t>3614273261357</t>
        </is>
      </c>
      <c r="B23879" t="inlineStr">
        <is>
          <t>Valentino Donna Born In Roma Yellow Dream Eau De Parfum Spray 50 Ml</t>
        </is>
      </c>
      <c r="C23879" t="inlineStr">
        <is>
          <t>Eau De Parfum</t>
        </is>
      </c>
      <c r="D23879" t="inlineStr">
        <is>
          <t>Valentino</t>
        </is>
      </c>
      <c r="E23879" t="n">
        <v>65.98</v>
      </c>
      <c r="F23879" t="n">
        <v>1</v>
      </c>
      <c r="G23879" t="n">
        <v>32</v>
      </c>
      <c r="H23879" s="5">
        <f>HYPERLINK("https://api.qogita.com/variants/link/3614273261357/", "View Product")</f>
        <v/>
      </c>
    </row>
    <row r="23880">
      <c r="A23880" t="inlineStr">
        <is>
          <t>3614273261401</t>
        </is>
      </c>
      <c r="B23880" t="inlineStr">
        <is>
          <t>Valentino Donna Born In Roma Yellow Dream Eau De Parfum Spray 100 Ml</t>
        </is>
      </c>
      <c r="C23880" t="inlineStr">
        <is>
          <t>Eau De Parfum</t>
        </is>
      </c>
      <c r="D23880" t="inlineStr">
        <is>
          <t>Valentino</t>
        </is>
      </c>
      <c r="E23880" t="n">
        <v>89.23999999999999</v>
      </c>
      <c r="F23880" t="n">
        <v>1</v>
      </c>
      <c r="G23880" t="n">
        <v>75</v>
      </c>
      <c r="H23880" s="5">
        <f>HYPERLINK("https://api.qogita.com/variants/link/3614273261401/", "View Product")</f>
        <v/>
      </c>
    </row>
    <row r="23881">
      <c r="A23881" t="inlineStr">
        <is>
          <t>3614273278416</t>
        </is>
      </c>
      <c r="B23881" t="inlineStr">
        <is>
          <t>Prodigy Cell Glow Firming Cream 50ml</t>
        </is>
      </c>
      <c r="C23881" t="inlineStr">
        <is>
          <t>Face Cream</t>
        </is>
      </c>
      <c r="D23881" t="inlineStr">
        <is>
          <t>Helena Rubinstein</t>
        </is>
      </c>
      <c r="E23881" t="n">
        <v>201.71</v>
      </c>
      <c r="F23881" t="n">
        <v>1</v>
      </c>
      <c r="G23881" t="n">
        <v>10</v>
      </c>
      <c r="H23881" s="5">
        <f>HYPERLINK("https://api.qogita.com/variants/link/3614273278416/", "View Product")</f>
        <v/>
      </c>
    </row>
    <row r="23882">
      <c r="A23882" t="inlineStr">
        <is>
          <t>3614273307024</t>
        </is>
      </c>
      <c r="B23882" t="inlineStr">
        <is>
          <t>Lancome L'Absolu Rouge Cream Lipstick 132 Caprice De Rouge 3.4g</t>
        </is>
      </c>
      <c r="C23882" t="inlineStr">
        <is>
          <t>Lipstick</t>
        </is>
      </c>
      <c r="D23882" t="inlineStr">
        <is>
          <t>Lancôme</t>
        </is>
      </c>
      <c r="E23882" t="n">
        <v>32.1</v>
      </c>
      <c r="F23882" t="n">
        <v>1</v>
      </c>
      <c r="G23882" t="n">
        <v>2</v>
      </c>
      <c r="H23882" s="5">
        <f>HYPERLINK("https://api.qogita.com/variants/link/3614273307024/", "View Product")</f>
        <v/>
      </c>
    </row>
    <row r="23883">
      <c r="A23883" t="inlineStr">
        <is>
          <t>3614273348386</t>
        </is>
      </c>
      <c r="B23883" t="inlineStr">
        <is>
          <t>Lancme Lash Idle Waterproof Mascara 8 Ml</t>
        </is>
      </c>
      <c r="C23883" t="inlineStr">
        <is>
          <t>Mascara</t>
        </is>
      </c>
      <c r="D23883" t="inlineStr">
        <is>
          <t>Lancôme</t>
        </is>
      </c>
      <c r="E23883" t="n">
        <v>20.56</v>
      </c>
      <c r="F23883" t="n">
        <v>1</v>
      </c>
      <c r="G23883" t="n">
        <v>12</v>
      </c>
      <c r="H23883" s="5">
        <f>HYPERLINK("https://api.qogita.com/variants/link/3614273348386/", "View Product")</f>
        <v/>
      </c>
    </row>
    <row r="23884">
      <c r="A23884" t="inlineStr">
        <is>
          <t>3614273370257</t>
        </is>
      </c>
      <c r="B23884" t="inlineStr">
        <is>
          <t>Lancme Liner Idle Waterproof Eyeliner 1ml</t>
        </is>
      </c>
      <c r="C23884" t="inlineStr">
        <is>
          <t>Eyeliner</t>
        </is>
      </c>
      <c r="D23884" t="inlineStr">
        <is>
          <t>Lancôme</t>
        </is>
      </c>
      <c r="E23884" t="n">
        <v>25.74</v>
      </c>
      <c r="F23884" t="n">
        <v>1</v>
      </c>
      <c r="G23884" t="n">
        <v>2</v>
      </c>
      <c r="H23884" s="5">
        <f>HYPERLINK("https://api.qogita.com/variants/link/3614273370257/", "View Product")</f>
        <v/>
      </c>
    </row>
    <row r="23885">
      <c r="A23885" t="inlineStr">
        <is>
          <t>3614273370547</t>
        </is>
      </c>
      <c r="B23885" t="inlineStr">
        <is>
          <t>Lancome Absolue The Serum 30ml Refill with Grand Rose Extract</t>
        </is>
      </c>
      <c r="C23885" t="inlineStr">
        <is>
          <t>Anti-Aging Serum</t>
        </is>
      </c>
      <c r="D23885" t="inlineStr">
        <is>
          <t>Lancôme</t>
        </is>
      </c>
      <c r="E23885" t="n">
        <v>204.28</v>
      </c>
      <c r="F23885" t="n">
        <v>1</v>
      </c>
      <c r="G23885" t="n">
        <v>4</v>
      </c>
      <c r="H23885" s="5">
        <f>HYPERLINK("https://api.qogita.com/variants/link/3614273370547/", "View Product")</f>
        <v/>
      </c>
    </row>
    <row r="23886">
      <c r="A23886" t="inlineStr">
        <is>
          <t>3614273427548</t>
        </is>
      </c>
      <c r="B23886" t="inlineStr">
        <is>
          <t>Giorgio Armani Luminous Silk Glow Fusion Powder No. 5.5 3.5g</t>
        </is>
      </c>
      <c r="C23886" t="inlineStr">
        <is>
          <t>Powder</t>
        </is>
      </c>
      <c r="D23886" t="inlineStr">
        <is>
          <t>Giorgio Armani</t>
        </is>
      </c>
      <c r="E23886" t="n">
        <v>43.09</v>
      </c>
      <c r="F23886" t="n">
        <v>1</v>
      </c>
      <c r="G23886" t="n">
        <v>9</v>
      </c>
      <c r="H23886" s="5">
        <f>HYPERLINK("https://api.qogita.com/variants/link/3614273427548/", "View Product")</f>
        <v/>
      </c>
    </row>
    <row r="23887">
      <c r="A23887" t="inlineStr">
        <is>
          <t>3614273459068</t>
        </is>
      </c>
      <c r="B23887" t="inlineStr">
        <is>
          <t>Valentino Voce Viva Intensa for Women 1.7 Oz EDP Intense Spray</t>
        </is>
      </c>
      <c r="C23887" t="inlineStr">
        <is>
          <t>Eau De Parfum</t>
        </is>
      </c>
      <c r="D23887" t="inlineStr">
        <is>
          <t>Valentino</t>
        </is>
      </c>
      <c r="E23887" t="n">
        <v>65.53</v>
      </c>
      <c r="F23887" t="n">
        <v>1</v>
      </c>
      <c r="G23887" t="n">
        <v>18</v>
      </c>
      <c r="H23887" s="5">
        <f>HYPERLINK("https://api.qogita.com/variants/link/3614273459068/", "View Product")</f>
        <v/>
      </c>
    </row>
    <row r="23888">
      <c r="A23888" t="inlineStr">
        <is>
          <t>3614273475167</t>
        </is>
      </c>
      <c r="B23888" t="inlineStr">
        <is>
          <t>YSL Crushliner N6 Blue 0.35g</t>
        </is>
      </c>
      <c r="C23888" t="inlineStr">
        <is>
          <t>Eyeliner</t>
        </is>
      </c>
      <c r="D23888" t="inlineStr">
        <is>
          <t>Yves Saint Laurent</t>
        </is>
      </c>
      <c r="E23888" t="n">
        <v>23.8</v>
      </c>
      <c r="F23888" t="n">
        <v>1</v>
      </c>
      <c r="G23888" t="n">
        <v>2</v>
      </c>
      <c r="H23888" s="5">
        <f>HYPERLINK("https://api.qogita.com/variants/link/3614273475167/", "View Product")</f>
        <v/>
      </c>
    </row>
    <row r="23889">
      <c r="A23889" t="inlineStr">
        <is>
          <t>3614273521345</t>
        </is>
      </c>
      <c r="B23889" t="inlineStr">
        <is>
          <t>Azzaro The Most Wanted Intense Spray Eau De Parfum 50ml</t>
        </is>
      </c>
      <c r="C23889" t="inlineStr">
        <is>
          <t>Eau De Parfum</t>
        </is>
      </c>
      <c r="D23889" t="inlineStr">
        <is>
          <t>Azzaro</t>
        </is>
      </c>
      <c r="E23889" t="n">
        <v>41.64</v>
      </c>
      <c r="F23889" t="n">
        <v>1</v>
      </c>
      <c r="G23889" t="n">
        <v>10</v>
      </c>
      <c r="H23889" s="5">
        <f>HYPERLINK("https://api.qogita.com/variants/link/3614273521345/", "View Product")</f>
        <v/>
      </c>
    </row>
    <row r="23890">
      <c r="A23890" t="inlineStr">
        <is>
          <t>3614273556620</t>
        </is>
      </c>
      <c r="B23890" t="inlineStr">
        <is>
          <t>Prada Luna Rossa Ocean Eau De Toilette 100ml</t>
        </is>
      </c>
      <c r="C23890" t="inlineStr">
        <is>
          <t>Eau De Toilette</t>
        </is>
      </c>
      <c r="D23890" t="inlineStr">
        <is>
          <t>Prada</t>
        </is>
      </c>
      <c r="E23890" t="n">
        <v>83.45999999999999</v>
      </c>
      <c r="F23890" t="n">
        <v>1</v>
      </c>
      <c r="G23890" t="n">
        <v>37</v>
      </c>
      <c r="H23890" s="5">
        <f>HYPERLINK("https://api.qogita.com/variants/link/3614273556620/", "View Product")</f>
        <v/>
      </c>
    </row>
    <row r="23891">
      <c r="A23891" t="inlineStr">
        <is>
          <t>3614273556637</t>
        </is>
      </c>
      <c r="B23891" t="inlineStr">
        <is>
          <t>Prada Luna Rossa Ocean Eau De Toilette for Men 150ml</t>
        </is>
      </c>
      <c r="C23891" t="inlineStr">
        <is>
          <t>Eau De Toilette</t>
        </is>
      </c>
      <c r="D23891" t="inlineStr">
        <is>
          <t>Prada</t>
        </is>
      </c>
      <c r="E23891" t="n">
        <v>93.15000000000001</v>
      </c>
      <c r="F23891" t="n">
        <v>1</v>
      </c>
      <c r="G23891" t="n">
        <v>12</v>
      </c>
      <c r="H23891" s="5">
        <f>HYPERLINK("https://api.qogita.com/variants/link/3614273556637/", "View Product")</f>
        <v/>
      </c>
    </row>
    <row r="23892">
      <c r="A23892" t="inlineStr">
        <is>
          <t>3614273557979</t>
        </is>
      </c>
      <c r="B23892" t="inlineStr">
        <is>
          <t>Matt Makeup Power Fabric + Ultra Longwear Weightless Matte Foundation 30 ml Shade 2.75</t>
        </is>
      </c>
      <c r="C23892" t="inlineStr">
        <is>
          <t>Foundation</t>
        </is>
      </c>
      <c r="D23892" t="inlineStr">
        <is>
          <t>Giorgio Armani</t>
        </is>
      </c>
      <c r="E23892" t="n">
        <v>43.83</v>
      </c>
      <c r="F23892" t="n">
        <v>1</v>
      </c>
      <c r="G23892" t="n">
        <v>6</v>
      </c>
      <c r="H23892" s="5">
        <f>HYPERLINK("https://api.qogita.com/variants/link/3614273557979/", "View Product")</f>
        <v/>
      </c>
    </row>
    <row r="23893">
      <c r="A23893" t="inlineStr">
        <is>
          <t>3614273557993</t>
        </is>
      </c>
      <c r="B23893" t="inlineStr">
        <is>
          <t>Giorgio Armani Matt Makeup Power Fabric Ultra Longwear Weightless Matte Foundation 30 Ml</t>
        </is>
      </c>
      <c r="C23893" t="inlineStr">
        <is>
          <t>Foundation</t>
        </is>
      </c>
      <c r="D23893" t="inlineStr">
        <is>
          <t>Giorgio Armani</t>
        </is>
      </c>
      <c r="E23893" t="n">
        <v>43.83</v>
      </c>
      <c r="F23893" t="n">
        <v>1</v>
      </c>
      <c r="G23893" t="n">
        <v>5</v>
      </c>
      <c r="H23893" s="5">
        <f>HYPERLINK("https://api.qogita.com/variants/link/3614273557993/", "View Product")</f>
        <v/>
      </c>
    </row>
    <row r="23894">
      <c r="A23894" t="inlineStr">
        <is>
          <t>3614273558006</t>
        </is>
      </c>
      <c r="B23894" t="inlineStr">
        <is>
          <t>Giorgio Armani Power Fabric + Ultra Longwear Weightless Matte Foundation 3.5 SPF 20 30ml 1oz</t>
        </is>
      </c>
      <c r="C23894" t="inlineStr">
        <is>
          <t>Foundation</t>
        </is>
      </c>
      <c r="D23894" t="inlineStr">
        <is>
          <t>Giorgio Armani</t>
        </is>
      </c>
      <c r="E23894" t="n">
        <v>43.83</v>
      </c>
      <c r="F23894" t="n">
        <v>1</v>
      </c>
      <c r="G23894" t="n">
        <v>14</v>
      </c>
      <c r="H23894" s="5">
        <f>HYPERLINK("https://api.qogita.com/variants/link/3614273558006/", "View Product")</f>
        <v/>
      </c>
    </row>
    <row r="23895">
      <c r="A23895" t="inlineStr">
        <is>
          <t>3614273558044</t>
        </is>
      </c>
      <c r="B23895" t="inlineStr">
        <is>
          <t>Giorgio Armani Power Fabric + Ultra Longwear Weightless Matte Foundation 4.75 SPF 20 30ml</t>
        </is>
      </c>
      <c r="C23895" t="inlineStr">
        <is>
          <t>Foundation</t>
        </is>
      </c>
      <c r="D23895" t="inlineStr">
        <is>
          <t>Giorgio Armani</t>
        </is>
      </c>
      <c r="E23895" t="n">
        <v>43.87</v>
      </c>
      <c r="F23895" t="n">
        <v>1</v>
      </c>
      <c r="G23895" t="n">
        <v>5</v>
      </c>
      <c r="H23895" s="5">
        <f>HYPERLINK("https://api.qogita.com/variants/link/3614273558044/", "View Product")</f>
        <v/>
      </c>
    </row>
    <row r="23896">
      <c r="A23896" t="inlineStr">
        <is>
          <t>3614273558068</t>
        </is>
      </c>
      <c r="B23896" t="inlineStr">
        <is>
          <t>Giorgio Armani Power Fabric + Ultra Longwear Weightless Matte Foundation 5 SPF 20 30ml</t>
        </is>
      </c>
      <c r="C23896" t="inlineStr">
        <is>
          <t>Foundation</t>
        </is>
      </c>
      <c r="D23896" t="inlineStr">
        <is>
          <t>Giorgio Armani</t>
        </is>
      </c>
      <c r="E23896" t="n">
        <v>43.83</v>
      </c>
      <c r="F23896" t="n">
        <v>1</v>
      </c>
      <c r="G23896" t="n">
        <v>14</v>
      </c>
      <c r="H23896" s="5">
        <f>HYPERLINK("https://api.qogita.com/variants/link/3614273558068/", "View Product")</f>
        <v/>
      </c>
    </row>
    <row r="23897">
      <c r="A23897" t="inlineStr">
        <is>
          <t>3614273558082</t>
        </is>
      </c>
      <c r="B23897" t="inlineStr">
        <is>
          <t>Giorgio Armani Power Fabric+ Foundation No. 5.5 30ml</t>
        </is>
      </c>
      <c r="C23897" t="inlineStr">
        <is>
          <t>Foundation</t>
        </is>
      </c>
      <c r="D23897" t="inlineStr">
        <is>
          <t>Giorgio Armani</t>
        </is>
      </c>
      <c r="E23897" t="n">
        <v>43.83</v>
      </c>
      <c r="F23897" t="n">
        <v>1</v>
      </c>
      <c r="G23897" t="n">
        <v>25</v>
      </c>
      <c r="H23897" s="5">
        <f>HYPERLINK("https://api.qogita.com/variants/link/3614273558082/", "View Product")</f>
        <v/>
      </c>
    </row>
    <row r="23898">
      <c r="A23898" t="inlineStr">
        <is>
          <t>3614273558112</t>
        </is>
      </c>
      <c r="B23898" t="inlineStr">
        <is>
          <t>Giorgio Armani Power Fabric Plus Longwear Weightless Matte Foundation SPF 20 for Women 1 oz</t>
        </is>
      </c>
      <c r="C23898" t="inlineStr">
        <is>
          <t>Foundation</t>
        </is>
      </c>
      <c r="D23898" t="inlineStr">
        <is>
          <t>Giorgio Armani</t>
        </is>
      </c>
      <c r="E23898" t="n">
        <v>44</v>
      </c>
      <c r="F23898" t="n">
        <v>1</v>
      </c>
      <c r="G23898" t="n">
        <v>6</v>
      </c>
      <c r="H23898" s="5">
        <f>HYPERLINK("https://api.qogita.com/variants/link/3614273558112/", "View Product")</f>
        <v/>
      </c>
    </row>
    <row r="23899">
      <c r="A23899" t="inlineStr">
        <is>
          <t>3614273582612</t>
        </is>
      </c>
      <c r="B23899" t="inlineStr">
        <is>
          <t>Valentino Uomo Born in Roma 150ml Eau de Toilette Spray</t>
        </is>
      </c>
      <c r="C23899" t="inlineStr">
        <is>
          <t>Eau De Toilette</t>
        </is>
      </c>
      <c r="D23899" t="inlineStr">
        <is>
          <t>Valentino</t>
        </is>
      </c>
      <c r="E23899" t="n">
        <v>106.09</v>
      </c>
      <c r="F23899" t="n">
        <v>1</v>
      </c>
      <c r="G23899" t="n">
        <v>16</v>
      </c>
      <c r="H23899" s="5">
        <f>HYPERLINK("https://api.qogita.com/variants/link/3614273582612/", "View Product")</f>
        <v/>
      </c>
    </row>
    <row r="23900">
      <c r="A23900" t="inlineStr">
        <is>
          <t>3614273587655</t>
        </is>
      </c>
      <c r="B23900" t="inlineStr">
        <is>
          <t>Guy Laroche Aftershave Lotion Standard</t>
        </is>
      </c>
      <c r="C23900" t="inlineStr">
        <is>
          <t>Aftershave</t>
        </is>
      </c>
      <c r="D23900" t="inlineStr">
        <is>
          <t>Guy Laroche</t>
        </is>
      </c>
      <c r="E23900" t="n">
        <v>13.69</v>
      </c>
      <c r="F23900" t="n">
        <v>1</v>
      </c>
      <c r="G23900" t="n">
        <v>35</v>
      </c>
      <c r="H23900" s="5">
        <f>HYPERLINK("https://api.qogita.com/variants/link/3614273587655/", "View Product")</f>
        <v/>
      </c>
    </row>
    <row r="23901">
      <c r="A23901" t="inlineStr">
        <is>
          <t>3614273597586</t>
        </is>
      </c>
      <c r="B23901" t="inlineStr">
        <is>
          <t>Giorgio Armani My Way Edition Nacre Eau de Parfum</t>
        </is>
      </c>
      <c r="C23901" t="inlineStr">
        <is>
          <t>Eau De Parfum</t>
        </is>
      </c>
      <c r="D23901" t="inlineStr">
        <is>
          <t>Giorgio Armani</t>
        </is>
      </c>
      <c r="E23901" t="n">
        <v>68.59</v>
      </c>
      <c r="F23901" t="n">
        <v>1</v>
      </c>
      <c r="G23901" t="n">
        <v>9</v>
      </c>
      <c r="H23901" s="5">
        <f>HYPERLINK("https://api.qogita.com/variants/link/3614273597586/", "View Product")</f>
        <v/>
      </c>
    </row>
    <row r="23902">
      <c r="A23902" t="inlineStr">
        <is>
          <t>3614273604833</t>
        </is>
      </c>
      <c r="B23902" t="inlineStr">
        <is>
          <t>Armani Code Pour Homme Refillable Spray 75ml</t>
        </is>
      </c>
      <c r="C23902" t="inlineStr">
        <is>
          <t>Refillable Fragrances &amp; Refills</t>
        </is>
      </c>
      <c r="D23902" t="inlineStr">
        <is>
          <t>Armani</t>
        </is>
      </c>
      <c r="E23902" t="n">
        <v>72.25</v>
      </c>
      <c r="F23902" t="n">
        <v>1</v>
      </c>
      <c r="G23902" t="n">
        <v>18</v>
      </c>
      <c r="H23902" s="5">
        <f>HYPERLINK("https://api.qogita.com/variants/link/3614273604833/", "View Product")</f>
        <v/>
      </c>
    </row>
    <row r="23903">
      <c r="A23903" t="inlineStr">
        <is>
          <t>3614273604888</t>
        </is>
      </c>
      <c r="B23903" t="inlineStr">
        <is>
          <t>Si Passione Eclat by Giorgio Armani for Women 3.4 Oz EDP Spray 100ml</t>
        </is>
      </c>
      <c r="C23903" t="inlineStr">
        <is>
          <t>Eau De Parfum</t>
        </is>
      </c>
      <c r="D23903" t="inlineStr">
        <is>
          <t>Armani Beauty</t>
        </is>
      </c>
      <c r="E23903" t="n">
        <v>85.26000000000001</v>
      </c>
      <c r="F23903" t="n">
        <v>1</v>
      </c>
      <c r="G23903" t="n">
        <v>10</v>
      </c>
      <c r="H23903" s="5">
        <f>HYPERLINK("https://api.qogita.com/variants/link/3614273604888/", "View Product")</f>
        <v/>
      </c>
    </row>
    <row r="23904">
      <c r="A23904" t="inlineStr">
        <is>
          <t>3614273604901</t>
        </is>
      </c>
      <c r="B23904" t="inlineStr">
        <is>
          <t>Giorgio Armani Si Passione Clat Eau De Parfum 30ml</t>
        </is>
      </c>
      <c r="C23904" t="inlineStr">
        <is>
          <t>Eau De Parfum</t>
        </is>
      </c>
      <c r="D23904" t="inlineStr">
        <is>
          <t>Giorgio Armani</t>
        </is>
      </c>
      <c r="E23904" t="n">
        <v>45.08</v>
      </c>
      <c r="F23904" t="n">
        <v>1</v>
      </c>
      <c r="G23904" t="n">
        <v>2</v>
      </c>
      <c r="H23904" s="5">
        <f>HYPERLINK("https://api.qogita.com/variants/link/3614273604901/", "View Product")</f>
        <v/>
      </c>
    </row>
    <row r="23905">
      <c r="A23905" t="inlineStr">
        <is>
          <t>3614273604925</t>
        </is>
      </c>
      <c r="B23905" t="inlineStr">
        <is>
          <t>Giorgio Armani S Passione Clat Eau De Parfum 50ml</t>
        </is>
      </c>
      <c r="C23905" t="inlineStr">
        <is>
          <t>Eau De Parfum</t>
        </is>
      </c>
      <c r="D23905" t="inlineStr">
        <is>
          <t>Giorgio Armani</t>
        </is>
      </c>
      <c r="E23905" t="n">
        <v>55.75</v>
      </c>
      <c r="F23905" t="n">
        <v>1</v>
      </c>
      <c r="G23905" t="n">
        <v>11</v>
      </c>
      <c r="H23905" s="5">
        <f>HYPERLINK("https://api.qogita.com/variants/link/3614273604925/", "View Product")</f>
        <v/>
      </c>
    </row>
    <row r="23906">
      <c r="A23906" t="inlineStr">
        <is>
          <t>3614273612678</t>
        </is>
      </c>
      <c r="B23906" t="inlineStr">
        <is>
          <t>Maison Margiela Replica When The Rain Stops Eau De Toilette Spray 100ml</t>
        </is>
      </c>
      <c r="C23906" t="inlineStr">
        <is>
          <t>Eau De Toilette</t>
        </is>
      </c>
      <c r="D23906" t="inlineStr">
        <is>
          <t>Maison Margiela</t>
        </is>
      </c>
      <c r="E23906" t="n">
        <v>69.47</v>
      </c>
      <c r="F23906" t="n">
        <v>1</v>
      </c>
      <c r="G23906" t="n">
        <v>20</v>
      </c>
      <c r="H23906" s="5">
        <f>HYPERLINK("https://api.qogita.com/variants/link/3614273612678/", "View Product")</f>
        <v/>
      </c>
    </row>
    <row r="23907">
      <c r="A23907" t="inlineStr">
        <is>
          <t>3614273636414</t>
        </is>
      </c>
      <c r="B23907" t="inlineStr">
        <is>
          <t>Armani Code Pour Homme Eau De Parfum Refillable Spray 75ml</t>
        </is>
      </c>
      <c r="C23907" t="inlineStr">
        <is>
          <t>Eau De Parfum</t>
        </is>
      </c>
      <c r="D23907" t="inlineStr">
        <is>
          <t>Armani</t>
        </is>
      </c>
      <c r="E23907" t="n">
        <v>76.39</v>
      </c>
      <c r="F23907" t="n">
        <v>1</v>
      </c>
      <c r="G23907" t="n">
        <v>18</v>
      </c>
      <c r="H23907" s="5">
        <f>HYPERLINK("https://api.qogita.com/variants/link/3614273636414/", "View Product")</f>
        <v/>
      </c>
    </row>
    <row r="23908">
      <c r="A23908" t="inlineStr">
        <is>
          <t>3614273636445</t>
        </is>
      </c>
      <c r="B23908" t="inlineStr">
        <is>
          <t>Armani Code Pour Homme Eau De Parfum Refillable Spray 50ml</t>
        </is>
      </c>
      <c r="C23908" t="inlineStr">
        <is>
          <t>Eau De Parfum</t>
        </is>
      </c>
      <c r="D23908" t="inlineStr">
        <is>
          <t>Armani</t>
        </is>
      </c>
      <c r="E23908" t="n">
        <v>57.73</v>
      </c>
      <c r="F23908" t="n">
        <v>1</v>
      </c>
      <c r="G23908" t="n">
        <v>11</v>
      </c>
      <c r="H23908" s="5">
        <f>HYPERLINK("https://api.qogita.com/variants/link/3614273636445/", "View Product")</f>
        <v/>
      </c>
    </row>
    <row r="23909">
      <c r="A23909" t="inlineStr">
        <is>
          <t>3614273647953</t>
        </is>
      </c>
      <c r="B23909" t="inlineStr">
        <is>
          <t>Prada Candy Florale Eau De Toilette Spray 50ml</t>
        </is>
      </c>
      <c r="C23909" t="inlineStr">
        <is>
          <t>Eau De Toilette</t>
        </is>
      </c>
      <c r="D23909" t="inlineStr">
        <is>
          <t>Prada</t>
        </is>
      </c>
      <c r="E23909" t="n">
        <v>38.3</v>
      </c>
      <c r="F23909" t="n">
        <v>1</v>
      </c>
      <c r="G23909" t="n">
        <v>57</v>
      </c>
      <c r="H23909" s="5">
        <f>HYPERLINK("https://api.qogita.com/variants/link/3614273647953/", "View Product")</f>
        <v/>
      </c>
    </row>
    <row r="23910">
      <c r="A23910" t="inlineStr">
        <is>
          <t>3614273650243</t>
        </is>
      </c>
      <c r="B23910" t="inlineStr">
        <is>
          <t>Azzaro Chrome Eau De Parfum 50ml Men's Spray</t>
        </is>
      </c>
      <c r="C23910" t="inlineStr">
        <is>
          <t>Eau De Parfum</t>
        </is>
      </c>
      <c r="D23910" t="inlineStr">
        <is>
          <t>Azzaro</t>
        </is>
      </c>
      <c r="E23910" t="n">
        <v>24.42</v>
      </c>
      <c r="F23910" t="n">
        <v>1</v>
      </c>
      <c r="G23910" t="n">
        <v>18</v>
      </c>
      <c r="H23910" s="5">
        <f>HYPERLINK("https://api.qogita.com/variants/link/3614273650243/", "View Product")</f>
        <v/>
      </c>
    </row>
    <row r="23911">
      <c r="A23911" t="inlineStr">
        <is>
          <t>3614273650311</t>
        </is>
      </c>
      <c r="B23911" t="inlineStr">
        <is>
          <t>Azzaro Chrome Eau De Parfum 100ml Men Spray</t>
        </is>
      </c>
      <c r="C23911" t="inlineStr">
        <is>
          <t>Eau De Parfum</t>
        </is>
      </c>
      <c r="D23911" t="inlineStr">
        <is>
          <t>Azzaro</t>
        </is>
      </c>
      <c r="E23911" t="n">
        <v>50.25</v>
      </c>
      <c r="F23911" t="n">
        <v>1</v>
      </c>
      <c r="G23911" t="n">
        <v>2</v>
      </c>
      <c r="H23911" s="5">
        <f>HYPERLINK("https://api.qogita.com/variants/link/3614273650311/", "View Product")</f>
        <v/>
      </c>
    </row>
    <row r="23912">
      <c r="A23912" t="inlineStr">
        <is>
          <t>3614273665988</t>
        </is>
      </c>
      <c r="B23912" t="inlineStr">
        <is>
          <t>Viktor &amp; Rolf Good Fortune Eau De Parfum Spray 10ml</t>
        </is>
      </c>
      <c r="C23912" t="inlineStr">
        <is>
          <t>Eau De Parfum</t>
        </is>
      </c>
      <c r="D23912" t="inlineStr">
        <is>
          <t>Viktor &amp; Rolf</t>
        </is>
      </c>
      <c r="E23912" t="n">
        <v>11.13</v>
      </c>
      <c r="F23912" t="n">
        <v>1</v>
      </c>
      <c r="G23912" t="n">
        <v>5</v>
      </c>
      <c r="H23912" s="5">
        <f>HYPERLINK("https://api.qogita.com/variants/link/3614273665988/", "View Product")</f>
        <v/>
      </c>
    </row>
    <row r="23913">
      <c r="A23913" t="inlineStr">
        <is>
          <t>3614273673402</t>
        </is>
      </c>
      <c r="B23913" t="inlineStr">
        <is>
          <t>Thierry Mugler Alien Goddess Eau De Parfum Intense 90ml Spray</t>
        </is>
      </c>
      <c r="C23913" t="inlineStr">
        <is>
          <t>Eau De Parfum</t>
        </is>
      </c>
      <c r="D23913" t="inlineStr">
        <is>
          <t>Thierry Mugler</t>
        </is>
      </c>
      <c r="E23913" t="n">
        <v>65.47</v>
      </c>
      <c r="F23913" t="n">
        <v>1</v>
      </c>
      <c r="G23913" t="n">
        <v>56</v>
      </c>
      <c r="H23913" s="5">
        <f>HYPERLINK("https://api.qogita.com/variants/link/3614273673402/", "View Product")</f>
        <v/>
      </c>
    </row>
    <row r="23914">
      <c r="A23914" t="inlineStr">
        <is>
          <t>3614273673419</t>
        </is>
      </c>
      <c r="B23914" t="inlineStr">
        <is>
          <t>Thierry Mugler Alien Goddess Intense Eau De Parfum 60ml For Women</t>
        </is>
      </c>
      <c r="C23914" t="inlineStr">
        <is>
          <t>Eau De Parfum</t>
        </is>
      </c>
      <c r="D23914" t="inlineStr">
        <is>
          <t>Thierry Mugler</t>
        </is>
      </c>
      <c r="E23914" t="n">
        <v>55.83</v>
      </c>
      <c r="F23914" t="n">
        <v>1</v>
      </c>
      <c r="G23914" t="n">
        <v>34</v>
      </c>
      <c r="H23914" s="5">
        <f>HYPERLINK("https://api.qogita.com/variants/link/3614273673419/", "View Product")</f>
        <v/>
      </c>
    </row>
    <row r="23915">
      <c r="A23915" t="inlineStr">
        <is>
          <t>3614273675949</t>
        </is>
      </c>
      <c r="B23915" t="inlineStr">
        <is>
          <t>Lancome Teint Idole Ultra Wear Care &amp; Glow Makeup Spf 15 30 Ml Shade 305n</t>
        </is>
      </c>
      <c r="C23915" t="inlineStr">
        <is>
          <t>Foundation</t>
        </is>
      </c>
      <c r="D23915" t="inlineStr">
        <is>
          <t>Lancôme</t>
        </is>
      </c>
      <c r="E23915" t="n">
        <v>39.01</v>
      </c>
      <c r="F23915" t="n">
        <v>1</v>
      </c>
      <c r="G23915" t="n">
        <v>5</v>
      </c>
      <c r="H23915" s="5">
        <f>HYPERLINK("https://api.qogita.com/variants/link/3614273675949/", "View Product")</f>
        <v/>
      </c>
    </row>
    <row r="23916">
      <c r="A23916" t="inlineStr">
        <is>
          <t>3614273683401</t>
        </is>
      </c>
      <c r="B23916" t="inlineStr">
        <is>
          <t>Yves Saint Laurent Y Pour Homme Eau De Toilette Spray 100ml</t>
        </is>
      </c>
      <c r="C23916" t="inlineStr">
        <is>
          <t>Eau De Toilette</t>
        </is>
      </c>
      <c r="D23916" t="inlineStr">
        <is>
          <t>Yves Saint Laurent</t>
        </is>
      </c>
      <c r="E23916" t="n">
        <v>73.47</v>
      </c>
      <c r="F23916" t="n">
        <v>1</v>
      </c>
      <c r="G23916" t="n">
        <v>13</v>
      </c>
      <c r="H23916" s="5">
        <f>HYPERLINK("https://api.qogita.com/variants/link/3614273683401/", "View Product")</f>
        <v/>
      </c>
    </row>
    <row r="23917">
      <c r="A23917" t="inlineStr">
        <is>
          <t>3614273734790</t>
        </is>
      </c>
      <c r="B23917" t="inlineStr">
        <is>
          <t>Giorgio Armani S Eau De Parfum Intense Refillable 50ml</t>
        </is>
      </c>
      <c r="C23917" t="inlineStr">
        <is>
          <t>Eau De Parfum</t>
        </is>
      </c>
      <c r="D23917" t="inlineStr">
        <is>
          <t>Giorgio Armani</t>
        </is>
      </c>
      <c r="E23917" t="n">
        <v>72.16</v>
      </c>
      <c r="F23917" t="n">
        <v>1</v>
      </c>
      <c r="G23917" t="n">
        <v>5</v>
      </c>
      <c r="H23917" s="5">
        <f>HYPERLINK("https://api.qogita.com/variants/link/3614273734790/", "View Product")</f>
        <v/>
      </c>
    </row>
    <row r="23918">
      <c r="A23918" t="inlineStr">
        <is>
          <t>3614273735599</t>
        </is>
      </c>
      <c r="B23918" t="inlineStr">
        <is>
          <t>Giorgio Armani Luminous Silk Glow Blush 51 Amore 4 G</t>
        </is>
      </c>
      <c r="C23918" t="inlineStr">
        <is>
          <t>Blush</t>
        </is>
      </c>
      <c r="D23918" t="inlineStr">
        <is>
          <t>Giorgio Armani</t>
        </is>
      </c>
      <c r="E23918" t="n">
        <v>38.28</v>
      </c>
      <c r="F23918" t="n">
        <v>1</v>
      </c>
      <c r="G23918" t="n">
        <v>6</v>
      </c>
      <c r="H23918" s="5">
        <f>HYPERLINK("https://api.qogita.com/variants/link/3614273735599/", "View Product")</f>
        <v/>
      </c>
    </row>
    <row r="23919">
      <c r="A23919" t="inlineStr">
        <is>
          <t>3614273735667</t>
        </is>
      </c>
      <c r="B23919" t="inlineStr">
        <is>
          <t>Giorgio Armani Luminous Silk Glow Blush - 36 Grams</t>
        </is>
      </c>
      <c r="C23919" t="inlineStr">
        <is>
          <t>Blush</t>
        </is>
      </c>
      <c r="D23919" t="inlineStr">
        <is>
          <t>Giorgio Armani</t>
        </is>
      </c>
      <c r="E23919" t="n">
        <v>39.02</v>
      </c>
      <c r="F23919" t="n">
        <v>1</v>
      </c>
      <c r="G23919" t="n">
        <v>9</v>
      </c>
      <c r="H23919" s="5">
        <f>HYPERLINK("https://api.qogita.com/variants/link/3614273735667/", "View Product")</f>
        <v/>
      </c>
    </row>
    <row r="23920">
      <c r="A23920" t="inlineStr">
        <is>
          <t>3614273735681</t>
        </is>
      </c>
      <c r="B23920" t="inlineStr">
        <is>
          <t>Giorgio Armani Luminous Silk Glow Blush Rouge - 4 Grams</t>
        </is>
      </c>
      <c r="C23920" t="inlineStr">
        <is>
          <t>Blush</t>
        </is>
      </c>
      <c r="D23920" t="inlineStr">
        <is>
          <t>Giorgio Armani</t>
        </is>
      </c>
      <c r="E23920" t="n">
        <v>39.01</v>
      </c>
      <c r="F23920" t="n">
        <v>1</v>
      </c>
      <c r="G23920" t="n">
        <v>7</v>
      </c>
      <c r="H23920" s="5">
        <f>HYPERLINK("https://api.qogita.com/variants/link/3614273735681/", "View Product")</f>
        <v/>
      </c>
    </row>
    <row r="23921">
      <c r="A23921" t="inlineStr">
        <is>
          <t>3614273735698</t>
        </is>
      </c>
      <c r="B23921" t="inlineStr">
        <is>
          <t>Giorgio Armani Luminous Silk Glow Blush 36 G And 4 G</t>
        </is>
      </c>
      <c r="C23921" t="inlineStr">
        <is>
          <t>Blush</t>
        </is>
      </c>
      <c r="D23921" t="inlineStr">
        <is>
          <t>Giorgio Armani</t>
        </is>
      </c>
      <c r="E23921" t="n">
        <v>38.7</v>
      </c>
      <c r="F23921" t="n">
        <v>1</v>
      </c>
      <c r="G23921" t="n">
        <v>4</v>
      </c>
      <c r="H23921" s="5">
        <f>HYPERLINK("https://api.qogita.com/variants/link/3614273735698/", "View Product")</f>
        <v/>
      </c>
    </row>
    <row r="23922">
      <c r="A23922" t="inlineStr">
        <is>
          <t>3614273744867</t>
        </is>
      </c>
      <c r="B23922" t="inlineStr">
        <is>
          <t>Giorgio Armani Eye Tint Eyeshadow 4 Ml</t>
        </is>
      </c>
      <c r="C23922" t="inlineStr">
        <is>
          <t>Eyeshadow</t>
        </is>
      </c>
      <c r="D23922" t="inlineStr">
        <is>
          <t>Giorgio Armani</t>
        </is>
      </c>
      <c r="E23922" t="n">
        <v>27.76</v>
      </c>
      <c r="F23922" t="n">
        <v>1</v>
      </c>
      <c r="G23922" t="n">
        <v>40</v>
      </c>
      <c r="H23922" s="5">
        <f>HYPERLINK("https://api.qogita.com/variants/link/3614273744867/", "View Product")</f>
        <v/>
      </c>
    </row>
    <row r="23923">
      <c r="A23923" t="inlineStr">
        <is>
          <t>3614273744874</t>
        </is>
      </c>
      <c r="B23923" t="inlineStr">
        <is>
          <t>Giorgio Armani Eye Tint Eyeshadow 30 Taupe for Women 0.13 oz</t>
        </is>
      </c>
      <c r="C23923" t="inlineStr">
        <is>
          <t>Eyeshadow</t>
        </is>
      </c>
      <c r="D23923" t="inlineStr">
        <is>
          <t>Giorgio Armani</t>
        </is>
      </c>
      <c r="E23923" t="n">
        <v>27.76</v>
      </c>
      <c r="F23923" t="n">
        <v>1</v>
      </c>
      <c r="G23923" t="n">
        <v>14</v>
      </c>
      <c r="H23923" s="5">
        <f>HYPERLINK("https://api.qogita.com/variants/link/3614273744874/", "View Product")</f>
        <v/>
      </c>
    </row>
    <row r="23924">
      <c r="A23924" t="inlineStr">
        <is>
          <t>3614273749381</t>
        </is>
      </c>
      <c r="B23924" t="inlineStr">
        <is>
          <t>Lancme La Vie Est Belle Eau De Parfum Refill 100ml</t>
        </is>
      </c>
      <c r="C23924" t="inlineStr">
        <is>
          <t>Eau De Parfum</t>
        </is>
      </c>
      <c r="D23924" t="inlineStr">
        <is>
          <t>Lancôme</t>
        </is>
      </c>
      <c r="E23924" t="n">
        <v>62.46</v>
      </c>
      <c r="F23924" t="n">
        <v>1</v>
      </c>
      <c r="G23924" t="n">
        <v>14</v>
      </c>
      <c r="H23924" s="5">
        <f>HYPERLINK("https://api.qogita.com/variants/link/3614273749381/", "View Product")</f>
        <v/>
      </c>
    </row>
    <row r="23925">
      <c r="A23925" t="inlineStr">
        <is>
          <t>3614273749459</t>
        </is>
      </c>
      <c r="B23925" t="inlineStr">
        <is>
          <t>Lancome Idole Nectar Eau De Parfum Spray 50ml</t>
        </is>
      </c>
      <c r="C23925" t="inlineStr">
        <is>
          <t>Eau De Parfum</t>
        </is>
      </c>
      <c r="D23925" t="inlineStr">
        <is>
          <t>Lancôme</t>
        </is>
      </c>
      <c r="E23925" t="n">
        <v>50.95</v>
      </c>
      <c r="F23925" t="n">
        <v>1</v>
      </c>
      <c r="G23925" t="n">
        <v>5</v>
      </c>
      <c r="H23925" s="5">
        <f>HYPERLINK("https://api.qogita.com/variants/link/3614273749459/", "View Product")</f>
        <v/>
      </c>
    </row>
    <row r="23926">
      <c r="A23926" t="inlineStr">
        <is>
          <t>3614273749558</t>
        </is>
      </c>
      <c r="B23926" t="inlineStr">
        <is>
          <t>Lancome Idole Nectar Eau De Parfum Spray 100ml</t>
        </is>
      </c>
      <c r="C23926" t="inlineStr">
        <is>
          <t>Eau De Parfum</t>
        </is>
      </c>
      <c r="D23926" t="inlineStr">
        <is>
          <t>Lancôme</t>
        </is>
      </c>
      <c r="E23926" t="n">
        <v>78.03</v>
      </c>
      <c r="F23926" t="n">
        <v>1</v>
      </c>
      <c r="G23926" t="n">
        <v>2</v>
      </c>
      <c r="H23926" s="5">
        <f>HYPERLINK("https://api.qogita.com/variants/link/3614273749558/", "View Product")</f>
        <v/>
      </c>
    </row>
    <row r="23927">
      <c r="A23927" t="inlineStr">
        <is>
          <t>3614273749633</t>
        </is>
      </c>
      <c r="B23927" t="inlineStr">
        <is>
          <t>Giorgio Armani Lip Maestro Satin Lip Color 01 Summer Adventure 4 Ml</t>
        </is>
      </c>
      <c r="C23927" t="inlineStr">
        <is>
          <t>Lipstick</t>
        </is>
      </c>
      <c r="D23927" t="inlineStr">
        <is>
          <t>Giorgio Armani</t>
        </is>
      </c>
      <c r="E23927" t="n">
        <v>35.32</v>
      </c>
      <c r="F23927" t="n">
        <v>1</v>
      </c>
      <c r="G23927" t="n">
        <v>5</v>
      </c>
      <c r="H23927" s="5">
        <f>HYPERLINK("https://api.qogita.com/variants/link/3614273749633/", "View Product")</f>
        <v/>
      </c>
    </row>
    <row r="23928">
      <c r="A23928" t="inlineStr">
        <is>
          <t>3614273755092</t>
        </is>
      </c>
      <c r="B23928" t="inlineStr">
        <is>
          <t>Giorgio Armani Brightening Liquid Makeup Spf 15 Designer Glow Radiant Revitalizing Foundation 30 Ml</t>
        </is>
      </c>
      <c r="C23928" t="inlineStr">
        <is>
          <t>Foundation</t>
        </is>
      </c>
      <c r="D23928" t="inlineStr">
        <is>
          <t>Giorgio Armani</t>
        </is>
      </c>
      <c r="E23928" t="n">
        <v>49.74</v>
      </c>
      <c r="F23928" t="n">
        <v>1</v>
      </c>
      <c r="G23928" t="n">
        <v>6</v>
      </c>
      <c r="H23928" s="5">
        <f>HYPERLINK("https://api.qogita.com/variants/link/3614273755092/", "View Product")</f>
        <v/>
      </c>
    </row>
    <row r="23929">
      <c r="A23929" t="inlineStr">
        <is>
          <t>3614273755108</t>
        </is>
      </c>
      <c r="B23929" t="inlineStr">
        <is>
          <t>Giorgio Armani Designer Glow Radiant Revitalizing Foundation Spf 15 30 Ml</t>
        </is>
      </c>
      <c r="C23929" t="inlineStr">
        <is>
          <t>Foundation</t>
        </is>
      </c>
      <c r="D23929" t="inlineStr">
        <is>
          <t>Giorgio Armani</t>
        </is>
      </c>
      <c r="E23929" t="n">
        <v>49.75</v>
      </c>
      <c r="F23929" t="n">
        <v>1</v>
      </c>
      <c r="G23929" t="n">
        <v>7</v>
      </c>
      <c r="H23929" s="5">
        <f>HYPERLINK("https://api.qogita.com/variants/link/3614273755108/", "View Product")</f>
        <v/>
      </c>
    </row>
    <row r="23930">
      <c r="A23930" t="inlineStr">
        <is>
          <t>3614273755139</t>
        </is>
      </c>
      <c r="B23930" t="inlineStr">
        <is>
          <t>Giorgio Armani Brightening Liquid Makeup Spf 15 Designer Glow Radiant Revitalizing Foundation 30 Ml</t>
        </is>
      </c>
      <c r="C23930" t="inlineStr">
        <is>
          <t>Foundation</t>
        </is>
      </c>
      <c r="D23930" t="inlineStr">
        <is>
          <t>Giorgio Armani</t>
        </is>
      </c>
      <c r="E23930" t="n">
        <v>49.85</v>
      </c>
      <c r="F23930" t="n">
        <v>1</v>
      </c>
      <c r="G23930" t="n">
        <v>5</v>
      </c>
      <c r="H23930" s="5">
        <f>HYPERLINK("https://api.qogita.com/variants/link/3614273755139/", "View Product")</f>
        <v/>
      </c>
    </row>
    <row r="23931">
      <c r="A23931" t="inlineStr">
        <is>
          <t>3614273760164</t>
        </is>
      </c>
      <c r="B23931" t="inlineStr">
        <is>
          <t>Prada Paradoxe Eau De Parfum Spray 90ml</t>
        </is>
      </c>
      <c r="C23931" t="inlineStr">
        <is>
          <t>Eau De Parfum</t>
        </is>
      </c>
      <c r="D23931" t="inlineStr">
        <is>
          <t>Prada</t>
        </is>
      </c>
      <c r="E23931" t="n">
        <v>90.95</v>
      </c>
      <c r="F23931" t="n">
        <v>1</v>
      </c>
      <c r="G23931" t="n">
        <v>154</v>
      </c>
      <c r="H23931" s="5">
        <f>HYPERLINK("https://api.qogita.com/variants/link/3614273760164/", "View Product")</f>
        <v/>
      </c>
    </row>
    <row r="23932">
      <c r="A23932" t="inlineStr">
        <is>
          <t>3614273760652</t>
        </is>
      </c>
      <c r="B23932" t="inlineStr">
        <is>
          <t>Prada Paradoxe Eau De Parfum Spray 50ml</t>
        </is>
      </c>
      <c r="C23932" t="inlineStr">
        <is>
          <t>Eau De Parfum</t>
        </is>
      </c>
      <c r="D23932" t="inlineStr">
        <is>
          <t>Prada</t>
        </is>
      </c>
      <c r="E23932" t="n">
        <v>74.31999999999999</v>
      </c>
      <c r="F23932" t="n">
        <v>1</v>
      </c>
      <c r="G23932" t="n">
        <v>91</v>
      </c>
      <c r="H23932" s="5">
        <f>HYPERLINK("https://api.qogita.com/variants/link/3614273760652/", "View Product")</f>
        <v/>
      </c>
    </row>
    <row r="23933">
      <c r="A23933" t="inlineStr">
        <is>
          <t>3614273764193</t>
        </is>
      </c>
      <c r="B23933" t="inlineStr">
        <is>
          <t>Thierry Mugler Alien Goddess Eau De Parfum Refill 100ml Women's Spray</t>
        </is>
      </c>
      <c r="C23933" t="inlineStr">
        <is>
          <t>Eau De Parfum</t>
        </is>
      </c>
      <c r="D23933" t="inlineStr">
        <is>
          <t>Thierry Mugler</t>
        </is>
      </c>
      <c r="E23933" t="n">
        <v>46.94</v>
      </c>
      <c r="F23933" t="n">
        <v>1</v>
      </c>
      <c r="G23933" t="n">
        <v>43</v>
      </c>
      <c r="H23933" s="5">
        <f>HYPERLINK("https://api.qogita.com/variants/link/3614273764193/", "View Product")</f>
        <v/>
      </c>
    </row>
    <row r="23934">
      <c r="A23934" t="inlineStr">
        <is>
          <t>3614273768832</t>
        </is>
      </c>
      <c r="B23934" t="inlineStr">
        <is>
          <t>Prada Luna Rossa Ocean Eau De Parfum Spray 100ml</t>
        </is>
      </c>
      <c r="C23934" t="inlineStr">
        <is>
          <t>Eau De Parfum</t>
        </is>
      </c>
      <c r="D23934" t="inlineStr">
        <is>
          <t>Prada</t>
        </is>
      </c>
      <c r="E23934" t="n">
        <v>73.98</v>
      </c>
      <c r="F23934" t="n">
        <v>1</v>
      </c>
      <c r="G23934" t="n">
        <v>31</v>
      </c>
      <c r="H23934" s="5">
        <f>HYPERLINK("https://api.qogita.com/variants/link/3614273768832/", "View Product")</f>
        <v/>
      </c>
    </row>
    <row r="23935">
      <c r="A23935" t="inlineStr">
        <is>
          <t>3614273772488</t>
        </is>
      </c>
      <c r="B23935" t="inlineStr">
        <is>
          <t>Thierry Mugler Angel Elixir Eau De Parfum Spray Refill 25ml</t>
        </is>
      </c>
      <c r="C23935" t="inlineStr">
        <is>
          <t>Refillable Fragrances &amp; Refills</t>
        </is>
      </c>
      <c r="D23935" t="inlineStr">
        <is>
          <t>Thierry Mugler</t>
        </is>
      </c>
      <c r="E23935" t="n">
        <v>35.36</v>
      </c>
      <c r="F23935" t="n">
        <v>1</v>
      </c>
      <c r="G23935" t="n">
        <v>19</v>
      </c>
      <c r="H23935" s="5">
        <f>HYPERLINK("https://api.qogita.com/variants/link/3614273772488/", "View Product")</f>
        <v/>
      </c>
    </row>
    <row r="23936">
      <c r="A23936" t="inlineStr">
        <is>
          <t>3614273774413</t>
        </is>
      </c>
      <c r="B23936" t="inlineStr">
        <is>
          <t>Lancme Advanced Gnifique Night Repairing Night Cream 50ml</t>
        </is>
      </c>
      <c r="C23936" t="inlineStr">
        <is>
          <t>Night Cream</t>
        </is>
      </c>
      <c r="D23936" t="inlineStr">
        <is>
          <t>Lancôme</t>
        </is>
      </c>
      <c r="E23936" t="n">
        <v>69.66</v>
      </c>
      <c r="F23936" t="n">
        <v>1</v>
      </c>
      <c r="G23936" t="n">
        <v>20</v>
      </c>
      <c r="H23936" s="5">
        <f>HYPERLINK("https://api.qogita.com/variants/link/3614273774413/", "View Product")</f>
        <v/>
      </c>
    </row>
    <row r="23937">
      <c r="A23937" t="inlineStr">
        <is>
          <t>3614273776110</t>
        </is>
      </c>
      <c r="B23937" t="inlineStr">
        <is>
          <t>Yves Saint Laurent Libre Le Parfum Perfume Spray 50ml</t>
        </is>
      </c>
      <c r="C23937" t="inlineStr">
        <is>
          <t>Eau De Parfum</t>
        </is>
      </c>
      <c r="D23937" t="inlineStr">
        <is>
          <t>Yves Saint Laurent</t>
        </is>
      </c>
      <c r="E23937" t="n">
        <v>73.42</v>
      </c>
      <c r="F23937" t="n">
        <v>1</v>
      </c>
      <c r="G23937" t="n">
        <v>29</v>
      </c>
      <c r="H23937" s="5">
        <f>HYPERLINK("https://api.qogita.com/variants/link/3614273776110/", "View Product")</f>
        <v/>
      </c>
    </row>
    <row r="23938">
      <c r="A23938" t="inlineStr">
        <is>
          <t>3614273792424</t>
        </is>
      </c>
      <c r="B23938" t="inlineStr">
        <is>
          <t>Lancme Teint Idole Ultra Wear Foundation Spf35 125w 30ml</t>
        </is>
      </c>
      <c r="C23938" t="inlineStr">
        <is>
          <t>Foundation</t>
        </is>
      </c>
      <c r="D23938" t="inlineStr">
        <is>
          <t>Lancôme</t>
        </is>
      </c>
      <c r="E23938" t="n">
        <v>39.87</v>
      </c>
      <c r="F23938" t="n">
        <v>1</v>
      </c>
      <c r="G23938" t="n">
        <v>9</v>
      </c>
      <c r="H23938" s="5">
        <f>HYPERLINK("https://api.qogita.com/variants/link/3614273792424/", "View Product")</f>
        <v/>
      </c>
    </row>
    <row r="23939">
      <c r="A23939" t="inlineStr">
        <is>
          <t>3614273792585</t>
        </is>
      </c>
      <c r="B23939" t="inlineStr">
        <is>
          <t>Lancme Teint Idole Ultra Wear Foundation Spf35 315c 30ml</t>
        </is>
      </c>
      <c r="C23939" t="inlineStr">
        <is>
          <t>Foundation</t>
        </is>
      </c>
      <c r="D23939" t="inlineStr">
        <is>
          <t>Lancôme</t>
        </is>
      </c>
      <c r="E23939" t="n">
        <v>39.98</v>
      </c>
      <c r="F23939" t="n">
        <v>1</v>
      </c>
      <c r="G23939" t="n">
        <v>8</v>
      </c>
      <c r="H23939" s="5">
        <f>HYPERLINK("https://api.qogita.com/variants/link/3614273792585/", "View Product")</f>
        <v/>
      </c>
    </row>
    <row r="23940">
      <c r="A23940" t="inlineStr">
        <is>
          <t>3614273792592</t>
        </is>
      </c>
      <c r="B23940" t="inlineStr">
        <is>
          <t>Lancme Teint Idole Ultra Wear Foundation Spf 35 30 Ml Shade 320c</t>
        </is>
      </c>
      <c r="C23940" t="inlineStr">
        <is>
          <t>Foundation</t>
        </is>
      </c>
      <c r="D23940" t="inlineStr">
        <is>
          <t>Lancôme</t>
        </is>
      </c>
      <c r="E23940" t="n">
        <v>40.31</v>
      </c>
      <c r="F23940" t="n">
        <v>1</v>
      </c>
      <c r="G23940" t="n">
        <v>7</v>
      </c>
      <c r="H23940" s="5">
        <f>HYPERLINK("https://api.qogita.com/variants/link/3614273792592/", "View Product")</f>
        <v/>
      </c>
    </row>
    <row r="23941">
      <c r="A23941" t="inlineStr">
        <is>
          <t>3614273792714</t>
        </is>
      </c>
      <c r="B23941" t="inlineStr">
        <is>
          <t>Lancme Teint Idole Ultra Wear Foundation Spf 35 425c 30 Ml</t>
        </is>
      </c>
      <c r="C23941" t="inlineStr">
        <is>
          <t>Foundation</t>
        </is>
      </c>
      <c r="D23941" t="inlineStr">
        <is>
          <t>Lancôme</t>
        </is>
      </c>
      <c r="E23941" t="n">
        <v>36.01</v>
      </c>
      <c r="F23941" t="n">
        <v>1</v>
      </c>
      <c r="G23941" t="n">
        <v>18</v>
      </c>
      <c r="H23941" s="5">
        <f>HYPERLINK("https://api.qogita.com/variants/link/3614273792714/", "View Product")</f>
        <v/>
      </c>
    </row>
    <row r="23942">
      <c r="A23942" t="inlineStr">
        <is>
          <t>3614273797207</t>
        </is>
      </c>
      <c r="B23942" t="inlineStr">
        <is>
          <t>Diesel Only The Brave Deodorant Spray 163.9g</t>
        </is>
      </c>
      <c r="C23942" t="inlineStr">
        <is>
          <t>Deodorant &amp; Anti-Perspirant</t>
        </is>
      </c>
      <c r="D23942" t="inlineStr">
        <is>
          <t>Diesel</t>
        </is>
      </c>
      <c r="E23942" t="n">
        <v>7.36</v>
      </c>
      <c r="F23942" t="n">
        <v>1</v>
      </c>
      <c r="G23942" t="n">
        <v>10</v>
      </c>
      <c r="H23942" s="5">
        <f>HYPERLINK("https://api.qogita.com/variants/link/3614273797207/", "View Product")</f>
        <v/>
      </c>
    </row>
    <row r="23943">
      <c r="A23943" t="inlineStr">
        <is>
          <t>3614273831147</t>
        </is>
      </c>
      <c r="B23943" t="inlineStr">
        <is>
          <t>Giorgio Armani Armani Lip Power Matte 111 True Longlasting Matte Lipstick 31 G</t>
        </is>
      </c>
      <c r="C23943" t="inlineStr">
        <is>
          <t>Lipstick</t>
        </is>
      </c>
      <c r="D23943" t="inlineStr">
        <is>
          <t>Giorgio Armani</t>
        </is>
      </c>
      <c r="E23943" t="n">
        <v>36.09</v>
      </c>
      <c r="F23943" t="n">
        <v>1</v>
      </c>
      <c r="G23943" t="n">
        <v>3</v>
      </c>
      <c r="H23943" s="5">
        <f>HYPERLINK("https://api.qogita.com/variants/link/3614273831147/", "View Product")</f>
        <v/>
      </c>
    </row>
    <row r="23944">
      <c r="A23944" t="inlineStr">
        <is>
          <t>3614273852814</t>
        </is>
      </c>
      <c r="B23944" t="inlineStr">
        <is>
          <t>Yves Saint Laurent Ysl Myslf Eau De Parfum 100ml</t>
        </is>
      </c>
      <c r="C23944" t="inlineStr">
        <is>
          <t>Eau De Parfum</t>
        </is>
      </c>
      <c r="D23944" t="inlineStr">
        <is>
          <t>Yves Saint Laurent</t>
        </is>
      </c>
      <c r="E23944" t="n">
        <v>83.33</v>
      </c>
      <c r="F23944" t="n">
        <v>1</v>
      </c>
      <c r="G23944" t="n">
        <v>43</v>
      </c>
      <c r="H23944" s="5">
        <f>HYPERLINK("https://api.qogita.com/variants/link/3614273852814/", "View Product")</f>
        <v/>
      </c>
    </row>
    <row r="23945">
      <c r="A23945" t="inlineStr">
        <is>
          <t>3614273863384</t>
        </is>
      </c>
      <c r="B23945" t="inlineStr">
        <is>
          <t>Yves Saint Laurent Black Opium Le Parfum Spray 30ml</t>
        </is>
      </c>
      <c r="C23945" t="inlineStr">
        <is>
          <t>Eau De Parfum</t>
        </is>
      </c>
      <c r="D23945" t="inlineStr">
        <is>
          <t>Yves Saint Laurent</t>
        </is>
      </c>
      <c r="E23945" t="n">
        <v>63.98</v>
      </c>
      <c r="F23945" t="n">
        <v>1</v>
      </c>
      <c r="G23945" t="n">
        <v>10</v>
      </c>
      <c r="H23945" s="5">
        <f>HYPERLINK("https://api.qogita.com/variants/link/3614273863384/", "View Product")</f>
        <v/>
      </c>
    </row>
    <row r="23946">
      <c r="A23946" t="inlineStr">
        <is>
          <t>3614273895439</t>
        </is>
      </c>
      <c r="B23946" t="inlineStr">
        <is>
          <t>Armani Acqua Di Gio Man Eau De Parfum Gift Set 125 Ml Eau De Parfum 75 Ml Shower Gel And 15 Ml Miniature Eau De Parfum</t>
        </is>
      </c>
      <c r="C23946" t="inlineStr">
        <is>
          <t>Fragrance Sets</t>
        </is>
      </c>
      <c r="D23946" t="inlineStr">
        <is>
          <t>Armani</t>
        </is>
      </c>
      <c r="E23946" t="n">
        <v>104.57</v>
      </c>
      <c r="F23946" t="n">
        <v>1</v>
      </c>
      <c r="G23946" t="n">
        <v>5</v>
      </c>
      <c r="H23946" s="5">
        <f>HYPERLINK("https://api.qogita.com/variants/link/3614273895439/", "View Product")</f>
        <v/>
      </c>
    </row>
    <row r="23947">
      <c r="A23947" t="inlineStr">
        <is>
          <t>3614273898461</t>
        </is>
      </c>
      <c r="B23947" t="inlineStr">
        <is>
          <t>Yves Saint Laurent Y Intense Eau De Parfum Spray 60ml</t>
        </is>
      </c>
      <c r="C23947" t="inlineStr">
        <is>
          <t>Eau De Parfum</t>
        </is>
      </c>
      <c r="D23947" t="inlineStr">
        <is>
          <t>Yves Saint Laurent</t>
        </is>
      </c>
      <c r="E23947" t="n">
        <v>54.03</v>
      </c>
      <c r="F23947" t="n">
        <v>1</v>
      </c>
      <c r="G23947" t="n">
        <v>15</v>
      </c>
      <c r="H23947" s="5">
        <f>HYPERLINK("https://api.qogita.com/variants/link/3614273898461/", "View Product")</f>
        <v/>
      </c>
    </row>
    <row r="23948">
      <c r="A23948" t="inlineStr">
        <is>
          <t>3614273906470</t>
        </is>
      </c>
      <c r="B23948" t="inlineStr">
        <is>
          <t>Giorgio Armani Acqua Di Gio Pour Homme Perfume Spray 75ml</t>
        </is>
      </c>
      <c r="C23948" t="inlineStr">
        <is>
          <t>Eau De Toilette</t>
        </is>
      </c>
      <c r="D23948" t="inlineStr">
        <is>
          <t>Giorgio Armani</t>
        </is>
      </c>
      <c r="E23948" t="n">
        <v>71.39</v>
      </c>
      <c r="F23948" t="n">
        <v>1</v>
      </c>
      <c r="G23948" t="n">
        <v>15</v>
      </c>
      <c r="H23948" s="5">
        <f>HYPERLINK("https://api.qogita.com/variants/link/3614273906470/", "View Product")</f>
        <v/>
      </c>
    </row>
    <row r="23949">
      <c r="A23949" t="inlineStr">
        <is>
          <t>3614273913799</t>
        </is>
      </c>
      <c r="B23949" t="inlineStr">
        <is>
          <t>Yves Saint Laurent Lash Clash Extreme Volume Mascara 9 Ml 02 Brown</t>
        </is>
      </c>
      <c r="C23949" t="inlineStr">
        <is>
          <t>Mascara</t>
        </is>
      </c>
      <c r="D23949" t="inlineStr">
        <is>
          <t>Yves Saint Laurent</t>
        </is>
      </c>
      <c r="E23949" t="n">
        <v>31.41</v>
      </c>
      <c r="F23949" t="n">
        <v>1</v>
      </c>
      <c r="G23949" t="n">
        <v>4</v>
      </c>
      <c r="H23949" s="5">
        <f>HYPERLINK("https://api.qogita.com/variants/link/3614273913799/", "View Product")</f>
        <v/>
      </c>
    </row>
    <row r="23950">
      <c r="A23950" t="inlineStr">
        <is>
          <t>3614273915038</t>
        </is>
      </c>
      <c r="B23950" t="inlineStr">
        <is>
          <t>Giorgio Armani Lip Power Lipstick - 3 Grams</t>
        </is>
      </c>
      <c r="C23950" t="inlineStr">
        <is>
          <t>Lipstick</t>
        </is>
      </c>
      <c r="D23950" t="inlineStr">
        <is>
          <t>Giorgio Armani</t>
        </is>
      </c>
      <c r="E23950" t="n">
        <v>35.06</v>
      </c>
      <c r="F23950" t="n">
        <v>1</v>
      </c>
      <c r="G23950" t="n">
        <v>5</v>
      </c>
      <c r="H23950" s="5">
        <f>HYPERLINK("https://api.qogita.com/variants/link/3614273915038/", "View Product")</f>
        <v/>
      </c>
    </row>
    <row r="23951">
      <c r="A23951" t="inlineStr">
        <is>
          <t>3614273921718</t>
        </is>
      </c>
      <c r="B23951" t="inlineStr">
        <is>
          <t>Yves Saint Laurent Couture Mini Clutch Eyeshadow Palette N. 400 Babylone Roses</t>
        </is>
      </c>
      <c r="C23951" t="inlineStr">
        <is>
          <t>Eye Sets &amp; Pallets</t>
        </is>
      </c>
      <c r="D23951" t="inlineStr">
        <is>
          <t>Yves Saint Laurent</t>
        </is>
      </c>
      <c r="E23951" t="n">
        <v>51.02</v>
      </c>
      <c r="F23951" t="n">
        <v>1</v>
      </c>
      <c r="G23951" t="n">
        <v>3</v>
      </c>
      <c r="H23951" s="5">
        <f>HYPERLINK("https://api.qogita.com/variants/link/3614273921718/", "View Product")</f>
        <v/>
      </c>
    </row>
    <row r="23952">
      <c r="A23952" t="inlineStr">
        <is>
          <t>3614273921725</t>
        </is>
      </c>
      <c r="B23952" t="inlineStr">
        <is>
          <t>YVES SAINT LAURENT Couture Mini Clutch Eyeshadow Palette N. 500 Medina Glow</t>
        </is>
      </c>
      <c r="C23952" t="inlineStr">
        <is>
          <t>Eye Sets &amp; Pallets</t>
        </is>
      </c>
      <c r="D23952" t="inlineStr">
        <is>
          <t>Yves Saint Laurent</t>
        </is>
      </c>
      <c r="E23952" t="n">
        <v>51.01</v>
      </c>
      <c r="F23952" t="n">
        <v>1</v>
      </c>
      <c r="G23952" t="n">
        <v>6</v>
      </c>
      <c r="H23952" s="5">
        <f>HYPERLINK("https://api.qogita.com/variants/link/3614273921725/", "View Product")</f>
        <v/>
      </c>
    </row>
    <row r="23953">
      <c r="A23953" t="inlineStr">
        <is>
          <t>3614273945172</t>
        </is>
      </c>
      <c r="B23953" t="inlineStr">
        <is>
          <t>Yves Saint Laurent Rouge Pur Couture Caring Satin Lipstick 38 G</t>
        </is>
      </c>
      <c r="C23953" t="inlineStr">
        <is>
          <t>Lipstick</t>
        </is>
      </c>
      <c r="D23953" t="inlineStr">
        <is>
          <t>Yves Saint Laurent</t>
        </is>
      </c>
      <c r="E23953" t="n">
        <v>34.84</v>
      </c>
      <c r="F23953" t="n">
        <v>1</v>
      </c>
      <c r="G23953" t="n">
        <v>5</v>
      </c>
      <c r="H23953" s="5">
        <f>HYPERLINK("https://api.qogita.com/variants/link/3614273945172/", "View Product")</f>
        <v/>
      </c>
    </row>
    <row r="23954">
      <c r="A23954" t="inlineStr">
        <is>
          <t>3614273945226</t>
        </is>
      </c>
      <c r="B23954" t="inlineStr">
        <is>
          <t>Yves Saint Laurent Rouge Pur Couture Caring Satin Lipstick 38 G</t>
        </is>
      </c>
      <c r="C23954" t="inlineStr">
        <is>
          <t>Lipstick</t>
        </is>
      </c>
      <c r="D23954" t="inlineStr">
        <is>
          <t>Yves Saint Laurent</t>
        </is>
      </c>
      <c r="E23954" t="n">
        <v>33.97</v>
      </c>
      <c r="F23954" t="n">
        <v>1</v>
      </c>
      <c r="G23954" t="n">
        <v>4</v>
      </c>
      <c r="H23954" s="5">
        <f>HYPERLINK("https://api.qogita.com/variants/link/3614273945226/", "View Product")</f>
        <v/>
      </c>
    </row>
    <row r="23955">
      <c r="A23955" t="inlineStr">
        <is>
          <t>3614273945479</t>
        </is>
      </c>
      <c r="B23955" t="inlineStr">
        <is>
          <t>Yves Saint Laurent Rouge Pur Couture Caring Satin Lipstick Prt A Porter Crimson 38 G</t>
        </is>
      </c>
      <c r="C23955" t="inlineStr">
        <is>
          <t>Lipstick</t>
        </is>
      </c>
      <c r="D23955" t="inlineStr">
        <is>
          <t>Yves Saint Laurent</t>
        </is>
      </c>
      <c r="E23955" t="n">
        <v>34.48</v>
      </c>
      <c r="F23955" t="n">
        <v>1</v>
      </c>
      <c r="G23955" t="n">
        <v>3</v>
      </c>
      <c r="H23955" s="5">
        <f>HYPERLINK("https://api.qogita.com/variants/link/3614273945479/", "View Product")</f>
        <v/>
      </c>
    </row>
    <row r="23956">
      <c r="A23956" t="inlineStr">
        <is>
          <t>3614273947763</t>
        </is>
      </c>
      <c r="B23956" t="inlineStr">
        <is>
          <t>Giorgio Armani My Way Nectar Eau De Parfum 90ml</t>
        </is>
      </c>
      <c r="C23956" t="inlineStr">
        <is>
          <t>Eau De Parfum</t>
        </is>
      </c>
      <c r="D23956" t="inlineStr">
        <is>
          <t>Giorgio Armani</t>
        </is>
      </c>
      <c r="E23956" t="n">
        <v>90.90000000000001</v>
      </c>
      <c r="F23956" t="n">
        <v>1</v>
      </c>
      <c r="G23956" t="n">
        <v>30</v>
      </c>
      <c r="H23956" s="5">
        <f>HYPERLINK("https://api.qogita.com/variants/link/3614273947763/", "View Product")</f>
        <v/>
      </c>
    </row>
    <row r="23957">
      <c r="A23957" t="inlineStr">
        <is>
          <t>3614273954341</t>
        </is>
      </c>
      <c r="B23957" t="inlineStr">
        <is>
          <t>Giorgio Armani Acqua Di Gio Pour Homme Eau De Parfum Spray 100ml</t>
        </is>
      </c>
      <c r="C23957" t="inlineStr">
        <is>
          <t>Eau De Parfum</t>
        </is>
      </c>
      <c r="D23957" t="inlineStr">
        <is>
          <t>Giorgio Armani</t>
        </is>
      </c>
      <c r="E23957" t="n">
        <v>82.63</v>
      </c>
      <c r="F23957" t="n">
        <v>1</v>
      </c>
      <c r="G23957" t="n">
        <v>5</v>
      </c>
      <c r="H23957" s="5">
        <f>HYPERLINK("https://api.qogita.com/variants/link/3614273954341/", "View Product")</f>
        <v/>
      </c>
    </row>
    <row r="23958">
      <c r="A23958" t="inlineStr">
        <is>
          <t>3614273954426</t>
        </is>
      </c>
      <c r="B23958" t="inlineStr">
        <is>
          <t>Yves Saint Laurent All Hours Creaseless Precise Angles Concealer Mc2</t>
        </is>
      </c>
      <c r="C23958" t="inlineStr">
        <is>
          <t>Concealer</t>
        </is>
      </c>
      <c r="D23958" t="inlineStr">
        <is>
          <t>Yves Saint Laurent</t>
        </is>
      </c>
      <c r="E23958" t="n">
        <v>32.32</v>
      </c>
      <c r="F23958" t="n">
        <v>1</v>
      </c>
      <c r="G23958" t="n">
        <v>5</v>
      </c>
      <c r="H23958" s="5">
        <f>HYPERLINK("https://api.qogita.com/variants/link/3614273954426/", "View Product")</f>
        <v/>
      </c>
    </row>
    <row r="23959">
      <c r="A23959" t="inlineStr">
        <is>
          <t>3614273955546</t>
        </is>
      </c>
      <c r="B23959" t="inlineStr">
        <is>
          <t>Armani Acqua Di Gi Eau De Toilette Refillable 100ml</t>
        </is>
      </c>
      <c r="C23959" t="inlineStr">
        <is>
          <t>Eau De Toilette</t>
        </is>
      </c>
      <c r="D23959" t="inlineStr">
        <is>
          <t>Giorgio Armani</t>
        </is>
      </c>
      <c r="E23959" t="n">
        <v>56.74</v>
      </c>
      <c r="F23959" t="n">
        <v>1</v>
      </c>
      <c r="G23959" t="n">
        <v>5205</v>
      </c>
      <c r="H23959" s="5">
        <f>HYPERLINK("https://api.qogita.com/variants/link/3614273955546/", "View Product")</f>
        <v/>
      </c>
    </row>
    <row r="23960">
      <c r="A23960" t="inlineStr">
        <is>
          <t>3614273961738</t>
        </is>
      </c>
      <c r="B23960" t="inlineStr">
        <is>
          <t>Prada Paradoxe Intense Eau De Parfum 30ml</t>
        </is>
      </c>
      <c r="C23960" t="inlineStr">
        <is>
          <t>Eau De Parfum</t>
        </is>
      </c>
      <c r="D23960" t="inlineStr">
        <is>
          <t>Prada</t>
        </is>
      </c>
      <c r="E23960" t="n">
        <v>63.34</v>
      </c>
      <c r="F23960" t="n">
        <v>1</v>
      </c>
      <c r="G23960" t="n">
        <v>5</v>
      </c>
      <c r="H23960" s="5">
        <f>HYPERLINK("https://api.qogita.com/variants/link/3614273961738/", "View Product")</f>
        <v/>
      </c>
    </row>
    <row r="23961">
      <c r="A23961" t="inlineStr">
        <is>
          <t>3614273961752</t>
        </is>
      </c>
      <c r="B23961" t="inlineStr">
        <is>
          <t>Prada Paradoxe Intense Eau De Parfum 50ml</t>
        </is>
      </c>
      <c r="C23961" t="inlineStr">
        <is>
          <t>Eau De Parfum</t>
        </is>
      </c>
      <c r="D23961" t="inlineStr">
        <is>
          <t>Prada</t>
        </is>
      </c>
      <c r="E23961" t="n">
        <v>74.73999999999999</v>
      </c>
      <c r="F23961" t="n">
        <v>1</v>
      </c>
      <c r="G23961" t="n">
        <v>88</v>
      </c>
      <c r="H23961" s="5">
        <f>HYPERLINK("https://api.qogita.com/variants/link/3614273961752/", "View Product")</f>
        <v/>
      </c>
    </row>
    <row r="23962">
      <c r="A23962" t="inlineStr">
        <is>
          <t>3614273986267</t>
        </is>
      </c>
      <c r="B23962" t="inlineStr">
        <is>
          <t>Armani Eye Tint Silk Liquid Satin Eye Color - Dlouhotrvajici Tekuty Ocni Stin 39 Ml 27</t>
        </is>
      </c>
      <c r="C23962" t="inlineStr">
        <is>
          <t>Eyeshadow</t>
        </is>
      </c>
      <c r="D23962" t="inlineStr">
        <is>
          <t>Giorgio Armani</t>
        </is>
      </c>
      <c r="E23962" t="n">
        <v>27.76</v>
      </c>
      <c r="F23962" t="n">
        <v>1</v>
      </c>
      <c r="G23962" t="n">
        <v>10</v>
      </c>
      <c r="H23962" s="5">
        <f>HYPERLINK("https://api.qogita.com/variants/link/3614273986267/", "View Product")</f>
        <v/>
      </c>
    </row>
    <row r="23963">
      <c r="A23963" t="inlineStr">
        <is>
          <t>3614273988490</t>
        </is>
      </c>
      <c r="B23963" t="inlineStr">
        <is>
          <t>Lancme Teint Idole Ultra Wear Care &amp; Glow Concealer 220c 13 Ml</t>
        </is>
      </c>
      <c r="C23963" t="inlineStr">
        <is>
          <t>Concealer</t>
        </is>
      </c>
      <c r="D23963" t="inlineStr">
        <is>
          <t>Lancôme</t>
        </is>
      </c>
      <c r="E23963" t="n">
        <v>26.21</v>
      </c>
      <c r="F23963" t="n">
        <v>1</v>
      </c>
      <c r="G23963" t="n">
        <v>3</v>
      </c>
      <c r="H23963" s="5">
        <f>HYPERLINK("https://api.qogita.com/variants/link/3614273988490/", "View Product")</f>
        <v/>
      </c>
    </row>
    <row r="23964">
      <c r="A23964" t="inlineStr">
        <is>
          <t>3614273993760</t>
        </is>
      </c>
      <c r="B23964" t="inlineStr">
        <is>
          <t>Yves Saint Laurent Lash Clash Waterproof Mascara 86 Ml</t>
        </is>
      </c>
      <c r="C23964" t="inlineStr">
        <is>
          <t>Mascara</t>
        </is>
      </c>
      <c r="D23964" t="inlineStr">
        <is>
          <t>Yves Saint Laurent</t>
        </is>
      </c>
      <c r="E23964" t="n">
        <v>31.18</v>
      </c>
      <c r="F23964" t="n">
        <v>1</v>
      </c>
      <c r="G23964" t="n">
        <v>7</v>
      </c>
      <c r="H23964" s="5">
        <f>HYPERLINK("https://api.qogita.com/variants/link/3614273993760/", "View Product")</f>
        <v/>
      </c>
    </row>
    <row r="23965">
      <c r="A23965" t="inlineStr">
        <is>
          <t>3614273994798</t>
        </is>
      </c>
      <c r="B23965" t="inlineStr">
        <is>
          <t>Biotherm Life Plankton Regenerating Serum 30 Milliliters</t>
        </is>
      </c>
      <c r="C23965" t="inlineStr">
        <is>
          <t>Anti-Aging Serum</t>
        </is>
      </c>
      <c r="D23965" t="inlineStr">
        <is>
          <t>Biotherm</t>
        </is>
      </c>
      <c r="E23965" t="n">
        <v>55.56</v>
      </c>
      <c r="F23965" t="n">
        <v>1</v>
      </c>
      <c r="G23965" t="n">
        <v>3</v>
      </c>
      <c r="H23965" s="5">
        <f>HYPERLINK("https://api.qogita.com/variants/link/3614273994798/", "View Product")</f>
        <v/>
      </c>
    </row>
    <row r="23966">
      <c r="A23966" t="inlineStr">
        <is>
          <t>3614274017069</t>
        </is>
      </c>
      <c r="B23966" t="inlineStr">
        <is>
          <t>Maison Margiela Replica Under The Stars Eau De Toilette Spray 100ml</t>
        </is>
      </c>
      <c r="C23966" t="inlineStr">
        <is>
          <t>Eau De Toilette</t>
        </is>
      </c>
      <c r="D23966" t="inlineStr">
        <is>
          <t>Maison Margiela</t>
        </is>
      </c>
      <c r="E23966" t="n">
        <v>90.48999999999999</v>
      </c>
      <c r="F23966" t="n">
        <v>1</v>
      </c>
      <c r="G23966" t="n">
        <v>5</v>
      </c>
      <c r="H23966" s="5">
        <f>HYPERLINK("https://api.qogita.com/variants/link/3614274017069/", "View Product")</f>
        <v/>
      </c>
    </row>
    <row r="23967">
      <c r="A23967" t="inlineStr">
        <is>
          <t>3614274024784</t>
        </is>
      </c>
      <c r="B23967" t="inlineStr">
        <is>
          <t>Valentino Uomo Born In Roma Green Eau De Toilette Spray 50ml</t>
        </is>
      </c>
      <c r="C23967" t="inlineStr">
        <is>
          <t>Eau De Toilette</t>
        </is>
      </c>
      <c r="D23967" t="inlineStr">
        <is>
          <t>Valentino</t>
        </is>
      </c>
      <c r="E23967" t="n">
        <v>57.33</v>
      </c>
      <c r="F23967" t="n">
        <v>1</v>
      </c>
      <c r="G23967" t="n">
        <v>5</v>
      </c>
      <c r="H23967" s="5">
        <f>HYPERLINK("https://api.qogita.com/variants/link/3614274024784/", "View Product")</f>
        <v/>
      </c>
    </row>
    <row r="23968">
      <c r="A23968" t="inlineStr">
        <is>
          <t>3614274024807</t>
        </is>
      </c>
      <c r="B23968" t="inlineStr">
        <is>
          <t>Valentino Uomo Born In Roma Green Stravaganza Eau De Toilette Spray 100ml</t>
        </is>
      </c>
      <c r="C23968" t="inlineStr">
        <is>
          <t>Eau De Toilette</t>
        </is>
      </c>
      <c r="D23968" t="inlineStr">
        <is>
          <t>Valentino</t>
        </is>
      </c>
      <c r="E23968" t="n">
        <v>68.01000000000001</v>
      </c>
      <c r="F23968" t="n">
        <v>1</v>
      </c>
      <c r="G23968" t="n">
        <v>3</v>
      </c>
      <c r="H23968" s="5">
        <f>HYPERLINK("https://api.qogita.com/variants/link/3614274024807/", "View Product")</f>
        <v/>
      </c>
    </row>
    <row r="23969">
      <c r="A23969" t="inlineStr">
        <is>
          <t>3614274039634</t>
        </is>
      </c>
      <c r="B23969" t="inlineStr">
        <is>
          <t>Lancome Brightening Rebalancing Watery Emulsion Clarifique - 75 Ml</t>
        </is>
      </c>
      <c r="C23969" t="inlineStr">
        <is>
          <t>Anti-Pigmentation Spot Cream</t>
        </is>
      </c>
      <c r="D23969" t="inlineStr">
        <is>
          <t>Lancôme</t>
        </is>
      </c>
      <c r="E23969" t="n">
        <v>81.70999999999999</v>
      </c>
      <c r="F23969" t="n">
        <v>1</v>
      </c>
      <c r="G23969" t="n">
        <v>6</v>
      </c>
      <c r="H23969" s="5">
        <f>HYPERLINK("https://api.qogita.com/variants/link/3614274039634/", "View Product")</f>
        <v/>
      </c>
    </row>
    <row r="23970">
      <c r="A23970" t="inlineStr">
        <is>
          <t>3614274042979</t>
        </is>
      </c>
      <c r="B23970" t="inlineStr">
        <is>
          <t>Biotherm Eau d'Énergie Body Lotion with Life Plankton, Apricot Oil and Olive Oil 400ml</t>
        </is>
      </c>
      <c r="C23970" t="inlineStr">
        <is>
          <t>Body Lotion</t>
        </is>
      </c>
      <c r="D23970" t="inlineStr">
        <is>
          <t>Biotherm</t>
        </is>
      </c>
      <c r="E23970" t="n">
        <v>30.39</v>
      </c>
      <c r="F23970" t="n">
        <v>1</v>
      </c>
      <c r="G23970" t="n">
        <v>2</v>
      </c>
      <c r="H23970" s="5">
        <f>HYPERLINK("https://api.qogita.com/variants/link/3614274042979/", "View Product")</f>
        <v/>
      </c>
    </row>
    <row r="23971">
      <c r="A23971" t="inlineStr">
        <is>
          <t>3614274076202</t>
        </is>
      </c>
      <c r="B23971" t="inlineStr">
        <is>
          <t>Yves Saint Laurent Black Opium Over Red Eau De Parfum 90ml</t>
        </is>
      </c>
      <c r="C23971" t="inlineStr">
        <is>
          <t>Eau De Parfum</t>
        </is>
      </c>
      <c r="D23971" t="inlineStr">
        <is>
          <t>Yves Saint Laurent</t>
        </is>
      </c>
      <c r="E23971" t="n">
        <v>94.7</v>
      </c>
      <c r="F23971" t="n">
        <v>1</v>
      </c>
      <c r="G23971" t="n">
        <v>7</v>
      </c>
      <c r="H23971" s="5">
        <f>HYPERLINK("https://api.qogita.com/variants/link/3614274076202/", "View Product")</f>
        <v/>
      </c>
    </row>
    <row r="23972">
      <c r="A23972" t="inlineStr">
        <is>
          <t>3614274076578</t>
        </is>
      </c>
      <c r="B23972" t="inlineStr">
        <is>
          <t>Yves Saint Laurent Black Opium Over Red Eau De Parfum Spray 50ml</t>
        </is>
      </c>
      <c r="C23972" t="inlineStr">
        <is>
          <t>Eau De Parfum</t>
        </is>
      </c>
      <c r="D23972" t="inlineStr">
        <is>
          <t>Yves Saint Laurent</t>
        </is>
      </c>
      <c r="E23972" t="n">
        <v>74.83</v>
      </c>
      <c r="F23972" t="n">
        <v>1</v>
      </c>
      <c r="G23972" t="n">
        <v>34</v>
      </c>
      <c r="H23972" s="5">
        <f>HYPERLINK("https://api.qogita.com/variants/link/3614274076578/", "View Product")</f>
        <v/>
      </c>
    </row>
    <row r="23973">
      <c r="A23973" t="inlineStr">
        <is>
          <t>3614274076585</t>
        </is>
      </c>
      <c r="B23973" t="inlineStr">
        <is>
          <t>Yves Saint Laurent Black Opium Over Red Eau De Parfum Spray 30ml</t>
        </is>
      </c>
      <c r="C23973" t="inlineStr">
        <is>
          <t>Eau De Parfum</t>
        </is>
      </c>
      <c r="D23973" t="inlineStr">
        <is>
          <t>Yves Saint Laurent</t>
        </is>
      </c>
      <c r="E23973" t="n">
        <v>57.36</v>
      </c>
      <c r="F23973" t="n">
        <v>1</v>
      </c>
      <c r="G23973" t="n">
        <v>19</v>
      </c>
      <c r="H23973" s="5">
        <f>HYPERLINK("https://api.qogita.com/variants/link/3614274076585/", "View Product")</f>
        <v/>
      </c>
    </row>
    <row r="23974">
      <c r="A23974" t="inlineStr">
        <is>
          <t>3614274076790</t>
        </is>
      </c>
      <c r="B23974" t="inlineStr">
        <is>
          <t>Thierry Mugler Alien Perfumed Body Lotion 200ml</t>
        </is>
      </c>
      <c r="C23974" t="inlineStr">
        <is>
          <t>Body Lotion</t>
        </is>
      </c>
      <c r="D23974" t="inlineStr">
        <is>
          <t>Thierry Mugler</t>
        </is>
      </c>
      <c r="E23974" t="n">
        <v>39.18</v>
      </c>
      <c r="F23974" t="n">
        <v>1</v>
      </c>
      <c r="G23974" t="n">
        <v>4</v>
      </c>
      <c r="H23974" s="5">
        <f>HYPERLINK("https://api.qogita.com/variants/link/3614274076790/", "View Product")</f>
        <v/>
      </c>
    </row>
    <row r="23975">
      <c r="A23975" t="inlineStr">
        <is>
          <t>3614274091885</t>
        </is>
      </c>
      <c r="B23975" t="inlineStr">
        <is>
          <t>Armani Acqua Di Gioia Eau De Parfum Intense 100ml</t>
        </is>
      </c>
      <c r="C23975" t="inlineStr">
        <is>
          <t>Eau De Parfum</t>
        </is>
      </c>
      <c r="D23975" t="inlineStr">
        <is>
          <t>Armani</t>
        </is>
      </c>
      <c r="E23975" t="n">
        <v>104.57</v>
      </c>
      <c r="F23975" t="n">
        <v>1</v>
      </c>
      <c r="G23975" t="n">
        <v>4</v>
      </c>
      <c r="H23975" s="5">
        <f>HYPERLINK("https://api.qogita.com/variants/link/3614274091885/", "View Product")</f>
        <v/>
      </c>
    </row>
    <row r="23976">
      <c r="A23976" t="inlineStr">
        <is>
          <t>3614274096873</t>
        </is>
      </c>
      <c r="B23976" t="inlineStr">
        <is>
          <t>Biotherm Blue Peptides Uplift Cream Spf30 50ml Face Moisturizer With Sun Protection</t>
        </is>
      </c>
      <c r="C23976" t="inlineStr">
        <is>
          <t>Day Cream</t>
        </is>
      </c>
      <c r="D23976" t="inlineStr">
        <is>
          <t>Biotherm</t>
        </is>
      </c>
      <c r="E23976" t="n">
        <v>58.9</v>
      </c>
      <c r="F23976" t="n">
        <v>1</v>
      </c>
      <c r="G23976" t="n">
        <v>8</v>
      </c>
      <c r="H23976" s="5">
        <f>HYPERLINK("https://api.qogita.com/variants/link/3614274096873/", "View Product")</f>
        <v/>
      </c>
    </row>
    <row r="23977">
      <c r="A23977" t="inlineStr">
        <is>
          <t>3614274096934</t>
        </is>
      </c>
      <c r="B23977" t="inlineStr">
        <is>
          <t>Biotherm Blue Peptides Uplift Night Cream 50ml</t>
        </is>
      </c>
      <c r="C23977" t="inlineStr">
        <is>
          <t>Night Cream</t>
        </is>
      </c>
      <c r="D23977" t="inlineStr">
        <is>
          <t>Biotherm</t>
        </is>
      </c>
      <c r="E23977" t="n">
        <v>58.88</v>
      </c>
      <c r="F23977" t="n">
        <v>1</v>
      </c>
      <c r="G23977" t="n">
        <v>4</v>
      </c>
      <c r="H23977" s="5">
        <f>HYPERLINK("https://api.qogita.com/variants/link/3614274096934/", "View Product")</f>
        <v/>
      </c>
    </row>
    <row r="23978">
      <c r="A23978" t="inlineStr">
        <is>
          <t>3614274104370</t>
        </is>
      </c>
      <c r="B23978" t="inlineStr">
        <is>
          <t>Lancme La Vie Est Belle Rose Extraordinaire Eau De Parfum 100ml</t>
        </is>
      </c>
      <c r="C23978" t="inlineStr">
        <is>
          <t>Eau De Parfum</t>
        </is>
      </c>
      <c r="D23978" t="inlineStr">
        <is>
          <t>Lancôme</t>
        </is>
      </c>
      <c r="E23978" t="n">
        <v>79.33</v>
      </c>
      <c r="F23978" t="n">
        <v>1</v>
      </c>
      <c r="G23978" t="n">
        <v>53</v>
      </c>
      <c r="H23978" s="5">
        <f>HYPERLINK("https://api.qogita.com/variants/link/3614274104370/", "View Product")</f>
        <v/>
      </c>
    </row>
    <row r="23979">
      <c r="A23979" t="inlineStr">
        <is>
          <t>3614274109849</t>
        </is>
      </c>
      <c r="B23979" t="inlineStr">
        <is>
          <t>Armani Si Passione Set - EDP 50ml + EDP 15ml</t>
        </is>
      </c>
      <c r="C23979" t="inlineStr">
        <is>
          <t>Fragrance Sets</t>
        </is>
      </c>
      <c r="D23979" t="inlineStr">
        <is>
          <t>Armani Beauty</t>
        </is>
      </c>
      <c r="E23979" t="n">
        <v>80.09999999999999</v>
      </c>
      <c r="F23979" t="n">
        <v>1</v>
      </c>
      <c r="G23979" t="n">
        <v>4</v>
      </c>
      <c r="H23979" s="5">
        <f>HYPERLINK("https://api.qogita.com/variants/link/3614274109849/", "View Product")</f>
        <v/>
      </c>
    </row>
    <row r="23980">
      <c r="A23980" t="inlineStr">
        <is>
          <t>3614274109962</t>
        </is>
      </c>
      <c r="B23980" t="inlineStr">
        <is>
          <t>Armani Code Pour Home 15ml GIFSET</t>
        </is>
      </c>
      <c r="C23980" t="inlineStr">
        <is>
          <t>Fragrance Sets</t>
        </is>
      </c>
      <c r="D23980" t="inlineStr">
        <is>
          <t>Giorgio Armani</t>
        </is>
      </c>
      <c r="E23980" t="n">
        <v>100.11</v>
      </c>
      <c r="F23980" t="n">
        <v>1</v>
      </c>
      <c r="G23980" t="n">
        <v>4</v>
      </c>
      <c r="H23980" s="5">
        <f>HYPERLINK("https://api.qogita.com/variants/link/3614274109962/", "View Product")</f>
        <v/>
      </c>
    </row>
    <row r="23981">
      <c r="A23981" t="inlineStr">
        <is>
          <t>3614274114645</t>
        </is>
      </c>
      <c r="B23981" t="inlineStr">
        <is>
          <t>Myslf Le Parfum Perfume Spray 100ml</t>
        </is>
      </c>
      <c r="C23981" t="inlineStr">
        <is>
          <t>Eau De Parfum</t>
        </is>
      </c>
      <c r="D23981" t="inlineStr">
        <is>
          <t>Myself</t>
        </is>
      </c>
      <c r="E23981" t="n">
        <v>98.76000000000001</v>
      </c>
      <c r="F23981" t="n">
        <v>1</v>
      </c>
      <c r="G23981" t="n">
        <v>23</v>
      </c>
      <c r="H23981" s="5">
        <f>HYPERLINK("https://api.qogita.com/variants/link/3614274114645/", "View Product")</f>
        <v/>
      </c>
    </row>
    <row r="23982">
      <c r="A23982" t="inlineStr">
        <is>
          <t>3614274126884</t>
        </is>
      </c>
      <c r="B23982" t="inlineStr">
        <is>
          <t>Thierry Mugler A Men Fantasm Eau De Parfum Sensuelle Spray 100ml</t>
        </is>
      </c>
      <c r="C23982" t="inlineStr">
        <is>
          <t>Eau De Parfum</t>
        </is>
      </c>
      <c r="D23982" t="inlineStr">
        <is>
          <t>Thierry Mugler</t>
        </is>
      </c>
      <c r="E23982" t="n">
        <v>60.38</v>
      </c>
      <c r="F23982" t="n">
        <v>1</v>
      </c>
      <c r="G23982" t="n">
        <v>66</v>
      </c>
      <c r="H23982" s="5">
        <f>HYPERLINK("https://api.qogita.com/variants/link/3614274126884/", "View Product")</f>
        <v/>
      </c>
    </row>
    <row r="23983">
      <c r="A23983" t="inlineStr">
        <is>
          <t>3614274128277</t>
        </is>
      </c>
      <c r="B23983" t="inlineStr">
        <is>
          <t>Loveshine Candy Glow Lip Balm 44b Nude Lavalliere by Yves Saint Laurent</t>
        </is>
      </c>
      <c r="C23983" t="inlineStr">
        <is>
          <t>Lip Balm</t>
        </is>
      </c>
      <c r="D23983" t="inlineStr">
        <is>
          <t>Yves Saint Laurent</t>
        </is>
      </c>
      <c r="E23983" t="n">
        <v>39.2</v>
      </c>
      <c r="F23983" t="n">
        <v>1</v>
      </c>
      <c r="G23983" t="n">
        <v>4</v>
      </c>
      <c r="H23983" s="5">
        <f>HYPERLINK("https://api.qogita.com/variants/link/3614274128277/", "View Product")</f>
        <v/>
      </c>
    </row>
    <row r="23984">
      <c r="A23984" t="inlineStr">
        <is>
          <t>3614274132670</t>
        </is>
      </c>
      <c r="B23984" t="inlineStr">
        <is>
          <t>Yves Saint Laurent Loveshine Wet Shine Lipstick 154 Love Berry</t>
        </is>
      </c>
      <c r="C23984" t="inlineStr">
        <is>
          <t>Lipstick</t>
        </is>
      </c>
      <c r="D23984" t="inlineStr">
        <is>
          <t>Yves Saint Laurent</t>
        </is>
      </c>
      <c r="E23984" t="n">
        <v>33.17</v>
      </c>
      <c r="F23984" t="n">
        <v>1</v>
      </c>
      <c r="G23984" t="n">
        <v>7</v>
      </c>
      <c r="H23984" s="5">
        <f>HYPERLINK("https://api.qogita.com/variants/link/3614274132670/", "View Product")</f>
        <v/>
      </c>
    </row>
    <row r="23985">
      <c r="A23985" t="inlineStr">
        <is>
          <t>3614274139341</t>
        </is>
      </c>
      <c r="B23985" t="inlineStr">
        <is>
          <t>Diesel Only The Brave Men's Fragrance</t>
        </is>
      </c>
      <c r="C23985" t="inlineStr">
        <is>
          <t>Eau De Toilette</t>
        </is>
      </c>
      <c r="D23985" t="inlineStr">
        <is>
          <t>Diesel</t>
        </is>
      </c>
      <c r="E23985" t="n">
        <v>56.8</v>
      </c>
      <c r="F23985" t="n">
        <v>1</v>
      </c>
      <c r="G23985" t="n">
        <v>11</v>
      </c>
      <c r="H23985" s="5">
        <f>HYPERLINK("https://api.qogita.com/variants/link/3614274139341/", "View Product")</f>
        <v/>
      </c>
    </row>
    <row r="23986">
      <c r="A23986" t="inlineStr">
        <is>
          <t>3614274145250</t>
        </is>
      </c>
      <c r="B23986" t="inlineStr">
        <is>
          <t>Lancome Tonique Confort Facial Toner 400 Ml</t>
        </is>
      </c>
      <c r="C23986" t="inlineStr">
        <is>
          <t>Facial Spray</t>
        </is>
      </c>
      <c r="D23986" t="inlineStr">
        <is>
          <t>Lancôme</t>
        </is>
      </c>
      <c r="E23986" t="n">
        <v>40.94</v>
      </c>
      <c r="F23986" t="n">
        <v>1</v>
      </c>
      <c r="G23986" t="n">
        <v>3</v>
      </c>
      <c r="H23986" s="5">
        <f>HYPERLINK("https://api.qogita.com/variants/link/3614274145250/", "View Product")</f>
        <v/>
      </c>
    </row>
    <row r="23987">
      <c r="A23987" t="inlineStr">
        <is>
          <t>3614274146370</t>
        </is>
      </c>
      <c r="B23987" t="inlineStr">
        <is>
          <t>Viktor &amp; Rolf Flowerbomb Ruby Orchid 100ml</t>
        </is>
      </c>
      <c r="C23987" t="inlineStr">
        <is>
          <t>Eau De Parfum</t>
        </is>
      </c>
      <c r="D23987" t="inlineStr">
        <is>
          <t>Viktor &amp; Rolf</t>
        </is>
      </c>
      <c r="E23987" t="n">
        <v>102.63</v>
      </c>
      <c r="F23987" t="n">
        <v>1</v>
      </c>
      <c r="G23987" t="n">
        <v>3</v>
      </c>
      <c r="H23987" s="5">
        <f>HYPERLINK("https://api.qogita.com/variants/link/3614274146370/", "View Product")</f>
        <v/>
      </c>
    </row>
    <row r="23988">
      <c r="A23988" t="inlineStr">
        <is>
          <t>3614274150896</t>
        </is>
      </c>
      <c r="B23988" t="inlineStr">
        <is>
          <t>Giorgio Armani Si Passione Intense 2024 - Eau De Parfum - Refill</t>
        </is>
      </c>
      <c r="C23988" t="inlineStr">
        <is>
          <t>Eau De Parfum</t>
        </is>
      </c>
      <c r="D23988" t="inlineStr">
        <is>
          <t>Giorgio Armani</t>
        </is>
      </c>
      <c r="E23988" t="n">
        <v>105.76</v>
      </c>
      <c r="F23988" t="n">
        <v>1</v>
      </c>
      <c r="G23988" t="n">
        <v>14</v>
      </c>
      <c r="H23988" s="5">
        <f>HYPERLINK("https://api.qogita.com/variants/link/3614274150896/", "View Product")</f>
        <v/>
      </c>
    </row>
    <row r="23989">
      <c r="A23989" t="inlineStr">
        <is>
          <t>3614274150988</t>
        </is>
      </c>
      <c r="B23989" t="inlineStr">
        <is>
          <t>Giorgio Armani Si Passione 50ml Eau de Parfum Intense 2024</t>
        </is>
      </c>
      <c r="C23989" t="inlineStr">
        <is>
          <t>Eau De Parfum</t>
        </is>
      </c>
      <c r="D23989" t="inlineStr">
        <is>
          <t>Giorgio Armani</t>
        </is>
      </c>
      <c r="E23989" t="n">
        <v>68.79000000000001</v>
      </c>
      <c r="F23989" t="n">
        <v>1</v>
      </c>
      <c r="G23989" t="n">
        <v>3</v>
      </c>
      <c r="H23989" s="5">
        <f>HYPERLINK("https://api.qogita.com/variants/link/3614274150988/", "View Product")</f>
        <v/>
      </c>
    </row>
    <row r="23990">
      <c r="A23990" t="inlineStr">
        <is>
          <t>3614274151152</t>
        </is>
      </c>
      <c r="B23990" t="inlineStr">
        <is>
          <t>Yves Saint Laurent Ysl Libre Flowers &amp; Flames Eau De Parfum 50ml</t>
        </is>
      </c>
      <c r="C23990" t="inlineStr">
        <is>
          <t>Eau De Parfum</t>
        </is>
      </c>
      <c r="D23990" t="inlineStr">
        <is>
          <t>Yves Saint Laurent</t>
        </is>
      </c>
      <c r="E23990" t="n">
        <v>70.09999999999999</v>
      </c>
      <c r="F23990" t="n">
        <v>1</v>
      </c>
      <c r="G23990" t="n">
        <v>11</v>
      </c>
      <c r="H23990" s="5">
        <f>HYPERLINK("https://api.qogita.com/variants/link/3614274151152/", "View Product")</f>
        <v/>
      </c>
    </row>
    <row r="23991">
      <c r="A23991" t="inlineStr">
        <is>
          <t>3614274154405</t>
        </is>
      </c>
      <c r="B23991" t="inlineStr">
        <is>
          <t>Giorgio Armani Prisma Glass Lip Gloss 35 Ml</t>
        </is>
      </c>
      <c r="C23991" t="inlineStr">
        <is>
          <t>Lip Gloss</t>
        </is>
      </c>
      <c r="D23991" t="inlineStr">
        <is>
          <t>Giorgio Armani</t>
        </is>
      </c>
      <c r="E23991" t="n">
        <v>38.67</v>
      </c>
      <c r="F23991" t="n">
        <v>1</v>
      </c>
      <c r="G23991" t="n">
        <v>5</v>
      </c>
      <c r="H23991" s="5">
        <f>HYPERLINK("https://api.qogita.com/variants/link/3614274154405/", "View Product")</f>
        <v/>
      </c>
    </row>
    <row r="23992">
      <c r="A23992" t="inlineStr">
        <is>
          <t>3614274158151</t>
        </is>
      </c>
      <c r="B23992" t="inlineStr">
        <is>
          <t>Viktor &amp; Rolf Flowerbomb Extreme Eau De Parfum Intense - 30ml</t>
        </is>
      </c>
      <c r="C23992" t="inlineStr">
        <is>
          <t>Eau De Parfum</t>
        </is>
      </c>
      <c r="D23992" t="inlineStr">
        <is>
          <t>Viktor &amp; Rolf</t>
        </is>
      </c>
      <c r="E23992" t="n">
        <v>44.95</v>
      </c>
      <c r="F23992" t="n">
        <v>1</v>
      </c>
      <c r="G23992" t="n">
        <v>14</v>
      </c>
      <c r="H23992" s="5">
        <f>HYPERLINK("https://api.qogita.com/variants/link/3614274158151/", "View Product")</f>
        <v/>
      </c>
    </row>
    <row r="23993">
      <c r="A23993" t="inlineStr">
        <is>
          <t>3614274164817</t>
        </is>
      </c>
      <c r="B23993" t="inlineStr">
        <is>
          <t>Mugler Alien Eau de Parfum Women's Perfume Floral with Jasmine Wood and Amber 60ml and 10ml</t>
        </is>
      </c>
      <c r="C23993" t="inlineStr">
        <is>
          <t>Eau De Parfum</t>
        </is>
      </c>
      <c r="D23993" t="inlineStr">
        <is>
          <t>Mugler</t>
        </is>
      </c>
      <c r="E23993" t="n">
        <v>80.43000000000001</v>
      </c>
      <c r="F23993" t="n">
        <v>1</v>
      </c>
      <c r="G23993" t="n">
        <v>3</v>
      </c>
      <c r="H23993" s="5">
        <f>HYPERLINK("https://api.qogita.com/variants/link/3614274164817/", "View Product")</f>
        <v/>
      </c>
    </row>
    <row r="23994">
      <c r="A23994" t="inlineStr">
        <is>
          <t>3614274169706</t>
        </is>
      </c>
      <c r="B23994" t="inlineStr">
        <is>
          <t>Lancome La Vie Est Belle L'Elixir Eau De Parfum Spray 100ml</t>
        </is>
      </c>
      <c r="C23994" t="inlineStr">
        <is>
          <t>Eau De Parfum</t>
        </is>
      </c>
      <c r="D23994" t="inlineStr">
        <is>
          <t>Lancôme</t>
        </is>
      </c>
      <c r="E23994" t="n">
        <v>120.65</v>
      </c>
      <c r="F23994" t="n">
        <v>1</v>
      </c>
      <c r="G23994" t="n">
        <v>9</v>
      </c>
      <c r="H23994" s="5">
        <f>HYPERLINK("https://api.qogita.com/variants/link/3614274169706/", "View Product")</f>
        <v/>
      </c>
    </row>
    <row r="23995">
      <c r="A23995" t="inlineStr">
        <is>
          <t>3614274169751</t>
        </is>
      </c>
      <c r="B23995" t="inlineStr">
        <is>
          <t>Lancme Lip Idle Squalane12 Butterglow 26 Don't Be Chai Hydrating Lip Balm 3 G</t>
        </is>
      </c>
      <c r="C23995" t="inlineStr">
        <is>
          <t>Lip Balm</t>
        </is>
      </c>
      <c r="D23995" t="inlineStr">
        <is>
          <t>Lancôme</t>
        </is>
      </c>
      <c r="E23995" t="n">
        <v>25.52</v>
      </c>
      <c r="F23995" t="n">
        <v>1</v>
      </c>
      <c r="G23995" t="n">
        <v>3</v>
      </c>
      <c r="H23995" s="5">
        <f>HYPERLINK("https://api.qogita.com/variants/link/3614274169751/", "View Product")</f>
        <v/>
      </c>
    </row>
    <row r="23996">
      <c r="A23996" t="inlineStr">
        <is>
          <t>3614274169812</t>
        </is>
      </c>
      <c r="B23996" t="inlineStr">
        <is>
          <t>Lancome Lip Idole Squalane-12 Butterglow 3 G</t>
        </is>
      </c>
      <c r="C23996" t="inlineStr">
        <is>
          <t>Lip Balm</t>
        </is>
      </c>
      <c r="D23996" t="inlineStr">
        <is>
          <t>Lancôme</t>
        </is>
      </c>
      <c r="E23996" t="n">
        <v>28.78</v>
      </c>
      <c r="F23996" t="n">
        <v>1</v>
      </c>
      <c r="G23996" t="n">
        <v>4</v>
      </c>
      <c r="H23996" s="5">
        <f>HYPERLINK("https://api.qogita.com/variants/link/3614274169812/", "View Product")</f>
        <v/>
      </c>
    </row>
    <row r="23997">
      <c r="A23997" t="inlineStr">
        <is>
          <t>3614274170191</t>
        </is>
      </c>
      <c r="B23997" t="inlineStr">
        <is>
          <t>Lancme Rnrgie Hcf Triple Serum 20ml</t>
        </is>
      </c>
      <c r="C23997" t="inlineStr">
        <is>
          <t>Anti-Aging Serum</t>
        </is>
      </c>
      <c r="D23997" t="inlineStr">
        <is>
          <t>Lancôme</t>
        </is>
      </c>
      <c r="E23997" t="n">
        <v>56.7</v>
      </c>
      <c r="F23997" t="n">
        <v>1</v>
      </c>
      <c r="G23997" t="n">
        <v>28</v>
      </c>
      <c r="H23997" s="5">
        <f>HYPERLINK("https://api.qogita.com/variants/link/3614274170191/", "View Product")</f>
        <v/>
      </c>
    </row>
    <row r="23998">
      <c r="A23998" t="inlineStr">
        <is>
          <t>3614274179590</t>
        </is>
      </c>
      <c r="B23998" t="inlineStr">
        <is>
          <t>Lancome Idole Eau de Parfum Spray 50ml Sets</t>
        </is>
      </c>
      <c r="C23998" t="inlineStr">
        <is>
          <t>Fragrance Sets</t>
        </is>
      </c>
      <c r="D23998" t="inlineStr">
        <is>
          <t>Lancôme</t>
        </is>
      </c>
      <c r="E23998" t="n">
        <v>89.83</v>
      </c>
      <c r="F23998" t="n">
        <v>1</v>
      </c>
      <c r="G23998" t="n">
        <v>3</v>
      </c>
      <c r="H23998" s="5">
        <f>HYPERLINK("https://api.qogita.com/variants/link/3614274179590/", "View Product")</f>
        <v/>
      </c>
    </row>
    <row r="23999">
      <c r="A23999" t="inlineStr">
        <is>
          <t>3614274186031</t>
        </is>
      </c>
      <c r="B23999" t="inlineStr">
        <is>
          <t>Giorgio Armani Code Homme Gift Set Includes 125 Ml Eau De Toilette 75 Ml Shower Gel And 15 Ml Miniature Eau De Toilette</t>
        </is>
      </c>
      <c r="C23999" t="inlineStr">
        <is>
          <t>Fragrance Sets</t>
        </is>
      </c>
      <c r="D23999" t="inlineStr">
        <is>
          <t>Giorgio Armani</t>
        </is>
      </c>
      <c r="E23999" t="n">
        <v>88.27</v>
      </c>
      <c r="F23999" t="n">
        <v>1</v>
      </c>
      <c r="G23999" t="n">
        <v>29</v>
      </c>
      <c r="H23999" s="5">
        <f>HYPERLINK("https://api.qogita.com/variants/link/3614274186031/", "View Product")</f>
        <v/>
      </c>
    </row>
    <row r="24000">
      <c r="A24000" t="inlineStr">
        <is>
          <t>3614274186130</t>
        </is>
      </c>
      <c r="B24000" t="inlineStr">
        <is>
          <t>Giorgio Armani Luminous Silk Bronzing Powder - 18 G</t>
        </is>
      </c>
      <c r="C24000" t="inlineStr">
        <is>
          <t>Bronzer</t>
        </is>
      </c>
      <c r="D24000" t="inlineStr">
        <is>
          <t>Giorgio Armani</t>
        </is>
      </c>
      <c r="E24000" t="n">
        <v>56.72</v>
      </c>
      <c r="F24000" t="n">
        <v>1</v>
      </c>
      <c r="G24000" t="n">
        <v>14</v>
      </c>
      <c r="H24000" s="5">
        <f>HYPERLINK("https://api.qogita.com/variants/link/3614274186130/", "View Product")</f>
        <v/>
      </c>
    </row>
    <row r="24001">
      <c r="A24001" t="inlineStr">
        <is>
          <t>3614274190854</t>
        </is>
      </c>
      <c r="B24001" t="inlineStr">
        <is>
          <t>Giorgio Armani Luminous Silk Cheek Tint 12ml Bold Pink</t>
        </is>
      </c>
      <c r="C24001" t="inlineStr">
        <is>
          <t>Blush</t>
        </is>
      </c>
      <c r="D24001" t="inlineStr">
        <is>
          <t>Giorgio Armani</t>
        </is>
      </c>
      <c r="E24001" t="n">
        <v>32.86</v>
      </c>
      <c r="F24001" t="n">
        <v>1</v>
      </c>
      <c r="G24001" t="n">
        <v>12</v>
      </c>
      <c r="H24001" s="5">
        <f>HYPERLINK("https://api.qogita.com/variants/link/3614274190854/", "View Product")</f>
        <v/>
      </c>
    </row>
    <row r="24002">
      <c r="A24002" t="inlineStr">
        <is>
          <t>3614274190861</t>
        </is>
      </c>
      <c r="B24002" t="inlineStr">
        <is>
          <t>Giorgio Armani Luminous Silk Cheek Tint Cream Rouge - 4 Ml</t>
        </is>
      </c>
      <c r="C24002" t="inlineStr">
        <is>
          <t>Blush</t>
        </is>
      </c>
      <c r="D24002" t="inlineStr">
        <is>
          <t>Giorgio Armani</t>
        </is>
      </c>
      <c r="E24002" t="n">
        <v>33.14</v>
      </c>
      <c r="F24002" t="n">
        <v>1</v>
      </c>
      <c r="G24002" t="n">
        <v>8</v>
      </c>
      <c r="H24002" s="5">
        <f>HYPERLINK("https://api.qogita.com/variants/link/3614274190861/", "View Product")</f>
        <v/>
      </c>
    </row>
    <row r="24003">
      <c r="A24003" t="inlineStr">
        <is>
          <t>3614274190878</t>
        </is>
      </c>
      <c r="B24003" t="inlineStr">
        <is>
          <t>Giorgio Armani Luminous Silk Cheek Tint - 12 Ml</t>
        </is>
      </c>
      <c r="C24003" t="inlineStr">
        <is>
          <t>Blush</t>
        </is>
      </c>
      <c r="D24003" t="inlineStr">
        <is>
          <t>Giorgio Armani</t>
        </is>
      </c>
      <c r="E24003" t="n">
        <v>32.75</v>
      </c>
      <c r="F24003" t="n">
        <v>1</v>
      </c>
      <c r="G24003" t="n">
        <v>7</v>
      </c>
      <c r="H24003" s="5">
        <f>HYPERLINK("https://api.qogita.com/variants/link/3614274190878/", "View Product")</f>
        <v/>
      </c>
    </row>
    <row r="24004">
      <c r="A24004" t="inlineStr">
        <is>
          <t>3614274192193</t>
        </is>
      </c>
      <c r="B24004" t="inlineStr">
        <is>
          <t>Giorgio Armani Prisma Glass Lipgloss - 4 Ml</t>
        </is>
      </c>
      <c r="C24004" t="inlineStr">
        <is>
          <t>Lip Gloss</t>
        </is>
      </c>
      <c r="D24004" t="inlineStr">
        <is>
          <t>Giorgio Armani</t>
        </is>
      </c>
      <c r="E24004" t="n">
        <v>38.67</v>
      </c>
      <c r="F24004" t="n">
        <v>1</v>
      </c>
      <c r="G24004" t="n">
        <v>4</v>
      </c>
      <c r="H24004" s="5">
        <f>HYPERLINK("https://api.qogita.com/variants/link/3614274192193/", "View Product")</f>
        <v/>
      </c>
    </row>
    <row r="24005">
      <c r="A24005" t="inlineStr">
        <is>
          <t>3614274195514</t>
        </is>
      </c>
      <c r="B24005" t="inlineStr">
        <is>
          <t>Lancme Lip Idle Lip Pencil 50 Sheik's Rosy Nude Matte Finish 12 Grams</t>
        </is>
      </c>
      <c r="C24005" t="inlineStr">
        <is>
          <t>Lip Liner</t>
        </is>
      </c>
      <c r="D24005" t="inlineStr">
        <is>
          <t>Lancôme</t>
        </is>
      </c>
      <c r="E24005" t="n">
        <v>19.02</v>
      </c>
      <c r="F24005" t="n">
        <v>1</v>
      </c>
      <c r="G24005" t="n">
        <v>2</v>
      </c>
      <c r="H24005" s="5">
        <f>HYPERLINK("https://api.qogita.com/variants/link/3614274195514/", "View Product")</f>
        <v/>
      </c>
    </row>
    <row r="24006">
      <c r="A24006" t="inlineStr">
        <is>
          <t>3614274195538</t>
        </is>
      </c>
      <c r="B24006" t="inlineStr">
        <is>
          <t>Lancme Matte Lip Pencil Lip Idole Lip Shaper 12 G 53 The Tea Is Hot</t>
        </is>
      </c>
      <c r="C24006" t="inlineStr">
        <is>
          <t>Lip Liner</t>
        </is>
      </c>
      <c r="D24006" t="inlineStr">
        <is>
          <t>Lancôme</t>
        </is>
      </c>
      <c r="E24006" t="n">
        <v>20</v>
      </c>
      <c r="F24006" t="n">
        <v>1</v>
      </c>
      <c r="G24006" t="n">
        <v>2</v>
      </c>
      <c r="H24006" s="5">
        <f>HYPERLINK("https://api.qogita.com/variants/link/3614274195538/", "View Product")</f>
        <v/>
      </c>
    </row>
    <row r="24007">
      <c r="A24007" t="inlineStr">
        <is>
          <t>3614274195545</t>
        </is>
      </c>
      <c r="B24007" t="inlineStr">
        <is>
          <t>Lancme Matte Lip Pencil Lip Idole Lip Shaper 12 G In 60 Million Dollar Berry</t>
        </is>
      </c>
      <c r="C24007" t="inlineStr">
        <is>
          <t>Lip Liner</t>
        </is>
      </c>
      <c r="D24007" t="inlineStr">
        <is>
          <t>Lancôme</t>
        </is>
      </c>
      <c r="E24007" t="n">
        <v>19.08</v>
      </c>
      <c r="F24007" t="n">
        <v>1</v>
      </c>
      <c r="G24007" t="n">
        <v>3</v>
      </c>
      <c r="H24007" s="5">
        <f>HYPERLINK("https://api.qogita.com/variants/link/3614274195545/", "View Product")</f>
        <v/>
      </c>
    </row>
    <row r="24008">
      <c r="A24008" t="inlineStr">
        <is>
          <t>3614274212068</t>
        </is>
      </c>
      <c r="B24008" t="inlineStr">
        <is>
          <t>Lancme Lip Idle Lip Pencil 100 Red Now Matte Lip Pencil 12 G</t>
        </is>
      </c>
      <c r="C24008" t="inlineStr">
        <is>
          <t>Lip Liner</t>
        </is>
      </c>
      <c r="D24008" t="inlineStr">
        <is>
          <t>Lancôme</t>
        </is>
      </c>
      <c r="E24008" t="n">
        <v>17.03</v>
      </c>
      <c r="F24008" t="n">
        <v>1</v>
      </c>
      <c r="G24008" t="n">
        <v>4</v>
      </c>
      <c r="H24008" s="5">
        <f>HYPERLINK("https://api.qogita.com/variants/link/3614274212068/", "View Product")</f>
        <v/>
      </c>
    </row>
    <row r="24009">
      <c r="A24009" t="inlineStr">
        <is>
          <t>3614274222135</t>
        </is>
      </c>
      <c r="B24009" t="inlineStr">
        <is>
          <t>Giorgio Armani Emporio Armani She Eau De Parfum 100ml</t>
        </is>
      </c>
      <c r="C24009" t="inlineStr">
        <is>
          <t>Eau De Parfum</t>
        </is>
      </c>
      <c r="D24009" t="inlineStr">
        <is>
          <t>Giorgio Armani</t>
        </is>
      </c>
      <c r="E24009" t="n">
        <v>43.98</v>
      </c>
      <c r="F24009" t="n">
        <v>1</v>
      </c>
      <c r="G24009" t="n">
        <v>82</v>
      </c>
      <c r="H24009" s="5">
        <f>HYPERLINK("https://api.qogita.com/variants/link/3614274222135/", "View Product")</f>
        <v/>
      </c>
    </row>
    <row r="24010">
      <c r="A24010" t="inlineStr">
        <is>
          <t>3614274222142</t>
        </is>
      </c>
      <c r="B24010" t="inlineStr">
        <is>
          <t>Emporio Armani Classic He Eau De Toilette 100ml</t>
        </is>
      </c>
      <c r="C24010" t="inlineStr">
        <is>
          <t>Eau De Toilette</t>
        </is>
      </c>
      <c r="D24010" t="inlineStr">
        <is>
          <t>Emporio Armani</t>
        </is>
      </c>
      <c r="E24010" t="n">
        <v>40.15</v>
      </c>
      <c r="F24010" t="n">
        <v>1</v>
      </c>
      <c r="G24010" t="n">
        <v>22</v>
      </c>
      <c r="H24010" s="5">
        <f>HYPERLINK("https://api.qogita.com/variants/link/3614274222142/", "View Product")</f>
        <v/>
      </c>
    </row>
    <row r="24011">
      <c r="A24011" t="inlineStr">
        <is>
          <t>3614274266801</t>
        </is>
      </c>
      <c r="B24011" t="inlineStr">
        <is>
          <t>Yves Saint Laurent Ysl Y For Men Le Parfum - 100ml</t>
        </is>
      </c>
      <c r="C24011" t="inlineStr">
        <is>
          <t>Eau De Parfum</t>
        </is>
      </c>
      <c r="D24011" t="inlineStr">
        <is>
          <t>Yves Saint Laurent</t>
        </is>
      </c>
      <c r="E24011" t="n">
        <v>123.94</v>
      </c>
      <c r="F24011" t="n">
        <v>1</v>
      </c>
      <c r="G24011" t="n">
        <v>46</v>
      </c>
      <c r="H24011" s="5">
        <f>HYPERLINK("https://api.qogita.com/variants/link/3614274266801/", "View Product")</f>
        <v/>
      </c>
    </row>
    <row r="24012">
      <c r="A24012" t="inlineStr">
        <is>
          <t>3614274305401</t>
        </is>
      </c>
      <c r="B24012" t="inlineStr">
        <is>
          <t>Prada Praradoxe Radical Essence Parfum 90ml</t>
        </is>
      </c>
      <c r="C24012" t="inlineStr">
        <is>
          <t>Eau De Parfum</t>
        </is>
      </c>
      <c r="D24012" t="inlineStr">
        <is>
          <t>Prada</t>
        </is>
      </c>
      <c r="E24012" t="n">
        <v>131.35</v>
      </c>
      <c r="F24012" t="n">
        <v>1</v>
      </c>
      <c r="G24012" t="n">
        <v>10</v>
      </c>
      <c r="H24012" s="5">
        <f>HYPERLINK("https://api.qogita.com/variants/link/3614274305401/", "View Product")</f>
        <v/>
      </c>
    </row>
    <row r="24013">
      <c r="A24013" t="inlineStr">
        <is>
          <t>3614274337112</t>
        </is>
      </c>
      <c r="B24013" t="inlineStr">
        <is>
          <t>Armani Armani Code Le Parfum Eau De Parfum Spray 75 Ml</t>
        </is>
      </c>
      <c r="C24013" t="inlineStr">
        <is>
          <t>Eau De Parfum</t>
        </is>
      </c>
      <c r="D24013" t="inlineStr">
        <is>
          <t>Armani</t>
        </is>
      </c>
      <c r="E24013" t="n">
        <v>93.63</v>
      </c>
      <c r="F24013" t="n">
        <v>1</v>
      </c>
      <c r="G24013" t="n">
        <v>43</v>
      </c>
      <c r="H24013" s="5">
        <f>HYPERLINK("https://api.qogita.com/variants/link/3614274337112/", "View Product")</f>
        <v/>
      </c>
    </row>
    <row r="24014">
      <c r="A24014" t="inlineStr">
        <is>
          <t>3614274338812</t>
        </is>
      </c>
      <c r="B24014" t="inlineStr">
        <is>
          <t>Lancome Advanced Genifique Serum 50ml</t>
        </is>
      </c>
      <c r="C24014" t="inlineStr">
        <is>
          <t>Anti-Aging Serum</t>
        </is>
      </c>
      <c r="D24014" t="inlineStr">
        <is>
          <t>Lancôme</t>
        </is>
      </c>
      <c r="E24014" t="n">
        <v>87.28</v>
      </c>
      <c r="F24014" t="n">
        <v>1</v>
      </c>
      <c r="G24014" t="n">
        <v>10</v>
      </c>
      <c r="H24014" s="5">
        <f>HYPERLINK("https://api.qogita.com/variants/link/3614274338812/", "View Product")</f>
        <v/>
      </c>
    </row>
    <row r="24015">
      <c r="A24015" t="inlineStr">
        <is>
          <t>3614274339109</t>
        </is>
      </c>
      <c r="B24015" t="inlineStr">
        <is>
          <t>Biotherm Lait Corporel - 400 Milliliters Gift Set</t>
        </is>
      </c>
      <c r="C24015" t="inlineStr">
        <is>
          <t>Body Care Sets</t>
        </is>
      </c>
      <c r="D24015" t="inlineStr">
        <is>
          <t>Biotherm</t>
        </is>
      </c>
      <c r="E24015" t="n">
        <v>25.37</v>
      </c>
      <c r="F24015" t="n">
        <v>1</v>
      </c>
      <c r="G24015" t="n">
        <v>4</v>
      </c>
      <c r="H24015" s="5">
        <f>HYPERLINK("https://api.qogita.com/variants/link/3614274339109/", "View Product")</f>
        <v/>
      </c>
    </row>
    <row r="24016">
      <c r="A24016" t="inlineStr">
        <is>
          <t>3614274341195</t>
        </is>
      </c>
      <c r="B24016" t="inlineStr">
        <is>
          <t>Prada Luna Rossa Ocean Eau De Toilette Gift Set - 100ml</t>
        </is>
      </c>
      <c r="C24016" t="inlineStr">
        <is>
          <t>Fragrance Sets</t>
        </is>
      </c>
      <c r="D24016" t="inlineStr">
        <is>
          <t>Prada</t>
        </is>
      </c>
      <c r="E24016" t="n">
        <v>79.56999999999999</v>
      </c>
      <c r="F24016" t="n">
        <v>1</v>
      </c>
      <c r="G24016" t="n">
        <v>8</v>
      </c>
      <c r="H24016" s="5">
        <f>HYPERLINK("https://api.qogita.com/variants/link/3614274341195/", "View Product")</f>
        <v/>
      </c>
    </row>
    <row r="24017">
      <c r="A24017" t="inlineStr">
        <is>
          <t>3614274347371</t>
        </is>
      </c>
      <c r="B24017" t="inlineStr">
        <is>
          <t>Prada Luna Rossa Carbon Edt Spray 100 Ml Edt 10 Ml Set</t>
        </is>
      </c>
      <c r="C24017" t="inlineStr">
        <is>
          <t>Fragrance Sets</t>
        </is>
      </c>
      <c r="D24017" t="inlineStr">
        <is>
          <t>Prada</t>
        </is>
      </c>
      <c r="E24017" t="n">
        <v>90.36</v>
      </c>
      <c r="F24017" t="n">
        <v>1</v>
      </c>
      <c r="G24017" t="n">
        <v>8</v>
      </c>
      <c r="H24017" s="5">
        <f>HYPERLINK("https://api.qogita.com/variants/link/3614274347371/", "View Product")</f>
        <v/>
      </c>
    </row>
    <row r="24018">
      <c r="A24018" t="inlineStr">
        <is>
          <t>3614274380415</t>
        </is>
      </c>
      <c r="B24018" t="inlineStr">
        <is>
          <t>Lancome O De Lancome Off Now Eau De Toilette - 100ml</t>
        </is>
      </c>
      <c r="C24018" t="inlineStr">
        <is>
          <t>Eau De Toilette</t>
        </is>
      </c>
      <c r="D24018" t="inlineStr">
        <is>
          <t>Lancôme</t>
        </is>
      </c>
      <c r="E24018" t="n">
        <v>64.65000000000001</v>
      </c>
      <c r="F24018" t="n">
        <v>1</v>
      </c>
      <c r="G24018" t="n">
        <v>21</v>
      </c>
      <c r="H24018" s="5">
        <f>HYPERLINK("https://api.qogita.com/variants/link/3614274380415/", "View Product")</f>
        <v/>
      </c>
    </row>
    <row r="24019">
      <c r="A24019" t="inlineStr">
        <is>
          <t>3614274382617</t>
        </is>
      </c>
      <c r="B24019" t="inlineStr">
        <is>
          <t>Lancome Lip Idole Juicytreat - N 10</t>
        </is>
      </c>
      <c r="C24019" t="inlineStr">
        <is>
          <t>Lip Gloss</t>
        </is>
      </c>
      <c r="D24019" t="inlineStr">
        <is>
          <t>Lancôme</t>
        </is>
      </c>
      <c r="E24019" t="n">
        <v>29.18</v>
      </c>
      <c r="F24019" t="n">
        <v>1</v>
      </c>
      <c r="G24019" t="n">
        <v>2</v>
      </c>
      <c r="H24019" s="5">
        <f>HYPERLINK("https://api.qogita.com/variants/link/3614274382617/", "View Product")</f>
        <v/>
      </c>
    </row>
    <row r="24020">
      <c r="A24020" t="inlineStr">
        <is>
          <t>3614274382631</t>
        </is>
      </c>
      <c r="B24020" t="inlineStr">
        <is>
          <t>Lancome Lip Idole Juicytreat - N 12 Lip Treatment</t>
        </is>
      </c>
      <c r="C24020" t="inlineStr">
        <is>
          <t>Lip Balm</t>
        </is>
      </c>
      <c r="D24020" t="inlineStr">
        <is>
          <t>Lancôme</t>
        </is>
      </c>
      <c r="E24020" t="n">
        <v>29.18</v>
      </c>
      <c r="F24020" t="n">
        <v>1</v>
      </c>
      <c r="G24020" t="n">
        <v>2</v>
      </c>
      <c r="H24020" s="5">
        <f>HYPERLINK("https://api.qogita.com/variants/link/3614274382631/", "View Product")</f>
        <v/>
      </c>
    </row>
    <row r="24021">
      <c r="A24021" t="inlineStr">
        <is>
          <t>3614274382662</t>
        </is>
      </c>
      <c r="B24021" t="inlineStr">
        <is>
          <t>Lancome Lip Idole Juicytreat - N 18 Lip Treatment</t>
        </is>
      </c>
      <c r="C24021" t="inlineStr">
        <is>
          <t>Lip Balm</t>
        </is>
      </c>
      <c r="D24021" t="inlineStr">
        <is>
          <t>Lancôme</t>
        </is>
      </c>
      <c r="E24021" t="n">
        <v>29.18</v>
      </c>
      <c r="F24021" t="n">
        <v>1</v>
      </c>
      <c r="G24021" t="n">
        <v>2</v>
      </c>
      <c r="H24021" s="5">
        <f>HYPERLINK("https://api.qogita.com/variants/link/3614274382662/", "View Product")</f>
        <v/>
      </c>
    </row>
    <row r="24022">
      <c r="A24022" t="inlineStr">
        <is>
          <t>3614274382747</t>
        </is>
      </c>
      <c r="B24022" t="inlineStr">
        <is>
          <t>Lancome Lip Idole Juicytreat - N 90 Lip Treatment</t>
        </is>
      </c>
      <c r="C24022" t="inlineStr">
        <is>
          <t>Lip Balm</t>
        </is>
      </c>
      <c r="D24022" t="inlineStr">
        <is>
          <t>Lancôme</t>
        </is>
      </c>
      <c r="E24022" t="n">
        <v>29.18</v>
      </c>
      <c r="F24022" t="n">
        <v>1</v>
      </c>
      <c r="G24022" t="n">
        <v>3</v>
      </c>
      <c r="H24022" s="5">
        <f>HYPERLINK("https://api.qogita.com/variants/link/3614274382747/", "View Product")</f>
        <v/>
      </c>
    </row>
    <row r="24023">
      <c r="A24023" t="inlineStr">
        <is>
          <t>3616300891759</t>
        </is>
      </c>
      <c r="B24023" t="inlineStr">
        <is>
          <t>Mexx Fresh Splash M 50ml</t>
        </is>
      </c>
      <c r="C24023" t="inlineStr">
        <is>
          <t>Aftershave</t>
        </is>
      </c>
      <c r="D24023" t="inlineStr">
        <is>
          <t>Mexx</t>
        </is>
      </c>
      <c r="E24023" t="n">
        <v>6.68</v>
      </c>
      <c r="F24023" t="n">
        <v>1</v>
      </c>
      <c r="G24023" t="n">
        <v>24</v>
      </c>
      <c r="H24023" s="5">
        <f>HYPERLINK("https://api.qogita.com/variants/link/3616300891759/", "View Product")</f>
        <v/>
      </c>
    </row>
    <row r="24024">
      <c r="A24024" t="inlineStr">
        <is>
          <t>3616300891896</t>
        </is>
      </c>
      <c r="B24024" t="inlineStr">
        <is>
          <t>Mexx Fresh Splash Woman Eau de Toilette 15ml</t>
        </is>
      </c>
      <c r="C24024" t="inlineStr">
        <is>
          <t>Eau De Toilette</t>
        </is>
      </c>
      <c r="D24024" t="inlineStr">
        <is>
          <t>Mexx</t>
        </is>
      </c>
      <c r="E24024" t="n">
        <v>5.68</v>
      </c>
      <c r="F24024" t="n">
        <v>1</v>
      </c>
      <c r="G24024" t="n">
        <v>10</v>
      </c>
      <c r="H24024" s="5">
        <f>HYPERLINK("https://api.qogita.com/variants/link/3616300891896/", "View Product")</f>
        <v/>
      </c>
    </row>
    <row r="24025">
      <c r="A24025" t="inlineStr">
        <is>
          <t>3616300892428</t>
        </is>
      </c>
      <c r="B24025" t="inlineStr">
        <is>
          <t>Burberry London Dream for Her EDP Vapo 30ml</t>
        </is>
      </c>
      <c r="C24025" t="inlineStr">
        <is>
          <t>Eau De Parfum</t>
        </is>
      </c>
      <c r="D24025" t="inlineStr">
        <is>
          <t>Burberry</t>
        </is>
      </c>
      <c r="E24025" t="n">
        <v>32.77</v>
      </c>
      <c r="F24025" t="n">
        <v>1</v>
      </c>
      <c r="G24025" t="n">
        <v>8</v>
      </c>
      <c r="H24025" s="5">
        <f>HYPERLINK("https://api.qogita.com/variants/link/3616300892428/", "View Product")</f>
        <v/>
      </c>
    </row>
    <row r="24026">
      <c r="A24026" t="inlineStr">
        <is>
          <t>3616300896105</t>
        </is>
      </c>
      <c r="B24026" t="inlineStr">
        <is>
          <t>BOSS ALIVE Eau de Toilette for Her 50ml</t>
        </is>
      </c>
      <c r="C24026" t="inlineStr">
        <is>
          <t>Eau De Toilette</t>
        </is>
      </c>
      <c r="D24026" t="inlineStr">
        <is>
          <t>Hugo Boss</t>
        </is>
      </c>
      <c r="E24026" t="n">
        <v>34.99</v>
      </c>
      <c r="F24026" t="n">
        <v>1</v>
      </c>
      <c r="G24026" t="n">
        <v>32</v>
      </c>
      <c r="H24026" s="5">
        <f>HYPERLINK("https://api.qogita.com/variants/link/3616300896105/", "View Product")</f>
        <v/>
      </c>
    </row>
    <row r="24027">
      <c r="A24027" t="inlineStr">
        <is>
          <t>3616301182467</t>
        </is>
      </c>
      <c r="B24027" t="inlineStr">
        <is>
          <t>Bourjois Gloss Fabuleux Lip Gloss 01 3.5ml</t>
        </is>
      </c>
      <c r="C24027" t="inlineStr">
        <is>
          <t>Lip Gloss</t>
        </is>
      </c>
      <c r="D24027" t="inlineStr">
        <is>
          <t>Bourjois</t>
        </is>
      </c>
      <c r="E24027" t="n">
        <v>5.14</v>
      </c>
      <c r="F24027" t="n">
        <v>1</v>
      </c>
      <c r="G24027" t="n">
        <v>3</v>
      </c>
      <c r="H24027" s="5">
        <f>HYPERLINK("https://api.qogita.com/variants/link/3616301182467/", "View Product")</f>
        <v/>
      </c>
    </row>
    <row r="24028">
      <c r="A24028" t="inlineStr">
        <is>
          <t>3616301182528</t>
        </is>
      </c>
      <c r="B24028" t="inlineStr">
        <is>
          <t>Bourjois Gloss Fabuleux Lip Gloss 07 3.5ml</t>
        </is>
      </c>
      <c r="C24028" t="inlineStr">
        <is>
          <t>Lip Gloss</t>
        </is>
      </c>
      <c r="D24028" t="inlineStr">
        <is>
          <t>Bourjois</t>
        </is>
      </c>
      <c r="E24028" t="n">
        <v>5.14</v>
      </c>
      <c r="F24028" t="n">
        <v>1</v>
      </c>
      <c r="G24028" t="n">
        <v>4</v>
      </c>
      <c r="H24028" s="5">
        <f>HYPERLINK("https://api.qogita.com/variants/link/3616301182528/", "View Product")</f>
        <v/>
      </c>
    </row>
    <row r="24029">
      <c r="A24029" t="inlineStr">
        <is>
          <t>3616301202349</t>
        </is>
      </c>
      <c r="B24029" t="inlineStr">
        <is>
          <t>Gucci Bloom Ambrosia Di Fiori Gift Set Eau De Parfum 50ml And Miniature Eau De Parfum 5ml For Women</t>
        </is>
      </c>
      <c r="C24029" t="inlineStr">
        <is>
          <t>Fragrance Sets</t>
        </is>
      </c>
      <c r="D24029" t="inlineStr">
        <is>
          <t>Gucci</t>
        </is>
      </c>
      <c r="E24029" t="n">
        <v>81.45</v>
      </c>
      <c r="F24029" t="n">
        <v>1</v>
      </c>
      <c r="G24029" t="n">
        <v>2</v>
      </c>
      <c r="H24029" s="5">
        <f>HYPERLINK("https://api.qogita.com/variants/link/3616301202349/", "View Product")</f>
        <v/>
      </c>
    </row>
    <row r="24030">
      <c r="A24030" t="inlineStr">
        <is>
          <t>3616301238355</t>
        </is>
      </c>
      <c r="B24030" t="inlineStr">
        <is>
          <t>Max Factor Colour X-Pert Palette Eyeshadow Palette 004 Veiled Bronze 7g</t>
        </is>
      </c>
      <c r="C24030" t="inlineStr">
        <is>
          <t>Eye Sets &amp; Pallets</t>
        </is>
      </c>
      <c r="D24030" t="inlineStr">
        <is>
          <t>Max Factor</t>
        </is>
      </c>
      <c r="E24030" t="n">
        <v>8.039999999999999</v>
      </c>
      <c r="F24030" t="n">
        <v>1</v>
      </c>
      <c r="G24030" t="n">
        <v>2</v>
      </c>
      <c r="H24030" s="5">
        <f>HYPERLINK("https://api.qogita.com/variants/link/3616301238355/", "View Product")</f>
        <v/>
      </c>
    </row>
    <row r="24031">
      <c r="A24031" t="inlineStr">
        <is>
          <t>3616301254584</t>
        </is>
      </c>
      <c r="B24031" t="inlineStr">
        <is>
          <t>Max Factor Facefinity Lasting Performance Makeup 110</t>
        </is>
      </c>
      <c r="C24031" t="inlineStr">
        <is>
          <t>Foundation</t>
        </is>
      </c>
      <c r="D24031" t="inlineStr">
        <is>
          <t>Max Factor</t>
        </is>
      </c>
      <c r="E24031" t="n">
        <v>6.43</v>
      </c>
      <c r="F24031" t="n">
        <v>1</v>
      </c>
      <c r="G24031" t="n">
        <v>6</v>
      </c>
      <c r="H24031" s="5">
        <f>HYPERLINK("https://api.qogita.com/variants/link/3616301254584/", "View Product")</f>
        <v/>
      </c>
    </row>
    <row r="24032">
      <c r="A24032" t="inlineStr">
        <is>
          <t>3616301295419</t>
        </is>
      </c>
      <c r="B24032" t="inlineStr">
        <is>
          <t>Lancaster Sun Kids Sensitive Wet Skin Milk Spray Spf50 150 Ml</t>
        </is>
      </c>
      <c r="C24032" t="inlineStr">
        <is>
          <t>Sun Protection For Children</t>
        </is>
      </c>
      <c r="D24032" t="inlineStr">
        <is>
          <t>Lancaster</t>
        </is>
      </c>
      <c r="E24032" t="n">
        <v>23.01</v>
      </c>
      <c r="F24032" t="n">
        <v>1</v>
      </c>
      <c r="G24032" t="n">
        <v>9</v>
      </c>
      <c r="H24032" s="5">
        <f>HYPERLINK("https://api.qogita.com/variants/link/3616301295419/", "View Product")</f>
        <v/>
      </c>
    </row>
    <row r="24033">
      <c r="A24033" t="inlineStr">
        <is>
          <t>3616301394532</t>
        </is>
      </c>
      <c r="B24033" t="inlineStr">
        <is>
          <t>Gucci Guilty Love Edition 2021 Pour Homme Eau De Toilette 50ml</t>
        </is>
      </c>
      <c r="C24033" t="inlineStr">
        <is>
          <t>Eau De Toilette</t>
        </is>
      </c>
      <c r="D24033" t="inlineStr">
        <is>
          <t>Gucci</t>
        </is>
      </c>
      <c r="E24033" t="n">
        <v>48.73</v>
      </c>
      <c r="F24033" t="n">
        <v>1</v>
      </c>
      <c r="G24033" t="n">
        <v>4</v>
      </c>
      <c r="H24033" s="5">
        <f>HYPERLINK("https://api.qogita.com/variants/link/3616301394532/", "View Product")</f>
        <v/>
      </c>
    </row>
    <row r="24034">
      <c r="A24034" t="inlineStr">
        <is>
          <t>3616301641223</t>
        </is>
      </c>
      <c r="B24034" t="inlineStr">
        <is>
          <t>Bruno Banani Dangerous Woman Deodorant Spray 75ml</t>
        </is>
      </c>
      <c r="C24034" t="inlineStr">
        <is>
          <t>Deodorant &amp; Anti-Perspirant</t>
        </is>
      </c>
      <c r="D24034" t="inlineStr">
        <is>
          <t>Bruno Banani</t>
        </is>
      </c>
      <c r="E24034" t="n">
        <v>2.89</v>
      </c>
      <c r="F24034" t="n">
        <v>1</v>
      </c>
      <c r="G24034" t="n">
        <v>4</v>
      </c>
      <c r="H24034" s="5">
        <f>HYPERLINK("https://api.qogita.com/variants/link/3616301641223/", "View Product")</f>
        <v/>
      </c>
    </row>
    <row r="24035">
      <c r="A24035" t="inlineStr">
        <is>
          <t>3616301641339</t>
        </is>
      </c>
      <c r="B24035" t="inlineStr">
        <is>
          <t>Bruno Banani Dangerous Woman Eau De Toilette Spray 50ml</t>
        </is>
      </c>
      <c r="C24035" t="inlineStr">
        <is>
          <t>Eau De Toilette</t>
        </is>
      </c>
      <c r="D24035" t="inlineStr">
        <is>
          <t>Bruno Banani</t>
        </is>
      </c>
      <c r="E24035" t="n">
        <v>10.02</v>
      </c>
      <c r="F24035" t="n">
        <v>1</v>
      </c>
      <c r="G24035" t="n">
        <v>32</v>
      </c>
      <c r="H24035" s="5">
        <f>HYPERLINK("https://api.qogita.com/variants/link/3616301641339/", "View Product")</f>
        <v/>
      </c>
    </row>
    <row r="24036">
      <c r="A24036" t="inlineStr">
        <is>
          <t>3616301776024</t>
        </is>
      </c>
      <c r="B24036" t="inlineStr">
        <is>
          <t>Marc Jacobs Daisy Eau So Intense Eau De Perfume Spray 100ml</t>
        </is>
      </c>
      <c r="C24036" t="inlineStr">
        <is>
          <t>Eau De Parfum</t>
        </is>
      </c>
      <c r="D24036" t="inlineStr">
        <is>
          <t>Marc Jacobs</t>
        </is>
      </c>
      <c r="E24036" t="n">
        <v>57.09</v>
      </c>
      <c r="F24036" t="n">
        <v>1</v>
      </c>
      <c r="G24036" t="n">
        <v>13</v>
      </c>
      <c r="H24036" s="5">
        <f>HYPERLINK("https://api.qogita.com/variants/link/3616301776024/", "View Product")</f>
        <v/>
      </c>
    </row>
    <row r="24037">
      <c r="A24037" t="inlineStr">
        <is>
          <t>3616301783848</t>
        </is>
      </c>
      <c r="B24037" t="inlineStr">
        <is>
          <t>Calvin Klein Ck Be Deodorant Stick 75g</t>
        </is>
      </c>
      <c r="C24037" t="inlineStr">
        <is>
          <t>Deodorant &amp; Anti-Perspirant</t>
        </is>
      </c>
      <c r="D24037" t="inlineStr">
        <is>
          <t>Calvin Klein</t>
        </is>
      </c>
      <c r="E24037" t="n">
        <v>8.880000000000001</v>
      </c>
      <c r="F24037" t="n">
        <v>1</v>
      </c>
      <c r="G24037" t="n">
        <v>5</v>
      </c>
      <c r="H24037" s="5">
        <f>HYPERLINK("https://api.qogita.com/variants/link/3616301783848/", "View Product")</f>
        <v/>
      </c>
    </row>
    <row r="24038">
      <c r="A24038" t="inlineStr">
        <is>
          <t>3616301789246</t>
        </is>
      </c>
      <c r="B24038" t="inlineStr">
        <is>
          <t>Escada Fairy Love Eau De Toilette Spray 100ml</t>
        </is>
      </c>
      <c r="C24038" t="inlineStr">
        <is>
          <t>Eau De Toilette</t>
        </is>
      </c>
      <c r="D24038" t="inlineStr">
        <is>
          <t>Escada</t>
        </is>
      </c>
      <c r="E24038" t="n">
        <v>14.08</v>
      </c>
      <c r="F24038" t="n">
        <v>1</v>
      </c>
      <c r="G24038" t="n">
        <v>41</v>
      </c>
      <c r="H24038" s="5">
        <f>HYPERLINK("https://api.qogita.com/variants/link/3616301789246/", "View Product")</f>
        <v/>
      </c>
    </row>
    <row r="24039">
      <c r="A24039" t="inlineStr">
        <is>
          <t>3616301791140</t>
        </is>
      </c>
      <c r="B24039" t="inlineStr">
        <is>
          <t>Lancaster Skin Essentials 400 ml Cleaning Gel</t>
        </is>
      </c>
      <c r="C24039" t="inlineStr">
        <is>
          <t>Cleansing Gel</t>
        </is>
      </c>
      <c r="D24039" t="inlineStr">
        <is>
          <t>Lancaster</t>
        </is>
      </c>
      <c r="E24039" t="n">
        <v>22.41</v>
      </c>
      <c r="F24039" t="n">
        <v>1</v>
      </c>
      <c r="G24039" t="n">
        <v>9</v>
      </c>
      <c r="H24039" s="5">
        <f>HYPERLINK("https://api.qogita.com/variants/link/3616301791140/", "View Product")</f>
        <v/>
      </c>
    </row>
    <row r="24040">
      <c r="A24040" t="inlineStr">
        <is>
          <t>3616301791164</t>
        </is>
      </c>
      <c r="B24040" t="inlineStr">
        <is>
          <t>Lancaster Skin Essentials Softening Creamtofoam Cleanser 150 Ml</t>
        </is>
      </c>
      <c r="C24040" t="inlineStr">
        <is>
          <t>Cleansing Cream</t>
        </is>
      </c>
      <c r="D24040" t="inlineStr">
        <is>
          <t>Lancaster</t>
        </is>
      </c>
      <c r="E24040" t="n">
        <v>18.68</v>
      </c>
      <c r="F24040" t="n">
        <v>1</v>
      </c>
      <c r="G24040" t="n">
        <v>5</v>
      </c>
      <c r="H24040" s="5">
        <f>HYPERLINK("https://api.qogita.com/variants/link/3616301791164/", "View Product")</f>
        <v/>
      </c>
    </row>
    <row r="24041">
      <c r="A24041" t="inlineStr">
        <is>
          <t>3616301791171</t>
        </is>
      </c>
      <c r="B24041" t="inlineStr">
        <is>
          <t>Cleansers Softening Perfecting Toner 400ml</t>
        </is>
      </c>
      <c r="C24041" t="inlineStr">
        <is>
          <t>Face Lotion</t>
        </is>
      </c>
      <c r="D24041" t="inlineStr">
        <is>
          <t>Lancaster</t>
        </is>
      </c>
      <c r="E24041" t="n">
        <v>22.41</v>
      </c>
      <c r="F24041" t="n">
        <v>1</v>
      </c>
      <c r="G24041" t="n">
        <v>10</v>
      </c>
      <c r="H24041" s="5">
        <f>HYPERLINK("https://api.qogita.com/variants/link/3616301791171/", "View Product")</f>
        <v/>
      </c>
    </row>
    <row r="24042">
      <c r="A24042" t="inlineStr">
        <is>
          <t>3616301794608</t>
        </is>
      </c>
      <c r="B24042" t="inlineStr">
        <is>
          <t>Gucci Guilty Pour Homme Parfum 90ml Men's Spray Eau De Parfum</t>
        </is>
      </c>
      <c r="C24042" t="inlineStr">
        <is>
          <t>Eau De Parfum</t>
        </is>
      </c>
      <c r="D24042" t="inlineStr">
        <is>
          <t>Gucci</t>
        </is>
      </c>
      <c r="E24042" t="n">
        <v>74.22</v>
      </c>
      <c r="F24042" t="n">
        <v>1</v>
      </c>
      <c r="G24042" t="n">
        <v>20</v>
      </c>
      <c r="H24042" s="5">
        <f>HYPERLINK("https://api.qogita.com/variants/link/3616301794608/", "View Product")</f>
        <v/>
      </c>
    </row>
    <row r="24043">
      <c r="A24043" t="inlineStr">
        <is>
          <t>3616301794639</t>
        </is>
      </c>
      <c r="B24043" t="inlineStr">
        <is>
          <t>Gucci Guilty Pour Femme Intense Eau De Parfum Spray 90ml</t>
        </is>
      </c>
      <c r="C24043" t="inlineStr">
        <is>
          <t>Eau De Parfum</t>
        </is>
      </c>
      <c r="D24043" t="inlineStr">
        <is>
          <t>Gucci</t>
        </is>
      </c>
      <c r="E24043" t="n">
        <v>92.92</v>
      </c>
      <c r="F24043" t="n">
        <v>1</v>
      </c>
      <c r="G24043" t="n">
        <v>5</v>
      </c>
      <c r="H24043" s="5">
        <f>HYPERLINK("https://api.qogita.com/variants/link/3616301794639/", "View Product")</f>
        <v/>
      </c>
    </row>
    <row r="24044">
      <c r="A24044" t="inlineStr">
        <is>
          <t>3616301893332</t>
        </is>
      </c>
      <c r="B24044" t="inlineStr">
        <is>
          <t>Max Factor Colour Elixir Lip Liner 30 Mauve Moment 1.2g</t>
        </is>
      </c>
      <c r="C24044" t="inlineStr">
        <is>
          <t>Lip Liner</t>
        </is>
      </c>
      <c r="D24044" t="inlineStr">
        <is>
          <t>Max Factor</t>
        </is>
      </c>
      <c r="E24044" t="n">
        <v>4.06</v>
      </c>
      <c r="F24044" t="n">
        <v>1</v>
      </c>
      <c r="G24044" t="n">
        <v>2</v>
      </c>
      <c r="H24044" s="5">
        <f>HYPERLINK("https://api.qogita.com/variants/link/3616301893332/", "View Product")</f>
        <v/>
      </c>
    </row>
    <row r="24045">
      <c r="A24045" t="inlineStr">
        <is>
          <t>3616302013371</t>
        </is>
      </c>
      <c r="B24045" t="inlineStr">
        <is>
          <t>Lacoste Match Point Eau De Parfum 30ml Men Spray</t>
        </is>
      </c>
      <c r="C24045" t="inlineStr">
        <is>
          <t>Eau De Parfum</t>
        </is>
      </c>
      <c r="D24045" t="inlineStr">
        <is>
          <t>Lacoste</t>
        </is>
      </c>
      <c r="E24045" t="n">
        <v>22.23</v>
      </c>
      <c r="F24045" t="n">
        <v>1</v>
      </c>
      <c r="G24045" t="n">
        <v>12</v>
      </c>
      <c r="H24045" s="5">
        <f>HYPERLINK("https://api.qogita.com/variants/link/3616302013371/", "View Product")</f>
        <v/>
      </c>
    </row>
    <row r="24046">
      <c r="A24046" t="inlineStr">
        <is>
          <t>3616302020676</t>
        </is>
      </c>
      <c r="B24046" t="inlineStr">
        <is>
          <t>Burberry Goddess Eau De Parfum 50 Ml</t>
        </is>
      </c>
      <c r="C24046" t="inlineStr">
        <is>
          <t>Eau De Parfum</t>
        </is>
      </c>
      <c r="D24046" t="inlineStr">
        <is>
          <t>Burberry</t>
        </is>
      </c>
      <c r="E24046" t="n">
        <v>59.61</v>
      </c>
      <c r="F24046" t="n">
        <v>1</v>
      </c>
      <c r="G24046" t="n">
        <v>86</v>
      </c>
      <c r="H24046" s="5">
        <f>HYPERLINK("https://api.qogita.com/variants/link/3616302020676/", "View Product")</f>
        <v/>
      </c>
    </row>
    <row r="24047">
      <c r="A24047" t="inlineStr">
        <is>
          <t>3616302022533</t>
        </is>
      </c>
      <c r="B24047" t="inlineStr">
        <is>
          <t>Lancaster Sun Beauty Sun Protective Water Spf50 Sunscreen 150 Ml</t>
        </is>
      </c>
      <c r="C24047" t="inlineStr">
        <is>
          <t>Body Sun Protection</t>
        </is>
      </c>
      <c r="D24047" t="inlineStr">
        <is>
          <t>Lancaster</t>
        </is>
      </c>
      <c r="E24047" t="n">
        <v>17.58</v>
      </c>
      <c r="F24047" t="n">
        <v>1</v>
      </c>
      <c r="G24047" t="n">
        <v>14</v>
      </c>
      <c r="H24047" s="5">
        <f>HYPERLINK("https://api.qogita.com/variants/link/3616302022533/", "View Product")</f>
        <v/>
      </c>
    </row>
    <row r="24048">
      <c r="A24048" t="inlineStr">
        <is>
          <t>3616302022595</t>
        </is>
      </c>
      <c r="B24048" t="inlineStr">
        <is>
          <t>Lancaster Sun Beauty Body Milk Spf30 250 Ml</t>
        </is>
      </c>
      <c r="C24048" t="inlineStr">
        <is>
          <t>Body Sun Protection</t>
        </is>
      </c>
      <c r="D24048" t="inlineStr">
        <is>
          <t>Lancaster</t>
        </is>
      </c>
      <c r="E24048" t="n">
        <v>24.93</v>
      </c>
      <c r="F24048" t="n">
        <v>1</v>
      </c>
      <c r="G24048" t="n">
        <v>10</v>
      </c>
      <c r="H24048" s="5">
        <f>HYPERLINK("https://api.qogita.com/variants/link/3616302022595/", "View Product")</f>
        <v/>
      </c>
    </row>
    <row r="24049">
      <c r="A24049" t="inlineStr">
        <is>
          <t>3616302023707</t>
        </is>
      </c>
      <c r="B24049" t="inlineStr">
        <is>
          <t>Burberry Goddess Body Lotion 200ml</t>
        </is>
      </c>
      <c r="C24049" t="inlineStr">
        <is>
          <t>Body Lotion</t>
        </is>
      </c>
      <c r="D24049" t="inlineStr">
        <is>
          <t>Burberry</t>
        </is>
      </c>
      <c r="E24049" t="n">
        <v>37.78</v>
      </c>
      <c r="F24049" t="n">
        <v>1</v>
      </c>
      <c r="G24049" t="n">
        <v>3</v>
      </c>
      <c r="H24049" s="5">
        <f>HYPERLINK("https://api.qogita.com/variants/link/3616302023707/", "View Product")</f>
        <v/>
      </c>
    </row>
    <row r="24050">
      <c r="A24050" t="inlineStr">
        <is>
          <t>3616302038138</t>
        </is>
      </c>
      <c r="B24050" t="inlineStr">
        <is>
          <t>CHLOÉ Rose Naturelle Intense Eau de Parfum for Women Refillable 100ml</t>
        </is>
      </c>
      <c r="C24050" t="inlineStr">
        <is>
          <t>Eau De Parfum</t>
        </is>
      </c>
      <c r="D24050" t="inlineStr">
        <is>
          <t>Chloé</t>
        </is>
      </c>
      <c r="E24050" t="n">
        <v>80.43000000000001</v>
      </c>
      <c r="F24050" t="n">
        <v>1</v>
      </c>
      <c r="G24050" t="n">
        <v>29</v>
      </c>
      <c r="H24050" s="5">
        <f>HYPERLINK("https://api.qogita.com/variants/link/3616302038138/", "View Product")</f>
        <v/>
      </c>
    </row>
    <row r="24051">
      <c r="A24051" t="inlineStr">
        <is>
          <t>3616302038909</t>
        </is>
      </c>
      <c r="B24051" t="inlineStr">
        <is>
          <t>Roberto Cavalli Gold Collection Bloodiris Eau de Parfum 100ml</t>
        </is>
      </c>
      <c r="C24051" t="inlineStr">
        <is>
          <t>Eau De Parfum</t>
        </is>
      </c>
      <c r="D24051" t="inlineStr">
        <is>
          <t>Roberto Cavalli</t>
        </is>
      </c>
      <c r="E24051" t="n">
        <v>57.93</v>
      </c>
      <c r="F24051" t="n">
        <v>1</v>
      </c>
      <c r="G24051" t="n">
        <v>4</v>
      </c>
      <c r="H24051" s="5">
        <f>HYPERLINK("https://api.qogita.com/variants/link/3616302038909/", "View Product")</f>
        <v/>
      </c>
    </row>
    <row r="24052">
      <c r="A24052" t="inlineStr">
        <is>
          <t>3616302416851</t>
        </is>
      </c>
      <c r="B24052" t="inlineStr">
        <is>
          <t>Mexx Summer Holiday Man Eau De Toilette</t>
        </is>
      </c>
      <c r="C24052" t="inlineStr">
        <is>
          <t>Eau De Toilette</t>
        </is>
      </c>
      <c r="D24052" t="inlineStr">
        <is>
          <t>Mexx</t>
        </is>
      </c>
      <c r="E24052" t="n">
        <v>7.04</v>
      </c>
      <c r="F24052" t="n">
        <v>1</v>
      </c>
      <c r="G24052" t="n">
        <v>40</v>
      </c>
      <c r="H24052" s="5">
        <f>HYPERLINK("https://api.qogita.com/variants/link/3616302416851/", "View Product")</f>
        <v/>
      </c>
    </row>
    <row r="24053">
      <c r="A24053" t="inlineStr">
        <is>
          <t>3616302467396</t>
        </is>
      </c>
      <c r="B24053" t="inlineStr">
        <is>
          <t>Bourjois Volume Glamour Coup De Coeur 03 Cute Eyeshadow</t>
        </is>
      </c>
      <c r="C24053" t="inlineStr">
        <is>
          <t>Eyeshadow</t>
        </is>
      </c>
      <c r="D24053" t="inlineStr">
        <is>
          <t>Bourjois</t>
        </is>
      </c>
      <c r="E24053" t="n">
        <v>7.34</v>
      </c>
      <c r="F24053" t="n">
        <v>1</v>
      </c>
      <c r="G24053" t="n">
        <v>1</v>
      </c>
      <c r="H24053" s="5">
        <f>HYPERLINK("https://api.qogita.com/variants/link/3616302467396/", "View Product")</f>
        <v/>
      </c>
    </row>
    <row r="24054">
      <c r="A24054" t="inlineStr">
        <is>
          <t>3616302638604</t>
        </is>
      </c>
      <c r="B24054" t="inlineStr">
        <is>
          <t>Max Factor Miracle Pure Foundation 035 Pearl Beige 30ml</t>
        </is>
      </c>
      <c r="C24054" t="inlineStr">
        <is>
          <t>Foundation</t>
        </is>
      </c>
      <c r="D24054" t="inlineStr">
        <is>
          <t>Max Factor</t>
        </is>
      </c>
      <c r="E24054" t="n">
        <v>6.16</v>
      </c>
      <c r="F24054" t="n">
        <v>1</v>
      </c>
      <c r="G24054" t="n">
        <v>5</v>
      </c>
      <c r="H24054" s="5">
        <f>HYPERLINK("https://api.qogita.com/variants/link/3616302638604/", "View Product")</f>
        <v/>
      </c>
    </row>
    <row r="24055">
      <c r="A24055" t="inlineStr">
        <is>
          <t>3616302638680</t>
        </is>
      </c>
      <c r="B24055" t="inlineStr">
        <is>
          <t>Max Factor Miracle Pure Skinimproving Foundation 30 Ml Shade 33 Crystal Beige</t>
        </is>
      </c>
      <c r="C24055" t="inlineStr">
        <is>
          <t>Foundation</t>
        </is>
      </c>
      <c r="D24055" t="inlineStr">
        <is>
          <t>Max Factor</t>
        </is>
      </c>
      <c r="E24055" t="n">
        <v>6.52</v>
      </c>
      <c r="F24055" t="n">
        <v>1</v>
      </c>
      <c r="G24055" t="n">
        <v>5</v>
      </c>
      <c r="H24055" s="5">
        <f>HYPERLINK("https://api.qogita.com/variants/link/3616302638680/", "View Product")</f>
        <v/>
      </c>
    </row>
    <row r="24056">
      <c r="A24056" t="inlineStr">
        <is>
          <t>3616302638741</t>
        </is>
      </c>
      <c r="B24056" t="inlineStr">
        <is>
          <t>Max Factor Miracle Pure Skin Improving Foundation Spf30 Pa+++ 55 Beige - 30ml</t>
        </is>
      </c>
      <c r="C24056" t="inlineStr">
        <is>
          <t>Foundation</t>
        </is>
      </c>
      <c r="D24056" t="inlineStr">
        <is>
          <t>Max Factor</t>
        </is>
      </c>
      <c r="E24056" t="n">
        <v>8.17</v>
      </c>
      <c r="F24056" t="n">
        <v>1</v>
      </c>
      <c r="G24056" t="n">
        <v>3</v>
      </c>
      <c r="H24056" s="5">
        <f>HYPERLINK("https://api.qogita.com/variants/link/3616302638741/", "View Product")</f>
        <v/>
      </c>
    </row>
    <row r="24057">
      <c r="A24057" t="inlineStr">
        <is>
          <t>3616302780044</t>
        </is>
      </c>
      <c r="B24057" t="inlineStr">
        <is>
          <t>David Beckham Aromatic Greens Eau De Parfum 100ml Unisex Spray</t>
        </is>
      </c>
      <c r="C24057" t="inlineStr">
        <is>
          <t>Eau De Parfum</t>
        </is>
      </c>
      <c r="D24057" t="inlineStr">
        <is>
          <t>David Beckham</t>
        </is>
      </c>
      <c r="E24057" t="n">
        <v>9.890000000000001</v>
      </c>
      <c r="F24057" t="n">
        <v>1</v>
      </c>
      <c r="G24057" t="n">
        <v>64</v>
      </c>
      <c r="H24057" s="5">
        <f>HYPERLINK("https://api.qogita.com/variants/link/3616302780044/", "View Product")</f>
        <v/>
      </c>
    </row>
    <row r="24058">
      <c r="A24058" t="inlineStr">
        <is>
          <t>3616302931637</t>
        </is>
      </c>
      <c r="B24058" t="inlineStr">
        <is>
          <t>Lacoste Live Pour Homme Eau De Toilette 75ml For Men</t>
        </is>
      </c>
      <c r="C24058" t="inlineStr">
        <is>
          <t>Eau De Toilette</t>
        </is>
      </c>
      <c r="D24058" t="inlineStr">
        <is>
          <t>Lacoste</t>
        </is>
      </c>
      <c r="E24058" t="n">
        <v>25.66</v>
      </c>
      <c r="F24058" t="n">
        <v>1</v>
      </c>
      <c r="G24058" t="n">
        <v>5</v>
      </c>
      <c r="H24058" s="5">
        <f>HYPERLINK("https://api.qogita.com/variants/link/3616302931637/", "View Product")</f>
        <v/>
      </c>
    </row>
    <row r="24059">
      <c r="A24059" t="inlineStr">
        <is>
          <t>3616302937158</t>
        </is>
      </c>
      <c r="B24059" t="inlineStr">
        <is>
          <t>Mexx Simply For Her Eau De Toilette Fresh Floral Elegant Women</t>
        </is>
      </c>
      <c r="C24059" t="inlineStr">
        <is>
          <t>Eau De Toilette</t>
        </is>
      </c>
      <c r="D24059" t="inlineStr">
        <is>
          <t>Mexx</t>
        </is>
      </c>
      <c r="E24059" t="n">
        <v>3.78</v>
      </c>
      <c r="F24059" t="n">
        <v>1</v>
      </c>
      <c r="G24059" t="n">
        <v>20</v>
      </c>
      <c r="H24059" s="5">
        <f>HYPERLINK("https://api.qogita.com/variants/link/3616302937158/", "View Product")</f>
        <v/>
      </c>
    </row>
    <row r="24060">
      <c r="A24060" t="inlineStr">
        <is>
          <t>3616302939206</t>
        </is>
      </c>
      <c r="B24060" t="inlineStr">
        <is>
          <t>Mexx Simply For Him Eau De Toilette Spray 50ml</t>
        </is>
      </c>
      <c r="C24060" t="inlineStr">
        <is>
          <t>Eau De Toilette</t>
        </is>
      </c>
      <c r="D24060" t="inlineStr">
        <is>
          <t>Mexx</t>
        </is>
      </c>
      <c r="E24060" t="n">
        <v>7.6</v>
      </c>
      <c r="F24060" t="n">
        <v>1</v>
      </c>
      <c r="G24060" t="n">
        <v>2</v>
      </c>
      <c r="H24060" s="5">
        <f>HYPERLINK("https://api.qogita.com/variants/link/3616302939206/", "View Product")</f>
        <v/>
      </c>
    </row>
    <row r="24061">
      <c r="A24061" t="inlineStr">
        <is>
          <t>3616302968237</t>
        </is>
      </c>
      <c r="B24061" t="inlineStr">
        <is>
          <t>Boss Alive Intense Eau De Parfum 50ml</t>
        </is>
      </c>
      <c r="C24061" t="inlineStr">
        <is>
          <t>Eau De Parfum</t>
        </is>
      </c>
      <c r="D24061" t="inlineStr">
        <is>
          <t>Hugo Boss</t>
        </is>
      </c>
      <c r="E24061" t="n">
        <v>31.85</v>
      </c>
      <c r="F24061" t="n">
        <v>1</v>
      </c>
      <c r="G24061" t="n">
        <v>19</v>
      </c>
      <c r="H24061" s="5">
        <f>HYPERLINK("https://api.qogita.com/variants/link/3616302968237/", "View Product")</f>
        <v/>
      </c>
    </row>
    <row r="24062">
      <c r="A24062" t="inlineStr">
        <is>
          <t>3616302970223</t>
        </is>
      </c>
      <c r="B24062" t="inlineStr">
        <is>
          <t>Max Factor Masterpiece Mono Eyeshadow 07sandy Haze 185 G</t>
        </is>
      </c>
      <c r="C24062" t="inlineStr">
        <is>
          <t>Eyeshadow</t>
        </is>
      </c>
      <c r="D24062" t="inlineStr">
        <is>
          <t>Max Factor</t>
        </is>
      </c>
      <c r="E24062" t="n">
        <v>4.64</v>
      </c>
      <c r="F24062" t="n">
        <v>1</v>
      </c>
      <c r="G24062" t="n">
        <v>3</v>
      </c>
      <c r="H24062" s="5">
        <f>HYPERLINK("https://api.qogita.com/variants/link/3616302970223/", "View Product")</f>
        <v/>
      </c>
    </row>
    <row r="24063">
      <c r="A24063" t="inlineStr">
        <is>
          <t>3616302970247</t>
        </is>
      </c>
      <c r="B24063" t="inlineStr">
        <is>
          <t>Max Factor Masterpiece Mono Eyeshadow 04 Magical Dusk 185 Grams</t>
        </is>
      </c>
      <c r="C24063" t="inlineStr">
        <is>
          <t>Eyeshadow</t>
        </is>
      </c>
      <c r="D24063" t="inlineStr">
        <is>
          <t>Max Factor</t>
        </is>
      </c>
      <c r="E24063" t="n">
        <v>4.08</v>
      </c>
      <c r="F24063" t="n">
        <v>1</v>
      </c>
      <c r="G24063" t="n">
        <v>2</v>
      </c>
      <c r="H24063" s="5">
        <f>HYPERLINK("https://api.qogita.com/variants/link/3616302970247/", "View Product")</f>
        <v/>
      </c>
    </row>
    <row r="24064">
      <c r="A24064" t="inlineStr">
        <is>
          <t>3616302990177</t>
        </is>
      </c>
      <c r="B24064" t="inlineStr">
        <is>
          <t>Rimmel Kind Free Moisturising Skin Tint Foundation 30 Ml 504 Deep Mocha</t>
        </is>
      </c>
      <c r="C24064" t="inlineStr">
        <is>
          <t>Foundation</t>
        </is>
      </c>
      <c r="D24064" t="inlineStr">
        <is>
          <t>Rimmel London</t>
        </is>
      </c>
      <c r="E24064" t="n">
        <v>3.78</v>
      </c>
      <c r="F24064" t="n">
        <v>1</v>
      </c>
      <c r="G24064" t="n">
        <v>2</v>
      </c>
      <c r="H24064" s="5">
        <f>HYPERLINK("https://api.qogita.com/variants/link/3616302990177/", "View Product")</f>
        <v/>
      </c>
    </row>
    <row r="24065">
      <c r="A24065" t="inlineStr">
        <is>
          <t>3616303011147</t>
        </is>
      </c>
      <c r="B24065" t="inlineStr">
        <is>
          <t>Bourjois Healthy Mix Tinted Beautifier Foundation Lightweight Moisturizing Foundation 003 Light Medium 30ml</t>
        </is>
      </c>
      <c r="C24065" t="inlineStr">
        <is>
          <t>Foundation</t>
        </is>
      </c>
      <c r="D24065" t="inlineStr">
        <is>
          <t>Bourjois</t>
        </is>
      </c>
      <c r="E24065" t="n">
        <v>7.1</v>
      </c>
      <c r="F24065" t="n">
        <v>1</v>
      </c>
      <c r="G24065" t="n">
        <v>4</v>
      </c>
      <c r="H24065" s="5">
        <f>HYPERLINK("https://api.qogita.com/variants/link/3616303011147/", "View Product")</f>
        <v/>
      </c>
    </row>
    <row r="24066">
      <c r="A24066" t="inlineStr">
        <is>
          <t>3616303011345</t>
        </is>
      </c>
      <c r="B24066" t="inlineStr">
        <is>
          <t>Bourjois Always Fabulous 24h Full Coverage Concealer For Under Eyes And Face Contouring 300 Beige Rose 11ml</t>
        </is>
      </c>
      <c r="C24066" t="inlineStr">
        <is>
          <t>Concealer</t>
        </is>
      </c>
      <c r="D24066" t="inlineStr">
        <is>
          <t>Bourjois</t>
        </is>
      </c>
      <c r="E24066" t="n">
        <v>7.11</v>
      </c>
      <c r="F24066" t="n">
        <v>1</v>
      </c>
      <c r="G24066" t="n">
        <v>3</v>
      </c>
      <c r="H24066" s="5">
        <f>HYPERLINK("https://api.qogita.com/variants/link/3616303011345/", "View Product")</f>
        <v/>
      </c>
    </row>
    <row r="24067">
      <c r="A24067" t="inlineStr">
        <is>
          <t>3616303048181</t>
        </is>
      </c>
      <c r="B24067" t="inlineStr">
        <is>
          <t>Flora Gorgeous Jasmine by Gucci for Women 3.3 Oz EDP Spray 100ml</t>
        </is>
      </c>
      <c r="C24067" t="inlineStr">
        <is>
          <t>Eau De Parfum</t>
        </is>
      </c>
      <c r="D24067" t="inlineStr">
        <is>
          <t>Gucci</t>
        </is>
      </c>
      <c r="E24067" t="n">
        <v>91.31</v>
      </c>
      <c r="F24067" t="n">
        <v>1</v>
      </c>
      <c r="G24067" t="n">
        <v>4</v>
      </c>
      <c r="H24067" s="5">
        <f>HYPERLINK("https://api.qogita.com/variants/link/3616303048181/", "View Product")</f>
        <v/>
      </c>
    </row>
    <row r="24068">
      <c r="A24068" t="inlineStr">
        <is>
          <t>3616303173104</t>
        </is>
      </c>
      <c r="B24068" t="inlineStr">
        <is>
          <t>Hugo Boss Bottled Parfum 200ml Men's Eau De Parfum Spray</t>
        </is>
      </c>
      <c r="C24068" t="inlineStr">
        <is>
          <t>Eau De Parfum</t>
        </is>
      </c>
      <c r="D24068" t="inlineStr">
        <is>
          <t>Hugo Boss</t>
        </is>
      </c>
      <c r="E24068" t="n">
        <v>81.84999999999999</v>
      </c>
      <c r="F24068" t="n">
        <v>1</v>
      </c>
      <c r="G24068" t="n">
        <v>2</v>
      </c>
      <c r="H24068" s="5">
        <f>HYPERLINK("https://api.qogita.com/variants/link/3616303173104/", "View Product")</f>
        <v/>
      </c>
    </row>
    <row r="24069">
      <c r="A24069" t="inlineStr">
        <is>
          <t>3616303184278</t>
        </is>
      </c>
      <c r="B24069" t="inlineStr">
        <is>
          <t>Max Factor Miracle Pure Blush 01radiant Rose Infused Cream Blush 15 Ml</t>
        </is>
      </c>
      <c r="C24069" t="inlineStr">
        <is>
          <t>Blush</t>
        </is>
      </c>
      <c r="D24069" t="inlineStr">
        <is>
          <t>Max Factor</t>
        </is>
      </c>
      <c r="E24069" t="n">
        <v>7.5</v>
      </c>
      <c r="F24069" t="n">
        <v>1</v>
      </c>
      <c r="G24069" t="n">
        <v>5</v>
      </c>
      <c r="H24069" s="5">
        <f>HYPERLINK("https://api.qogita.com/variants/link/3616303184278/", "View Product")</f>
        <v/>
      </c>
    </row>
    <row r="24070">
      <c r="A24070" t="inlineStr">
        <is>
          <t>3616303251611</t>
        </is>
      </c>
      <c r="B24070" t="inlineStr">
        <is>
          <t>Max Factor Miracle Pure Concealer 78 Ml Liquid Concealer With Moisturizing Effect</t>
        </is>
      </c>
      <c r="C24070" t="inlineStr">
        <is>
          <t>Concealer</t>
        </is>
      </c>
      <c r="D24070" t="inlineStr">
        <is>
          <t>Max Factor</t>
        </is>
      </c>
      <c r="E24070" t="n">
        <v>6.85</v>
      </c>
      <c r="F24070" t="n">
        <v>1</v>
      </c>
      <c r="G24070" t="n">
        <v>3</v>
      </c>
      <c r="H24070" s="5">
        <f>HYPERLINK("https://api.qogita.com/variants/link/3616303251611/", "View Product")</f>
        <v/>
      </c>
    </row>
    <row r="24071">
      <c r="A24071" t="inlineStr">
        <is>
          <t>3616303312398</t>
        </is>
      </c>
      <c r="B24071" t="inlineStr">
        <is>
          <t>Chloe Intense Natural Rose Eau De Parfum Refill 150ml</t>
        </is>
      </c>
      <c r="C24071" t="inlineStr">
        <is>
          <t>Eau De Parfum</t>
        </is>
      </c>
      <c r="D24071" t="inlineStr">
        <is>
          <t>Chloé</t>
        </is>
      </c>
      <c r="E24071" t="n">
        <v>51.28</v>
      </c>
      <c r="F24071" t="n">
        <v>1</v>
      </c>
      <c r="G24071" t="n">
        <v>33</v>
      </c>
      <c r="H24071" s="5">
        <f>HYPERLINK("https://api.qogita.com/variants/link/3616303312398/", "View Product")</f>
        <v/>
      </c>
    </row>
    <row r="24072">
      <c r="A24072" t="inlineStr">
        <is>
          <t>3616303312428</t>
        </is>
      </c>
      <c r="B24072" t="inlineStr">
        <is>
          <t>Chloe Eau De Parfum Refill 150ml - Chloe</t>
        </is>
      </c>
      <c r="C24072" t="inlineStr">
        <is>
          <t>Refillable Fragrances &amp; Refills</t>
        </is>
      </c>
      <c r="D24072" t="inlineStr">
        <is>
          <t>Chloé</t>
        </is>
      </c>
      <c r="E24072" t="n">
        <v>92.92</v>
      </c>
      <c r="F24072" t="n">
        <v>1</v>
      </c>
      <c r="G24072" t="n">
        <v>3</v>
      </c>
      <c r="H24072" s="5">
        <f>HYPERLINK("https://api.qogita.com/variants/link/3616303312428/", "View Product")</f>
        <v/>
      </c>
    </row>
    <row r="24073">
      <c r="A24073" t="inlineStr">
        <is>
          <t>3616303322021</t>
        </is>
      </c>
      <c r="B24073" t="inlineStr">
        <is>
          <t>Adidas Pure Game Eau De Toilette Spray 100 Ml</t>
        </is>
      </c>
      <c r="C24073" t="inlineStr">
        <is>
          <t>Eau De Toilette</t>
        </is>
      </c>
      <c r="D24073" t="inlineStr">
        <is>
          <t>adidas</t>
        </is>
      </c>
      <c r="E24073" t="n">
        <v>8.99</v>
      </c>
      <c r="F24073" t="n">
        <v>1</v>
      </c>
      <c r="G24073" t="n">
        <v>4</v>
      </c>
      <c r="H24073" s="5">
        <f>HYPERLINK("https://api.qogita.com/variants/link/3616303322021/", "View Product")</f>
        <v/>
      </c>
    </row>
    <row r="24074">
      <c r="A24074" t="inlineStr">
        <is>
          <t>3616303397166</t>
        </is>
      </c>
      <c r="B24074" t="inlineStr">
        <is>
          <t>Bourjois Healthy Mix Clean &amp; Vegan Foundation 52 Vanilla 30ml</t>
        </is>
      </c>
      <c r="C24074" t="inlineStr">
        <is>
          <t>Foundation</t>
        </is>
      </c>
      <c r="D24074" t="inlineStr">
        <is>
          <t>Bourjois</t>
        </is>
      </c>
      <c r="E24074" t="n">
        <v>4.89</v>
      </c>
      <c r="F24074" t="n">
        <v>1</v>
      </c>
      <c r="G24074" t="n">
        <v>31</v>
      </c>
      <c r="H24074" s="5">
        <f>HYPERLINK("https://api.qogita.com/variants/link/3616303397166/", "View Product")</f>
        <v/>
      </c>
    </row>
    <row r="24075">
      <c r="A24075" t="inlineStr">
        <is>
          <t>3616303397364</t>
        </is>
      </c>
      <c r="B24075" t="inlineStr">
        <is>
          <t>Bourjois Healthy Mix Clean &amp; Vegan Foundation 53 Light Beige 30ml</t>
        </is>
      </c>
      <c r="C24075" t="inlineStr">
        <is>
          <t>Foundation</t>
        </is>
      </c>
      <c r="D24075" t="inlineStr">
        <is>
          <t>Bourjois</t>
        </is>
      </c>
      <c r="E24075" t="n">
        <v>7.16</v>
      </c>
      <c r="F24075" t="n">
        <v>1</v>
      </c>
      <c r="G24075" t="n">
        <v>5</v>
      </c>
      <c r="H24075" s="5">
        <f>HYPERLINK("https://api.qogita.com/variants/link/3616303397364/", "View Product")</f>
        <v/>
      </c>
    </row>
    <row r="24076">
      <c r="A24076" t="inlineStr">
        <is>
          <t>3616303429546</t>
        </is>
      </c>
      <c r="B24076" t="inlineStr">
        <is>
          <t>Calvin Klein Defy 50ml Eau De Parfum Gift Set with 100ml Shower Gel - Boxed</t>
        </is>
      </c>
      <c r="C24076" t="inlineStr">
        <is>
          <t>Fragrance Sets</t>
        </is>
      </c>
      <c r="D24076" t="inlineStr">
        <is>
          <t>Calvin Klein</t>
        </is>
      </c>
      <c r="E24076" t="n">
        <v>52.7</v>
      </c>
      <c r="F24076" t="n">
        <v>1</v>
      </c>
      <c r="G24076" t="n">
        <v>11</v>
      </c>
      <c r="H24076" s="5">
        <f>HYPERLINK("https://api.qogita.com/variants/link/3616303429546/", "View Product")</f>
        <v/>
      </c>
    </row>
    <row r="24077">
      <c r="A24077" t="inlineStr">
        <is>
          <t>3616303429560</t>
        </is>
      </c>
      <c r="B24077" t="inlineStr">
        <is>
          <t>Lacoste Match Point Eau de Cologne Spray 50ml</t>
        </is>
      </c>
      <c r="C24077" t="inlineStr">
        <is>
          <t>Eau De Toilette</t>
        </is>
      </c>
      <c r="D24077" t="inlineStr">
        <is>
          <t>Lacoste</t>
        </is>
      </c>
      <c r="E24077" t="n">
        <v>17.48</v>
      </c>
      <c r="F24077" t="n">
        <v>1</v>
      </c>
      <c r="G24077" t="n">
        <v>12</v>
      </c>
      <c r="H24077" s="5">
        <f>HYPERLINK("https://api.qogita.com/variants/link/3616303429560/", "View Product")</f>
        <v/>
      </c>
    </row>
    <row r="24078">
      <c r="A24078" t="inlineStr">
        <is>
          <t>3616303429652</t>
        </is>
      </c>
      <c r="B24078" t="inlineStr">
        <is>
          <t>Calvin Klein Eternity Women Eau De Parfum Intense 30ml</t>
        </is>
      </c>
      <c r="C24078" t="inlineStr">
        <is>
          <t>Eau De Parfum</t>
        </is>
      </c>
      <c r="D24078" t="inlineStr">
        <is>
          <t>Calvin Klein</t>
        </is>
      </c>
      <c r="E24078" t="n">
        <v>36.83</v>
      </c>
      <c r="F24078" t="n">
        <v>1</v>
      </c>
      <c r="G24078" t="n">
        <v>3</v>
      </c>
      <c r="H24078" s="5">
        <f>HYPERLINK("https://api.qogita.com/variants/link/3616303429652/", "View Product")</f>
        <v/>
      </c>
    </row>
    <row r="24079">
      <c r="A24079" t="inlineStr">
        <is>
          <t>3616303443955</t>
        </is>
      </c>
      <c r="B24079" t="inlineStr">
        <is>
          <t>Adidas Cool Down Shower Gel 250ml</t>
        </is>
      </c>
      <c r="C24079" t="inlineStr">
        <is>
          <t>Shower Gel</t>
        </is>
      </c>
      <c r="D24079" t="inlineStr">
        <is>
          <t>adidas</t>
        </is>
      </c>
      <c r="E24079" t="n">
        <v>1.55</v>
      </c>
      <c r="F24079" t="n">
        <v>1</v>
      </c>
      <c r="G24079" t="n">
        <v>70</v>
      </c>
      <c r="H24079" s="5">
        <f>HYPERLINK("https://api.qogita.com/variants/link/3616303443955/", "View Product")</f>
        <v/>
      </c>
    </row>
    <row r="24080">
      <c r="A24080" t="inlineStr">
        <is>
          <t>3616303444235</t>
        </is>
      </c>
      <c r="B24080" t="inlineStr">
        <is>
          <t>Adidas Pre-Sleep Calm Shower Gel 400ml</t>
        </is>
      </c>
      <c r="C24080" t="inlineStr">
        <is>
          <t>Shower Gel</t>
        </is>
      </c>
      <c r="D24080" t="inlineStr">
        <is>
          <t>adidas</t>
        </is>
      </c>
      <c r="E24080" t="n">
        <v>2.59</v>
      </c>
      <c r="F24080" t="n">
        <v>1</v>
      </c>
      <c r="G24080" t="n">
        <v>2</v>
      </c>
      <c r="H24080" s="5">
        <f>HYPERLINK("https://api.qogita.com/variants/link/3616303444235/", "View Product")</f>
        <v/>
      </c>
    </row>
    <row r="24081">
      <c r="A24081" t="inlineStr">
        <is>
          <t>3616303445140</t>
        </is>
      </c>
      <c r="B24081" t="inlineStr">
        <is>
          <t>Roberto Cavalli Nero Assoluto Eau De Parfum Spray 100ml</t>
        </is>
      </c>
      <c r="C24081" t="inlineStr">
        <is>
          <t>Eau De Parfum</t>
        </is>
      </c>
      <c r="D24081" t="inlineStr">
        <is>
          <t>Roberto Cavalli</t>
        </is>
      </c>
      <c r="E24081" t="n">
        <v>27.78</v>
      </c>
      <c r="F24081" t="n">
        <v>1</v>
      </c>
      <c r="G24081" t="n">
        <v>13</v>
      </c>
      <c r="H24081" s="5">
        <f>HYPERLINK("https://api.qogita.com/variants/link/3616303445140/", "View Product")</f>
        <v/>
      </c>
    </row>
    <row r="24082">
      <c r="A24082" t="inlineStr">
        <is>
          <t>3616303459048</t>
        </is>
      </c>
      <c r="B24082" t="inlineStr">
        <is>
          <t>Adidas Pure Game Shower Gel 400ml</t>
        </is>
      </c>
      <c r="C24082" t="inlineStr">
        <is>
          <t>Shower Gel</t>
        </is>
      </c>
      <c r="D24082" t="inlineStr">
        <is>
          <t>adidas</t>
        </is>
      </c>
      <c r="E24082" t="n">
        <v>4</v>
      </c>
      <c r="F24082" t="n">
        <v>1</v>
      </c>
      <c r="G24082" t="n">
        <v>3</v>
      </c>
      <c r="H24082" s="5">
        <f>HYPERLINK("https://api.qogita.com/variants/link/3616303459048/", "View Product")</f>
        <v/>
      </c>
    </row>
    <row r="24083">
      <c r="A24083" t="inlineStr">
        <is>
          <t>3616303459284</t>
        </is>
      </c>
      <c r="B24083" t="inlineStr">
        <is>
          <t>Adidas Fresh Endurance Shower Gel 400ml</t>
        </is>
      </c>
      <c r="C24083" t="inlineStr">
        <is>
          <t>Shower Gel</t>
        </is>
      </c>
      <c r="D24083" t="inlineStr">
        <is>
          <t>adidas</t>
        </is>
      </c>
      <c r="E24083" t="n">
        <v>2.57</v>
      </c>
      <c r="F24083" t="n">
        <v>1</v>
      </c>
      <c r="G24083" t="n">
        <v>8</v>
      </c>
      <c r="H24083" s="5">
        <f>HYPERLINK("https://api.qogita.com/variants/link/3616303459284/", "View Product")</f>
        <v/>
      </c>
    </row>
    <row r="24084">
      <c r="A24084" t="inlineStr">
        <is>
          <t>3616303461874</t>
        </is>
      </c>
      <c r="B24084" t="inlineStr">
        <is>
          <t>Marc Jacobs Perfect Eau De Toilette 50ml For Women</t>
        </is>
      </c>
      <c r="C24084" t="inlineStr">
        <is>
          <t>Eau De Toilette</t>
        </is>
      </c>
      <c r="D24084" t="inlineStr">
        <is>
          <t>Marc Jacobs</t>
        </is>
      </c>
      <c r="E24084" t="n">
        <v>39.48</v>
      </c>
      <c r="F24084" t="n">
        <v>1</v>
      </c>
      <c r="G24084" t="n">
        <v>10</v>
      </c>
      <c r="H24084" s="5">
        <f>HYPERLINK("https://api.qogita.com/variants/link/3616303461874/", "View Product")</f>
        <v/>
      </c>
    </row>
    <row r="24085">
      <c r="A24085" t="inlineStr">
        <is>
          <t>3616303462055</t>
        </is>
      </c>
      <c r="B24085" t="inlineStr">
        <is>
          <t>David Beckham Classic Homme Eau De Toilette 50ml</t>
        </is>
      </c>
      <c r="C24085" t="inlineStr">
        <is>
          <t>Eau De Toilette</t>
        </is>
      </c>
      <c r="D24085" t="inlineStr">
        <is>
          <t>David Beckham</t>
        </is>
      </c>
      <c r="E24085" t="n">
        <v>7.07</v>
      </c>
      <c r="F24085" t="n">
        <v>1</v>
      </c>
      <c r="G24085" t="n">
        <v>32</v>
      </c>
      <c r="H24085" s="5">
        <f>HYPERLINK("https://api.qogita.com/variants/link/3616303462055/", "View Product")</f>
        <v/>
      </c>
    </row>
    <row r="24086">
      <c r="A24086" t="inlineStr">
        <is>
          <t>3616303470869</t>
        </is>
      </c>
      <c r="B24086" t="inlineStr">
        <is>
          <t>Gucci Flora Gorgeous Magnolia Eau De Parfum 30ml</t>
        </is>
      </c>
      <c r="C24086" t="inlineStr">
        <is>
          <t>Eau De Parfum</t>
        </is>
      </c>
      <c r="D24086" t="inlineStr">
        <is>
          <t>Gucci</t>
        </is>
      </c>
      <c r="E24086" t="n">
        <v>43.18</v>
      </c>
      <c r="F24086" t="n">
        <v>1</v>
      </c>
      <c r="G24086" t="n">
        <v>36</v>
      </c>
      <c r="H24086" s="5">
        <f>HYPERLINK("https://api.qogita.com/variants/link/3616303470869/", "View Product")</f>
        <v/>
      </c>
    </row>
    <row r="24087">
      <c r="A24087" t="inlineStr">
        <is>
          <t>3616303474027</t>
        </is>
      </c>
      <c r="B24087" t="inlineStr">
        <is>
          <t>Bruno Banani Made For Men Eau De Toilette Spray 30ml + Shower Gel 50ml</t>
        </is>
      </c>
      <c r="C24087" t="inlineStr">
        <is>
          <t>Fragrance Sets</t>
        </is>
      </c>
      <c r="D24087" t="inlineStr">
        <is>
          <t>Bruno Banani</t>
        </is>
      </c>
      <c r="E24087" t="n">
        <v>7.47</v>
      </c>
      <c r="F24087" t="n">
        <v>1</v>
      </c>
      <c r="G24087" t="n">
        <v>16</v>
      </c>
      <c r="H24087" s="5">
        <f>HYPERLINK("https://api.qogita.com/variants/link/3616303474027/", "View Product")</f>
        <v/>
      </c>
    </row>
    <row r="24088">
      <c r="A24088" t="inlineStr">
        <is>
          <t>3616303999452</t>
        </is>
      </c>
      <c r="B24088" t="inlineStr">
        <is>
          <t>Max Factor Facenity All Day Flawless 3in1 Foundation C50 30ml</t>
        </is>
      </c>
      <c r="C24088" t="inlineStr">
        <is>
          <t>Foundation</t>
        </is>
      </c>
      <c r="D24088" t="inlineStr">
        <is>
          <t>Max Factor</t>
        </is>
      </c>
      <c r="E24088" t="n">
        <v>7.27</v>
      </c>
      <c r="F24088" t="n">
        <v>1</v>
      </c>
      <c r="G24088" t="n">
        <v>14</v>
      </c>
      <c r="H24088" s="5">
        <f>HYPERLINK("https://api.qogita.com/variants/link/3616303999452/", "View Product")</f>
        <v/>
      </c>
    </row>
    <row r="24089">
      <c r="A24089" t="inlineStr">
        <is>
          <t>3616304017476</t>
        </is>
      </c>
      <c r="B24089" t="inlineStr">
        <is>
          <t>Max Factor Masterpiece Matte Liquid Eyeliner 17 Ml In Charcoal</t>
        </is>
      </c>
      <c r="C24089" t="inlineStr">
        <is>
          <t>Eyeliner</t>
        </is>
      </c>
      <c r="D24089" t="inlineStr">
        <is>
          <t>Max Factor</t>
        </is>
      </c>
      <c r="E24089" t="n">
        <v>6.17</v>
      </c>
      <c r="F24089" t="n">
        <v>1</v>
      </c>
      <c r="G24089" t="n">
        <v>3</v>
      </c>
      <c r="H24089" s="5">
        <f>HYPERLINK("https://api.qogita.com/variants/link/3616304017476/", "View Product")</f>
        <v/>
      </c>
    </row>
    <row r="24090">
      <c r="A24090" t="inlineStr">
        <is>
          <t>3616304061943</t>
        </is>
      </c>
      <c r="B24090" t="inlineStr">
        <is>
          <t>Burberry Her Elixir De Parfum Eau De Parfum 100ml</t>
        </is>
      </c>
      <c r="C24090" t="inlineStr">
        <is>
          <t>Eau De Parfum</t>
        </is>
      </c>
      <c r="D24090" t="inlineStr">
        <is>
          <t>Burberry</t>
        </is>
      </c>
      <c r="E24090" t="n">
        <v>96.03</v>
      </c>
      <c r="F24090" t="n">
        <v>1</v>
      </c>
      <c r="G24090" t="n">
        <v>56</v>
      </c>
      <c r="H24090" s="5">
        <f>HYPERLINK("https://api.qogita.com/variants/link/3616304061943/", "View Product")</f>
        <v/>
      </c>
    </row>
    <row r="24091">
      <c r="A24091" t="inlineStr">
        <is>
          <t>3616304062483</t>
        </is>
      </c>
      <c r="B24091" t="inlineStr">
        <is>
          <t>Hugo Jeans Man Eau De Toilette Spray 75ml By Hugo</t>
        </is>
      </c>
      <c r="C24091" t="inlineStr">
        <is>
          <t>Eau De Toilette</t>
        </is>
      </c>
      <c r="D24091" t="inlineStr">
        <is>
          <t>Hugo</t>
        </is>
      </c>
      <c r="E24091" t="n">
        <v>28.52</v>
      </c>
      <c r="F24091" t="n">
        <v>1</v>
      </c>
      <c r="G24091" t="n">
        <v>8</v>
      </c>
      <c r="H24091" s="5">
        <f>HYPERLINK("https://api.qogita.com/variants/link/3616304062483/", "View Product")</f>
        <v/>
      </c>
    </row>
    <row r="24092">
      <c r="A24092" t="inlineStr">
        <is>
          <t>3616304076992</t>
        </is>
      </c>
      <c r="B24092" t="inlineStr">
        <is>
          <t>Hugo Boss Hugo Reversed Eau De Toilette Spray 75ml</t>
        </is>
      </c>
      <c r="C24092" t="inlineStr">
        <is>
          <t>Eau De Toilette</t>
        </is>
      </c>
      <c r="D24092" t="inlineStr">
        <is>
          <t>Hugo Boss</t>
        </is>
      </c>
      <c r="E24092" t="n">
        <v>22.14</v>
      </c>
      <c r="F24092" t="n">
        <v>1</v>
      </c>
      <c r="G24092" t="n">
        <v>26</v>
      </c>
      <c r="H24092" s="5">
        <f>HYPERLINK("https://api.qogita.com/variants/link/3616304076992/", "View Product")</f>
        <v/>
      </c>
    </row>
    <row r="24093">
      <c r="A24093" t="inlineStr">
        <is>
          <t>3616304175916</t>
        </is>
      </c>
      <c r="B24093" t="inlineStr">
        <is>
          <t>Gucci Guilty Elixir Pour Femme Eau De Parfum 60ml</t>
        </is>
      </c>
      <c r="C24093" t="inlineStr">
        <is>
          <t>Eau De Parfum</t>
        </is>
      </c>
      <c r="D24093" t="inlineStr">
        <is>
          <t>Gucci</t>
        </is>
      </c>
      <c r="E24093" t="n">
        <v>86.40000000000001</v>
      </c>
      <c r="F24093" t="n">
        <v>1</v>
      </c>
      <c r="G24093" t="n">
        <v>5</v>
      </c>
      <c r="H24093" s="5">
        <f>HYPERLINK("https://api.qogita.com/variants/link/3616304175916/", "View Product")</f>
        <v/>
      </c>
    </row>
    <row r="24094">
      <c r="A24094" t="inlineStr">
        <is>
          <t>3616304203572</t>
        </is>
      </c>
      <c r="B24094" t="inlineStr">
        <is>
          <t>Escada Brisa Cubana Eau De Toilette Spray 100ml</t>
        </is>
      </c>
      <c r="C24094" t="inlineStr">
        <is>
          <t>Eau De Toilette</t>
        </is>
      </c>
      <c r="D24094" t="inlineStr">
        <is>
          <t>Escada</t>
        </is>
      </c>
      <c r="E24094" t="n">
        <v>22.93</v>
      </c>
      <c r="F24094" t="n">
        <v>1</v>
      </c>
      <c r="G24094" t="n">
        <v>13</v>
      </c>
      <c r="H24094" s="5">
        <f>HYPERLINK("https://api.qogita.com/variants/link/3616304203572/", "View Product")</f>
        <v/>
      </c>
    </row>
    <row r="24095">
      <c r="A24095" t="inlineStr">
        <is>
          <t>3616304203619</t>
        </is>
      </c>
      <c r="B24095" t="inlineStr">
        <is>
          <t>Escada Chiffon Sorbet Eau De Toilette</t>
        </is>
      </c>
      <c r="C24095" t="inlineStr">
        <is>
          <t>Eau De Toilette</t>
        </is>
      </c>
      <c r="D24095" t="inlineStr">
        <is>
          <t>Escada</t>
        </is>
      </c>
      <c r="E24095" t="n">
        <v>11.6</v>
      </c>
      <c r="F24095" t="n">
        <v>1</v>
      </c>
      <c r="G24095" t="n">
        <v>112</v>
      </c>
      <c r="H24095" s="5">
        <f>HYPERLINK("https://api.qogita.com/variants/link/3616304203619/", "View Product")</f>
        <v/>
      </c>
    </row>
    <row r="24096">
      <c r="A24096" t="inlineStr">
        <is>
          <t>3616304203640</t>
        </is>
      </c>
      <c r="B24096" t="inlineStr">
        <is>
          <t>Escada Nectar De Costa Rica Eau De Toilette 100 Ml</t>
        </is>
      </c>
      <c r="C24096" t="inlineStr">
        <is>
          <t>Eau De Toilette</t>
        </is>
      </c>
      <c r="D24096" t="inlineStr">
        <is>
          <t>Escada</t>
        </is>
      </c>
      <c r="E24096" t="n">
        <v>23.73</v>
      </c>
      <c r="F24096" t="n">
        <v>1</v>
      </c>
      <c r="G24096" t="n">
        <v>20</v>
      </c>
      <c r="H24096" s="5">
        <f>HYPERLINK("https://api.qogita.com/variants/link/3616304203640/", "View Product")</f>
        <v/>
      </c>
    </row>
    <row r="24097">
      <c r="A24097" t="inlineStr">
        <is>
          <t>3616304247651</t>
        </is>
      </c>
      <c r="B24097" t="inlineStr">
        <is>
          <t>Hugo Boss The Scent For Her Magnetic Eau De Parfum Spray 30ml</t>
        </is>
      </c>
      <c r="C24097" t="inlineStr">
        <is>
          <t>Eau De Parfum</t>
        </is>
      </c>
      <c r="D24097" t="inlineStr">
        <is>
          <t>Hugo Boss</t>
        </is>
      </c>
      <c r="E24097" t="n">
        <v>26.51</v>
      </c>
      <c r="F24097" t="n">
        <v>1</v>
      </c>
      <c r="G24097" t="n">
        <v>9</v>
      </c>
      <c r="H24097" s="5">
        <f>HYPERLINK("https://api.qogita.com/variants/link/3616304247651/", "View Product")</f>
        <v/>
      </c>
    </row>
    <row r="24098">
      <c r="A24098" t="inlineStr">
        <is>
          <t>3616304247743</t>
        </is>
      </c>
      <c r="B24098" t="inlineStr">
        <is>
          <t>Hugo Boss The Scent Magnetic Eau De Parfum Spray 50ml</t>
        </is>
      </c>
      <c r="C24098" t="inlineStr">
        <is>
          <t>Eau De Parfum</t>
        </is>
      </c>
      <c r="D24098" t="inlineStr">
        <is>
          <t>Hugo Boss</t>
        </is>
      </c>
      <c r="E24098" t="n">
        <v>31.65</v>
      </c>
      <c r="F24098" t="n">
        <v>1</v>
      </c>
      <c r="G24098" t="n">
        <v>20</v>
      </c>
      <c r="H24098" s="5">
        <f>HYPERLINK("https://api.qogita.com/variants/link/3616304247743/", "View Product")</f>
        <v/>
      </c>
    </row>
    <row r="24099">
      <c r="A24099" t="inlineStr">
        <is>
          <t>3616304477584</t>
        </is>
      </c>
      <c r="B24099" t="inlineStr">
        <is>
          <t>Tiffany &amp; Co. Tiffany Rose Gold Intense Eau de Parfum 30ml</t>
        </is>
      </c>
      <c r="C24099" t="inlineStr">
        <is>
          <t>Eau De Parfum</t>
        </is>
      </c>
      <c r="D24099" t="inlineStr">
        <is>
          <t>Tiffany &amp; Co.</t>
        </is>
      </c>
      <c r="E24099" t="n">
        <v>39.37</v>
      </c>
      <c r="F24099" t="n">
        <v>1</v>
      </c>
      <c r="G24099" t="n">
        <v>16</v>
      </c>
      <c r="H24099" s="5">
        <f>HYPERLINK("https://api.qogita.com/variants/link/3616304477584/", "View Product")</f>
        <v/>
      </c>
    </row>
    <row r="24100">
      <c r="A24100" t="inlineStr">
        <is>
          <t>3616304478246</t>
        </is>
      </c>
      <c r="B24100" t="inlineStr">
        <is>
          <t>Calvin Klein My Euphoria Eau De Parfum Spray 100ml</t>
        </is>
      </c>
      <c r="C24100" t="inlineStr">
        <is>
          <t>Eau De Parfum</t>
        </is>
      </c>
      <c r="D24100" t="inlineStr">
        <is>
          <t>Calvin Klein</t>
        </is>
      </c>
      <c r="E24100" t="n">
        <v>40.16</v>
      </c>
      <c r="F24100" t="n">
        <v>1</v>
      </c>
      <c r="G24100" t="n">
        <v>5</v>
      </c>
      <c r="H24100" s="5">
        <f>HYPERLINK("https://api.qogita.com/variants/link/3616304478246/", "View Product")</f>
        <v/>
      </c>
    </row>
    <row r="24101">
      <c r="A24101" t="inlineStr">
        <is>
          <t>3616304679452</t>
        </is>
      </c>
      <c r="B24101" t="inlineStr">
        <is>
          <t>Burberry Hero Parfum 50ml</t>
        </is>
      </c>
      <c r="C24101" t="inlineStr">
        <is>
          <t>Eau De Parfum</t>
        </is>
      </c>
      <c r="D24101" t="inlineStr">
        <is>
          <t>Burberry</t>
        </is>
      </c>
      <c r="E24101" t="n">
        <v>47.63</v>
      </c>
      <c r="F24101" t="n">
        <v>1</v>
      </c>
      <c r="G24101" t="n">
        <v>7</v>
      </c>
      <c r="H24101" s="5">
        <f>HYPERLINK("https://api.qogita.com/variants/link/3616304679452/", "View Product")</f>
        <v/>
      </c>
    </row>
    <row r="24102">
      <c r="A24102" t="inlineStr">
        <is>
          <t>3616304686801</t>
        </is>
      </c>
      <c r="B24102" t="inlineStr">
        <is>
          <t>Chloe Perfume Set for Women</t>
        </is>
      </c>
      <c r="C24102" t="inlineStr">
        <is>
          <t>Fragrance Sets</t>
        </is>
      </c>
      <c r="D24102" t="inlineStr">
        <is>
          <t>Chloé</t>
        </is>
      </c>
      <c r="E24102" t="n">
        <v>86.66</v>
      </c>
      <c r="F24102" t="n">
        <v>1</v>
      </c>
      <c r="G24102" t="n">
        <v>231</v>
      </c>
      <c r="H24102" s="5">
        <f>HYPERLINK("https://api.qogita.com/variants/link/3616304686801/", "View Product")</f>
        <v/>
      </c>
    </row>
    <row r="24103">
      <c r="A24103" t="inlineStr">
        <is>
          <t>3616304691652</t>
        </is>
      </c>
      <c r="B24103" t="inlineStr">
        <is>
          <t>Hugo Boss Boss Bottled Elixir Perfume Spray 50ml</t>
        </is>
      </c>
      <c r="C24103" t="inlineStr">
        <is>
          <t>Eau De Parfum</t>
        </is>
      </c>
      <c r="D24103" t="inlineStr">
        <is>
          <t>Hugo Boss</t>
        </is>
      </c>
      <c r="E24103" t="n">
        <v>62.41</v>
      </c>
      <c r="F24103" t="n">
        <v>1</v>
      </c>
      <c r="G24103" t="n">
        <v>20</v>
      </c>
      <c r="H24103" s="5">
        <f>HYPERLINK("https://api.qogita.com/variants/link/3616304691652/", "View Product")</f>
        <v/>
      </c>
    </row>
    <row r="24104">
      <c r="A24104" t="inlineStr">
        <is>
          <t>3616304697364</t>
        </is>
      </c>
      <c r="B24104" t="inlineStr">
        <is>
          <t>Hugo Boss Hugo Intense Eau De Parfum Spray 125ml</t>
        </is>
      </c>
      <c r="C24104" t="inlineStr">
        <is>
          <t>Eau De Parfum</t>
        </is>
      </c>
      <c r="D24104" t="inlineStr">
        <is>
          <t>Hugo Boss</t>
        </is>
      </c>
      <c r="E24104" t="n">
        <v>72.38</v>
      </c>
      <c r="F24104" t="n">
        <v>1</v>
      </c>
      <c r="G24104" t="n">
        <v>34</v>
      </c>
      <c r="H24104" s="5">
        <f>HYPERLINK("https://api.qogita.com/variants/link/3616304697364/", "View Product")</f>
        <v/>
      </c>
    </row>
    <row r="24105">
      <c r="A24105" t="inlineStr">
        <is>
          <t>3616304697371</t>
        </is>
      </c>
      <c r="B24105" t="inlineStr">
        <is>
          <t>Hugo Boss Hugo Intense Eau De Parfum Intense 75ml</t>
        </is>
      </c>
      <c r="C24105" t="inlineStr">
        <is>
          <t>Eau De Parfum</t>
        </is>
      </c>
      <c r="D24105" t="inlineStr">
        <is>
          <t>Hugo Boss</t>
        </is>
      </c>
      <c r="E24105" t="n">
        <v>52.26</v>
      </c>
      <c r="F24105" t="n">
        <v>1</v>
      </c>
      <c r="G24105" t="n">
        <v>31</v>
      </c>
      <c r="H24105" s="5">
        <f>HYPERLINK("https://api.qogita.com/variants/link/3616304697371/", "View Product")</f>
        <v/>
      </c>
    </row>
    <row r="24106">
      <c r="A24106" t="inlineStr">
        <is>
          <t>3616304892806</t>
        </is>
      </c>
      <c r="B24106" t="inlineStr">
        <is>
          <t>David Beckham Bold Instinct Eau De Parfum</t>
        </is>
      </c>
      <c r="C24106" t="inlineStr">
        <is>
          <t>Eau De Parfum</t>
        </is>
      </c>
      <c r="D24106" t="inlineStr">
        <is>
          <t>David Beckham</t>
        </is>
      </c>
      <c r="E24106" t="n">
        <v>15.52</v>
      </c>
      <c r="F24106" t="n">
        <v>1</v>
      </c>
      <c r="G24106" t="n">
        <v>9</v>
      </c>
      <c r="H24106" s="5">
        <f>HYPERLINK("https://api.qogita.com/variants/link/3616304892806/", "View Product")</f>
        <v/>
      </c>
    </row>
    <row r="24107">
      <c r="A24107" t="inlineStr">
        <is>
          <t>3616304895678</t>
        </is>
      </c>
      <c r="B24107" t="inlineStr">
        <is>
          <t>Marc Jacobs Daisy Love Pop Eau De Toilette Spray 50ml</t>
        </is>
      </c>
      <c r="C24107" t="inlineStr">
        <is>
          <t>Eau De Toilette</t>
        </is>
      </c>
      <c r="D24107" t="inlineStr">
        <is>
          <t>Marc Jacobs</t>
        </is>
      </c>
      <c r="E24107" t="n">
        <v>36.18</v>
      </c>
      <c r="F24107" t="n">
        <v>1</v>
      </c>
      <c r="G24107" t="n">
        <v>2</v>
      </c>
      <c r="H24107" s="5">
        <f>HYPERLINK("https://api.qogita.com/variants/link/3616304895678/", "View Product")</f>
        <v/>
      </c>
    </row>
    <row r="24108">
      <c r="A24108" t="inlineStr">
        <is>
          <t>3616304895685</t>
        </is>
      </c>
      <c r="B24108" t="inlineStr">
        <is>
          <t>David Beckham True Instinct Eau De Parfum Spray 75ml</t>
        </is>
      </c>
      <c r="C24108" t="inlineStr">
        <is>
          <t>Eau De Parfum</t>
        </is>
      </c>
      <c r="D24108" t="inlineStr">
        <is>
          <t>David Beckham</t>
        </is>
      </c>
      <c r="E24108" t="n">
        <v>10.02</v>
      </c>
      <c r="F24108" t="n">
        <v>1</v>
      </c>
      <c r="G24108" t="n">
        <v>23</v>
      </c>
      <c r="H24108" s="5">
        <f>HYPERLINK("https://api.qogita.com/variants/link/3616304895685/", "View Product")</f>
        <v/>
      </c>
    </row>
    <row r="24109">
      <c r="A24109" t="inlineStr">
        <is>
          <t>3616304929588</t>
        </is>
      </c>
      <c r="B24109" t="inlineStr">
        <is>
          <t>Calvin Klein Eternity Men Aromatic Essence Parfum Intense 100ml</t>
        </is>
      </c>
      <c r="C24109" t="inlineStr">
        <is>
          <t>Eau De Parfum</t>
        </is>
      </c>
      <c r="D24109" t="inlineStr">
        <is>
          <t>Calvin Klein</t>
        </is>
      </c>
      <c r="E24109" t="n">
        <v>31.32</v>
      </c>
      <c r="F24109" t="n">
        <v>1</v>
      </c>
      <c r="G24109" t="n">
        <v>29</v>
      </c>
      <c r="H24109" s="5">
        <f>HYPERLINK("https://api.qogita.com/variants/link/3616304929588/", "View Product")</f>
        <v/>
      </c>
    </row>
    <row r="24110">
      <c r="A24110" t="inlineStr">
        <is>
          <t>3616304929595</t>
        </is>
      </c>
      <c r="B24110" t="inlineStr">
        <is>
          <t>Calvin Klein Eternity Aromatic Essence for Men 6.7 Fl Oz</t>
        </is>
      </c>
      <c r="C24110" t="inlineStr">
        <is>
          <t>Eau De Toilette</t>
        </is>
      </c>
      <c r="D24110" t="inlineStr">
        <is>
          <t>Calvin Klein</t>
        </is>
      </c>
      <c r="E24110" t="n">
        <v>69.94</v>
      </c>
      <c r="F24110" t="n">
        <v>1</v>
      </c>
      <c r="G24110" t="n">
        <v>3</v>
      </c>
      <c r="H24110" s="5">
        <f>HYPERLINK("https://api.qogita.com/variants/link/3616304929595/", "View Product")</f>
        <v/>
      </c>
    </row>
    <row r="24111">
      <c r="A24111" t="inlineStr">
        <is>
          <t>3616304940804</t>
        </is>
      </c>
      <c r="B24111" t="inlineStr">
        <is>
          <t>Marc Jacobs Honey Eau De Parfum 100ml</t>
        </is>
      </c>
      <c r="C24111" t="inlineStr">
        <is>
          <t>Eau De Parfum</t>
        </is>
      </c>
      <c r="D24111" t="inlineStr">
        <is>
          <t>Marc Jacobs</t>
        </is>
      </c>
      <c r="E24111" t="n">
        <v>31.63</v>
      </c>
      <c r="F24111" t="n">
        <v>1</v>
      </c>
      <c r="G24111" t="n">
        <v>9</v>
      </c>
      <c r="H24111" s="5">
        <f>HYPERLINK("https://api.qogita.com/variants/link/3616304940804/", "View Product")</f>
        <v/>
      </c>
    </row>
    <row r="24112">
      <c r="A24112" t="inlineStr">
        <is>
          <t>3616304957741</t>
        </is>
      </c>
      <c r="B24112" t="inlineStr">
        <is>
          <t>Hugo Boss Bottled Eau De Toilette Spray 100 Ml Sets</t>
        </is>
      </c>
      <c r="C24112" t="inlineStr">
        <is>
          <t>Fragrance Sets</t>
        </is>
      </c>
      <c r="D24112" t="inlineStr">
        <is>
          <t>Hugo Boss</t>
        </is>
      </c>
      <c r="E24112" t="n">
        <v>46.26</v>
      </c>
      <c r="F24112" t="n">
        <v>1</v>
      </c>
      <c r="G24112" t="n">
        <v>220</v>
      </c>
      <c r="H24112" s="5">
        <f>HYPERLINK("https://api.qogita.com/variants/link/3616304957741/", "View Product")</f>
        <v/>
      </c>
    </row>
    <row r="24113">
      <c r="A24113" t="inlineStr">
        <is>
          <t>3616304967122</t>
        </is>
      </c>
      <c r="B24113" t="inlineStr">
        <is>
          <t>Burberry Goddess Intense Eau De Parfum 100 Ml</t>
        </is>
      </c>
      <c r="C24113" t="inlineStr">
        <is>
          <t>Eau De Parfum</t>
        </is>
      </c>
      <c r="D24113" t="inlineStr">
        <is>
          <t>Burberry</t>
        </is>
      </c>
      <c r="E24113" t="n">
        <v>86.62</v>
      </c>
      <c r="F24113" t="n">
        <v>1</v>
      </c>
      <c r="G24113" t="n">
        <v>22</v>
      </c>
      <c r="H24113" s="5">
        <f>HYPERLINK("https://api.qogita.com/variants/link/3616304967122/", "View Product")</f>
        <v/>
      </c>
    </row>
    <row r="24114">
      <c r="A24114" t="inlineStr">
        <is>
          <t>3616305026040</t>
        </is>
      </c>
      <c r="B24114" t="inlineStr">
        <is>
          <t>David Beckham Refined Woods Eau De Parfum Spray 50ml</t>
        </is>
      </c>
      <c r="C24114" t="inlineStr">
        <is>
          <t>Eau De Parfum</t>
        </is>
      </c>
      <c r="D24114" t="inlineStr">
        <is>
          <t>David Beckham</t>
        </is>
      </c>
      <c r="E24114" t="n">
        <v>7.07</v>
      </c>
      <c r="F24114" t="n">
        <v>1</v>
      </c>
      <c r="G24114" t="n">
        <v>32</v>
      </c>
      <c r="H24114" s="5">
        <f>HYPERLINK("https://api.qogita.com/variants/link/3616305026040/", "View Product")</f>
        <v/>
      </c>
    </row>
    <row r="24115">
      <c r="A24115" t="inlineStr">
        <is>
          <t>3616305026064</t>
        </is>
      </c>
      <c r="B24115" t="inlineStr">
        <is>
          <t>David Beckham Infinite Aqua Eau De Parfum Spray 100ml</t>
        </is>
      </c>
      <c r="C24115" t="inlineStr">
        <is>
          <t>Eau De Parfum</t>
        </is>
      </c>
      <c r="D24115" t="inlineStr">
        <is>
          <t>David Beckham</t>
        </is>
      </c>
      <c r="E24115" t="n">
        <v>16.15</v>
      </c>
      <c r="F24115" t="n">
        <v>1</v>
      </c>
      <c r="G24115" t="n">
        <v>28</v>
      </c>
      <c r="H24115" s="5">
        <f>HYPERLINK("https://api.qogita.com/variants/link/3616305026064/", "View Product")</f>
        <v/>
      </c>
    </row>
    <row r="24116">
      <c r="A24116" t="inlineStr">
        <is>
          <t>3616305169266</t>
        </is>
      </c>
      <c r="B24116" t="inlineStr">
        <is>
          <t>Gucci Flora Gorgeous Orchid Eau de Parfum for Women 50ml</t>
        </is>
      </c>
      <c r="C24116" t="inlineStr">
        <is>
          <t>Eau De Parfum</t>
        </is>
      </c>
      <c r="D24116" t="inlineStr">
        <is>
          <t>Gucci</t>
        </is>
      </c>
      <c r="E24116" t="n">
        <v>59.06</v>
      </c>
      <c r="F24116" t="n">
        <v>1</v>
      </c>
      <c r="G24116" t="n">
        <v>10</v>
      </c>
      <c r="H24116" s="5">
        <f>HYPERLINK("https://api.qogita.com/variants/link/3616305169266/", "View Product")</f>
        <v/>
      </c>
    </row>
    <row r="24117">
      <c r="A24117" t="inlineStr">
        <is>
          <t>3616305181022</t>
        </is>
      </c>
      <c r="B24117" t="inlineStr">
        <is>
          <t>Bruno Banani Magnetic Man Shaving Cream 150ml</t>
        </is>
      </c>
      <c r="C24117" t="inlineStr">
        <is>
          <t>Shaving</t>
        </is>
      </c>
      <c r="D24117" t="inlineStr">
        <is>
          <t>Bruno Banani</t>
        </is>
      </c>
      <c r="E24117" t="n">
        <v>3.38</v>
      </c>
      <c r="F24117" t="n">
        <v>1</v>
      </c>
      <c r="G24117" t="n">
        <v>13</v>
      </c>
      <c r="H24117" s="5">
        <f>HYPERLINK("https://api.qogita.com/variants/link/3616305181022/", "View Product")</f>
        <v/>
      </c>
    </row>
    <row r="24118">
      <c r="A24118" t="inlineStr">
        <is>
          <t>3616305187925</t>
        </is>
      </c>
      <c r="B24118" t="inlineStr">
        <is>
          <t>Escada Bali Paradise Eau De Toilette 50ml Limited Edition</t>
        </is>
      </c>
      <c r="C24118" t="inlineStr">
        <is>
          <t>Eau De Toilette</t>
        </is>
      </c>
      <c r="D24118" t="inlineStr">
        <is>
          <t>Escada</t>
        </is>
      </c>
      <c r="E24118" t="n">
        <v>58.29</v>
      </c>
      <c r="F24118" t="n">
        <v>1</v>
      </c>
      <c r="G24118" t="n">
        <v>36</v>
      </c>
      <c r="H24118" s="5">
        <f>HYPERLINK("https://api.qogita.com/variants/link/3616305187925/", "View Product")</f>
        <v/>
      </c>
    </row>
    <row r="24119">
      <c r="A24119" t="inlineStr">
        <is>
          <t>3616305250339</t>
        </is>
      </c>
      <c r="B24119" t="inlineStr">
        <is>
          <t>Gucci Ladies Bloom Gift Set Fragrances</t>
        </is>
      </c>
      <c r="C24119" t="inlineStr">
        <is>
          <t>Fragrance Sets</t>
        </is>
      </c>
      <c r="D24119" t="inlineStr">
        <is>
          <t>Gucci</t>
        </is>
      </c>
      <c r="E24119" t="n">
        <v>72.17</v>
      </c>
      <c r="F24119" t="n">
        <v>1</v>
      </c>
      <c r="G24119" t="n">
        <v>77</v>
      </c>
      <c r="H24119" s="5">
        <f>HYPERLINK("https://api.qogita.com/variants/link/3616305250339/", "View Product")</f>
        <v/>
      </c>
    </row>
    <row r="24120">
      <c r="A24120" t="inlineStr">
        <is>
          <t>3616305258458</t>
        </is>
      </c>
      <c r="B24120" t="inlineStr">
        <is>
          <t>Joop Homme Neon Eau De Toilette Spray</t>
        </is>
      </c>
      <c r="C24120" t="inlineStr">
        <is>
          <t>Eau De Toilette</t>
        </is>
      </c>
      <c r="D24120" t="inlineStr">
        <is>
          <t>Joop!</t>
        </is>
      </c>
      <c r="E24120" t="n">
        <v>19.83</v>
      </c>
      <c r="F24120" t="n">
        <v>1</v>
      </c>
      <c r="G24120" t="n">
        <v>27</v>
      </c>
      <c r="H24120" s="5">
        <f>HYPERLINK("https://api.qogita.com/variants/link/3616305258458/", "View Product")</f>
        <v/>
      </c>
    </row>
    <row r="24121">
      <c r="A24121" t="inlineStr">
        <is>
          <t>3616305265166</t>
        </is>
      </c>
      <c r="B24121" t="inlineStr">
        <is>
          <t>Hugo Boss Men's Bottled Eau De Parfum</t>
        </is>
      </c>
      <c r="C24121" t="inlineStr">
        <is>
          <t>Fragrance Sets</t>
        </is>
      </c>
      <c r="D24121" t="inlineStr">
        <is>
          <t>Hugo Boss</t>
        </is>
      </c>
      <c r="E24121" t="n">
        <v>49.98</v>
      </c>
      <c r="F24121" t="n">
        <v>1</v>
      </c>
      <c r="G24121" t="n">
        <v>26</v>
      </c>
      <c r="H24121" s="5">
        <f>HYPERLINK("https://api.qogita.com/variants/link/3616305265166/", "View Product")</f>
        <v/>
      </c>
    </row>
    <row r="24122">
      <c r="A24122" t="inlineStr">
        <is>
          <t>3616305265180</t>
        </is>
      </c>
      <c r="B24122" t="inlineStr">
        <is>
          <t>Hugo Boss Men's 3-Pc Bottled Parfum Gift Set</t>
        </is>
      </c>
      <c r="C24122" t="inlineStr">
        <is>
          <t>Fragrance Sets</t>
        </is>
      </c>
      <c r="D24122" t="inlineStr">
        <is>
          <t>Hugo Boss</t>
        </is>
      </c>
      <c r="E24122" t="n">
        <v>52.46</v>
      </c>
      <c r="F24122" t="n">
        <v>1</v>
      </c>
      <c r="G24122" t="n">
        <v>182</v>
      </c>
      <c r="H24122" s="5">
        <f>HYPERLINK("https://api.qogita.com/variants/link/3616305265180/", "View Product")</f>
        <v/>
      </c>
    </row>
    <row r="24123">
      <c r="A24123" t="inlineStr">
        <is>
          <t>3616305265203</t>
        </is>
      </c>
      <c r="B24123" t="inlineStr">
        <is>
          <t>Hugo Boss Boss Scent 50 Ml + Deodorant 150 Ml Eau De Toilette Set</t>
        </is>
      </c>
      <c r="C24123" t="inlineStr">
        <is>
          <t>Fragrance</t>
        </is>
      </c>
      <c r="D24123" t="inlineStr">
        <is>
          <t>Hugo Boss</t>
        </is>
      </c>
      <c r="E24123" t="n">
        <v>35.55</v>
      </c>
      <c r="F24123" t="n">
        <v>1</v>
      </c>
      <c r="G24123" t="n">
        <v>134</v>
      </c>
      <c r="H24123" s="5">
        <f>HYPERLINK("https://api.qogita.com/variants/link/3616305265203/", "View Product")</f>
        <v/>
      </c>
    </row>
    <row r="24124">
      <c r="A24124" t="inlineStr">
        <is>
          <t>3616305266682</t>
        </is>
      </c>
      <c r="B24124" t="inlineStr">
        <is>
          <t>Marc Jacobs Perfect 100 Ml + Body Lotion 75 Ml + 10 Ml Eau De Parfum Set</t>
        </is>
      </c>
      <c r="C24124" t="inlineStr">
        <is>
          <t>Fragrance Sets</t>
        </is>
      </c>
      <c r="D24124" t="inlineStr">
        <is>
          <t>Marc Jacobs</t>
        </is>
      </c>
      <c r="E24124" t="n">
        <v>59.55</v>
      </c>
      <c r="F24124" t="n">
        <v>1</v>
      </c>
      <c r="G24124" t="n">
        <v>65</v>
      </c>
      <c r="H24124" s="5">
        <f>HYPERLINK("https://api.qogita.com/variants/link/3616305266682/", "View Product")</f>
        <v/>
      </c>
    </row>
    <row r="24125">
      <c r="A24125" t="inlineStr">
        <is>
          <t>3616305266712</t>
        </is>
      </c>
      <c r="B24125" t="inlineStr">
        <is>
          <t>Marc Jacobs Daisy Eau Fresh Gift Set - 125ml, 75ml, And 10ml Eau De Toilette</t>
        </is>
      </c>
      <c r="C24125" t="inlineStr">
        <is>
          <t>Fragrance Sets</t>
        </is>
      </c>
      <c r="D24125" t="inlineStr">
        <is>
          <t>Marc Jacobs</t>
        </is>
      </c>
      <c r="E24125" t="n">
        <v>69.18000000000001</v>
      </c>
      <c r="F24125" t="n">
        <v>1</v>
      </c>
      <c r="G24125" t="n">
        <v>2</v>
      </c>
      <c r="H24125" s="5">
        <f>HYPERLINK("https://api.qogita.com/variants/link/3616305266712/", "View Product")</f>
        <v/>
      </c>
    </row>
    <row r="24126">
      <c r="A24126" t="inlineStr">
        <is>
          <t>3616305439451</t>
        </is>
      </c>
      <c r="B24126" t="inlineStr">
        <is>
          <t>Boss Men's 3 Piece Boss Bottled Festive Giftset - Eau De Toilette 100ml</t>
        </is>
      </c>
      <c r="C24126" t="inlineStr">
        <is>
          <t>Fragrance Sets</t>
        </is>
      </c>
      <c r="D24126" t="inlineStr">
        <is>
          <t>Hugo</t>
        </is>
      </c>
      <c r="E24126" t="n">
        <v>47.89</v>
      </c>
      <c r="F24126" t="n">
        <v>1</v>
      </c>
      <c r="G24126" t="n">
        <v>120</v>
      </c>
      <c r="H24126" s="5">
        <f>HYPERLINK("https://api.qogita.com/variants/link/3616305439451/", "View Product")</f>
        <v/>
      </c>
    </row>
    <row r="24127">
      <c r="A24127" t="inlineStr">
        <is>
          <t>3616305628879</t>
        </is>
      </c>
      <c r="B24127" t="inlineStr">
        <is>
          <t>Burberry Hero Eau De Toilette 50ml</t>
        </is>
      </c>
      <c r="C24127" t="inlineStr">
        <is>
          <t>Eau De Toilette</t>
        </is>
      </c>
      <c r="D24127" t="inlineStr">
        <is>
          <t>Burberry</t>
        </is>
      </c>
      <c r="E24127" t="n">
        <v>37.01</v>
      </c>
      <c r="F24127" t="n">
        <v>1</v>
      </c>
      <c r="G24127" t="n">
        <v>191</v>
      </c>
      <c r="H24127" s="5">
        <f>HYPERLINK("https://api.qogita.com/variants/link/3616305628879/", "View Product")</f>
        <v/>
      </c>
    </row>
    <row r="24128">
      <c r="A24128" t="inlineStr">
        <is>
          <t>3616305630285</t>
        </is>
      </c>
      <c r="B24128" t="inlineStr">
        <is>
          <t>Lancaster 365 Skin Repair Discovery Set Essence Serum 10ml Eye 5ml Night 7ml</t>
        </is>
      </c>
      <c r="C24128" t="inlineStr">
        <is>
          <t>Facial Care Sets</t>
        </is>
      </c>
      <c r="D24128" t="inlineStr">
        <is>
          <t>Lancaster</t>
        </is>
      </c>
      <c r="E24128" t="n">
        <v>29.49</v>
      </c>
      <c r="F24128" t="n">
        <v>1</v>
      </c>
      <c r="G24128" t="n">
        <v>8</v>
      </c>
      <c r="H24128" s="5">
        <f>HYPERLINK("https://api.qogita.com/variants/link/3616305630285/", "View Product")</f>
        <v/>
      </c>
    </row>
    <row r="24129">
      <c r="A24129" t="inlineStr">
        <is>
          <t>3616305817631</t>
        </is>
      </c>
      <c r="B24129" t="inlineStr">
        <is>
          <t>Marc Jacobs Daisy Glow Eau De Toilette 50ml</t>
        </is>
      </c>
      <c r="C24129" t="inlineStr">
        <is>
          <t>Eau De Toilette</t>
        </is>
      </c>
      <c r="D24129" t="inlineStr">
        <is>
          <t>Marc Jacobs</t>
        </is>
      </c>
      <c r="E24129" t="n">
        <v>59.66</v>
      </c>
      <c r="F24129" t="n">
        <v>1</v>
      </c>
      <c r="G24129" t="n">
        <v>4</v>
      </c>
      <c r="H24129" s="5">
        <f>HYPERLINK("https://api.qogita.com/variants/link/3616305817631/", "View Product")</f>
        <v/>
      </c>
    </row>
    <row r="24130">
      <c r="A24130" t="inlineStr">
        <is>
          <t>3616305817655</t>
        </is>
      </c>
      <c r="B24130" t="inlineStr">
        <is>
          <t>Marc Jacobs Daisy Love Glow Eau De Toilette 50ml</t>
        </is>
      </c>
      <c r="C24130" t="inlineStr">
        <is>
          <t>Eau De Toilette</t>
        </is>
      </c>
      <c r="D24130" t="inlineStr">
        <is>
          <t>Marc Jacobs</t>
        </is>
      </c>
      <c r="E24130" t="n">
        <v>59.59</v>
      </c>
      <c r="F24130" t="n">
        <v>1</v>
      </c>
      <c r="G24130" t="n">
        <v>14</v>
      </c>
      <c r="H24130" s="5">
        <f>HYPERLINK("https://api.qogita.com/variants/link/3616305817655/", "View Product")</f>
        <v/>
      </c>
    </row>
    <row r="24131">
      <c r="A24131" t="inlineStr">
        <is>
          <t>3616305977069</t>
        </is>
      </c>
      <c r="B24131" t="inlineStr">
        <is>
          <t>Max Factor False Lash Effect Supreme Recharge Mascara - Black Instant 7x</t>
        </is>
      </c>
      <c r="C24131" t="inlineStr">
        <is>
          <t>Mascara</t>
        </is>
      </c>
      <c r="D24131" t="inlineStr">
        <is>
          <t>Max Factor</t>
        </is>
      </c>
      <c r="E24131" t="n">
        <v>7.87</v>
      </c>
      <c r="F24131" t="n">
        <v>1</v>
      </c>
      <c r="G24131" t="n">
        <v>6</v>
      </c>
      <c r="H24131" s="5">
        <f>HYPERLINK("https://api.qogita.com/variants/link/3616305977069/", "View Product")</f>
        <v/>
      </c>
    </row>
    <row r="24132">
      <c r="A24132" t="inlineStr">
        <is>
          <t>3616306096899</t>
        </is>
      </c>
      <c r="B24132" t="inlineStr">
        <is>
          <t>Chloe L'Eau De Parfum Intense 50ml Edp Spray And 100ml Body Lotion</t>
        </is>
      </c>
      <c r="C24132" t="inlineStr">
        <is>
          <t>Eau De Parfum</t>
        </is>
      </c>
      <c r="D24132" t="inlineStr">
        <is>
          <t>Chloé</t>
        </is>
      </c>
      <c r="E24132" t="n">
        <v>53.84</v>
      </c>
      <c r="F24132" t="n">
        <v>1</v>
      </c>
      <c r="G24132" t="n">
        <v>11</v>
      </c>
      <c r="H24132" s="5">
        <f>HYPERLINK("https://api.qogita.com/variants/link/3616306096899/", "View Product")</f>
        <v/>
      </c>
    </row>
    <row r="24133">
      <c r="A24133" t="inlineStr">
        <is>
          <t>3616306168640</t>
        </is>
      </c>
      <c r="B24133" t="inlineStr">
        <is>
          <t>Max Factor Masterpiece Wow Liner Waterproof Vegan Eyeliner 24 Hours</t>
        </is>
      </c>
      <c r="C24133" t="inlineStr">
        <is>
          <t>Eyeliner</t>
        </is>
      </c>
      <c r="D24133" t="inlineStr">
        <is>
          <t>Max Factor</t>
        </is>
      </c>
      <c r="E24133" t="n">
        <v>4.11</v>
      </c>
      <c r="F24133" t="n">
        <v>1</v>
      </c>
      <c r="G24133" t="n">
        <v>64</v>
      </c>
      <c r="H24133" s="5">
        <f>HYPERLINK("https://api.qogita.com/variants/link/3616306168640/", "View Product")</f>
        <v/>
      </c>
    </row>
    <row r="24134">
      <c r="A24134" t="inlineStr">
        <is>
          <t>3616306361393</t>
        </is>
      </c>
      <c r="B24134" t="inlineStr">
        <is>
          <t>Rimmel Kind &amp; Free Glow It Up Moisturising Skin Tint In Soft Chocolate - Soothes And Calms</t>
        </is>
      </c>
      <c r="C24134" t="inlineStr">
        <is>
          <t>Foundation</t>
        </is>
      </c>
      <c r="D24134" t="inlineStr">
        <is>
          <t>Rimmel London</t>
        </is>
      </c>
      <c r="E24134" t="n">
        <v>5.25</v>
      </c>
      <c r="F24134" t="n">
        <v>1</v>
      </c>
      <c r="G24134" t="n">
        <v>7</v>
      </c>
      <c r="H24134" s="5">
        <f>HYPERLINK("https://api.qogita.com/variants/link/3616306361393/", "View Product")</f>
        <v/>
      </c>
    </row>
    <row r="24135">
      <c r="A24135" t="inlineStr">
        <is>
          <t>3616306361478</t>
        </is>
      </c>
      <c r="B24135" t="inlineStr">
        <is>
          <t>Rimmel London Kind &amp; Free Glow It Up Moisturising Skin Tint In Mocha - Soothes And Calms Sensitive Skin</t>
        </is>
      </c>
      <c r="C24135" t="inlineStr">
        <is>
          <t>Foundation</t>
        </is>
      </c>
      <c r="D24135" t="inlineStr">
        <is>
          <t>Rimmel London</t>
        </is>
      </c>
      <c r="E24135" t="n">
        <v>5.25</v>
      </c>
      <c r="F24135" t="n">
        <v>1</v>
      </c>
      <c r="G24135" t="n">
        <v>7</v>
      </c>
      <c r="H24135" s="5">
        <f>HYPERLINK("https://api.qogita.com/variants/link/3616306361478/", "View Product")</f>
        <v/>
      </c>
    </row>
    <row r="24136">
      <c r="A24136" t="inlineStr">
        <is>
          <t>3616306361898</t>
        </is>
      </c>
      <c r="B24136" t="inlineStr">
        <is>
          <t>Rimmel Kind &amp; Free Blur It Out Mattifying Skin Tint</t>
        </is>
      </c>
      <c r="C24136" t="inlineStr">
        <is>
          <t>Primer</t>
        </is>
      </c>
      <c r="D24136" t="inlineStr">
        <is>
          <t>Rimmel London</t>
        </is>
      </c>
      <c r="E24136" t="n">
        <v>2.82</v>
      </c>
      <c r="F24136" t="n">
        <v>1</v>
      </c>
      <c r="G24136" t="n">
        <v>2</v>
      </c>
      <c r="H24136" s="5">
        <f>HYPERLINK("https://api.qogita.com/variants/link/3616306361898/", "View Product")</f>
        <v/>
      </c>
    </row>
    <row r="24137">
      <c r="A24137" t="inlineStr">
        <is>
          <t>3616306894570</t>
        </is>
      </c>
      <c r="B24137" t="inlineStr">
        <is>
          <t>Rimmel London Super Gel Nail Polish 13acai Smoothie 12ml</t>
        </is>
      </c>
      <c r="C24137" t="inlineStr">
        <is>
          <t>Nail Polish</t>
        </is>
      </c>
      <c r="D24137" t="inlineStr">
        <is>
          <t>Rimmel London</t>
        </is>
      </c>
      <c r="E24137" t="n">
        <v>0.9399999999999999</v>
      </c>
      <c r="F24137" t="n">
        <v>1</v>
      </c>
      <c r="G24137" t="n">
        <v>18</v>
      </c>
      <c r="H24137" s="5">
        <f>HYPERLINK("https://api.qogita.com/variants/link/3616306894570/", "View Product")</f>
        <v/>
      </c>
    </row>
    <row r="24138">
      <c r="A24138" t="inlineStr">
        <is>
          <t>3660732069484</t>
        </is>
      </c>
      <c r="B24138" t="inlineStr">
        <is>
          <t>Yves Saint Laurent Black Opium Pour Femme Set Eau De Parfum Spray 50ml + Body Balm 50ml</t>
        </is>
      </c>
      <c r="C24138" t="inlineStr">
        <is>
          <t>Fragrance Sets</t>
        </is>
      </c>
      <c r="D24138" t="inlineStr">
        <is>
          <t>Yves Saint Laurent</t>
        </is>
      </c>
      <c r="E24138" t="n">
        <v>72.92</v>
      </c>
      <c r="F24138" t="n">
        <v>1</v>
      </c>
      <c r="G24138" t="n">
        <v>7</v>
      </c>
      <c r="H24138" s="5">
        <f>HYPERLINK("https://api.qogita.com/variants/link/3660732069484/", "View Product")</f>
        <v/>
      </c>
    </row>
    <row r="24139">
      <c r="A24139" t="inlineStr">
        <is>
          <t>3660732551682</t>
        </is>
      </c>
      <c r="B24139" t="inlineStr">
        <is>
          <t>Yves Saint Laurent Ysl Duo Mascara Volume Effet Noir Radical</t>
        </is>
      </c>
      <c r="C24139" t="inlineStr">
        <is>
          <t>Mascara</t>
        </is>
      </c>
      <c r="D24139" t="inlineStr">
        <is>
          <t>Yves Saint Laurent</t>
        </is>
      </c>
      <c r="E24139" t="n">
        <v>63.85</v>
      </c>
      <c r="F24139" t="n">
        <v>1</v>
      </c>
      <c r="G24139" t="n">
        <v>10</v>
      </c>
      <c r="H24139" s="5">
        <f>HYPERLINK("https://api.qogita.com/variants/link/3660732551682/", "View Product")</f>
        <v/>
      </c>
    </row>
    <row r="24140">
      <c r="A24140" t="inlineStr">
        <is>
          <t>3660732613670</t>
        </is>
      </c>
      <c r="B24140" t="inlineStr">
        <is>
          <t>Yves Saint Laurent Y Eau De Parfum 100ml Stick 75ml</t>
        </is>
      </c>
      <c r="C24140" t="inlineStr">
        <is>
          <t>Eau De Parfum</t>
        </is>
      </c>
      <c r="D24140" t="inlineStr">
        <is>
          <t>Yves Saint Laurent</t>
        </is>
      </c>
      <c r="E24140" t="n">
        <v>98.59999999999999</v>
      </c>
      <c r="F24140" t="n">
        <v>1</v>
      </c>
      <c r="G24140" t="n">
        <v>2</v>
      </c>
      <c r="H24140" s="5">
        <f>HYPERLINK("https://api.qogita.com/variants/link/3660732613670/", "View Product")</f>
        <v/>
      </c>
    </row>
    <row r="24141">
      <c r="A24141" t="inlineStr">
        <is>
          <t>3661163406534</t>
        </is>
      </c>
      <c r="B24141" t="inlineStr">
        <is>
          <t>Natural Vitality Deodorant In Natural Spray 75ml</t>
        </is>
      </c>
      <c r="C24141" t="inlineStr">
        <is>
          <t>Deodorant &amp; Anti-Perspirant</t>
        </is>
      </c>
      <c r="D24141" t="inlineStr">
        <is>
          <t>Natural Vitality</t>
        </is>
      </c>
      <c r="E24141" t="n">
        <v>5.33</v>
      </c>
      <c r="F24141" t="n">
        <v>1</v>
      </c>
      <c r="G24141" t="n">
        <v>6</v>
      </c>
      <c r="H24141" s="5">
        <f>HYPERLINK("https://api.qogita.com/variants/link/3661163406534/", "View Product")</f>
        <v/>
      </c>
    </row>
    <row r="24142">
      <c r="A24142" t="inlineStr">
        <is>
          <t>3661163575032</t>
        </is>
      </c>
      <c r="B24142" t="inlineStr">
        <is>
          <t>Adidas Victory League Deodorant 75ml</t>
        </is>
      </c>
      <c r="C24142" t="inlineStr">
        <is>
          <t>Deodorant &amp; Anti-Perspirant</t>
        </is>
      </c>
      <c r="D24142" t="inlineStr">
        <is>
          <t>adidas</t>
        </is>
      </c>
      <c r="E24142" t="n">
        <v>4.55</v>
      </c>
      <c r="F24142" t="n">
        <v>1</v>
      </c>
      <c r="G24142" t="n">
        <v>3</v>
      </c>
      <c r="H24142" s="5">
        <f>HYPERLINK("https://api.qogita.com/variants/link/3661163575032/", "View Product")</f>
        <v/>
      </c>
    </row>
    <row r="24143">
      <c r="A24143" t="inlineStr">
        <is>
          <t>3661434000072</t>
        </is>
      </c>
      <c r="B24143" t="inlineStr">
        <is>
          <t>Uriage Ds Regulating Care Emulsion 40ml For Face And Body Smoothing Emulsion For Seborrheic Dermatitis</t>
        </is>
      </c>
      <c r="C24143" t="inlineStr">
        <is>
          <t>Body Care</t>
        </is>
      </c>
      <c r="D24143" t="inlineStr">
        <is>
          <t>Uriage</t>
        </is>
      </c>
      <c r="E24143" t="n">
        <v>8.58</v>
      </c>
      <c r="F24143" t="n">
        <v>1</v>
      </c>
      <c r="G24143" t="n">
        <v>33</v>
      </c>
      <c r="H24143" s="5">
        <f>HYPERLINK("https://api.qogita.com/variants/link/3661434000072/", "View Product")</f>
        <v/>
      </c>
    </row>
    <row r="24144">
      <c r="A24144" t="inlineStr">
        <is>
          <t>3661434000089</t>
        </is>
      </c>
      <c r="B24144" t="inlineStr">
        <is>
          <t>Uriage Ds Regulating Foaming Gel Cleansing Gel For Sensitive Skin 150ml</t>
        </is>
      </c>
      <c r="C24144" t="inlineStr">
        <is>
          <t>Cleansing Gel</t>
        </is>
      </c>
      <c r="D24144" t="inlineStr">
        <is>
          <t>Uriage</t>
        </is>
      </c>
      <c r="E24144" t="n">
        <v>7.75</v>
      </c>
      <c r="F24144" t="n">
        <v>1</v>
      </c>
      <c r="G24144" t="n">
        <v>59</v>
      </c>
      <c r="H24144" s="5">
        <f>HYPERLINK("https://api.qogita.com/variants/link/3661434000089/", "View Product")</f>
        <v/>
      </c>
    </row>
    <row r="24145">
      <c r="A24145" t="inlineStr">
        <is>
          <t>3661434000171</t>
        </is>
      </c>
      <c r="B24145" t="inlineStr">
        <is>
          <t>Uriage Xmose Gentle Cleansing Syndet 200ml For Dry To Atopic Skin</t>
        </is>
      </c>
      <c r="C24145" t="inlineStr">
        <is>
          <t>Cleansing Cream</t>
        </is>
      </c>
      <c r="D24145" t="inlineStr">
        <is>
          <t>Uriage</t>
        </is>
      </c>
      <c r="E24145" t="n">
        <v>7.09</v>
      </c>
      <c r="F24145" t="n">
        <v>1</v>
      </c>
      <c r="G24145" t="n">
        <v>25</v>
      </c>
      <c r="H24145" s="5">
        <f>HYPERLINK("https://api.qogita.com/variants/link/3661434000171/", "View Product")</f>
        <v/>
      </c>
    </row>
    <row r="24146">
      <c r="A24146" t="inlineStr">
        <is>
          <t>3661434000515</t>
        </is>
      </c>
      <c r="B24146" t="inlineStr">
        <is>
          <t>Uriage Eau Thermale Pure Thermal Water Spray - 150ml</t>
        </is>
      </c>
      <c r="C24146" t="inlineStr">
        <is>
          <t>Facial Spray</t>
        </is>
      </c>
      <c r="D24146" t="inlineStr">
        <is>
          <t>Uriage</t>
        </is>
      </c>
      <c r="E24146" t="n">
        <v>5.41</v>
      </c>
      <c r="F24146" t="n">
        <v>1</v>
      </c>
      <c r="G24146" t="n">
        <v>14</v>
      </c>
      <c r="H24146" s="5">
        <f>HYPERLINK("https://api.qogita.com/variants/link/3661434000515/", "View Product")</f>
        <v/>
      </c>
    </row>
    <row r="24147">
      <c r="A24147" t="inlineStr">
        <is>
          <t>3661434001475</t>
        </is>
      </c>
      <c r="B24147" t="inlineStr">
        <is>
          <t>Uriage Bariesun Soothing After-Sun Spray 150ml</t>
        </is>
      </c>
      <c r="C24147" t="inlineStr">
        <is>
          <t>Aftersun</t>
        </is>
      </c>
      <c r="D24147" t="inlineStr">
        <is>
          <t>Uriage</t>
        </is>
      </c>
      <c r="E24147" t="n">
        <v>9.970000000000001</v>
      </c>
      <c r="F24147" t="n">
        <v>1</v>
      </c>
      <c r="G24147" t="n">
        <v>14</v>
      </c>
      <c r="H24147" s="5">
        <f>HYPERLINK("https://api.qogita.com/variants/link/3661434001475/", "View Product")</f>
        <v/>
      </c>
    </row>
    <row r="24148">
      <c r="A24148" t="inlineStr">
        <is>
          <t>3661434001833</t>
        </is>
      </c>
      <c r="B24148" t="inlineStr">
        <is>
          <t>Uriage Bariesun Mineral Stick SPF 50+ 8g - Protects Sensitive Skin from UVA/UVB</t>
        </is>
      </c>
      <c r="C24148" t="inlineStr">
        <is>
          <t>Face Sun Protection</t>
        </is>
      </c>
      <c r="D24148" t="inlineStr">
        <is>
          <t>Uriage</t>
        </is>
      </c>
      <c r="E24148" t="n">
        <v>9.210000000000001</v>
      </c>
      <c r="F24148" t="n">
        <v>1</v>
      </c>
      <c r="G24148" t="n">
        <v>5</v>
      </c>
      <c r="H24148" s="5">
        <f>HYPERLINK("https://api.qogita.com/variants/link/3661434001833/", "View Product")</f>
        <v/>
      </c>
    </row>
    <row r="24149">
      <c r="A24149" t="inlineStr">
        <is>
          <t>3661434003400</t>
        </is>
      </c>
      <c r="B24149" t="inlineStr">
        <is>
          <t>Uriage Rosliane Antiredness Rich Cream Nourishing Cream For Sensitive Skin 50 Ml</t>
        </is>
      </c>
      <c r="C24149" t="inlineStr">
        <is>
          <t>Face Cream</t>
        </is>
      </c>
      <c r="D24149" t="inlineStr">
        <is>
          <t>Uriage</t>
        </is>
      </c>
      <c r="E24149" t="n">
        <v>14.3</v>
      </c>
      <c r="F24149" t="n">
        <v>1</v>
      </c>
      <c r="G24149" t="n">
        <v>9</v>
      </c>
      <c r="H24149" s="5">
        <f>HYPERLINK("https://api.qogita.com/variants/link/3661434003400/", "View Product")</f>
        <v/>
      </c>
    </row>
    <row r="24150">
      <c r="A24150" t="inlineStr">
        <is>
          <t>3661434004841</t>
        </is>
      </c>
      <c r="B24150" t="inlineStr">
        <is>
          <t>Uriage Xemose Lipid-Replenishing Anti-Irritation Cream - 200ml</t>
        </is>
      </c>
      <c r="C24150" t="inlineStr">
        <is>
          <t>Face Cream</t>
        </is>
      </c>
      <c r="D24150" t="inlineStr">
        <is>
          <t>Uriage</t>
        </is>
      </c>
      <c r="E24150" t="n">
        <v>10.63</v>
      </c>
      <c r="F24150" t="n">
        <v>1</v>
      </c>
      <c r="G24150" t="n">
        <v>13</v>
      </c>
      <c r="H24150" s="5">
        <f>HYPERLINK("https://api.qogita.com/variants/link/3661434004841/", "View Product")</f>
        <v/>
      </c>
    </row>
    <row r="24151">
      <c r="A24151" t="inlineStr">
        <is>
          <t>3661434004865</t>
        </is>
      </c>
      <c r="B24151" t="inlineStr">
        <is>
          <t>Uriage Xemose Face Cream - 40ml</t>
        </is>
      </c>
      <c r="C24151" t="inlineStr">
        <is>
          <t>Face Cream</t>
        </is>
      </c>
      <c r="D24151" t="inlineStr">
        <is>
          <t>Uriage</t>
        </is>
      </c>
      <c r="E24151" t="n">
        <v>10.34</v>
      </c>
      <c r="F24151" t="n">
        <v>1</v>
      </c>
      <c r="G24151" t="n">
        <v>23</v>
      </c>
      <c r="H24151" s="5">
        <f>HYPERLINK("https://api.qogita.com/variants/link/3661434004865/", "View Product")</f>
        <v/>
      </c>
    </row>
    <row r="24152">
      <c r="A24152" t="inlineStr">
        <is>
          <t>3661434005015</t>
        </is>
      </c>
      <c r="B24152" t="inlineStr">
        <is>
          <t>Uriage Eau Thermale Active Water Eye Contour Cream 15ml</t>
        </is>
      </c>
      <c r="C24152" t="inlineStr">
        <is>
          <t>Eye Cream</t>
        </is>
      </c>
      <c r="D24152" t="inlineStr">
        <is>
          <t>Uriage</t>
        </is>
      </c>
      <c r="E24152" t="n">
        <v>10.49</v>
      </c>
      <c r="F24152" t="n">
        <v>1</v>
      </c>
      <c r="G24152" t="n">
        <v>22</v>
      </c>
      <c r="H24152" s="5">
        <f>HYPERLINK("https://api.qogita.com/variants/link/3661434005015/", "View Product")</f>
        <v/>
      </c>
    </row>
    <row r="24153">
      <c r="A24153" t="inlineStr">
        <is>
          <t>3661434005435</t>
        </is>
      </c>
      <c r="B24153" t="inlineStr">
        <is>
          <t>Uriage Bariederm Fissure Cream - 40 Ml</t>
        </is>
      </c>
      <c r="C24153" t="inlineStr">
        <is>
          <t>Hand &amp; Foot Care</t>
        </is>
      </c>
      <c r="D24153" t="inlineStr">
        <is>
          <t>Uriage</t>
        </is>
      </c>
      <c r="E24153" t="n">
        <v>10.05</v>
      </c>
      <c r="F24153" t="n">
        <v>1</v>
      </c>
      <c r="G24153" t="n">
        <v>5</v>
      </c>
      <c r="H24153" s="5">
        <f>HYPERLINK("https://api.qogita.com/variants/link/3661434005435/", "View Product")</f>
        <v/>
      </c>
    </row>
    <row r="24154">
      <c r="A24154" t="inlineStr">
        <is>
          <t>3661434005503</t>
        </is>
      </c>
      <c r="B24154" t="inlineStr">
        <is>
          <t>Uriage Eau Thermale Water Sleeping Mask Moisturizing Face Mask For Night 50ml</t>
        </is>
      </c>
      <c r="C24154" t="inlineStr">
        <is>
          <t>Hydrating Mask</t>
        </is>
      </c>
      <c r="D24154" t="inlineStr">
        <is>
          <t>Uriage</t>
        </is>
      </c>
      <c r="E24154" t="n">
        <v>8.08</v>
      </c>
      <c r="F24154" t="n">
        <v>1</v>
      </c>
      <c r="G24154" t="n">
        <v>30</v>
      </c>
      <c r="H24154" s="5">
        <f>HYPERLINK("https://api.qogita.com/variants/link/3661434005503/", "View Product")</f>
        <v/>
      </c>
    </row>
    <row r="24155">
      <c r="A24155" t="inlineStr">
        <is>
          <t>3661434005763</t>
        </is>
      </c>
      <c r="B24155" t="inlineStr">
        <is>
          <t>Uriage Bebe 1st Oleothermal Liniment - 500ml</t>
        </is>
      </c>
      <c r="C24155" t="inlineStr">
        <is>
          <t>Baby Cream &amp; Oil</t>
        </is>
      </c>
      <c r="D24155" t="inlineStr">
        <is>
          <t>Uriage</t>
        </is>
      </c>
      <c r="E24155" t="n">
        <v>12</v>
      </c>
      <c r="F24155" t="n">
        <v>1</v>
      </c>
      <c r="G24155" t="n">
        <v>5</v>
      </c>
      <c r="H24155" s="5">
        <f>HYPERLINK("https://api.qogita.com/variants/link/3661434005763/", "View Product")</f>
        <v/>
      </c>
    </row>
    <row r="24156">
      <c r="A24156" t="inlineStr">
        <is>
          <t>3661434005879</t>
        </is>
      </c>
      <c r="B24156" t="inlineStr">
        <is>
          <t>Uriage Cleansing Oil Shower Oil 500ml</t>
        </is>
      </c>
      <c r="C24156" t="inlineStr">
        <is>
          <t>Shower Oil</t>
        </is>
      </c>
      <c r="D24156" t="inlineStr">
        <is>
          <t>Uriage</t>
        </is>
      </c>
      <c r="E24156" t="n">
        <v>8.69</v>
      </c>
      <c r="F24156" t="n">
        <v>1</v>
      </c>
      <c r="G24156" t="n">
        <v>16</v>
      </c>
      <c r="H24156" s="5">
        <f>HYPERLINK("https://api.qogita.com/variants/link/3661434005879/", "View Product")</f>
        <v/>
      </c>
    </row>
    <row r="24157">
      <c r="A24157" t="inlineStr">
        <is>
          <t>3661434006067</t>
        </is>
      </c>
      <c r="B24157" t="inlineStr">
        <is>
          <t>Uriage Cleansing Oil 1000ml For Face And Body</t>
        </is>
      </c>
      <c r="C24157" t="inlineStr">
        <is>
          <t>Shower Oil</t>
        </is>
      </c>
      <c r="D24157" t="inlineStr">
        <is>
          <t>Uriage</t>
        </is>
      </c>
      <c r="E24157" t="n">
        <v>15.57</v>
      </c>
      <c r="F24157" t="n">
        <v>1</v>
      </c>
      <c r="G24157" t="n">
        <v>10</v>
      </c>
      <c r="H24157" s="5">
        <f>HYPERLINK("https://api.qogita.com/variants/link/3661434006067/", "View Product")</f>
        <v/>
      </c>
    </row>
    <row r="24158">
      <c r="A24158" t="inlineStr">
        <is>
          <t>3661434008146</t>
        </is>
      </c>
      <c r="B24158" t="inlineStr">
        <is>
          <t>Uriage Bebe 1st Lavant Calm Oil Cleansing Oil For Children 500ml</t>
        </is>
      </c>
      <c r="C24158" t="inlineStr">
        <is>
          <t>Baby Cream &amp; Oil</t>
        </is>
      </c>
      <c r="D24158" t="inlineStr">
        <is>
          <t>Uriage</t>
        </is>
      </c>
      <c r="E24158" t="n">
        <v>10.11</v>
      </c>
      <c r="F24158" t="n">
        <v>1</v>
      </c>
      <c r="G24158" t="n">
        <v>22</v>
      </c>
      <c r="H24158" s="5">
        <f>HYPERLINK("https://api.qogita.com/variants/link/3661434008146/", "View Product")</f>
        <v/>
      </c>
    </row>
    <row r="24159">
      <c r="A24159" t="inlineStr">
        <is>
          <t>3661434008375</t>
        </is>
      </c>
      <c r="B24159" t="inlineStr">
        <is>
          <t>Uriage Barisun Spf30 Invisible Spray Sunscreen Spray For Children 200ml</t>
        </is>
      </c>
      <c r="C24159" t="inlineStr">
        <is>
          <t>Sun Protection For Children</t>
        </is>
      </c>
      <c r="D24159" t="inlineStr">
        <is>
          <t>Uriage</t>
        </is>
      </c>
      <c r="E24159" t="n">
        <v>13.79</v>
      </c>
      <c r="F24159" t="n">
        <v>1</v>
      </c>
      <c r="G24159" t="n">
        <v>5</v>
      </c>
      <c r="H24159" s="5">
        <f>HYPERLINK("https://api.qogita.com/variants/link/3661434008375/", "View Product")</f>
        <v/>
      </c>
    </row>
    <row r="24160">
      <c r="A24160" t="inlineStr">
        <is>
          <t>3661434008412</t>
        </is>
      </c>
      <c r="B24160" t="inlineStr">
        <is>
          <t>Uriage Barisun Moisturizing Lipstick Spf 30 4g</t>
        </is>
      </c>
      <c r="C24160" t="inlineStr">
        <is>
          <t>Medicated Treatments</t>
        </is>
      </c>
      <c r="D24160" t="inlineStr">
        <is>
          <t>Uriage</t>
        </is>
      </c>
      <c r="E24160" t="n">
        <v>4.55</v>
      </c>
      <c r="F24160" t="n">
        <v>1</v>
      </c>
      <c r="G24160" t="n">
        <v>2</v>
      </c>
      <c r="H24160" s="5">
        <f>HYPERLINK("https://api.qogita.com/variants/link/3661434008412/", "View Product")</f>
        <v/>
      </c>
    </row>
    <row r="24161">
      <c r="A24161" t="inlineStr">
        <is>
          <t>3661434008597</t>
        </is>
      </c>
      <c r="B24161" t="inlineStr">
        <is>
          <t>Uriage Bebe 1st Change Cream Anti-Redness Cream For Children 100ml</t>
        </is>
      </c>
      <c r="C24161" t="inlineStr">
        <is>
          <t>Baby Cream &amp; Oil</t>
        </is>
      </c>
      <c r="D24161" t="inlineStr">
        <is>
          <t>Uriage</t>
        </is>
      </c>
      <c r="E24161" t="n">
        <v>6.43</v>
      </c>
      <c r="F24161" t="n">
        <v>1</v>
      </c>
      <c r="G24161" t="n">
        <v>32</v>
      </c>
      <c r="H24161" s="5">
        <f>HYPERLINK("https://api.qogita.com/variants/link/3661434008597/", "View Product")</f>
        <v/>
      </c>
    </row>
    <row r="24162">
      <c r="A24162" t="inlineStr">
        <is>
          <t>3661434008603</t>
        </is>
      </c>
      <c r="B24162" t="inlineStr">
        <is>
          <t>Uriage Bebe 1st Cold Cream Face, Hands &amp; Body Moisturizing Cream For Children With Dry And Very Dry Skin 75ml</t>
        </is>
      </c>
      <c r="C24162" t="inlineStr">
        <is>
          <t>Baby Cream &amp; Oil</t>
        </is>
      </c>
      <c r="D24162" t="inlineStr">
        <is>
          <t>Uriage</t>
        </is>
      </c>
      <c r="E24162" t="n">
        <v>6.09</v>
      </c>
      <c r="F24162" t="n">
        <v>1</v>
      </c>
      <c r="G24162" t="n">
        <v>8</v>
      </c>
      <c r="H24162" s="5">
        <f>HYPERLINK("https://api.qogita.com/variants/link/3661434008603/", "View Product")</f>
        <v/>
      </c>
    </row>
    <row r="24163">
      <c r="A24163" t="inlineStr">
        <is>
          <t>3661434008658</t>
        </is>
      </c>
      <c r="B24163" t="inlineStr">
        <is>
          <t>Bebe 1st Moisturizing Cream Daily Moisturizing Cream For Face 40ml</t>
        </is>
      </c>
      <c r="C24163" t="inlineStr">
        <is>
          <t>Day Cream</t>
        </is>
      </c>
      <c r="D24163" t="inlineStr">
        <is>
          <t>Bebe</t>
        </is>
      </c>
      <c r="E24163" t="n">
        <v>5.44</v>
      </c>
      <c r="F24163" t="n">
        <v>1</v>
      </c>
      <c r="G24163" t="n">
        <v>2</v>
      </c>
      <c r="H24163" s="5">
        <f>HYPERLINK("https://api.qogita.com/variants/link/3661434008658/", "View Product")</f>
        <v/>
      </c>
    </row>
    <row r="24164">
      <c r="A24164" t="inlineStr">
        <is>
          <t>3661434008719</t>
        </is>
      </c>
      <c r="B24164" t="inlineStr">
        <is>
          <t>Bebe 1st Cleansing Water - 500ml</t>
        </is>
      </c>
      <c r="C24164" t="inlineStr">
        <is>
          <t>Micellar Water</t>
        </is>
      </c>
      <c r="D24164" t="inlineStr">
        <is>
          <t>Bebe</t>
        </is>
      </c>
      <c r="E24164" t="n">
        <v>7.67</v>
      </c>
      <c r="F24164" t="n">
        <v>1</v>
      </c>
      <c r="G24164" t="n">
        <v>14</v>
      </c>
      <c r="H24164" s="5">
        <f>HYPERLINK("https://api.qogita.com/variants/link/3661434008719/", "View Product")</f>
        <v/>
      </c>
    </row>
    <row r="24165">
      <c r="A24165" t="inlineStr">
        <is>
          <t>3661434008726</t>
        </is>
      </c>
      <c r="B24165" t="inlineStr">
        <is>
          <t>Bebe 1st Cleansing Water - 1000ml</t>
        </is>
      </c>
      <c r="C24165" t="inlineStr">
        <is>
          <t>Micellar Water</t>
        </is>
      </c>
      <c r="D24165" t="inlineStr">
        <is>
          <t>Bebe</t>
        </is>
      </c>
      <c r="E24165" t="n">
        <v>9.74</v>
      </c>
      <c r="F24165" t="n">
        <v>1</v>
      </c>
      <c r="G24165" t="n">
        <v>3</v>
      </c>
      <c r="H24165" s="5">
        <f>HYPERLINK("https://api.qogita.com/variants/link/3661434008726/", "View Product")</f>
        <v/>
      </c>
    </row>
    <row r="24166">
      <c r="A24166" t="inlineStr">
        <is>
          <t>3661434009198</t>
        </is>
      </c>
      <c r="B24166" t="inlineStr">
        <is>
          <t>Uriage Age Absolu Redensifying Sleeping Mask 50ml</t>
        </is>
      </c>
      <c r="C24166" t="inlineStr">
        <is>
          <t>Anti-Aging Mask</t>
        </is>
      </c>
      <c r="D24166" t="inlineStr">
        <is>
          <t>Uriage</t>
        </is>
      </c>
      <c r="E24166" t="n">
        <v>20.86</v>
      </c>
      <c r="F24166" t="n">
        <v>1</v>
      </c>
      <c r="G24166" t="n">
        <v>26</v>
      </c>
      <c r="H24166" s="5">
        <f>HYPERLINK("https://api.qogita.com/variants/link/3661434009198/", "View Product")</f>
        <v/>
      </c>
    </row>
    <row r="24167">
      <c r="A24167" t="inlineStr">
        <is>
          <t>3661434009327</t>
        </is>
      </c>
      <c r="B24167" t="inlineStr">
        <is>
          <t>Uriage Thermal Micellar Water With Apricot Extract For Sensitive Skin 250ml</t>
        </is>
      </c>
      <c r="C24167" t="inlineStr">
        <is>
          <t>Micellar Water</t>
        </is>
      </c>
      <c r="D24167" t="inlineStr">
        <is>
          <t>Uriage</t>
        </is>
      </c>
      <c r="E24167" t="n">
        <v>7.49</v>
      </c>
      <c r="F24167" t="n">
        <v>1</v>
      </c>
      <c r="G24167" t="n">
        <v>26</v>
      </c>
      <c r="H24167" s="5">
        <f>HYPERLINK("https://api.qogita.com/variants/link/3661434009327/", "View Product")</f>
        <v/>
      </c>
    </row>
    <row r="24168">
      <c r="A24168" t="inlineStr">
        <is>
          <t>3661434009426</t>
        </is>
      </c>
      <c r="B24168" t="inlineStr">
        <is>
          <t>Uriage Eau Thermale Refreshing Make Up Removing Jelly - 150ml</t>
        </is>
      </c>
      <c r="C24168" t="inlineStr">
        <is>
          <t>Makeup Remover</t>
        </is>
      </c>
      <c r="D24168" t="inlineStr">
        <is>
          <t>Uriage</t>
        </is>
      </c>
      <c r="E24168" t="n">
        <v>7.79</v>
      </c>
      <c r="F24168" t="n">
        <v>1</v>
      </c>
      <c r="G24168" t="n">
        <v>3</v>
      </c>
      <c r="H24168" s="5">
        <f>HYPERLINK("https://api.qogita.com/variants/link/3661434009426/", "View Product")</f>
        <v/>
      </c>
    </row>
    <row r="24169">
      <c r="A24169" t="inlineStr">
        <is>
          <t>3661434009884</t>
        </is>
      </c>
      <c r="B24169" t="inlineStr">
        <is>
          <t>Uriage Bariesun - Moisturizing Sunscreen Cream For Face Spf50 50ml With Thermal Water 50ml Offered</t>
        </is>
      </c>
      <c r="C24169" t="inlineStr">
        <is>
          <t>Face Sun Protection</t>
        </is>
      </c>
      <c r="D24169" t="inlineStr">
        <is>
          <t>Uriage</t>
        </is>
      </c>
      <c r="E24169" t="n">
        <v>16.37</v>
      </c>
      <c r="F24169" t="n">
        <v>1</v>
      </c>
      <c r="G24169" t="n">
        <v>2</v>
      </c>
      <c r="H24169" s="5">
        <f>HYPERLINK("https://api.qogita.com/variants/link/3661434009884/", "View Product")</f>
        <v/>
      </c>
    </row>
    <row r="24170">
      <c r="A24170" t="inlineStr">
        <is>
          <t>3661434010026</t>
        </is>
      </c>
      <c r="B24170" t="inlineStr">
        <is>
          <t>Uriage Hysac Sos Drying Gel 15 Ml Effective Acne Treatment</t>
        </is>
      </c>
      <c r="C24170" t="inlineStr">
        <is>
          <t>Pimple &amp; Blackhead Treatments</t>
        </is>
      </c>
      <c r="D24170" t="inlineStr">
        <is>
          <t>Uriage</t>
        </is>
      </c>
      <c r="E24170" t="n">
        <v>7.84</v>
      </c>
      <c r="F24170" t="n">
        <v>1</v>
      </c>
      <c r="G24170" t="n">
        <v>4</v>
      </c>
      <c r="H24170" s="5">
        <f>HYPERLINK("https://api.qogita.com/variants/link/3661434010026/", "View Product")</f>
        <v/>
      </c>
    </row>
    <row r="24171">
      <c r="A24171" t="inlineStr">
        <is>
          <t>3661434010095</t>
        </is>
      </c>
      <c r="B24171" t="inlineStr">
        <is>
          <t>Uriage Hysac Global Color Treatment Spf30 Oily Skin 30ml</t>
        </is>
      </c>
      <c r="C24171" t="inlineStr">
        <is>
          <t>Face Sun Protection</t>
        </is>
      </c>
      <c r="D24171" t="inlineStr">
        <is>
          <t>Uriage</t>
        </is>
      </c>
      <c r="E24171" t="n">
        <v>9.27</v>
      </c>
      <c r="F24171" t="n">
        <v>1</v>
      </c>
      <c r="G24171" t="n">
        <v>66</v>
      </c>
      <c r="H24171" s="5">
        <f>HYPERLINK("https://api.qogita.com/variants/link/3661434010095/", "View Product")</f>
        <v/>
      </c>
    </row>
    <row r="24172">
      <c r="A24172" t="inlineStr">
        <is>
          <t>3661434010101</t>
        </is>
      </c>
      <c r="B24172" t="inlineStr">
        <is>
          <t>Uriage Hyseac New Skin Serum Anti-Blemish Booster 30ml</t>
        </is>
      </c>
      <c r="C24172" t="inlineStr">
        <is>
          <t>Hydrating Serum</t>
        </is>
      </c>
      <c r="D24172" t="inlineStr">
        <is>
          <t>Uriage</t>
        </is>
      </c>
      <c r="E24172" t="n">
        <v>16.46</v>
      </c>
      <c r="F24172" t="n">
        <v>1</v>
      </c>
      <c r="G24172" t="n">
        <v>12</v>
      </c>
      <c r="H24172" s="5">
        <f>HYPERLINK("https://api.qogita.com/variants/link/3661434010101/", "View Product")</f>
        <v/>
      </c>
    </row>
    <row r="24173">
      <c r="A24173" t="inlineStr">
        <is>
          <t>3661434010118</t>
        </is>
      </c>
      <c r="B24173" t="inlineStr">
        <is>
          <t>Uriage Hysac Sos Paste 15g Local Care For Acne And Skin Imperfections</t>
        </is>
      </c>
      <c r="C24173" t="inlineStr">
        <is>
          <t>Pimple &amp; Blackhead Treatments</t>
        </is>
      </c>
      <c r="D24173" t="inlineStr">
        <is>
          <t>Uriage</t>
        </is>
      </c>
      <c r="E24173" t="n">
        <v>7.67</v>
      </c>
      <c r="F24173" t="n">
        <v>1</v>
      </c>
      <c r="G24173" t="n">
        <v>20</v>
      </c>
      <c r="H24173" s="5">
        <f>HYPERLINK("https://api.qogita.com/variants/link/3661434010118/", "View Product")</f>
        <v/>
      </c>
    </row>
    <row r="24174">
      <c r="A24174" t="inlineStr">
        <is>
          <t>3661434011924</t>
        </is>
      </c>
      <c r="B24174" t="inlineStr">
        <is>
          <t>Uriage Bariderm Cicadaily Gelcream 40ml Light Gel Cream For Damaged Skin</t>
        </is>
      </c>
      <c r="C24174" t="inlineStr">
        <is>
          <t>Face Cream</t>
        </is>
      </c>
      <c r="D24174" t="inlineStr">
        <is>
          <t>Uriage</t>
        </is>
      </c>
      <c r="E24174" t="n">
        <v>13.38</v>
      </c>
      <c r="F24174" t="n">
        <v>1</v>
      </c>
      <c r="G24174" t="n">
        <v>9</v>
      </c>
      <c r="H24174" s="5">
        <f>HYPERLINK("https://api.qogita.com/variants/link/3661434011924/", "View Product")</f>
        <v/>
      </c>
    </row>
    <row r="24175">
      <c r="A24175" t="inlineStr">
        <is>
          <t>3661434012020</t>
        </is>
      </c>
      <c r="B24175" t="inlineStr">
        <is>
          <t>Uriage Glow Up Water Essence 100ml Moisturizing Lotion</t>
        </is>
      </c>
      <c r="C24175" t="inlineStr">
        <is>
          <t>Facial Spray</t>
        </is>
      </c>
      <c r="D24175" t="inlineStr">
        <is>
          <t>Uriage</t>
        </is>
      </c>
      <c r="E24175" t="n">
        <v>11.81</v>
      </c>
      <c r="F24175" t="n">
        <v>1</v>
      </c>
      <c r="G24175" t="n">
        <v>34</v>
      </c>
      <c r="H24175" s="5">
        <f>HYPERLINK("https://api.qogita.com/variants/link/3661434012020/", "View Product")</f>
        <v/>
      </c>
    </row>
    <row r="24176">
      <c r="A24176" t="inlineStr">
        <is>
          <t>3661434018954</t>
        </is>
      </c>
      <c r="B24176" t="inlineStr">
        <is>
          <t>Bariesun Refreshing Sun Water Spf50+ 200 Ml</t>
        </is>
      </c>
      <c r="C24176" t="inlineStr">
        <is>
          <t>Body Sun Protection</t>
        </is>
      </c>
      <c r="D24176" t="inlineStr">
        <is>
          <t>Bariésun</t>
        </is>
      </c>
      <c r="E24176" t="n">
        <v>21.63</v>
      </c>
      <c r="F24176" t="n">
        <v>1</v>
      </c>
      <c r="G24176" t="n">
        <v>51</v>
      </c>
      <c r="H24176" s="5">
        <f>HYPERLINK("https://api.qogita.com/variants/link/3661434018954/", "View Product")</f>
        <v/>
      </c>
    </row>
    <row r="24177">
      <c r="A24177" t="inlineStr">
        <is>
          <t>3661434023422</t>
        </is>
      </c>
      <c r="B24177" t="inlineStr">
        <is>
          <t>Roseliane Visible Redness Neutralizing Serum 30 Ml</t>
        </is>
      </c>
      <c r="C24177" t="inlineStr">
        <is>
          <t>Hydrating Serum</t>
        </is>
      </c>
      <c r="D24177" t="inlineStr">
        <is>
          <t>Roseliane</t>
        </is>
      </c>
      <c r="E24177" t="n">
        <v>15.63</v>
      </c>
      <c r="F24177" t="n">
        <v>1</v>
      </c>
      <c r="G24177" t="n">
        <v>3</v>
      </c>
      <c r="H24177" s="5">
        <f>HYPERLINK("https://api.qogita.com/variants/link/3661434023422/", "View Product")</f>
        <v/>
      </c>
    </row>
    <row r="24178">
      <c r="A24178" t="inlineStr">
        <is>
          <t>3661434023477</t>
        </is>
      </c>
      <c r="B24178" t="inlineStr">
        <is>
          <t>Uriage Uriage Roseliane Cc Cream Spf 30 Universal Tone 40ml</t>
        </is>
      </c>
      <c r="C24178" t="inlineStr">
        <is>
          <t>Face Sun Protection</t>
        </is>
      </c>
      <c r="D24178" t="inlineStr">
        <is>
          <t>Uriage</t>
        </is>
      </c>
      <c r="E24178" t="n">
        <v>10.02</v>
      </c>
      <c r="F24178" t="n">
        <v>1</v>
      </c>
      <c r="G24178" t="n">
        <v>58</v>
      </c>
      <c r="H24178" s="5">
        <f>HYPERLINK("https://api.qogita.com/variants/link/3661434023477/", "View Product")</f>
        <v/>
      </c>
    </row>
    <row r="24179">
      <c r="A24179" t="inlineStr">
        <is>
          <t>3661434023514</t>
        </is>
      </c>
      <c r="B24179" t="inlineStr">
        <is>
          <t>Uriage Tolderm Control Rich Soothing Care 40ml</t>
        </is>
      </c>
      <c r="C24179" t="inlineStr">
        <is>
          <t>Face Cream</t>
        </is>
      </c>
      <c r="D24179" t="inlineStr">
        <is>
          <t>Uriage</t>
        </is>
      </c>
      <c r="E24179" t="n">
        <v>10.9</v>
      </c>
      <c r="F24179" t="n">
        <v>1</v>
      </c>
      <c r="G24179" t="n">
        <v>1</v>
      </c>
      <c r="H24179" s="5">
        <f>HYPERLINK("https://api.qogita.com/variants/link/3661434023514/", "View Product")</f>
        <v/>
      </c>
    </row>
    <row r="24180">
      <c r="A24180" t="inlineStr">
        <is>
          <t>3662361000043</t>
        </is>
      </c>
      <c r="B24180" t="inlineStr">
        <is>
          <t>Svr Sun Secure Ak Protect Sunscreen Spf 50 50ml</t>
        </is>
      </c>
      <c r="C24180" t="inlineStr">
        <is>
          <t>Face Sun Protection</t>
        </is>
      </c>
      <c r="D24180" t="inlineStr">
        <is>
          <t>Svr</t>
        </is>
      </c>
      <c r="E24180" t="n">
        <v>19.65</v>
      </c>
      <c r="F24180" t="n">
        <v>1</v>
      </c>
      <c r="G24180" t="n">
        <v>5</v>
      </c>
      <c r="H24180" s="5">
        <f>HYPERLINK("https://api.qogita.com/variants/link/3662361000043/", "View Product")</f>
        <v/>
      </c>
    </row>
    <row r="24181">
      <c r="A24181" t="inlineStr">
        <is>
          <t>3662361003273</t>
        </is>
      </c>
      <c r="B24181" t="inlineStr">
        <is>
          <t>SVR Physiopure Make-Up Removal Oil 150ml</t>
        </is>
      </c>
      <c r="C24181" t="inlineStr">
        <is>
          <t>Cleansing Oil</t>
        </is>
      </c>
      <c r="D24181" t="inlineStr">
        <is>
          <t>Svr</t>
        </is>
      </c>
      <c r="E24181" t="n">
        <v>13.1</v>
      </c>
      <c r="F24181" t="n">
        <v>1</v>
      </c>
      <c r="G24181" t="n">
        <v>2</v>
      </c>
      <c r="H24181" s="5">
        <f>HYPERLINK("https://api.qogita.com/variants/link/3662361003273/", "View Product")</f>
        <v/>
      </c>
    </row>
    <row r="24182">
      <c r="A24182" t="inlineStr">
        <is>
          <t>3666057013638</t>
        </is>
      </c>
      <c r="B24182" t="inlineStr">
        <is>
          <t>Clarins Instant Light Natural Lip Perfector Lip Gloss 12 Ml 08 Plum Shimmer</t>
        </is>
      </c>
      <c r="C24182" t="inlineStr">
        <is>
          <t>Lip Gloss</t>
        </is>
      </c>
      <c r="D24182" t="inlineStr">
        <is>
          <t>Clarins</t>
        </is>
      </c>
      <c r="E24182" t="n">
        <v>14.38</v>
      </c>
      <c r="F24182" t="n">
        <v>1</v>
      </c>
      <c r="G24182" t="n">
        <v>15</v>
      </c>
      <c r="H24182" s="5">
        <f>HYPERLINK("https://api.qogita.com/variants/link/3666057013638/", "View Product")</f>
        <v/>
      </c>
    </row>
    <row r="24183">
      <c r="A24183" t="inlineStr">
        <is>
          <t>3666057027147</t>
        </is>
      </c>
      <c r="B24183" t="inlineStr">
        <is>
          <t>Clarins Calmessentiel Soothing Repairing Balm 30ml For Sensitive Skin</t>
        </is>
      </c>
      <c r="C24183" t="inlineStr">
        <is>
          <t>Face Cream</t>
        </is>
      </c>
      <c r="D24183" t="inlineStr">
        <is>
          <t>Clarins</t>
        </is>
      </c>
      <c r="E24183" t="n">
        <v>23.59</v>
      </c>
      <c r="F24183" t="n">
        <v>1</v>
      </c>
      <c r="G24183" t="n">
        <v>2</v>
      </c>
      <c r="H24183" s="5">
        <f>HYPERLINK("https://api.qogita.com/variants/link/3666057027147/", "View Product")</f>
        <v/>
      </c>
    </row>
    <row r="24184">
      <c r="A24184" t="inlineStr">
        <is>
          <t>3666057027512</t>
        </is>
      </c>
      <c r="B24184" t="inlineStr">
        <is>
          <t>Clarins Extra-Firming Day And Night Skin Care Gift Set</t>
        </is>
      </c>
      <c r="C24184" t="inlineStr">
        <is>
          <t>Face</t>
        </is>
      </c>
      <c r="D24184" t="inlineStr">
        <is>
          <t>Clarins</t>
        </is>
      </c>
      <c r="E24184" t="n">
        <v>111.7</v>
      </c>
      <c r="F24184" t="n">
        <v>1</v>
      </c>
      <c r="G24184" t="n">
        <v>6</v>
      </c>
      <c r="H24184" s="5">
        <f>HYPERLINK("https://api.qogita.com/variants/link/3666057027512/", "View Product")</f>
        <v/>
      </c>
    </row>
    <row r="24185">
      <c r="A24185" t="inlineStr">
        <is>
          <t>3666057031236</t>
        </is>
      </c>
      <c r="B24185" t="inlineStr">
        <is>
          <t>Clarins Aroma Tonic Bath &amp; Shower Concentrate Shower Gel 200ml</t>
        </is>
      </c>
      <c r="C24185" t="inlineStr">
        <is>
          <t>Shower Gel</t>
        </is>
      </c>
      <c r="D24185" t="inlineStr">
        <is>
          <t>Clarins</t>
        </is>
      </c>
      <c r="E24185" t="n">
        <v>15.48</v>
      </c>
      <c r="F24185" t="n">
        <v>1</v>
      </c>
      <c r="G24185" t="n">
        <v>5</v>
      </c>
      <c r="H24185" s="5">
        <f>HYPERLINK("https://api.qogita.com/variants/link/3666057031236/", "View Product")</f>
        <v/>
      </c>
    </row>
    <row r="24186">
      <c r="A24186" t="inlineStr">
        <is>
          <t>3666057031670</t>
        </is>
      </c>
      <c r="B24186" t="inlineStr">
        <is>
          <t>Clarins Bb Skin Detox Fluid 02 Medium Spf 25 45ml</t>
        </is>
      </c>
      <c r="C24186" t="inlineStr">
        <is>
          <t>Tinted Day Cream</t>
        </is>
      </c>
      <c r="D24186" t="inlineStr">
        <is>
          <t>Clarins</t>
        </is>
      </c>
      <c r="E24186" t="n">
        <v>27.3</v>
      </c>
      <c r="F24186" t="n">
        <v>1</v>
      </c>
      <c r="G24186" t="n">
        <v>14</v>
      </c>
      <c r="H24186" s="5">
        <f>HYPERLINK("https://api.qogita.com/variants/link/3666057031670/", "View Product")</f>
        <v/>
      </c>
    </row>
    <row r="24187">
      <c r="A24187" t="inlineStr">
        <is>
          <t>3666057031687</t>
        </is>
      </c>
      <c r="B24187" t="inlineStr">
        <is>
          <t>Clarins Bb Skin Detox Fluid 03 Dark Spf 25 45 Ml</t>
        </is>
      </c>
      <c r="C24187" t="inlineStr">
        <is>
          <t>Tinted Day Cream</t>
        </is>
      </c>
      <c r="D24187" t="inlineStr">
        <is>
          <t>Clarins</t>
        </is>
      </c>
      <c r="E24187" t="n">
        <v>24.76</v>
      </c>
      <c r="F24187" t="n">
        <v>1</v>
      </c>
      <c r="G24187" t="n">
        <v>2</v>
      </c>
      <c r="H24187" s="5">
        <f>HYPERLINK("https://api.qogita.com/variants/link/3666057031687/", "View Product")</f>
        <v/>
      </c>
    </row>
    <row r="24188">
      <c r="A24188" t="inlineStr">
        <is>
          <t>3666057037467</t>
        </is>
      </c>
      <c r="B24188" t="inlineStr">
        <is>
          <t>Clarins Lip Comfort Oil 05 Apricot 7ml</t>
        </is>
      </c>
      <c r="C24188" t="inlineStr">
        <is>
          <t>Lip Gloss</t>
        </is>
      </c>
      <c r="D24188" t="inlineStr">
        <is>
          <t>Clarins</t>
        </is>
      </c>
      <c r="E24188" t="n">
        <v>19.07</v>
      </c>
      <c r="F24188" t="n">
        <v>1</v>
      </c>
      <c r="G24188" t="n">
        <v>9</v>
      </c>
      <c r="H24188" s="5">
        <f>HYPERLINK("https://api.qogita.com/variants/link/3666057037467/", "View Product")</f>
        <v/>
      </c>
    </row>
    <row r="24189">
      <c r="A24189" t="inlineStr">
        <is>
          <t>3666057044564</t>
        </is>
      </c>
      <c r="B24189" t="inlineStr">
        <is>
          <t>Clarins Men Total Shampoo 200ml Shampoo And Body Wash For Men</t>
        </is>
      </c>
      <c r="C24189" t="inlineStr">
        <is>
          <t>Shower Gel</t>
        </is>
      </c>
      <c r="D24189" t="inlineStr">
        <is>
          <t>Clarins</t>
        </is>
      </c>
      <c r="E24189" t="n">
        <v>18.07</v>
      </c>
      <c r="F24189" t="n">
        <v>1</v>
      </c>
      <c r="G24189" t="n">
        <v>5</v>
      </c>
      <c r="H24189" s="5">
        <f>HYPERLINK("https://api.qogita.com/variants/link/3666057044564/", "View Product")</f>
        <v/>
      </c>
    </row>
    <row r="24190">
      <c r="A24190" t="inlineStr">
        <is>
          <t>3666057051746</t>
        </is>
      </c>
      <c r="B24190" t="inlineStr">
        <is>
          <t>Clarins Ever Bronze Compact Powder 03 Deep 10 G</t>
        </is>
      </c>
      <c r="C24190" t="inlineStr">
        <is>
          <t>Powder</t>
        </is>
      </c>
      <c r="D24190" t="inlineStr">
        <is>
          <t>Clarins</t>
        </is>
      </c>
      <c r="E24190" t="n">
        <v>23.18</v>
      </c>
      <c r="F24190" t="n">
        <v>1</v>
      </c>
      <c r="G24190" t="n">
        <v>23</v>
      </c>
      <c r="H24190" s="5">
        <f>HYPERLINK("https://api.qogita.com/variants/link/3666057051746/", "View Product")</f>
        <v/>
      </c>
    </row>
    <row r="24191">
      <c r="A24191" t="inlineStr">
        <is>
          <t>3666057058004</t>
        </is>
      </c>
      <c r="B24191" t="inlineStr">
        <is>
          <t>Cleansing Essentials Set by Dárková</t>
        </is>
      </c>
      <c r="C24191" t="inlineStr">
        <is>
          <t>Facial Cleansing Sets</t>
        </is>
      </c>
      <c r="D24191" t="inlineStr">
        <is>
          <t>Clarins</t>
        </is>
      </c>
      <c r="E24191" t="n">
        <v>28.83</v>
      </c>
      <c r="F24191" t="n">
        <v>1</v>
      </c>
      <c r="G24191" t="n">
        <v>19</v>
      </c>
      <c r="H24191" s="5">
        <f>HYPERLINK("https://api.qogita.com/variants/link/3666057058004/", "View Product")</f>
        <v/>
      </c>
    </row>
    <row r="24192">
      <c r="A24192" t="inlineStr">
        <is>
          <t>3666057059889</t>
        </is>
      </c>
      <c r="B24192" t="inlineStr">
        <is>
          <t>Clarins Beauty Flash Balm 50ml A Balm That Eliminates Signs Of Fatigue</t>
        </is>
      </c>
      <c r="C24192" t="inlineStr">
        <is>
          <t>Face Cream</t>
        </is>
      </c>
      <c r="D24192" t="inlineStr">
        <is>
          <t>Clarins</t>
        </is>
      </c>
      <c r="E24192" t="n">
        <v>22.27</v>
      </c>
      <c r="F24192" t="n">
        <v>1</v>
      </c>
      <c r="G24192" t="n">
        <v>2</v>
      </c>
      <c r="H24192" s="5">
        <f>HYPERLINK("https://api.qogita.com/variants/link/3666057059889/", "View Product")</f>
        <v/>
      </c>
    </row>
    <row r="24193">
      <c r="A24193" t="inlineStr">
        <is>
          <t>3666057066948</t>
        </is>
      </c>
      <c r="B24193" t="inlineStr">
        <is>
          <t>Clarins Sos Lashes Serum Mascara Strengthening Eyelash Serum 8 Ml</t>
        </is>
      </c>
      <c r="C24193" t="inlineStr">
        <is>
          <t>Mascara</t>
        </is>
      </c>
      <c r="D24193" t="inlineStr">
        <is>
          <t>Clarins</t>
        </is>
      </c>
      <c r="E24193" t="n">
        <v>20.37</v>
      </c>
      <c r="F24193" t="n">
        <v>1</v>
      </c>
      <c r="G24193" t="n">
        <v>3</v>
      </c>
      <c r="H24193" s="5">
        <f>HYPERLINK("https://api.qogita.com/variants/link/3666057066948/", "View Product")</f>
        <v/>
      </c>
    </row>
    <row r="24194">
      <c r="A24194" t="inlineStr">
        <is>
          <t>3666057097980</t>
        </is>
      </c>
      <c r="B24194" t="inlineStr">
        <is>
          <t>Clarins Hydraessential Moisturizing Cream 50ml For Normal To Dry Skin</t>
        </is>
      </c>
      <c r="C24194" t="inlineStr">
        <is>
          <t>Face Cream</t>
        </is>
      </c>
      <c r="D24194" t="inlineStr">
        <is>
          <t>Clarins</t>
        </is>
      </c>
      <c r="E24194" t="n">
        <v>27.36</v>
      </c>
      <c r="F24194" t="n">
        <v>1</v>
      </c>
      <c r="G24194" t="n">
        <v>8</v>
      </c>
      <c r="H24194" s="5">
        <f>HYPERLINK("https://api.qogita.com/variants/link/3666057097980/", "View Product")</f>
        <v/>
      </c>
    </row>
    <row r="24195">
      <c r="A24195" t="inlineStr">
        <is>
          <t>3666057098024</t>
        </is>
      </c>
      <c r="B24195" t="inlineStr">
        <is>
          <t>Clarins Hydra Essentiel Rich Cream 50ml Hydrating Day Cream For Very Dry Skin</t>
        </is>
      </c>
      <c r="C24195" t="inlineStr">
        <is>
          <t>Day Cream</t>
        </is>
      </c>
      <c r="D24195" t="inlineStr">
        <is>
          <t>Clarins</t>
        </is>
      </c>
      <c r="E24195" t="n">
        <v>27.36</v>
      </c>
      <c r="F24195" t="n">
        <v>1</v>
      </c>
      <c r="G24195" t="n">
        <v>5</v>
      </c>
      <c r="H24195" s="5">
        <f>HYPERLINK("https://api.qogita.com/variants/link/3666057098024/", "View Product")</f>
        <v/>
      </c>
    </row>
    <row r="24196">
      <c r="A24196" t="inlineStr">
        <is>
          <t>3666057101960</t>
        </is>
      </c>
      <c r="B24196" t="inlineStr">
        <is>
          <t>Clarins Men Shave Beard Oil 30ml Perfect For Beard Care And Shaving</t>
        </is>
      </c>
      <c r="C24196" t="inlineStr">
        <is>
          <t>Beard Care Sets</t>
        </is>
      </c>
      <c r="D24196" t="inlineStr">
        <is>
          <t>Clarins</t>
        </is>
      </c>
      <c r="E24196" t="n">
        <v>22.89</v>
      </c>
      <c r="F24196" t="n">
        <v>1</v>
      </c>
      <c r="G24196" t="n">
        <v>11</v>
      </c>
      <c r="H24196" s="5">
        <f>HYPERLINK("https://api.qogita.com/variants/link/3666057101960/", "View Product")</f>
        <v/>
      </c>
    </row>
    <row r="24197">
      <c r="A24197" t="inlineStr">
        <is>
          <t>3666057106965</t>
        </is>
      </c>
      <c r="B24197" t="inlineStr">
        <is>
          <t>Clarins Double Serum Face Treatment 1.6 Fl Oz 50ml</t>
        </is>
      </c>
      <c r="C24197" t="inlineStr">
        <is>
          <t>Anti-Aging Serum</t>
        </is>
      </c>
      <c r="D24197" t="inlineStr">
        <is>
          <t>Clarins</t>
        </is>
      </c>
      <c r="E24197" t="n">
        <v>65.81999999999999</v>
      </c>
      <c r="F24197" t="n">
        <v>1</v>
      </c>
      <c r="G24197" t="n">
        <v>5</v>
      </c>
      <c r="H24197" s="5">
        <f>HYPERLINK("https://api.qogita.com/variants/link/3666057106965/", "View Product")</f>
        <v/>
      </c>
    </row>
    <row r="24198">
      <c r="A24198" t="inlineStr">
        <is>
          <t>3666057108570</t>
        </is>
      </c>
      <c r="B24198" t="inlineStr">
        <is>
          <t>Clarins Masvelt Advanced Body Shaping Cream 200ml</t>
        </is>
      </c>
      <c r="C24198" t="inlineStr">
        <is>
          <t>Anti-Cellulite</t>
        </is>
      </c>
      <c r="D24198" t="inlineStr">
        <is>
          <t>Clarins</t>
        </is>
      </c>
      <c r="E24198" t="n">
        <v>30.53</v>
      </c>
      <c r="F24198" t="n">
        <v>1</v>
      </c>
      <c r="G24198" t="n">
        <v>8</v>
      </c>
      <c r="H24198" s="5">
        <f>HYPERLINK("https://api.qogita.com/variants/link/3666057108570/", "View Product")</f>
        <v/>
      </c>
    </row>
    <row r="24199">
      <c r="A24199" t="inlineStr">
        <is>
          <t>3666057117008</t>
        </is>
      </c>
      <c r="B24199" t="inlineStr">
        <is>
          <t>Clarins Joli Rouge Lipstick 35 G</t>
        </is>
      </c>
      <c r="C24199" t="inlineStr">
        <is>
          <t>Lipstick</t>
        </is>
      </c>
      <c r="D24199" t="inlineStr">
        <is>
          <t>Clarins</t>
        </is>
      </c>
      <c r="E24199" t="n">
        <v>17.22</v>
      </c>
      <c r="F24199" t="n">
        <v>1</v>
      </c>
      <c r="G24199" t="n">
        <v>10</v>
      </c>
      <c r="H24199" s="5">
        <f>HYPERLINK("https://api.qogita.com/variants/link/3666057117008/", "View Product")</f>
        <v/>
      </c>
    </row>
    <row r="24200">
      <c r="A24200" t="inlineStr">
        <is>
          <t>3666057117084</t>
        </is>
      </c>
      <c r="B24200" t="inlineStr">
        <is>
          <t>Clarins Joli Rouge Lipstick 744 Soft Plum 35 G</t>
        </is>
      </c>
      <c r="C24200" t="inlineStr">
        <is>
          <t>Lipstick</t>
        </is>
      </c>
      <c r="D24200" t="inlineStr">
        <is>
          <t>Clarins</t>
        </is>
      </c>
      <c r="E24200" t="n">
        <v>17.42</v>
      </c>
      <c r="F24200" t="n">
        <v>1</v>
      </c>
      <c r="G24200" t="n">
        <v>11</v>
      </c>
      <c r="H24200" s="5">
        <f>HYPERLINK("https://api.qogita.com/variants/link/3666057117084/", "View Product")</f>
        <v/>
      </c>
    </row>
    <row r="24201">
      <c r="A24201" t="inlineStr">
        <is>
          <t>3666057117138</t>
        </is>
      </c>
      <c r="B24201" t="inlineStr">
        <is>
          <t>Clarins Joli Rouge 774 Pink Blossom 3.5g</t>
        </is>
      </c>
      <c r="C24201" t="inlineStr">
        <is>
          <t>Lipstick</t>
        </is>
      </c>
      <c r="D24201" t="inlineStr">
        <is>
          <t>Clarins</t>
        </is>
      </c>
      <c r="E24201" t="n">
        <v>18.56</v>
      </c>
      <c r="F24201" t="n">
        <v>1</v>
      </c>
      <c r="G24201" t="n">
        <v>8</v>
      </c>
      <c r="H24201" s="5">
        <f>HYPERLINK("https://api.qogita.com/variants/link/3666057117138/", "View Product")</f>
        <v/>
      </c>
    </row>
    <row r="24202">
      <c r="A24202" t="inlineStr">
        <is>
          <t>3666057117145</t>
        </is>
      </c>
      <c r="B24202" t="inlineStr">
        <is>
          <t>Clarins Joli Rouge Lipstick 775 Pink Petunia 35g</t>
        </is>
      </c>
      <c r="C24202" t="inlineStr">
        <is>
          <t>Lipstick</t>
        </is>
      </c>
      <c r="D24202" t="inlineStr">
        <is>
          <t>Clarins</t>
        </is>
      </c>
      <c r="E24202" t="n">
        <v>19.33</v>
      </c>
      <c r="F24202" t="n">
        <v>1</v>
      </c>
      <c r="G24202" t="n">
        <v>2</v>
      </c>
      <c r="H24202" s="5">
        <f>HYPERLINK("https://api.qogita.com/variants/link/3666057117145/", "View Product")</f>
        <v/>
      </c>
    </row>
    <row r="24203">
      <c r="A24203" t="inlineStr">
        <is>
          <t>3666057117176</t>
        </is>
      </c>
      <c r="B24203" t="inlineStr">
        <is>
          <t>Clarins Joli Rouge 723 Raspberry Rechargeable Lipstick</t>
        </is>
      </c>
      <c r="C24203" t="inlineStr">
        <is>
          <t>Lipstick</t>
        </is>
      </c>
      <c r="D24203" t="inlineStr">
        <is>
          <t>Clarins</t>
        </is>
      </c>
      <c r="E24203" t="n">
        <v>25.54</v>
      </c>
      <c r="F24203" t="n">
        <v>1</v>
      </c>
      <c r="G24203" t="n">
        <v>11</v>
      </c>
      <c r="H24203" s="5">
        <f>HYPERLINK("https://api.qogita.com/variants/link/3666057117176/", "View Product")</f>
        <v/>
      </c>
    </row>
    <row r="24204">
      <c r="A24204" t="inlineStr">
        <is>
          <t>3666057117268</t>
        </is>
      </c>
      <c r="B24204" t="inlineStr">
        <is>
          <t>Clarins Joli Rouge Shine Lipstick 705s Soft Berry 35g Glossy Lipstick</t>
        </is>
      </c>
      <c r="C24204" t="inlineStr">
        <is>
          <t>Lipstick</t>
        </is>
      </c>
      <c r="D24204" t="inlineStr">
        <is>
          <t>Clarins</t>
        </is>
      </c>
      <c r="E24204" t="n">
        <v>18.15</v>
      </c>
      <c r="F24204" t="n">
        <v>1</v>
      </c>
      <c r="G24204" t="n">
        <v>5</v>
      </c>
      <c r="H24204" s="5">
        <f>HYPERLINK("https://api.qogita.com/variants/link/3666057117268/", "View Product")</f>
        <v/>
      </c>
    </row>
    <row r="24205">
      <c r="A24205" t="inlineStr">
        <is>
          <t>3666057117305</t>
        </is>
      </c>
      <c r="B24205" t="inlineStr">
        <is>
          <t>Clarins Joli Rouge Shine Lipstick 762s 35g</t>
        </is>
      </c>
      <c r="C24205" t="inlineStr">
        <is>
          <t>Lipstick</t>
        </is>
      </c>
      <c r="D24205" t="inlineStr">
        <is>
          <t>Clarins</t>
        </is>
      </c>
      <c r="E24205" t="n">
        <v>21.94</v>
      </c>
      <c r="F24205" t="n">
        <v>1</v>
      </c>
      <c r="G24205" t="n">
        <v>11</v>
      </c>
      <c r="H24205" s="5">
        <f>HYPERLINK("https://api.qogita.com/variants/link/3666057117305/", "View Product")</f>
        <v/>
      </c>
    </row>
    <row r="24206">
      <c r="A24206" t="inlineStr">
        <is>
          <t>3666057125294</t>
        </is>
      </c>
      <c r="B24206" t="inlineStr">
        <is>
          <t>Clarins Men Smooth Shave Foaming Gel 150ml</t>
        </is>
      </c>
      <c r="C24206" t="inlineStr">
        <is>
          <t>Shaving</t>
        </is>
      </c>
      <c r="D24206" t="inlineStr">
        <is>
          <t>Clarins</t>
        </is>
      </c>
      <c r="E24206" t="n">
        <v>17.55</v>
      </c>
      <c r="F24206" t="n">
        <v>1</v>
      </c>
      <c r="G24206" t="n">
        <v>3</v>
      </c>
      <c r="H24206" s="5">
        <f>HYPERLINK("https://api.qogita.com/variants/link/3666057125294/", "View Product")</f>
        <v/>
      </c>
    </row>
    <row r="24207">
      <c r="A24207" t="inlineStr">
        <is>
          <t>3666057127854</t>
        </is>
      </c>
      <c r="B24207" t="inlineStr">
        <is>
          <t>Clarins Sun After Refreshing Gel 150ml</t>
        </is>
      </c>
      <c r="C24207" t="inlineStr">
        <is>
          <t>Aftersun</t>
        </is>
      </c>
      <c r="D24207" t="inlineStr">
        <is>
          <t>Clarins</t>
        </is>
      </c>
      <c r="E24207" t="n">
        <v>19.69</v>
      </c>
      <c r="F24207" t="n">
        <v>1</v>
      </c>
      <c r="G24207" t="n">
        <v>7</v>
      </c>
      <c r="H24207" s="5">
        <f>HYPERLINK("https://api.qogita.com/variants/link/3666057127854/", "View Product")</f>
        <v/>
      </c>
    </row>
    <row r="24208">
      <c r="A24208" t="inlineStr">
        <is>
          <t>3666057128837</t>
        </is>
      </c>
      <c r="B24208" t="inlineStr">
        <is>
          <t>Clarins Sos Comfort Nourishing Balm Sos Mask 75ml</t>
        </is>
      </c>
      <c r="C24208" t="inlineStr">
        <is>
          <t>Hydrating Mask</t>
        </is>
      </c>
      <c r="D24208" t="inlineStr">
        <is>
          <t>Clarins</t>
        </is>
      </c>
      <c r="E24208" t="n">
        <v>22.3</v>
      </c>
      <c r="F24208" t="n">
        <v>1</v>
      </c>
      <c r="G24208" t="n">
        <v>2</v>
      </c>
      <c r="H24208" s="5">
        <f>HYPERLINK("https://api.qogita.com/variants/link/3666057128837/", "View Product")</f>
        <v/>
      </c>
    </row>
    <row r="24209">
      <c r="A24209" t="inlineStr">
        <is>
          <t>3666057136290</t>
        </is>
      </c>
      <c r="B24209" t="inlineStr">
        <is>
          <t>Clarins Fresh Scrub Award-Winning Refreshing Cream-Gel Face Scrub</t>
        </is>
      </c>
      <c r="C24209" t="inlineStr">
        <is>
          <t>Facial Scrub &amp; Peeling</t>
        </is>
      </c>
      <c r="D24209" t="inlineStr">
        <is>
          <t>Clarins</t>
        </is>
      </c>
      <c r="E24209" t="n">
        <v>18.42</v>
      </c>
      <c r="F24209" t="n">
        <v>1</v>
      </c>
      <c r="G24209" t="n">
        <v>3</v>
      </c>
      <c r="H24209" s="5">
        <f>HYPERLINK("https://api.qogita.com/variants/link/3666057136290/", "View Product")</f>
        <v/>
      </c>
    </row>
    <row r="24210">
      <c r="A24210" t="inlineStr">
        <is>
          <t>3666057143779</t>
        </is>
      </c>
      <c r="B24210" t="inlineStr">
        <is>
          <t>Eau Dynamisante Set - Clarins Gift Set</t>
        </is>
      </c>
      <c r="C24210" t="inlineStr">
        <is>
          <t>Fragrance Sets</t>
        </is>
      </c>
      <c r="D24210" t="inlineStr">
        <is>
          <t>Clarins</t>
        </is>
      </c>
      <c r="E24210" t="n">
        <v>34.77</v>
      </c>
      <c r="F24210" t="n">
        <v>1</v>
      </c>
      <c r="G24210" t="n">
        <v>5</v>
      </c>
      <c r="H24210" s="5">
        <f>HYPERLINK("https://api.qogita.com/variants/link/3666057143779/", "View Product")</f>
        <v/>
      </c>
    </row>
    <row r="24211">
      <c r="A24211" t="inlineStr">
        <is>
          <t>3666057144479</t>
        </is>
      </c>
      <c r="B24211" t="inlineStr">
        <is>
          <t>Nutri-Lumière Set skin care gift set</t>
        </is>
      </c>
      <c r="C24211" t="inlineStr">
        <is>
          <t>Facial Care Sets</t>
        </is>
      </c>
      <c r="D24211" t="inlineStr">
        <is>
          <t>Clarins</t>
        </is>
      </c>
      <c r="E24211" t="n">
        <v>118.96</v>
      </c>
      <c r="F24211" t="n">
        <v>1</v>
      </c>
      <c r="G24211" t="n">
        <v>2</v>
      </c>
      <c r="H24211" s="5">
        <f>HYPERLINK("https://api.qogita.com/variants/link/3666057144479/", "View Product")</f>
        <v/>
      </c>
    </row>
    <row r="24212">
      <c r="A24212" t="inlineStr">
        <is>
          <t>3666057151767</t>
        </is>
      </c>
      <c r="B24212" t="inlineStr">
        <is>
          <t>Body Care Gift Set Kit Idratazione Corpo</t>
        </is>
      </c>
      <c r="C24212" t="inlineStr">
        <is>
          <t>Body Care Sets</t>
        </is>
      </c>
      <c r="D24212" t="inlineStr">
        <is>
          <t>Clarins</t>
        </is>
      </c>
      <c r="E24212" t="n">
        <v>33.56</v>
      </c>
      <c r="F24212" t="n">
        <v>1</v>
      </c>
      <c r="G24212" t="n">
        <v>22</v>
      </c>
      <c r="H24212" s="5">
        <f>HYPERLINK("https://api.qogita.com/variants/link/3666057151767/", "View Product")</f>
        <v/>
      </c>
    </row>
    <row r="24213">
      <c r="A24213" t="inlineStr">
        <is>
          <t>3666057177606</t>
        </is>
      </c>
      <c r="B24213" t="inlineStr">
        <is>
          <t>Clarins Multi Active Day Cream 50ml For All Skin Types</t>
        </is>
      </c>
      <c r="C24213" t="inlineStr">
        <is>
          <t>Day Cream</t>
        </is>
      </c>
      <c r="D24213" t="inlineStr">
        <is>
          <t>Clarins</t>
        </is>
      </c>
      <c r="E24213" t="n">
        <v>33.34</v>
      </c>
      <c r="F24213" t="n">
        <v>1</v>
      </c>
      <c r="G24213" t="n">
        <v>2</v>
      </c>
      <c r="H24213" s="5">
        <f>HYPERLINK("https://api.qogita.com/variants/link/3666057177606/", "View Product")</f>
        <v/>
      </c>
    </row>
    <row r="24214">
      <c r="A24214" t="inlineStr">
        <is>
          <t>3666057177651</t>
        </is>
      </c>
      <c r="B24214" t="inlineStr">
        <is>
          <t>Clarins Multiactive Night Cream 50ml For All Skin Types</t>
        </is>
      </c>
      <c r="C24214" t="inlineStr">
        <is>
          <t>Night Cream</t>
        </is>
      </c>
      <c r="D24214" t="inlineStr">
        <is>
          <t>Clarins</t>
        </is>
      </c>
      <c r="E24214" t="n">
        <v>36.75</v>
      </c>
      <c r="F24214" t="n">
        <v>1</v>
      </c>
      <c r="G24214" t="n">
        <v>4</v>
      </c>
      <c r="H24214" s="5">
        <f>HYPERLINK("https://api.qogita.com/variants/link/3666057177651/", "View Product")</f>
        <v/>
      </c>
    </row>
    <row r="24215">
      <c r="A24215" t="inlineStr">
        <is>
          <t>3666057177668</t>
        </is>
      </c>
      <c r="B24215" t="inlineStr">
        <is>
          <t>Clarins Multiactive Night Cream For Dry Skin 50ml</t>
        </is>
      </c>
      <c r="C24215" t="inlineStr">
        <is>
          <t>Night Cream</t>
        </is>
      </c>
      <c r="D24215" t="inlineStr">
        <is>
          <t>Clarins</t>
        </is>
      </c>
      <c r="E24215" t="n">
        <v>36.75</v>
      </c>
      <c r="F24215" t="n">
        <v>1</v>
      </c>
      <c r="G24215" t="n">
        <v>4</v>
      </c>
      <c r="H24215" s="5">
        <f>HYPERLINK("https://api.qogita.com/variants/link/3666057177668/", "View Product")</f>
        <v/>
      </c>
    </row>
    <row r="24216">
      <c r="A24216" t="inlineStr">
        <is>
          <t>3666057180392</t>
        </is>
      </c>
      <c r="B24216" t="inlineStr">
        <is>
          <t>Clarins Hand And Nail Treatment Duo Set</t>
        </is>
      </c>
      <c r="C24216" t="inlineStr">
        <is>
          <t>Hand Care Sets</t>
        </is>
      </c>
      <c r="D24216" t="inlineStr">
        <is>
          <t>Clarins</t>
        </is>
      </c>
      <c r="E24216" t="n">
        <v>30.19</v>
      </c>
      <c r="F24216" t="n">
        <v>1</v>
      </c>
      <c r="G24216" t="n">
        <v>14</v>
      </c>
      <c r="H24216" s="5">
        <f>HYPERLINK("https://api.qogita.com/variants/link/3666057180392/", "View Product")</f>
        <v/>
      </c>
    </row>
    <row r="24217">
      <c r="A24217" t="inlineStr">
        <is>
          <t>3666057194610</t>
        </is>
      </c>
      <c r="B24217" t="inlineStr">
        <is>
          <t>Clarins Nutri-Lumière Day Cream Anti-Aging Treatment Gift Set</t>
        </is>
      </c>
      <c r="C24217" t="inlineStr">
        <is>
          <t>Facial Care Sets</t>
        </is>
      </c>
      <c r="D24217" t="inlineStr">
        <is>
          <t>Clarins</t>
        </is>
      </c>
      <c r="E24217" t="n">
        <v>108.03</v>
      </c>
      <c r="F24217" t="n">
        <v>1</v>
      </c>
      <c r="G24217" t="n">
        <v>6</v>
      </c>
      <c r="H24217" s="5">
        <f>HYPERLINK("https://api.qogita.com/variants/link/3666057194610/", "View Product")</f>
        <v/>
      </c>
    </row>
    <row r="24218">
      <c r="A24218" t="inlineStr">
        <is>
          <t>3666057195198</t>
        </is>
      </c>
      <c r="B24218" t="inlineStr">
        <is>
          <t>Clarins Beauty Flash Fresh Ampoule Brightening Skin Treatment With Vitamin C 8 Ml</t>
        </is>
      </c>
      <c r="C24218" t="inlineStr">
        <is>
          <t>Vitamin Serum</t>
        </is>
      </c>
      <c r="D24218" t="inlineStr">
        <is>
          <t>Clarins</t>
        </is>
      </c>
      <c r="E24218" t="n">
        <v>21.88</v>
      </c>
      <c r="F24218" t="n">
        <v>1</v>
      </c>
      <c r="G24218" t="n">
        <v>5</v>
      </c>
      <c r="H24218" s="5">
        <f>HYPERLINK("https://api.qogita.com/variants/link/3666057195198/", "View Product")</f>
        <v/>
      </c>
    </row>
    <row r="24219">
      <c r="A24219" t="inlineStr">
        <is>
          <t>3666057201158</t>
        </is>
      </c>
      <c r="B24219" t="inlineStr">
        <is>
          <t>Clarins Body Fit Active 200ml Smoothing Body Cream</t>
        </is>
      </c>
      <c r="C24219" t="inlineStr">
        <is>
          <t>Body Lotion</t>
        </is>
      </c>
      <c r="D24219" t="inlineStr">
        <is>
          <t>Clarins</t>
        </is>
      </c>
      <c r="E24219" t="n">
        <v>30.53</v>
      </c>
      <c r="F24219" t="n">
        <v>1</v>
      </c>
      <c r="G24219" t="n">
        <v>3</v>
      </c>
      <c r="H24219" s="5">
        <f>HYPERLINK("https://api.qogita.com/variants/link/3666057201158/", "View Product")</f>
        <v/>
      </c>
    </row>
    <row r="24220">
      <c r="A24220" t="inlineStr">
        <is>
          <t>3666057209345</t>
        </is>
      </c>
      <c r="B24220" t="inlineStr">
        <is>
          <t>CLARINS Eye Focus Eye Routine Gift Box</t>
        </is>
      </c>
      <c r="C24220" t="inlineStr">
        <is>
          <t>Eye Care Sets</t>
        </is>
      </c>
      <c r="D24220" t="inlineStr">
        <is>
          <t>Clarins</t>
        </is>
      </c>
      <c r="E24220" t="n">
        <v>67.25</v>
      </c>
      <c r="F24220" t="n">
        <v>1</v>
      </c>
      <c r="G24220" t="n">
        <v>2</v>
      </c>
      <c r="H24220" s="5">
        <f>HYPERLINK("https://api.qogita.com/variants/link/3666057209345/", "View Product")</f>
        <v/>
      </c>
    </row>
    <row r="24221">
      <c r="A24221" t="inlineStr">
        <is>
          <t>3666057210624</t>
        </is>
      </c>
      <c r="B24221" t="inlineStr">
        <is>
          <t>Clarins Double Serum Ritual Skincare Gift Set</t>
        </is>
      </c>
      <c r="C24221" t="inlineStr">
        <is>
          <t>Facial Care Sets</t>
        </is>
      </c>
      <c r="D24221" t="inlineStr">
        <is>
          <t>Clarins</t>
        </is>
      </c>
      <c r="E24221" t="n">
        <v>153.69</v>
      </c>
      <c r="F24221" t="n">
        <v>1</v>
      </c>
      <c r="G24221" t="n">
        <v>5</v>
      </c>
      <c r="H24221" s="5">
        <f>HYPERLINK("https://api.qogita.com/variants/link/3666057210624/", "View Product")</f>
        <v/>
      </c>
    </row>
    <row r="24222">
      <c r="A24222" t="inlineStr">
        <is>
          <t>3666057216701</t>
        </is>
      </c>
      <c r="B24222" t="inlineStr">
        <is>
          <t>Clarins Hydrating Toning Lotion 200ml Ideal For Normal To Dry Skin</t>
        </is>
      </c>
      <c r="C24222" t="inlineStr">
        <is>
          <t>Facial Spray</t>
        </is>
      </c>
      <c r="D24222" t="inlineStr">
        <is>
          <t>Clarins</t>
        </is>
      </c>
      <c r="E24222" t="n">
        <v>14.52</v>
      </c>
      <c r="F24222" t="n">
        <v>1</v>
      </c>
      <c r="G24222" t="n">
        <v>16</v>
      </c>
      <c r="H24222" s="5">
        <f>HYPERLINK("https://api.qogita.com/variants/link/3666057216701/", "View Product")</f>
        <v/>
      </c>
    </row>
    <row r="24223">
      <c r="A24223" t="inlineStr">
        <is>
          <t>3666057216886</t>
        </is>
      </c>
      <c r="B24223" t="inlineStr">
        <is>
          <t>Clarins Cleansing Micellar Water 200ml Gentle Cleanser For All Skin Types</t>
        </is>
      </c>
      <c r="C24223" t="inlineStr">
        <is>
          <t>Micellar Water</t>
        </is>
      </c>
      <c r="D24223" t="inlineStr">
        <is>
          <t>Clarins</t>
        </is>
      </c>
      <c r="E24223" t="n">
        <v>14.01</v>
      </c>
      <c r="F24223" t="n">
        <v>1</v>
      </c>
      <c r="G24223" t="n">
        <v>22</v>
      </c>
      <c r="H24223" s="5">
        <f>HYPERLINK("https://api.qogita.com/variants/link/3666057216886/", "View Product")</f>
        <v/>
      </c>
    </row>
    <row r="24224">
      <c r="A24224" t="inlineStr">
        <is>
          <t>3666057217357</t>
        </is>
      </c>
      <c r="B24224" t="inlineStr">
        <is>
          <t>Clarins Glowing Sun Oil High Protection Body And Hair Spf 30 150 Ml</t>
        </is>
      </c>
      <c r="C24224" t="inlineStr">
        <is>
          <t>Body Sun Protection</t>
        </is>
      </c>
      <c r="D24224" t="inlineStr">
        <is>
          <t>Clarins</t>
        </is>
      </c>
      <c r="E24224" t="n">
        <v>20.1</v>
      </c>
      <c r="F24224" t="n">
        <v>1</v>
      </c>
      <c r="G24224" t="n">
        <v>3</v>
      </c>
      <c r="H24224" s="5">
        <f>HYPERLINK("https://api.qogita.com/variants/link/3666057217357/", "View Product")</f>
        <v/>
      </c>
    </row>
    <row r="24225">
      <c r="A24225" t="inlineStr">
        <is>
          <t>3666057238512</t>
        </is>
      </c>
      <c r="B24225" t="inlineStr">
        <is>
          <t>Clarins Ombre Skin 07 Satin Mocha Eye Shadow</t>
        </is>
      </c>
      <c r="C24225" t="inlineStr">
        <is>
          <t>Eyeshadow</t>
        </is>
      </c>
      <c r="D24225" t="inlineStr">
        <is>
          <t>Clarins</t>
        </is>
      </c>
      <c r="E24225" t="n">
        <v>13.77</v>
      </c>
      <c r="F24225" t="n">
        <v>1</v>
      </c>
      <c r="G24225" t="n">
        <v>7</v>
      </c>
      <c r="H24225" s="5">
        <f>HYPERLINK("https://api.qogita.com/variants/link/3666057238512/", "View Product")</f>
        <v/>
      </c>
    </row>
    <row r="24226">
      <c r="A24226" t="inlineStr">
        <is>
          <t>3666057241390</t>
        </is>
      </c>
      <c r="B24226" t="inlineStr">
        <is>
          <t>Clarins Skin Illusion Full Coverage Foundation 30ml Hydrating Makeup</t>
        </is>
      </c>
      <c r="C24226" t="inlineStr">
        <is>
          <t>Foundation</t>
        </is>
      </c>
      <c r="D24226" t="inlineStr">
        <is>
          <t>Clarins</t>
        </is>
      </c>
      <c r="E24226" t="n">
        <v>39.94</v>
      </c>
      <c r="F24226" t="n">
        <v>1</v>
      </c>
      <c r="G24226" t="n">
        <v>5</v>
      </c>
      <c r="H24226" s="5">
        <f>HYPERLINK("https://api.qogita.com/variants/link/3666057241390/", "View Product")</f>
        <v/>
      </c>
    </row>
    <row r="24227">
      <c r="A24227" t="inlineStr">
        <is>
          <t>3666057241468</t>
        </is>
      </c>
      <c r="B24227" t="inlineStr">
        <is>
          <t>Clarins Skin Illusion Full Coverage 111n 30ml</t>
        </is>
      </c>
      <c r="C24227" t="inlineStr">
        <is>
          <t>Foundation</t>
        </is>
      </c>
      <c r="D24227" t="inlineStr">
        <is>
          <t>Clarins</t>
        </is>
      </c>
      <c r="E24227" t="n">
        <v>35.26</v>
      </c>
      <c r="F24227" t="n">
        <v>1</v>
      </c>
      <c r="G24227" t="n">
        <v>10</v>
      </c>
      <c r="H24227" s="5">
        <f>HYPERLINK("https://api.qogita.com/variants/link/3666057241468/", "View Product")</f>
        <v/>
      </c>
    </row>
    <row r="24228">
      <c r="A24228" t="inlineStr">
        <is>
          <t>3666057241475</t>
        </is>
      </c>
      <c r="B24228" t="inlineStr">
        <is>
          <t>Clarins Skin Illusion Full Coverage 30ml 112c</t>
        </is>
      </c>
      <c r="C24228" t="inlineStr">
        <is>
          <t>Foundation</t>
        </is>
      </c>
      <c r="D24228" t="inlineStr">
        <is>
          <t>Clarins</t>
        </is>
      </c>
      <c r="E24228" t="n">
        <v>39.94</v>
      </c>
      <c r="F24228" t="n">
        <v>1</v>
      </c>
      <c r="G24228" t="n">
        <v>2</v>
      </c>
      <c r="H24228" s="5">
        <f>HYPERLINK("https://api.qogita.com/variants/link/3666057241475/", "View Product")</f>
        <v/>
      </c>
    </row>
    <row r="24229">
      <c r="A24229" t="inlineStr">
        <is>
          <t>3666057241482</t>
        </is>
      </c>
      <c r="B24229" t="inlineStr">
        <is>
          <t>Clarins Skin Illusion Full Coverage 30ml</t>
        </is>
      </c>
      <c r="C24229" t="inlineStr">
        <is>
          <t>Tinted Day Cream</t>
        </is>
      </c>
      <c r="D24229" t="inlineStr">
        <is>
          <t>Clarins</t>
        </is>
      </c>
      <c r="E24229" t="n">
        <v>39.94</v>
      </c>
      <c r="F24229" t="n">
        <v>1</v>
      </c>
      <c r="G24229" t="n">
        <v>3</v>
      </c>
      <c r="H24229" s="5">
        <f>HYPERLINK("https://api.qogita.com/variants/link/3666057241482/", "View Product")</f>
        <v/>
      </c>
    </row>
    <row r="24230">
      <c r="A24230" t="inlineStr">
        <is>
          <t>3666057264771</t>
        </is>
      </c>
      <c r="B24230" t="inlineStr">
        <is>
          <t>Clarinsmen Exfoliating Cleanser By Clarins</t>
        </is>
      </c>
      <c r="C24230" t="inlineStr">
        <is>
          <t>Facial Scrub &amp; Peeling</t>
        </is>
      </c>
      <c r="D24230" t="inlineStr">
        <is>
          <t>Clarins</t>
        </is>
      </c>
      <c r="E24230" t="n">
        <v>18.02</v>
      </c>
      <c r="F24230" t="n">
        <v>1</v>
      </c>
      <c r="G24230" t="n">
        <v>10</v>
      </c>
      <c r="H24230" s="5">
        <f>HYPERLINK("https://api.qogita.com/variants/link/3666057264771/", "View Product")</f>
        <v/>
      </c>
    </row>
    <row r="24231">
      <c r="A24231" t="inlineStr">
        <is>
          <t>3666057266850</t>
        </is>
      </c>
      <c r="B24231" t="inlineStr">
        <is>
          <t>Clarins Lip Comfort Oil Collection Gift Set - 2 X 7 Ml</t>
        </is>
      </c>
      <c r="C24231" t="inlineStr">
        <is>
          <t>Lip Sets</t>
        </is>
      </c>
      <c r="D24231" t="inlineStr">
        <is>
          <t>Clarins</t>
        </is>
      </c>
      <c r="E24231" t="n">
        <v>39.85</v>
      </c>
      <c r="F24231" t="n">
        <v>1</v>
      </c>
      <c r="G24231" t="n">
        <v>17</v>
      </c>
      <c r="H24231" s="5">
        <f>HYPERLINK("https://api.qogita.com/variants/link/3666057266850/", "View Product")</f>
        <v/>
      </c>
    </row>
    <row r="24232">
      <c r="A24232" t="inlineStr">
        <is>
          <t>3666057273575</t>
        </is>
      </c>
      <c r="B24232" t="inlineStr">
        <is>
          <t>Clarins Purple Gentle Radiance Scrub 50 Ml Gentle Skin Peeling Reveal</t>
        </is>
      </c>
      <c r="C24232" t="inlineStr">
        <is>
          <t>Facial Scrub &amp; Peeling</t>
        </is>
      </c>
      <c r="D24232" t="inlineStr">
        <is>
          <t>Clarins</t>
        </is>
      </c>
      <c r="E24232" t="n">
        <v>16.59</v>
      </c>
      <c r="F24232" t="n">
        <v>1</v>
      </c>
      <c r="G24232" t="n">
        <v>4</v>
      </c>
      <c r="H24232" s="5">
        <f>HYPERLINK("https://api.qogita.com/variants/link/3666057273575/", "View Product")</f>
        <v/>
      </c>
    </row>
    <row r="24233">
      <c r="A24233" t="inlineStr">
        <is>
          <t>3666057288142</t>
        </is>
      </c>
      <c r="B24233" t="inlineStr">
        <is>
          <t>Clarins Youth Sun Cream Very High Protection Spf 50 Body</t>
        </is>
      </c>
      <c r="C24233" t="inlineStr">
        <is>
          <t>Body Sun Protection</t>
        </is>
      </c>
      <c r="D24233" t="inlineStr">
        <is>
          <t>Clarins</t>
        </is>
      </c>
      <c r="E24233" t="n">
        <v>20.26</v>
      </c>
      <c r="F24233" t="n">
        <v>1</v>
      </c>
      <c r="G24233" t="n">
        <v>4</v>
      </c>
      <c r="H24233" s="5">
        <f>HYPERLINK("https://api.qogita.com/variants/link/3666057288142/", "View Product")</f>
        <v/>
      </c>
    </row>
    <row r="24234">
      <c r="A24234" t="inlineStr">
        <is>
          <t>3666057297427</t>
        </is>
      </c>
      <c r="B24234" t="inlineStr">
        <is>
          <t>Clarins Nutrilumiere Collection Set Skin Care Gift Set</t>
        </is>
      </c>
      <c r="C24234" t="inlineStr">
        <is>
          <t>Face</t>
        </is>
      </c>
      <c r="D24234" t="inlineStr">
        <is>
          <t>Clarins</t>
        </is>
      </c>
      <c r="E24234" t="n">
        <v>107.78</v>
      </c>
      <c r="F24234" t="n">
        <v>1</v>
      </c>
      <c r="G24234" t="n">
        <v>5</v>
      </c>
      <c r="H24234" s="5">
        <f>HYPERLINK("https://api.qogita.com/variants/link/3666057297427/", "View Product")</f>
        <v/>
      </c>
    </row>
    <row r="24235">
      <c r="A24235" t="inlineStr">
        <is>
          <t>3666057297434</t>
        </is>
      </c>
      <c r="B24235" t="inlineStr">
        <is>
          <t>Clarins Double Serum &amp; Nutri-Lumiere Collection Gift Set</t>
        </is>
      </c>
      <c r="C24235" t="inlineStr">
        <is>
          <t>Facial Care Sets</t>
        </is>
      </c>
      <c r="D24235" t="inlineStr">
        <is>
          <t>Clarins</t>
        </is>
      </c>
      <c r="E24235" t="n">
        <v>106.46</v>
      </c>
      <c r="F24235" t="n">
        <v>1</v>
      </c>
      <c r="G24235" t="n">
        <v>18</v>
      </c>
      <c r="H24235" s="5">
        <f>HYPERLINK("https://api.qogita.com/variants/link/3666057297434/", "View Product")</f>
        <v/>
      </c>
    </row>
    <row r="24236">
      <c r="A24236" t="inlineStr">
        <is>
          <t>3666057297441</t>
        </is>
      </c>
      <c r="B24236" t="inlineStr">
        <is>
          <t>Clarins Double Serum Set 50ml Serum 15ml Lip Balm Miniature Lipstick No 01</t>
        </is>
      </c>
      <c r="C24236" t="inlineStr">
        <is>
          <t>Facial Care Sets</t>
        </is>
      </c>
      <c r="D24236" t="inlineStr">
        <is>
          <t>Clarins</t>
        </is>
      </c>
      <c r="E24236" t="n">
        <v>94.27</v>
      </c>
      <c r="F24236" t="n">
        <v>1</v>
      </c>
      <c r="G24236" t="n">
        <v>29</v>
      </c>
      <c r="H24236" s="5">
        <f>HYPERLINK("https://api.qogita.com/variants/link/3666057297441/", "View Product")</f>
        <v/>
      </c>
    </row>
    <row r="24237">
      <c r="A24237" t="inlineStr">
        <is>
          <t>3666057297618</t>
        </is>
      </c>
      <c r="B24237" t="inlineStr">
        <is>
          <t>Clarins Wonder Perfect 4d Set</t>
        </is>
      </c>
      <c r="C24237" t="inlineStr">
        <is>
          <t>Facial Care Sets</t>
        </is>
      </c>
      <c r="D24237" t="inlineStr">
        <is>
          <t>Clarins</t>
        </is>
      </c>
      <c r="E24237" t="n">
        <v>49.31</v>
      </c>
      <c r="F24237" t="n">
        <v>1</v>
      </c>
      <c r="G24237" t="n">
        <v>12</v>
      </c>
      <c r="H24237" s="5">
        <f>HYPERLINK("https://api.qogita.com/variants/link/3666057297618/", "View Product")</f>
        <v/>
      </c>
    </row>
    <row r="24238">
      <c r="A24238" t="inlineStr">
        <is>
          <t>3666057297656</t>
        </is>
      </c>
      <c r="B24238" t="inlineStr">
        <is>
          <t>Clarins Lip Comfort Oil Radiant Lips Collection Gift Set Of Lip Oils</t>
        </is>
      </c>
      <c r="C24238" t="inlineStr">
        <is>
          <t>Lip Sets</t>
        </is>
      </c>
      <c r="D24238" t="inlineStr">
        <is>
          <t>Clarins</t>
        </is>
      </c>
      <c r="E24238" t="n">
        <v>75.88</v>
      </c>
      <c r="F24238" t="n">
        <v>1</v>
      </c>
      <c r="G24238" t="n">
        <v>5</v>
      </c>
      <c r="H24238" s="5">
        <f>HYPERLINK("https://api.qogita.com/variants/link/3666057297656/", "View Product")</f>
        <v/>
      </c>
    </row>
    <row r="24239">
      <c r="A24239" t="inlineStr">
        <is>
          <t>3666057308024</t>
        </is>
      </c>
      <c r="B24239" t="inlineStr">
        <is>
          <t>Clarins Energizing Gel - 50ml</t>
        </is>
      </c>
      <c r="C24239" t="inlineStr">
        <is>
          <t>Face Cream</t>
        </is>
      </c>
      <c r="D24239" t="inlineStr">
        <is>
          <t>Clarins</t>
        </is>
      </c>
      <c r="E24239" t="n">
        <v>30.26</v>
      </c>
      <c r="F24239" t="n">
        <v>1</v>
      </c>
      <c r="G24239" t="n">
        <v>48</v>
      </c>
      <c r="H24239" s="5">
        <f>HYPERLINK("https://api.qogita.com/variants/link/3666057308024/", "View Product")</f>
        <v/>
      </c>
    </row>
    <row r="24240">
      <c r="A24240" t="inlineStr">
        <is>
          <t>3666057327391</t>
        </is>
      </c>
      <c r="B24240" t="inlineStr">
        <is>
          <t>Clarins Visibly Firming Set</t>
        </is>
      </c>
      <c r="C24240" t="inlineStr">
        <is>
          <t>Face</t>
        </is>
      </c>
      <c r="D24240" t="inlineStr">
        <is>
          <t>Clarins</t>
        </is>
      </c>
      <c r="E24240" t="n">
        <v>101.64</v>
      </c>
      <c r="F24240" t="n">
        <v>1</v>
      </c>
      <c r="G24240" t="n">
        <v>21</v>
      </c>
      <c r="H24240" s="5">
        <f>HYPERLINK("https://api.qogita.com/variants/link/3666057327391/", "View Product")</f>
        <v/>
      </c>
    </row>
    <row r="24241">
      <c r="A24241" t="inlineStr">
        <is>
          <t>3666057327612</t>
        </is>
      </c>
      <c r="B24241" t="inlineStr">
        <is>
          <t>Clarins Clarins Supra Lift And Curl Mascara Set 3 Pieces</t>
        </is>
      </c>
      <c r="C24241" t="inlineStr">
        <is>
          <t>Mascara</t>
        </is>
      </c>
      <c r="D24241" t="inlineStr">
        <is>
          <t>Clarins</t>
        </is>
      </c>
      <c r="E24241" t="n">
        <v>31.16</v>
      </c>
      <c r="F24241" t="n">
        <v>1</v>
      </c>
      <c r="G24241" t="n">
        <v>14</v>
      </c>
      <c r="H24241" s="5">
        <f>HYPERLINK("https://api.qogita.com/variants/link/3666057327612/", "View Product")</f>
        <v/>
      </c>
    </row>
    <row r="24242">
      <c r="A24242" t="inlineStr">
        <is>
          <t>3666057332944</t>
        </is>
      </c>
      <c r="B24242" t="inlineStr">
        <is>
          <t>Clarins Wonder Volume Mascara Xxl Set 2 Pieces</t>
        </is>
      </c>
      <c r="C24242" t="inlineStr">
        <is>
          <t>Mascara</t>
        </is>
      </c>
      <c r="D24242" t="inlineStr">
        <is>
          <t>Clarins</t>
        </is>
      </c>
      <c r="E24242" t="n">
        <v>25.49</v>
      </c>
      <c r="F24242" t="n">
        <v>1</v>
      </c>
      <c r="G24242" t="n">
        <v>14</v>
      </c>
      <c r="H24242" s="5">
        <f>HYPERLINK("https://api.qogita.com/variants/link/3666057332944/", "View Product")</f>
        <v/>
      </c>
    </row>
    <row r="24243">
      <c r="A24243" t="inlineStr">
        <is>
          <t>3666057333323</t>
        </is>
      </c>
      <c r="B24243" t="inlineStr">
        <is>
          <t>Clarins Water Lip Stain - 7 Ml</t>
        </is>
      </c>
      <c r="C24243" t="inlineStr">
        <is>
          <t>Lip Gloss</t>
        </is>
      </c>
      <c r="D24243" t="inlineStr">
        <is>
          <t>Clarins</t>
        </is>
      </c>
      <c r="E24243" t="n">
        <v>24.52</v>
      </c>
      <c r="F24243" t="n">
        <v>1</v>
      </c>
      <c r="G24243" t="n">
        <v>8</v>
      </c>
      <c r="H24243" s="5">
        <f>HYPERLINK("https://api.qogita.com/variants/link/3666057333323/", "View Product")</f>
        <v/>
      </c>
    </row>
    <row r="24244">
      <c r="A24244" t="inlineStr">
        <is>
          <t>3666057333354</t>
        </is>
      </c>
      <c r="B24244" t="inlineStr">
        <is>
          <t>Clarins Water Lip Stain - 7 Ml</t>
        </is>
      </c>
      <c r="C24244" t="inlineStr">
        <is>
          <t>Lip Gloss</t>
        </is>
      </c>
      <c r="D24244" t="inlineStr">
        <is>
          <t>Clarins</t>
        </is>
      </c>
      <c r="E24244" t="n">
        <v>24.52</v>
      </c>
      <c r="F24244" t="n">
        <v>1</v>
      </c>
      <c r="G24244" t="n">
        <v>10</v>
      </c>
      <c r="H24244" s="5">
        <f>HYPERLINK("https://api.qogita.com/variants/link/3666057333354/", "View Product")</f>
        <v/>
      </c>
    </row>
    <row r="24245">
      <c r="A24245" t="inlineStr">
        <is>
          <t>3666057375545</t>
        </is>
      </c>
      <c r="B24245" t="inlineStr">
        <is>
          <t>Clarins Rituale Gommage Tonic Body Care Gift Set</t>
        </is>
      </c>
      <c r="C24245" t="inlineStr">
        <is>
          <t>Body Care Sets</t>
        </is>
      </c>
      <c r="D24245" t="inlineStr">
        <is>
          <t>Clarins</t>
        </is>
      </c>
      <c r="E24245" t="n">
        <v>30.55</v>
      </c>
      <c r="F24245" t="n">
        <v>1</v>
      </c>
      <c r="G24245" t="n">
        <v>5</v>
      </c>
      <c r="H24245" s="5">
        <f>HYPERLINK("https://api.qogita.com/variants/link/3666057375545/", "View Product")</f>
        <v/>
      </c>
    </row>
    <row r="24246">
      <c r="A24246" t="inlineStr">
        <is>
          <t>3666057375583</t>
        </is>
      </c>
      <c r="B24246" t="inlineStr">
        <is>
          <t>Clarins Look Occhi Xxl - Colour Cosmetics Set</t>
        </is>
      </c>
      <c r="C24246" t="inlineStr">
        <is>
          <t>Eye Sets &amp; Pallets</t>
        </is>
      </c>
      <c r="D24246" t="inlineStr">
        <is>
          <t>Clarins</t>
        </is>
      </c>
      <c r="E24246" t="n">
        <v>21.34</v>
      </c>
      <c r="F24246" t="n">
        <v>1</v>
      </c>
      <c r="G24246" t="n">
        <v>14</v>
      </c>
      <c r="H24246" s="5">
        <f>HYPERLINK("https://api.qogita.com/variants/link/3666057375583/", "View Product")</f>
        <v/>
      </c>
    </row>
    <row r="24247">
      <c r="A24247" t="inlineStr">
        <is>
          <t>3700076451412</t>
        </is>
      </c>
      <c r="B24247" t="inlineStr">
        <is>
          <t>By Terry Lip Expert Matte 16 Midnight Instint</t>
        </is>
      </c>
      <c r="C24247" t="inlineStr">
        <is>
          <t>Lipstick</t>
        </is>
      </c>
      <c r="D24247" t="inlineStr">
        <is>
          <t>By Terry</t>
        </is>
      </c>
      <c r="E24247" t="n">
        <v>3.9</v>
      </c>
      <c r="F24247" t="n">
        <v>1</v>
      </c>
      <c r="G24247" t="n">
        <v>4</v>
      </c>
      <c r="H24247" s="5">
        <f>HYPERLINK("https://api.qogita.com/variants/link/3700076451412/", "View Product")</f>
        <v/>
      </c>
    </row>
    <row r="24248">
      <c r="A24248" t="inlineStr">
        <is>
          <t>3700135003125</t>
        </is>
      </c>
      <c r="B24248" t="inlineStr">
        <is>
          <t>Frederic Malle Lipstick Rose Eau De Parfum Spray 100ml</t>
        </is>
      </c>
      <c r="C24248" t="inlineStr">
        <is>
          <t>Eau De Parfum</t>
        </is>
      </c>
      <c r="D24248" t="inlineStr">
        <is>
          <t>Frederic Malle</t>
        </is>
      </c>
      <c r="E24248" t="n">
        <v>212.26</v>
      </c>
      <c r="F24248" t="n">
        <v>1</v>
      </c>
      <c r="G24248" t="n">
        <v>2</v>
      </c>
      <c r="H24248" s="5">
        <f>HYPERLINK("https://api.qogita.com/variants/link/3700135003125/", "View Product")</f>
        <v/>
      </c>
    </row>
    <row r="24249">
      <c r="A24249" t="inlineStr">
        <is>
          <t>3700281702323</t>
        </is>
      </c>
      <c r="B24249" t="inlineStr">
        <is>
          <t>Ph5 Gentle Milk Shampoo 500ml</t>
        </is>
      </c>
      <c r="C24249" t="inlineStr">
        <is>
          <t>Shampoo</t>
        </is>
      </c>
      <c r="D24249" t="inlineStr">
        <is>
          <t>Topicrem</t>
        </is>
      </c>
      <c r="E24249" t="n">
        <v>9.800000000000001</v>
      </c>
      <c r="F24249" t="n">
        <v>1</v>
      </c>
      <c r="G24249" t="n">
        <v>14</v>
      </c>
      <c r="H24249" s="5">
        <f>HYPERLINK("https://api.qogita.com/variants/link/3700281702323/", "View Product")</f>
        <v/>
      </c>
    </row>
    <row r="24250">
      <c r="A24250" t="inlineStr">
        <is>
          <t>3700281702378</t>
        </is>
      </c>
      <c r="B24250" t="inlineStr">
        <is>
          <t>Topicrem Gentle Cleansing Water for Face &amp; Eyes 200ml</t>
        </is>
      </c>
      <c r="C24250" t="inlineStr">
        <is>
          <t>Micellar Water</t>
        </is>
      </c>
      <c r="D24250" t="inlineStr">
        <is>
          <t>Topicrem</t>
        </is>
      </c>
      <c r="E24250" t="n">
        <v>6.65</v>
      </c>
      <c r="F24250" t="n">
        <v>1</v>
      </c>
      <c r="G24250" t="n">
        <v>9</v>
      </c>
      <c r="H24250" s="5">
        <f>HYPERLINK("https://api.qogita.com/variants/link/3700281702378/", "View Product")</f>
        <v/>
      </c>
    </row>
    <row r="24251">
      <c r="A24251" t="inlineStr">
        <is>
          <t>3700281702736</t>
        </is>
      </c>
      <c r="B24251" t="inlineStr">
        <is>
          <t>Topicrem Da Emollient Balm 500 Ml Body Balm For Very Dry And Sensitive Skin</t>
        </is>
      </c>
      <c r="C24251" t="inlineStr">
        <is>
          <t>Body Lotion</t>
        </is>
      </c>
      <c r="D24251" t="inlineStr">
        <is>
          <t>Topicrem</t>
        </is>
      </c>
      <c r="E24251" t="n">
        <v>17.48</v>
      </c>
      <c r="F24251" t="n">
        <v>1</v>
      </c>
      <c r="G24251" t="n">
        <v>125</v>
      </c>
      <c r="H24251" s="5">
        <f>HYPERLINK("https://api.qogita.com/variants/link/3700281702736/", "View Product")</f>
        <v/>
      </c>
    </row>
    <row r="24252">
      <c r="A24252" t="inlineStr">
        <is>
          <t>3700281702910</t>
        </is>
      </c>
      <c r="B24252" t="inlineStr">
        <is>
          <t>Topicrem Gentle Cleansing Milk For Sensitive And Dry Skin 200 Ml</t>
        </is>
      </c>
      <c r="C24252" t="inlineStr">
        <is>
          <t>Cleansing Milk</t>
        </is>
      </c>
      <c r="D24252" t="inlineStr">
        <is>
          <t>Topicrem</t>
        </is>
      </c>
      <c r="E24252" t="n">
        <v>9.73</v>
      </c>
      <c r="F24252" t="n">
        <v>1</v>
      </c>
      <c r="G24252" t="n">
        <v>26</v>
      </c>
      <c r="H24252" s="5">
        <f>HYPERLINK("https://api.qogita.com/variants/link/3700281702910/", "View Product")</f>
        <v/>
      </c>
    </row>
    <row r="24253">
      <c r="A24253" t="inlineStr">
        <is>
          <t>3700281702996</t>
        </is>
      </c>
      <c r="B24253" t="inlineStr">
        <is>
          <t>CALM+ Soothing Fluid 40ml</t>
        </is>
      </c>
      <c r="C24253" t="inlineStr">
        <is>
          <t>Neurodermatitis</t>
        </is>
      </c>
      <c r="D24253" t="inlineStr">
        <is>
          <t>Topicrem</t>
        </is>
      </c>
      <c r="E24253" t="n">
        <v>12.98</v>
      </c>
      <c r="F24253" t="n">
        <v>1</v>
      </c>
      <c r="G24253" t="n">
        <v>37</v>
      </c>
      <c r="H24253" s="5">
        <f>HYPERLINK("https://api.qogita.com/variants/link/3700281702996/", "View Product")</f>
        <v/>
      </c>
    </row>
    <row r="24254">
      <c r="A24254" t="inlineStr">
        <is>
          <t>3700281703047</t>
        </is>
      </c>
      <c r="B24254" t="inlineStr">
        <is>
          <t>Topicrem Ultra-Moisturizing Pearly Body 200ml</t>
        </is>
      </c>
      <c r="C24254" t="inlineStr">
        <is>
          <t>Body Lotion</t>
        </is>
      </c>
      <c r="D24254" t="inlineStr">
        <is>
          <t>Topicrem</t>
        </is>
      </c>
      <c r="E24254" t="n">
        <v>12.82</v>
      </c>
      <c r="F24254" t="n">
        <v>1</v>
      </c>
      <c r="G24254" t="n">
        <v>27</v>
      </c>
      <c r="H24254" s="5">
        <f>HYPERLINK("https://api.qogita.com/variants/link/3700281703047/", "View Product")</f>
        <v/>
      </c>
    </row>
    <row r="24255">
      <c r="A24255" t="inlineStr">
        <is>
          <t>3700281703290</t>
        </is>
      </c>
      <c r="B24255" t="inlineStr">
        <is>
          <t>Topicrem Ur-10 Smoothing Cream 200ml</t>
        </is>
      </c>
      <c r="C24255" t="inlineStr">
        <is>
          <t>Body Lotion</t>
        </is>
      </c>
      <c r="D24255" t="inlineStr">
        <is>
          <t>Topicrem</t>
        </is>
      </c>
      <c r="E24255" t="n">
        <v>12.43</v>
      </c>
      <c r="F24255" t="n">
        <v>1</v>
      </c>
      <c r="G24255" t="n">
        <v>23</v>
      </c>
      <c r="H24255" s="5">
        <f>HYPERLINK("https://api.qogita.com/variants/link/3700281703290/", "View Product")</f>
        <v/>
      </c>
    </row>
    <row r="24256">
      <c r="A24256" t="inlineStr">
        <is>
          <t>3700281703412</t>
        </is>
      </c>
      <c r="B24256" t="inlineStr">
        <is>
          <t>Topicrem Ultra-Moisturizing Sparkling Body 75ml</t>
        </is>
      </c>
      <c r="C24256" t="inlineStr">
        <is>
          <t>Body Lotion</t>
        </is>
      </c>
      <c r="D24256" t="inlineStr">
        <is>
          <t>Topicrem</t>
        </is>
      </c>
      <c r="E24256" t="n">
        <v>9.43</v>
      </c>
      <c r="F24256" t="n">
        <v>1</v>
      </c>
      <c r="G24256" t="n">
        <v>15</v>
      </c>
      <c r="H24256" s="5">
        <f>HYPERLINK("https://api.qogita.com/variants/link/3700281703412/", "View Product")</f>
        <v/>
      </c>
    </row>
    <row r="24257">
      <c r="A24257" t="inlineStr">
        <is>
          <t>3700281703443</t>
        </is>
      </c>
      <c r="B24257" t="inlineStr">
        <is>
          <t>Topicrem Ultra Moisturizing Serum 30 Ml</t>
        </is>
      </c>
      <c r="C24257" t="inlineStr">
        <is>
          <t>Hydrating Serum</t>
        </is>
      </c>
      <c r="D24257" t="inlineStr">
        <is>
          <t>Topicrem</t>
        </is>
      </c>
      <c r="E24257" t="n">
        <v>17.03</v>
      </c>
      <c r="F24257" t="n">
        <v>1</v>
      </c>
      <c r="G24257" t="n">
        <v>18</v>
      </c>
      <c r="H24257" s="5">
        <f>HYPERLINK("https://api.qogita.com/variants/link/3700281703443/", "View Product")</f>
        <v/>
      </c>
    </row>
    <row r="24258">
      <c r="A24258" t="inlineStr">
        <is>
          <t>3700281703641</t>
        </is>
      </c>
      <c r="B24258" t="inlineStr">
        <is>
          <t>Topicrem Ultra Moisturizing Oil 125ml</t>
        </is>
      </c>
      <c r="C24258" t="inlineStr">
        <is>
          <t>Body Oil</t>
        </is>
      </c>
      <c r="D24258" t="inlineStr">
        <is>
          <t>Topicrem</t>
        </is>
      </c>
      <c r="E24258" t="n">
        <v>14.63</v>
      </c>
      <c r="F24258" t="n">
        <v>1</v>
      </c>
      <c r="G24258" t="n">
        <v>2</v>
      </c>
      <c r="H24258" s="5">
        <f>HYPERLINK("https://api.qogita.com/variants/link/3700281703641/", "View Product")</f>
        <v/>
      </c>
    </row>
    <row r="24259">
      <c r="A24259" t="inlineStr">
        <is>
          <t>3700281703818</t>
        </is>
      </c>
      <c r="B24259" t="inlineStr">
        <is>
          <t>Topicrem Hydra+ Radiance Progressive Tan 40ml</t>
        </is>
      </c>
      <c r="C24259" t="inlineStr">
        <is>
          <t>Body Self-Tanner</t>
        </is>
      </c>
      <c r="D24259" t="inlineStr">
        <is>
          <t>Topicrem</t>
        </is>
      </c>
      <c r="E24259" t="n">
        <v>11.05</v>
      </c>
      <c r="F24259" t="n">
        <v>1</v>
      </c>
      <c r="G24259" t="n">
        <v>3</v>
      </c>
      <c r="H24259" s="5">
        <f>HYPERLINK("https://api.qogita.com/variants/link/3700281703818/", "View Product")</f>
        <v/>
      </c>
    </row>
    <row r="24260">
      <c r="A24260" t="inlineStr">
        <is>
          <t>3700281704488</t>
        </is>
      </c>
      <c r="B24260" t="inlineStr">
        <is>
          <t>Topicrem Face Care Micellar Purifying Water 200ml</t>
        </is>
      </c>
      <c r="C24260" t="inlineStr">
        <is>
          <t>Micellar Water</t>
        </is>
      </c>
      <c r="D24260" t="inlineStr">
        <is>
          <t>Topicrem</t>
        </is>
      </c>
      <c r="E24260" t="n">
        <v>9.34</v>
      </c>
      <c r="F24260" t="n">
        <v>1</v>
      </c>
      <c r="G24260" t="n">
        <v>26</v>
      </c>
      <c r="H24260" s="5">
        <f>HYPERLINK("https://api.qogita.com/variants/link/3700281704488/", "View Product")</f>
        <v/>
      </c>
    </row>
    <row r="24261">
      <c r="A24261" t="inlineStr">
        <is>
          <t>3700281704587</t>
        </is>
      </c>
      <c r="B24261" t="inlineStr">
        <is>
          <t>Mela Instant Brightening Anti-Spot Mask 50ml</t>
        </is>
      </c>
      <c r="C24261" t="inlineStr">
        <is>
          <t>Glow Mask</t>
        </is>
      </c>
      <c r="D24261" t="inlineStr">
        <is>
          <t>Topicrem</t>
        </is>
      </c>
      <c r="E24261" t="n">
        <v>17.6</v>
      </c>
      <c r="F24261" t="n">
        <v>1</v>
      </c>
      <c r="G24261" t="n">
        <v>13</v>
      </c>
      <c r="H24261" s="5">
        <f>HYPERLINK("https://api.qogita.com/variants/link/3700281704587/", "View Product")</f>
        <v/>
      </c>
    </row>
    <row r="24262">
      <c r="A24262" t="inlineStr">
        <is>
          <t>3700281704839</t>
        </is>
      </c>
      <c r="B24262" t="inlineStr">
        <is>
          <t>Topicrem Shea Shampoo, Cream, Mask, and Capsules</t>
        </is>
      </c>
      <c r="C24262" t="inlineStr">
        <is>
          <t>Hair Care Sets</t>
        </is>
      </c>
      <c r="D24262" t="inlineStr">
        <is>
          <t>Topicrem</t>
        </is>
      </c>
      <c r="E24262" t="n">
        <v>14.36</v>
      </c>
      <c r="F24262" t="n">
        <v>1</v>
      </c>
      <c r="G24262" t="n">
        <v>19</v>
      </c>
      <c r="H24262" s="5">
        <f>HYPERLINK("https://api.qogita.com/variants/link/3700281704839/", "View Product")</f>
        <v/>
      </c>
    </row>
    <row r="24263">
      <c r="A24263" t="inlineStr">
        <is>
          <t>3700281704891</t>
        </is>
      </c>
      <c r="B24263" t="inlineStr">
        <is>
          <t>Topicrem UH BODY Gentle Cleansing Gel Gel Lavant Doux Visage, Corps Et Cheveux 75 Ml</t>
        </is>
      </c>
      <c r="C24263" t="inlineStr">
        <is>
          <t>Shower Gel</t>
        </is>
      </c>
      <c r="D24263" t="inlineStr">
        <is>
          <t>Topicrem</t>
        </is>
      </c>
      <c r="E24263" t="n">
        <v>7.86</v>
      </c>
      <c r="F24263" t="n">
        <v>1</v>
      </c>
      <c r="G24263" t="n">
        <v>43</v>
      </c>
      <c r="H24263" s="5">
        <f>HYPERLINK("https://api.qogita.com/variants/link/3700281704891/", "View Product")</f>
        <v/>
      </c>
    </row>
    <row r="24264">
      <c r="A24264" t="inlineStr">
        <is>
          <t>3700281705324</t>
        </is>
      </c>
      <c r="B24264" t="inlineStr">
        <is>
          <t>Topicrem Uh - Baby Cleansing Water Wipes - 60 Wipes</t>
        </is>
      </c>
      <c r="C24264" t="inlineStr">
        <is>
          <t>Baby Wipes &amp; Diapers</t>
        </is>
      </c>
      <c r="D24264" t="inlineStr">
        <is>
          <t>Topicrem</t>
        </is>
      </c>
      <c r="E24264" t="n">
        <v>6.23</v>
      </c>
      <c r="F24264" t="n">
        <v>1</v>
      </c>
      <c r="G24264" t="n">
        <v>7</v>
      </c>
      <c r="H24264" s="5">
        <f>HYPERLINK("https://api.qogita.com/variants/link/3700281705324/", "View Product")</f>
        <v/>
      </c>
    </row>
    <row r="24265">
      <c r="A24265" t="inlineStr">
        <is>
          <t>3700281705676</t>
        </is>
      </c>
      <c r="B24265" t="inlineStr">
        <is>
          <t>Topicrem Baby Moisturizing Protective Milk 500 Ml - Topicrem</t>
        </is>
      </c>
      <c r="C24265" t="inlineStr">
        <is>
          <t>Baby Cream &amp; Oil</t>
        </is>
      </c>
      <c r="D24265" t="inlineStr">
        <is>
          <t>Topicrem</t>
        </is>
      </c>
      <c r="E24265" t="n">
        <v>16.05</v>
      </c>
      <c r="F24265" t="n">
        <v>1</v>
      </c>
      <c r="G24265" t="n">
        <v>25</v>
      </c>
      <c r="H24265" s="5">
        <f>HYPERLINK("https://api.qogita.com/variants/link/3700281705676/", "View Product")</f>
        <v/>
      </c>
    </row>
    <row r="24266">
      <c r="A24266" t="inlineStr">
        <is>
          <t>3700426218672</t>
        </is>
      </c>
      <c r="B24266" t="inlineStr">
        <is>
          <t>Superdry Neon Orange Eau De Cologne</t>
        </is>
      </c>
      <c r="C24266" t="inlineStr">
        <is>
          <t>Eau De Cologne</t>
        </is>
      </c>
      <c r="D24266" t="inlineStr">
        <is>
          <t>Superdry</t>
        </is>
      </c>
      <c r="E24266" t="n">
        <v>7.83</v>
      </c>
      <c r="F24266" t="n">
        <v>1</v>
      </c>
      <c r="G24266" t="n">
        <v>12</v>
      </c>
      <c r="H24266" s="5">
        <f>HYPERLINK("https://api.qogita.com/variants/link/3700426218672/", "View Product")</f>
        <v/>
      </c>
    </row>
    <row r="24267">
      <c r="A24267" t="inlineStr">
        <is>
          <t>3700431415646</t>
        </is>
      </c>
      <c r="B24267" t="inlineStr">
        <is>
          <t>Diptyque Tempo Eau De Parfum Spray 75ml</t>
        </is>
      </c>
      <c r="C24267" t="inlineStr">
        <is>
          <t>Eau De Parfum</t>
        </is>
      </c>
      <c r="D24267" t="inlineStr">
        <is>
          <t>Diptyque</t>
        </is>
      </c>
      <c r="E24267" t="n">
        <v>139.95</v>
      </c>
      <c r="F24267" t="n">
        <v>1</v>
      </c>
      <c r="G24267" t="n">
        <v>12</v>
      </c>
      <c r="H24267" s="5">
        <f>HYPERLINK("https://api.qogita.com/variants/link/3700431415646/", "View Product")</f>
        <v/>
      </c>
    </row>
    <row r="24268">
      <c r="A24268" t="inlineStr">
        <is>
          <t>3700431425461</t>
        </is>
      </c>
      <c r="B24268" t="inlineStr">
        <is>
          <t>Diptyque Philosykos Eau De Parfum Spray 75ml</t>
        </is>
      </c>
      <c r="C24268" t="inlineStr">
        <is>
          <t>Eau De Parfum</t>
        </is>
      </c>
      <c r="D24268" t="inlineStr">
        <is>
          <t>Diptyque</t>
        </is>
      </c>
      <c r="E24268" t="n">
        <v>137.45</v>
      </c>
      <c r="F24268" t="n">
        <v>1</v>
      </c>
      <c r="G24268" t="n">
        <v>16</v>
      </c>
      <c r="H24268" s="5">
        <f>HYPERLINK("https://api.qogita.com/variants/link/3700431425461/", "View Product")</f>
        <v/>
      </c>
    </row>
    <row r="24269">
      <c r="A24269" t="inlineStr">
        <is>
          <t>3700431425690</t>
        </is>
      </c>
      <c r="B24269" t="inlineStr">
        <is>
          <t>Diptyque Do Son Eau De Parfum 75ml</t>
        </is>
      </c>
      <c r="C24269" t="inlineStr">
        <is>
          <t>Eau De Parfum</t>
        </is>
      </c>
      <c r="D24269" t="inlineStr">
        <is>
          <t>Diptyque</t>
        </is>
      </c>
      <c r="E24269" t="n">
        <v>142.2</v>
      </c>
      <c r="F24269" t="n">
        <v>1</v>
      </c>
      <c r="G24269" t="n">
        <v>2</v>
      </c>
      <c r="H24269" s="5">
        <f>HYPERLINK("https://api.qogita.com/variants/link/3700431425690/", "View Product")</f>
        <v/>
      </c>
    </row>
    <row r="24270">
      <c r="A24270" t="inlineStr">
        <is>
          <t>3700431425713</t>
        </is>
      </c>
      <c r="B24270" t="inlineStr">
        <is>
          <t>Diptyque Fleur De Peau Eau De Parfum 75ml</t>
        </is>
      </c>
      <c r="C24270" t="inlineStr">
        <is>
          <t>Eau De Parfum</t>
        </is>
      </c>
      <c r="D24270" t="inlineStr">
        <is>
          <t>Diptyque</t>
        </is>
      </c>
      <c r="E24270" t="n">
        <v>139.95</v>
      </c>
      <c r="F24270" t="n">
        <v>1</v>
      </c>
      <c r="G24270" t="n">
        <v>51</v>
      </c>
      <c r="H24270" s="5">
        <f>HYPERLINK("https://api.qogita.com/variants/link/3700431425713/", "View Product")</f>
        <v/>
      </c>
    </row>
    <row r="24271">
      <c r="A24271" t="inlineStr">
        <is>
          <t>3700431425935</t>
        </is>
      </c>
      <c r="B24271" t="inlineStr">
        <is>
          <t>Diptyque Tam Dao Unisex Eau de Toilette 100ml</t>
        </is>
      </c>
      <c r="C24271" t="inlineStr">
        <is>
          <t>Eau De Toilette</t>
        </is>
      </c>
      <c r="D24271" t="inlineStr">
        <is>
          <t>Diptyque</t>
        </is>
      </c>
      <c r="E24271" t="n">
        <v>142.95</v>
      </c>
      <c r="F24271" t="n">
        <v>1</v>
      </c>
      <c r="G24271" t="n">
        <v>3</v>
      </c>
      <c r="H24271" s="5">
        <f>HYPERLINK("https://api.qogita.com/variants/link/3700431425935/", "View Product")</f>
        <v/>
      </c>
    </row>
    <row r="24272">
      <c r="A24272" t="inlineStr">
        <is>
          <t>3700431442857</t>
        </is>
      </c>
      <c r="B24272" t="inlineStr">
        <is>
          <t>Diptyque Oyedo EDT Spray 100ml</t>
        </is>
      </c>
      <c r="C24272" t="inlineStr">
        <is>
          <t>Eau De Toilette</t>
        </is>
      </c>
      <c r="D24272" t="inlineStr">
        <is>
          <t>Diptyque</t>
        </is>
      </c>
      <c r="E24272" t="n">
        <v>115.06</v>
      </c>
      <c r="F24272" t="n">
        <v>1</v>
      </c>
      <c r="G24272" t="n">
        <v>17</v>
      </c>
      <c r="H24272" s="5">
        <f>HYPERLINK("https://api.qogita.com/variants/link/3700431442857/", "View Product")</f>
        <v/>
      </c>
    </row>
    <row r="24273">
      <c r="A24273" t="inlineStr">
        <is>
          <t>3700458602944</t>
        </is>
      </c>
      <c r="B24273" t="inlineStr">
        <is>
          <t>Memo Paris Sicilian Leather Eau De Parfum Spray 75ml</t>
        </is>
      </c>
      <c r="C24273" t="inlineStr">
        <is>
          <t>Eau De Parfum</t>
        </is>
      </c>
      <c r="D24273" t="inlineStr">
        <is>
          <t>Memo Paris</t>
        </is>
      </c>
      <c r="E24273" t="n">
        <v>117.82</v>
      </c>
      <c r="F24273" t="n">
        <v>1</v>
      </c>
      <c r="G24273" t="n">
        <v>22</v>
      </c>
      <c r="H24273" s="5">
        <f>HYPERLINK("https://api.qogita.com/variants/link/3700458602944/", "View Product")</f>
        <v/>
      </c>
    </row>
    <row r="24274">
      <c r="A24274" t="inlineStr">
        <is>
          <t>3700458603040</t>
        </is>
      </c>
      <c r="B24274" t="inlineStr">
        <is>
          <t>Memo Paris Italian Leather Eau De Parfum Spray 75ml</t>
        </is>
      </c>
      <c r="C24274" t="inlineStr">
        <is>
          <t>Eau De Parfum</t>
        </is>
      </c>
      <c r="D24274" t="inlineStr">
        <is>
          <t>Memo Paris</t>
        </is>
      </c>
      <c r="E24274" t="n">
        <v>130.08</v>
      </c>
      <c r="F24274" t="n">
        <v>1</v>
      </c>
      <c r="G24274" t="n">
        <v>4</v>
      </c>
      <c r="H24274" s="5">
        <f>HYPERLINK("https://api.qogita.com/variants/link/3700458603040/", "View Product")</f>
        <v/>
      </c>
    </row>
    <row r="24275">
      <c r="A24275" t="inlineStr">
        <is>
          <t>3700458603187</t>
        </is>
      </c>
      <c r="B24275" t="inlineStr">
        <is>
          <t>Memo Paris Graines Vagabondes Jannat Eau De Parfum 75ml</t>
        </is>
      </c>
      <c r="C24275" t="inlineStr">
        <is>
          <t>Eau De Parfum</t>
        </is>
      </c>
      <c r="D24275" t="inlineStr">
        <is>
          <t>Memo Paris</t>
        </is>
      </c>
      <c r="E24275" t="n">
        <v>123.05</v>
      </c>
      <c r="F24275" t="n">
        <v>1</v>
      </c>
      <c r="G24275" t="n">
        <v>4</v>
      </c>
      <c r="H24275" s="5">
        <f>HYPERLINK("https://api.qogita.com/variants/link/3700458603187/", "View Product")</f>
        <v/>
      </c>
    </row>
    <row r="24276">
      <c r="A24276" t="inlineStr">
        <is>
          <t>3700458603194</t>
        </is>
      </c>
      <c r="B24276" t="inlineStr">
        <is>
          <t>Memo Paris Argentina Eau De Parfum Spray 75ml</t>
        </is>
      </c>
      <c r="C24276" t="inlineStr">
        <is>
          <t>Eau De Parfum</t>
        </is>
      </c>
      <c r="D24276" t="inlineStr">
        <is>
          <t>Memo Paris</t>
        </is>
      </c>
      <c r="E24276" t="n">
        <v>113.59</v>
      </c>
      <c r="F24276" t="n">
        <v>1</v>
      </c>
      <c r="G24276" t="n">
        <v>6</v>
      </c>
      <c r="H24276" s="5">
        <f>HYPERLINK("https://api.qogita.com/variants/link/3700458603194/", "View Product")</f>
        <v/>
      </c>
    </row>
    <row r="24277">
      <c r="A24277" t="inlineStr">
        <is>
          <t>3700458604610</t>
        </is>
      </c>
      <c r="B24277" t="inlineStr">
        <is>
          <t>Memo Paris Sherwood Eau De Parfum Spray 75ml</t>
        </is>
      </c>
      <c r="C24277" t="inlineStr">
        <is>
          <t>Eau De Parfum</t>
        </is>
      </c>
      <c r="D24277" t="inlineStr">
        <is>
          <t>Memo Paris</t>
        </is>
      </c>
      <c r="E24277" t="n">
        <v>97.34999999999999</v>
      </c>
      <c r="F24277" t="n">
        <v>1</v>
      </c>
      <c r="G24277" t="n">
        <v>6</v>
      </c>
      <c r="H24277" s="5">
        <f>HYPERLINK("https://api.qogita.com/variants/link/3700458604610/", "View Product")</f>
        <v/>
      </c>
    </row>
    <row r="24278">
      <c r="A24278" t="inlineStr">
        <is>
          <t>3700490501083</t>
        </is>
      </c>
      <c r="B24278" t="inlineStr">
        <is>
          <t>HEELEY Hee Verveine EDP Vapo 100ml</t>
        </is>
      </c>
      <c r="C24278" t="inlineStr">
        <is>
          <t>Eau De Parfum</t>
        </is>
      </c>
      <c r="D24278" t="inlineStr">
        <is>
          <t>Heeley</t>
        </is>
      </c>
      <c r="E24278" t="n">
        <v>128.73</v>
      </c>
      <c r="F24278" t="n">
        <v>1</v>
      </c>
      <c r="G24278" t="n">
        <v>3</v>
      </c>
      <c r="H24278" s="5">
        <f>HYPERLINK("https://api.qogita.com/variants/link/3700490501083/", "View Product")</f>
        <v/>
      </c>
    </row>
    <row r="24279">
      <c r="A24279" t="inlineStr">
        <is>
          <t>3700490501229</t>
        </is>
      </c>
      <c r="B24279" t="inlineStr">
        <is>
          <t>Heeley Zeste Gingembre Eau De Parfum 100ml Spray</t>
        </is>
      </c>
      <c r="C24279" t="inlineStr">
        <is>
          <t>Eau De Parfum</t>
        </is>
      </c>
      <c r="D24279" t="inlineStr">
        <is>
          <t>Heeley</t>
        </is>
      </c>
      <c r="E24279" t="n">
        <v>128.75</v>
      </c>
      <c r="F24279" t="n">
        <v>1</v>
      </c>
      <c r="G24279" t="n">
        <v>2</v>
      </c>
      <c r="H24279" s="5">
        <f>HYPERLINK("https://api.qogita.com/variants/link/3700490501229/", "View Product")</f>
        <v/>
      </c>
    </row>
    <row r="24280">
      <c r="A24280" t="inlineStr">
        <is>
          <t>3700490501526</t>
        </is>
      </c>
      <c r="B24280" t="inlineStr">
        <is>
          <t>Heeley Blanc Poudre EDP 3.4 fl oz</t>
        </is>
      </c>
      <c r="C24280" t="inlineStr">
        <is>
          <t>Eau De Parfum</t>
        </is>
      </c>
      <c r="D24280" t="inlineStr">
        <is>
          <t>Heeley</t>
        </is>
      </c>
      <c r="E24280" t="n">
        <v>128.77</v>
      </c>
      <c r="F24280" t="n">
        <v>1</v>
      </c>
      <c r="G24280" t="n">
        <v>3</v>
      </c>
      <c r="H24280" s="5">
        <f>HYPERLINK("https://api.qogita.com/variants/link/3700490501526/", "View Product")</f>
        <v/>
      </c>
    </row>
    <row r="24281">
      <c r="A24281" t="inlineStr">
        <is>
          <t>3700550218296</t>
        </is>
      </c>
      <c r="B24281" t="inlineStr">
        <is>
          <t>By Kilian The Cellars Gold Knight Eau De Parfum Spray 50ml</t>
        </is>
      </c>
      <c r="C24281" t="inlineStr">
        <is>
          <t>Eau De Parfum</t>
        </is>
      </c>
      <c r="D24281" t="inlineStr">
        <is>
          <t>By Kilian</t>
        </is>
      </c>
      <c r="E24281" t="n">
        <v>197.88</v>
      </c>
      <c r="F24281" t="n">
        <v>1</v>
      </c>
      <c r="G24281" t="n">
        <v>3</v>
      </c>
      <c r="H24281" s="5">
        <f>HYPERLINK("https://api.qogita.com/variants/link/3700550218296/", "View Product")</f>
        <v/>
      </c>
    </row>
    <row r="24282">
      <c r="A24282" t="inlineStr">
        <is>
          <t>3700550218319</t>
        </is>
      </c>
      <c r="B24282" t="inlineStr">
        <is>
          <t>By Kilian The Cellars Black Phantom Eau De Parfum</t>
        </is>
      </c>
      <c r="C24282" t="inlineStr">
        <is>
          <t>Eau De Parfum</t>
        </is>
      </c>
      <c r="D24282" t="inlineStr">
        <is>
          <t>By Kilian</t>
        </is>
      </c>
      <c r="E24282" t="n">
        <v>176.06</v>
      </c>
      <c r="F24282" t="n">
        <v>1</v>
      </c>
      <c r="G24282" t="n">
        <v>10</v>
      </c>
      <c r="H24282" s="5">
        <f>HYPERLINK("https://api.qogita.com/variants/link/3700550218319/", "View Product")</f>
        <v/>
      </c>
    </row>
    <row r="24283">
      <c r="A24283" t="inlineStr">
        <is>
          <t>3700550218333</t>
        </is>
      </c>
      <c r="B24283" t="inlineStr">
        <is>
          <t>By Kilian Dark Lord Eau De Parfum Spray 50ml</t>
        </is>
      </c>
      <c r="C24283" t="inlineStr">
        <is>
          <t>Eau De Parfum</t>
        </is>
      </c>
      <c r="D24283" t="inlineStr">
        <is>
          <t>By Kilian</t>
        </is>
      </c>
      <c r="E24283" t="n">
        <v>186.31</v>
      </c>
      <c r="F24283" t="n">
        <v>1</v>
      </c>
      <c r="G24283" t="n">
        <v>4</v>
      </c>
      <c r="H24283" s="5">
        <f>HYPERLINK("https://api.qogita.com/variants/link/3700550218333/", "View Product")</f>
        <v/>
      </c>
    </row>
    <row r="24284">
      <c r="A24284" t="inlineStr">
        <is>
          <t>3700550234869</t>
        </is>
      </c>
      <c r="B24284" t="inlineStr">
        <is>
          <t>By Kilian Can't Stop Loving You Eau De Parfum</t>
        </is>
      </c>
      <c r="C24284" t="inlineStr">
        <is>
          <t>Eau De Parfum</t>
        </is>
      </c>
      <c r="D24284" t="inlineStr">
        <is>
          <t>By Kilian</t>
        </is>
      </c>
      <c r="E24284" t="n">
        <v>193.73</v>
      </c>
      <c r="F24284" t="n">
        <v>1</v>
      </c>
      <c r="G24284" t="n">
        <v>3</v>
      </c>
      <c r="H24284" s="5">
        <f>HYPERLINK("https://api.qogita.com/variants/link/3700550234869/", "View Product")</f>
        <v/>
      </c>
    </row>
    <row r="24285">
      <c r="A24285" t="inlineStr">
        <is>
          <t>3700573800010</t>
        </is>
      </c>
      <c r="B24285" t="inlineStr">
        <is>
          <t>Montana Collection Edition 2 Eau De Parfum - 100 Ml - Unisex Fragrance</t>
        </is>
      </c>
      <c r="C24285" t="inlineStr">
        <is>
          <t>Eau De Parfum</t>
        </is>
      </c>
      <c r="D24285" t="inlineStr">
        <is>
          <t>Montana</t>
        </is>
      </c>
      <c r="E24285" t="n">
        <v>20.17</v>
      </c>
      <c r="F24285" t="n">
        <v>1</v>
      </c>
      <c r="G24285" t="n">
        <v>2</v>
      </c>
      <c r="H24285" s="5">
        <f>HYPERLINK("https://api.qogita.com/variants/link/3700573800010/", "View Product")</f>
        <v/>
      </c>
    </row>
    <row r="24286">
      <c r="A24286" t="inlineStr">
        <is>
          <t>3700573870013</t>
        </is>
      </c>
      <c r="B24286" t="inlineStr">
        <is>
          <t>Montana Graphite Eau De Toilette Spray 100ml</t>
        </is>
      </c>
      <c r="C24286" t="inlineStr">
        <is>
          <t>Eau De Toilette</t>
        </is>
      </c>
      <c r="D24286" t="inlineStr">
        <is>
          <t>Montana</t>
        </is>
      </c>
      <c r="E24286" t="n">
        <v>9.01</v>
      </c>
      <c r="F24286" t="n">
        <v>1</v>
      </c>
      <c r="G24286" t="n">
        <v>406</v>
      </c>
      <c r="H24286" s="5">
        <f>HYPERLINK("https://api.qogita.com/variants/link/3700573870013/", "View Product")</f>
        <v/>
      </c>
    </row>
    <row r="24287">
      <c r="A24287" t="inlineStr">
        <is>
          <t>3700578501998</t>
        </is>
      </c>
      <c r="B24287" t="inlineStr">
        <is>
          <t>Parfums De Marly Delina Eau De Parfum 75ml</t>
        </is>
      </c>
      <c r="C24287" t="inlineStr">
        <is>
          <t>Eau De Parfum</t>
        </is>
      </c>
      <c r="D24287" t="inlineStr">
        <is>
          <t>Parfums De Marly</t>
        </is>
      </c>
      <c r="E24287" t="n">
        <v>192.33</v>
      </c>
      <c r="F24287" t="n">
        <v>1</v>
      </c>
      <c r="G24287" t="n">
        <v>151</v>
      </c>
      <c r="H24287" s="5">
        <f>HYPERLINK("https://api.qogita.com/variants/link/3700578501998/", "View Product")</f>
        <v/>
      </c>
    </row>
    <row r="24288">
      <c r="A24288" t="inlineStr">
        <is>
          <t>3700578502049</t>
        </is>
      </c>
      <c r="B24288" t="inlineStr">
        <is>
          <t>Parfums De Marly Darcy Eau De Parfum Spray 75ml</t>
        </is>
      </c>
      <c r="C24288" t="inlineStr">
        <is>
          <t>Eau De Parfum</t>
        </is>
      </c>
      <c r="D24288" t="inlineStr">
        <is>
          <t>Parfums De Marly</t>
        </is>
      </c>
      <c r="E24288" t="n">
        <v>143.88</v>
      </c>
      <c r="F24288" t="n">
        <v>1</v>
      </c>
      <c r="G24288" t="n">
        <v>4</v>
      </c>
      <c r="H24288" s="5">
        <f>HYPERLINK("https://api.qogita.com/variants/link/3700578502049/", "View Product")</f>
        <v/>
      </c>
    </row>
    <row r="24289">
      <c r="A24289" t="inlineStr">
        <is>
          <t>3700578502254</t>
        </is>
      </c>
      <c r="B24289" t="inlineStr">
        <is>
          <t>Parfums De Marly Layton Eau De Parfum 75ml</t>
        </is>
      </c>
      <c r="C24289" t="inlineStr">
        <is>
          <t>Eau De Parfum</t>
        </is>
      </c>
      <c r="D24289" t="inlineStr">
        <is>
          <t>Parfums De Marly</t>
        </is>
      </c>
      <c r="E24289" t="n">
        <v>144.27</v>
      </c>
      <c r="F24289" t="n">
        <v>1</v>
      </c>
      <c r="G24289" t="n">
        <v>408</v>
      </c>
      <c r="H24289" s="5">
        <f>HYPERLINK("https://api.qogita.com/variants/link/3700578502254/", "View Product")</f>
        <v/>
      </c>
    </row>
    <row r="24290">
      <c r="A24290" t="inlineStr">
        <is>
          <t>3700578502919</t>
        </is>
      </c>
      <c r="B24290" t="inlineStr">
        <is>
          <t>Parfums De Marly Perseus Eau De Parfum for Women 125ml</t>
        </is>
      </c>
      <c r="C24290" t="inlineStr">
        <is>
          <t>Eau De Parfum</t>
        </is>
      </c>
      <c r="D24290" t="inlineStr">
        <is>
          <t>Parfums De Marly</t>
        </is>
      </c>
      <c r="E24290" t="n">
        <v>149.72</v>
      </c>
      <c r="F24290" t="n">
        <v>1</v>
      </c>
      <c r="G24290" t="n">
        <v>39</v>
      </c>
      <c r="H24290" s="5">
        <f>HYPERLINK("https://api.qogita.com/variants/link/3700578502919/", "View Product")</f>
        <v/>
      </c>
    </row>
    <row r="24291">
      <c r="A24291" t="inlineStr">
        <is>
          <t>3700578503206</t>
        </is>
      </c>
      <c r="B24291" t="inlineStr">
        <is>
          <t>Parfums De Marly Layton 6.7 Fl Oz</t>
        </is>
      </c>
      <c r="C24291" t="inlineStr">
        <is>
          <t>Eau De Parfum</t>
        </is>
      </c>
      <c r="D24291" t="inlineStr">
        <is>
          <t>Parfums De Marly</t>
        </is>
      </c>
      <c r="E24291" t="n">
        <v>202.52</v>
      </c>
      <c r="F24291" t="n">
        <v>1</v>
      </c>
      <c r="G24291" t="n">
        <v>90</v>
      </c>
      <c r="H24291" s="5">
        <f>HYPERLINK("https://api.qogita.com/variants/link/3700578503206/", "View Product")</f>
        <v/>
      </c>
    </row>
    <row r="24292">
      <c r="A24292" t="inlineStr">
        <is>
          <t>3700578504555</t>
        </is>
      </c>
      <c r="B24292" t="inlineStr">
        <is>
          <t>Parfums De Marly Paris Palatine Eau De Parfum - 75 Ml</t>
        </is>
      </c>
      <c r="C24292" t="inlineStr">
        <is>
          <t>Eau De Parfum</t>
        </is>
      </c>
      <c r="D24292" t="inlineStr">
        <is>
          <t>Parfums De Marly</t>
        </is>
      </c>
      <c r="E24292" t="n">
        <v>194.22</v>
      </c>
      <c r="F24292" t="n">
        <v>1</v>
      </c>
      <c r="G24292" t="n">
        <v>39</v>
      </c>
      <c r="H24292" s="5">
        <f>HYPERLINK("https://api.qogita.com/variants/link/3700578504555/", "View Product")</f>
        <v/>
      </c>
    </row>
    <row r="24293">
      <c r="A24293" t="inlineStr">
        <is>
          <t>3700578505279</t>
        </is>
      </c>
      <c r="B24293" t="inlineStr">
        <is>
          <t>PARFUMS DE MARLY Haltane Eau De Parfum for Men 75ml</t>
        </is>
      </c>
      <c r="C24293" t="inlineStr">
        <is>
          <t>Eau De Parfum</t>
        </is>
      </c>
      <c r="D24293" t="inlineStr">
        <is>
          <t>Parfums De Marly</t>
        </is>
      </c>
      <c r="E24293" t="n">
        <v>144.15</v>
      </c>
      <c r="F24293" t="n">
        <v>1</v>
      </c>
      <c r="G24293" t="n">
        <v>22</v>
      </c>
      <c r="H24293" s="5">
        <f>HYPERLINK("https://api.qogita.com/variants/link/3700578505279/", "View Product")</f>
        <v/>
      </c>
    </row>
    <row r="24294">
      <c r="A24294" t="inlineStr">
        <is>
          <t>3700578506771</t>
        </is>
      </c>
      <c r="B24294" t="inlineStr">
        <is>
          <t>Parfums De Marly Castley M Eau De Parfum 75 Ml</t>
        </is>
      </c>
      <c r="C24294" t="inlineStr">
        <is>
          <t>Eau De Parfum</t>
        </is>
      </c>
      <c r="D24294" t="inlineStr">
        <is>
          <t>Parfums De Marly</t>
        </is>
      </c>
      <c r="E24294" t="n">
        <v>165.09</v>
      </c>
      <c r="F24294" t="n">
        <v>1</v>
      </c>
      <c r="G24294" t="n">
        <v>3</v>
      </c>
      <c r="H24294" s="5">
        <f>HYPERLINK("https://api.qogita.com/variants/link/3700578506771/", "View Product")</f>
        <v/>
      </c>
    </row>
    <row r="24295">
      <c r="A24295" t="inlineStr">
        <is>
          <t>3700578508003</t>
        </is>
      </c>
      <c r="B24295" t="inlineStr">
        <is>
          <t>Parfums De Marly Marly Galloway Eau De Parfum 125ml Unisex Spray</t>
        </is>
      </c>
      <c r="C24295" t="inlineStr">
        <is>
          <t>Eau De Parfum</t>
        </is>
      </c>
      <c r="D24295" t="inlineStr">
        <is>
          <t>Parfums De Marly</t>
        </is>
      </c>
      <c r="E24295" t="n">
        <v>178.36</v>
      </c>
      <c r="F24295" t="n">
        <v>1</v>
      </c>
      <c r="G24295" t="n">
        <v>2</v>
      </c>
      <c r="H24295" s="5">
        <f>HYPERLINK("https://api.qogita.com/variants/link/3700578508003/", "View Product")</f>
        <v/>
      </c>
    </row>
    <row r="24296">
      <c r="A24296" t="inlineStr">
        <is>
          <t>3700578520241</t>
        </is>
      </c>
      <c r="B24296" t="inlineStr">
        <is>
          <t>Initio Parfums Prives Magnetic Blend 7 Eau De Parfum 90ml</t>
        </is>
      </c>
      <c r="C24296" t="inlineStr">
        <is>
          <t>Eau De Parfum</t>
        </is>
      </c>
      <c r="D24296" t="inlineStr">
        <is>
          <t>Initio Parfums Prives</t>
        </is>
      </c>
      <c r="E24296" t="n">
        <v>143.67</v>
      </c>
      <c r="F24296" t="n">
        <v>1</v>
      </c>
      <c r="G24296" t="n">
        <v>8</v>
      </c>
      <c r="H24296" s="5">
        <f>HYPERLINK("https://api.qogita.com/variants/link/3700578520241/", "View Product")</f>
        <v/>
      </c>
    </row>
    <row r="24297">
      <c r="A24297" t="inlineStr">
        <is>
          <t>3700583501419</t>
        </is>
      </c>
      <c r="B24297" t="inlineStr">
        <is>
          <t>Sospiro Erba Pura Magica Unisex Eau De Parfum 100 Ml</t>
        </is>
      </c>
      <c r="C24297" t="inlineStr">
        <is>
          <t>Eau De Parfum</t>
        </is>
      </c>
      <c r="D24297" t="inlineStr">
        <is>
          <t>Sospiro</t>
        </is>
      </c>
      <c r="E24297" t="n">
        <v>127.04</v>
      </c>
      <c r="F24297" t="n">
        <v>1</v>
      </c>
      <c r="G24297" t="n">
        <v>31</v>
      </c>
      <c r="H24297" s="5">
        <f>HYPERLINK("https://api.qogita.com/variants/link/3700583501419/", "View Product")</f>
        <v/>
      </c>
    </row>
    <row r="24298">
      <c r="A24298" t="inlineStr">
        <is>
          <t>3700583503352</t>
        </is>
      </c>
      <c r="B24298" t="inlineStr">
        <is>
          <t>Giorgio Group Black Special Edition II Intense Eau De Parfum 100ml</t>
        </is>
      </c>
      <c r="C24298" t="inlineStr">
        <is>
          <t>Eau De Parfum</t>
        </is>
      </c>
      <c r="D24298" t="inlineStr">
        <is>
          <t>Giorgio Armani</t>
        </is>
      </c>
      <c r="E24298" t="n">
        <v>8.67</v>
      </c>
      <c r="F24298" t="n">
        <v>1</v>
      </c>
      <c r="G24298" t="n">
        <v>5</v>
      </c>
      <c r="H24298" s="5">
        <f>HYPERLINK("https://api.qogita.com/variants/link/3700583503352/", "View Product")</f>
        <v/>
      </c>
    </row>
    <row r="24299">
      <c r="A24299" t="inlineStr">
        <is>
          <t>3700753002272</t>
        </is>
      </c>
      <c r="B24299" t="inlineStr">
        <is>
          <t>Alexandre.J Mandarine Sultane Eau De Parfum Spray 100ml</t>
        </is>
      </c>
      <c r="C24299" t="inlineStr">
        <is>
          <t>Eau De Parfum</t>
        </is>
      </c>
      <c r="D24299" t="inlineStr">
        <is>
          <t>Alexandre.J</t>
        </is>
      </c>
      <c r="E24299" t="n">
        <v>59.8</v>
      </c>
      <c r="F24299" t="n">
        <v>1</v>
      </c>
      <c r="G24299" t="n">
        <v>3</v>
      </c>
      <c r="H24299" s="5">
        <f>HYPERLINK("https://api.qogita.com/variants/link/3700753002272/", "View Product")</f>
        <v/>
      </c>
    </row>
    <row r="24300">
      <c r="A24300" t="inlineStr">
        <is>
          <t>3701066204636</t>
        </is>
      </c>
      <c r="B24300" t="inlineStr">
        <is>
          <t>Dr Renaud Resurfacing Night Peel Youth Solution</t>
        </is>
      </c>
      <c r="C24300" t="inlineStr">
        <is>
          <t>Night Cream</t>
        </is>
      </c>
      <c r="D24300" t="inlineStr">
        <is>
          <t>Dr Renaud</t>
        </is>
      </c>
      <c r="E24300" t="n">
        <v>34.39</v>
      </c>
      <c r="F24300" t="n">
        <v>1</v>
      </c>
      <c r="G24300" t="n">
        <v>12</v>
      </c>
      <c r="H24300" s="5">
        <f>HYPERLINK("https://api.qogita.com/variants/link/3701066204636/", "View Product")</f>
        <v/>
      </c>
    </row>
    <row r="24301">
      <c r="A24301" t="inlineStr">
        <is>
          <t>3701129800089</t>
        </is>
      </c>
      <c r="B24301" t="inlineStr">
        <is>
          <t>Bioderma Pigmentbio Night Renewer Cream Brightening Overnight Care 50 Ml</t>
        </is>
      </c>
      <c r="C24301" t="inlineStr">
        <is>
          <t>Night Cream</t>
        </is>
      </c>
      <c r="D24301" t="inlineStr">
        <is>
          <t>Bioderma</t>
        </is>
      </c>
      <c r="E24301" t="n">
        <v>22.31</v>
      </c>
      <c r="F24301" t="n">
        <v>1</v>
      </c>
      <c r="G24301" t="n">
        <v>5</v>
      </c>
      <c r="H24301" s="5">
        <f>HYPERLINK("https://api.qogita.com/variants/link/3701129800089/", "View Product")</f>
        <v/>
      </c>
    </row>
    <row r="24302">
      <c r="A24302" t="inlineStr">
        <is>
          <t>3701129801352</t>
        </is>
      </c>
      <c r="B24302" t="inlineStr">
        <is>
          <t>Bioderma Abcderm Coldcream 200ml Nourishing Face And Body Cream For Children</t>
        </is>
      </c>
      <c r="C24302" t="inlineStr">
        <is>
          <t>Baby Cream &amp; Oil</t>
        </is>
      </c>
      <c r="D24302" t="inlineStr">
        <is>
          <t>Bioderma</t>
        </is>
      </c>
      <c r="E24302" t="n">
        <v>11.2</v>
      </c>
      <c r="F24302" t="n">
        <v>1</v>
      </c>
      <c r="G24302" t="n">
        <v>35</v>
      </c>
      <c r="H24302" s="5">
        <f>HYPERLINK("https://api.qogita.com/variants/link/3701129801352/", "View Product")</f>
        <v/>
      </c>
    </row>
    <row r="24303">
      <c r="A24303" t="inlineStr">
        <is>
          <t>3701129801963</t>
        </is>
      </c>
      <c r="B24303" t="inlineStr">
        <is>
          <t>Bioderma Atoderm Intensive Eye 100ml Moisturizing Eye Care</t>
        </is>
      </c>
      <c r="C24303" t="inlineStr">
        <is>
          <t>Eye Cream</t>
        </is>
      </c>
      <c r="D24303" t="inlineStr">
        <is>
          <t>Bioderma</t>
        </is>
      </c>
      <c r="E24303" t="n">
        <v>12.08</v>
      </c>
      <c r="F24303" t="n">
        <v>1</v>
      </c>
      <c r="G24303" t="n">
        <v>16</v>
      </c>
      <c r="H24303" s="5">
        <f>HYPERLINK("https://api.qogita.com/variants/link/3701129801963/", "View Product")</f>
        <v/>
      </c>
    </row>
    <row r="24304">
      <c r="A24304" t="inlineStr">
        <is>
          <t>3701129803691</t>
        </is>
      </c>
      <c r="B24304" t="inlineStr">
        <is>
          <t>Bioderma Photoderm Akn Matifying Fluid Spf30 Cream 40ml</t>
        </is>
      </c>
      <c r="C24304" t="inlineStr">
        <is>
          <t>Face Sun Protection</t>
        </is>
      </c>
      <c r="D24304" t="inlineStr">
        <is>
          <t>Bioderma</t>
        </is>
      </c>
      <c r="E24304" t="n">
        <v>11.76</v>
      </c>
      <c r="F24304" t="n">
        <v>1</v>
      </c>
      <c r="G24304" t="n">
        <v>19</v>
      </c>
      <c r="H24304" s="5">
        <f>HYPERLINK("https://api.qogita.com/variants/link/3701129803691/", "View Product")</f>
        <v/>
      </c>
    </row>
    <row r="24305">
      <c r="A24305" t="inlineStr">
        <is>
          <t>3701129803806</t>
        </is>
      </c>
      <c r="B24305" t="inlineStr">
        <is>
          <t>Bioderma Photoderm Max Compact Golden Spf50 10g High Protection Sunscreen</t>
        </is>
      </c>
      <c r="C24305" t="inlineStr">
        <is>
          <t>Face Sun Protection</t>
        </is>
      </c>
      <c r="D24305" t="inlineStr">
        <is>
          <t>Bioderma</t>
        </is>
      </c>
      <c r="E24305" t="n">
        <v>17.68</v>
      </c>
      <c r="F24305" t="n">
        <v>1</v>
      </c>
      <c r="G24305" t="n">
        <v>5</v>
      </c>
      <c r="H24305" s="5">
        <f>HYPERLINK("https://api.qogita.com/variants/link/3701129803806/", "View Product")</f>
        <v/>
      </c>
    </row>
    <row r="24306">
      <c r="A24306" t="inlineStr">
        <is>
          <t>3701129804193</t>
        </is>
      </c>
      <c r="B24306" t="inlineStr">
        <is>
          <t>Bioderma Atoderm Mains Nourishing Hand Cream 50ml</t>
        </is>
      </c>
      <c r="C24306" t="inlineStr">
        <is>
          <t>Hand Cream</t>
        </is>
      </c>
      <c r="D24306" t="inlineStr">
        <is>
          <t>Bioderma</t>
        </is>
      </c>
      <c r="E24306" t="n">
        <v>5.29</v>
      </c>
      <c r="F24306" t="n">
        <v>1</v>
      </c>
      <c r="G24306" t="n">
        <v>9</v>
      </c>
      <c r="H24306" s="5">
        <f>HYPERLINK("https://api.qogita.com/variants/link/3701129804193/", "View Product")</f>
        <v/>
      </c>
    </row>
    <row r="24307">
      <c r="A24307" t="inlineStr">
        <is>
          <t>3701129804995</t>
        </is>
      </c>
      <c r="B24307" t="inlineStr">
        <is>
          <t>Bioderma Sensibio Defensive Serum Longlasting Soothing Moisturising Concentrate 30 Ml</t>
        </is>
      </c>
      <c r="C24307" t="inlineStr">
        <is>
          <t>Hydrating Serum</t>
        </is>
      </c>
      <c r="D24307" t="inlineStr">
        <is>
          <t>Bioderma</t>
        </is>
      </c>
      <c r="E24307" t="n">
        <v>19.33</v>
      </c>
      <c r="F24307" t="n">
        <v>1</v>
      </c>
      <c r="G24307" t="n">
        <v>16</v>
      </c>
      <c r="H24307" s="5">
        <f>HYPERLINK("https://api.qogita.com/variants/link/3701129804995/", "View Product")</f>
        <v/>
      </c>
    </row>
    <row r="24308">
      <c r="A24308" t="inlineStr">
        <is>
          <t>3701129806616</t>
        </is>
      </c>
      <c r="B24308" t="inlineStr">
        <is>
          <t>Bioderma Photoderm Bruma Invisible Spf50 150ml High Protection Sun Mist</t>
        </is>
      </c>
      <c r="C24308" t="inlineStr">
        <is>
          <t>Face Sun Protection</t>
        </is>
      </c>
      <c r="D24308" t="inlineStr">
        <is>
          <t>Bioderma</t>
        </is>
      </c>
      <c r="E24308" t="n">
        <v>14.48</v>
      </c>
      <c r="F24308" t="n">
        <v>1</v>
      </c>
      <c r="G24308" t="n">
        <v>8</v>
      </c>
      <c r="H24308" s="5">
        <f>HYPERLINK("https://api.qogita.com/variants/link/3701129806616/", "View Product")</f>
        <v/>
      </c>
    </row>
    <row r="24309">
      <c r="A24309" t="inlineStr">
        <is>
          <t>3701129807392</t>
        </is>
      </c>
      <c r="B24309" t="inlineStr">
        <is>
          <t>Bioderma Photoderm Aquafluid Spf 50 40 Ml</t>
        </is>
      </c>
      <c r="C24309" t="inlineStr">
        <is>
          <t>Face Sun Protection</t>
        </is>
      </c>
      <c r="D24309" t="inlineStr">
        <is>
          <t>Bioderma</t>
        </is>
      </c>
      <c r="E24309" t="n">
        <v>15.23</v>
      </c>
      <c r="F24309" t="n">
        <v>1</v>
      </c>
      <c r="G24309" t="n">
        <v>3</v>
      </c>
      <c r="H24309" s="5">
        <f>HYPERLINK("https://api.qogita.com/variants/link/3701129807392/", "View Product")</f>
        <v/>
      </c>
    </row>
    <row r="24310">
      <c r="A24310" t="inlineStr">
        <is>
          <t>3701129807897</t>
        </is>
      </c>
      <c r="B24310" t="inlineStr">
        <is>
          <t>Bioderma Photoderm Eau Solaire Antiox Spf50 200ml Sunscreen</t>
        </is>
      </c>
      <c r="C24310" t="inlineStr">
        <is>
          <t>Face Sun Protection</t>
        </is>
      </c>
      <c r="D24310" t="inlineStr">
        <is>
          <t>Bioderma</t>
        </is>
      </c>
      <c r="E24310" t="n">
        <v>17.68</v>
      </c>
      <c r="F24310" t="n">
        <v>1</v>
      </c>
      <c r="G24310" t="n">
        <v>5</v>
      </c>
      <c r="H24310" s="5">
        <f>HYPERLINK("https://api.qogita.com/variants/link/3701129807897/", "View Product")</f>
        <v/>
      </c>
    </row>
    <row r="24311">
      <c r="A24311" t="inlineStr">
        <is>
          <t>3701129809280</t>
        </is>
      </c>
      <c r="B24311" t="inlineStr">
        <is>
          <t>Bioderma Sbium Antiimperfection Smoothing Serum Concentrate 30ml</t>
        </is>
      </c>
      <c r="C24311" t="inlineStr">
        <is>
          <t>Hydrating Serum</t>
        </is>
      </c>
      <c r="D24311" t="inlineStr">
        <is>
          <t>Bioderma</t>
        </is>
      </c>
      <c r="E24311" t="n">
        <v>15.98</v>
      </c>
      <c r="F24311" t="n">
        <v>1</v>
      </c>
      <c r="G24311" t="n">
        <v>10</v>
      </c>
      <c r="H24311" s="5">
        <f>HYPERLINK("https://api.qogita.com/variants/link/3701129809280/", "View Product")</f>
        <v/>
      </c>
    </row>
    <row r="24312">
      <c r="A24312" t="inlineStr">
        <is>
          <t>3701129809334</t>
        </is>
      </c>
      <c r="B24312" t="inlineStr">
        <is>
          <t>Hydrabio Hyalu+ Serum 30ml</t>
        </is>
      </c>
      <c r="C24312" t="inlineStr">
        <is>
          <t>Hyaluronic Acid Serum</t>
        </is>
      </c>
      <c r="D24312" t="inlineStr">
        <is>
          <t>Bioderma</t>
        </is>
      </c>
      <c r="E24312" t="n">
        <v>21.27</v>
      </c>
      <c r="F24312" t="n">
        <v>1</v>
      </c>
      <c r="G24312" t="n">
        <v>2</v>
      </c>
      <c r="H24312" s="5">
        <f>HYPERLINK("https://api.qogita.com/variants/link/3701129809334/", "View Product")</f>
        <v/>
      </c>
    </row>
    <row r="24313">
      <c r="A24313" t="inlineStr">
        <is>
          <t>3701129811702</t>
        </is>
      </c>
      <c r="B24313" t="inlineStr">
        <is>
          <t>Bioderma Hydrabio Micellar Water 500ml</t>
        </is>
      </c>
      <c r="C24313" t="inlineStr">
        <is>
          <t>Micellar Water</t>
        </is>
      </c>
      <c r="D24313" t="inlineStr">
        <is>
          <t>Bioderma</t>
        </is>
      </c>
      <c r="E24313" t="n">
        <v>12.35</v>
      </c>
      <c r="F24313" t="n">
        <v>1</v>
      </c>
      <c r="G24313" t="n">
        <v>42</v>
      </c>
      <c r="H24313" s="5">
        <f>HYPERLINK("https://api.qogita.com/variants/link/3701129811702/", "View Product")</f>
        <v/>
      </c>
    </row>
    <row r="24314">
      <c r="A24314" t="inlineStr">
        <is>
          <t>3701129813652</t>
        </is>
      </c>
      <c r="B24314" t="inlineStr">
        <is>
          <t>Photoderm Xdefense Ultra Fluid SPF 50+ 40ml Shade 04 - Brown</t>
        </is>
      </c>
      <c r="C24314" t="inlineStr">
        <is>
          <t>Face Sun Protection</t>
        </is>
      </c>
      <c r="D24314" t="inlineStr">
        <is>
          <t>Bioderma</t>
        </is>
      </c>
      <c r="E24314" t="n">
        <v>14.84</v>
      </c>
      <c r="F24314" t="n">
        <v>1</v>
      </c>
      <c r="G24314" t="n">
        <v>3</v>
      </c>
      <c r="H24314" s="5">
        <f>HYPERLINK("https://api.qogita.com/variants/link/3701129813652/", "View Product")</f>
        <v/>
      </c>
    </row>
    <row r="24315">
      <c r="A24315" t="inlineStr">
        <is>
          <t>3701415901339</t>
        </is>
      </c>
      <c r="B24315" t="inlineStr">
        <is>
          <t>Initio Parfums Prives Blessed Baraka Eau De Parfum Spray 90ml</t>
        </is>
      </c>
      <c r="C24315" t="inlineStr">
        <is>
          <t>Eau De Parfum</t>
        </is>
      </c>
      <c r="D24315" t="inlineStr">
        <is>
          <t>Initio Parfums Prives</t>
        </is>
      </c>
      <c r="E24315" t="n">
        <v>165.51</v>
      </c>
      <c r="F24315" t="n">
        <v>1</v>
      </c>
      <c r="G24315" t="n">
        <v>21</v>
      </c>
      <c r="H24315" s="5">
        <f>HYPERLINK("https://api.qogita.com/variants/link/3701415901339/", "View Product")</f>
        <v/>
      </c>
    </row>
    <row r="24316">
      <c r="A24316" t="inlineStr">
        <is>
          <t>3701436909000</t>
        </is>
      </c>
      <c r="B24316" t="inlineStr">
        <is>
          <t>Lierac Lift Integral Eye Lift Care 15ml</t>
        </is>
      </c>
      <c r="C24316" t="inlineStr">
        <is>
          <t>Eye Cream</t>
        </is>
      </c>
      <c r="D24316" t="inlineStr">
        <is>
          <t>Lierac</t>
        </is>
      </c>
      <c r="E24316" t="n">
        <v>24.04</v>
      </c>
      <c r="F24316" t="n">
        <v>1</v>
      </c>
      <c r="G24316" t="n">
        <v>11</v>
      </c>
      <c r="H24316" s="5">
        <f>HYPERLINK("https://api.qogita.com/variants/link/3701436909000/", "View Product")</f>
        <v/>
      </c>
    </row>
    <row r="24317">
      <c r="A24317" t="inlineStr">
        <is>
          <t>3701436909031</t>
        </is>
      </c>
      <c r="B24317" t="inlineStr">
        <is>
          <t>Lierac Lift Integral Firming Face Serum 30ml</t>
        </is>
      </c>
      <c r="C24317" t="inlineStr">
        <is>
          <t>Anti-Aging Serum</t>
        </is>
      </c>
      <c r="D24317" t="inlineStr">
        <is>
          <t>Lierac</t>
        </is>
      </c>
      <c r="E24317" t="n">
        <v>32.46</v>
      </c>
      <c r="F24317" t="n">
        <v>1</v>
      </c>
      <c r="G24317" t="n">
        <v>13</v>
      </c>
      <c r="H24317" s="5">
        <f>HYPERLINK("https://api.qogita.com/variants/link/3701436909031/", "View Product")</f>
        <v/>
      </c>
    </row>
    <row r="24318">
      <c r="A24318" t="inlineStr">
        <is>
          <t>3701436912086</t>
        </is>
      </c>
      <c r="B24318" t="inlineStr">
        <is>
          <t>Lierac Body-Nutri Regenerating Peeling For Body 200ml</t>
        </is>
      </c>
      <c r="C24318" t="inlineStr">
        <is>
          <t>Body Care Sets</t>
        </is>
      </c>
      <c r="D24318" t="inlineStr">
        <is>
          <t>Lierac</t>
        </is>
      </c>
      <c r="E24318" t="n">
        <v>11.29</v>
      </c>
      <c r="F24318" t="n">
        <v>1</v>
      </c>
      <c r="G24318" t="n">
        <v>5</v>
      </c>
      <c r="H24318" s="5">
        <f>HYPERLINK("https://api.qogita.com/variants/link/3701436912086/", "View Product")</f>
        <v/>
      </c>
    </row>
    <row r="24319">
      <c r="A24319" t="inlineStr">
        <is>
          <t>3701436912369</t>
        </is>
      </c>
      <c r="B24319" t="inlineStr">
        <is>
          <t>Roger &amp; Gallet Jean Marie Farina Eau De Cologne Spray For Women/Men 200ml 30ml</t>
        </is>
      </c>
      <c r="C24319" t="inlineStr">
        <is>
          <t>Eau De Cologne</t>
        </is>
      </c>
      <c r="D24319" t="inlineStr">
        <is>
          <t>Roger &amp; Gallet</t>
        </is>
      </c>
      <c r="E24319" t="n">
        <v>10.08</v>
      </c>
      <c r="F24319" t="n">
        <v>1</v>
      </c>
      <c r="G24319" t="n">
        <v>3</v>
      </c>
      <c r="H24319" s="5">
        <f>HYPERLINK("https://api.qogita.com/variants/link/3701436912369/", "View Product")</f>
        <v/>
      </c>
    </row>
    <row r="24320">
      <c r="A24320" t="inlineStr">
        <is>
          <t>3701436915735</t>
        </is>
      </c>
      <c r="B24320" t="inlineStr">
        <is>
          <t>Phyto Paris Color Radiance Enhancer Conditioner 175 Ml</t>
        </is>
      </c>
      <c r="C24320" t="inlineStr">
        <is>
          <t>Conditioner</t>
        </is>
      </c>
      <c r="D24320" t="inlineStr">
        <is>
          <t>Phyto</t>
        </is>
      </c>
      <c r="E24320" t="n">
        <v>11.96</v>
      </c>
      <c r="F24320" t="n">
        <v>1</v>
      </c>
      <c r="G24320" t="n">
        <v>2</v>
      </c>
      <c r="H24320" s="5">
        <f>HYPERLINK("https://api.qogita.com/variants/link/3701436915735/", "View Product")</f>
        <v/>
      </c>
    </row>
    <row r="24321">
      <c r="A24321" t="inlineStr">
        <is>
          <t>3701436917548</t>
        </is>
      </c>
      <c r="B24321" t="inlineStr">
        <is>
          <t>Lierac Sunissime Protective Sun Stick Spf 50 10g</t>
        </is>
      </c>
      <c r="C24321" t="inlineStr">
        <is>
          <t>Face Sun Protection</t>
        </is>
      </c>
      <c r="D24321" t="inlineStr">
        <is>
          <t>Lierac</t>
        </is>
      </c>
      <c r="E24321" t="n">
        <v>12.68</v>
      </c>
      <c r="F24321" t="n">
        <v>1</v>
      </c>
      <c r="G24321" t="n">
        <v>6</v>
      </c>
      <c r="H24321" s="5">
        <f>HYPERLINK("https://api.qogita.com/variants/link/3701436917548/", "View Product")</f>
        <v/>
      </c>
    </row>
    <row r="24322">
      <c r="A24322" t="inlineStr">
        <is>
          <t>3701436917890</t>
        </is>
      </c>
      <c r="B24322" t="inlineStr">
        <is>
          <t>Lierac Premium The Voluptuous Cream Nourishing Skin Cream With Antiaging Effect 50 Ml</t>
        </is>
      </c>
      <c r="C24322" t="inlineStr">
        <is>
          <t>Anti-Aging Facial Care</t>
        </is>
      </c>
      <c r="D24322" t="inlineStr">
        <is>
          <t>Lierac</t>
        </is>
      </c>
      <c r="E24322" t="n">
        <v>80.67</v>
      </c>
      <c r="F24322" t="n">
        <v>1</v>
      </c>
      <c r="G24322" t="n">
        <v>25</v>
      </c>
      <c r="H24322" s="5">
        <f>HYPERLINK("https://api.qogita.com/variants/link/3701436917890/", "View Product")</f>
        <v/>
      </c>
    </row>
    <row r="24323">
      <c r="A24323" t="inlineStr">
        <is>
          <t>3701436920333</t>
        </is>
      </c>
      <c r="B24323" t="inlineStr">
        <is>
          <t>Phyto Softness Shampoo 500ml</t>
        </is>
      </c>
      <c r="C24323" t="inlineStr">
        <is>
          <t>Shampoo</t>
        </is>
      </c>
      <c r="D24323" t="inlineStr">
        <is>
          <t>Phyto</t>
        </is>
      </c>
      <c r="E24323" t="n">
        <v>12.41</v>
      </c>
      <c r="F24323" t="n">
        <v>1</v>
      </c>
      <c r="G24323" t="n">
        <v>3</v>
      </c>
      <c r="H24323" s="5">
        <f>HYPERLINK("https://api.qogita.com/variants/link/3701436920333/", "View Product")</f>
        <v/>
      </c>
    </row>
    <row r="24324">
      <c r="A24324" t="inlineStr">
        <is>
          <t>3701436924416</t>
        </is>
      </c>
      <c r="B24324" t="inlineStr">
        <is>
          <t>Lierac Cof Homme Anti-Aging Cream 50ml + Shower Gel 200ml</t>
        </is>
      </c>
      <c r="C24324" t="inlineStr">
        <is>
          <t>Anti-Aging Facial Care</t>
        </is>
      </c>
      <c r="D24324" t="inlineStr">
        <is>
          <t>Lierac</t>
        </is>
      </c>
      <c r="E24324" t="n">
        <v>21.71</v>
      </c>
      <c r="F24324" t="n">
        <v>1</v>
      </c>
      <c r="G24324" t="n">
        <v>13</v>
      </c>
      <c r="H24324" s="5">
        <f>HYPERLINK("https://api.qogita.com/variants/link/3701436924416/", "View Product")</f>
        <v/>
      </c>
    </row>
    <row r="24325">
      <c r="A24325" t="inlineStr">
        <is>
          <t>3701436924454</t>
        </is>
      </c>
      <c r="B24325" t="inlineStr">
        <is>
          <t>Lierac Hydragenist Cream 50ml Eye Contour</t>
        </is>
      </c>
      <c r="C24325" t="inlineStr">
        <is>
          <t>Eye Cream</t>
        </is>
      </c>
      <c r="D24325" t="inlineStr">
        <is>
          <t>Lierac</t>
        </is>
      </c>
      <c r="E24325" t="n">
        <v>34.88</v>
      </c>
      <c r="F24325" t="n">
        <v>1</v>
      </c>
      <c r="G24325" t="n">
        <v>14</v>
      </c>
      <c r="H24325" s="5">
        <f>HYPERLINK("https://api.qogita.com/variants/link/3701436924454/", "View Product")</f>
        <v/>
      </c>
    </row>
    <row r="24326">
      <c r="A24326" t="inlineStr">
        <is>
          <t>3701436924461</t>
        </is>
      </c>
      <c r="B24326" t="inlineStr">
        <is>
          <t>Lierac Hydragenist Gel Cream 50ml Eye Contour</t>
        </is>
      </c>
      <c r="C24326" t="inlineStr">
        <is>
          <t>Eye Gel</t>
        </is>
      </c>
      <c r="D24326" t="inlineStr">
        <is>
          <t>Lierac</t>
        </is>
      </c>
      <c r="E24326" t="n">
        <v>34.88</v>
      </c>
      <c r="F24326" t="n">
        <v>1</v>
      </c>
      <c r="G24326" t="n">
        <v>16</v>
      </c>
      <c r="H24326" s="5">
        <f>HYPERLINK("https://api.qogita.com/variants/link/3701436924461/", "View Product")</f>
        <v/>
      </c>
    </row>
    <row r="24327">
      <c r="A24327" t="inlineStr">
        <is>
          <t>3701436927486</t>
        </is>
      </c>
      <c r="B24327" t="inlineStr">
        <is>
          <t>Lierac Lift Integral Firming Day Cream Neck Cream Set 2 Pieces</t>
        </is>
      </c>
      <c r="C24327" t="inlineStr">
        <is>
          <t>Facial Care Sets</t>
        </is>
      </c>
      <c r="D24327" t="inlineStr">
        <is>
          <t>Lierac</t>
        </is>
      </c>
      <c r="E24327" t="n">
        <v>40.47</v>
      </c>
      <c r="F24327" t="n">
        <v>1</v>
      </c>
      <c r="G24327" t="n">
        <v>11</v>
      </c>
      <c r="H24327" s="5">
        <f>HYPERLINK("https://api.qogita.com/variants/link/3701436927486/", "View Product")</f>
        <v/>
      </c>
    </row>
    <row r="24328">
      <c r="A24328" t="inlineStr">
        <is>
          <t>3701436927592</t>
        </is>
      </c>
      <c r="B24328" t="inlineStr">
        <is>
          <t>Lierac Hydragenist Moisturizing Gel-Cream Radiance Set 2 Pieces</t>
        </is>
      </c>
      <c r="C24328" t="inlineStr">
        <is>
          <t>Facial Care Sets</t>
        </is>
      </c>
      <c r="D24328" t="inlineStr">
        <is>
          <t>Lierac</t>
        </is>
      </c>
      <c r="E24328" t="n">
        <v>28.19</v>
      </c>
      <c r="F24328" t="n">
        <v>1</v>
      </c>
      <c r="G24328" t="n">
        <v>17</v>
      </c>
      <c r="H24328" s="5">
        <f>HYPERLINK("https://api.qogita.com/variants/link/3701436927592/", "View Product")</f>
        <v/>
      </c>
    </row>
    <row r="24329">
      <c r="A24329" t="inlineStr">
        <is>
          <t>3760004322443</t>
        </is>
      </c>
      <c r="B24329" t="inlineStr">
        <is>
          <t>SAINT HILAIRE Private Red Eau de Parfum for Men 100ml</t>
        </is>
      </c>
      <c r="C24329" t="inlineStr">
        <is>
          <t>Eau De Parfum</t>
        </is>
      </c>
      <c r="D24329" t="inlineStr">
        <is>
          <t>Saint Hilaire</t>
        </is>
      </c>
      <c r="E24329" t="n">
        <v>17.06</v>
      </c>
      <c r="F24329" t="n">
        <v>1</v>
      </c>
      <c r="G24329" t="n">
        <v>4</v>
      </c>
      <c r="H24329" s="5">
        <f>HYPERLINK("https://api.qogita.com/variants/link/3760004322443/", "View Product")</f>
        <v/>
      </c>
    </row>
    <row r="24330">
      <c r="A24330" t="inlineStr">
        <is>
          <t>3760016770300</t>
        </is>
      </c>
      <c r="B24330" t="inlineStr">
        <is>
          <t>Alexandre J Rose Oud Eau De Parfum 100ml Unisex Spray</t>
        </is>
      </c>
      <c r="C24330" t="inlineStr">
        <is>
          <t>Eau De Parfum</t>
        </is>
      </c>
      <c r="D24330" t="inlineStr">
        <is>
          <t>Alexandre J</t>
        </is>
      </c>
      <c r="E24330" t="n">
        <v>58.46</v>
      </c>
      <c r="F24330" t="n">
        <v>1</v>
      </c>
      <c r="G24330" t="n">
        <v>19</v>
      </c>
      <c r="H24330" s="5">
        <f>HYPERLINK("https://api.qogita.com/variants/link/3760016770300/", "View Product")</f>
        <v/>
      </c>
    </row>
    <row r="24331">
      <c r="A24331" t="inlineStr">
        <is>
          <t>3760016770317</t>
        </is>
      </c>
      <c r="B24331" t="inlineStr">
        <is>
          <t>Alexandre.J Silver Ombre Eau De Parfum Spray 100ml</t>
        </is>
      </c>
      <c r="C24331" t="inlineStr">
        <is>
          <t>Eau De Parfum</t>
        </is>
      </c>
      <c r="D24331" t="inlineStr">
        <is>
          <t>Alexandre.J</t>
        </is>
      </c>
      <c r="E24331" t="n">
        <v>47.68</v>
      </c>
      <c r="F24331" t="n">
        <v>1</v>
      </c>
      <c r="G24331" t="n">
        <v>7</v>
      </c>
      <c r="H24331" s="5">
        <f>HYPERLINK("https://api.qogita.com/variants/link/3760016770317/", "View Product")</f>
        <v/>
      </c>
    </row>
    <row r="24332">
      <c r="A24332" t="inlineStr">
        <is>
          <t>3760019129471</t>
        </is>
      </c>
      <c r="B24332" t="inlineStr">
        <is>
          <t>Soskin Paris Rich Moisturising Protective Care 60 Ml</t>
        </is>
      </c>
      <c r="C24332" t="inlineStr">
        <is>
          <t>Face Cream</t>
        </is>
      </c>
      <c r="D24332" t="inlineStr">
        <is>
          <t>Soskin Paris</t>
        </is>
      </c>
      <c r="E24332" t="n">
        <v>20.78</v>
      </c>
      <c r="F24332" t="n">
        <v>1</v>
      </c>
      <c r="G24332" t="n">
        <v>4</v>
      </c>
      <c r="H24332" s="5">
        <f>HYPERLINK("https://api.qogita.com/variants/link/3760019129471/", "View Product")</f>
        <v/>
      </c>
    </row>
    <row r="24333">
      <c r="A24333" t="inlineStr">
        <is>
          <t>3760022731326</t>
        </is>
      </c>
      <c r="B24333" t="inlineStr">
        <is>
          <t>Juliette Has A Gun Luxury Edition In The Mood For Oud EDP 75ml</t>
        </is>
      </c>
      <c r="C24333" t="inlineStr">
        <is>
          <t>Eau De Parfum</t>
        </is>
      </c>
      <c r="D24333" t="inlineStr">
        <is>
          <t>Juliette has a gun</t>
        </is>
      </c>
      <c r="E24333" t="n">
        <v>96.17</v>
      </c>
      <c r="F24333" t="n">
        <v>1</v>
      </c>
      <c r="G24333" t="n">
        <v>4</v>
      </c>
      <c r="H24333" s="5">
        <f>HYPERLINK("https://api.qogita.com/variants/link/3760022731326/", "View Product")</f>
        <v/>
      </c>
    </row>
    <row r="24334">
      <c r="A24334" t="inlineStr">
        <is>
          <t>3760022731760</t>
        </is>
      </c>
      <c r="B24334" t="inlineStr">
        <is>
          <t>Juliette Has A Gun Lipstick Fever Eau De Parfum 50ml</t>
        </is>
      </c>
      <c r="C24334" t="inlineStr">
        <is>
          <t>Eau De Parfum</t>
        </is>
      </c>
      <c r="D24334" t="inlineStr">
        <is>
          <t>Juliette has a gun</t>
        </is>
      </c>
      <c r="E24334" t="n">
        <v>39.17</v>
      </c>
      <c r="F24334" t="n">
        <v>1</v>
      </c>
      <c r="G24334" t="n">
        <v>5</v>
      </c>
      <c r="H24334" s="5">
        <f>HYPERLINK("https://api.qogita.com/variants/link/3760022731760/", "View Product")</f>
        <v/>
      </c>
    </row>
    <row r="24335">
      <c r="A24335" t="inlineStr">
        <is>
          <t>3760022733122</t>
        </is>
      </c>
      <c r="B24335" t="inlineStr">
        <is>
          <t>Juliette Has A Gun Lili Fantasy Eau De Parfum 50ml</t>
        </is>
      </c>
      <c r="C24335" t="inlineStr">
        <is>
          <t>Eau De Parfum</t>
        </is>
      </c>
      <c r="D24335" t="inlineStr">
        <is>
          <t>Juliette has a gun</t>
        </is>
      </c>
      <c r="E24335" t="n">
        <v>38.91</v>
      </c>
      <c r="F24335" t="n">
        <v>1</v>
      </c>
      <c r="G24335" t="n">
        <v>6</v>
      </c>
      <c r="H24335" s="5">
        <f>HYPERLINK("https://api.qogita.com/variants/link/3760022733122/", "View Product")</f>
        <v/>
      </c>
    </row>
    <row r="24336">
      <c r="A24336" t="inlineStr">
        <is>
          <t>3760022733146</t>
        </is>
      </c>
      <c r="B24336" t="inlineStr">
        <is>
          <t>Juliette Has A Gun Lili Fantasy Eau De Parfum Spray 100ml</t>
        </is>
      </c>
      <c r="C24336" t="inlineStr">
        <is>
          <t>Eau De Parfum</t>
        </is>
      </c>
      <c r="D24336" t="inlineStr">
        <is>
          <t>Juliette has a gun</t>
        </is>
      </c>
      <c r="E24336" t="n">
        <v>54.6</v>
      </c>
      <c r="F24336" t="n">
        <v>1</v>
      </c>
      <c r="G24336" t="n">
        <v>2</v>
      </c>
      <c r="H24336" s="5">
        <f>HYPERLINK("https://api.qogita.com/variants/link/3760022733146/", "View Product")</f>
        <v/>
      </c>
    </row>
    <row r="24337">
      <c r="A24337" t="inlineStr">
        <is>
          <t>3760027140192</t>
        </is>
      </c>
      <c r="B24337" t="inlineStr">
        <is>
          <t>Atelier Des Ors Iris Fauve Eau De Parfum 100ml Spray Unisex</t>
        </is>
      </c>
      <c r="C24337" t="inlineStr">
        <is>
          <t>Eau De Parfum</t>
        </is>
      </c>
      <c r="D24337" t="inlineStr">
        <is>
          <t>Atelier Des Ors</t>
        </is>
      </c>
      <c r="E24337" t="n">
        <v>96.48999999999999</v>
      </c>
      <c r="F24337" t="n">
        <v>1</v>
      </c>
      <c r="G24337" t="n">
        <v>5</v>
      </c>
      <c r="H24337" s="5">
        <f>HYPERLINK("https://api.qogita.com/variants/link/3760027140192/", "View Product")</f>
        <v/>
      </c>
    </row>
    <row r="24338">
      <c r="A24338" t="inlineStr">
        <is>
          <t>3760027140505</t>
        </is>
      </c>
      <c r="B24338" t="inlineStr">
        <is>
          <t>Atelier Des Ors Riviera Lazuli Eau De Parfum 100ml 3.3oz</t>
        </is>
      </c>
      <c r="C24338" t="inlineStr">
        <is>
          <t>Eau De Parfum</t>
        </is>
      </c>
      <c r="D24338" t="inlineStr">
        <is>
          <t>Atelier Cologne</t>
        </is>
      </c>
      <c r="E24338" t="n">
        <v>117</v>
      </c>
      <c r="F24338" t="n">
        <v>1</v>
      </c>
      <c r="G24338" t="n">
        <v>7</v>
      </c>
      <c r="H24338" s="5">
        <f>HYPERLINK("https://api.qogita.com/variants/link/3760027140505/", "View Product")</f>
        <v/>
      </c>
    </row>
    <row r="24339">
      <c r="A24339" t="inlineStr">
        <is>
          <t>3760027140734</t>
        </is>
      </c>
      <c r="B24339" t="inlineStr">
        <is>
          <t>Blanc Polychrome Eau De Parfum 100ml</t>
        </is>
      </c>
      <c r="C24339" t="inlineStr">
        <is>
          <t>Eau De Parfum</t>
        </is>
      </c>
      <c r="D24339" t="inlineStr">
        <is>
          <t>Atelier Des Ors</t>
        </is>
      </c>
      <c r="E24339" t="n">
        <v>115.96</v>
      </c>
      <c r="F24339" t="n">
        <v>1</v>
      </c>
      <c r="G24339" t="n">
        <v>13</v>
      </c>
      <c r="H24339" s="5">
        <f>HYPERLINK("https://api.qogita.com/variants/link/3760027140734/", "View Product")</f>
        <v/>
      </c>
    </row>
    <row r="24340">
      <c r="A24340" t="inlineStr">
        <is>
          <t>3760035450009</t>
        </is>
      </c>
      <c r="B24340" t="inlineStr">
        <is>
          <t>Bouquet de Hongrie Eau de Parfum Volume 100 ml</t>
        </is>
      </c>
      <c r="C24340" t="inlineStr">
        <is>
          <t>Eau De Parfum</t>
        </is>
      </c>
      <c r="D24340" t="inlineStr">
        <is>
          <t>Bdk Parfums</t>
        </is>
      </c>
      <c r="E24340" t="n">
        <v>105.79</v>
      </c>
      <c r="F24340" t="n">
        <v>1</v>
      </c>
      <c r="G24340" t="n">
        <v>20</v>
      </c>
      <c r="H24340" s="5">
        <f>HYPERLINK("https://api.qogita.com/variants/link/3760035450009/", "View Product")</f>
        <v/>
      </c>
    </row>
    <row r="24341">
      <c r="A24341" t="inlineStr">
        <is>
          <t>3760035450160</t>
        </is>
      </c>
      <c r="B24341" t="inlineStr">
        <is>
          <t>BDK Eau De Parfum Nuit De Sable 100ml</t>
        </is>
      </c>
      <c r="C24341" t="inlineStr">
        <is>
          <t>Eau De Parfum</t>
        </is>
      </c>
      <c r="D24341" t="inlineStr">
        <is>
          <t>Bdk Parfums</t>
        </is>
      </c>
      <c r="E24341" t="n">
        <v>98.40000000000001</v>
      </c>
      <c r="F24341" t="n">
        <v>1</v>
      </c>
      <c r="G24341" t="n">
        <v>6</v>
      </c>
      <c r="H24341" s="5">
        <f>HYPERLINK("https://api.qogita.com/variants/link/3760035450160/", "View Product")</f>
        <v/>
      </c>
    </row>
    <row r="24342">
      <c r="A24342" t="inlineStr">
        <is>
          <t>3760035450221</t>
        </is>
      </c>
      <c r="B24342" t="inlineStr">
        <is>
          <t>BDK Eau de Parfum 100 Vapo Red Smoking</t>
        </is>
      </c>
      <c r="C24342" t="inlineStr">
        <is>
          <t>Eau De Parfum</t>
        </is>
      </c>
      <c r="D24342" t="inlineStr">
        <is>
          <t>Bdk Parfums</t>
        </is>
      </c>
      <c r="E24342" t="n">
        <v>159.84</v>
      </c>
      <c r="F24342" t="n">
        <v>1</v>
      </c>
      <c r="G24342" t="n">
        <v>4</v>
      </c>
      <c r="H24342" s="5">
        <f>HYPERLINK("https://api.qogita.com/variants/link/3760035450221/", "View Product")</f>
        <v/>
      </c>
    </row>
    <row r="24343">
      <c r="A24343" t="inlineStr">
        <is>
          <t>3760035451037</t>
        </is>
      </c>
      <c r="B24343" t="inlineStr">
        <is>
          <t>Bdk Perfumes 312 Saint-Honore Eau De Parfum 100ml</t>
        </is>
      </c>
      <c r="C24343" t="inlineStr">
        <is>
          <t>Eau De Parfum</t>
        </is>
      </c>
      <c r="D24343" t="inlineStr">
        <is>
          <t>Bdk Parfums</t>
        </is>
      </c>
      <c r="E24343" t="n">
        <v>108.04</v>
      </c>
      <c r="F24343" t="n">
        <v>1</v>
      </c>
      <c r="G24343" t="n">
        <v>79</v>
      </c>
      <c r="H24343" s="5">
        <f>HYPERLINK("https://api.qogita.com/variants/link/3760035451037/", "View Product")</f>
        <v/>
      </c>
    </row>
    <row r="24344">
      <c r="A24344" t="inlineStr">
        <is>
          <t>3760040110011</t>
        </is>
      </c>
      <c r="B24344" t="inlineStr">
        <is>
          <t>First Note Eau De Parfum Lys Toscana 100ml</t>
        </is>
      </c>
      <c r="C24344" t="inlineStr">
        <is>
          <t>Eau De Parfum</t>
        </is>
      </c>
      <c r="D24344" t="inlineStr">
        <is>
          <t>Premiere Note</t>
        </is>
      </c>
      <c r="E24344" t="n">
        <v>37.71</v>
      </c>
      <c r="F24344" t="n">
        <v>1</v>
      </c>
      <c r="G24344" t="n">
        <v>10</v>
      </c>
      <c r="H24344" s="5">
        <f>HYPERLINK("https://api.qogita.com/variants/link/3760040110011/", "View Product")</f>
        <v/>
      </c>
    </row>
    <row r="24345">
      <c r="A24345" t="inlineStr">
        <is>
          <t>3760048796118</t>
        </is>
      </c>
      <c r="B24345" t="inlineStr">
        <is>
          <t>Mauboussin Pour Homme Eau De Perfume Spray 100ml</t>
        </is>
      </c>
      <c r="C24345" t="inlineStr">
        <is>
          <t>Eau De Parfum</t>
        </is>
      </c>
      <c r="D24345" t="inlineStr">
        <is>
          <t>Mauboussin</t>
        </is>
      </c>
      <c r="E24345" t="n">
        <v>22.64</v>
      </c>
      <c r="F24345" t="n">
        <v>1</v>
      </c>
      <c r="G24345" t="n">
        <v>3</v>
      </c>
      <c r="H24345" s="5">
        <f>HYPERLINK("https://api.qogita.com/variants/link/3760048796118/", "View Product")</f>
        <v/>
      </c>
    </row>
    <row r="24346">
      <c r="A24346" t="inlineStr">
        <is>
          <t>3760048931687</t>
        </is>
      </c>
      <c r="B24346" t="inlineStr">
        <is>
          <t>Kaloo K893168 Scented Water 100ml and Maxi Fluffy Blue</t>
        </is>
      </c>
      <c r="C24346" t="inlineStr">
        <is>
          <t>Diffusers</t>
        </is>
      </c>
      <c r="D24346" t="inlineStr">
        <is>
          <t>Kaloo</t>
        </is>
      </c>
      <c r="E24346" t="n">
        <v>14.68</v>
      </c>
      <c r="F24346" t="n">
        <v>1</v>
      </c>
      <c r="G24346" t="n">
        <v>2</v>
      </c>
      <c r="H24346" s="5">
        <f>HYPERLINK("https://api.qogita.com/variants/link/3760048931687/", "View Product")</f>
        <v/>
      </c>
    </row>
    <row r="24347">
      <c r="A24347" t="inlineStr">
        <is>
          <t>3760084670199</t>
        </is>
      </c>
      <c r="B24347" t="inlineStr">
        <is>
          <t>Bois &amp; Pluie by Pascal Morabito Eau de Toilette Spray 200ml</t>
        </is>
      </c>
      <c r="C24347" t="inlineStr">
        <is>
          <t>Eau De Toilette</t>
        </is>
      </c>
      <c r="D24347" t="inlineStr">
        <is>
          <t>Pascal Morabito</t>
        </is>
      </c>
      <c r="E24347" t="n">
        <v>11.15</v>
      </c>
      <c r="F24347" t="n">
        <v>1</v>
      </c>
      <c r="G24347" t="n">
        <v>3</v>
      </c>
      <c r="H24347" s="5">
        <f>HYPERLINK("https://api.qogita.com/variants/link/3760084670199/", "View Product")</f>
        <v/>
      </c>
    </row>
    <row r="24348">
      <c r="A24348" t="inlineStr">
        <is>
          <t>3760095250021</t>
        </is>
      </c>
      <c r="B24348" t="inlineStr">
        <is>
          <t>VITIX Pigmentation Regulating Gel for Vitiligo Care 50ml</t>
        </is>
      </c>
      <c r="C24348" t="inlineStr">
        <is>
          <t>Neurodermatitis</t>
        </is>
      </c>
      <c r="D24348" t="inlineStr">
        <is>
          <t>E.N.S. Srl</t>
        </is>
      </c>
      <c r="E24348" t="n">
        <v>31.83</v>
      </c>
      <c r="F24348" t="n">
        <v>1</v>
      </c>
      <c r="G24348" t="n">
        <v>60</v>
      </c>
      <c r="H24348" s="5">
        <f>HYPERLINK("https://api.qogita.com/variants/link/3760095250021/", "View Product")</f>
        <v/>
      </c>
    </row>
    <row r="24349">
      <c r="A24349" t="inlineStr">
        <is>
          <t>3760095250281</t>
        </is>
      </c>
      <c r="B24349" t="inlineStr">
        <is>
          <t>Acm Sebionex K Keratoregulating Cream 40 Ml For Problematic Skin With Aha Acid</t>
        </is>
      </c>
      <c r="C24349" t="inlineStr">
        <is>
          <t>Pimple &amp; Blackhead Treatments</t>
        </is>
      </c>
      <c r="D24349" t="inlineStr">
        <is>
          <t>Acm</t>
        </is>
      </c>
      <c r="E24349" t="n">
        <v>13.01</v>
      </c>
      <c r="F24349" t="n">
        <v>1</v>
      </c>
      <c r="G24349" t="n">
        <v>10</v>
      </c>
      <c r="H24349" s="5">
        <f>HYPERLINK("https://api.qogita.com/variants/link/3760095250281/", "View Product")</f>
        <v/>
      </c>
    </row>
    <row r="24350">
      <c r="A24350" t="inlineStr">
        <is>
          <t>3760095250441</t>
        </is>
      </c>
      <c r="B24350" t="inlineStr">
        <is>
          <t>ACM Depiwhite Advanced Anti-Spot Cream 40mL</t>
        </is>
      </c>
      <c r="C24350" t="inlineStr">
        <is>
          <t>Anti-Pigmentation Spot Cream</t>
        </is>
      </c>
      <c r="D24350" t="inlineStr">
        <is>
          <t>Mac Tools</t>
        </is>
      </c>
      <c r="E24350" t="n">
        <v>22.46</v>
      </c>
      <c r="F24350" t="n">
        <v>1</v>
      </c>
      <c r="G24350" t="n">
        <v>6</v>
      </c>
      <c r="H24350" s="5">
        <f>HYPERLINK("https://api.qogita.com/variants/link/3760095250441/", "View Product")</f>
        <v/>
      </c>
    </row>
    <row r="24351">
      <c r="A24351" t="inlineStr">
        <is>
          <t>3760095250564</t>
        </is>
      </c>
      <c r="B24351" t="inlineStr">
        <is>
          <t>ACM Sebionex Mattifying Sunscreen Gel SPF50+</t>
        </is>
      </c>
      <c r="C24351" t="inlineStr">
        <is>
          <t>Face Sun Protection</t>
        </is>
      </c>
      <c r="D24351" t="inlineStr">
        <is>
          <t>Mac Tools</t>
        </is>
      </c>
      <c r="E24351" t="n">
        <v>14.95</v>
      </c>
      <c r="F24351" t="n">
        <v>1</v>
      </c>
      <c r="G24351" t="n">
        <v>4</v>
      </c>
      <c r="H24351" s="5">
        <f>HYPERLINK("https://api.qogita.com/variants/link/3760095250564/", "View Product")</f>
        <v/>
      </c>
    </row>
    <row r="24352">
      <c r="A24352" t="inlineStr">
        <is>
          <t>3760095251554</t>
        </is>
      </c>
      <c r="B24352" t="inlineStr">
        <is>
          <t>Duolys CE Serum 15ml Anti-Aging and Hydration</t>
        </is>
      </c>
      <c r="C24352" t="inlineStr">
        <is>
          <t>Anti-Aging Serum</t>
        </is>
      </c>
      <c r="D24352" t="inlineStr">
        <is>
          <t>Acm</t>
        </is>
      </c>
      <c r="E24352" t="n">
        <v>21.38</v>
      </c>
      <c r="F24352" t="n">
        <v>1</v>
      </c>
      <c r="G24352" t="n">
        <v>3</v>
      </c>
      <c r="H24352" s="5">
        <f>HYPERLINK("https://api.qogita.com/variants/link/3760095251554/", "View Product")</f>
        <v/>
      </c>
    </row>
    <row r="24353">
      <c r="A24353" t="inlineStr">
        <is>
          <t>3760095252018</t>
        </is>
      </c>
      <c r="B24353" t="inlineStr">
        <is>
          <t>Laboratoire ACM Sébionex Micellar Lotion 250ml</t>
        </is>
      </c>
      <c r="C24353" t="inlineStr">
        <is>
          <t>Micellar Water</t>
        </is>
      </c>
      <c r="D24353" t="inlineStr">
        <is>
          <t>Laboratoire Acm</t>
        </is>
      </c>
      <c r="E24353" t="n">
        <v>9.24</v>
      </c>
      <c r="F24353" t="n">
        <v>1</v>
      </c>
      <c r="G24353" t="n">
        <v>10</v>
      </c>
      <c r="H24353" s="5">
        <f>HYPERLINK("https://api.qogita.com/variants/link/3760095252018/", "View Product")</f>
        <v/>
      </c>
    </row>
    <row r="24354">
      <c r="A24354" t="inlineStr">
        <is>
          <t>3760095252346</t>
        </is>
      </c>
      <c r="B24354" t="inlineStr">
        <is>
          <t>Acm Duolys Legere Antiaging Moisturizing Cream For Normal To Combination Skin 40 Ml</t>
        </is>
      </c>
      <c r="C24354" t="inlineStr">
        <is>
          <t>Anti-Aging Facial Care</t>
        </is>
      </c>
      <c r="D24354" t="inlineStr">
        <is>
          <t>MAC Cosmetics</t>
        </is>
      </c>
      <c r="E24354" t="n">
        <v>16.83</v>
      </c>
      <c r="F24354" t="n">
        <v>1</v>
      </c>
      <c r="G24354" t="n">
        <v>19</v>
      </c>
      <c r="H24354" s="5">
        <f>HYPERLINK("https://api.qogita.com/variants/link/3760095252346/", "View Product")</f>
        <v/>
      </c>
    </row>
    <row r="24355">
      <c r="A24355" t="inlineStr">
        <is>
          <t>3760095252872</t>
        </is>
      </c>
      <c r="B24355" t="inlineStr">
        <is>
          <t>ACM Rosakalm Cleansing Water</t>
        </is>
      </c>
      <c r="C24355" t="inlineStr">
        <is>
          <t>Micellar Water</t>
        </is>
      </c>
      <c r="D24355" t="inlineStr">
        <is>
          <t>Mac Tools</t>
        </is>
      </c>
      <c r="E24355" t="n">
        <v>9.52</v>
      </c>
      <c r="F24355" t="n">
        <v>1</v>
      </c>
      <c r="G24355" t="n">
        <v>4</v>
      </c>
      <c r="H24355" s="5">
        <f>HYPERLINK("https://api.qogita.com/variants/link/3760095252872/", "View Product")</f>
        <v/>
      </c>
    </row>
    <row r="24356">
      <c r="A24356" t="inlineStr">
        <is>
          <t>3760095254616</t>
        </is>
      </c>
      <c r="B24356" t="inlineStr">
        <is>
          <t>Acm Azeane Cream Azelaic Acid 15 - 30g</t>
        </is>
      </c>
      <c r="C24356" t="inlineStr">
        <is>
          <t>Pimple &amp; Blackhead Treatments</t>
        </is>
      </c>
      <c r="D24356" t="inlineStr">
        <is>
          <t>MAC Cosmetics</t>
        </is>
      </c>
      <c r="E24356" t="n">
        <v>16.04</v>
      </c>
      <c r="F24356" t="n">
        <v>1</v>
      </c>
      <c r="G24356" t="n">
        <v>19</v>
      </c>
      <c r="H24356" s="5">
        <f>HYPERLINK("https://api.qogita.com/variants/link/3760095254616/", "View Product")</f>
        <v/>
      </c>
    </row>
    <row r="24357">
      <c r="A24357" t="inlineStr">
        <is>
          <t>3760168590085</t>
        </is>
      </c>
      <c r="B24357" t="inlineStr">
        <is>
          <t>Etat Libre D'Orange Rien Eau De Parfum 50ml Unisex Spray</t>
        </is>
      </c>
      <c r="C24357" t="inlineStr">
        <is>
          <t>Eau De Parfum</t>
        </is>
      </c>
      <c r="D24357" t="inlineStr">
        <is>
          <t>Etat Libre D'Orange</t>
        </is>
      </c>
      <c r="E24357" t="n">
        <v>51.04</v>
      </c>
      <c r="F24357" t="n">
        <v>1</v>
      </c>
      <c r="G24357" t="n">
        <v>5</v>
      </c>
      <c r="H24357" s="5">
        <f>HYPERLINK("https://api.qogita.com/variants/link/3760168590085/", "View Product")</f>
        <v/>
      </c>
    </row>
    <row r="24358">
      <c r="A24358" t="inlineStr">
        <is>
          <t>3760168590214</t>
        </is>
      </c>
      <c r="B24358" t="inlineStr">
        <is>
          <t>Etat Libre D'Orange Jasmin Et Cigarette Woman Eau De Parfum Spray 100ml</t>
        </is>
      </c>
      <c r="C24358" t="inlineStr">
        <is>
          <t>Eau De Parfum</t>
        </is>
      </c>
      <c r="D24358" t="inlineStr">
        <is>
          <t>Etat Libre D'Orange</t>
        </is>
      </c>
      <c r="E24358" t="n">
        <v>67.84999999999999</v>
      </c>
      <c r="F24358" t="n">
        <v>1</v>
      </c>
      <c r="G24358" t="n">
        <v>7</v>
      </c>
      <c r="H24358" s="5">
        <f>HYPERLINK("https://api.qogita.com/variants/link/3760168590214/", "View Product")</f>
        <v/>
      </c>
    </row>
    <row r="24359">
      <c r="A24359" t="inlineStr">
        <is>
          <t>3760168590245</t>
        </is>
      </c>
      <c r="B24359" t="inlineStr">
        <is>
          <t>Etat Libre D'Orange Putain Des Palaces Eau De Parfum 100ml For Women</t>
        </is>
      </c>
      <c r="C24359" t="inlineStr">
        <is>
          <t>Eau De Parfum</t>
        </is>
      </c>
      <c r="D24359" t="inlineStr">
        <is>
          <t>Etat Libre D'Orange</t>
        </is>
      </c>
      <c r="E24359" t="n">
        <v>69.78</v>
      </c>
      <c r="F24359" t="n">
        <v>1</v>
      </c>
      <c r="G24359" t="n">
        <v>2</v>
      </c>
      <c r="H24359" s="5">
        <f>HYPERLINK("https://api.qogita.com/variants/link/3760168590245/", "View Product")</f>
        <v/>
      </c>
    </row>
    <row r="24360">
      <c r="A24360" t="inlineStr">
        <is>
          <t>3760168590566</t>
        </is>
      </c>
      <c r="B24360" t="inlineStr">
        <is>
          <t>Etat Libre D'Orange Like This Woman Eau De Parfum Spray 50ml</t>
        </is>
      </c>
      <c r="C24360" t="inlineStr">
        <is>
          <t>Eau De Parfum</t>
        </is>
      </c>
      <c r="D24360" t="inlineStr">
        <is>
          <t>Etat Libre D'Orange</t>
        </is>
      </c>
      <c r="E24360" t="n">
        <v>51.06</v>
      </c>
      <c r="F24360" t="n">
        <v>1</v>
      </c>
      <c r="G24360" t="n">
        <v>2</v>
      </c>
      <c r="H24360" s="5">
        <f>HYPERLINK("https://api.qogita.com/variants/link/3760168590566/", "View Product")</f>
        <v/>
      </c>
    </row>
    <row r="24361">
      <c r="A24361" t="inlineStr">
        <is>
          <t>3760168591037</t>
        </is>
      </c>
      <c r="B24361" t="inlineStr">
        <is>
          <t>Etat Libre D'Orange Yes I Do Eau De Parfum 50ml Unisex Spray</t>
        </is>
      </c>
      <c r="C24361" t="inlineStr">
        <is>
          <t>Eau De Parfum</t>
        </is>
      </c>
      <c r="D24361" t="inlineStr">
        <is>
          <t>Etat Libre D'Orange</t>
        </is>
      </c>
      <c r="E24361" t="n">
        <v>49.13</v>
      </c>
      <c r="F24361" t="n">
        <v>1</v>
      </c>
      <c r="G24361" t="n">
        <v>5</v>
      </c>
      <c r="H24361" s="5">
        <f>HYPERLINK("https://api.qogita.com/variants/link/3760168591037/", "View Product")</f>
        <v/>
      </c>
    </row>
    <row r="24362">
      <c r="A24362" t="inlineStr">
        <is>
          <t>3760168591099</t>
        </is>
      </c>
      <c r="B24362" t="inlineStr">
        <is>
          <t>Eld'o Eau de Protection EPV 100ml</t>
        </is>
      </c>
      <c r="C24362" t="inlineStr">
        <is>
          <t>Eau De Toilette</t>
        </is>
      </c>
      <c r="D24362" t="inlineStr">
        <is>
          <t>Etat Libre D'Orange</t>
        </is>
      </c>
      <c r="E24362" t="n">
        <v>60.8</v>
      </c>
      <c r="F24362" t="n">
        <v>1</v>
      </c>
      <c r="G24362" t="n">
        <v>16</v>
      </c>
      <c r="H24362" s="5">
        <f>HYPERLINK("https://api.qogita.com/variants/link/3760168591099/", "View Product")</f>
        <v/>
      </c>
    </row>
    <row r="24363">
      <c r="A24363" t="inlineStr">
        <is>
          <t>3760168591143</t>
        </is>
      </c>
      <c r="B24363" t="inlineStr">
        <is>
          <t>Etat Libre D'Orange Dangerous Complicity Unisex Eau De Parfum Spray 100ml</t>
        </is>
      </c>
      <c r="C24363" t="inlineStr">
        <is>
          <t>Eau De Parfum</t>
        </is>
      </c>
      <c r="D24363" t="inlineStr">
        <is>
          <t>Etat Libre D'Orange</t>
        </is>
      </c>
      <c r="E24363" t="n">
        <v>58.91</v>
      </c>
      <c r="F24363" t="n">
        <v>1</v>
      </c>
      <c r="G24363" t="n">
        <v>3</v>
      </c>
      <c r="H24363" s="5">
        <f>HYPERLINK("https://api.qogita.com/variants/link/3760168591143/", "View Product")</f>
        <v/>
      </c>
    </row>
    <row r="24364">
      <c r="A24364" t="inlineStr">
        <is>
          <t>3760168591167</t>
        </is>
      </c>
      <c r="B24364" t="inlineStr">
        <is>
          <t>Etat Libre D'Orange La Fin De Monde Eau De Parfum 50ml Unisex Spray</t>
        </is>
      </c>
      <c r="C24364" t="inlineStr">
        <is>
          <t>Eau De Parfum</t>
        </is>
      </c>
      <c r="D24364" t="inlineStr">
        <is>
          <t>Etat Libre D'Orange</t>
        </is>
      </c>
      <c r="E24364" t="n">
        <v>48.17</v>
      </c>
      <c r="F24364" t="n">
        <v>1</v>
      </c>
      <c r="G24364" t="n">
        <v>8</v>
      </c>
      <c r="H24364" s="5">
        <f>HYPERLINK("https://api.qogita.com/variants/link/3760168591167/", "View Product")</f>
        <v/>
      </c>
    </row>
    <row r="24365">
      <c r="A24365" t="inlineStr">
        <is>
          <t>3760168592003</t>
        </is>
      </c>
      <c r="B24365" t="inlineStr">
        <is>
          <t>Etat Libre d'Orange I am Trash Les Fleurs du Dechet Eau de Parfum 100ml</t>
        </is>
      </c>
      <c r="C24365" t="inlineStr">
        <is>
          <t>Eau De Parfum</t>
        </is>
      </c>
      <c r="D24365" t="inlineStr">
        <is>
          <t>Etat Libre D'Orange</t>
        </is>
      </c>
      <c r="E24365" t="n">
        <v>63.37</v>
      </c>
      <c r="F24365" t="n">
        <v>1</v>
      </c>
      <c r="G24365" t="n">
        <v>2</v>
      </c>
      <c r="H24365" s="5">
        <f>HYPERLINK("https://api.qogita.com/variants/link/3760168592003/", "View Product")</f>
        <v/>
      </c>
    </row>
    <row r="24366">
      <c r="A24366" t="inlineStr">
        <is>
          <t>3760168592362</t>
        </is>
      </c>
      <c r="B24366" t="inlineStr">
        <is>
          <t>Etat Libre D'Orange She Was An Anomaly Eau De Parfum 100ml</t>
        </is>
      </c>
      <c r="C24366" t="inlineStr">
        <is>
          <t>Eau De Parfum</t>
        </is>
      </c>
      <c r="D24366" t="inlineStr">
        <is>
          <t>Etat Libre D'Orange</t>
        </is>
      </c>
      <c r="E24366" t="n">
        <v>65.19</v>
      </c>
      <c r="F24366" t="n">
        <v>1</v>
      </c>
      <c r="G24366" t="n">
        <v>7</v>
      </c>
      <c r="H24366" s="5">
        <f>HYPERLINK("https://api.qogita.com/variants/link/3760168592362/", "View Product")</f>
        <v/>
      </c>
    </row>
    <row r="24367">
      <c r="A24367" t="inlineStr">
        <is>
          <t>3760168593659</t>
        </is>
      </c>
      <c r="B24367" t="inlineStr">
        <is>
          <t>Etat Libre D'Orange Story Of Your Life Perfume</t>
        </is>
      </c>
      <c r="C24367" t="inlineStr">
        <is>
          <t>Eau De Parfum</t>
        </is>
      </c>
      <c r="D24367" t="inlineStr">
        <is>
          <t>Etat Libre D'Orange</t>
        </is>
      </c>
      <c r="E24367" t="n">
        <v>61.59</v>
      </c>
      <c r="F24367" t="n">
        <v>1</v>
      </c>
      <c r="G24367" t="n">
        <v>14</v>
      </c>
      <c r="H24367" s="5">
        <f>HYPERLINK("https://api.qogita.com/variants/link/3760168593659/", "View Product")</f>
        <v/>
      </c>
    </row>
    <row r="24368">
      <c r="A24368" t="inlineStr">
        <is>
          <t>3760240890003</t>
        </is>
      </c>
      <c r="B24368" t="inlineStr">
        <is>
          <t>Roos&amp;Roos Dear Rose A Capella Eau De Parfum Spray 100ml</t>
        </is>
      </c>
      <c r="C24368" t="inlineStr">
        <is>
          <t>Eau De Parfum</t>
        </is>
      </c>
      <c r="D24368" t="inlineStr">
        <is>
          <t>Roos &amp; Roos</t>
        </is>
      </c>
      <c r="E24368" t="n">
        <v>50.37</v>
      </c>
      <c r="F24368" t="n">
        <v>1</v>
      </c>
      <c r="G24368" t="n">
        <v>4</v>
      </c>
      <c r="H24368" s="5">
        <f>HYPERLINK("https://api.qogita.com/variants/link/3760240890003/", "View Product")</f>
        <v/>
      </c>
    </row>
    <row r="24369">
      <c r="A24369" t="inlineStr">
        <is>
          <t>3760269841857</t>
        </is>
      </c>
      <c r="B24369" t="inlineStr">
        <is>
          <t>Lolita Lempicka Mon Eau Eau De Parfum Spray 50ml</t>
        </is>
      </c>
      <c r="C24369" t="inlineStr">
        <is>
          <t>Eau De Parfum</t>
        </is>
      </c>
      <c r="D24369" t="inlineStr">
        <is>
          <t>Lolita Lempicka</t>
        </is>
      </c>
      <c r="E24369" t="n">
        <v>30.76</v>
      </c>
      <c r="F24369" t="n">
        <v>1</v>
      </c>
      <c r="G24369" t="n">
        <v>5</v>
      </c>
      <c r="H24369" s="5">
        <f>HYPERLINK("https://api.qogita.com/variants/link/3760269841857/", "View Product")</f>
        <v/>
      </c>
    </row>
    <row r="24370">
      <c r="A24370" t="inlineStr">
        <is>
          <t>3760269841871</t>
        </is>
      </c>
      <c r="B24370" t="inlineStr">
        <is>
          <t>Lolita Lempicka Lempicka Homme Eau De Toilette 50ml Men Spray</t>
        </is>
      </c>
      <c r="C24370" t="inlineStr">
        <is>
          <t>Eau De Toilette</t>
        </is>
      </c>
      <c r="D24370" t="inlineStr">
        <is>
          <t>Lolita Lempicka</t>
        </is>
      </c>
      <c r="E24370" t="n">
        <v>20.59</v>
      </c>
      <c r="F24370" t="n">
        <v>1</v>
      </c>
      <c r="G24370" t="n">
        <v>32</v>
      </c>
      <c r="H24370" s="5">
        <f>HYPERLINK("https://api.qogita.com/variants/link/3760269841871/", "View Product")</f>
        <v/>
      </c>
    </row>
    <row r="24371">
      <c r="A24371" t="inlineStr">
        <is>
          <t>3760269849020</t>
        </is>
      </c>
      <c r="B24371" t="inlineStr">
        <is>
          <t>Lolita Lempicka Lolitaland Eau De Parfum Spray 40ml</t>
        </is>
      </c>
      <c r="C24371" t="inlineStr">
        <is>
          <t>Eau De Parfum</t>
        </is>
      </c>
      <c r="D24371" t="inlineStr">
        <is>
          <t>Lolita Lempicka</t>
        </is>
      </c>
      <c r="E24371" t="n">
        <v>24.53</v>
      </c>
      <c r="F24371" t="n">
        <v>1</v>
      </c>
      <c r="G24371" t="n">
        <v>6</v>
      </c>
      <c r="H24371" s="5">
        <f>HYPERLINK("https://api.qogita.com/variants/link/3760269849020/", "View Product")</f>
        <v/>
      </c>
    </row>
    <row r="24372">
      <c r="A24372" t="inlineStr">
        <is>
          <t>3760269849167</t>
        </is>
      </c>
      <c r="B24372" t="inlineStr">
        <is>
          <t>Lolita Lempicka Oh Ma Biche Eau De Parfum Spray 50ml</t>
        </is>
      </c>
      <c r="C24372" t="inlineStr">
        <is>
          <t>Eau De Parfum</t>
        </is>
      </c>
      <c r="D24372" t="inlineStr">
        <is>
          <t>Lolita Lempicka</t>
        </is>
      </c>
      <c r="E24372" t="n">
        <v>15.27</v>
      </c>
      <c r="F24372" t="n">
        <v>1</v>
      </c>
      <c r="G24372" t="n">
        <v>15</v>
      </c>
      <c r="H24372" s="5">
        <f>HYPERLINK("https://api.qogita.com/variants/link/3760269849167/", "View Product")</f>
        <v/>
      </c>
    </row>
    <row r="24373">
      <c r="A24373" t="inlineStr">
        <is>
          <t>3760294350522</t>
        </is>
      </c>
      <c r="B24373" t="inlineStr">
        <is>
          <t>The Woods Collection Dancing Leaves Eau De Parfum 100ml</t>
        </is>
      </c>
      <c r="C24373" t="inlineStr">
        <is>
          <t>Eau De Parfum</t>
        </is>
      </c>
      <c r="D24373" t="inlineStr">
        <is>
          <t>The Woods Collection</t>
        </is>
      </c>
      <c r="E24373" t="n">
        <v>29.09</v>
      </c>
      <c r="F24373" t="n">
        <v>1</v>
      </c>
      <c r="G24373" t="n">
        <v>4</v>
      </c>
      <c r="H24373" s="5">
        <f>HYPERLINK("https://api.qogita.com/variants/link/3760294350522/", "View Product")</f>
        <v/>
      </c>
    </row>
    <row r="24374">
      <c r="A24374" t="inlineStr">
        <is>
          <t>3760294350539</t>
        </is>
      </c>
      <c r="B24374" t="inlineStr">
        <is>
          <t>The Woods Collection Green Walk Unisex Eau de Parfum 100ml</t>
        </is>
      </c>
      <c r="C24374" t="inlineStr">
        <is>
          <t>Eau De Parfum</t>
        </is>
      </c>
      <c r="D24374" t="inlineStr">
        <is>
          <t>The Woods Collection</t>
        </is>
      </c>
      <c r="E24374" t="n">
        <v>31.83</v>
      </c>
      <c r="F24374" t="n">
        <v>1</v>
      </c>
      <c r="G24374" t="n">
        <v>5</v>
      </c>
      <c r="H24374" s="5">
        <f>HYPERLINK("https://api.qogita.com/variants/link/3760294350539/", "View Product")</f>
        <v/>
      </c>
    </row>
    <row r="24375">
      <c r="A24375" t="inlineStr">
        <is>
          <t>3760294350607</t>
        </is>
      </c>
      <c r="B24375" t="inlineStr">
        <is>
          <t>The Woods Collection Wild Roses Eau De Parfum 100ml Unisex</t>
        </is>
      </c>
      <c r="C24375" t="inlineStr">
        <is>
          <t>Eau De Parfum</t>
        </is>
      </c>
      <c r="D24375" t="inlineStr">
        <is>
          <t>The Woods Collection</t>
        </is>
      </c>
      <c r="E24375" t="n">
        <v>35.85</v>
      </c>
      <c r="F24375" t="n">
        <v>1</v>
      </c>
      <c r="G24375" t="n">
        <v>3</v>
      </c>
      <c r="H24375" s="5">
        <f>HYPERLINK("https://api.qogita.com/variants/link/3760294350607/", "View Product")</f>
        <v/>
      </c>
    </row>
    <row r="24376">
      <c r="A24376" t="inlineStr">
        <is>
          <t>3760294350621</t>
        </is>
      </c>
      <c r="B24376" t="inlineStr">
        <is>
          <t>Natural by The Woods Collection Bloom Eau De Parfum 100ml and 5ml</t>
        </is>
      </c>
      <c r="C24376" t="inlineStr">
        <is>
          <t>Eau De Parfum</t>
        </is>
      </c>
      <c r="D24376" t="inlineStr">
        <is>
          <t>The Woods Collection</t>
        </is>
      </c>
      <c r="E24376" t="n">
        <v>34.47</v>
      </c>
      <c r="F24376" t="n">
        <v>1</v>
      </c>
      <c r="G24376" t="n">
        <v>24</v>
      </c>
      <c r="H24376" s="5">
        <f>HYPERLINK("https://api.qogita.com/variants/link/3760294350621/", "View Product")</f>
        <v/>
      </c>
    </row>
    <row r="24377">
      <c r="A24377" t="inlineStr">
        <is>
          <t>3760294350669</t>
        </is>
      </c>
      <c r="B24377" t="inlineStr">
        <is>
          <t>The Wood Collection Natural Dusk Unisex Eau De Perfume 100ml</t>
        </is>
      </c>
      <c r="C24377" t="inlineStr">
        <is>
          <t>Eau De Parfum</t>
        </is>
      </c>
      <c r="D24377" t="inlineStr">
        <is>
          <t>The Woods Collection</t>
        </is>
      </c>
      <c r="E24377" t="n">
        <v>33.17</v>
      </c>
      <c r="F24377" t="n">
        <v>1</v>
      </c>
      <c r="G24377" t="n">
        <v>5</v>
      </c>
      <c r="H24377" s="5">
        <f>HYPERLINK("https://api.qogita.com/variants/link/3760294350669/", "View Product")</f>
        <v/>
      </c>
    </row>
    <row r="24378">
      <c r="A24378" t="inlineStr">
        <is>
          <t>3760294351178</t>
        </is>
      </c>
      <c r="B24378" t="inlineStr">
        <is>
          <t>The Woods Collection Natural Flame EDP for Unisex 100ml</t>
        </is>
      </c>
      <c r="C24378" t="inlineStr">
        <is>
          <t>Eau De Parfum</t>
        </is>
      </c>
      <c r="D24378" t="inlineStr">
        <is>
          <t>The Woods Collection</t>
        </is>
      </c>
      <c r="E24378" t="n">
        <v>34.11</v>
      </c>
      <c r="F24378" t="n">
        <v>1</v>
      </c>
      <c r="G24378" t="n">
        <v>21</v>
      </c>
      <c r="H24378" s="5">
        <f>HYPERLINK("https://api.qogita.com/variants/link/3760294351178/", "View Product")</f>
        <v/>
      </c>
    </row>
    <row r="24379">
      <c r="A24379" t="inlineStr">
        <is>
          <t>3760294351390</t>
        </is>
      </c>
      <c r="B24379" t="inlineStr">
        <is>
          <t>The Woods Collection Natural Eclipse Eau De Parfum Unisex Fragrance 100ml</t>
        </is>
      </c>
      <c r="C24379" t="inlineStr">
        <is>
          <t>Eau De Parfum</t>
        </is>
      </c>
      <c r="D24379" t="inlineStr">
        <is>
          <t>The Woods Collection</t>
        </is>
      </c>
      <c r="E24379" t="n">
        <v>33.99</v>
      </c>
      <c r="F24379" t="n">
        <v>1</v>
      </c>
      <c r="G24379" t="n">
        <v>4</v>
      </c>
      <c r="H24379" s="5">
        <f>HYPERLINK("https://api.qogita.com/variants/link/3760294351390/", "View Product")</f>
        <v/>
      </c>
    </row>
    <row r="24380">
      <c r="A24380" t="inlineStr">
        <is>
          <t>3760302990009</t>
        </is>
      </c>
      <c r="B24380" t="inlineStr">
        <is>
          <t>Parfum D'empire Acqua Di Scandola Eau De Parfum Spray 50ml</t>
        </is>
      </c>
      <c r="C24380" t="inlineStr">
        <is>
          <t>Eau De Parfum</t>
        </is>
      </c>
      <c r="D24380" t="inlineStr">
        <is>
          <t>Parfum D'Empire</t>
        </is>
      </c>
      <c r="E24380" t="n">
        <v>69.41</v>
      </c>
      <c r="F24380" t="n">
        <v>1</v>
      </c>
      <c r="G24380" t="n">
        <v>8</v>
      </c>
      <c r="H24380" s="5">
        <f>HYPERLINK("https://api.qogita.com/variants/link/3760302990009/", "View Product")</f>
        <v/>
      </c>
    </row>
    <row r="24381">
      <c r="A24381" t="inlineStr">
        <is>
          <t>3760302990450</t>
        </is>
      </c>
      <c r="B24381" t="inlineStr">
        <is>
          <t>Acqua di Scandola</t>
        </is>
      </c>
      <c r="C24381" t="inlineStr">
        <is>
          <t>Eau De Parfum</t>
        </is>
      </c>
      <c r="D24381" t="inlineStr">
        <is>
          <t>Parfum D'Empire</t>
        </is>
      </c>
      <c r="E24381" t="n">
        <v>103.77</v>
      </c>
      <c r="F24381" t="n">
        <v>1</v>
      </c>
      <c r="G24381" t="n">
        <v>5</v>
      </c>
      <c r="H24381" s="5">
        <f>HYPERLINK("https://api.qogita.com/variants/link/3760302990450/", "View Product")</f>
        <v/>
      </c>
    </row>
    <row r="24382">
      <c r="A24382" t="inlineStr">
        <is>
          <t>3760303360009</t>
        </is>
      </c>
      <c r="B24382" t="inlineStr">
        <is>
          <t>Liquides Imaginaires Lacrima Eau de Parfum</t>
        </is>
      </c>
      <c r="C24382" t="inlineStr">
        <is>
          <t>Eau De Parfum</t>
        </is>
      </c>
      <c r="D24382" t="inlineStr">
        <is>
          <t>Liquides Imaginaires</t>
        </is>
      </c>
      <c r="E24382" t="n">
        <v>81.27</v>
      </c>
      <c r="F24382" t="n">
        <v>1</v>
      </c>
      <c r="G24382" t="n">
        <v>14</v>
      </c>
      <c r="H24382" s="5">
        <f>HYPERLINK("https://api.qogita.com/variants/link/3760303360009/", "View Product")</f>
        <v/>
      </c>
    </row>
    <row r="24383">
      <c r="A24383" t="inlineStr">
        <is>
          <t>3760303361891</t>
        </is>
      </c>
      <c r="B24383" t="inlineStr">
        <is>
          <t>Abyssis Eau De Parfum</t>
        </is>
      </c>
      <c r="C24383" t="inlineStr">
        <is>
          <t>Eau De Parfum</t>
        </is>
      </c>
      <c r="D24383" t="inlineStr">
        <is>
          <t>Liquides Imaginaires</t>
        </is>
      </c>
      <c r="E24383" t="n">
        <v>100.84</v>
      </c>
      <c r="F24383" t="n">
        <v>1</v>
      </c>
      <c r="G24383" t="n">
        <v>4</v>
      </c>
      <c r="H24383" s="5">
        <f>HYPERLINK("https://api.qogita.com/variants/link/3760303361891/", "View Product")</f>
        <v/>
      </c>
    </row>
    <row r="24384">
      <c r="A24384" t="inlineStr">
        <is>
          <t>3760303361921</t>
        </is>
      </c>
      <c r="B24384" t="inlineStr">
        <is>
          <t>Liquides Imaginaires Navis Eau De Parfum Spray 100ml</t>
        </is>
      </c>
      <c r="C24384" t="inlineStr">
        <is>
          <t>Eau De Parfum</t>
        </is>
      </c>
      <c r="D24384" t="inlineStr">
        <is>
          <t>Liquides Imaginaires</t>
        </is>
      </c>
      <c r="E24384" t="n">
        <v>68.17</v>
      </c>
      <c r="F24384" t="n">
        <v>1</v>
      </c>
      <c r="G24384" t="n">
        <v>14</v>
      </c>
      <c r="H24384" s="5">
        <f>HYPERLINK("https://api.qogita.com/variants/link/3760303361921/", "View Product")</f>
        <v/>
      </c>
    </row>
    <row r="24385">
      <c r="A24385" t="inlineStr">
        <is>
          <t>3760310290252</t>
        </is>
      </c>
      <c r="B24385" t="inlineStr">
        <is>
          <t>Kajal Perfumes Paris Almaz Eau de Parfum Uomo 100ml</t>
        </is>
      </c>
      <c r="C24385" t="inlineStr">
        <is>
          <t>Eau De Parfum</t>
        </is>
      </c>
      <c r="D24385" t="inlineStr">
        <is>
          <t>Kajal</t>
        </is>
      </c>
      <c r="E24385" t="n">
        <v>140.17</v>
      </c>
      <c r="F24385" t="n">
        <v>1</v>
      </c>
      <c r="G24385" t="n">
        <v>2</v>
      </c>
      <c r="H24385" s="5">
        <f>HYPERLINK("https://api.qogita.com/variants/link/3760310290252/", "View Product")</f>
        <v/>
      </c>
    </row>
    <row r="24386">
      <c r="A24386" t="inlineStr">
        <is>
          <t>3760310290658</t>
        </is>
      </c>
      <c r="B24386" t="inlineStr">
        <is>
          <t>Kajal Classic Eau De Parfum - 100 Ml</t>
        </is>
      </c>
      <c r="C24386" t="inlineStr">
        <is>
          <t>Eau De Parfum</t>
        </is>
      </c>
      <c r="D24386" t="inlineStr">
        <is>
          <t>Kajal</t>
        </is>
      </c>
      <c r="E24386" t="n">
        <v>128.1</v>
      </c>
      <c r="F24386" t="n">
        <v>1</v>
      </c>
      <c r="G24386" t="n">
        <v>10</v>
      </c>
      <c r="H24386" s="5">
        <f>HYPERLINK("https://api.qogita.com/variants/link/3760310290658/", "View Product")</f>
        <v/>
      </c>
    </row>
    <row r="24387">
      <c r="A24387" t="inlineStr">
        <is>
          <t>3760323770314</t>
        </is>
      </c>
      <c r="B24387" t="inlineStr">
        <is>
          <t>Akro Ink Eau De Parfum 100ml</t>
        </is>
      </c>
      <c r="C24387" t="inlineStr">
        <is>
          <t>Eau De Parfum</t>
        </is>
      </c>
      <c r="D24387" t="inlineStr">
        <is>
          <t>Akro</t>
        </is>
      </c>
      <c r="E24387" t="n">
        <v>94.2</v>
      </c>
      <c r="F24387" t="n">
        <v>1</v>
      </c>
      <c r="G24387" t="n">
        <v>5</v>
      </c>
      <c r="H24387" s="5">
        <f>HYPERLINK("https://api.qogita.com/variants/link/3760323770314/", "View Product")</f>
        <v/>
      </c>
    </row>
    <row r="24388">
      <c r="A24388" t="inlineStr">
        <is>
          <t>3760327810009</t>
        </is>
      </c>
      <c r="B24388" t="inlineStr">
        <is>
          <t>Al Haramain Orientica Amber Oud Execlusif Extrait De Parfum Classic for Women Eeu de Parfum Spray 2.0oz</t>
        </is>
      </c>
      <c r="C24388" t="inlineStr">
        <is>
          <t>Extrait De Parfum</t>
        </is>
      </c>
      <c r="D24388" t="inlineStr">
        <is>
          <t>Al Haramain</t>
        </is>
      </c>
      <c r="E24388" t="n">
        <v>53.89</v>
      </c>
      <c r="F24388" t="n">
        <v>1</v>
      </c>
      <c r="G24388" t="n">
        <v>2</v>
      </c>
      <c r="H24388" s="5">
        <f>HYPERLINK("https://api.qogita.com/variants/link/3760327810009/", "View Product")</f>
        <v/>
      </c>
    </row>
    <row r="24389">
      <c r="A24389" t="inlineStr">
        <is>
          <t>3760327810023</t>
        </is>
      </c>
      <c r="B24389" t="inlineStr">
        <is>
          <t>Al Haramain Amber Oud Exclusif Emerald for Women Eau de Parfum Spray 2oz</t>
        </is>
      </c>
      <c r="C24389" t="inlineStr">
        <is>
          <t>Eau De Parfum</t>
        </is>
      </c>
      <c r="D24389" t="inlineStr">
        <is>
          <t>Al Haramain</t>
        </is>
      </c>
      <c r="E24389" t="n">
        <v>42.36</v>
      </c>
      <c r="F24389" t="n">
        <v>1</v>
      </c>
      <c r="G24389" t="n">
        <v>4</v>
      </c>
      <c r="H24389" s="5">
        <f>HYPERLINK("https://api.qogita.com/variants/link/3760327810023/", "View Product")</f>
        <v/>
      </c>
    </row>
    <row r="24390">
      <c r="A24390" t="inlineStr">
        <is>
          <t>3770000002317</t>
        </is>
      </c>
      <c r="B24390" t="inlineStr">
        <is>
          <t>Juliette Has A Gun Lady Vengeance Dropper Recharge for Bullet Spray 30ml</t>
        </is>
      </c>
      <c r="C24390" t="inlineStr">
        <is>
          <t>Refillable Fragrances &amp; Refills</t>
        </is>
      </c>
      <c r="D24390" t="inlineStr">
        <is>
          <t>Juliette has a gun</t>
        </is>
      </c>
      <c r="E24390" t="n">
        <v>40.06</v>
      </c>
      <c r="F24390" t="n">
        <v>1</v>
      </c>
      <c r="G24390" t="n">
        <v>2</v>
      </c>
      <c r="H24390" s="5">
        <f>HYPERLINK("https://api.qogita.com/variants/link/3770000002317/", "View Product")</f>
        <v/>
      </c>
    </row>
    <row r="24391">
      <c r="A24391" t="inlineStr">
        <is>
          <t>3770000002713</t>
        </is>
      </c>
      <c r="B24391" t="inlineStr">
        <is>
          <t>Juliette Has A Gun Miss Charming Eau De Parfum Spray 100ml</t>
        </is>
      </c>
      <c r="C24391" t="inlineStr">
        <is>
          <t>Eau De Parfum</t>
        </is>
      </c>
      <c r="D24391" t="inlineStr">
        <is>
          <t>Juliette has a gun</t>
        </is>
      </c>
      <c r="E24391" t="n">
        <v>51.65</v>
      </c>
      <c r="F24391" t="n">
        <v>1</v>
      </c>
      <c r="G24391" t="n">
        <v>8</v>
      </c>
      <c r="H24391" s="5">
        <f>HYPERLINK("https://api.qogita.com/variants/link/3770000002713/", "View Product")</f>
        <v/>
      </c>
    </row>
    <row r="24392">
      <c r="A24392" t="inlineStr">
        <is>
          <t>3770003318262</t>
        </is>
      </c>
      <c r="B24392" t="inlineStr">
        <is>
          <t>Chabaud Vanilla Milk 30ml Eau De Toilette Spray</t>
        </is>
      </c>
      <c r="C24392" t="inlineStr">
        <is>
          <t>Eau De Toilette</t>
        </is>
      </c>
      <c r="D24392" t="inlineStr">
        <is>
          <t>Chabaud</t>
        </is>
      </c>
      <c r="E24392" t="n">
        <v>39.7</v>
      </c>
      <c r="F24392" t="n">
        <v>1</v>
      </c>
      <c r="G24392" t="n">
        <v>2</v>
      </c>
      <c r="H24392" s="5">
        <f>HYPERLINK("https://api.qogita.com/variants/link/3770003318262/", "View Product")</f>
        <v/>
      </c>
    </row>
    <row r="24393">
      <c r="A24393" t="inlineStr">
        <is>
          <t>3770003318668</t>
        </is>
      </c>
      <c r="B24393" t="inlineStr">
        <is>
          <t>CHABAUD Vintage EDP Vapo 100ml</t>
        </is>
      </c>
      <c r="C24393" t="inlineStr">
        <is>
          <t>Eau De Parfum</t>
        </is>
      </c>
      <c r="D24393" t="inlineStr">
        <is>
          <t>Chabaud</t>
        </is>
      </c>
      <c r="E24393" t="n">
        <v>67.90000000000001</v>
      </c>
      <c r="F24393" t="n">
        <v>1</v>
      </c>
      <c r="G24393" t="n">
        <v>5</v>
      </c>
      <c r="H24393" s="5">
        <f>HYPERLINK("https://api.qogita.com/variants/link/3770003318668/", "View Product")</f>
        <v/>
      </c>
    </row>
    <row r="24394">
      <c r="A24394" t="inlineStr">
        <is>
          <t>3770003318781</t>
        </is>
      </c>
      <c r="B24394" t="inlineStr">
        <is>
          <t>Chabaud Maison de Parfum Eau Toilette Unisex Vanilla Milk</t>
        </is>
      </c>
      <c r="C24394" t="inlineStr">
        <is>
          <t>Eau De Toilette</t>
        </is>
      </c>
      <c r="D24394" t="inlineStr">
        <is>
          <t>Chabaud Maison De Parfum</t>
        </is>
      </c>
      <c r="E24394" t="n">
        <v>56.32</v>
      </c>
      <c r="F24394" t="n">
        <v>1</v>
      </c>
      <c r="G24394" t="n">
        <v>16</v>
      </c>
      <c r="H24394" s="5">
        <f>HYPERLINK("https://api.qogita.com/variants/link/3770003318781/", "View Product")</f>
        <v/>
      </c>
    </row>
    <row r="24395">
      <c r="A24395" t="inlineStr">
        <is>
          <t>3770003318798</t>
        </is>
      </c>
      <c r="B24395" t="inlineStr">
        <is>
          <t>Chabaud Maison de Parfum Women Eau de Toilette Concentrated Milk 3.4 oz</t>
        </is>
      </c>
      <c r="C24395" t="inlineStr">
        <is>
          <t>Eau De Toilette</t>
        </is>
      </c>
      <c r="D24395" t="inlineStr">
        <is>
          <t>Chabaud Maison De Parfum</t>
        </is>
      </c>
      <c r="E24395" t="n">
        <v>56.32</v>
      </c>
      <c r="F24395" t="n">
        <v>1</v>
      </c>
      <c r="G24395" t="n">
        <v>23</v>
      </c>
      <c r="H24395" s="5">
        <f>HYPERLINK("https://api.qogita.com/variants/link/3770003318798/", "View Product")</f>
        <v/>
      </c>
    </row>
    <row r="24396">
      <c r="A24396" t="inlineStr">
        <is>
          <t>3770003318996</t>
        </is>
      </c>
      <c r="B24396" t="inlineStr">
        <is>
          <t>Chabaud Maison de Parfum Women Eau de Parfum Caprice de Sophie 3.4 oz</t>
        </is>
      </c>
      <c r="C24396" t="inlineStr">
        <is>
          <t>Eau De Parfum</t>
        </is>
      </c>
      <c r="D24396" t="inlineStr">
        <is>
          <t>Chabaud Maison De Parfum</t>
        </is>
      </c>
      <c r="E24396" t="n">
        <v>67.90000000000001</v>
      </c>
      <c r="F24396" t="n">
        <v>1</v>
      </c>
      <c r="G24396" t="n">
        <v>3</v>
      </c>
      <c r="H24396" s="5">
        <f>HYPERLINK("https://api.qogita.com/variants/link/3770003318996/", "View Product")</f>
        <v/>
      </c>
    </row>
    <row r="24397">
      <c r="A24397" t="inlineStr">
        <is>
          <t>3770006696657</t>
        </is>
      </c>
      <c r="B24397" t="inlineStr">
        <is>
          <t>Eau de Parfum Spray 50ml</t>
        </is>
      </c>
      <c r="C24397" t="inlineStr">
        <is>
          <t>Eau De Parfum</t>
        </is>
      </c>
      <c r="D24397" t="inlineStr">
        <is>
          <t>Alex Simone</t>
        </is>
      </c>
      <c r="E24397" t="n">
        <v>28.64</v>
      </c>
      <c r="F24397" t="n">
        <v>1</v>
      </c>
      <c r="G24397" t="n">
        <v>13</v>
      </c>
      <c r="H24397" s="5">
        <f>HYPERLINK("https://api.qogita.com/variants/link/3770006696657/", "View Product")</f>
        <v/>
      </c>
    </row>
    <row r="24398">
      <c r="A24398" t="inlineStr">
        <is>
          <t>3770006696701</t>
        </is>
      </c>
      <c r="B24398" t="inlineStr">
        <is>
          <t>Alex Simone En Terrasse Eau de Parfum 100ml</t>
        </is>
      </c>
      <c r="C24398" t="inlineStr">
        <is>
          <t>Eau De Parfum</t>
        </is>
      </c>
      <c r="D24398" t="inlineStr">
        <is>
          <t>Alex Simone</t>
        </is>
      </c>
      <c r="E24398" t="n">
        <v>42.83</v>
      </c>
      <c r="F24398" t="n">
        <v>1</v>
      </c>
      <c r="G24398" t="n">
        <v>11</v>
      </c>
      <c r="H24398" s="5">
        <f>HYPERLINK("https://api.qogita.com/variants/link/3770006696701/", "View Product")</f>
        <v/>
      </c>
    </row>
    <row r="24399">
      <c r="A24399" t="inlineStr">
        <is>
          <t>3770006696718</t>
        </is>
      </c>
      <c r="B24399" t="inlineStr">
        <is>
          <t>Alex Simone Encore un Peu Eau de Parfum 100ml</t>
        </is>
      </c>
      <c r="C24399" t="inlineStr">
        <is>
          <t>Eau De Parfum</t>
        </is>
      </c>
      <c r="D24399" t="inlineStr">
        <is>
          <t>Alex Simone</t>
        </is>
      </c>
      <c r="E24399" t="n">
        <v>42.83</v>
      </c>
      <c r="F24399" t="n">
        <v>1</v>
      </c>
      <c r="G24399" t="n">
        <v>7</v>
      </c>
      <c r="H24399" s="5">
        <f>HYPERLINK("https://api.qogita.com/variants/link/3770006696718/", "View Product")</f>
        <v/>
      </c>
    </row>
    <row r="24400">
      <c r="A24400" t="inlineStr">
        <is>
          <t>3770007317155</t>
        </is>
      </c>
      <c r="B24400" t="inlineStr">
        <is>
          <t>Matiere Premiere Encens Suave Eau De Parfum Spray 3.4 Ounce Unisex</t>
        </is>
      </c>
      <c r="C24400" t="inlineStr">
        <is>
          <t>Eau De Parfum</t>
        </is>
      </c>
      <c r="D24400" t="inlineStr">
        <is>
          <t>Matière Premiere</t>
        </is>
      </c>
      <c r="E24400" t="n">
        <v>152.34</v>
      </c>
      <c r="F24400" t="n">
        <v>1</v>
      </c>
      <c r="G24400" t="n">
        <v>2</v>
      </c>
      <c r="H24400" s="5">
        <f>HYPERLINK("https://api.qogita.com/variants/link/3770007317155/", "View Product")</f>
        <v/>
      </c>
    </row>
    <row r="24401">
      <c r="A24401" t="inlineStr">
        <is>
          <t>3770007317162</t>
        </is>
      </c>
      <c r="B24401" t="inlineStr">
        <is>
          <t>Matiere Premiere Cedrat Eau De Parfum 3.4 Oz Unisex Fragrance</t>
        </is>
      </c>
      <c r="C24401" t="inlineStr">
        <is>
          <t>Eau De Parfum</t>
        </is>
      </c>
      <c r="D24401" t="inlineStr">
        <is>
          <t>Matière Premiere</t>
        </is>
      </c>
      <c r="E24401" t="n">
        <v>161.26</v>
      </c>
      <c r="F24401" t="n">
        <v>1</v>
      </c>
      <c r="G24401" t="n">
        <v>7</v>
      </c>
      <c r="H24401" s="5">
        <f>HYPERLINK("https://api.qogita.com/variants/link/3770007317162/", "View Product")</f>
        <v/>
      </c>
    </row>
    <row r="24402">
      <c r="A24402" t="inlineStr">
        <is>
          <t>3770007317803</t>
        </is>
      </c>
      <c r="B24402" t="inlineStr">
        <is>
          <t>Neroli Oranger by Matiere Premiere Unisex 3.4 Oz EDP Spray</t>
        </is>
      </c>
      <c r="C24402" t="inlineStr">
        <is>
          <t>Eau De Parfum</t>
        </is>
      </c>
      <c r="D24402" t="inlineStr">
        <is>
          <t>Matière Premiere</t>
        </is>
      </c>
      <c r="E24402" t="n">
        <v>171.65</v>
      </c>
      <c r="F24402" t="n">
        <v>1</v>
      </c>
      <c r="G24402" t="n">
        <v>3</v>
      </c>
      <c r="H24402" s="5">
        <f>HYPERLINK("https://api.qogita.com/variants/link/3770007317803/", "View Product")</f>
        <v/>
      </c>
    </row>
    <row r="24403">
      <c r="A24403" t="inlineStr">
        <is>
          <t>3770007900173</t>
        </is>
      </c>
      <c r="B24403" t="inlineStr">
        <is>
          <t>Chabaud Patchouli 1973 EdP 100ml</t>
        </is>
      </c>
      <c r="C24403" t="inlineStr">
        <is>
          <t>Eau De Parfum</t>
        </is>
      </c>
      <c r="D24403" t="inlineStr">
        <is>
          <t>Chabaud</t>
        </is>
      </c>
      <c r="E24403" t="n">
        <v>81.03</v>
      </c>
      <c r="F24403" t="n">
        <v>1</v>
      </c>
      <c r="G24403" t="n">
        <v>5</v>
      </c>
      <c r="H24403" s="5">
        <f>HYPERLINK("https://api.qogita.com/variants/link/3770007900173/", "View Product")</f>
        <v/>
      </c>
    </row>
    <row r="24404">
      <c r="A24404" t="inlineStr">
        <is>
          <t>3770009208024</t>
        </is>
      </c>
      <c r="B24404" t="inlineStr">
        <is>
          <t>State Of Mind Etat D'Esprit Natural Elegance Eau De Parfum 100 Milliliters</t>
        </is>
      </c>
      <c r="C24404" t="inlineStr">
        <is>
          <t>Eau De Parfum</t>
        </is>
      </c>
      <c r="D24404" t="inlineStr">
        <is>
          <t>État D'Esprit</t>
        </is>
      </c>
      <c r="E24404" t="n">
        <v>132.62</v>
      </c>
      <c r="F24404" t="n">
        <v>1</v>
      </c>
      <c r="G24404" t="n">
        <v>5</v>
      </c>
      <c r="H24404" s="5">
        <f>HYPERLINK("https://api.qogita.com/variants/link/3770009208024/", "View Product")</f>
        <v/>
      </c>
    </row>
    <row r="24405">
      <c r="A24405" t="inlineStr">
        <is>
          <t>3770009208055</t>
        </is>
      </c>
      <c r="B24405" t="inlineStr">
        <is>
          <t>State Of Mind Creative Inspiration Perfume</t>
        </is>
      </c>
      <c r="C24405" t="inlineStr">
        <is>
          <t>Eau De Parfum</t>
        </is>
      </c>
      <c r="D24405" t="inlineStr">
        <is>
          <t>State Of Mind</t>
        </is>
      </c>
      <c r="E24405" t="n">
        <v>132.62</v>
      </c>
      <c r="F24405" t="n">
        <v>1</v>
      </c>
      <c r="G24405" t="n">
        <v>7</v>
      </c>
      <c r="H24405" s="5">
        <f>HYPERLINK("https://api.qogita.com/variants/link/3770009208055/", "View Product")</f>
        <v/>
      </c>
    </row>
    <row r="24406">
      <c r="A24406" t="inlineStr">
        <is>
          <t>3770009208888</t>
        </is>
      </c>
      <c r="B24406" t="inlineStr">
        <is>
          <t>State Of Mind French Gallantry Perfume</t>
        </is>
      </c>
      <c r="C24406" t="inlineStr">
        <is>
          <t>Eau De Parfum</t>
        </is>
      </c>
      <c r="D24406" t="inlineStr">
        <is>
          <t>State Of Mind</t>
        </is>
      </c>
      <c r="E24406" t="n">
        <v>133.92</v>
      </c>
      <c r="F24406" t="n">
        <v>1</v>
      </c>
      <c r="G24406" t="n">
        <v>5</v>
      </c>
      <c r="H24406" s="5">
        <f>HYPERLINK("https://api.qogita.com/variants/link/3770009208888/", "View Product")</f>
        <v/>
      </c>
    </row>
    <row r="24407">
      <c r="A24407" t="inlineStr">
        <is>
          <t>3770009763646</t>
        </is>
      </c>
      <c r="B24407" t="inlineStr">
        <is>
          <t>Sospiro Perfumes Erba Leather Eau De Parfum Spray 100ml</t>
        </is>
      </c>
      <c r="C24407" t="inlineStr">
        <is>
          <t>Eau De Parfum</t>
        </is>
      </c>
      <c r="D24407" t="inlineStr">
        <is>
          <t>Sospiro</t>
        </is>
      </c>
      <c r="E24407" t="n">
        <v>148.75</v>
      </c>
      <c r="F24407" t="n">
        <v>1</v>
      </c>
      <c r="G24407" t="n">
        <v>10</v>
      </c>
      <c r="H24407" s="5">
        <f>HYPERLINK("https://api.qogita.com/variants/link/3770009763646/", "View Product")</f>
        <v/>
      </c>
    </row>
    <row r="24408">
      <c r="A24408" t="inlineStr">
        <is>
          <t>3770010279181</t>
        </is>
      </c>
      <c r="B24408" t="inlineStr">
        <is>
          <t>Maison Crivelli Rose Saltifolia Eau de Parfum 100ml</t>
        </is>
      </c>
      <c r="C24408" t="inlineStr">
        <is>
          <t>Eau De Parfum</t>
        </is>
      </c>
      <c r="D24408" t="inlineStr">
        <is>
          <t>Maison Crivelli</t>
        </is>
      </c>
      <c r="E24408" t="n">
        <v>142.45</v>
      </c>
      <c r="F24408" t="n">
        <v>1</v>
      </c>
      <c r="G24408" t="n">
        <v>14</v>
      </c>
      <c r="H24408" s="5">
        <f>HYPERLINK("https://api.qogita.com/variants/link/3770010279181/", "View Product")</f>
        <v/>
      </c>
    </row>
    <row r="24409">
      <c r="A24409" t="inlineStr">
        <is>
          <t>3770010279273</t>
        </is>
      </c>
      <c r="B24409" t="inlineStr">
        <is>
          <t>Maison Crivelli Citrus Batikanga Eau De Parfum Spray 30ml</t>
        </is>
      </c>
      <c r="C24409" t="inlineStr">
        <is>
          <t>Eau De Parfum</t>
        </is>
      </c>
      <c r="D24409" t="inlineStr">
        <is>
          <t>Maison Crivelli</t>
        </is>
      </c>
      <c r="E24409" t="n">
        <v>67.68000000000001</v>
      </c>
      <c r="F24409" t="n">
        <v>1</v>
      </c>
      <c r="G24409" t="n">
        <v>3</v>
      </c>
      <c r="H24409" s="5">
        <f>HYPERLINK("https://api.qogita.com/variants/link/3770010279273/", "View Product")</f>
        <v/>
      </c>
    </row>
    <row r="24410">
      <c r="A24410" t="inlineStr">
        <is>
          <t>3770014291141</t>
        </is>
      </c>
      <c r="B24410" t="inlineStr">
        <is>
          <t>Maison Matine Warni Warni Eau De Parfum Spray</t>
        </is>
      </c>
      <c r="C24410" t="inlineStr">
        <is>
          <t>Eau De Parfum</t>
        </is>
      </c>
      <c r="D24410" t="inlineStr">
        <is>
          <t>Maison Matine</t>
        </is>
      </c>
      <c r="E24410" t="n">
        <v>15.8</v>
      </c>
      <c r="F24410" t="n">
        <v>1</v>
      </c>
      <c r="G24410" t="n">
        <v>3</v>
      </c>
      <c r="H24410" s="5">
        <f>HYPERLINK("https://api.qogita.com/variants/link/3770014291141/", "View Product")</f>
        <v/>
      </c>
    </row>
    <row r="24411">
      <c r="A24411" t="inlineStr">
        <is>
          <t>3770014291295</t>
        </is>
      </c>
      <c r="B24411" t="inlineStr">
        <is>
          <t>Maison Matine Tu Te Calmes - Unisex Fragrance</t>
        </is>
      </c>
      <c r="C24411" t="inlineStr">
        <is>
          <t>Eau De Parfum</t>
        </is>
      </c>
      <c r="D24411" t="inlineStr">
        <is>
          <t>Maison Matine</t>
        </is>
      </c>
      <c r="E24411" t="n">
        <v>15.68</v>
      </c>
      <c r="F24411" t="n">
        <v>1</v>
      </c>
      <c r="G24411" t="n">
        <v>4</v>
      </c>
      <c r="H24411" s="5">
        <f>HYPERLINK("https://api.qogita.com/variants/link/3770014291295/", "View Product")</f>
        <v/>
      </c>
    </row>
    <row r="24412">
      <c r="A24412" t="inlineStr">
        <is>
          <t>3770022101562</t>
        </is>
      </c>
      <c r="B24412" t="inlineStr">
        <is>
          <t>Brecourt Against Power Eau De Parfum 100ml</t>
        </is>
      </c>
      <c r="C24412" t="inlineStr">
        <is>
          <t>Eau De Parfum</t>
        </is>
      </c>
      <c r="D24412" t="inlineStr">
        <is>
          <t>Brecourt</t>
        </is>
      </c>
      <c r="E24412" t="n">
        <v>50.25</v>
      </c>
      <c r="F24412" t="n">
        <v>1</v>
      </c>
      <c r="G24412" t="n">
        <v>5</v>
      </c>
      <c r="H24412" s="5">
        <f>HYPERLINK("https://api.qogita.com/variants/link/3770022101562/", "View Product")</f>
        <v/>
      </c>
    </row>
    <row r="24413">
      <c r="A24413" t="inlineStr">
        <is>
          <t>3800500519333</t>
        </is>
      </c>
      <c r="B24413" t="inlineStr">
        <is>
          <t>Cocosolis Natural Sunscreen Lotion Spf 50 100ml</t>
        </is>
      </c>
      <c r="C24413" t="inlineStr">
        <is>
          <t>Body Sun Protection</t>
        </is>
      </c>
      <c r="D24413" t="inlineStr">
        <is>
          <t>Cocosolis</t>
        </is>
      </c>
      <c r="E24413" t="n">
        <v>21.9</v>
      </c>
      <c r="F24413" t="n">
        <v>1</v>
      </c>
      <c r="G24413" t="n">
        <v>5</v>
      </c>
      <c r="H24413" s="5">
        <f>HYPERLINK("https://api.qogita.com/variants/link/3800500519333/", "View Product")</f>
        <v/>
      </c>
    </row>
    <row r="24414">
      <c r="A24414" t="inlineStr">
        <is>
          <t>3800500519630</t>
        </is>
      </c>
      <c r="B24414" t="inlineStr">
        <is>
          <t>Cocosolis Mango Suntan &amp; Body Oil 110 Ml</t>
        </is>
      </c>
      <c r="C24414" t="inlineStr">
        <is>
          <t>Body Oil</t>
        </is>
      </c>
      <c r="D24414" t="inlineStr">
        <is>
          <t>Cocosolis</t>
        </is>
      </c>
      <c r="E24414" t="n">
        <v>20.19</v>
      </c>
      <c r="F24414" t="n">
        <v>1</v>
      </c>
      <c r="G24414" t="n">
        <v>5</v>
      </c>
      <c r="H24414" s="5">
        <f>HYPERLINK("https://api.qogita.com/variants/link/3800500519630/", "View Product")</f>
        <v/>
      </c>
    </row>
    <row r="24415">
      <c r="A24415" t="inlineStr">
        <is>
          <t>3800501636657</t>
        </is>
      </c>
      <c r="B24415" t="inlineStr">
        <is>
          <t>Cocosolis Grow Growth &amp; Anti-Aging Conditioner 200ml</t>
        </is>
      </c>
      <c r="C24415" t="inlineStr">
        <is>
          <t>Conditioner</t>
        </is>
      </c>
      <c r="D24415" t="inlineStr">
        <is>
          <t>Cocosolis</t>
        </is>
      </c>
      <c r="E24415" t="n">
        <v>19.33</v>
      </c>
      <c r="F24415" t="n">
        <v>1</v>
      </c>
      <c r="G24415" t="n">
        <v>5</v>
      </c>
      <c r="H24415" s="5">
        <f>HYPERLINK("https://api.qogita.com/variants/link/3800501636657/", "View Product")</f>
        <v/>
      </c>
    </row>
    <row r="24416">
      <c r="A24416" t="inlineStr">
        <is>
          <t>4001638081870</t>
        </is>
      </c>
      <c r="B24416" t="inlineStr">
        <is>
          <t>Weleda Cold Cream Protective Cream For Dry Skin 30 Ml</t>
        </is>
      </c>
      <c r="C24416" t="inlineStr">
        <is>
          <t>Face Cream</t>
        </is>
      </c>
      <c r="D24416" t="inlineStr">
        <is>
          <t>Weleda</t>
        </is>
      </c>
      <c r="E24416" t="n">
        <v>11.01</v>
      </c>
      <c r="F24416" t="n">
        <v>1</v>
      </c>
      <c r="G24416" t="n">
        <v>8</v>
      </c>
      <c r="H24416" s="5">
        <f>HYPERLINK("https://api.qogita.com/variants/link/4001638081870/", "View Product")</f>
        <v/>
      </c>
    </row>
    <row r="24417">
      <c r="A24417" t="inlineStr">
        <is>
          <t>4001638088336</t>
        </is>
      </c>
      <c r="B24417" t="inlineStr">
        <is>
          <t>Cellulite Oil Weleda Birch 200ml</t>
        </is>
      </c>
      <c r="C24417" t="inlineStr">
        <is>
          <t>Body Oil</t>
        </is>
      </c>
      <c r="D24417" t="inlineStr">
        <is>
          <t>Weleda</t>
        </is>
      </c>
      <c r="E24417" t="n">
        <v>28.46</v>
      </c>
      <c r="F24417" t="n">
        <v>1</v>
      </c>
      <c r="G24417" t="n">
        <v>8</v>
      </c>
      <c r="H24417" s="5">
        <f>HYPERLINK("https://api.qogita.com/variants/link/4001638088336/", "View Product")</f>
        <v/>
      </c>
    </row>
    <row r="24418">
      <c r="A24418" t="inlineStr">
        <is>
          <t>4001638093620</t>
        </is>
      </c>
      <c r="B24418" t="inlineStr">
        <is>
          <t>Weleda Nourishing Hair Oil 50 Ml Ideal For Hair Conditioning</t>
        </is>
      </c>
      <c r="C24418" t="inlineStr">
        <is>
          <t>Hair Oil &amp; Hair Serum</t>
        </is>
      </c>
      <c r="D24418" t="inlineStr">
        <is>
          <t>Weleda</t>
        </is>
      </c>
      <c r="E24418" t="n">
        <v>12.45</v>
      </c>
      <c r="F24418" t="n">
        <v>1</v>
      </c>
      <c r="G24418" t="n">
        <v>37</v>
      </c>
      <c r="H24418" s="5">
        <f>HYPERLINK("https://api.qogita.com/variants/link/4001638093620/", "View Product")</f>
        <v/>
      </c>
    </row>
    <row r="24419">
      <c r="A24419" t="inlineStr">
        <is>
          <t>4001638098274</t>
        </is>
      </c>
      <c r="B24419" t="inlineStr">
        <is>
          <t>Weleda Coniferous Relaxing Bath 200 Ml</t>
        </is>
      </c>
      <c r="C24419" t="inlineStr">
        <is>
          <t>Body Care Sets</t>
        </is>
      </c>
      <c r="D24419" t="inlineStr">
        <is>
          <t>Weleda</t>
        </is>
      </c>
      <c r="E24419" t="n">
        <v>13.63</v>
      </c>
      <c r="F24419" t="n">
        <v>1</v>
      </c>
      <c r="G24419" t="n">
        <v>5</v>
      </c>
      <c r="H24419" s="5">
        <f>HYPERLINK("https://api.qogita.com/variants/link/4001638098274/", "View Product")</f>
        <v/>
      </c>
    </row>
    <row r="24420">
      <c r="A24420" t="inlineStr">
        <is>
          <t>4001638500029</t>
        </is>
      </c>
      <c r="B24420" t="inlineStr">
        <is>
          <t>Weleda Bio Fig Cactus 24h Moisturizing Fluid Natural Face Lotion 30ml</t>
        </is>
      </c>
      <c r="C24420" t="inlineStr">
        <is>
          <t>Day Cream</t>
        </is>
      </c>
      <c r="D24420" t="inlineStr">
        <is>
          <t>Weleda</t>
        </is>
      </c>
      <c r="E24420" t="n">
        <v>14.02</v>
      </c>
      <c r="F24420" t="n">
        <v>1</v>
      </c>
      <c r="G24420" t="n">
        <v>8</v>
      </c>
      <c r="H24420" s="5">
        <f>HYPERLINK("https://api.qogita.com/variants/link/4001638500029/", "View Product")</f>
        <v/>
      </c>
    </row>
    <row r="24421">
      <c r="A24421" t="inlineStr">
        <is>
          <t>4001638500203</t>
        </is>
      </c>
      <c r="B24421" t="inlineStr">
        <is>
          <t>Weleda Ball Deodorant Pomegranate 24h Rollon 50 Ml</t>
        </is>
      </c>
      <c r="C24421" t="inlineStr">
        <is>
          <t>Deodorant &amp; Anti-Perspirant</t>
        </is>
      </c>
      <c r="D24421" t="inlineStr">
        <is>
          <t>Weleda</t>
        </is>
      </c>
      <c r="E24421" t="n">
        <v>8.1</v>
      </c>
      <c r="F24421" t="n">
        <v>1</v>
      </c>
      <c r="G24421" t="n">
        <v>5</v>
      </c>
      <c r="H24421" s="5">
        <f>HYPERLINK("https://api.qogita.com/variants/link/4001638500203/", "View Product")</f>
        <v/>
      </c>
    </row>
    <row r="24422">
      <c r="A24422" t="inlineStr">
        <is>
          <t>4001638500777</t>
        </is>
      </c>
      <c r="B24422" t="inlineStr">
        <is>
          <t>Weleda Mama Stretch Mark Massage Oil 100 ml</t>
        </is>
      </c>
      <c r="C24422" t="inlineStr">
        <is>
          <t>Pregnancy</t>
        </is>
      </c>
      <c r="D24422" t="inlineStr">
        <is>
          <t>Weleda</t>
        </is>
      </c>
      <c r="E24422" t="n">
        <v>18.19</v>
      </c>
      <c r="F24422" t="n">
        <v>1</v>
      </c>
      <c r="G24422" t="n">
        <v>6</v>
      </c>
      <c r="H24422" s="5">
        <f>HYPERLINK("https://api.qogita.com/variants/link/4001638500777/", "View Product")</f>
        <v/>
      </c>
    </row>
    <row r="24423">
      <c r="A24423" t="inlineStr">
        <is>
          <t>4001638500838</t>
        </is>
      </c>
      <c r="B24423" t="inlineStr">
        <is>
          <t>Weleda Calendula Massage Oil 100ml</t>
        </is>
      </c>
      <c r="C24423" t="inlineStr">
        <is>
          <t>Body Oil</t>
        </is>
      </c>
      <c r="D24423" t="inlineStr">
        <is>
          <t>Weleda</t>
        </is>
      </c>
      <c r="E24423" t="n">
        <v>14.78</v>
      </c>
      <c r="F24423" t="n">
        <v>1</v>
      </c>
      <c r="G24423" t="n">
        <v>2</v>
      </c>
      <c r="H24423" s="5">
        <f>HYPERLINK("https://api.qogita.com/variants/link/4001638500838/", "View Product")</f>
        <v/>
      </c>
    </row>
    <row r="24424">
      <c r="A24424" t="inlineStr">
        <is>
          <t>4001638501491</t>
        </is>
      </c>
      <c r="B24424" t="inlineStr">
        <is>
          <t>Weleda Skin Food Light Moisturizing And Nourishing Cream For Skin Hydration</t>
        </is>
      </c>
      <c r="C24424" t="inlineStr">
        <is>
          <t>Face Cream</t>
        </is>
      </c>
      <c r="D24424" t="inlineStr">
        <is>
          <t>Weleda</t>
        </is>
      </c>
      <c r="E24424" t="n">
        <v>10.68</v>
      </c>
      <c r="F24424" t="n">
        <v>1</v>
      </c>
      <c r="G24424" t="n">
        <v>26</v>
      </c>
      <c r="H24424" s="5">
        <f>HYPERLINK("https://api.qogita.com/variants/link/4001638501491/", "View Product")</f>
        <v/>
      </c>
    </row>
    <row r="24425">
      <c r="A24425" t="inlineStr">
        <is>
          <t>4001638523103</t>
        </is>
      </c>
      <c r="B24425" t="inlineStr">
        <is>
          <t>Weleda Calendula Baby Cream Gentle Care For Your Baby's Skin</t>
        </is>
      </c>
      <c r="C24425" t="inlineStr">
        <is>
          <t>Baby Cream &amp; Oil</t>
        </is>
      </c>
      <c r="D24425" t="inlineStr">
        <is>
          <t>Weleda</t>
        </is>
      </c>
      <c r="E24425" t="n">
        <v>5.93</v>
      </c>
      <c r="F24425" t="n">
        <v>1</v>
      </c>
      <c r="G24425" t="n">
        <v>3</v>
      </c>
      <c r="H24425" s="5">
        <f>HYPERLINK("https://api.qogita.com/variants/link/4001638523103/", "View Product")</f>
        <v/>
      </c>
    </row>
    <row r="24426">
      <c r="A24426" t="inlineStr">
        <is>
          <t>4001638523134</t>
        </is>
      </c>
      <c r="B24426" t="inlineStr">
        <is>
          <t>Weleda Baby Calendula Body Lotion (200 ml)</t>
        </is>
      </c>
      <c r="C24426" t="inlineStr">
        <is>
          <t>Baby Cream &amp; Oil</t>
        </is>
      </c>
      <c r="D24426" t="inlineStr">
        <is>
          <t>Weleda</t>
        </is>
      </c>
      <c r="E24426" t="n">
        <v>12.49</v>
      </c>
      <c r="F24426" t="n">
        <v>1</v>
      </c>
      <c r="G24426" t="n">
        <v>8</v>
      </c>
      <c r="H24426" s="5">
        <f>HYPERLINK("https://api.qogita.com/variants/link/4001638523134/", "View Product")</f>
        <v/>
      </c>
    </row>
    <row r="24427">
      <c r="A24427" t="inlineStr">
        <is>
          <t>4001638529419</t>
        </is>
      </c>
      <c r="B24427" t="inlineStr">
        <is>
          <t>Wild Rose Indulging Body Lotion</t>
        </is>
      </c>
      <c r="C24427" t="inlineStr">
        <is>
          <t>Body Lotion</t>
        </is>
      </c>
      <c r="D24427" t="inlineStr">
        <is>
          <t>Weleda</t>
        </is>
      </c>
      <c r="E24427" t="n">
        <v>17.06</v>
      </c>
      <c r="F24427" t="n">
        <v>1</v>
      </c>
      <c r="G24427" t="n">
        <v>3</v>
      </c>
      <c r="H24427" s="5">
        <f>HYPERLINK("https://api.qogita.com/variants/link/4001638529419/", "View Product")</f>
        <v/>
      </c>
    </row>
    <row r="24428">
      <c r="A24428" t="inlineStr">
        <is>
          <t>4001638529945</t>
        </is>
      </c>
      <c r="B24428" t="inlineStr">
        <is>
          <t>Weleda Ginger Petitgrain Citrus Refreshing Soap Shower Bar 75 G</t>
        </is>
      </c>
      <c r="C24428" t="inlineStr">
        <is>
          <t>Soap</t>
        </is>
      </c>
      <c r="D24428" t="inlineStr">
        <is>
          <t>Weleda</t>
        </is>
      </c>
      <c r="E24428" t="n">
        <v>6.24</v>
      </c>
      <c r="F24428" t="n">
        <v>1</v>
      </c>
      <c r="G24428" t="n">
        <v>5</v>
      </c>
      <c r="H24428" s="5">
        <f>HYPERLINK("https://api.qogita.com/variants/link/4001638529945/", "View Product")</f>
        <v/>
      </c>
    </row>
    <row r="24429">
      <c r="A24429" t="inlineStr">
        <is>
          <t>4001638530378</t>
        </is>
      </c>
      <c r="B24429" t="inlineStr">
        <is>
          <t>Weleda Rosemary Oil Revitalising Shampoo with Hyaluronic Acid for Hair Growth</t>
        </is>
      </c>
      <c r="C24429" t="inlineStr">
        <is>
          <t>Shampoo</t>
        </is>
      </c>
      <c r="D24429" t="inlineStr">
        <is>
          <t>Weleda</t>
        </is>
      </c>
      <c r="E24429" t="n">
        <v>10.04</v>
      </c>
      <c r="F24429" t="n">
        <v>1</v>
      </c>
      <c r="G24429" t="n">
        <v>9</v>
      </c>
      <c r="H24429" s="5">
        <f>HYPERLINK("https://api.qogita.com/variants/link/4001638530378/", "View Product")</f>
        <v/>
      </c>
    </row>
    <row r="24430">
      <c r="A24430" t="inlineStr">
        <is>
          <t>4001638579926</t>
        </is>
      </c>
      <c r="B24430" t="inlineStr">
        <is>
          <t>Weleda Pomegranate Regenerating Body Butter 150ml</t>
        </is>
      </c>
      <c r="C24430" t="inlineStr">
        <is>
          <t>Body Butter</t>
        </is>
      </c>
      <c r="D24430" t="inlineStr">
        <is>
          <t>Weleda</t>
        </is>
      </c>
      <c r="E24430" t="n">
        <v>17.82</v>
      </c>
      <c r="F24430" t="n">
        <v>1</v>
      </c>
      <c r="G24430" t="n">
        <v>3</v>
      </c>
      <c r="H24430" s="5">
        <f>HYPERLINK("https://api.qogita.com/variants/link/4001638579926/", "View Product")</f>
        <v/>
      </c>
    </row>
    <row r="24431">
      <c r="A24431" t="inlineStr">
        <is>
          <t>4001638580045</t>
        </is>
      </c>
      <c r="B24431" t="inlineStr">
        <is>
          <t>Weleda Day Cream with Pomegranate Seed Oil &amp; Maca Peptides 40ml</t>
        </is>
      </c>
      <c r="C24431" t="inlineStr">
        <is>
          <t>Day Cream</t>
        </is>
      </c>
      <c r="D24431" t="inlineStr">
        <is>
          <t>Weleda</t>
        </is>
      </c>
      <c r="E24431" t="n">
        <v>21.99</v>
      </c>
      <c r="F24431" t="n">
        <v>1</v>
      </c>
      <c r="G24431" t="n">
        <v>6</v>
      </c>
      <c r="H24431" s="5">
        <f>HYPERLINK("https://api.qogita.com/variants/link/4001638580045/", "View Product")</f>
        <v/>
      </c>
    </row>
    <row r="24432">
      <c r="A24432" t="inlineStr">
        <is>
          <t>4001638580229</t>
        </is>
      </c>
      <c r="B24432" t="inlineStr">
        <is>
          <t>Weleda Skin Food Nourishing Day Cream</t>
        </is>
      </c>
      <c r="C24432" t="inlineStr">
        <is>
          <t>Day Cream</t>
        </is>
      </c>
      <c r="D24432" t="inlineStr">
        <is>
          <t>Weleda</t>
        </is>
      </c>
      <c r="E24432" t="n">
        <v>17.06</v>
      </c>
      <c r="F24432" t="n">
        <v>1</v>
      </c>
      <c r="G24432" t="n">
        <v>4</v>
      </c>
      <c r="H24432" s="5">
        <f>HYPERLINK("https://api.qogita.com/variants/link/4001638580229/", "View Product")</f>
        <v/>
      </c>
    </row>
    <row r="24433">
      <c r="A24433" t="inlineStr">
        <is>
          <t>4001638588423</t>
        </is>
      </c>
      <c r="B24433" t="inlineStr">
        <is>
          <t>Weleda Junior Fluoride Dental Gel 50 Ml</t>
        </is>
      </c>
      <c r="C24433" t="inlineStr">
        <is>
          <t>Dental Care For Children</t>
        </is>
      </c>
      <c r="D24433" t="inlineStr">
        <is>
          <t>Weleda</t>
        </is>
      </c>
      <c r="E24433" t="n">
        <v>6.56</v>
      </c>
      <c r="F24433" t="n">
        <v>1</v>
      </c>
      <c r="G24433" t="n">
        <v>3</v>
      </c>
      <c r="H24433" s="5">
        <f>HYPERLINK("https://api.qogita.com/variants/link/4001638588423/", "View Product")</f>
        <v/>
      </c>
    </row>
    <row r="24434">
      <c r="A24434" t="inlineStr">
        <is>
          <t>4001638590587</t>
        </is>
      </c>
      <c r="B24434" t="inlineStr">
        <is>
          <t>Weleda Bio Very Cherry Lip Balm Limited Edition Natural Cosmetics</t>
        </is>
      </c>
      <c r="C24434" t="inlineStr">
        <is>
          <t>Lip Oil</t>
        </is>
      </c>
      <c r="D24434" t="inlineStr">
        <is>
          <t>Weleda</t>
        </is>
      </c>
      <c r="E24434" t="n">
        <v>6.86</v>
      </c>
      <c r="F24434" t="n">
        <v>1</v>
      </c>
      <c r="G24434" t="n">
        <v>4</v>
      </c>
      <c r="H24434" s="5">
        <f>HYPERLINK("https://api.qogita.com/variants/link/4001638590587/", "View Product")</f>
        <v/>
      </c>
    </row>
    <row r="24435">
      <c r="A24435" t="inlineStr">
        <is>
          <t>4002448087441</t>
        </is>
      </c>
      <c r="B24435" t="inlineStr">
        <is>
          <t>Scholl Gelactiv All Day Comfort Insoles For Shoes With A Heel 1 Pair</t>
        </is>
      </c>
      <c r="C24435" t="inlineStr">
        <is>
          <t>Foot Care Sets</t>
        </is>
      </c>
      <c r="D24435" t="inlineStr">
        <is>
          <t>Scholl</t>
        </is>
      </c>
      <c r="E24435" t="n">
        <v>10.22</v>
      </c>
      <c r="F24435" t="n">
        <v>1</v>
      </c>
      <c r="G24435" t="n">
        <v>26</v>
      </c>
      <c r="H24435" s="5">
        <f>HYPERLINK("https://api.qogita.com/variants/link/4002448087441/", "View Product")</f>
        <v/>
      </c>
    </row>
    <row r="24436">
      <c r="A24436" t="inlineStr">
        <is>
          <t>4002448110712</t>
        </is>
      </c>
      <c r="B24436" t="inlineStr">
        <is>
          <t>Scholl Velvet Smooth Pedi Refill Regular Coarse Strong</t>
        </is>
      </c>
      <c r="C24436" t="inlineStr">
        <is>
          <t>Callus Remover</t>
        </is>
      </c>
      <c r="D24436" t="inlineStr">
        <is>
          <t>Scholl</t>
        </is>
      </c>
      <c r="E24436" t="n">
        <v>12.23</v>
      </c>
      <c r="F24436" t="n">
        <v>1</v>
      </c>
      <c r="G24436" t="n">
        <v>54</v>
      </c>
      <c r="H24436" s="5">
        <f>HYPERLINK("https://api.qogita.com/variants/link/4002448110712/", "View Product")</f>
        <v/>
      </c>
    </row>
    <row r="24437">
      <c r="A24437" t="inlineStr">
        <is>
          <t>4002448110774</t>
        </is>
      </c>
      <c r="B24437" t="inlineStr">
        <is>
          <t>Scholl Velvet Smooth Replacement Rotary Head 2 Pcs With Diamond Crystal For Ultrarough Skin</t>
        </is>
      </c>
      <c r="C24437" t="inlineStr">
        <is>
          <t>Callus Remover</t>
        </is>
      </c>
      <c r="D24437" t="inlineStr">
        <is>
          <t>Scholl</t>
        </is>
      </c>
      <c r="E24437" t="n">
        <v>12.74</v>
      </c>
      <c r="F24437" t="n">
        <v>1</v>
      </c>
      <c r="G24437" t="n">
        <v>44</v>
      </c>
      <c r="H24437" s="5">
        <f>HYPERLINK("https://api.qogita.com/variants/link/4002448110774/", "View Product")</f>
        <v/>
      </c>
    </row>
    <row r="24438">
      <c r="A24438" t="inlineStr">
        <is>
          <t>4002448134138</t>
        </is>
      </c>
      <c r="B24438" t="inlineStr">
        <is>
          <t>Scholl Hydration Boost Cream For Feet 75 Ml</t>
        </is>
      </c>
      <c r="C24438" t="inlineStr">
        <is>
          <t>Foot Cream</t>
        </is>
      </c>
      <c r="D24438" t="inlineStr">
        <is>
          <t>Scholl</t>
        </is>
      </c>
      <c r="E24438" t="n">
        <v>6.37</v>
      </c>
      <c r="F24438" t="n">
        <v>1</v>
      </c>
      <c r="G24438" t="n">
        <v>5</v>
      </c>
      <c r="H24438" s="5">
        <f>HYPERLINK("https://api.qogita.com/variants/link/4002448134138/", "View Product")</f>
        <v/>
      </c>
    </row>
    <row r="24439">
      <c r="A24439" t="inlineStr">
        <is>
          <t>4003349005190</t>
        </is>
      </c>
      <c r="B24439" t="inlineStr">
        <is>
          <t>Luxury Leather Manicure 9352i</t>
        </is>
      </c>
      <c r="C24439" t="inlineStr">
        <is>
          <t>Manicure Sets</t>
        </is>
      </c>
      <c r="D24439" t="inlineStr">
        <is>
          <t>Pfeilring Solingen</t>
        </is>
      </c>
      <c r="E24439" t="n">
        <v>110.23</v>
      </c>
      <c r="F24439" t="n">
        <v>1</v>
      </c>
      <c r="G24439" t="n">
        <v>4</v>
      </c>
      <c r="H24439" s="5">
        <f>HYPERLINK("https://api.qogita.com/variants/link/4003349005190/", "View Product")</f>
        <v/>
      </c>
    </row>
    <row r="24440">
      <c r="A24440" t="inlineStr">
        <is>
          <t>4005800024146</t>
        </is>
      </c>
      <c r="B24440" t="inlineStr">
        <is>
          <t>Eucerin Urearepair Plus 10 Body Lotion 10 Urea</t>
        </is>
      </c>
      <c r="C24440" t="inlineStr">
        <is>
          <t>Body Lotion</t>
        </is>
      </c>
      <c r="D24440" t="inlineStr">
        <is>
          <t>Eucerin</t>
        </is>
      </c>
      <c r="E24440" t="n">
        <v>25.62</v>
      </c>
      <c r="F24440" t="n">
        <v>1</v>
      </c>
      <c r="G24440" t="n">
        <v>4</v>
      </c>
      <c r="H24440" s="5">
        <f>HYPERLINK("https://api.qogita.com/variants/link/4005800024146/", "View Product")</f>
        <v/>
      </c>
    </row>
    <row r="24441">
      <c r="A24441" t="inlineStr">
        <is>
          <t>4005800036736</t>
        </is>
      </c>
      <c r="B24441" t="inlineStr">
        <is>
          <t>Eucerin Dermo Capillaire Ph5 Soft Shampoo 250ml For Sensitive Skin</t>
        </is>
      </c>
      <c r="C24441" t="inlineStr">
        <is>
          <t>Shampoo</t>
        </is>
      </c>
      <c r="D24441" t="inlineStr">
        <is>
          <t>Eucerin</t>
        </is>
      </c>
      <c r="E24441" t="n">
        <v>13.86</v>
      </c>
      <c r="F24441" t="n">
        <v>1</v>
      </c>
      <c r="G24441" t="n">
        <v>8</v>
      </c>
      <c r="H24441" s="5">
        <f>HYPERLINK("https://api.qogita.com/variants/link/4005800036736/", "View Product")</f>
        <v/>
      </c>
    </row>
    <row r="24442">
      <c r="A24442" t="inlineStr">
        <is>
          <t>4005800036811</t>
        </is>
      </c>
      <c r="B24442" t="inlineStr">
        <is>
          <t>Eucerin Dermo Capillar Re-Vitalizing Shampoo Bottle 250ml</t>
        </is>
      </c>
      <c r="C24442" t="inlineStr">
        <is>
          <t>Shampoo</t>
        </is>
      </c>
      <c r="D24442" t="inlineStr">
        <is>
          <t>Eucerin</t>
        </is>
      </c>
      <c r="E24442" t="n">
        <v>18.33</v>
      </c>
      <c r="F24442" t="n">
        <v>1</v>
      </c>
      <c r="G24442" t="n">
        <v>24</v>
      </c>
      <c r="H24442" s="5">
        <f>HYPERLINK("https://api.qogita.com/variants/link/4005800036811/", "View Product")</f>
        <v/>
      </c>
    </row>
    <row r="24443">
      <c r="A24443" t="inlineStr">
        <is>
          <t>4005800162206</t>
        </is>
      </c>
      <c r="B24443" t="inlineStr">
        <is>
          <t>Eucerin Foot Cream Urea Repair Plus 10 100 Ml</t>
        </is>
      </c>
      <c r="C24443" t="inlineStr">
        <is>
          <t>Foot Cream</t>
        </is>
      </c>
      <c r="D24443" t="inlineStr">
        <is>
          <t>Eucerin</t>
        </is>
      </c>
      <c r="E24443" t="n">
        <v>16.23</v>
      </c>
      <c r="F24443" t="n">
        <v>1</v>
      </c>
      <c r="G24443" t="n">
        <v>2</v>
      </c>
      <c r="H24443" s="5">
        <f>HYPERLINK("https://api.qogita.com/variants/link/4005800162206/", "View Product")</f>
        <v/>
      </c>
    </row>
    <row r="24444">
      <c r="A24444" t="inlineStr">
        <is>
          <t>4005800221422</t>
        </is>
      </c>
      <c r="B24444" t="inlineStr">
        <is>
          <t>Eucerin Aquaphor Protect &amp; Repair Ointment 220ml</t>
        </is>
      </c>
      <c r="C24444" t="inlineStr">
        <is>
          <t>Neurodermatitis</t>
        </is>
      </c>
      <c r="D24444" t="inlineStr">
        <is>
          <t>Eucerin</t>
        </is>
      </c>
      <c r="E24444" t="n">
        <v>27.32</v>
      </c>
      <c r="F24444" t="n">
        <v>1</v>
      </c>
      <c r="G24444" t="n">
        <v>5</v>
      </c>
      <c r="H24444" s="5">
        <f>HYPERLINK("https://api.qogita.com/variants/link/4005800221422/", "View Product")</f>
        <v/>
      </c>
    </row>
    <row r="24445">
      <c r="A24445" t="inlineStr">
        <is>
          <t>4005800264214</t>
        </is>
      </c>
      <c r="B24445" t="inlineStr">
        <is>
          <t>Eucerin Sun Gel Cream Dry Touch Spf50 200ml</t>
        </is>
      </c>
      <c r="C24445" t="inlineStr">
        <is>
          <t>Face Sun Protection</t>
        </is>
      </c>
      <c r="D24445" t="inlineStr">
        <is>
          <t>Eucerin</t>
        </is>
      </c>
      <c r="E24445" t="n">
        <v>17.88</v>
      </c>
      <c r="F24445" t="n">
        <v>1</v>
      </c>
      <c r="G24445" t="n">
        <v>5</v>
      </c>
      <c r="H24445" s="5">
        <f>HYPERLINK("https://api.qogita.com/variants/link/4005800264214/", "View Product")</f>
        <v/>
      </c>
    </row>
    <row r="24446">
      <c r="A24446" t="inlineStr">
        <is>
          <t>4005800288296</t>
        </is>
      </c>
      <c r="B24446" t="inlineStr">
        <is>
          <t>Eucerin Urearepair Plus 10% Urea Foot Foam 150ml Moisturising Foam for Very Dry Skin</t>
        </is>
      </c>
      <c r="C24446" t="inlineStr">
        <is>
          <t>Foot Cream</t>
        </is>
      </c>
      <c r="D24446" t="inlineStr">
        <is>
          <t>Eucerin</t>
        </is>
      </c>
      <c r="E24446" t="n">
        <v>17.58</v>
      </c>
      <c r="F24446" t="n">
        <v>1</v>
      </c>
      <c r="G24446" t="n">
        <v>8</v>
      </c>
      <c r="H24446" s="5">
        <f>HYPERLINK("https://api.qogita.com/variants/link/4005800288296/", "View Product")</f>
        <v/>
      </c>
    </row>
    <row r="24447">
      <c r="A24447" t="inlineStr">
        <is>
          <t>4005800302718</t>
        </is>
      </c>
      <c r="B24447" t="inlineStr">
        <is>
          <t>Eucerin Anti-Pigment Perfecting Serum 30ml</t>
        </is>
      </c>
      <c r="C24447" t="inlineStr">
        <is>
          <t>Hydrating Serum</t>
        </is>
      </c>
      <c r="D24447" t="inlineStr">
        <is>
          <t>Eucerin</t>
        </is>
      </c>
      <c r="E24447" t="n">
        <v>45.25</v>
      </c>
      <c r="F24447" t="n">
        <v>1</v>
      </c>
      <c r="G24447" t="n">
        <v>3</v>
      </c>
      <c r="H24447" s="5">
        <f>HYPERLINK("https://api.qogita.com/variants/link/4005800302718/", "View Product")</f>
        <v/>
      </c>
    </row>
    <row r="24448">
      <c r="A24448" t="inlineStr">
        <is>
          <t>4005800304637</t>
        </is>
      </c>
      <c r="B24448" t="inlineStr">
        <is>
          <t>Eucerin Urearepair Plus 5 Urea Lotion Moisturizing Body Lotion</t>
        </is>
      </c>
      <c r="C24448" t="inlineStr">
        <is>
          <t>Body Lotion</t>
        </is>
      </c>
      <c r="D24448" t="inlineStr">
        <is>
          <t>Eucerin</t>
        </is>
      </c>
      <c r="E24448" t="n">
        <v>29.37</v>
      </c>
      <c r="F24448" t="n">
        <v>1</v>
      </c>
      <c r="G24448" t="n">
        <v>4</v>
      </c>
      <c r="H24448" s="5">
        <f>HYPERLINK("https://api.qogita.com/variants/link/4005800304637/", "View Product")</f>
        <v/>
      </c>
    </row>
    <row r="24449">
      <c r="A24449" t="inlineStr">
        <is>
          <t>4005800322969</t>
        </is>
      </c>
      <c r="B24449" t="inlineStr">
        <is>
          <t>Eucerin Oil Control Dry Touch Sunscreen Spray SPF 30 200ml</t>
        </is>
      </c>
      <c r="C24449" t="inlineStr">
        <is>
          <t>Body Sun Protection</t>
        </is>
      </c>
      <c r="D24449" t="inlineStr">
        <is>
          <t>Eucerin</t>
        </is>
      </c>
      <c r="E24449" t="n">
        <v>24.8</v>
      </c>
      <c r="F24449" t="n">
        <v>1</v>
      </c>
      <c r="G24449" t="n">
        <v>2</v>
      </c>
      <c r="H24449" s="5">
        <f>HYPERLINK("https://api.qogita.com/variants/link/4005800322969/", "View Product")</f>
        <v/>
      </c>
    </row>
    <row r="24450">
      <c r="A24450" t="inlineStr">
        <is>
          <t>4005800342530</t>
        </is>
      </c>
      <c r="B24450" t="inlineStr">
        <is>
          <t>Eucerin Dermopure Triple Effect Cleansing Gel 400ml</t>
        </is>
      </c>
      <c r="C24450" t="inlineStr">
        <is>
          <t>Cleansing Gel</t>
        </is>
      </c>
      <c r="D24450" t="inlineStr">
        <is>
          <t>Eucerin</t>
        </is>
      </c>
      <c r="E24450" t="n">
        <v>23.07</v>
      </c>
      <c r="F24450" t="n">
        <v>1</v>
      </c>
      <c r="G24450" t="n">
        <v>6</v>
      </c>
      <c r="H24450" s="5">
        <f>HYPERLINK("https://api.qogita.com/variants/link/4005800342530/", "View Product")</f>
        <v/>
      </c>
    </row>
    <row r="24451">
      <c r="A24451" t="inlineStr">
        <is>
          <t>4005800343131</t>
        </is>
      </c>
      <c r="B24451" t="inlineStr">
        <is>
          <t>Eucerin Dermopure Smoothing and Moisturizing Body Cream with Triple Action</t>
        </is>
      </c>
      <c r="C24451" t="inlineStr">
        <is>
          <t>Body Lotion</t>
        </is>
      </c>
      <c r="D24451" t="inlineStr">
        <is>
          <t>Eucerin</t>
        </is>
      </c>
      <c r="E24451" t="n">
        <v>22.04</v>
      </c>
      <c r="F24451" t="n">
        <v>1</v>
      </c>
      <c r="G24451" t="n">
        <v>2</v>
      </c>
      <c r="H24451" s="5">
        <f>HYPERLINK("https://api.qogita.com/variants/link/4005800343131/", "View Product")</f>
        <v/>
      </c>
    </row>
    <row r="24452">
      <c r="A24452" t="inlineStr">
        <is>
          <t>4005800356247</t>
        </is>
      </c>
      <c r="B24452" t="inlineStr">
        <is>
          <t>Eucerin Shower Gel &amp; Oil Ph5 - Gentle And Hydrating Body Wash</t>
        </is>
      </c>
      <c r="C24452" t="inlineStr">
        <is>
          <t>Shower Gel</t>
        </is>
      </c>
      <c r="D24452" t="inlineStr">
        <is>
          <t>Eucerin</t>
        </is>
      </c>
      <c r="E24452" t="n">
        <v>14.27</v>
      </c>
      <c r="F24452" t="n">
        <v>1</v>
      </c>
      <c r="G24452" t="n">
        <v>8</v>
      </c>
      <c r="H24452" s="5">
        <f>HYPERLINK("https://api.qogita.com/variants/link/4005800356247/", "View Product")</f>
        <v/>
      </c>
    </row>
    <row r="24453">
      <c r="A24453" t="inlineStr">
        <is>
          <t>4005808179824</t>
        </is>
      </c>
      <c r="B24453" t="inlineStr">
        <is>
          <t>Nivea Firming Antiwrinkle Eye Cream Q10 Power 15 Ml</t>
        </is>
      </c>
      <c r="C24453" t="inlineStr">
        <is>
          <t>Eye Cream</t>
        </is>
      </c>
      <c r="D24453" t="inlineStr">
        <is>
          <t>Nivea</t>
        </is>
      </c>
      <c r="E24453" t="n">
        <v>11.3</v>
      </c>
      <c r="F24453" t="n">
        <v>1</v>
      </c>
      <c r="G24453" t="n">
        <v>10</v>
      </c>
      <c r="H24453" s="5">
        <f>HYPERLINK("https://api.qogita.com/variants/link/4005808179824/", "View Product")</f>
        <v/>
      </c>
    </row>
    <row r="24454">
      <c r="A24454" t="inlineStr">
        <is>
          <t>4005808260188</t>
        </is>
      </c>
      <c r="B24454" t="inlineStr">
        <is>
          <t>Nivea Ultra Strong Hairspray 250ml</t>
        </is>
      </c>
      <c r="C24454" t="inlineStr">
        <is>
          <t>Hairspray</t>
        </is>
      </c>
      <c r="D24454" t="inlineStr">
        <is>
          <t>Nivea</t>
        </is>
      </c>
      <c r="E24454" t="n">
        <v>5.95</v>
      </c>
      <c r="F24454" t="n">
        <v>1</v>
      </c>
      <c r="G24454" t="n">
        <v>7</v>
      </c>
      <c r="H24454" s="5">
        <f>HYPERLINK("https://api.qogita.com/variants/link/4005808260188/", "View Product")</f>
        <v/>
      </c>
    </row>
    <row r="24455">
      <c r="A24455" t="inlineStr">
        <is>
          <t>4005808265466</t>
        </is>
      </c>
      <c r="B24455" t="inlineStr">
        <is>
          <t>Nivea Protect &amp; Care Moisturizing Shaving Gel For Normal And Dry Skin 200 Ml</t>
        </is>
      </c>
      <c r="C24455" t="inlineStr">
        <is>
          <t>Shaving</t>
        </is>
      </c>
      <c r="D24455" t="inlineStr">
        <is>
          <t>Nivea</t>
        </is>
      </c>
      <c r="E24455" t="n">
        <v>5.23</v>
      </c>
      <c r="F24455" t="n">
        <v>1</v>
      </c>
      <c r="G24455" t="n">
        <v>3</v>
      </c>
      <c r="H24455" s="5">
        <f>HYPERLINK("https://api.qogita.com/variants/link/4005808265466/", "View Product")</f>
        <v/>
      </c>
    </row>
    <row r="24456">
      <c r="A24456" t="inlineStr">
        <is>
          <t>4005808475018</t>
        </is>
      </c>
      <c r="B24456" t="inlineStr">
        <is>
          <t>NIVEA SUN Kids Swim &amp; Play Ultra Protect &amp; Play SPF 50+ Lotion 150ml</t>
        </is>
      </c>
      <c r="C24456" t="inlineStr">
        <is>
          <t>Sun Protection For Children</t>
        </is>
      </c>
      <c r="D24456" t="inlineStr">
        <is>
          <t>Nivea</t>
        </is>
      </c>
      <c r="E24456" t="n">
        <v>10.44</v>
      </c>
      <c r="F24456" t="n">
        <v>1</v>
      </c>
      <c r="G24456" t="n">
        <v>8</v>
      </c>
      <c r="H24456" s="5">
        <f>HYPERLINK("https://api.qogita.com/variants/link/4005808475018/", "View Product")</f>
        <v/>
      </c>
    </row>
    <row r="24457">
      <c r="A24457" t="inlineStr">
        <is>
          <t>4005808728879</t>
        </is>
      </c>
      <c r="B24457" t="inlineStr">
        <is>
          <t>Nivea Antiperspirant Spray Black &amp; White Invisible Pure 150 Ml</t>
        </is>
      </c>
      <c r="C24457" t="inlineStr">
        <is>
          <t>Deodorant &amp; Anti-Perspirant</t>
        </is>
      </c>
      <c r="D24457" t="inlineStr">
        <is>
          <t>Nivea</t>
        </is>
      </c>
      <c r="E24457" t="n">
        <v>5.23</v>
      </c>
      <c r="F24457" t="n">
        <v>1</v>
      </c>
      <c r="G24457" t="n">
        <v>21</v>
      </c>
      <c r="H24457" s="5">
        <f>HYPERLINK("https://api.qogita.com/variants/link/4005808728879/", "View Product")</f>
        <v/>
      </c>
    </row>
    <row r="24458">
      <c r="A24458" t="inlineStr">
        <is>
          <t>4005808729746</t>
        </is>
      </c>
      <c r="B24458" t="inlineStr">
        <is>
          <t>Nivea Invisible For Black &amp; White Clear Antiperspirant Spray 150 Ml</t>
        </is>
      </c>
      <c r="C24458" t="inlineStr">
        <is>
          <t>Deodorant &amp; Anti-Perspirant</t>
        </is>
      </c>
      <c r="D24458" t="inlineStr">
        <is>
          <t>Nivea</t>
        </is>
      </c>
      <c r="E24458" t="n">
        <v>4.04</v>
      </c>
      <c r="F24458" t="n">
        <v>1</v>
      </c>
      <c r="G24458" t="n">
        <v>14</v>
      </c>
      <c r="H24458" s="5">
        <f>HYPERLINK("https://api.qogita.com/variants/link/4005808729746/", "View Product")</f>
        <v/>
      </c>
    </row>
    <row r="24459">
      <c r="A24459" t="inlineStr">
        <is>
          <t>4005808745821</t>
        </is>
      </c>
      <c r="B24459" t="inlineStr">
        <is>
          <t>Nivea Bb Cream Spf 10 Moisturizer 5in1 Beautifying 50 Ml</t>
        </is>
      </c>
      <c r="C24459" t="inlineStr">
        <is>
          <t>Tinted Day Cream</t>
        </is>
      </c>
      <c r="D24459" t="inlineStr">
        <is>
          <t>Nivea</t>
        </is>
      </c>
      <c r="E24459" t="n">
        <v>8.359999999999999</v>
      </c>
      <c r="F24459" t="n">
        <v>1</v>
      </c>
      <c r="G24459" t="n">
        <v>2</v>
      </c>
      <c r="H24459" s="5">
        <f>HYPERLINK("https://api.qogita.com/variants/link/4005808745821/", "View Product")</f>
        <v/>
      </c>
    </row>
    <row r="24460">
      <c r="A24460" t="inlineStr">
        <is>
          <t>4005808775163</t>
        </is>
      </c>
      <c r="B24460" t="inlineStr">
        <is>
          <t>Nivea Fresh Kick Shower Gel 250 Ml For Face Body And Hair</t>
        </is>
      </c>
      <c r="C24460" t="inlineStr">
        <is>
          <t>Shower Gel</t>
        </is>
      </c>
      <c r="D24460" t="inlineStr">
        <is>
          <t>Nivea</t>
        </is>
      </c>
      <c r="E24460" t="n">
        <v>3.18</v>
      </c>
      <c r="F24460" t="n">
        <v>1</v>
      </c>
      <c r="G24460" t="n">
        <v>3</v>
      </c>
      <c r="H24460" s="5">
        <f>HYPERLINK("https://api.qogita.com/variants/link/4005808775163/", "View Product")</f>
        <v/>
      </c>
    </row>
    <row r="24461">
      <c r="A24461" t="inlineStr">
        <is>
          <t>4005808779543</t>
        </is>
      </c>
      <c r="B24461" t="inlineStr">
        <is>
          <t>Nivea Nourishing Body Milk For Dry To Very Dry Skin 400 Ml</t>
        </is>
      </c>
      <c r="C24461" t="inlineStr">
        <is>
          <t>Body Lotion</t>
        </is>
      </c>
      <c r="D24461" t="inlineStr">
        <is>
          <t>Nivea</t>
        </is>
      </c>
      <c r="E24461" t="n">
        <v>10.89</v>
      </c>
      <c r="F24461" t="n">
        <v>1</v>
      </c>
      <c r="G24461" t="n">
        <v>15</v>
      </c>
      <c r="H24461" s="5">
        <f>HYPERLINK("https://api.qogita.com/variants/link/4005808779543/", "View Product")</f>
        <v/>
      </c>
    </row>
    <row r="24462">
      <c r="A24462" t="inlineStr">
        <is>
          <t>4005808780723</t>
        </is>
      </c>
      <c r="B24462" t="inlineStr">
        <is>
          <t>Nivea Men Shower Gel Energy 250ml</t>
        </is>
      </c>
      <c r="C24462" t="inlineStr">
        <is>
          <t>Shower Gel</t>
        </is>
      </c>
      <c r="D24462" t="inlineStr">
        <is>
          <t>Nivea</t>
        </is>
      </c>
      <c r="E24462" t="n">
        <v>3.5</v>
      </c>
      <c r="F24462" t="n">
        <v>1</v>
      </c>
      <c r="G24462" t="n">
        <v>6</v>
      </c>
      <c r="H24462" s="5">
        <f>HYPERLINK("https://api.qogita.com/variants/link/4005808780723/", "View Product")</f>
        <v/>
      </c>
    </row>
    <row r="24463">
      <c r="A24463" t="inlineStr">
        <is>
          <t>4005900009135</t>
        </is>
      </c>
      <c r="B24463" t="inlineStr">
        <is>
          <t>Nivea Body Soft Moisturizing Care 100ml</t>
        </is>
      </c>
      <c r="C24463" t="inlineStr">
        <is>
          <t>Body Lotion</t>
        </is>
      </c>
      <c r="D24463" t="inlineStr">
        <is>
          <t>Nivea</t>
        </is>
      </c>
      <c r="E24463" t="n">
        <v>4.76</v>
      </c>
      <c r="F24463" t="n">
        <v>1</v>
      </c>
      <c r="G24463" t="n">
        <v>12</v>
      </c>
      <c r="H24463" s="5">
        <f>HYPERLINK("https://api.qogita.com/variants/link/4005900009135/", "View Product")</f>
        <v/>
      </c>
    </row>
    <row r="24464">
      <c r="A24464" t="inlineStr">
        <is>
          <t>4005900437471</t>
        </is>
      </c>
      <c r="B24464" t="inlineStr">
        <is>
          <t>Nivea Hyaluron Cellular Filler 3in1 Care Cushion Makeup Spf15 Slightly Covering Makeup In Sponge 15 G 01 Light</t>
        </is>
      </c>
      <c r="C24464" t="inlineStr">
        <is>
          <t>Foundation</t>
        </is>
      </c>
      <c r="D24464" t="inlineStr">
        <is>
          <t>Nivea</t>
        </is>
      </c>
      <c r="E24464" t="n">
        <v>25.76</v>
      </c>
      <c r="F24464" t="n">
        <v>1</v>
      </c>
      <c r="G24464" t="n">
        <v>5</v>
      </c>
      <c r="H24464" s="5">
        <f>HYPERLINK("https://api.qogita.com/variants/link/4005900437471/", "View Product")</f>
        <v/>
      </c>
    </row>
    <row r="24465">
      <c r="A24465" t="inlineStr">
        <is>
          <t>4005900475220</t>
        </is>
      </c>
      <c r="B24465" t="inlineStr">
        <is>
          <t>Nivea Mattifying Sun Cream Spf 50 50 Ml With Mattifying Effect And Shine Control</t>
        </is>
      </c>
      <c r="C24465" t="inlineStr">
        <is>
          <t>Face Sun Protection</t>
        </is>
      </c>
      <c r="D24465" t="inlineStr">
        <is>
          <t>Nivea</t>
        </is>
      </c>
      <c r="E24465" t="n">
        <v>10.21</v>
      </c>
      <c r="F24465" t="n">
        <v>1</v>
      </c>
      <c r="G24465" t="n">
        <v>29</v>
      </c>
      <c r="H24465" s="5">
        <f>HYPERLINK("https://api.qogita.com/variants/link/4005900475220/", "View Product")</f>
        <v/>
      </c>
    </row>
    <row r="24466">
      <c r="A24466" t="inlineStr">
        <is>
          <t>4005900732934</t>
        </is>
      </c>
      <c r="B24466" t="inlineStr">
        <is>
          <t>Nivea Aloe Vera Care Shower Cream Shower Gel</t>
        </is>
      </c>
      <c r="C24466" t="inlineStr">
        <is>
          <t>Shower Gel</t>
        </is>
      </c>
      <c r="D24466" t="inlineStr">
        <is>
          <t>Nivea</t>
        </is>
      </c>
      <c r="E24466" t="n">
        <v>2.85</v>
      </c>
      <c r="F24466" t="n">
        <v>1</v>
      </c>
      <c r="G24466" t="n">
        <v>10</v>
      </c>
      <c r="H24466" s="5">
        <f>HYPERLINK("https://api.qogita.com/variants/link/4005900732934/", "View Product")</f>
        <v/>
      </c>
    </row>
    <row r="24467">
      <c r="A24467" t="inlineStr">
        <is>
          <t>4005900904843</t>
        </is>
      </c>
      <c r="B24467" t="inlineStr">
        <is>
          <t>Nivea Sun Kids Protect &amp; Care FP30 - 270 ml</t>
        </is>
      </c>
      <c r="C24467" t="inlineStr">
        <is>
          <t>Sun Protection For Children</t>
        </is>
      </c>
      <c r="D24467" t="inlineStr">
        <is>
          <t>Nivea</t>
        </is>
      </c>
      <c r="E24467" t="n">
        <v>11.55</v>
      </c>
      <c r="F24467" t="n">
        <v>1</v>
      </c>
      <c r="G24467" t="n">
        <v>7</v>
      </c>
      <c r="H24467" s="5">
        <f>HYPERLINK("https://api.qogita.com/variants/link/4005900904843/", "View Product")</f>
        <v/>
      </c>
    </row>
    <row r="24468">
      <c r="A24468" t="inlineStr">
        <is>
          <t>4005900908803</t>
        </is>
      </c>
      <c r="B24468" t="inlineStr">
        <is>
          <t>Nivea Sun Protect And Bronze Spray Spf 30 270ml</t>
        </is>
      </c>
      <c r="C24468" t="inlineStr">
        <is>
          <t>Body Sun Protection</t>
        </is>
      </c>
      <c r="D24468" t="inlineStr">
        <is>
          <t>Nivea</t>
        </is>
      </c>
      <c r="E24468" t="n">
        <v>12.62</v>
      </c>
      <c r="F24468" t="n">
        <v>1</v>
      </c>
      <c r="G24468" t="n">
        <v>11</v>
      </c>
      <c r="H24468" s="5">
        <f>HYPERLINK("https://api.qogita.com/variants/link/4005900908803/", "View Product")</f>
        <v/>
      </c>
    </row>
    <row r="24469">
      <c r="A24469" t="inlineStr">
        <is>
          <t>4006000002453</t>
        </is>
      </c>
      <c r="B24469" t="inlineStr">
        <is>
          <t>Nivea Men Anti-Age Hyaluron After Shave Balm 100ml</t>
        </is>
      </c>
      <c r="C24469" t="inlineStr">
        <is>
          <t>Aftershave</t>
        </is>
      </c>
      <c r="D24469" t="inlineStr">
        <is>
          <t>Nivea</t>
        </is>
      </c>
      <c r="E24469" t="n">
        <v>11.71</v>
      </c>
      <c r="F24469" t="n">
        <v>1</v>
      </c>
      <c r="G24469" t="n">
        <v>18</v>
      </c>
      <c r="H24469" s="5">
        <f>HYPERLINK("https://api.qogita.com/variants/link/4006000002453/", "View Product")</f>
        <v/>
      </c>
    </row>
    <row r="24470">
      <c r="A24470" t="inlineStr">
        <is>
          <t>4006000020068</t>
        </is>
      </c>
      <c r="B24470" t="inlineStr">
        <is>
          <t>Nivea Men Anti-Age Power Serum 2in1 Intensive Serum Against Imperfections 30ml</t>
        </is>
      </c>
      <c r="C24470" t="inlineStr">
        <is>
          <t>Anti-Aging Serum</t>
        </is>
      </c>
      <c r="D24470" t="inlineStr">
        <is>
          <t>Nivea</t>
        </is>
      </c>
      <c r="E24470" t="n">
        <v>24.7</v>
      </c>
      <c r="F24470" t="n">
        <v>1</v>
      </c>
      <c r="G24470" t="n">
        <v>7</v>
      </c>
      <c r="H24470" s="5">
        <f>HYPERLINK("https://api.qogita.com/variants/link/4006000020068/", "View Product")</f>
        <v/>
      </c>
    </row>
    <row r="24471">
      <c r="A24471" t="inlineStr">
        <is>
          <t>4006000026862</t>
        </is>
      </c>
      <c r="B24471" t="inlineStr">
        <is>
          <t>Nivea Men Anti-Age Power Face Cream Spf 30 50ml</t>
        </is>
      </c>
      <c r="C24471" t="inlineStr">
        <is>
          <t>Anti-Aging Facial Care</t>
        </is>
      </c>
      <c r="D24471" t="inlineStr">
        <is>
          <t>Nivea</t>
        </is>
      </c>
      <c r="E24471" t="n">
        <v>23.52</v>
      </c>
      <c r="F24471" t="n">
        <v>1</v>
      </c>
      <c r="G24471" t="n">
        <v>5</v>
      </c>
      <c r="H24471" s="5">
        <f>HYPERLINK("https://api.qogita.com/variants/link/4006000026862/", "View Product")</f>
        <v/>
      </c>
    </row>
    <row r="24472">
      <c r="A24472" t="inlineStr">
        <is>
          <t>4006000063393</t>
        </is>
      </c>
      <c r="B24472" t="inlineStr">
        <is>
          <t>Nivea Sun Uv Face Derma Blemish Control Fluid Spf50+ Moisturizing Balm For Imperfect Skin 40ml</t>
        </is>
      </c>
      <c r="C24472" t="inlineStr">
        <is>
          <t>Face Sun Protection</t>
        </is>
      </c>
      <c r="D24472" t="inlineStr">
        <is>
          <t>Nivea</t>
        </is>
      </c>
      <c r="E24472" t="n">
        <v>9.69</v>
      </c>
      <c r="F24472" t="n">
        <v>1</v>
      </c>
      <c r="G24472" t="n">
        <v>3</v>
      </c>
      <c r="H24472" s="5">
        <f>HYPERLINK("https://api.qogita.com/variants/link/4006000063393/", "View Product")</f>
        <v/>
      </c>
    </row>
    <row r="24473">
      <c r="A24473" t="inlineStr">
        <is>
          <t>4006000081465</t>
        </is>
      </c>
      <c r="B24473" t="inlineStr">
        <is>
          <t>Nivea Winter Moment Body Milk With Shea Butter - 400 Ml</t>
        </is>
      </c>
      <c r="C24473" t="inlineStr">
        <is>
          <t>Body Lotion</t>
        </is>
      </c>
      <c r="D24473" t="inlineStr">
        <is>
          <t>Nivea</t>
        </is>
      </c>
      <c r="E24473" t="n">
        <v>10.4</v>
      </c>
      <c r="F24473" t="n">
        <v>1</v>
      </c>
      <c r="G24473" t="n">
        <v>2</v>
      </c>
      <c r="H24473" s="5">
        <f>HYPERLINK("https://api.qogita.com/variants/link/4006000081465/", "View Product")</f>
        <v/>
      </c>
    </row>
    <row r="24474">
      <c r="A24474" t="inlineStr">
        <is>
          <t>4006000095851</t>
        </is>
      </c>
      <c r="B24474" t="inlineStr">
        <is>
          <t>Nivea Cream Aloe Creamy Shower Gel 650ml</t>
        </is>
      </c>
      <c r="C24474" t="inlineStr">
        <is>
          <t>Shower Gel</t>
        </is>
      </c>
      <c r="D24474" t="inlineStr">
        <is>
          <t>Nivea</t>
        </is>
      </c>
      <c r="E24474" t="n">
        <v>3.98</v>
      </c>
      <c r="F24474" t="n">
        <v>1</v>
      </c>
      <c r="G24474" t="n">
        <v>6</v>
      </c>
      <c r="H24474" s="5">
        <f>HYPERLINK("https://api.qogita.com/variants/link/4006000095851/", "View Product")</f>
        <v/>
      </c>
    </row>
    <row r="24475">
      <c r="A24475" t="inlineStr">
        <is>
          <t>4006000155043</t>
        </is>
      </c>
      <c r="B24475" t="inlineStr">
        <is>
          <t>Nivea Cellular Expert Filler Hyaluronic Acid Fluid Serum Spf50+ 30ml</t>
        </is>
      </c>
      <c r="C24475" t="inlineStr">
        <is>
          <t>Hyaluronic Acid Serum</t>
        </is>
      </c>
      <c r="D24475" t="inlineStr">
        <is>
          <t>Nivea</t>
        </is>
      </c>
      <c r="E24475" t="n">
        <v>13.82</v>
      </c>
      <c r="F24475" t="n">
        <v>1</v>
      </c>
      <c r="G24475" t="n">
        <v>4</v>
      </c>
      <c r="H24475" s="5">
        <f>HYPERLINK("https://api.qogita.com/variants/link/4006000155043/", "View Product")</f>
        <v/>
      </c>
    </row>
    <row r="24476">
      <c r="A24476" t="inlineStr">
        <is>
          <t>4006160300901</t>
        </is>
      </c>
      <c r="B24476" t="inlineStr">
        <is>
          <t>ProfiCare PC-HT Compact Hair Dryer with Folding Handle 2 Temperature/Power Settings White-Bronze</t>
        </is>
      </c>
      <c r="C24476" t="inlineStr">
        <is>
          <t>Hair Dryers</t>
        </is>
      </c>
      <c r="D24476" t="inlineStr">
        <is>
          <t>Proficare</t>
        </is>
      </c>
      <c r="E24476" t="n">
        <v>12.78</v>
      </c>
      <c r="F24476" t="n">
        <v>1</v>
      </c>
      <c r="G24476" t="n">
        <v>4</v>
      </c>
      <c r="H24476" s="5">
        <f>HYPERLINK("https://api.qogita.com/variants/link/4006160300901/", "View Product")</f>
        <v/>
      </c>
    </row>
    <row r="24477">
      <c r="A24477" t="inlineStr">
        <is>
          <t>4006160301113</t>
        </is>
      </c>
      <c r="B24477" t="inlineStr">
        <is>
          <t>ProfiCare 330111 PC-HAS 3011 Hot Air Curling Brush with 2 Interchangeable Brush Attachments 2 Temperature/Power Settings Cold Setting for Style Fix Brown-Bronze</t>
        </is>
      </c>
      <c r="C24477" t="inlineStr">
        <is>
          <t>Hot Air Brushes</t>
        </is>
      </c>
      <c r="D24477" t="inlineStr">
        <is>
          <t>Proficare</t>
        </is>
      </c>
      <c r="E24477" t="n">
        <v>14.54</v>
      </c>
      <c r="F24477" t="n">
        <v>1</v>
      </c>
      <c r="G24477" t="n">
        <v>3</v>
      </c>
      <c r="H24477" s="5">
        <f>HYPERLINK("https://api.qogita.com/variants/link/4006160301113/", "View Product")</f>
        <v/>
      </c>
    </row>
    <row r="24478">
      <c r="A24478" t="inlineStr">
        <is>
          <t>4006160304503</t>
        </is>
      </c>
      <c r="B24478" t="inlineStr">
        <is>
          <t>Proficare Professional Hair Dryer Pcht 3045 Anthracite</t>
        </is>
      </c>
      <c r="C24478" t="inlineStr">
        <is>
          <t>Hair Dryers</t>
        </is>
      </c>
      <c r="D24478" t="inlineStr">
        <is>
          <t>Proficare</t>
        </is>
      </c>
      <c r="E24478" t="n">
        <v>21.05</v>
      </c>
      <c r="F24478" t="n">
        <v>1</v>
      </c>
      <c r="G24478" t="n">
        <v>3</v>
      </c>
      <c r="H24478" s="5">
        <f>HYPERLINK("https://api.qogita.com/variants/link/4006160304503/", "View Product")</f>
        <v/>
      </c>
    </row>
    <row r="24479">
      <c r="A24479" t="inlineStr">
        <is>
          <t>4006160307405</t>
        </is>
      </c>
      <c r="B24479" t="inlineStr">
        <is>
          <t>ProfiCare PC-BHT 3074 Electric Body Hair Trimmer with Nose and Ear Hair Trimmer, Shaver, 2-in-1 Trimmer/Styler/Razor and Nose/Eyebrow Hair Remover, for Wet and Dry Use Blue/Black</t>
        </is>
      </c>
      <c r="C24479" t="inlineStr">
        <is>
          <t>Razors &amp; Hair Removal Tools</t>
        </is>
      </c>
      <c r="D24479" t="inlineStr">
        <is>
          <t>Proficare</t>
        </is>
      </c>
      <c r="E24479" t="n">
        <v>17.29</v>
      </c>
      <c r="F24479" t="n">
        <v>1</v>
      </c>
      <c r="G24479" t="n">
        <v>5</v>
      </c>
      <c r="H24479" s="5">
        <f>HYPERLINK("https://api.qogita.com/variants/link/4006160307405/", "View Product")</f>
        <v/>
      </c>
    </row>
    <row r="24480">
      <c r="A24480" t="inlineStr">
        <is>
          <t>4006160308105</t>
        </is>
      </c>
      <c r="B24480" t="inlineStr">
        <is>
          <t>Proficare Face Cleaning Brush Grb 3081</t>
        </is>
      </c>
      <c r="C24480" t="inlineStr">
        <is>
          <t>Facial Cleansing Brushes</t>
        </is>
      </c>
      <c r="D24480" t="inlineStr">
        <is>
          <t>Proficare</t>
        </is>
      </c>
      <c r="E24480" t="n">
        <v>15.39</v>
      </c>
      <c r="F24480" t="n">
        <v>1</v>
      </c>
      <c r="G24480" t="n">
        <v>2</v>
      </c>
      <c r="H24480" s="5">
        <f>HYPERLINK("https://api.qogita.com/variants/link/4006160308105/", "View Product")</f>
        <v/>
      </c>
    </row>
    <row r="24481">
      <c r="A24481" t="inlineStr">
        <is>
          <t>4007965505706</t>
        </is>
      </c>
      <c r="B24481" t="inlineStr">
        <is>
          <t>ELMEX Toothpaste Duopack</t>
        </is>
      </c>
      <c r="C24481" t="inlineStr">
        <is>
          <t>Toothpaste</t>
        </is>
      </c>
      <c r="D24481" t="inlineStr">
        <is>
          <t>Elmex</t>
        </is>
      </c>
      <c r="E24481" t="n">
        <v>5.74</v>
      </c>
      <c r="F24481" t="n">
        <v>1</v>
      </c>
      <c r="G24481" t="n">
        <v>8</v>
      </c>
      <c r="H24481" s="5">
        <f>HYPERLINK("https://api.qogita.com/variants/link/4007965505706/", "View Product")</f>
        <v/>
      </c>
    </row>
    <row r="24482">
      <c r="A24482" t="inlineStr">
        <is>
          <t>4008233150178</t>
        </is>
      </c>
      <c r="B24482" t="inlineStr">
        <is>
          <t>Kneipp Shower Collection Gift Set Happy Shower 3 X 75 Ml</t>
        </is>
      </c>
      <c r="C24482" t="inlineStr">
        <is>
          <t>Shower &amp; Bath Sets</t>
        </is>
      </c>
      <c r="D24482" t="inlineStr">
        <is>
          <t>Kneipp</t>
        </is>
      </c>
      <c r="E24482" t="n">
        <v>9.960000000000001</v>
      </c>
      <c r="F24482" t="n">
        <v>1</v>
      </c>
      <c r="G24482" t="n">
        <v>66</v>
      </c>
      <c r="H24482" s="5">
        <f>HYPERLINK("https://api.qogita.com/variants/link/4008233150178/", "View Product")</f>
        <v/>
      </c>
    </row>
    <row r="24483">
      <c r="A24483" t="inlineStr">
        <is>
          <t>4008233151434</t>
        </is>
      </c>
      <c r="B24483" t="inlineStr">
        <is>
          <t>Kneipp Argan Secret Body Peeling 200 Ml Creamoil Exfoliator</t>
        </is>
      </c>
      <c r="C24483" t="inlineStr">
        <is>
          <t>Body Scrub &amp; Peeling</t>
        </is>
      </c>
      <c r="D24483" t="inlineStr">
        <is>
          <t>Kneipp</t>
        </is>
      </c>
      <c r="E24483" t="n">
        <v>10.67</v>
      </c>
      <c r="F24483" t="n">
        <v>1</v>
      </c>
      <c r="G24483" t="n">
        <v>23</v>
      </c>
      <c r="H24483" s="5">
        <f>HYPERLINK("https://api.qogita.com/variants/link/4008233151434/", "View Product")</f>
        <v/>
      </c>
    </row>
    <row r="24484">
      <c r="A24484" t="inlineStr">
        <is>
          <t>4008233156347</t>
        </is>
      </c>
      <c r="B24484" t="inlineStr">
        <is>
          <t>Kneipp Aloe Vera Lip Balm 47 G</t>
        </is>
      </c>
      <c r="C24484" t="inlineStr">
        <is>
          <t>Medicated Treatments</t>
        </is>
      </c>
      <c r="D24484" t="inlineStr">
        <is>
          <t>Kneipp</t>
        </is>
      </c>
      <c r="E24484" t="n">
        <v>6.78</v>
      </c>
      <c r="F24484" t="n">
        <v>1</v>
      </c>
      <c r="G24484" t="n">
        <v>3</v>
      </c>
      <c r="H24484" s="5">
        <f>HYPERLINK("https://api.qogita.com/variants/link/4008233156347/", "View Product")</f>
        <v/>
      </c>
    </row>
    <row r="24485">
      <c r="A24485" t="inlineStr">
        <is>
          <t>4008233165301</t>
        </is>
      </c>
      <c r="B24485" t="inlineStr">
        <is>
          <t>Kneipp Bath Salt Cold 60 G</t>
        </is>
      </c>
      <c r="C24485" t="inlineStr">
        <is>
          <t>Bath Salts &amp; Bath Bombs</t>
        </is>
      </c>
      <c r="D24485" t="inlineStr">
        <is>
          <t>Kneipp</t>
        </is>
      </c>
      <c r="E24485" t="n">
        <v>3.22</v>
      </c>
      <c r="F24485" t="n">
        <v>1</v>
      </c>
      <c r="G24485" t="n">
        <v>5</v>
      </c>
      <c r="H24485" s="5">
        <f>HYPERLINK("https://api.qogita.com/variants/link/4008233165301/", "View Product")</f>
        <v/>
      </c>
    </row>
    <row r="24486">
      <c r="A24486" t="inlineStr">
        <is>
          <t>4008233165523</t>
        </is>
      </c>
      <c r="B24486" t="inlineStr">
        <is>
          <t>Kneipp You Are Wonderful Body Wash 200 Ml</t>
        </is>
      </c>
      <c r="C24486" t="inlineStr">
        <is>
          <t>Shower Gel</t>
        </is>
      </c>
      <c r="D24486" t="inlineStr">
        <is>
          <t>Kneipp</t>
        </is>
      </c>
      <c r="E24486" t="n">
        <v>4.99</v>
      </c>
      <c r="F24486" t="n">
        <v>1</v>
      </c>
      <c r="G24486" t="n">
        <v>4</v>
      </c>
      <c r="H24486" s="5">
        <f>HYPERLINK("https://api.qogita.com/variants/link/4008233165523/", "View Product")</f>
        <v/>
      </c>
    </row>
    <row r="24487">
      <c r="A24487" t="inlineStr">
        <is>
          <t>4008233165936</t>
        </is>
      </c>
      <c r="B24487" t="inlineStr">
        <is>
          <t>Kneipp Good Night Body Milk 200 Ml</t>
        </is>
      </c>
      <c r="C24487" t="inlineStr">
        <is>
          <t>Body Lotion</t>
        </is>
      </c>
      <c r="D24487" t="inlineStr">
        <is>
          <t>Kneipp</t>
        </is>
      </c>
      <c r="E24487" t="n">
        <v>7.34</v>
      </c>
      <c r="F24487" t="n">
        <v>1</v>
      </c>
      <c r="G24487" t="n">
        <v>5</v>
      </c>
      <c r="H24487" s="5">
        <f>HYPERLINK("https://api.qogita.com/variants/link/4008233165936/", "View Product")</f>
        <v/>
      </c>
    </row>
    <row r="24488">
      <c r="A24488" t="inlineStr">
        <is>
          <t>4008233166346</t>
        </is>
      </c>
      <c r="B24488" t="inlineStr">
        <is>
          <t>Kneipp Goodbye Stress Body Wash Gel 200 Ml</t>
        </is>
      </c>
      <c r="C24488" t="inlineStr">
        <is>
          <t>Shower Gel</t>
        </is>
      </c>
      <c r="D24488" t="inlineStr">
        <is>
          <t>Kneipp</t>
        </is>
      </c>
      <c r="E24488" t="n">
        <v>4.99</v>
      </c>
      <c r="F24488" t="n">
        <v>1</v>
      </c>
      <c r="G24488" t="n">
        <v>15</v>
      </c>
      <c r="H24488" s="5">
        <f>HYPERLINK("https://api.qogita.com/variants/link/4008233166346/", "View Product")</f>
        <v/>
      </c>
    </row>
    <row r="24489">
      <c r="A24489" t="inlineStr">
        <is>
          <t>4008233172101</t>
        </is>
      </c>
      <c r="B24489" t="inlineStr">
        <is>
          <t>Eucalyptus Bath Foam (Aroma Bubble Bath) 400 ml</t>
        </is>
      </c>
      <c r="C24489" t="inlineStr">
        <is>
          <t>Bath Foam</t>
        </is>
      </c>
      <c r="D24489" t="inlineStr">
        <is>
          <t>Kneipp</t>
        </is>
      </c>
      <c r="E24489" t="n">
        <v>6.78</v>
      </c>
      <c r="F24489" t="n">
        <v>1</v>
      </c>
      <c r="G24489" t="n">
        <v>14</v>
      </c>
      <c r="H24489" s="5">
        <f>HYPERLINK("https://api.qogita.com/variants/link/4008233172101/", "View Product")</f>
        <v/>
      </c>
    </row>
    <row r="24490">
      <c r="A24490" t="inlineStr">
        <is>
          <t>4008233172439</t>
        </is>
      </c>
      <c r="B24490" t="inlineStr">
        <is>
          <t>Kneipp Bath Crystals Lieblingsmensch with Natural Deep Salt and High-Quality Hibiscus and Fig Extract 60g</t>
        </is>
      </c>
      <c r="C24490" t="inlineStr">
        <is>
          <t>Bath Salts &amp; Bath Bombs</t>
        </is>
      </c>
      <c r="D24490" t="inlineStr">
        <is>
          <t>Kneipp</t>
        </is>
      </c>
      <c r="E24490" t="n">
        <v>3.22</v>
      </c>
      <c r="F24490" t="n">
        <v>1</v>
      </c>
      <c r="G24490" t="n">
        <v>5</v>
      </c>
      <c r="H24490" s="5">
        <f>HYPERLINK("https://api.qogita.com/variants/link/4008233172439/", "View Product")</f>
        <v/>
      </c>
    </row>
    <row r="24491">
      <c r="A24491" t="inlineStr">
        <is>
          <t>4008233174303</t>
        </is>
      </c>
      <c r="B24491" t="inlineStr">
        <is>
          <t>Kneipp For You Set Gift Pack Of Bath Crystals 3 X 60g</t>
        </is>
      </c>
      <c r="C24491" t="inlineStr">
        <is>
          <t>Bath Salts &amp; Bath Bombs</t>
        </is>
      </c>
      <c r="D24491" t="inlineStr">
        <is>
          <t>Kneipp</t>
        </is>
      </c>
      <c r="E24491" t="n">
        <v>3.78</v>
      </c>
      <c r="F24491" t="n">
        <v>1</v>
      </c>
      <c r="G24491" t="n">
        <v>3</v>
      </c>
      <c r="H24491" s="5">
        <f>HYPERLINK("https://api.qogita.com/variants/link/4008233174303/", "View Product")</f>
        <v/>
      </c>
    </row>
    <row r="24492">
      <c r="A24492" t="inlineStr">
        <is>
          <t>4008233177458</t>
        </is>
      </c>
      <c r="B24492" t="inlineStr">
        <is>
          <t>Kneipp Good Night Bath Salt - 600 Grams</t>
        </is>
      </c>
      <c r="C24492" t="inlineStr">
        <is>
          <t>Relaxation Baths &amp; Tea</t>
        </is>
      </c>
      <c r="D24492" t="inlineStr">
        <is>
          <t>Kneipp</t>
        </is>
      </c>
      <c r="E24492" t="n">
        <v>7.27</v>
      </c>
      <c r="F24492" t="n">
        <v>1</v>
      </c>
      <c r="G24492" t="n">
        <v>83</v>
      </c>
      <c r="H24492" s="5">
        <f>HYPERLINK("https://api.qogita.com/variants/link/4008233177458/", "View Product")</f>
        <v/>
      </c>
    </row>
    <row r="24493">
      <c r="A24493" t="inlineStr">
        <is>
          <t>4008233179063</t>
        </is>
      </c>
      <c r="B24493" t="inlineStr">
        <is>
          <t>Kneipp Shower Gel Favourite Person Aroma Shower Gel 200 Ml</t>
        </is>
      </c>
      <c r="C24493" t="inlineStr">
        <is>
          <t>Shower Gel</t>
        </is>
      </c>
      <c r="D24493" t="inlineStr">
        <is>
          <t>Kneipp</t>
        </is>
      </c>
      <c r="E24493" t="n">
        <v>4.99</v>
      </c>
      <c r="F24493" t="n">
        <v>1</v>
      </c>
      <c r="G24493" t="n">
        <v>5</v>
      </c>
      <c r="H24493" s="5">
        <f>HYPERLINK("https://api.qogita.com/variants/link/4008233179063/", "View Product")</f>
        <v/>
      </c>
    </row>
    <row r="24494">
      <c r="A24494" t="inlineStr">
        <is>
          <t>4008666170569</t>
        </is>
      </c>
      <c r="B24494" t="inlineStr">
        <is>
          <t>Alcina Pastell Ice Blond Conditioner</t>
        </is>
      </c>
      <c r="C24494" t="inlineStr">
        <is>
          <t>Conditioner</t>
        </is>
      </c>
      <c r="D24494" t="inlineStr">
        <is>
          <t>Alcina</t>
        </is>
      </c>
      <c r="E24494" t="n">
        <v>8.449999999999999</v>
      </c>
      <c r="F24494" t="n">
        <v>1</v>
      </c>
      <c r="G24494" t="n">
        <v>5</v>
      </c>
      <c r="H24494" s="5">
        <f>HYPERLINK("https://api.qogita.com/variants/link/4008666170569/", "View Product")</f>
        <v/>
      </c>
    </row>
    <row r="24495">
      <c r="A24495" t="inlineStr">
        <is>
          <t>4008666205506</t>
        </is>
      </c>
      <c r="B24495" t="inlineStr">
        <is>
          <t>Alpecin Hyposensitive Shampoo For Dry And Sensitive Skin 250 Ml</t>
        </is>
      </c>
      <c r="C24495" t="inlineStr">
        <is>
          <t>Shampoo</t>
        </is>
      </c>
      <c r="D24495" t="inlineStr">
        <is>
          <t>Alpecin</t>
        </is>
      </c>
      <c r="E24495" t="n">
        <v>7.89</v>
      </c>
      <c r="F24495" t="n">
        <v>1</v>
      </c>
      <c r="G24495" t="n">
        <v>26</v>
      </c>
      <c r="H24495" s="5">
        <f>HYPERLINK("https://api.qogita.com/variants/link/4008666205506/", "View Product")</f>
        <v/>
      </c>
    </row>
    <row r="24496">
      <c r="A24496" t="inlineStr">
        <is>
          <t>4008666215154</t>
        </is>
      </c>
      <c r="B24496" t="inlineStr">
        <is>
          <t>Alpecin Caffeine Shampoo C1 Against Hair Loss 250 Ml</t>
        </is>
      </c>
      <c r="C24496" t="inlineStr">
        <is>
          <t>Shampoo</t>
        </is>
      </c>
      <c r="D24496" t="inlineStr">
        <is>
          <t>Alpecin</t>
        </is>
      </c>
      <c r="E24496" t="n">
        <v>7.28</v>
      </c>
      <c r="F24496" t="n">
        <v>1</v>
      </c>
      <c r="G24496" t="n">
        <v>291</v>
      </c>
      <c r="H24496" s="5">
        <f>HYPERLINK("https://api.qogita.com/variants/link/4008666215154/", "View Product")</f>
        <v/>
      </c>
    </row>
    <row r="24497">
      <c r="A24497" t="inlineStr">
        <is>
          <t>4008666217660</t>
        </is>
      </c>
      <c r="B24497" t="inlineStr">
        <is>
          <t>Alpecin Sport Ctx Energizer Caffeine Shampoo 250 Ml</t>
        </is>
      </c>
      <c r="C24497" t="inlineStr">
        <is>
          <t>Shampoo</t>
        </is>
      </c>
      <c r="D24497" t="inlineStr">
        <is>
          <t>Alpecin</t>
        </is>
      </c>
      <c r="E24497" t="n">
        <v>7.28</v>
      </c>
      <c r="F24497" t="n">
        <v>1</v>
      </c>
      <c r="G24497" t="n">
        <v>153</v>
      </c>
      <c r="H24497" s="5">
        <f>HYPERLINK("https://api.qogita.com/variants/link/4008666217660/", "View Product")</f>
        <v/>
      </c>
    </row>
    <row r="24498">
      <c r="A24498" t="inlineStr">
        <is>
          <t>4008666224118</t>
        </is>
      </c>
      <c r="B24498" t="inlineStr">
        <is>
          <t>Coffein Hair Booster Hair Tonic 200 ml</t>
        </is>
      </c>
      <c r="C24498" t="inlineStr">
        <is>
          <t>Hair Tonic</t>
        </is>
      </c>
      <c r="D24498" t="inlineStr">
        <is>
          <t>Alpecin</t>
        </is>
      </c>
      <c r="E24498" t="n">
        <v>10.37</v>
      </c>
      <c r="F24498" t="n">
        <v>1</v>
      </c>
      <c r="G24498" t="n">
        <v>64</v>
      </c>
      <c r="H24498" s="5">
        <f>HYPERLINK("https://api.qogita.com/variants/link/4008666224118/", "View Product")</f>
        <v/>
      </c>
    </row>
    <row r="24499">
      <c r="A24499" t="inlineStr">
        <is>
          <t>4008666700124</t>
        </is>
      </c>
      <c r="B24499" t="inlineStr">
        <is>
          <t>Plantur 39 - Phyto-Coffein Shampoo - Šampon - 250ml</t>
        </is>
      </c>
      <c r="C24499" t="inlineStr">
        <is>
          <t>Shampoo</t>
        </is>
      </c>
      <c r="D24499" t="inlineStr">
        <is>
          <t>Plantur 39</t>
        </is>
      </c>
      <c r="E24499" t="n">
        <v>10.82</v>
      </c>
      <c r="F24499" t="n">
        <v>1</v>
      </c>
      <c r="G24499" t="n">
        <v>11</v>
      </c>
      <c r="H24499" s="5">
        <f>HYPERLINK("https://api.qogita.com/variants/link/4008666700124/", "View Product")</f>
        <v/>
      </c>
    </row>
    <row r="24500">
      <c r="A24500" t="inlineStr">
        <is>
          <t>4008666700315</t>
        </is>
      </c>
      <c r="B24500" t="inlineStr">
        <is>
          <t>Plantur 39 Phytocaffeine Tonic To Support Hair Growth</t>
        </is>
      </c>
      <c r="C24500" t="inlineStr">
        <is>
          <t>Hair Tonic</t>
        </is>
      </c>
      <c r="D24500" t="inlineStr">
        <is>
          <t>Plantur 39</t>
        </is>
      </c>
      <c r="E24500" t="n">
        <v>10.82</v>
      </c>
      <c r="F24500" t="n">
        <v>1</v>
      </c>
      <c r="G24500" t="n">
        <v>72</v>
      </c>
      <c r="H24500" s="5">
        <f>HYPERLINK("https://api.qogita.com/variants/link/4008666700315/", "View Product")</f>
        <v/>
      </c>
    </row>
    <row r="24501">
      <c r="A24501" t="inlineStr">
        <is>
          <t>4008666751966</t>
        </is>
      </c>
      <c r="B24501" t="inlineStr">
        <is>
          <t>Plantur 21 Longhair Oh Wow Spray</t>
        </is>
      </c>
      <c r="C24501" t="inlineStr">
        <is>
          <t>Hair Tonic</t>
        </is>
      </c>
      <c r="D24501" t="inlineStr">
        <is>
          <t>Plantur</t>
        </is>
      </c>
      <c r="E24501" t="n">
        <v>7.55</v>
      </c>
      <c r="F24501" t="n">
        <v>1</v>
      </c>
      <c r="G24501" t="n">
        <v>3</v>
      </c>
      <c r="H24501" s="5">
        <f>HYPERLINK("https://api.qogita.com/variants/link/4008666751966/", "View Product")</f>
        <v/>
      </c>
    </row>
    <row r="24502">
      <c r="A24502" t="inlineStr">
        <is>
          <t>4011215997883</t>
        </is>
      </c>
      <c r="B24502" t="inlineStr">
        <is>
          <t>Dukas Black Travel Manicure Set Synthetic Leather</t>
        </is>
      </c>
      <c r="C24502" t="inlineStr">
        <is>
          <t>Manicure Sets</t>
        </is>
      </c>
      <c r="D24502" t="inlineStr">
        <is>
          <t>Ducal</t>
        </is>
      </c>
      <c r="E24502" t="n">
        <v>12.73</v>
      </c>
      <c r="F24502" t="n">
        <v>1</v>
      </c>
      <c r="G24502" t="n">
        <v>11</v>
      </c>
      <c r="H24502" s="5">
        <f>HYPERLINK("https://api.qogita.com/variants/link/4011215997883/", "View Product")</f>
        <v/>
      </c>
    </row>
    <row r="24503">
      <c r="A24503" t="inlineStr">
        <is>
          <t>4011700436415</t>
        </is>
      </c>
      <c r="B24503" t="inlineStr">
        <is>
          <t>Tabac Original Shaving Cream 100ml For Men</t>
        </is>
      </c>
      <c r="C24503" t="inlineStr">
        <is>
          <t>Aftershave</t>
        </is>
      </c>
      <c r="D24503" t="inlineStr">
        <is>
          <t>Tabac</t>
        </is>
      </c>
      <c r="E24503" t="n">
        <v>4.74</v>
      </c>
      <c r="F24503" t="n">
        <v>1</v>
      </c>
      <c r="G24503" t="n">
        <v>60</v>
      </c>
      <c r="H24503" s="5">
        <f>HYPERLINK("https://api.qogita.com/variants/link/4011700436415/", "View Product")</f>
        <v/>
      </c>
    </row>
    <row r="24504">
      <c r="A24504" t="inlineStr">
        <is>
          <t>4011700740062</t>
        </is>
      </c>
      <c r="B24504" t="inlineStr">
        <is>
          <t>4711 Original Eau De Cologne 200ml</t>
        </is>
      </c>
      <c r="C24504" t="inlineStr">
        <is>
          <t>Eau De Cologne</t>
        </is>
      </c>
      <c r="D24504" t="inlineStr">
        <is>
          <t>4711</t>
        </is>
      </c>
      <c r="E24504" t="n">
        <v>13.18</v>
      </c>
      <c r="F24504" t="n">
        <v>1</v>
      </c>
      <c r="G24504" t="n">
        <v>41</v>
      </c>
      <c r="H24504" s="5">
        <f>HYPERLINK("https://api.qogita.com/variants/link/4011700740062/", "View Product")</f>
        <v/>
      </c>
    </row>
    <row r="24505">
      <c r="A24505" t="inlineStr">
        <is>
          <t>4011700740222</t>
        </is>
      </c>
      <c r="B24505" t="inlineStr">
        <is>
          <t>4711 Original Eau De Cologne Bottle 90ml</t>
        </is>
      </c>
      <c r="C24505" t="inlineStr">
        <is>
          <t>Eau De Cologne</t>
        </is>
      </c>
      <c r="D24505" t="inlineStr">
        <is>
          <t>4711</t>
        </is>
      </c>
      <c r="E24505" t="n">
        <v>10.54</v>
      </c>
      <c r="F24505" t="n">
        <v>1</v>
      </c>
      <c r="G24505" t="n">
        <v>26</v>
      </c>
      <c r="H24505" s="5">
        <f>HYPERLINK("https://api.qogita.com/variants/link/4011700740222/", "View Product")</f>
        <v/>
      </c>
    </row>
    <row r="24506">
      <c r="A24506" t="inlineStr">
        <is>
          <t>4011700740338</t>
        </is>
      </c>
      <c r="B24506" t="inlineStr">
        <is>
          <t>4711 Original Deodorant In Natural Spray 75ml</t>
        </is>
      </c>
      <c r="C24506" t="inlineStr">
        <is>
          <t>Deodorant &amp; Anti-Perspirant</t>
        </is>
      </c>
      <c r="D24506" t="inlineStr">
        <is>
          <t>4711</t>
        </is>
      </c>
      <c r="E24506" t="n">
        <v>6.52</v>
      </c>
      <c r="F24506" t="n">
        <v>1</v>
      </c>
      <c r="G24506" t="n">
        <v>4</v>
      </c>
      <c r="H24506" s="5">
        <f>HYPERLINK("https://api.qogita.com/variants/link/4011700740338/", "View Product")</f>
        <v/>
      </c>
    </row>
    <row r="24507">
      <c r="A24507" t="inlineStr">
        <is>
          <t>4011700744114</t>
        </is>
      </c>
      <c r="B24507" t="inlineStr">
        <is>
          <t>4711 Acqua Colonia Pink Pepper &amp; Grapefruit Eau De Cologne Spray 170ml</t>
        </is>
      </c>
      <c r="C24507" t="inlineStr">
        <is>
          <t>Eau De Cologne</t>
        </is>
      </c>
      <c r="D24507" t="inlineStr">
        <is>
          <t>4711</t>
        </is>
      </c>
      <c r="E24507" t="n">
        <v>17.81</v>
      </c>
      <c r="F24507" t="n">
        <v>1</v>
      </c>
      <c r="G24507" t="n">
        <v>44</v>
      </c>
      <c r="H24507" s="5">
        <f>HYPERLINK("https://api.qogita.com/variants/link/4011700744114/", "View Product")</f>
        <v/>
      </c>
    </row>
    <row r="24508">
      <c r="A24508" t="inlineStr">
        <is>
          <t>4011700747597</t>
        </is>
      </c>
      <c r="B24508" t="inlineStr">
        <is>
          <t>4711 Remix Lavender Edition Eau De Cologne 150ml Unisex Spray</t>
        </is>
      </c>
      <c r="C24508" t="inlineStr">
        <is>
          <t>Eau De Cologne</t>
        </is>
      </c>
      <c r="D24508" t="inlineStr">
        <is>
          <t>4711</t>
        </is>
      </c>
      <c r="E24508" t="n">
        <v>8.73</v>
      </c>
      <c r="F24508" t="n">
        <v>1</v>
      </c>
      <c r="G24508" t="n">
        <v>31</v>
      </c>
      <c r="H24508" s="5">
        <f>HYPERLINK("https://api.qogita.com/variants/link/4011700747597/", "View Product")</f>
        <v/>
      </c>
    </row>
    <row r="24509">
      <c r="A24509" t="inlineStr">
        <is>
          <t>4011700747894</t>
        </is>
      </c>
      <c r="B24509" t="inlineStr">
        <is>
          <t>4711 Acqua Colonia Goji Cactus Eau De Cologne 50ml Unisex Spray</t>
        </is>
      </c>
      <c r="C24509" t="inlineStr">
        <is>
          <t>Eau De Cologne</t>
        </is>
      </c>
      <c r="D24509" t="inlineStr">
        <is>
          <t>4711</t>
        </is>
      </c>
      <c r="E24509" t="n">
        <v>14.29</v>
      </c>
      <c r="F24509" t="n">
        <v>1</v>
      </c>
      <c r="G24509" t="n">
        <v>14</v>
      </c>
      <c r="H24509" s="5">
        <f>HYPERLINK("https://api.qogita.com/variants/link/4011700747894/", "View Product")</f>
        <v/>
      </c>
    </row>
    <row r="24510">
      <c r="A24510" t="inlineStr">
        <is>
          <t>4011700748822</t>
        </is>
      </c>
      <c r="B24510" t="inlineStr">
        <is>
          <t>4711 Remix Sparkling Island Eau De Cologne Spray 100ml</t>
        </is>
      </c>
      <c r="C24510" t="inlineStr">
        <is>
          <t>Eau De Cologne</t>
        </is>
      </c>
      <c r="D24510" t="inlineStr">
        <is>
          <t>4711</t>
        </is>
      </c>
      <c r="E24510" t="n">
        <v>10.88</v>
      </c>
      <c r="F24510" t="n">
        <v>1</v>
      </c>
      <c r="G24510" t="n">
        <v>9</v>
      </c>
      <c r="H24510" s="5">
        <f>HYPERLINK("https://api.qogita.com/variants/link/4011700748822/", "View Product")</f>
        <v/>
      </c>
    </row>
    <row r="24511">
      <c r="A24511" t="inlineStr">
        <is>
          <t>4011700750047</t>
        </is>
      </c>
      <c r="B24511" t="inlineStr">
        <is>
          <t>Acqua Colonia Intense Floral Fields of Ireland Eau de Cologne 170ml</t>
        </is>
      </c>
      <c r="C24511" t="inlineStr">
        <is>
          <t>Eau De Cologne</t>
        </is>
      </c>
      <c r="D24511" t="inlineStr">
        <is>
          <t>4711</t>
        </is>
      </c>
      <c r="E24511" t="n">
        <v>22.35</v>
      </c>
      <c r="F24511" t="n">
        <v>1</v>
      </c>
      <c r="G24511" t="n">
        <v>50</v>
      </c>
      <c r="H24511" s="5">
        <f>HYPERLINK("https://api.qogita.com/variants/link/4011700750047/", "View Product")</f>
        <v/>
      </c>
    </row>
    <row r="24512">
      <c r="A24512" t="inlineStr">
        <is>
          <t>4011700757039</t>
        </is>
      </c>
      <c r="B24512" t="inlineStr">
        <is>
          <t>4711 Floral Jasmine Women Eau De Cologne Spray 100ml</t>
        </is>
      </c>
      <c r="C24512" t="inlineStr">
        <is>
          <t>Eau De Cologne</t>
        </is>
      </c>
      <c r="D24512" t="inlineStr">
        <is>
          <t>4711</t>
        </is>
      </c>
      <c r="E24512" t="n">
        <v>12.3</v>
      </c>
      <c r="F24512" t="n">
        <v>1</v>
      </c>
      <c r="G24512" t="n">
        <v>2</v>
      </c>
      <c r="H24512" s="5">
        <f>HYPERLINK("https://api.qogita.com/variants/link/4011700757039/", "View Product")</f>
        <v/>
      </c>
    </row>
    <row r="24513">
      <c r="A24513" t="inlineStr">
        <is>
          <t>4011700905010</t>
        </is>
      </c>
      <c r="B24513" t="inlineStr">
        <is>
          <t>Baldessarini Bella Eau De Parfum Spray 30ml</t>
        </is>
      </c>
      <c r="C24513" t="inlineStr">
        <is>
          <t>Eau De Parfum</t>
        </is>
      </c>
      <c r="D24513" t="inlineStr">
        <is>
          <t>Baldessarini</t>
        </is>
      </c>
      <c r="E24513" t="n">
        <v>19.62</v>
      </c>
      <c r="F24513" t="n">
        <v>1</v>
      </c>
      <c r="G24513" t="n">
        <v>71</v>
      </c>
      <c r="H24513" s="5">
        <f>HYPERLINK("https://api.qogita.com/variants/link/4011700905010/", "View Product")</f>
        <v/>
      </c>
    </row>
    <row r="24514">
      <c r="A24514" t="inlineStr">
        <is>
          <t>4011700906031</t>
        </is>
      </c>
      <c r="B24514" t="inlineStr">
        <is>
          <t>Baldessarini Ambre Eau De Toilette 90ml Tester</t>
        </is>
      </c>
      <c r="C24514" t="inlineStr">
        <is>
          <t>Eau De Toilette</t>
        </is>
      </c>
      <c r="D24514" t="inlineStr">
        <is>
          <t>Baldessarini</t>
        </is>
      </c>
      <c r="E24514" t="n">
        <v>19.17</v>
      </c>
      <c r="F24514" t="n">
        <v>1</v>
      </c>
      <c r="G24514" t="n">
        <v>101</v>
      </c>
      <c r="H24514" s="5">
        <f>HYPERLINK("https://api.qogita.com/variants/link/4011700906031/", "View Product")</f>
        <v/>
      </c>
    </row>
    <row r="24515">
      <c r="A24515" t="inlineStr">
        <is>
          <t>4011700908110</t>
        </is>
      </c>
      <c r="B24515" t="inlineStr">
        <is>
          <t>Baldessarini Signature Eau De Toilette Spray 90ml</t>
        </is>
      </c>
      <c r="C24515" t="inlineStr">
        <is>
          <t>Eau De Toilette</t>
        </is>
      </c>
      <c r="D24515" t="inlineStr">
        <is>
          <t>Baldessarini</t>
        </is>
      </c>
      <c r="E24515" t="n">
        <v>22.74</v>
      </c>
      <c r="F24515" t="n">
        <v>1</v>
      </c>
      <c r="G24515" t="n">
        <v>8</v>
      </c>
      <c r="H24515" s="5">
        <f>HYPERLINK("https://api.qogita.com/variants/link/4011700908110/", "View Product")</f>
        <v/>
      </c>
    </row>
    <row r="24516">
      <c r="A24516" t="inlineStr">
        <is>
          <t>4013670000306</t>
        </is>
      </c>
      <c r="B24516" t="inlineStr">
        <is>
          <t>Etienne Aigner Starlight Gold Eau De Parfum 100ml For Women</t>
        </is>
      </c>
      <c r="C24516" t="inlineStr">
        <is>
          <t>Eau De Parfum</t>
        </is>
      </c>
      <c r="D24516" t="inlineStr">
        <is>
          <t>Etienne Aigner</t>
        </is>
      </c>
      <c r="E24516" t="n">
        <v>32.66</v>
      </c>
      <c r="F24516" t="n">
        <v>1</v>
      </c>
      <c r="G24516" t="n">
        <v>3</v>
      </c>
      <c r="H24516" s="5">
        <f>HYPERLINK("https://api.qogita.com/variants/link/4013670000306/", "View Product")</f>
        <v/>
      </c>
    </row>
    <row r="24517">
      <c r="A24517" t="inlineStr">
        <is>
          <t>4013670000900</t>
        </is>
      </c>
      <c r="B24517" t="inlineStr">
        <is>
          <t>Etienne Aigner Iconista Eau De Parfum 100ml For Women</t>
        </is>
      </c>
      <c r="C24517" t="inlineStr">
        <is>
          <t>Eau De Parfum</t>
        </is>
      </c>
      <c r="D24517" t="inlineStr">
        <is>
          <t>Etienne Aigner</t>
        </is>
      </c>
      <c r="E24517" t="n">
        <v>23.71</v>
      </c>
      <c r="F24517" t="n">
        <v>1</v>
      </c>
      <c r="G24517" t="n">
        <v>11</v>
      </c>
      <c r="H24517" s="5">
        <f>HYPERLINK("https://api.qogita.com/variants/link/4013670000900/", "View Product")</f>
        <v/>
      </c>
    </row>
    <row r="24518">
      <c r="A24518" t="inlineStr">
        <is>
          <t>4013670005653</t>
        </is>
      </c>
      <c r="B24518" t="inlineStr">
        <is>
          <t>Aigner First Class Explorer Eau de Toilette 50ml</t>
        </is>
      </c>
      <c r="C24518" t="inlineStr">
        <is>
          <t>Eau De Toilette</t>
        </is>
      </c>
      <c r="D24518" t="inlineStr">
        <is>
          <t>Etienne Aigner</t>
        </is>
      </c>
      <c r="E24518" t="n">
        <v>12.96</v>
      </c>
      <c r="F24518" t="n">
        <v>1</v>
      </c>
      <c r="G24518" t="n">
        <v>14</v>
      </c>
      <c r="H24518" s="5">
        <f>HYPERLINK("https://api.qogita.com/variants/link/4013670005653/", "View Product")</f>
        <v/>
      </c>
    </row>
    <row r="24519">
      <c r="A24519" t="inlineStr">
        <is>
          <t>4013670005660</t>
        </is>
      </c>
      <c r="B24519" t="inlineStr">
        <is>
          <t>Etienne Aigner First Class Explorer Eau De Toilette 100ml For Men</t>
        </is>
      </c>
      <c r="C24519" t="inlineStr">
        <is>
          <t>Eau De Toilette</t>
        </is>
      </c>
      <c r="D24519" t="inlineStr">
        <is>
          <t>Etienne Aigner</t>
        </is>
      </c>
      <c r="E24519" t="n">
        <v>23.79</v>
      </c>
      <c r="F24519" t="n">
        <v>1</v>
      </c>
      <c r="G24519" t="n">
        <v>3</v>
      </c>
      <c r="H24519" s="5">
        <f>HYPERLINK("https://api.qogita.com/variants/link/4013670005660/", "View Product")</f>
        <v/>
      </c>
    </row>
    <row r="24520">
      <c r="A24520" t="inlineStr">
        <is>
          <t>4015001014143</t>
        </is>
      </c>
      <c r="B24520" t="inlineStr">
        <is>
          <t>Diadermine Age Supreme Wrinkle Expert 3D Anti-Wrinkle Day Cream with Hyaluronic Activating Peptides 50ml</t>
        </is>
      </c>
      <c r="C24520" t="inlineStr">
        <is>
          <t>Day Cream</t>
        </is>
      </c>
      <c r="D24520" t="inlineStr">
        <is>
          <t>Diadermine</t>
        </is>
      </c>
      <c r="E24520" t="n">
        <v>8.34</v>
      </c>
      <c r="F24520" t="n">
        <v>1</v>
      </c>
      <c r="G24520" t="n">
        <v>4</v>
      </c>
      <c r="H24520" s="5">
        <f>HYPERLINK("https://api.qogita.com/variants/link/4015001014143/", "View Product")</f>
        <v/>
      </c>
    </row>
    <row r="24521">
      <c r="A24521" t="inlineStr">
        <is>
          <t>4015100212037</t>
        </is>
      </c>
      <c r="B24521" t="inlineStr">
        <is>
          <t>Diadermine Day Cream Lift + Super Filler Hyaluron SPF30 50ml</t>
        </is>
      </c>
      <c r="C24521" t="inlineStr">
        <is>
          <t>Day Cream</t>
        </is>
      </c>
      <c r="D24521" t="inlineStr">
        <is>
          <t>Diadermine</t>
        </is>
      </c>
      <c r="E24521" t="n">
        <v>7.97</v>
      </c>
      <c r="F24521" t="n">
        <v>1</v>
      </c>
      <c r="G24521" t="n">
        <v>46</v>
      </c>
      <c r="H24521" s="5">
        <f>HYPERLINK("https://api.qogita.com/variants/link/4015100212037/", "View Product")</f>
        <v/>
      </c>
    </row>
    <row r="24522">
      <c r="A24522" t="inlineStr">
        <is>
          <t>4015165355243</t>
        </is>
      </c>
      <c r="B24522" t="inlineStr">
        <is>
          <t>Babor Body Peeling Spa Peeling Grains 2000 G</t>
        </is>
      </c>
      <c r="C24522" t="inlineStr">
        <is>
          <t>Body Scrub &amp; Peeling</t>
        </is>
      </c>
      <c r="D24522" t="inlineStr">
        <is>
          <t>Babor</t>
        </is>
      </c>
      <c r="E24522" t="n">
        <v>344.76</v>
      </c>
      <c r="F24522" t="n">
        <v>1</v>
      </c>
      <c r="G24522" t="n">
        <v>5</v>
      </c>
      <c r="H24522" s="5">
        <f>HYPERLINK("https://api.qogita.com/variants/link/4015165355243/", "View Product")</f>
        <v/>
      </c>
    </row>
    <row r="24523">
      <c r="A24523" t="inlineStr">
        <is>
          <t>4015165358671</t>
        </is>
      </c>
      <c r="B24523" t="inlineStr">
        <is>
          <t>Babor Lift Express Ampoules For Skin Rejuvenation 7 X 2 Ml</t>
        </is>
      </c>
      <c r="C24523" t="inlineStr">
        <is>
          <t>Ampoules</t>
        </is>
      </c>
      <c r="D24523" t="inlineStr">
        <is>
          <t>Babor</t>
        </is>
      </c>
      <c r="E24523" t="n">
        <v>30.81</v>
      </c>
      <c r="F24523" t="n">
        <v>1</v>
      </c>
      <c r="G24523" t="n">
        <v>4</v>
      </c>
      <c r="H24523" s="5">
        <f>HYPERLINK("https://api.qogita.com/variants/link/4015165358671/", "View Product")</f>
        <v/>
      </c>
    </row>
    <row r="24524">
      <c r="A24524" t="inlineStr">
        <is>
          <t>4015165359562</t>
        </is>
      </c>
      <c r="B24524" t="inlineStr">
        <is>
          <t>Babor Skinovage Balancing Serum 30 Ml For Mixed Skin</t>
        </is>
      </c>
      <c r="C24524" t="inlineStr">
        <is>
          <t>Hydrating Serum</t>
        </is>
      </c>
      <c r="D24524" t="inlineStr">
        <is>
          <t>Babor</t>
        </is>
      </c>
      <c r="E24524" t="n">
        <v>45.77</v>
      </c>
      <c r="F24524" t="n">
        <v>1</v>
      </c>
      <c r="G24524" t="n">
        <v>3</v>
      </c>
      <c r="H24524" s="5">
        <f>HYPERLINK("https://api.qogita.com/variants/link/4015165359562/", "View Product")</f>
        <v/>
      </c>
    </row>
    <row r="24525">
      <c r="A24525" t="inlineStr">
        <is>
          <t>4015165368779</t>
        </is>
      </c>
      <c r="B24525" t="inlineStr">
        <is>
          <t>DOCTOR BABOR Renewal Toner Regenerating Facial Toner with Retinol 200ml</t>
        </is>
      </c>
      <c r="C24525" t="inlineStr">
        <is>
          <t>Facial Spray</t>
        </is>
      </c>
      <c r="D24525" t="inlineStr">
        <is>
          <t>Babor</t>
        </is>
      </c>
      <c r="E24525" t="n">
        <v>32.44</v>
      </c>
      <c r="F24525" t="n">
        <v>1</v>
      </c>
      <c r="G24525" t="n">
        <v>3</v>
      </c>
      <c r="H24525" s="5">
        <f>HYPERLINK("https://api.qogita.com/variants/link/4015165368779/", "View Product")</f>
        <v/>
      </c>
    </row>
    <row r="24526">
      <c r="A24526" t="inlineStr">
        <is>
          <t>4015165369004</t>
        </is>
      </c>
      <c r="B24526" t="inlineStr">
        <is>
          <t>Babor Doctor Babor Renewal Ampoule Serum Concentrate - 7 X 2 Ml</t>
        </is>
      </c>
      <c r="C24526" t="inlineStr">
        <is>
          <t>Ampoules</t>
        </is>
      </c>
      <c r="D24526" t="inlineStr">
        <is>
          <t>Babor</t>
        </is>
      </c>
      <c r="E24526" t="n">
        <v>32.21</v>
      </c>
      <c r="F24526" t="n">
        <v>1</v>
      </c>
      <c r="G24526" t="n">
        <v>5</v>
      </c>
      <c r="H24526" s="5">
        <f>HYPERLINK("https://api.qogita.com/variants/link/4015165369004/", "View Product")</f>
        <v/>
      </c>
    </row>
    <row r="24527">
      <c r="A24527" t="inlineStr">
        <is>
          <t>4015600045159</t>
        </is>
      </c>
      <c r="B24527" t="inlineStr">
        <is>
          <t>Wella Demi-Permanent Colour Touch, Castaño Medio Violin Caoba 60ml</t>
        </is>
      </c>
      <c r="C24527" t="inlineStr">
        <is>
          <t>Hair Dye</t>
        </is>
      </c>
      <c r="D24527" t="inlineStr">
        <is>
          <t>Wella</t>
        </is>
      </c>
      <c r="E24527" t="n">
        <v>7.5</v>
      </c>
      <c r="F24527" t="n">
        <v>1</v>
      </c>
      <c r="G24527" t="n">
        <v>2</v>
      </c>
      <c r="H24527" s="5">
        <f>HYPERLINK("https://api.qogita.com/variants/link/4015600045159/", "View Product")</f>
        <v/>
      </c>
    </row>
    <row r="24528">
      <c r="A24528" t="inlineStr">
        <is>
          <t>4015600203399</t>
        </is>
      </c>
      <c r="B24528" t="inlineStr">
        <is>
          <t>Wella Professionals Color Touch Rich Naturals 9-36 60ml</t>
        </is>
      </c>
      <c r="C24528" t="inlineStr">
        <is>
          <t>Hair Dye</t>
        </is>
      </c>
      <c r="D24528" t="inlineStr">
        <is>
          <t>Wella Professionals</t>
        </is>
      </c>
      <c r="E24528" t="n">
        <v>6.27</v>
      </c>
      <c r="F24528" t="n">
        <v>1</v>
      </c>
      <c r="G24528" t="n">
        <v>4</v>
      </c>
      <c r="H24528" s="5">
        <f>HYPERLINK("https://api.qogita.com/variants/link/4015600203399/", "View Product")</f>
        <v/>
      </c>
    </row>
    <row r="24529">
      <c r="A24529" t="inlineStr">
        <is>
          <t>4015600236359</t>
        </is>
      </c>
      <c r="B24529" t="inlineStr">
        <is>
          <t>Wella Illumina Hair Color 9/7 60ml</t>
        </is>
      </c>
      <c r="C24529" t="inlineStr">
        <is>
          <t>Hair Dye</t>
        </is>
      </c>
      <c r="D24529" t="inlineStr">
        <is>
          <t>Wella</t>
        </is>
      </c>
      <c r="E24529" t="n">
        <v>7.37</v>
      </c>
      <c r="F24529" t="n">
        <v>1</v>
      </c>
      <c r="G24529" t="n">
        <v>6</v>
      </c>
      <c r="H24529" s="5">
        <f>HYPERLINK("https://api.qogita.com/variants/link/4015600236359/", "View Product")</f>
        <v/>
      </c>
    </row>
    <row r="24530">
      <c r="A24530" t="inlineStr">
        <is>
          <t>4015600633080</t>
        </is>
      </c>
      <c r="B24530" t="inlineStr">
        <is>
          <t>Wella Professional Color Touch Vibrant Reds 54 Demipermanent Hair Color</t>
        </is>
      </c>
      <c r="C24530" t="inlineStr">
        <is>
          <t>Hair Dye</t>
        </is>
      </c>
      <c r="D24530" t="inlineStr">
        <is>
          <t>Wella Professionals</t>
        </is>
      </c>
      <c r="E24530" t="n">
        <v>7.11</v>
      </c>
      <c r="F24530" t="n">
        <v>1</v>
      </c>
      <c r="G24530" t="n">
        <v>3</v>
      </c>
      <c r="H24530" s="5">
        <f>HYPERLINK("https://api.qogita.com/variants/link/4015600633080/", "View Product")</f>
        <v/>
      </c>
    </row>
    <row r="24531">
      <c r="A24531" t="inlineStr">
        <is>
          <t>4015600987954</t>
        </is>
      </c>
      <c r="B24531" t="inlineStr">
        <is>
          <t>Londa Medium Blonde-Copper Cream Hair Color 7/4 60ml</t>
        </is>
      </c>
      <c r="C24531" t="inlineStr">
        <is>
          <t>Hair Dye</t>
        </is>
      </c>
      <c r="D24531" t="inlineStr">
        <is>
          <t>Londa</t>
        </is>
      </c>
      <c r="E24531" t="n">
        <v>3.41</v>
      </c>
      <c r="F24531" t="n">
        <v>1</v>
      </c>
      <c r="G24531" t="n">
        <v>2</v>
      </c>
      <c r="H24531" s="5">
        <f>HYPERLINK("https://api.qogita.com/variants/link/4015600987954/", "View Product")</f>
        <v/>
      </c>
    </row>
    <row r="24532">
      <c r="A24532" t="inlineStr">
        <is>
          <t>4015953603358</t>
        </is>
      </c>
      <c r="B24532" t="inlineStr">
        <is>
          <t>Accentra Men's Collection Gift Set for Men with Bottle Opener - Beer Care Set for Men with Bath &amp; Shower Gel, After Shave Balm with Natural Design &amp; Scent</t>
        </is>
      </c>
      <c r="C24532" t="inlineStr">
        <is>
          <t>Body Care Sets</t>
        </is>
      </c>
      <c r="D24532" t="inlineStr">
        <is>
          <t>Accentra</t>
        </is>
      </c>
      <c r="E24532" t="n">
        <v>10.89</v>
      </c>
      <c r="F24532" t="n">
        <v>1</v>
      </c>
      <c r="G24532" t="n">
        <v>5</v>
      </c>
      <c r="H24532" s="5">
        <f>HYPERLINK("https://api.qogita.com/variants/link/4015953603358/", "View Product")</f>
        <v/>
      </c>
    </row>
    <row r="24533">
      <c r="A24533" t="inlineStr">
        <is>
          <t>4015953711244</t>
        </is>
      </c>
      <c r="B24533" t="inlineStr">
        <is>
          <t>Accentra Bath + Body Toolkit Gift Set for Men with Flask in Canister Form - Men's Care Set with 100ml Bath &amp; Shower Gel in Cool Design</t>
        </is>
      </c>
      <c r="C24533" t="inlineStr">
        <is>
          <t>Body Care Sets</t>
        </is>
      </c>
      <c r="D24533" t="inlineStr">
        <is>
          <t>Accentra</t>
        </is>
      </c>
      <c r="E24533" t="n">
        <v>10.81</v>
      </c>
      <c r="F24533" t="n">
        <v>1</v>
      </c>
      <c r="G24533" t="n">
        <v>4</v>
      </c>
      <c r="H24533" s="5">
        <f>HYPERLINK("https://api.qogita.com/variants/link/4015953711244/", "View Product")</f>
        <v/>
      </c>
    </row>
    <row r="24534">
      <c r="A24534" t="inlineStr">
        <is>
          <t>4015953721434</t>
        </is>
      </c>
      <c r="B24534" t="inlineStr">
        <is>
          <t>Winter Spa Accentra Ginger &amp; Mint 24 Day Advent Calendar</t>
        </is>
      </c>
      <c r="C24534" t="inlineStr">
        <is>
          <t>Toiletries Bags</t>
        </is>
      </c>
      <c r="D24534" t="inlineStr">
        <is>
          <t>Winter Spa</t>
        </is>
      </c>
      <c r="E24534" t="n">
        <v>25.15</v>
      </c>
      <c r="F24534" t="n">
        <v>1</v>
      </c>
      <c r="G24534" t="n">
        <v>9</v>
      </c>
      <c r="H24534" s="5">
        <f>HYPERLINK("https://api.qogita.com/variants/link/4015953721434/", "View Product")</f>
        <v/>
      </c>
    </row>
    <row r="24535">
      <c r="A24535" t="inlineStr">
        <is>
          <t>4019674019290</t>
        </is>
      </c>
      <c r="B24535" t="inlineStr">
        <is>
          <t>Artdeco Hot Chili Lip Booster Lip Gloss With Chili Pepper 6ml</t>
        </is>
      </c>
      <c r="C24535" t="inlineStr">
        <is>
          <t>Lip Gloss</t>
        </is>
      </c>
      <c r="D24535" t="inlineStr">
        <is>
          <t>Artdeco</t>
        </is>
      </c>
      <c r="E24535" t="n">
        <v>6.99</v>
      </c>
      <c r="F24535" t="n">
        <v>1</v>
      </c>
      <c r="G24535" t="n">
        <v>10</v>
      </c>
      <c r="H24535" s="5">
        <f>HYPERLINK("https://api.qogita.com/variants/link/4019674019290/", "View Product")</f>
        <v/>
      </c>
    </row>
    <row r="24536">
      <c r="A24536" t="inlineStr">
        <is>
          <t>4019674028049</t>
        </is>
      </c>
      <c r="B24536" t="inlineStr">
        <is>
          <t>Artdeco Eye Brow Pencil - Shade 04, 1.1g</t>
        </is>
      </c>
      <c r="C24536" t="inlineStr">
        <is>
          <t>Eyebrow Pencil</t>
        </is>
      </c>
      <c r="D24536" t="inlineStr">
        <is>
          <t>Artdeco</t>
        </is>
      </c>
      <c r="E24536" t="n">
        <v>2.93</v>
      </c>
      <c r="F24536" t="n">
        <v>1</v>
      </c>
      <c r="G24536" t="n">
        <v>6</v>
      </c>
      <c r="H24536" s="5">
        <f>HYPERLINK("https://api.qogita.com/variants/link/4019674028049/", "View Product")</f>
        <v/>
      </c>
    </row>
    <row r="24537">
      <c r="A24537" t="inlineStr">
        <is>
          <t>4019674028223</t>
        </is>
      </c>
      <c r="B24537" t="inlineStr">
        <is>
          <t>Artdeco Magnetic Eyebrow Powder 02 0.8g</t>
        </is>
      </c>
      <c r="C24537" t="inlineStr">
        <is>
          <t>Eyebrow Powder</t>
        </is>
      </c>
      <c r="D24537" t="inlineStr">
        <is>
          <t>Artdeco</t>
        </is>
      </c>
      <c r="E24537" t="n">
        <v>4.46</v>
      </c>
      <c r="F24537" t="n">
        <v>1</v>
      </c>
      <c r="G24537" t="n">
        <v>2</v>
      </c>
      <c r="H24537" s="5">
        <f>HYPERLINK("https://api.qogita.com/variants/link/4019674028223/", "View Product")</f>
        <v/>
      </c>
    </row>
    <row r="24538">
      <c r="A24538" t="inlineStr">
        <is>
          <t>4019674030028</t>
        </is>
      </c>
      <c r="B24538" t="inlineStr">
        <is>
          <t>Artdeco Eyeshadow Pearl Magnetic Eyeshadow Shade No. 02 0.8g</t>
        </is>
      </c>
      <c r="C24538" t="inlineStr">
        <is>
          <t>Eyeshadow</t>
        </is>
      </c>
      <c r="D24538" t="inlineStr">
        <is>
          <t>Artdeco</t>
        </is>
      </c>
      <c r="E24538" t="n">
        <v>4.43</v>
      </c>
      <c r="F24538" t="n">
        <v>1</v>
      </c>
      <c r="G24538" t="n">
        <v>21</v>
      </c>
      <c r="H24538" s="5">
        <f>HYPERLINK("https://api.qogita.com/variants/link/4019674030028/", "View Product")</f>
        <v/>
      </c>
    </row>
    <row r="24539">
      <c r="A24539" t="inlineStr">
        <is>
          <t>4019674030066</t>
        </is>
      </c>
      <c r="B24539" t="inlineStr">
        <is>
          <t>Artdeco Magnet Eyeshadow Pearl 06 Pearly Light Silver Grey 9g</t>
        </is>
      </c>
      <c r="C24539" t="inlineStr">
        <is>
          <t>Eyeshadow</t>
        </is>
      </c>
      <c r="D24539" t="inlineStr">
        <is>
          <t>Artdeco</t>
        </is>
      </c>
      <c r="E24539" t="n">
        <v>5.09</v>
      </c>
      <c r="F24539" t="n">
        <v>1</v>
      </c>
      <c r="G24539" t="n">
        <v>25</v>
      </c>
      <c r="H24539" s="5">
        <f>HYPERLINK("https://api.qogita.com/variants/link/4019674030066/", "View Product")</f>
        <v/>
      </c>
    </row>
    <row r="24540">
      <c r="A24540" t="inlineStr">
        <is>
          <t>4019674030127</t>
        </is>
      </c>
      <c r="B24540" t="inlineStr">
        <is>
          <t>Artdeco Eyeshadow Pearl 12 Chocolate Cake 8g</t>
        </is>
      </c>
      <c r="C24540" t="inlineStr">
        <is>
          <t>Eyeshadow</t>
        </is>
      </c>
      <c r="D24540" t="inlineStr">
        <is>
          <t>Artdeco</t>
        </is>
      </c>
      <c r="E24540" t="n">
        <v>4.43</v>
      </c>
      <c r="F24540" t="n">
        <v>1</v>
      </c>
      <c r="G24540" t="n">
        <v>22</v>
      </c>
      <c r="H24540" s="5">
        <f>HYPERLINK("https://api.qogita.com/variants/link/4019674030127/", "View Product")</f>
        <v/>
      </c>
    </row>
    <row r="24541">
      <c r="A24541" t="inlineStr">
        <is>
          <t>4019674030745</t>
        </is>
      </c>
      <c r="B24541" t="inlineStr">
        <is>
          <t>Artdeco Eyeshadow Pearl Magnetic Eyeshadow Shade No. 74 0.8g</t>
        </is>
      </c>
      <c r="C24541" t="inlineStr">
        <is>
          <t>Eyeshadow</t>
        </is>
      </c>
      <c r="D24541" t="inlineStr">
        <is>
          <t>Artdeco</t>
        </is>
      </c>
      <c r="E24541" t="n">
        <v>4.4</v>
      </c>
      <c r="F24541" t="n">
        <v>1</v>
      </c>
      <c r="G24541" t="n">
        <v>19</v>
      </c>
      <c r="H24541" s="5">
        <f>HYPERLINK("https://api.qogita.com/variants/link/4019674030745/", "View Product")</f>
        <v/>
      </c>
    </row>
    <row r="24542">
      <c r="A24542" t="inlineStr">
        <is>
          <t>4019674032039</t>
        </is>
      </c>
      <c r="B24542" t="inlineStr">
        <is>
          <t>ARTDECO Eyeshadow Intense and Long-Lasting Brown Pearl 1g</t>
        </is>
      </c>
      <c r="C24542" t="inlineStr">
        <is>
          <t>Eyeshadow</t>
        </is>
      </c>
      <c r="D24542" t="inlineStr">
        <is>
          <t>Artdeco</t>
        </is>
      </c>
      <c r="E24542" t="n">
        <v>4.43</v>
      </c>
      <c r="F24542" t="n">
        <v>1</v>
      </c>
      <c r="G24542" t="n">
        <v>19</v>
      </c>
      <c r="H24542" s="5">
        <f>HYPERLINK("https://api.qogita.com/variants/link/4019674032039/", "View Product")</f>
        <v/>
      </c>
    </row>
    <row r="24543">
      <c r="A24543" t="inlineStr">
        <is>
          <t>4019674032084</t>
        </is>
      </c>
      <c r="B24543" t="inlineStr">
        <is>
          <t>Artdeco Eyeshadow Duochrom 08 G 208 Elegant Brown</t>
        </is>
      </c>
      <c r="C24543" t="inlineStr">
        <is>
          <t>Eyeshadow</t>
        </is>
      </c>
      <c r="D24543" t="inlineStr">
        <is>
          <t>Artdeco</t>
        </is>
      </c>
      <c r="E24543" t="n">
        <v>4.4</v>
      </c>
      <c r="F24543" t="n">
        <v>1</v>
      </c>
      <c r="G24543" t="n">
        <v>27</v>
      </c>
      <c r="H24543" s="5">
        <f>HYPERLINK("https://api.qogita.com/variants/link/4019674032084/", "View Product")</f>
        <v/>
      </c>
    </row>
    <row r="24544">
      <c r="A24544" t="inlineStr">
        <is>
          <t>4019674032503</t>
        </is>
      </c>
      <c r="B24544" t="inlineStr">
        <is>
          <t>ARTDECO Eyeshadow Farbintensiver Langanhaltender Lidschatten Green Pearl 1g 250 Late Spring Green</t>
        </is>
      </c>
      <c r="C24544" t="inlineStr">
        <is>
          <t>Eyeshadow</t>
        </is>
      </c>
      <c r="D24544" t="inlineStr">
        <is>
          <t>Artdeco</t>
        </is>
      </c>
      <c r="E24544" t="n">
        <v>4.46</v>
      </c>
      <c r="F24544" t="n">
        <v>1</v>
      </c>
      <c r="G24544" t="n">
        <v>2</v>
      </c>
      <c r="H24544" s="5">
        <f>HYPERLINK("https://api.qogita.com/variants/link/4019674032503/", "View Product")</f>
        <v/>
      </c>
    </row>
    <row r="24545">
      <c r="A24545" t="inlineStr">
        <is>
          <t>4019674034033</t>
        </is>
      </c>
      <c r="B24545" t="inlineStr">
        <is>
          <t>Artdeco Mineral Powder Foundation 3 Soft Ivory 15 G</t>
        </is>
      </c>
      <c r="C24545" t="inlineStr">
        <is>
          <t>Foundation</t>
        </is>
      </c>
      <c r="D24545" t="inlineStr">
        <is>
          <t>Artdeco</t>
        </is>
      </c>
      <c r="E24545" t="n">
        <v>10.49</v>
      </c>
      <c r="F24545" t="n">
        <v>1</v>
      </c>
      <c r="G24545" t="n">
        <v>20</v>
      </c>
      <c r="H24545" s="5">
        <f>HYPERLINK("https://api.qogita.com/variants/link/4019674034033/", "View Product")</f>
        <v/>
      </c>
    </row>
    <row r="24546">
      <c r="A24546" t="inlineStr">
        <is>
          <t>4019674041130</t>
        </is>
      </c>
      <c r="B24546" t="inlineStr">
        <is>
          <t>Artdeco High Definition Compact Powder Refill - Shade 03, 10g</t>
        </is>
      </c>
      <c r="C24546" t="inlineStr">
        <is>
          <t>Powder</t>
        </is>
      </c>
      <c r="D24546" t="inlineStr">
        <is>
          <t>Artdeco</t>
        </is>
      </c>
      <c r="E24546" t="n">
        <v>8.27</v>
      </c>
      <c r="F24546" t="n">
        <v>1</v>
      </c>
      <c r="G24546" t="n">
        <v>2</v>
      </c>
      <c r="H24546" s="5">
        <f>HYPERLINK("https://api.qogita.com/variants/link/4019674041130/", "View Product")</f>
        <v/>
      </c>
    </row>
    <row r="24547">
      <c r="A24547" t="inlineStr">
        <is>
          <t>4019674041161</t>
        </is>
      </c>
      <c r="B24547" t="inlineStr">
        <is>
          <t>Artdeco High Definition Compact Powder Refill Number 6 Soft Fawn 10g</t>
        </is>
      </c>
      <c r="C24547" t="inlineStr">
        <is>
          <t>Powder</t>
        </is>
      </c>
      <c r="D24547" t="inlineStr">
        <is>
          <t>Artdeco</t>
        </is>
      </c>
      <c r="E24547" t="n">
        <v>8.130000000000001</v>
      </c>
      <c r="F24547" t="n">
        <v>1</v>
      </c>
      <c r="G24547" t="n">
        <v>3</v>
      </c>
      <c r="H24547" s="5">
        <f>HYPERLINK("https://api.qogita.com/variants/link/4019674041161/", "View Product")</f>
        <v/>
      </c>
    </row>
    <row r="24548">
      <c r="A24548" t="inlineStr">
        <is>
          <t>4019674049297</t>
        </is>
      </c>
      <c r="B24548" t="inlineStr">
        <is>
          <t>Artdeco Camouflage Cream 09 Soft Cinnamon 45 G</t>
        </is>
      </c>
      <c r="C24548" t="inlineStr">
        <is>
          <t>Camouflage Makeup</t>
        </is>
      </c>
      <c r="D24548" t="inlineStr">
        <is>
          <t>Artdeco</t>
        </is>
      </c>
      <c r="E24548" t="n">
        <v>3.5</v>
      </c>
      <c r="F24548" t="n">
        <v>1</v>
      </c>
      <c r="G24548" t="n">
        <v>11</v>
      </c>
      <c r="H24548" s="5">
        <f>HYPERLINK("https://api.qogita.com/variants/link/4019674049297/", "View Product")</f>
        <v/>
      </c>
    </row>
    <row r="24549">
      <c r="A24549" t="inlineStr">
        <is>
          <t>4019674202050</t>
        </is>
      </c>
      <c r="B24549" t="inlineStr">
        <is>
          <t>Artdeco All In One Mascara - 10ml</t>
        </is>
      </c>
      <c r="C24549" t="inlineStr">
        <is>
          <t>Mascara</t>
        </is>
      </c>
      <c r="D24549" t="inlineStr">
        <is>
          <t>Artdeco</t>
        </is>
      </c>
      <c r="E24549" t="n">
        <v>8.640000000000001</v>
      </c>
      <c r="F24549" t="n">
        <v>1</v>
      </c>
      <c r="G24549" t="n">
        <v>2</v>
      </c>
      <c r="H24549" s="5">
        <f>HYPERLINK("https://api.qogita.com/variants/link/4019674202050/", "View Product")</f>
        <v/>
      </c>
    </row>
    <row r="24550">
      <c r="A24550" t="inlineStr">
        <is>
          <t>4019674221105</t>
        </is>
      </c>
      <c r="B24550" t="inlineStr">
        <is>
          <t>Artdeco Waterproof Eye Pencil 12 G 12 G Color Black</t>
        </is>
      </c>
      <c r="C24550" t="inlineStr">
        <is>
          <t>Eye Pencil</t>
        </is>
      </c>
      <c r="D24550" t="inlineStr">
        <is>
          <t>Artdeco</t>
        </is>
      </c>
      <c r="E24550" t="n">
        <v>3.64</v>
      </c>
      <c r="F24550" t="n">
        <v>1</v>
      </c>
      <c r="G24550" t="n">
        <v>5</v>
      </c>
      <c r="H24550" s="5">
        <f>HYPERLINK("https://api.qogita.com/variants/link/4019674221105/", "View Product")</f>
        <v/>
      </c>
    </row>
    <row r="24551">
      <c r="A24551" t="inlineStr">
        <is>
          <t>4019674305126</t>
        </is>
      </c>
      <c r="B24551" t="inlineStr">
        <is>
          <t>Artdeco Eyeshadow Matte Magnetic Shade No. 512 - 0.8g</t>
        </is>
      </c>
      <c r="C24551" t="inlineStr">
        <is>
          <t>Eyeshadow</t>
        </is>
      </c>
      <c r="D24551" t="inlineStr">
        <is>
          <t>Artdeco</t>
        </is>
      </c>
      <c r="E24551" t="n">
        <v>3.48</v>
      </c>
      <c r="F24551" t="n">
        <v>1</v>
      </c>
      <c r="G24551" t="n">
        <v>5</v>
      </c>
      <c r="H24551" s="5">
        <f>HYPERLINK("https://api.qogita.com/variants/link/4019674305126/", "View Product")</f>
        <v/>
      </c>
    </row>
    <row r="24552">
      <c r="A24552" t="inlineStr">
        <is>
          <t>4019674330029</t>
        </is>
      </c>
      <c r="B24552" t="inlineStr">
        <is>
          <t>Artdeco Powder Blush 02 Deep Brown Orange Blush 5 G</t>
        </is>
      </c>
      <c r="C24552" t="inlineStr">
        <is>
          <t>Blush</t>
        </is>
      </c>
      <c r="D24552" t="inlineStr">
        <is>
          <t>Artdeco</t>
        </is>
      </c>
      <c r="E24552" t="n">
        <v>4.05</v>
      </c>
      <c r="F24552" t="n">
        <v>1</v>
      </c>
      <c r="G24552" t="n">
        <v>7</v>
      </c>
      <c r="H24552" s="5">
        <f>HYPERLINK("https://api.qogita.com/variants/link/4019674330029/", "View Product")</f>
        <v/>
      </c>
    </row>
    <row r="24553">
      <c r="A24553" t="inlineStr">
        <is>
          <t>4019674330357</t>
        </is>
      </c>
      <c r="B24553" t="inlineStr">
        <is>
          <t>Artdeco Blusher 5 G 35 Oriental Red Blush</t>
        </is>
      </c>
      <c r="C24553" t="inlineStr">
        <is>
          <t>Blush</t>
        </is>
      </c>
      <c r="D24553" t="inlineStr">
        <is>
          <t>Artdeco</t>
        </is>
      </c>
      <c r="E24553" t="n">
        <v>5.64</v>
      </c>
      <c r="F24553" t="n">
        <v>1</v>
      </c>
      <c r="G24553" t="n">
        <v>8</v>
      </c>
      <c r="H24553" s="5">
        <f>HYPERLINK("https://api.qogita.com/variants/link/4019674330357/", "View Product")</f>
        <v/>
      </c>
    </row>
    <row r="24554">
      <c r="A24554" t="inlineStr">
        <is>
          <t>4019674404058</t>
        </is>
      </c>
      <c r="B24554" t="inlineStr">
        <is>
          <t>ARTDECO Mineral Compact Powder with Sea Minerals for a Smooth Complexion 9g 5 Fair Ivory</t>
        </is>
      </c>
      <c r="C24554" t="inlineStr">
        <is>
          <t>Powder</t>
        </is>
      </c>
      <c r="D24554" t="inlineStr">
        <is>
          <t>Artdeco</t>
        </is>
      </c>
      <c r="E24554" t="n">
        <v>11.67</v>
      </c>
      <c r="F24554" t="n">
        <v>1</v>
      </c>
      <c r="G24554" t="n">
        <v>4</v>
      </c>
      <c r="H24554" s="5">
        <f>HYPERLINK("https://api.qogita.com/variants/link/4019674404058/", "View Product")</f>
        <v/>
      </c>
    </row>
    <row r="24555">
      <c r="A24555" t="inlineStr">
        <is>
          <t>4019674404201</t>
        </is>
      </c>
      <c r="B24555" t="inlineStr">
        <is>
          <t>Artdeco Mineral Compact Powder 9 G 20 Neutral Beige</t>
        </is>
      </c>
      <c r="C24555" t="inlineStr">
        <is>
          <t>Powder</t>
        </is>
      </c>
      <c r="D24555" t="inlineStr">
        <is>
          <t>Artdeco</t>
        </is>
      </c>
      <c r="E24555" t="n">
        <v>12.43</v>
      </c>
      <c r="F24555" t="n">
        <v>1</v>
      </c>
      <c r="G24555" t="n">
        <v>2</v>
      </c>
      <c r="H24555" s="5">
        <f>HYPERLINK("https://api.qogita.com/variants/link/4019674404201/", "View Product")</f>
        <v/>
      </c>
    </row>
    <row r="24556">
      <c r="A24556" t="inlineStr">
        <is>
          <t>4019674485170</t>
        </is>
      </c>
      <c r="B24556" t="inlineStr">
        <is>
          <t>ARTDECO Rich Treatment Foundation Waterproof Liquid Cream Foundation 20ml 17 Creamy Honey</t>
        </is>
      </c>
      <c r="C24556" t="inlineStr">
        <is>
          <t>Foundation</t>
        </is>
      </c>
      <c r="D24556" t="inlineStr">
        <is>
          <t>Artdeco</t>
        </is>
      </c>
      <c r="E24556" t="n">
        <v>8.779999999999999</v>
      </c>
      <c r="F24556" t="n">
        <v>1</v>
      </c>
      <c r="G24556" t="n">
        <v>5</v>
      </c>
      <c r="H24556" s="5">
        <f>HYPERLINK("https://api.qogita.com/variants/link/4019674485170/", "View Product")</f>
        <v/>
      </c>
    </row>
    <row r="24557">
      <c r="A24557" t="inlineStr">
        <is>
          <t>4019674485187</t>
        </is>
      </c>
      <c r="B24557" t="inlineStr">
        <is>
          <t>Artdeco Rich Treatment Foundation 18 Deep Honey Luxurious Cream Makeup In 20 Ml</t>
        </is>
      </c>
      <c r="C24557" t="inlineStr">
        <is>
          <t>Foundation</t>
        </is>
      </c>
      <c r="D24557" t="inlineStr">
        <is>
          <t>Artdeco</t>
        </is>
      </c>
      <c r="E24557" t="n">
        <v>8.699999999999999</v>
      </c>
      <c r="F24557" t="n">
        <v>1</v>
      </c>
      <c r="G24557" t="n">
        <v>4</v>
      </c>
      <c r="H24557" s="5">
        <f>HYPERLINK("https://api.qogita.com/variants/link/4019674485187/", "View Product")</f>
        <v/>
      </c>
    </row>
    <row r="24558">
      <c r="A24558" t="inlineStr">
        <is>
          <t>4019674492154</t>
        </is>
      </c>
      <c r="B24558" t="inlineStr">
        <is>
          <t>Artdeco Camouflage Cream Concealer In Cream 15 Summer Apricot 4.5g</t>
        </is>
      </c>
      <c r="C24558" t="inlineStr">
        <is>
          <t>Camouflage Makeup</t>
        </is>
      </c>
      <c r="D24558" t="inlineStr">
        <is>
          <t>Artdeco</t>
        </is>
      </c>
      <c r="E24558" t="n">
        <v>3.54</v>
      </c>
      <c r="F24558" t="n">
        <v>1</v>
      </c>
      <c r="G24558" t="n">
        <v>15</v>
      </c>
      <c r="H24558" s="5">
        <f>HYPERLINK("https://api.qogita.com/variants/link/4019674492154/", "View Product")</f>
        <v/>
      </c>
    </row>
    <row r="24559">
      <c r="A24559" t="inlineStr">
        <is>
          <t>4020829005303</t>
        </is>
      </c>
      <c r="B24559" t="inlineStr">
        <is>
          <t>Dr. Hauschka Renewing Night Conditioner Face Serum 10x1ml</t>
        </is>
      </c>
      <c r="C24559" t="inlineStr">
        <is>
          <t>Ampoules</t>
        </is>
      </c>
      <c r="D24559" t="inlineStr">
        <is>
          <t>Dr. Hauschka</t>
        </is>
      </c>
      <c r="E24559" t="n">
        <v>17.42</v>
      </c>
      <c r="F24559" t="n">
        <v>1</v>
      </c>
      <c r="G24559" t="n">
        <v>2</v>
      </c>
      <c r="H24559" s="5">
        <f>HYPERLINK("https://api.qogita.com/variants/link/4020829005303/", "View Product")</f>
        <v/>
      </c>
    </row>
    <row r="24560">
      <c r="A24560" t="inlineStr">
        <is>
          <t>4020829005372</t>
        </is>
      </c>
      <c r="B24560" t="inlineStr">
        <is>
          <t>Dr. Hauschka Sensitive Care Conditioner Face Ampoules Reducing Redness 10x1ml</t>
        </is>
      </c>
      <c r="C24560" t="inlineStr">
        <is>
          <t>Ampoules</t>
        </is>
      </c>
      <c r="D24560" t="inlineStr">
        <is>
          <t>Dr. Hauschka</t>
        </is>
      </c>
      <c r="E24560" t="n">
        <v>17.73</v>
      </c>
      <c r="F24560" t="n">
        <v>1</v>
      </c>
      <c r="G24560" t="n">
        <v>2</v>
      </c>
      <c r="H24560" s="5">
        <f>HYPERLINK("https://api.qogita.com/variants/link/4020829005372/", "View Product")</f>
        <v/>
      </c>
    </row>
    <row r="24561">
      <c r="A24561" t="inlineStr">
        <is>
          <t>4020829005808</t>
        </is>
      </c>
      <c r="B24561" t="inlineStr">
        <is>
          <t>Dr. Hauschka Moor Lavender Calming Body Care 100ml</t>
        </is>
      </c>
      <c r="C24561" t="inlineStr">
        <is>
          <t>Body Care Sets</t>
        </is>
      </c>
      <c r="D24561" t="inlineStr">
        <is>
          <t>Dr. Hauschka</t>
        </is>
      </c>
      <c r="E24561" t="n">
        <v>13.95</v>
      </c>
      <c r="F24561" t="n">
        <v>1</v>
      </c>
      <c r="G24561" t="n">
        <v>4</v>
      </c>
      <c r="H24561" s="5">
        <f>HYPERLINK("https://api.qogita.com/variants/link/4020829005808/", "View Product")</f>
        <v/>
      </c>
    </row>
    <row r="24562">
      <c r="A24562" t="inlineStr">
        <is>
          <t>4020829006027</t>
        </is>
      </c>
      <c r="B24562" t="inlineStr">
        <is>
          <t>Dr Hauschka Soothing Cleansing Milk 145 Ml</t>
        </is>
      </c>
      <c r="C24562" t="inlineStr">
        <is>
          <t>Cleansing Milk</t>
        </is>
      </c>
      <c r="D24562" t="inlineStr">
        <is>
          <t>Dr Hauschka</t>
        </is>
      </c>
      <c r="E24562" t="n">
        <v>17.69</v>
      </c>
      <c r="F24562" t="n">
        <v>1</v>
      </c>
      <c r="G24562" t="n">
        <v>14</v>
      </c>
      <c r="H24562" s="5">
        <f>HYPERLINK("https://api.qogita.com/variants/link/4020829006027/", "View Product")</f>
        <v/>
      </c>
    </row>
    <row r="24563">
      <c r="A24563" t="inlineStr">
        <is>
          <t>4020829025325</t>
        </is>
      </c>
      <c r="B24563" t="inlineStr">
        <is>
          <t>Dr. Hauschka Rose Deodorant 50ml</t>
        </is>
      </c>
      <c r="C24563" t="inlineStr">
        <is>
          <t>Deodorant &amp; Anti-Perspirant</t>
        </is>
      </c>
      <c r="D24563" t="inlineStr">
        <is>
          <t>Dr. Hauschka</t>
        </is>
      </c>
      <c r="E24563" t="n">
        <v>10.59</v>
      </c>
      <c r="F24563" t="n">
        <v>1</v>
      </c>
      <c r="G24563" t="n">
        <v>4</v>
      </c>
      <c r="H24563" s="5">
        <f>HYPERLINK("https://api.qogita.com/variants/link/4020829025325/", "View Product")</f>
        <v/>
      </c>
    </row>
    <row r="24564">
      <c r="A24564" t="inlineStr">
        <is>
          <t>4020829060982</t>
        </is>
      </c>
      <c r="B24564" t="inlineStr">
        <is>
          <t>Dr. Hauschka Regenerating Day Cream Complexion Day Cream 40ml</t>
        </is>
      </c>
      <c r="C24564" t="inlineStr">
        <is>
          <t>Day Cream</t>
        </is>
      </c>
      <c r="D24564" t="inlineStr">
        <is>
          <t>Dr Hauschka</t>
        </is>
      </c>
      <c r="E24564" t="n">
        <v>48.61</v>
      </c>
      <c r="F24564" t="n">
        <v>1</v>
      </c>
      <c r="G24564" t="n">
        <v>7</v>
      </c>
      <c r="H24564" s="5">
        <f>HYPERLINK("https://api.qogita.com/variants/link/4020829060982/", "View Product")</f>
        <v/>
      </c>
    </row>
    <row r="24565">
      <c r="A24565" t="inlineStr">
        <is>
          <t>4020829069329</t>
        </is>
      </c>
      <c r="B24565" t="inlineStr">
        <is>
          <t>Dr Hauschka Labimint Lip Care Acute Lip Care Lip Balm 5 Ml</t>
        </is>
      </c>
      <c r="C24565" t="inlineStr">
        <is>
          <t>Medicated Treatments</t>
        </is>
      </c>
      <c r="D24565" t="inlineStr">
        <is>
          <t>Dr Hauschka</t>
        </is>
      </c>
      <c r="E24565" t="n">
        <v>9.16</v>
      </c>
      <c r="F24565" t="n">
        <v>1</v>
      </c>
      <c r="G24565" t="n">
        <v>5</v>
      </c>
      <c r="H24565" s="5">
        <f>HYPERLINK("https://api.qogita.com/variants/link/4020829069329/", "View Product")</f>
        <v/>
      </c>
    </row>
    <row r="24566">
      <c r="A24566" t="inlineStr">
        <is>
          <t>4020829080553</t>
        </is>
      </c>
      <c r="B24566" t="inlineStr">
        <is>
          <t>Dr. Hauschka Soothing Day Lotion 50ml</t>
        </is>
      </c>
      <c r="C24566" t="inlineStr">
        <is>
          <t>Day Cream</t>
        </is>
      </c>
      <c r="D24566" t="inlineStr">
        <is>
          <t>Dr Hauschka</t>
        </is>
      </c>
      <c r="E24566" t="n">
        <v>23.43</v>
      </c>
      <c r="F24566" t="n">
        <v>1</v>
      </c>
      <c r="G24566" t="n">
        <v>2</v>
      </c>
      <c r="H24566" s="5">
        <f>HYPERLINK("https://api.qogita.com/variants/link/4020829080553/", "View Product")</f>
        <v/>
      </c>
    </row>
    <row r="24567">
      <c r="A24567" t="inlineStr">
        <is>
          <t>4020829094031</t>
        </is>
      </c>
      <c r="B24567" t="inlineStr">
        <is>
          <t>Dr. Hauschka Cleansing Balm 75ml</t>
        </is>
      </c>
      <c r="C24567" t="inlineStr">
        <is>
          <t>Cleansing Cream</t>
        </is>
      </c>
      <c r="D24567" t="inlineStr">
        <is>
          <t>Dr. Hauschka</t>
        </is>
      </c>
      <c r="E24567" t="n">
        <v>17.74</v>
      </c>
      <c r="F24567" t="n">
        <v>1</v>
      </c>
      <c r="G24567" t="n">
        <v>25</v>
      </c>
      <c r="H24567" s="5">
        <f>HYPERLINK("https://api.qogita.com/variants/link/4020829094031/", "View Product")</f>
        <v/>
      </c>
    </row>
    <row r="24568">
      <c r="A24568" t="inlineStr">
        <is>
          <t>4020829097629</t>
        </is>
      </c>
      <c r="B24568" t="inlineStr">
        <is>
          <t>Dr. Hauschka Regeneration Intensive Treatment 40ml</t>
        </is>
      </c>
      <c r="C24568" t="inlineStr">
        <is>
          <t>Anti-Aging Facial Care</t>
        </is>
      </c>
      <c r="D24568" t="inlineStr">
        <is>
          <t>Dr Hauschka</t>
        </is>
      </c>
      <c r="E24568" t="n">
        <v>47.42</v>
      </c>
      <c r="F24568" t="n">
        <v>1</v>
      </c>
      <c r="G24568" t="n">
        <v>13</v>
      </c>
      <c r="H24568" s="5">
        <f>HYPERLINK("https://api.qogita.com/variants/link/4020829097629/", "View Product")</f>
        <v/>
      </c>
    </row>
    <row r="24569">
      <c r="A24569" t="inlineStr">
        <is>
          <t>4020829097636</t>
        </is>
      </c>
      <c r="B24569" t="inlineStr">
        <is>
          <t>Dr. Hauschka Soothing Intensive Treatment 40ml</t>
        </is>
      </c>
      <c r="C24569" t="inlineStr">
        <is>
          <t>Face Cream</t>
        </is>
      </c>
      <c r="D24569" t="inlineStr">
        <is>
          <t>Dr. Hauschka</t>
        </is>
      </c>
      <c r="E24569" t="n">
        <v>34.96</v>
      </c>
      <c r="F24569" t="n">
        <v>1</v>
      </c>
      <c r="G24569" t="n">
        <v>5</v>
      </c>
      <c r="H24569" s="5">
        <f>HYPERLINK("https://api.qogita.com/variants/link/4020829097636/", "View Product")</f>
        <v/>
      </c>
    </row>
    <row r="24570">
      <c r="A24570" t="inlineStr">
        <is>
          <t>4020829098336</t>
        </is>
      </c>
      <c r="B24570" t="inlineStr">
        <is>
          <t>Dr. Hauschka Foundation Face Makeup 001 30ml</t>
        </is>
      </c>
      <c r="C24570" t="inlineStr">
        <is>
          <t>Foundation</t>
        </is>
      </c>
      <c r="D24570" t="inlineStr">
        <is>
          <t>Dr. Hauschka</t>
        </is>
      </c>
      <c r="E24570" t="n">
        <v>20.43</v>
      </c>
      <c r="F24570" t="n">
        <v>1</v>
      </c>
      <c r="G24570" t="n">
        <v>4</v>
      </c>
      <c r="H24570" s="5">
        <f>HYPERLINK("https://api.qogita.com/variants/link/4020829098336/", "View Product")</f>
        <v/>
      </c>
    </row>
    <row r="24571">
      <c r="A24571" t="inlineStr">
        <is>
          <t>4020829098411</t>
        </is>
      </c>
      <c r="B24571" t="inlineStr">
        <is>
          <t>Dr Hauschka Foundation 03 Chestnut Nourishing Makeup With Mineral Pigments 30 Ml</t>
        </is>
      </c>
      <c r="C24571" t="inlineStr">
        <is>
          <t>Foundation</t>
        </is>
      </c>
      <c r="D24571" t="inlineStr">
        <is>
          <t>Dr Hauschka</t>
        </is>
      </c>
      <c r="E24571" t="n">
        <v>22.02</v>
      </c>
      <c r="F24571" t="n">
        <v>1</v>
      </c>
      <c r="G24571" t="n">
        <v>12</v>
      </c>
      <c r="H24571" s="5">
        <f>HYPERLINK("https://api.qogita.com/variants/link/4020829098411/", "View Product")</f>
        <v/>
      </c>
    </row>
    <row r="24572">
      <c r="A24572" t="inlineStr">
        <is>
          <t>4020829098435</t>
        </is>
      </c>
      <c r="B24572" t="inlineStr">
        <is>
          <t>Dr. Hauschka Foundation 04 Hazelnut 30ml</t>
        </is>
      </c>
      <c r="C24572" t="inlineStr">
        <is>
          <t>Foundation</t>
        </is>
      </c>
      <c r="D24572" t="inlineStr">
        <is>
          <t>Dr Hauschka</t>
        </is>
      </c>
      <c r="E24572" t="n">
        <v>21.57</v>
      </c>
      <c r="F24572" t="n">
        <v>1</v>
      </c>
      <c r="G24572" t="n">
        <v>3</v>
      </c>
      <c r="H24572" s="5">
        <f>HYPERLINK("https://api.qogita.com/variants/link/4020829098435/", "View Product")</f>
        <v/>
      </c>
    </row>
    <row r="24573">
      <c r="A24573" t="inlineStr">
        <is>
          <t>4020829098633</t>
        </is>
      </c>
      <c r="B24573" t="inlineStr">
        <is>
          <t>Dr. Hauschka Colour Correcting Compact Powder No. 00 Transparent 8g</t>
        </is>
      </c>
      <c r="C24573" t="inlineStr">
        <is>
          <t>Powder</t>
        </is>
      </c>
      <c r="D24573" t="inlineStr">
        <is>
          <t>Dr. Hauschka</t>
        </is>
      </c>
      <c r="E24573" t="n">
        <v>27.18</v>
      </c>
      <c r="F24573" t="n">
        <v>1</v>
      </c>
      <c r="G24573" t="n">
        <v>5</v>
      </c>
      <c r="H24573" s="5">
        <f>HYPERLINK("https://api.qogita.com/variants/link/4020829098633/", "View Product")</f>
        <v/>
      </c>
    </row>
    <row r="24574">
      <c r="A24574" t="inlineStr">
        <is>
          <t>4020829098800</t>
        </is>
      </c>
      <c r="B24574" t="inlineStr">
        <is>
          <t>Dr. Hauschka Eyeshadow 07 Aquamarine 1.4g</t>
        </is>
      </c>
      <c r="C24574" t="inlineStr">
        <is>
          <t>Eyeshadow</t>
        </is>
      </c>
      <c r="D24574" t="inlineStr">
        <is>
          <t>Dr Hauschka</t>
        </is>
      </c>
      <c r="E24574" t="n">
        <v>11</v>
      </c>
      <c r="F24574" t="n">
        <v>1</v>
      </c>
      <c r="G24574" t="n">
        <v>5</v>
      </c>
      <c r="H24574" s="5">
        <f>HYPERLINK("https://api.qogita.com/variants/link/4020829098800/", "View Product")</f>
        <v/>
      </c>
    </row>
    <row r="24575">
      <c r="A24575" t="inlineStr">
        <is>
          <t>4020829098824</t>
        </is>
      </c>
      <c r="B24575" t="inlineStr">
        <is>
          <t>Dr Hauschka Eyeshadow 08 Golden Topaz 14 G</t>
        </is>
      </c>
      <c r="C24575" t="inlineStr">
        <is>
          <t>Eyeshadow</t>
        </is>
      </c>
      <c r="D24575" t="inlineStr">
        <is>
          <t>Dr Hauschka</t>
        </is>
      </c>
      <c r="E24575" t="n">
        <v>11</v>
      </c>
      <c r="F24575" t="n">
        <v>1</v>
      </c>
      <c r="G24575" t="n">
        <v>3</v>
      </c>
      <c r="H24575" s="5">
        <f>HYPERLINK("https://api.qogita.com/variants/link/4020829098824/", "View Product")</f>
        <v/>
      </c>
    </row>
    <row r="24576">
      <c r="A24576" t="inlineStr">
        <is>
          <t>4020829098862</t>
        </is>
      </c>
      <c r="B24576" t="inlineStr">
        <is>
          <t>Dr Hauschka Light Reflecting Concealer 00 Translucent 25 Ml</t>
        </is>
      </c>
      <c r="C24576" t="inlineStr">
        <is>
          <t>Concealer</t>
        </is>
      </c>
      <c r="D24576" t="inlineStr">
        <is>
          <t>Dr Hauschka</t>
        </is>
      </c>
      <c r="E24576" t="n">
        <v>14.18</v>
      </c>
      <c r="F24576" t="n">
        <v>1</v>
      </c>
      <c r="G24576" t="n">
        <v>2</v>
      </c>
      <c r="H24576" s="5">
        <f>HYPERLINK("https://api.qogita.com/variants/link/4020829098862/", "View Product")</f>
        <v/>
      </c>
    </row>
    <row r="24577">
      <c r="A24577" t="inlineStr">
        <is>
          <t>4020829098879</t>
        </is>
      </c>
      <c r="B24577" t="inlineStr">
        <is>
          <t>Dr Hauschka Lip Line Definer 00 Translucent 114 G</t>
        </is>
      </c>
      <c r="C24577" t="inlineStr">
        <is>
          <t>Lip Liner</t>
        </is>
      </c>
      <c r="D24577" t="inlineStr">
        <is>
          <t>Dr Hauschka</t>
        </is>
      </c>
      <c r="E24577" t="n">
        <v>11.81</v>
      </c>
      <c r="F24577" t="n">
        <v>1</v>
      </c>
      <c r="G24577" t="n">
        <v>6</v>
      </c>
      <c r="H24577" s="5">
        <f>HYPERLINK("https://api.qogita.com/variants/link/4020829098879/", "View Product")</f>
        <v/>
      </c>
    </row>
    <row r="24578">
      <c r="A24578" t="inlineStr">
        <is>
          <t>4020829098961</t>
        </is>
      </c>
      <c r="B24578" t="inlineStr">
        <is>
          <t>Dr Hauschka Lipstick 07 Orpine 41 G Moisturizing Lipstick With Mineral Pigments</t>
        </is>
      </c>
      <c r="C24578" t="inlineStr">
        <is>
          <t>Lipstick</t>
        </is>
      </c>
      <c r="D24578" t="inlineStr">
        <is>
          <t>Dr Hauschka</t>
        </is>
      </c>
      <c r="E24578" t="n">
        <v>17.46</v>
      </c>
      <c r="F24578" t="n">
        <v>1</v>
      </c>
      <c r="G24578" t="n">
        <v>2</v>
      </c>
      <c r="H24578" s="5">
        <f>HYPERLINK("https://api.qogita.com/variants/link/4020829098961/", "View Product")</f>
        <v/>
      </c>
    </row>
    <row r="24579">
      <c r="A24579" t="inlineStr">
        <is>
          <t>4020829099029</t>
        </is>
      </c>
      <c r="B24579" t="inlineStr">
        <is>
          <t>Dr Hauschka Lipstick 13 Bromelia Caring Lipstick 41 G</t>
        </is>
      </c>
      <c r="C24579" t="inlineStr">
        <is>
          <t>Lipstick</t>
        </is>
      </c>
      <c r="D24579" t="inlineStr">
        <is>
          <t>Dr Hauschka</t>
        </is>
      </c>
      <c r="E24579" t="n">
        <v>17.63</v>
      </c>
      <c r="F24579" t="n">
        <v>1</v>
      </c>
      <c r="G24579" t="n">
        <v>3</v>
      </c>
      <c r="H24579" s="5">
        <f>HYPERLINK("https://api.qogita.com/variants/link/4020829099029/", "View Product")</f>
        <v/>
      </c>
    </row>
    <row r="24580">
      <c r="A24580" t="inlineStr">
        <is>
          <t>4020829100633</t>
        </is>
      </c>
      <c r="B24580" t="inlineStr">
        <is>
          <t>Dr. Hauschka Apricot Day Cream 30ml</t>
        </is>
      </c>
      <c r="C24580" t="inlineStr">
        <is>
          <t>Day Cream</t>
        </is>
      </c>
      <c r="D24580" t="inlineStr">
        <is>
          <t>Dr. Hauschka</t>
        </is>
      </c>
      <c r="E24580" t="n">
        <v>22.25</v>
      </c>
      <c r="F24580" t="n">
        <v>1</v>
      </c>
      <c r="G24580" t="n">
        <v>5</v>
      </c>
      <c r="H24580" s="5">
        <f>HYPERLINK("https://api.qogita.com/variants/link/4020829100633/", "View Product")</f>
        <v/>
      </c>
    </row>
    <row r="24581">
      <c r="A24581" t="inlineStr">
        <is>
          <t>4020829101067</t>
        </is>
      </c>
      <c r="B24581" t="inlineStr">
        <is>
          <t>Dr. Hauschka Regenerating Intensive Eye Serum</t>
        </is>
      </c>
      <c r="C24581" t="inlineStr">
        <is>
          <t>Eye Serum</t>
        </is>
      </c>
      <c r="D24581" t="inlineStr">
        <is>
          <t>Dr. Hauschka</t>
        </is>
      </c>
      <c r="E24581" t="n">
        <v>64.81999999999999</v>
      </c>
      <c r="F24581" t="n">
        <v>1</v>
      </c>
      <c r="G24581" t="n">
        <v>2</v>
      </c>
      <c r="H24581" s="5">
        <f>HYPERLINK("https://api.qogita.com/variants/link/4020829101067/", "View Product")</f>
        <v/>
      </c>
    </row>
    <row r="24582">
      <c r="A24582" t="inlineStr">
        <is>
          <t>4020829101104</t>
        </is>
      </c>
      <c r="B24582" t="inlineStr">
        <is>
          <t>Dr Hauschka Night Serum Regenerating Intensive Night Care - 30 Ml</t>
        </is>
      </c>
      <c r="C24582" t="inlineStr">
        <is>
          <t>Anti-Aging Serum</t>
        </is>
      </c>
      <c r="D24582" t="inlineStr">
        <is>
          <t>Dr. Hauschka</t>
        </is>
      </c>
      <c r="E24582" t="n">
        <v>67.59999999999999</v>
      </c>
      <c r="F24582" t="n">
        <v>1</v>
      </c>
      <c r="G24582" t="n">
        <v>4</v>
      </c>
      <c r="H24582" s="5">
        <f>HYPERLINK("https://api.qogita.com/variants/link/4020829101104/", "View Product")</f>
        <v/>
      </c>
    </row>
    <row r="24583">
      <c r="A24583" t="inlineStr">
        <is>
          <t>4020829105935</t>
        </is>
      </c>
      <c r="B24583" t="inlineStr">
        <is>
          <t>Dr. Hauschka Beauty Advent Calendar 2024</t>
        </is>
      </c>
      <c r="C24583" t="inlineStr">
        <is>
          <t>Facial Care Sets</t>
        </is>
      </c>
      <c r="D24583" t="inlineStr">
        <is>
          <t>Dr. Hauschka</t>
        </is>
      </c>
      <c r="E24583" t="n">
        <v>81.81</v>
      </c>
      <c r="F24583" t="n">
        <v>1</v>
      </c>
      <c r="G24583" t="n">
        <v>6</v>
      </c>
      <c r="H24583" s="5">
        <f>HYPERLINK("https://api.qogita.com/variants/link/4020829105935/", "View Product")</f>
        <v/>
      </c>
    </row>
    <row r="24584">
      <c r="A24584" t="inlineStr">
        <is>
          <t>4021457639540</t>
        </is>
      </c>
      <c r="B24584" t="inlineStr">
        <is>
          <t>Lavera Pure Beauty Anti-Spot Gel with Organic Mint and Natural Salicylic Acid 15ml</t>
        </is>
      </c>
      <c r="C24584" t="inlineStr">
        <is>
          <t>Pimple &amp; Blackhead Treatments</t>
        </is>
      </c>
      <c r="D24584" t="inlineStr">
        <is>
          <t>Lavera</t>
        </is>
      </c>
      <c r="E24584" t="n">
        <v>8.59</v>
      </c>
      <c r="F24584" t="n">
        <v>1</v>
      </c>
      <c r="G24584" t="n">
        <v>2</v>
      </c>
      <c r="H24584" s="5">
        <f>HYPERLINK("https://api.qogita.com/variants/link/4021457639540/", "View Product")</f>
        <v/>
      </c>
    </row>
    <row r="24585">
      <c r="A24585" t="inlineStr">
        <is>
          <t>4021457645411</t>
        </is>
      </c>
      <c r="B24585" t="inlineStr">
        <is>
          <t>Lavera Gentle Eye Makeup Remover</t>
        </is>
      </c>
      <c r="C24585" t="inlineStr">
        <is>
          <t>Makeup Remover</t>
        </is>
      </c>
      <c r="D24585" t="inlineStr">
        <is>
          <t>Lavera</t>
        </is>
      </c>
      <c r="E24585" t="n">
        <v>8.23</v>
      </c>
      <c r="F24585" t="n">
        <v>1</v>
      </c>
      <c r="G24585" t="n">
        <v>9</v>
      </c>
      <c r="H24585" s="5">
        <f>HYPERLINK("https://api.qogita.com/variants/link/4021457645411/", "View Product")</f>
        <v/>
      </c>
    </row>
    <row r="24586">
      <c r="A24586" t="inlineStr">
        <is>
          <t>4021457645480</t>
        </is>
      </c>
      <c r="B24586" t="inlineStr">
        <is>
          <t>Lavera Eyebrow Pencil 01 Brown 114 G</t>
        </is>
      </c>
      <c r="C24586" t="inlineStr">
        <is>
          <t>Eyebrow Pencil</t>
        </is>
      </c>
      <c r="D24586" t="inlineStr">
        <is>
          <t>Lavera</t>
        </is>
      </c>
      <c r="E24586" t="n">
        <v>6.28</v>
      </c>
      <c r="F24586" t="n">
        <v>1</v>
      </c>
      <c r="G24586" t="n">
        <v>6</v>
      </c>
      <c r="H24586" s="5">
        <f>HYPERLINK("https://api.qogita.com/variants/link/4021457645480/", "View Product")</f>
        <v/>
      </c>
    </row>
    <row r="24587">
      <c r="A24587" t="inlineStr">
        <is>
          <t>4021457648535</t>
        </is>
      </c>
      <c r="B24587" t="inlineStr">
        <is>
          <t>Lavera Refreshing Shower Gel With Citrus Scent 250 Ml</t>
        </is>
      </c>
      <c r="C24587" t="inlineStr">
        <is>
          <t>Shower Gel</t>
        </is>
      </c>
      <c r="D24587" t="inlineStr">
        <is>
          <t>Lavera</t>
        </is>
      </c>
      <c r="E24587" t="n">
        <v>6.66</v>
      </c>
      <c r="F24587" t="n">
        <v>1</v>
      </c>
      <c r="G24587" t="n">
        <v>9</v>
      </c>
      <c r="H24587" s="5">
        <f>HYPERLINK("https://api.qogita.com/variants/link/4021457648535/", "View Product")</f>
        <v/>
      </c>
    </row>
    <row r="24588">
      <c r="A24588" t="inlineStr">
        <is>
          <t>4021457651702</t>
        </is>
      </c>
      <c r="B24588" t="inlineStr">
        <is>
          <t>lavera Invisible Finish Loose Powder Mattifying and Long-Lasting 11g</t>
        </is>
      </c>
      <c r="C24588" t="inlineStr">
        <is>
          <t>Powder</t>
        </is>
      </c>
      <c r="D24588" t="inlineStr">
        <is>
          <t>Lavera</t>
        </is>
      </c>
      <c r="E24588" t="n">
        <v>12.95</v>
      </c>
      <c r="F24588" t="n">
        <v>1</v>
      </c>
      <c r="G24588" t="n">
        <v>5</v>
      </c>
      <c r="H24588" s="5">
        <f>HYPERLINK("https://api.qogita.com/variants/link/4021457651702/", "View Product")</f>
        <v/>
      </c>
    </row>
    <row r="24589">
      <c r="A24589" t="inlineStr">
        <is>
          <t>4021457655250</t>
        </is>
      </c>
      <c r="B24589" t="inlineStr">
        <is>
          <t>Lavera Family Shampoo Gentle Cleansing and Freshness 250ml</t>
        </is>
      </c>
      <c r="C24589" t="inlineStr">
        <is>
          <t>Shampoo</t>
        </is>
      </c>
      <c r="D24589" t="inlineStr">
        <is>
          <t>Lavera</t>
        </is>
      </c>
      <c r="E24589" t="n">
        <v>8.289999999999999</v>
      </c>
      <c r="F24589" t="n">
        <v>1</v>
      </c>
      <c r="G24589" t="n">
        <v>5</v>
      </c>
      <c r="H24589" s="5">
        <f>HYPERLINK("https://api.qogita.com/variants/link/4021457655250/", "View Product")</f>
        <v/>
      </c>
    </row>
    <row r="24590">
      <c r="A24590" t="inlineStr">
        <is>
          <t>4021457655342</t>
        </is>
      </c>
      <c r="B24590" t="inlineStr">
        <is>
          <t>Lavera Basis Sensitiv Moisture &amp; Care Conditioner 200 Ml</t>
        </is>
      </c>
      <c r="C24590" t="inlineStr">
        <is>
          <t>Conditioner</t>
        </is>
      </c>
      <c r="D24590" t="inlineStr">
        <is>
          <t>Lavera</t>
        </is>
      </c>
      <c r="E24590" t="n">
        <v>8.27</v>
      </c>
      <c r="F24590" t="n">
        <v>1</v>
      </c>
      <c r="G24590" t="n">
        <v>2</v>
      </c>
      <c r="H24590" s="5">
        <f>HYPERLINK("https://api.qogita.com/variants/link/4021457655342/", "View Product")</f>
        <v/>
      </c>
    </row>
    <row r="24591">
      <c r="A24591" t="inlineStr">
        <is>
          <t>4021457656028</t>
        </is>
      </c>
      <c r="B24591" t="inlineStr">
        <is>
          <t>Lavera Sheer Lip Balm 45 G Delicate Pink Color</t>
        </is>
      </c>
      <c r="C24591" t="inlineStr">
        <is>
          <t>Lip Balm</t>
        </is>
      </c>
      <c r="D24591" t="inlineStr">
        <is>
          <t>Lavera</t>
        </is>
      </c>
      <c r="E24591" t="n">
        <v>5.55</v>
      </c>
      <c r="F24591" t="n">
        <v>1</v>
      </c>
      <c r="G24591" t="n">
        <v>7</v>
      </c>
      <c r="H24591" s="5">
        <f>HYPERLINK("https://api.qogita.com/variants/link/4021457656028/", "View Product")</f>
        <v/>
      </c>
    </row>
    <row r="24592">
      <c r="A24592" t="inlineStr">
        <is>
          <t>4021609000075</t>
        </is>
      </c>
      <c r="B24592" t="inlineStr">
        <is>
          <t>Goldwell Topchic Hair Color 3n 60 Ml</t>
        </is>
      </c>
      <c r="C24592" t="inlineStr">
        <is>
          <t>Hair Dye</t>
        </is>
      </c>
      <c r="D24592" t="inlineStr">
        <is>
          <t>Goldwell</t>
        </is>
      </c>
      <c r="E24592" t="n">
        <v>6.7</v>
      </c>
      <c r="F24592" t="n">
        <v>1</v>
      </c>
      <c r="G24592" t="n">
        <v>2</v>
      </c>
      <c r="H24592" s="5">
        <f>HYPERLINK("https://api.qogita.com/variants/link/4021609000075/", "View Product")</f>
        <v/>
      </c>
    </row>
    <row r="24593">
      <c r="A24593" t="inlineStr">
        <is>
          <t>4021609000150</t>
        </is>
      </c>
      <c r="B24593" t="inlineStr">
        <is>
          <t>oldwell Topchic Naturals 3NN Dark Brown Extra Hair Color 60ml</t>
        </is>
      </c>
      <c r="C24593" t="inlineStr">
        <is>
          <t>Hair Dye</t>
        </is>
      </c>
      <c r="D24593" t="inlineStr">
        <is>
          <t>Goldwell</t>
        </is>
      </c>
      <c r="E24593" t="n">
        <v>7.26</v>
      </c>
      <c r="F24593" t="n">
        <v>1</v>
      </c>
      <c r="G24593" t="n">
        <v>2</v>
      </c>
      <c r="H24593" s="5">
        <f>HYPERLINK("https://api.qogita.com/variants/link/4021609000150/", "View Product")</f>
        <v/>
      </c>
    </row>
    <row r="24594">
      <c r="A24594" t="inlineStr">
        <is>
          <t>4021609000433</t>
        </is>
      </c>
      <c r="B24594" t="inlineStr">
        <is>
          <t>Goldwell Topchic Hair Dye 60ml Light Light Golden Blonde</t>
        </is>
      </c>
      <c r="C24594" t="inlineStr">
        <is>
          <t>Hair Dye</t>
        </is>
      </c>
      <c r="D24594" t="inlineStr">
        <is>
          <t>Goldwell</t>
        </is>
      </c>
      <c r="E24594" t="n">
        <v>6.7</v>
      </c>
      <c r="F24594" t="n">
        <v>1</v>
      </c>
      <c r="G24594" t="n">
        <v>3</v>
      </c>
      <c r="H24594" s="5">
        <f>HYPERLINK("https://api.qogita.com/variants/link/4021609000433/", "View Product")</f>
        <v/>
      </c>
    </row>
    <row r="24595">
      <c r="A24595" t="inlineStr">
        <is>
          <t>4021609000839</t>
        </is>
      </c>
      <c r="B24595" t="inlineStr">
        <is>
          <t>Goldwell Topchic TB Permanent Hair Colour 7Sb Silver Beige 60ml</t>
        </is>
      </c>
      <c r="C24595" t="inlineStr">
        <is>
          <t>Hair Dye</t>
        </is>
      </c>
      <c r="D24595" t="inlineStr">
        <is>
          <t>Goldwell</t>
        </is>
      </c>
      <c r="E24595" t="n">
        <v>6.7</v>
      </c>
      <c r="F24595" t="n">
        <v>1</v>
      </c>
      <c r="G24595" t="n">
        <v>3</v>
      </c>
      <c r="H24595" s="5">
        <f>HYPERLINK("https://api.qogita.com/variants/link/4021609000839/", "View Product")</f>
        <v/>
      </c>
    </row>
    <row r="24596">
      <c r="A24596" t="inlineStr">
        <is>
          <t>4021609000877</t>
        </is>
      </c>
      <c r="B24596" t="inlineStr">
        <is>
          <t>6K TC TB 60ML 6K Copper Brilliant 60ml</t>
        </is>
      </c>
      <c r="C24596" t="inlineStr">
        <is>
          <t>Acne</t>
        </is>
      </c>
      <c r="D24596" t="inlineStr">
        <is>
          <t>Goldwell</t>
        </is>
      </c>
      <c r="E24596" t="n">
        <v>7.58</v>
      </c>
      <c r="F24596" t="n">
        <v>1</v>
      </c>
      <c r="G24596" t="n">
        <v>3</v>
      </c>
      <c r="H24596" s="5">
        <f>HYPERLINK("https://api.qogita.com/variants/link/4021609000877/", "View Product")</f>
        <v/>
      </c>
    </row>
    <row r="24597">
      <c r="A24597" t="inlineStr">
        <is>
          <t>4021609000914</t>
        </is>
      </c>
      <c r="B24597" t="inlineStr">
        <is>
          <t>Goldwell Topchic 7K Copper Blonde Permanent Hair Color 60ml</t>
        </is>
      </c>
      <c r="C24597" t="inlineStr">
        <is>
          <t>Hair Dye</t>
        </is>
      </c>
      <c r="D24597" t="inlineStr">
        <is>
          <t>Goldwell</t>
        </is>
      </c>
      <c r="E24597" t="n">
        <v>6.96</v>
      </c>
      <c r="F24597" t="n">
        <v>1</v>
      </c>
      <c r="G24597" t="n">
        <v>3</v>
      </c>
      <c r="H24597" s="5">
        <f>HYPERLINK("https://api.qogita.com/variants/link/4021609000914/", "View Product")</f>
        <v/>
      </c>
    </row>
    <row r="24598">
      <c r="A24598" t="inlineStr">
        <is>
          <t>4021609001102</t>
        </is>
      </c>
      <c r="B24598" t="inlineStr">
        <is>
          <t>Goldwell Topchic Hair Colour 7RR Luscious Red 60ml</t>
        </is>
      </c>
      <c r="C24598" t="inlineStr">
        <is>
          <t>Hair Dye</t>
        </is>
      </c>
      <c r="D24598" t="inlineStr">
        <is>
          <t>Goldwell</t>
        </is>
      </c>
      <c r="E24598" t="n">
        <v>6.93</v>
      </c>
      <c r="F24598" t="n">
        <v>1</v>
      </c>
      <c r="G24598" t="n">
        <v>3</v>
      </c>
      <c r="H24598" s="5">
        <f>HYPERLINK("https://api.qogita.com/variants/link/4021609001102/", "View Product")</f>
        <v/>
      </c>
    </row>
    <row r="24599">
      <c r="A24599" t="inlineStr">
        <is>
          <t>4021609001157</t>
        </is>
      </c>
      <c r="B24599" t="inlineStr">
        <is>
          <t>Goldwell Topchic 11N Hair Colour 60ml</t>
        </is>
      </c>
      <c r="C24599" t="inlineStr">
        <is>
          <t>Hair Dye</t>
        </is>
      </c>
      <c r="D24599" t="inlineStr">
        <is>
          <t>Goldwell</t>
        </is>
      </c>
      <c r="E24599" t="n">
        <v>6.7</v>
      </c>
      <c r="F24599" t="n">
        <v>1</v>
      </c>
      <c r="G24599" t="n">
        <v>3</v>
      </c>
      <c r="H24599" s="5">
        <f>HYPERLINK("https://api.qogita.com/variants/link/4021609001157/", "View Product")</f>
        <v/>
      </c>
    </row>
    <row r="24600">
      <c r="A24600" t="inlineStr">
        <is>
          <t>4021609001164</t>
        </is>
      </c>
      <c r="B24600" t="inlineStr">
        <is>
          <t>Goldwell Topchic 11SV Hair Color</t>
        </is>
      </c>
      <c r="C24600" t="inlineStr">
        <is>
          <t>Hair Dye</t>
        </is>
      </c>
      <c r="D24600" t="inlineStr">
        <is>
          <t>Goldwell</t>
        </is>
      </c>
      <c r="E24600" t="n">
        <v>6.79</v>
      </c>
      <c r="F24600" t="n">
        <v>1</v>
      </c>
      <c r="G24600" t="n">
        <v>2</v>
      </c>
      <c r="H24600" s="5">
        <f>HYPERLINK("https://api.qogita.com/variants/link/4021609001164/", "View Product")</f>
        <v/>
      </c>
    </row>
    <row r="24601">
      <c r="A24601" t="inlineStr">
        <is>
          <t>4021609001201</t>
        </is>
      </c>
      <c r="B24601" t="inlineStr">
        <is>
          <t>Goldwell Topchic 12BN Hair Colour Ultra Blonde Beige Natural 60ml</t>
        </is>
      </c>
      <c r="C24601" t="inlineStr">
        <is>
          <t>Hair Dye</t>
        </is>
      </c>
      <c r="D24601" t="inlineStr">
        <is>
          <t>Goldwell</t>
        </is>
      </c>
      <c r="E24601" t="n">
        <v>6.78</v>
      </c>
      <c r="F24601" t="n">
        <v>1</v>
      </c>
      <c r="G24601" t="n">
        <v>3</v>
      </c>
      <c r="H24601" s="5">
        <f>HYPERLINK("https://api.qogita.com/variants/link/4021609001201/", "View Product")</f>
        <v/>
      </c>
    </row>
    <row r="24602">
      <c r="A24602" t="inlineStr">
        <is>
          <t>4021609003144</t>
        </is>
      </c>
      <c r="B24602" t="inlineStr">
        <is>
          <t>Goldwell Topchic DS 7SB Silver Beige 250ml</t>
        </is>
      </c>
      <c r="C24602" t="inlineStr">
        <is>
          <t>Hair Dye</t>
        </is>
      </c>
      <c r="D24602" t="inlineStr">
        <is>
          <t>Goldwell</t>
        </is>
      </c>
      <c r="E24602" t="n">
        <v>21.76</v>
      </c>
      <c r="F24602" t="n">
        <v>1</v>
      </c>
      <c r="G24602" t="n">
        <v>2</v>
      </c>
      <c r="H24602" s="5">
        <f>HYPERLINK("https://api.qogita.com/variants/link/4021609003144/", "View Product")</f>
        <v/>
      </c>
    </row>
    <row r="24603">
      <c r="A24603" t="inlineStr">
        <is>
          <t>4021609003908</t>
        </is>
      </c>
      <c r="B24603" t="inlineStr">
        <is>
          <t>Goldwell Topchic Permanent Hair Color 250 Ml</t>
        </is>
      </c>
      <c r="C24603" t="inlineStr">
        <is>
          <t>Hair Dye</t>
        </is>
      </c>
      <c r="D24603" t="inlineStr">
        <is>
          <t>Goldwell</t>
        </is>
      </c>
      <c r="E24603" t="n">
        <v>21.76</v>
      </c>
      <c r="F24603" t="n">
        <v>1</v>
      </c>
      <c r="G24603" t="n">
        <v>8</v>
      </c>
      <c r="H24603" s="5">
        <f>HYPERLINK("https://api.qogita.com/variants/link/4021609003908/", "View Product")</f>
        <v/>
      </c>
    </row>
    <row r="24604">
      <c r="A24604" t="inlineStr">
        <is>
          <t>4021609003991</t>
        </is>
      </c>
      <c r="B24604" t="inlineStr">
        <is>
          <t>11A Special Ash Blonde Goldwell Topchic Special Lift Can 250g</t>
        </is>
      </c>
      <c r="C24604" t="inlineStr">
        <is>
          <t>Hair Dye</t>
        </is>
      </c>
      <c r="D24604" t="inlineStr">
        <is>
          <t>Goldwell</t>
        </is>
      </c>
      <c r="E24604" t="n">
        <v>20.08</v>
      </c>
      <c r="F24604" t="n">
        <v>1</v>
      </c>
      <c r="G24604" t="n">
        <v>2</v>
      </c>
      <c r="H24604" s="5">
        <f>HYPERLINK("https://api.qogita.com/variants/link/4021609003991/", "View Product")</f>
        <v/>
      </c>
    </row>
    <row r="24605">
      <c r="A24605" t="inlineStr">
        <is>
          <t>4021609015154</t>
        </is>
      </c>
      <c r="B24605" t="inlineStr">
        <is>
          <t>Goldwell Oxycur Platin Dustfree Bleaching Powder 500g</t>
        </is>
      </c>
      <c r="C24605" t="inlineStr">
        <is>
          <t>Bleaching</t>
        </is>
      </c>
      <c r="D24605" t="inlineStr">
        <is>
          <t>Goldwell</t>
        </is>
      </c>
      <c r="E24605" t="n">
        <v>19.18</v>
      </c>
      <c r="F24605" t="n">
        <v>1</v>
      </c>
      <c r="G24605" t="n">
        <v>20</v>
      </c>
      <c r="H24605" s="5">
        <f>HYPERLINK("https://api.qogita.com/variants/link/4021609015154/", "View Product")</f>
        <v/>
      </c>
    </row>
    <row r="24606">
      <c r="A24606" t="inlineStr">
        <is>
          <t>4021609019220</t>
        </is>
      </c>
      <c r="B24606" t="inlineStr">
        <is>
          <t>Goldwell Topchic Permanent Hair Colour 6KaKk Copper Brilliant Elumenated Intense Copper 60ml</t>
        </is>
      </c>
      <c r="C24606" t="inlineStr">
        <is>
          <t>Hair Dye</t>
        </is>
      </c>
      <c r="D24606" t="inlineStr">
        <is>
          <t>Goldwell</t>
        </is>
      </c>
      <c r="E24606" t="n">
        <v>6.77</v>
      </c>
      <c r="F24606" t="n">
        <v>1</v>
      </c>
      <c r="G24606" t="n">
        <v>3</v>
      </c>
      <c r="H24606" s="5">
        <f>HYPERLINK("https://api.qogita.com/variants/link/4021609019220/", "View Product")</f>
        <v/>
      </c>
    </row>
    <row r="24607">
      <c r="A24607" t="inlineStr">
        <is>
          <t>4021609025801</t>
        </is>
      </c>
      <c r="B24607" t="inlineStr">
        <is>
          <t>Goldwell Dualsenses Men Anti-Dandruff Shampoo - 300ml</t>
        </is>
      </c>
      <c r="C24607" t="inlineStr">
        <is>
          <t>Shampoo</t>
        </is>
      </c>
      <c r="D24607" t="inlineStr">
        <is>
          <t>Goldwell</t>
        </is>
      </c>
      <c r="E24607" t="n">
        <v>7.28</v>
      </c>
      <c r="F24607" t="n">
        <v>1</v>
      </c>
      <c r="G24607" t="n">
        <v>5</v>
      </c>
      <c r="H24607" s="5">
        <f>HYPERLINK("https://api.qogita.com/variants/link/4021609025801/", "View Product")</f>
        <v/>
      </c>
    </row>
    <row r="24608">
      <c r="A24608" t="inlineStr">
        <is>
          <t>4021609028437</t>
        </is>
      </c>
      <c r="B24608" t="inlineStr">
        <is>
          <t>Goldwell Dualsenses Color Extra Rich Shampoo 1000ml Professional Hair Care</t>
        </is>
      </c>
      <c r="C24608" t="inlineStr">
        <is>
          <t>Shampoo</t>
        </is>
      </c>
      <c r="D24608" t="inlineStr">
        <is>
          <t>Goldwell</t>
        </is>
      </c>
      <c r="E24608" t="n">
        <v>15.8</v>
      </c>
      <c r="F24608" t="n">
        <v>1</v>
      </c>
      <c r="G24608" t="n">
        <v>38</v>
      </c>
      <c r="H24608" s="5">
        <f>HYPERLINK("https://api.qogita.com/variants/link/4021609028437/", "View Product")</f>
        <v/>
      </c>
    </row>
    <row r="24609">
      <c r="A24609" t="inlineStr">
        <is>
          <t>4021609028574</t>
        </is>
      </c>
      <c r="B24609" t="inlineStr">
        <is>
          <t>Goldwell Dualsenses Blondes &amp; Highlights Anti-Yellow Shampoo - 1000ml</t>
        </is>
      </c>
      <c r="C24609" t="inlineStr">
        <is>
          <t>Shampoo</t>
        </is>
      </c>
      <c r="D24609" t="inlineStr">
        <is>
          <t>Goldwell</t>
        </is>
      </c>
      <c r="E24609" t="n">
        <v>15.54</v>
      </c>
      <c r="F24609" t="n">
        <v>1</v>
      </c>
      <c r="G24609" t="n">
        <v>28</v>
      </c>
      <c r="H24609" s="5">
        <f>HYPERLINK("https://api.qogita.com/variants/link/4021609028574/", "View Product")</f>
        <v/>
      </c>
    </row>
    <row r="24610">
      <c r="A24610" t="inlineStr">
        <is>
          <t>4021609028611</t>
        </is>
      </c>
      <c r="B24610" t="inlineStr">
        <is>
          <t>Goldwell Dualsenses Color Shampoo 250ml</t>
        </is>
      </c>
      <c r="C24610" t="inlineStr">
        <is>
          <t>Shampoo</t>
        </is>
      </c>
      <c r="D24610" t="inlineStr">
        <is>
          <t>Goldwell</t>
        </is>
      </c>
      <c r="E24610" t="n">
        <v>6.74</v>
      </c>
      <c r="F24610" t="n">
        <v>1</v>
      </c>
      <c r="G24610" t="n">
        <v>5</v>
      </c>
      <c r="H24610" s="5">
        <f>HYPERLINK("https://api.qogita.com/variants/link/4021609028611/", "View Product")</f>
        <v/>
      </c>
    </row>
    <row r="24611">
      <c r="A24611" t="inlineStr">
        <is>
          <t>4021609028635</t>
        </is>
      </c>
      <c r="B24611" t="inlineStr">
        <is>
          <t>Goldwell Dualsenses Color Shampoo 1000ml Professional Hair Care</t>
        </is>
      </c>
      <c r="C24611" t="inlineStr">
        <is>
          <t>Shampoo</t>
        </is>
      </c>
      <c r="D24611" t="inlineStr">
        <is>
          <t>Goldwell</t>
        </is>
      </c>
      <c r="E24611" t="n">
        <v>15.36</v>
      </c>
      <c r="F24611" t="n">
        <v>1</v>
      </c>
      <c r="G24611" t="n">
        <v>19</v>
      </c>
      <c r="H24611" s="5">
        <f>HYPERLINK("https://api.qogita.com/variants/link/4021609028635/", "View Product")</f>
        <v/>
      </c>
    </row>
    <row r="24612">
      <c r="A24612" t="inlineStr">
        <is>
          <t>4021609028727</t>
        </is>
      </c>
      <c r="B24612" t="inlineStr">
        <is>
          <t>Goldwell Dualsenses Men Hair &amp; Body Shampoo - 300ml</t>
        </is>
      </c>
      <c r="C24612" t="inlineStr">
        <is>
          <t>Shower Gel</t>
        </is>
      </c>
      <c r="D24612" t="inlineStr">
        <is>
          <t>Goldwell</t>
        </is>
      </c>
      <c r="E24612" t="n">
        <v>8.02</v>
      </c>
      <c r="F24612" t="n">
        <v>1</v>
      </c>
      <c r="G24612" t="n">
        <v>2</v>
      </c>
      <c r="H24612" s="5">
        <f>HYPERLINK("https://api.qogita.com/variants/link/4021609028727/", "View Product")</f>
        <v/>
      </c>
    </row>
    <row r="24613">
      <c r="A24613" t="inlineStr">
        <is>
          <t>4021609028789</t>
        </is>
      </c>
      <c r="B24613" t="inlineStr">
        <is>
          <t>Goldwell Dualsenses Curls Waves Hydrating Shampoo for Curly and Wavy Hair 250ml</t>
        </is>
      </c>
      <c r="C24613" t="inlineStr">
        <is>
          <t>Shampoo</t>
        </is>
      </c>
      <c r="D24613" t="inlineStr">
        <is>
          <t>Goldwell</t>
        </is>
      </c>
      <c r="E24613" t="n">
        <v>7.41</v>
      </c>
      <c r="F24613" t="n">
        <v>1</v>
      </c>
      <c r="G24613" t="n">
        <v>3</v>
      </c>
      <c r="H24613" s="5">
        <f>HYPERLINK("https://api.qogita.com/variants/link/4021609028789/", "View Product")</f>
        <v/>
      </c>
    </row>
    <row r="24614">
      <c r="A24614" t="inlineStr">
        <is>
          <t>4021609028826</t>
        </is>
      </c>
      <c r="B24614" t="inlineStr">
        <is>
          <t>Goldwell Ds Bond Pro Fortifying Shampoo 250 Ml</t>
        </is>
      </c>
      <c r="C24614" t="inlineStr">
        <is>
          <t>Shampoo</t>
        </is>
      </c>
      <c r="D24614" t="inlineStr">
        <is>
          <t>Goldwell</t>
        </is>
      </c>
      <c r="E24614" t="n">
        <v>6.66</v>
      </c>
      <c r="F24614" t="n">
        <v>1</v>
      </c>
      <c r="G24614" t="n">
        <v>20</v>
      </c>
      <c r="H24614" s="5">
        <f>HYPERLINK("https://api.qogita.com/variants/link/4021609028826/", "View Product")</f>
        <v/>
      </c>
    </row>
    <row r="24615">
      <c r="A24615" t="inlineStr">
        <is>
          <t>4021609028901</t>
        </is>
      </c>
      <c r="B24615" t="inlineStr">
        <is>
          <t>Goldwell Dualsenses Just Smooth Taming Shampoo 1000ml</t>
        </is>
      </c>
      <c r="C24615" t="inlineStr">
        <is>
          <t>Shampoo</t>
        </is>
      </c>
      <c r="D24615" t="inlineStr">
        <is>
          <t>Goldwell</t>
        </is>
      </c>
      <c r="E24615" t="n">
        <v>14.86</v>
      </c>
      <c r="F24615" t="n">
        <v>1</v>
      </c>
      <c r="G24615" t="n">
        <v>17</v>
      </c>
      <c r="H24615" s="5">
        <f>HYPERLINK("https://api.qogita.com/variants/link/4021609028901/", "View Product")</f>
        <v/>
      </c>
    </row>
    <row r="24616">
      <c r="A24616" t="inlineStr">
        <is>
          <t>4021609028956</t>
        </is>
      </c>
      <c r="B24616" t="inlineStr">
        <is>
          <t>Goldwell Ultra Volume Shampoo 250ml Bodifying Shampoo For Fine To Normal Hair</t>
        </is>
      </c>
      <c r="C24616" t="inlineStr">
        <is>
          <t>Shampoo</t>
        </is>
      </c>
      <c r="D24616" t="inlineStr">
        <is>
          <t>Goldwell</t>
        </is>
      </c>
      <c r="E24616" t="n">
        <v>6.78</v>
      </c>
      <c r="F24616" t="n">
        <v>1</v>
      </c>
      <c r="G24616" t="n">
        <v>11</v>
      </c>
      <c r="H24616" s="5">
        <f>HYPERLINK("https://api.qogita.com/variants/link/4021609028956/", "View Product")</f>
        <v/>
      </c>
    </row>
    <row r="24617">
      <c r="A24617" t="inlineStr">
        <is>
          <t>4021609028963</t>
        </is>
      </c>
      <c r="B24617" t="inlineStr">
        <is>
          <t>Goldwell Dualsenses Ultra Volume Boost Shampoo For Fine To Normal Hair 1000ml</t>
        </is>
      </c>
      <c r="C24617" t="inlineStr">
        <is>
          <t>Shampoo</t>
        </is>
      </c>
      <c r="D24617" t="inlineStr">
        <is>
          <t>Goldwell</t>
        </is>
      </c>
      <c r="E24617" t="n">
        <v>16.28</v>
      </c>
      <c r="F24617" t="n">
        <v>1</v>
      </c>
      <c r="G24617" t="n">
        <v>59</v>
      </c>
      <c r="H24617" s="5">
        <f>HYPERLINK("https://api.qogita.com/variants/link/4021609028963/", "View Product")</f>
        <v/>
      </c>
    </row>
    <row r="24618">
      <c r="A24618" t="inlineStr">
        <is>
          <t>4021609029274</t>
        </is>
      </c>
      <c r="B24618" t="inlineStr">
        <is>
          <t>Goldwell Dry Dualsenses Ultra Volume Bodifying Dry Shampoo 250 Ml</t>
        </is>
      </c>
      <c r="C24618" t="inlineStr">
        <is>
          <t>Dry Shampoo</t>
        </is>
      </c>
      <c r="D24618" t="inlineStr">
        <is>
          <t>Goldwell</t>
        </is>
      </c>
      <c r="E24618" t="n">
        <v>10.21</v>
      </c>
      <c r="F24618" t="n">
        <v>1</v>
      </c>
      <c r="G24618" t="n">
        <v>9</v>
      </c>
      <c r="H24618" s="5">
        <f>HYPERLINK("https://api.qogita.com/variants/link/4021609029274/", "View Product")</f>
        <v/>
      </c>
    </row>
    <row r="24619">
      <c r="A24619" t="inlineStr">
        <is>
          <t>4021609061144</t>
        </is>
      </c>
      <c r="B24619" t="inlineStr">
        <is>
          <t>Goldwell Dualsenses Color Extra Rich Detangling Conditioner 1000ml</t>
        </is>
      </c>
      <c r="C24619" t="inlineStr">
        <is>
          <t>Conditioner</t>
        </is>
      </c>
      <c r="D24619" t="inlineStr">
        <is>
          <t>Goldwell</t>
        </is>
      </c>
      <c r="E24619" t="n">
        <v>17.91</v>
      </c>
      <c r="F24619" t="n">
        <v>1</v>
      </c>
      <c r="G24619" t="n">
        <v>17</v>
      </c>
      <c r="H24619" s="5">
        <f>HYPERLINK("https://api.qogita.com/variants/link/4021609061144/", "View Product")</f>
        <v/>
      </c>
    </row>
    <row r="24620">
      <c r="A24620" t="inlineStr">
        <is>
          <t>4021609061236</t>
        </is>
      </c>
      <c r="B24620" t="inlineStr">
        <is>
          <t>Goldwell Dualsenses Color 60s Treatment For Blonde And Highlighted Hair, 500ml</t>
        </is>
      </c>
      <c r="C24620" t="inlineStr">
        <is>
          <t>Hair Masks</t>
        </is>
      </c>
      <c r="D24620" t="inlineStr">
        <is>
          <t>Goldwell</t>
        </is>
      </c>
      <c r="E24620" t="n">
        <v>14.93</v>
      </c>
      <c r="F24620" t="n">
        <v>1</v>
      </c>
      <c r="G24620" t="n">
        <v>2</v>
      </c>
      <c r="H24620" s="5">
        <f>HYPERLINK("https://api.qogita.com/variants/link/4021609061236/", "View Product")</f>
        <v/>
      </c>
    </row>
    <row r="24621">
      <c r="A24621" t="inlineStr">
        <is>
          <t>4021609061281</t>
        </is>
      </c>
      <c r="B24621" t="inlineStr">
        <is>
          <t>Goldwell Dualsenses Just Smooth Taming Oil 100 Ml</t>
        </is>
      </c>
      <c r="C24621" t="inlineStr">
        <is>
          <t>Hair Oil &amp; Hair Serum</t>
        </is>
      </c>
      <c r="D24621" t="inlineStr">
        <is>
          <t>Goldwell</t>
        </is>
      </c>
      <c r="E24621" t="n">
        <v>12.64</v>
      </c>
      <c r="F24621" t="n">
        <v>1</v>
      </c>
      <c r="G24621" t="n">
        <v>2</v>
      </c>
      <c r="H24621" s="5">
        <f>HYPERLINK("https://api.qogita.com/variants/link/4021609061281/", "View Product")</f>
        <v/>
      </c>
    </row>
    <row r="24622">
      <c r="A24622" t="inlineStr">
        <is>
          <t>4021609061298</t>
        </is>
      </c>
      <c r="B24622" t="inlineStr">
        <is>
          <t>Goldwell Dualsenses Just Smooth 6 Effect Serum For Dry And Damaged Hair - 100ml</t>
        </is>
      </c>
      <c r="C24622" t="inlineStr">
        <is>
          <t>Hair Oil &amp; Hair Serum</t>
        </is>
      </c>
      <c r="D24622" t="inlineStr">
        <is>
          <t>Goldwell</t>
        </is>
      </c>
      <c r="E24622" t="n">
        <v>10.46</v>
      </c>
      <c r="F24622" t="n">
        <v>1</v>
      </c>
      <c r="G24622" t="n">
        <v>6</v>
      </c>
      <c r="H24622" s="5">
        <f>HYPERLINK("https://api.qogita.com/variants/link/4021609061298/", "View Product")</f>
        <v/>
      </c>
    </row>
    <row r="24623">
      <c r="A24623" t="inlineStr">
        <is>
          <t>4021609061380</t>
        </is>
      </c>
      <c r="B24623" t="inlineStr">
        <is>
          <t>Goldwell Dualsenses Rich Repair Restoring Conditioner Antibreakage Conditioner For Dry And Damaged Hair</t>
        </is>
      </c>
      <c r="C24623" t="inlineStr">
        <is>
          <t>Conditioner</t>
        </is>
      </c>
      <c r="D24623" t="inlineStr">
        <is>
          <t>Goldwell</t>
        </is>
      </c>
      <c r="E24623" t="n">
        <v>8.51</v>
      </c>
      <c r="F24623" t="n">
        <v>1</v>
      </c>
      <c r="G24623" t="n">
        <v>4</v>
      </c>
      <c r="H24623" s="5">
        <f>HYPERLINK("https://api.qogita.com/variants/link/4021609061380/", "View Product")</f>
        <v/>
      </c>
    </row>
    <row r="24624">
      <c r="A24624" t="inlineStr">
        <is>
          <t>4021609061847</t>
        </is>
      </c>
      <c r="B24624" t="inlineStr">
        <is>
          <t>Goldwell Dualsenses Rich Repair 60 Second Treatment 50 Milliliters</t>
        </is>
      </c>
      <c r="C24624" t="inlineStr">
        <is>
          <t>Hair Masks</t>
        </is>
      </c>
      <c r="D24624" t="inlineStr">
        <is>
          <t>Goldwell</t>
        </is>
      </c>
      <c r="E24624" t="n">
        <v>2.11</v>
      </c>
      <c r="F24624" t="n">
        <v>1</v>
      </c>
      <c r="G24624" t="n">
        <v>7</v>
      </c>
      <c r="H24624" s="5">
        <f>HYPERLINK("https://api.qogita.com/variants/link/4021609061847/", "View Product")</f>
        <v/>
      </c>
    </row>
    <row r="24625">
      <c r="A24625" t="inlineStr">
        <is>
          <t>4021609062202</t>
        </is>
      </c>
      <c r="B24625" t="inlineStr">
        <is>
          <t>Goldwell Dualsenses Curly Twist Conditioner Hydrating Conditioner For Curly Hair</t>
        </is>
      </c>
      <c r="C24625" t="inlineStr">
        <is>
          <t>Conditioner</t>
        </is>
      </c>
      <c r="D24625" t="inlineStr">
        <is>
          <t>Goldwell</t>
        </is>
      </c>
      <c r="E24625" t="n">
        <v>8.84</v>
      </c>
      <c r="F24625" t="n">
        <v>1</v>
      </c>
      <c r="G24625" t="n">
        <v>29</v>
      </c>
      <c r="H24625" s="5">
        <f>HYPERLINK("https://api.qogita.com/variants/link/4021609062202/", "View Product")</f>
        <v/>
      </c>
    </row>
    <row r="24626">
      <c r="A24626" t="inlineStr">
        <is>
          <t>4021609062288</t>
        </is>
      </c>
      <c r="B24626" t="inlineStr">
        <is>
          <t>Goldwell Dualsenses Bond Pro Conditioner Strengthening Conditioner For Weakened Hair 1000ml</t>
        </is>
      </c>
      <c r="C24626" t="inlineStr">
        <is>
          <t>Conditioner</t>
        </is>
      </c>
      <c r="D24626" t="inlineStr">
        <is>
          <t>Goldwell</t>
        </is>
      </c>
      <c r="E24626" t="n">
        <v>18.62</v>
      </c>
      <c r="F24626" t="n">
        <v>1</v>
      </c>
      <c r="G24626" t="n">
        <v>9</v>
      </c>
      <c r="H24626" s="5">
        <f>HYPERLINK("https://api.qogita.com/variants/link/4021609062288/", "View Product")</f>
        <v/>
      </c>
    </row>
    <row r="24627">
      <c r="A24627" t="inlineStr">
        <is>
          <t>4021609108184</t>
        </is>
      </c>
      <c r="B24627" t="inlineStr">
        <is>
          <t>Goldwell Elumen Hair Color Bright BK@6 200ml</t>
        </is>
      </c>
      <c r="C24627" t="inlineStr">
        <is>
          <t>Hair Dye</t>
        </is>
      </c>
      <c r="D24627" t="inlineStr">
        <is>
          <t>Goldwell</t>
        </is>
      </c>
      <c r="E24627" t="n">
        <v>14.89</v>
      </c>
      <c r="F24627" t="n">
        <v>1</v>
      </c>
      <c r="G24627" t="n">
        <v>3</v>
      </c>
      <c r="H24627" s="5">
        <f>HYPERLINK("https://api.qogita.com/variants/link/4021609108184/", "View Product")</f>
        <v/>
      </c>
    </row>
    <row r="24628">
      <c r="A24628" t="inlineStr">
        <is>
          <t>4021609108252</t>
        </is>
      </c>
      <c r="B24628" t="inlineStr">
        <is>
          <t>Goldwell Elumen Long Lasting Hair Color 200 Ml</t>
        </is>
      </c>
      <c r="C24628" t="inlineStr">
        <is>
          <t>Hair Dye</t>
        </is>
      </c>
      <c r="D24628" t="inlineStr">
        <is>
          <t>Goldwell</t>
        </is>
      </c>
      <c r="E24628" t="n">
        <v>14.26</v>
      </c>
      <c r="F24628" t="n">
        <v>1</v>
      </c>
      <c r="G24628" t="n">
        <v>20</v>
      </c>
      <c r="H24628" s="5">
        <f>HYPERLINK("https://api.qogita.com/variants/link/4021609108252/", "View Product")</f>
        <v/>
      </c>
    </row>
    <row r="24629">
      <c r="A24629" t="inlineStr">
        <is>
          <t>4021609108948</t>
        </is>
      </c>
      <c r="B24629" t="inlineStr">
        <is>
          <t>Goldwell Elumen NN@7 200ml</t>
        </is>
      </c>
      <c r="C24629" t="inlineStr">
        <is>
          <t>Hair Dye</t>
        </is>
      </c>
      <c r="D24629" t="inlineStr">
        <is>
          <t>Goldwell</t>
        </is>
      </c>
      <c r="E24629" t="n">
        <v>14.89</v>
      </c>
      <c r="F24629" t="n">
        <v>1</v>
      </c>
      <c r="G24629" t="n">
        <v>3</v>
      </c>
      <c r="H24629" s="5">
        <f>HYPERLINK("https://api.qogita.com/variants/link/4021609108948/", "View Product")</f>
        <v/>
      </c>
    </row>
    <row r="24630">
      <c r="A24630" t="inlineStr">
        <is>
          <t>4021609109464</t>
        </is>
      </c>
      <c r="B24630" t="inlineStr">
        <is>
          <t>Goldwell Elumen Lock Unperfumed 250ml</t>
        </is>
      </c>
      <c r="C24630" t="inlineStr">
        <is>
          <t>Hair Care Sets</t>
        </is>
      </c>
      <c r="D24630" t="inlineStr">
        <is>
          <t>Goldwell</t>
        </is>
      </c>
      <c r="E24630" t="n">
        <v>12.77</v>
      </c>
      <c r="F24630" t="n">
        <v>1</v>
      </c>
      <c r="G24630" t="n">
        <v>36</v>
      </c>
      <c r="H24630" s="5">
        <f>HYPERLINK("https://api.qogita.com/variants/link/4021609109464/", "View Product")</f>
        <v/>
      </c>
    </row>
    <row r="24631">
      <c r="A24631" t="inlineStr">
        <is>
          <t>4021609109723</t>
        </is>
      </c>
      <c r="B24631" t="inlineStr">
        <is>
          <t>Goldwell Elumen Color Conditioner 200 Ml</t>
        </is>
      </c>
      <c r="C24631" t="inlineStr">
        <is>
          <t>Conditioner</t>
        </is>
      </c>
      <c r="D24631" t="inlineStr">
        <is>
          <t>Goldwell</t>
        </is>
      </c>
      <c r="E24631" t="n">
        <v>11.57</v>
      </c>
      <c r="F24631" t="n">
        <v>1</v>
      </c>
      <c r="G24631" t="n">
        <v>3</v>
      </c>
      <c r="H24631" s="5">
        <f>HYPERLINK("https://api.qogita.com/variants/link/4021609109723/", "View Product")</f>
        <v/>
      </c>
    </row>
    <row r="24632">
      <c r="A24632" t="inlineStr">
        <is>
          <t>4021609140061</t>
        </is>
      </c>
      <c r="B24632" t="inlineStr">
        <is>
          <t>Goldwell Men ReShade 5CA Brown 80ml - Pack of 4</t>
        </is>
      </c>
      <c r="C24632" t="inlineStr">
        <is>
          <t>Hair Dye</t>
        </is>
      </c>
      <c r="D24632" t="inlineStr">
        <is>
          <t>Goldwell</t>
        </is>
      </c>
      <c r="E24632" t="n">
        <v>17.23</v>
      </c>
      <c r="F24632" t="n">
        <v>1</v>
      </c>
      <c r="G24632" t="n">
        <v>23</v>
      </c>
      <c r="H24632" s="5">
        <f>HYPERLINK("https://api.qogita.com/variants/link/4021609140061/", "View Product")</f>
        <v/>
      </c>
    </row>
    <row r="24633">
      <c r="A24633" t="inlineStr">
        <is>
          <t>4021609311898</t>
        </is>
      </c>
      <c r="B24633" t="inlineStr">
        <is>
          <t>Kerasilk Styling Ultimate Hold Hairspray 300ml Ultimate Hold For Your Hairstyle</t>
        </is>
      </c>
      <c r="C24633" t="inlineStr">
        <is>
          <t>Hairspray</t>
        </is>
      </c>
      <c r="D24633" t="inlineStr">
        <is>
          <t>Kerasilk</t>
        </is>
      </c>
      <c r="E24633" t="n">
        <v>16.37</v>
      </c>
      <c r="F24633" t="n">
        <v>1</v>
      </c>
      <c r="G24633" t="n">
        <v>20</v>
      </c>
      <c r="H24633" s="5">
        <f>HYPERLINK("https://api.qogita.com/variants/link/4021609311898/", "View Product")</f>
        <v/>
      </c>
    </row>
    <row r="24634">
      <c r="A24634" t="inlineStr">
        <is>
          <t>4021609520023</t>
        </is>
      </c>
      <c r="B24634" t="inlineStr">
        <is>
          <t>Goldwell Stylesign Volume Root Boost Spray 200 Ml</t>
        </is>
      </c>
      <c r="C24634" t="inlineStr">
        <is>
          <t>Styling Sprays</t>
        </is>
      </c>
      <c r="D24634" t="inlineStr">
        <is>
          <t>Goldwell</t>
        </is>
      </c>
      <c r="E24634" t="n">
        <v>10.65</v>
      </c>
      <c r="F24634" t="n">
        <v>1</v>
      </c>
      <c r="G24634" t="n">
        <v>31</v>
      </c>
      <c r="H24634" s="5">
        <f>HYPERLINK("https://api.qogita.com/variants/link/4021609520023/", "View Product")</f>
        <v/>
      </c>
    </row>
    <row r="24635">
      <c r="A24635" t="inlineStr">
        <is>
          <t>4021609520047</t>
        </is>
      </c>
      <c r="B24635" t="inlineStr">
        <is>
          <t>Goldwell Bodifying Brilliance Mousse 300 Ml Hair Volume And Shine Foam Hardener</t>
        </is>
      </c>
      <c r="C24635" t="inlineStr">
        <is>
          <t>Mousse</t>
        </is>
      </c>
      <c r="D24635" t="inlineStr">
        <is>
          <t>Goldwell</t>
        </is>
      </c>
      <c r="E24635" t="n">
        <v>10</v>
      </c>
      <c r="F24635" t="n">
        <v>1</v>
      </c>
      <c r="G24635" t="n">
        <v>24</v>
      </c>
      <c r="H24635" s="5">
        <f>HYPERLINK("https://api.qogita.com/variants/link/4021609520047/", "View Product")</f>
        <v/>
      </c>
    </row>
    <row r="24636">
      <c r="A24636" t="inlineStr">
        <is>
          <t>4021609520115</t>
        </is>
      </c>
      <c r="B24636" t="inlineStr">
        <is>
          <t>Goldwell StyleSign Compressed Hairspray 150ml</t>
        </is>
      </c>
      <c r="C24636" t="inlineStr">
        <is>
          <t>Hairspray</t>
        </is>
      </c>
      <c r="D24636" t="inlineStr">
        <is>
          <t>Goldwell</t>
        </is>
      </c>
      <c r="E24636" t="n">
        <v>7.11</v>
      </c>
      <c r="F24636" t="n">
        <v>1</v>
      </c>
      <c r="G24636" t="n">
        <v>15</v>
      </c>
      <c r="H24636" s="5">
        <f>HYPERLINK("https://api.qogita.com/variants/link/4021609520115/", "View Product")</f>
        <v/>
      </c>
    </row>
    <row r="24637">
      <c r="A24637" t="inlineStr">
        <is>
          <t>4021609520214</t>
        </is>
      </c>
      <c r="B24637" t="inlineStr">
        <is>
          <t>Goldwell St Blowout &amp; Texture Spray 200ml Hair Styling Spray For Shape And Volume</t>
        </is>
      </c>
      <c r="C24637" t="inlineStr">
        <is>
          <t>Styling Sprays</t>
        </is>
      </c>
      <c r="D24637" t="inlineStr">
        <is>
          <t>Goldwell</t>
        </is>
      </c>
      <c r="E24637" t="n">
        <v>11.22</v>
      </c>
      <c r="F24637" t="n">
        <v>1</v>
      </c>
      <c r="G24637" t="n">
        <v>10</v>
      </c>
      <c r="H24637" s="5">
        <f>HYPERLINK("https://api.qogita.com/variants/link/4021609520214/", "View Product")</f>
        <v/>
      </c>
    </row>
    <row r="24638">
      <c r="A24638" t="inlineStr">
        <is>
          <t>4021609520306</t>
        </is>
      </c>
      <c r="B24638" t="inlineStr">
        <is>
          <t>Goldwell Stylesign Texture Shaping Cream 75ml Strong Fixation Hair Cream</t>
        </is>
      </c>
      <c r="C24638" t="inlineStr">
        <is>
          <t>Styling Creams</t>
        </is>
      </c>
      <c r="D24638" t="inlineStr">
        <is>
          <t>Goldwell</t>
        </is>
      </c>
      <c r="E24638" t="n">
        <v>9.369999999999999</v>
      </c>
      <c r="F24638" t="n">
        <v>1</v>
      </c>
      <c r="G24638" t="n">
        <v>22</v>
      </c>
      <c r="H24638" s="5">
        <f>HYPERLINK("https://api.qogita.com/variants/link/4021609520306/", "View Product")</f>
        <v/>
      </c>
    </row>
    <row r="24639">
      <c r="A24639" t="inlineStr">
        <is>
          <t>4021609520368</t>
        </is>
      </c>
      <c r="B24639" t="inlineStr">
        <is>
          <t>Goldwell Stylesign Texture Sea Salt Spray 200 Ml</t>
        </is>
      </c>
      <c r="C24639" t="inlineStr">
        <is>
          <t>Styling Sprays</t>
        </is>
      </c>
      <c r="D24639" t="inlineStr">
        <is>
          <t>Goldwell</t>
        </is>
      </c>
      <c r="E24639" t="n">
        <v>12.99</v>
      </c>
      <c r="F24639" t="n">
        <v>1</v>
      </c>
      <c r="G24639" t="n">
        <v>29</v>
      </c>
      <c r="H24639" s="5">
        <f>HYPERLINK("https://api.qogita.com/variants/link/4021609520368/", "View Product")</f>
        <v/>
      </c>
    </row>
    <row r="24640">
      <c r="A24640" t="inlineStr">
        <is>
          <t>4021609520375</t>
        </is>
      </c>
      <c r="B24640" t="inlineStr">
        <is>
          <t>Goldwell Dry Texture Spray 200 Ml</t>
        </is>
      </c>
      <c r="C24640" t="inlineStr">
        <is>
          <t>Styling Sprays</t>
        </is>
      </c>
      <c r="D24640" t="inlineStr">
        <is>
          <t>Goldwell</t>
        </is>
      </c>
      <c r="E24640" t="n">
        <v>9.359999999999999</v>
      </c>
      <c r="F24640" t="n">
        <v>1</v>
      </c>
      <c r="G24640" t="n">
        <v>7</v>
      </c>
      <c r="H24640" s="5">
        <f>HYPERLINK("https://api.qogita.com/variants/link/4021609520375/", "View Product")</f>
        <v/>
      </c>
    </row>
    <row r="24641">
      <c r="A24641" t="inlineStr">
        <is>
          <t>4021609520443</t>
        </is>
      </c>
      <c r="B24641" t="inlineStr">
        <is>
          <t>Goldwell Roughman Texture Cream 150ml XXL</t>
        </is>
      </c>
      <c r="C24641" t="inlineStr">
        <is>
          <t>Styling Creams</t>
        </is>
      </c>
      <c r="D24641" t="inlineStr">
        <is>
          <t>Goldwell</t>
        </is>
      </c>
      <c r="E24641" t="n">
        <v>10.13</v>
      </c>
      <c r="F24641" t="n">
        <v>1</v>
      </c>
      <c r="G24641" t="n">
        <v>5</v>
      </c>
      <c r="H24641" s="5">
        <f>HYPERLINK("https://api.qogita.com/variants/link/4021609520443/", "View Product")</f>
        <v/>
      </c>
    </row>
    <row r="24642">
      <c r="A24642" t="inlineStr">
        <is>
          <t>4021609661450</t>
        </is>
      </c>
      <c r="B24642" t="inlineStr">
        <is>
          <t>Goldwell Thickener For Hair Colors And Lighteners Thickening Fluid 100 Ml</t>
        </is>
      </c>
      <c r="C24642" t="inlineStr">
        <is>
          <t>Hair Dye</t>
        </is>
      </c>
      <c r="D24642" t="inlineStr">
        <is>
          <t>Goldwell</t>
        </is>
      </c>
      <c r="E24642" t="n">
        <v>24.84</v>
      </c>
      <c r="F24642" t="n">
        <v>1</v>
      </c>
      <c r="G24642" t="n">
        <v>4</v>
      </c>
      <c r="H24642" s="5">
        <f>HYPERLINK("https://api.qogita.com/variants/link/4021609661450/", "View Product")</f>
        <v/>
      </c>
    </row>
    <row r="24643">
      <c r="A24643" t="inlineStr">
        <is>
          <t>4021609850274</t>
        </is>
      </c>
      <c r="B24643" t="inlineStr">
        <is>
          <t>KERASILK Smoothing Shampoo 750ml</t>
        </is>
      </c>
      <c r="C24643" t="inlineStr">
        <is>
          <t>Shampoo</t>
        </is>
      </c>
      <c r="D24643" t="inlineStr">
        <is>
          <t>Kerasilk</t>
        </is>
      </c>
      <c r="E24643" t="n">
        <v>36.7</v>
      </c>
      <c r="F24643" t="n">
        <v>1</v>
      </c>
      <c r="G24643" t="n">
        <v>5</v>
      </c>
      <c r="H24643" s="5">
        <f>HYPERLINK("https://api.qogita.com/variants/link/4021609850274/", "View Product")</f>
        <v/>
      </c>
    </row>
    <row r="24644">
      <c r="A24644" t="inlineStr">
        <is>
          <t>4021609850298</t>
        </is>
      </c>
      <c r="B24644" t="inlineStr">
        <is>
          <t>Goldwell Kerasilk Revitalizing Shampoo For Thick And Strong Hair 250ml</t>
        </is>
      </c>
      <c r="C24644" t="inlineStr">
        <is>
          <t>Shampoo</t>
        </is>
      </c>
      <c r="D24644" t="inlineStr">
        <is>
          <t>Goldwell</t>
        </is>
      </c>
      <c r="E24644" t="n">
        <v>20.13</v>
      </c>
      <c r="F24644" t="n">
        <v>1</v>
      </c>
      <c r="G24644" t="n">
        <v>5</v>
      </c>
      <c r="H24644" s="5">
        <f>HYPERLINK("https://api.qogita.com/variants/link/4021609850298/", "View Product")</f>
        <v/>
      </c>
    </row>
    <row r="24645">
      <c r="A24645" t="inlineStr">
        <is>
          <t>4021609850540</t>
        </is>
      </c>
      <c r="B24645" t="inlineStr">
        <is>
          <t>Kerasilk Color Protecting Conditioner By Kerasilk Goldwell 750ml</t>
        </is>
      </c>
      <c r="C24645" t="inlineStr">
        <is>
          <t>Conditioner</t>
        </is>
      </c>
      <c r="D24645" t="inlineStr">
        <is>
          <t>Kerasilk</t>
        </is>
      </c>
      <c r="E24645" t="n">
        <v>30.74</v>
      </c>
      <c r="F24645" t="n">
        <v>1</v>
      </c>
      <c r="G24645" t="n">
        <v>3</v>
      </c>
      <c r="H24645" s="5">
        <f>HYPERLINK("https://api.qogita.com/variants/link/4021609850540/", "View Product")</f>
        <v/>
      </c>
    </row>
    <row r="24646">
      <c r="A24646" t="inlineStr">
        <is>
          <t>4021609850779</t>
        </is>
      </c>
      <c r="B24646" t="inlineStr">
        <is>
          <t>Goldwell Kerasilk Hair Regenerating Mask Recovery Mask 200ml</t>
        </is>
      </c>
      <c r="C24646" t="inlineStr">
        <is>
          <t>Hair Masks</t>
        </is>
      </c>
      <c r="D24646" t="inlineStr">
        <is>
          <t>Goldwell</t>
        </is>
      </c>
      <c r="E24646" t="n">
        <v>22.82</v>
      </c>
      <c r="F24646" t="n">
        <v>1</v>
      </c>
      <c r="G24646" t="n">
        <v>11</v>
      </c>
      <c r="H24646" s="5">
        <f>HYPERLINK("https://api.qogita.com/variants/link/4021609850779/", "View Product")</f>
        <v/>
      </c>
    </row>
    <row r="24647">
      <c r="A24647" t="inlineStr">
        <is>
          <t>4021609850847</t>
        </is>
      </c>
      <c r="B24647" t="inlineStr">
        <is>
          <t>Goldwell Kerasilk Nourishing And Smoothing Hair Mask Smoothing Mask 200 Ml</t>
        </is>
      </c>
      <c r="C24647" t="inlineStr">
        <is>
          <t>Hair Masks</t>
        </is>
      </c>
      <c r="D24647" t="inlineStr">
        <is>
          <t>Goldwell</t>
        </is>
      </c>
      <c r="E24647" t="n">
        <v>23.04</v>
      </c>
      <c r="F24647" t="n">
        <v>1</v>
      </c>
      <c r="G24647" t="n">
        <v>14</v>
      </c>
      <c r="H24647" s="5">
        <f>HYPERLINK("https://api.qogita.com/variants/link/4021609850847/", "View Product")</f>
        <v/>
      </c>
    </row>
    <row r="24648">
      <c r="A24648" t="inlineStr">
        <is>
          <t>4021609850892</t>
        </is>
      </c>
      <c r="B24648" t="inlineStr">
        <is>
          <t>Kerasilk Specialists Smoothing Mask 500ml Kerasilk Hair Care</t>
        </is>
      </c>
      <c r="C24648" t="inlineStr">
        <is>
          <t>Hair Masks</t>
        </is>
      </c>
      <c r="D24648" t="inlineStr">
        <is>
          <t>Kerasilk</t>
        </is>
      </c>
      <c r="E24648" t="n">
        <v>47.85</v>
      </c>
      <c r="F24648" t="n">
        <v>1</v>
      </c>
      <c r="G24648" t="n">
        <v>5</v>
      </c>
      <c r="H24648" s="5">
        <f>HYPERLINK("https://api.qogita.com/variants/link/4021609850892/", "View Product")</f>
        <v/>
      </c>
    </row>
    <row r="24649">
      <c r="A24649" t="inlineStr">
        <is>
          <t>4021609850984</t>
        </is>
      </c>
      <c r="B24649" t="inlineStr">
        <is>
          <t>Kerasilk Instant Hair Repairing Spray 125 Ml By Kerasilk Goldwell</t>
        </is>
      </c>
      <c r="C24649" t="inlineStr">
        <is>
          <t>Hair Oil &amp; Hair Serum</t>
        </is>
      </c>
      <c r="D24649" t="inlineStr">
        <is>
          <t>Kerasilk</t>
        </is>
      </c>
      <c r="E24649" t="n">
        <v>17.88</v>
      </c>
      <c r="F24649" t="n">
        <v>1</v>
      </c>
      <c r="G24649" t="n">
        <v>12</v>
      </c>
      <c r="H24649" s="5">
        <f>HYPERLINK("https://api.qogita.com/variants/link/4021609850984/", "View Product")</f>
        <v/>
      </c>
    </row>
    <row r="24650">
      <c r="A24650" t="inlineStr">
        <is>
          <t>4021609851561</t>
        </is>
      </c>
      <c r="B24650" t="inlineStr">
        <is>
          <t>Kerasilk Styling Multi-Purpose Hair Spray for All Hair Types 300ml</t>
        </is>
      </c>
      <c r="C24650" t="inlineStr">
        <is>
          <t>Hairspray</t>
        </is>
      </c>
      <c r="D24650" t="inlineStr">
        <is>
          <t>Kerasilk</t>
        </is>
      </c>
      <c r="E24650" t="n">
        <v>13.27</v>
      </c>
      <c r="F24650" t="n">
        <v>1</v>
      </c>
      <c r="G24650" t="n">
        <v>21</v>
      </c>
      <c r="H24650" s="5">
        <f>HYPERLINK("https://api.qogita.com/variants/link/4021609851561/", "View Product")</f>
        <v/>
      </c>
    </row>
    <row r="24651">
      <c r="A24651" t="inlineStr">
        <is>
          <t>4027800006830</t>
        </is>
      </c>
      <c r="B24651" t="inlineStr">
        <is>
          <t>Wilkinson Sword Intuition Dry Skin Razor Blades for Women</t>
        </is>
      </c>
      <c r="C24651" t="inlineStr">
        <is>
          <t>Razors &amp; Hair Removal Tools</t>
        </is>
      </c>
      <c r="D24651" t="inlineStr">
        <is>
          <t>Wilkinson Sword</t>
        </is>
      </c>
      <c r="E24651" t="n">
        <v>7.64</v>
      </c>
      <c r="F24651" t="n">
        <v>1</v>
      </c>
      <c r="G24651" t="n">
        <v>22</v>
      </c>
      <c r="H24651" s="5">
        <f>HYPERLINK("https://api.qogita.com/variants/link/4027800006830/", "View Product")</f>
        <v/>
      </c>
    </row>
    <row r="24652">
      <c r="A24652" t="inlineStr">
        <is>
          <t>4027800039432</t>
        </is>
      </c>
      <c r="B24652" t="inlineStr">
        <is>
          <t>Wilkinson Hydro Silk Razor 1 Piece</t>
        </is>
      </c>
      <c r="C24652" t="inlineStr">
        <is>
          <t>Razors &amp; Hair Removal Tools</t>
        </is>
      </c>
      <c r="D24652" t="inlineStr">
        <is>
          <t>Wilkinson</t>
        </is>
      </c>
      <c r="E24652" t="n">
        <v>7.25</v>
      </c>
      <c r="F24652" t="n">
        <v>1</v>
      </c>
      <c r="G24652" t="n">
        <v>13</v>
      </c>
      <c r="H24652" s="5">
        <f>HYPERLINK("https://api.qogita.com/variants/link/4027800039432/", "View Product")</f>
        <v/>
      </c>
    </row>
    <row r="24653">
      <c r="A24653" t="inlineStr">
        <is>
          <t>4027800088607</t>
        </is>
      </c>
      <c r="B24653" t="inlineStr">
        <is>
          <t>Wilkinson Sword Classic Pedicure Nail Scissors</t>
        </is>
      </c>
      <c r="C24653" t="inlineStr">
        <is>
          <t>Nail Clippers &amp; Tools</t>
        </is>
      </c>
      <c r="D24653" t="inlineStr">
        <is>
          <t>Wilkinson Sword</t>
        </is>
      </c>
      <c r="E24653" t="n">
        <v>9.960000000000001</v>
      </c>
      <c r="F24653" t="n">
        <v>1</v>
      </c>
      <c r="G24653" t="n">
        <v>4</v>
      </c>
      <c r="H24653" s="5">
        <f>HYPERLINK("https://api.qogita.com/variants/link/4027800088607/", "View Product")</f>
        <v/>
      </c>
    </row>
    <row r="24654">
      <c r="A24654" t="inlineStr">
        <is>
          <t>4027800089307</t>
        </is>
      </c>
      <c r="B24654" t="inlineStr">
        <is>
          <t>Wilkinson Sword Toenail Clipper with Nail Catch</t>
        </is>
      </c>
      <c r="C24654" t="inlineStr">
        <is>
          <t>Nail Clippers &amp; Tools</t>
        </is>
      </c>
      <c r="D24654" t="inlineStr">
        <is>
          <t>Wilkinson Sword</t>
        </is>
      </c>
      <c r="E24654" t="n">
        <v>7.21</v>
      </c>
      <c r="F24654" t="n">
        <v>1</v>
      </c>
      <c r="G24654" t="n">
        <v>5</v>
      </c>
      <c r="H24654" s="5">
        <f>HYPERLINK("https://api.qogita.com/variants/link/4027800089307/", "View Product")</f>
        <v/>
      </c>
    </row>
    <row r="24655">
      <c r="A24655" t="inlineStr">
        <is>
          <t>4027800092109</t>
        </is>
      </c>
      <c r="B24655" t="inlineStr">
        <is>
          <t>Wilkinson Sword Skin Trimmers</t>
        </is>
      </c>
      <c r="C24655" t="inlineStr">
        <is>
          <t>Razors &amp; Hair Removal Tools</t>
        </is>
      </c>
      <c r="D24655" t="inlineStr">
        <is>
          <t>Wilkinson Sword</t>
        </is>
      </c>
      <c r="E24655" t="n">
        <v>11.5</v>
      </c>
      <c r="F24655" t="n">
        <v>1</v>
      </c>
      <c r="G24655" t="n">
        <v>5</v>
      </c>
      <c r="H24655" s="5">
        <f>HYPERLINK("https://api.qogita.com/variants/link/4027800092109/", "View Product")</f>
        <v/>
      </c>
    </row>
    <row r="24656">
      <c r="A24656" t="inlineStr">
        <is>
          <t>4027800114702</t>
        </is>
      </c>
      <c r="B24656" t="inlineStr">
        <is>
          <t>Wilkinson Sword Spare Heads Quattro For Women 6 Pieces</t>
        </is>
      </c>
      <c r="C24656" t="inlineStr">
        <is>
          <t>Razors &amp; Hair Removal Tools</t>
        </is>
      </c>
      <c r="D24656" t="inlineStr">
        <is>
          <t>Wilkinson Sword</t>
        </is>
      </c>
      <c r="E24656" t="n">
        <v>13.59</v>
      </c>
      <c r="F24656" t="n">
        <v>1</v>
      </c>
      <c r="G24656" t="n">
        <v>4</v>
      </c>
      <c r="H24656" s="5">
        <f>HYPERLINK("https://api.qogita.com/variants/link/4027800114702/", "View Product")</f>
        <v/>
      </c>
    </row>
    <row r="24657">
      <c r="A24657" t="inlineStr">
        <is>
          <t>4027800122202</t>
        </is>
      </c>
      <c r="B24657" t="inlineStr">
        <is>
          <t>Wilkinson Sword Intuition Eyebrow Shaper for Women Facial Hair Remover</t>
        </is>
      </c>
      <c r="C24657" t="inlineStr">
        <is>
          <t>Razors &amp; Hair Removal Tools</t>
        </is>
      </c>
      <c r="D24657" t="inlineStr">
        <is>
          <t>Wilkinson Sword</t>
        </is>
      </c>
      <c r="E24657" t="n">
        <v>7.26</v>
      </c>
      <c r="F24657" t="n">
        <v>1</v>
      </c>
      <c r="G24657" t="n">
        <v>3</v>
      </c>
      <c r="H24657" s="5">
        <f>HYPERLINK("https://api.qogita.com/variants/link/4027800122202/", "View Product")</f>
        <v/>
      </c>
    </row>
    <row r="24658">
      <c r="A24658" t="inlineStr">
        <is>
          <t>4027800149902</t>
        </is>
      </c>
      <c r="B24658" t="inlineStr">
        <is>
          <t>Wilkinson Sword Intuition Complete Women's Mini Razor with Travel Case</t>
        </is>
      </c>
      <c r="C24658" t="inlineStr">
        <is>
          <t>Razors &amp; Hair Removal Tools</t>
        </is>
      </c>
      <c r="D24658" t="inlineStr">
        <is>
          <t>Wilkinson Sword</t>
        </is>
      </c>
      <c r="E24658" t="n">
        <v>10.79</v>
      </c>
      <c r="F24658" t="n">
        <v>1</v>
      </c>
      <c r="G24658" t="n">
        <v>4</v>
      </c>
      <c r="H24658" s="5">
        <f>HYPERLINK("https://api.qogita.com/variants/link/4027800149902/", "View Product")</f>
        <v/>
      </c>
    </row>
    <row r="24659">
      <c r="A24659" t="inlineStr">
        <is>
          <t>4027800239603</t>
        </is>
      </c>
      <c r="B24659" t="inlineStr">
        <is>
          <t>Wilkinson Sword Intuition 2in1 Sensitive Care Womens Shaver With 5 Heads</t>
        </is>
      </c>
      <c r="C24659" t="inlineStr">
        <is>
          <t>Razors &amp; Hair Removal Tools</t>
        </is>
      </c>
      <c r="D24659" t="inlineStr">
        <is>
          <t>Wilkinson Sword</t>
        </is>
      </c>
      <c r="E24659" t="n">
        <v>15.56</v>
      </c>
      <c r="F24659" t="n">
        <v>1</v>
      </c>
      <c r="G24659" t="n">
        <v>3</v>
      </c>
      <c r="H24659" s="5">
        <f>HYPERLINK("https://api.qogita.com/variants/link/4027800239603/", "View Product")</f>
        <v/>
      </c>
    </row>
    <row r="24660">
      <c r="A24660" t="inlineStr">
        <is>
          <t>4027800321704</t>
        </is>
      </c>
      <c r="B24660" t="inlineStr">
        <is>
          <t>Wilkinson Sword My Intuition Essentials Disposable Razor 10 5 Pieces</t>
        </is>
      </c>
      <c r="C24660" t="inlineStr">
        <is>
          <t>Razors &amp; Hair Removal Tools</t>
        </is>
      </c>
      <c r="D24660" t="inlineStr">
        <is>
          <t>Wilkinson Sword</t>
        </is>
      </c>
      <c r="E24660" t="n">
        <v>7.01</v>
      </c>
      <c r="F24660" t="n">
        <v>1</v>
      </c>
      <c r="G24660" t="n">
        <v>2</v>
      </c>
      <c r="H24660" s="5">
        <f>HYPERLINK("https://api.qogita.com/variants/link/4027800321704/", "View Product")</f>
        <v/>
      </c>
    </row>
    <row r="24661">
      <c r="A24661" t="inlineStr">
        <is>
          <t>4027800373406</t>
        </is>
      </c>
      <c r="B24661" t="inlineStr">
        <is>
          <t>Wilkinson Sword Hydro 3 Black Edition Replacement Heads 4 Pieces</t>
        </is>
      </c>
      <c r="C24661" t="inlineStr">
        <is>
          <t>Razors &amp; Hair Removal Tools</t>
        </is>
      </c>
      <c r="D24661" t="inlineStr">
        <is>
          <t>Wilkinson Sword</t>
        </is>
      </c>
      <c r="E24661" t="n">
        <v>10.79</v>
      </c>
      <c r="F24661" t="n">
        <v>1</v>
      </c>
      <c r="G24661" t="n">
        <v>3</v>
      </c>
      <c r="H24661" s="5">
        <f>HYPERLINK("https://api.qogita.com/variants/link/4027800373406/", "View Product")</f>
        <v/>
      </c>
    </row>
    <row r="24662">
      <c r="A24662" t="inlineStr">
        <is>
          <t>4027800402502</t>
        </is>
      </c>
      <c r="B24662" t="inlineStr">
        <is>
          <t>Wilkinson Sword Men Hydro5 Skin Protection Sensitive Replacement Blades For Razor - 4 Pieces</t>
        </is>
      </c>
      <c r="C24662" t="inlineStr">
        <is>
          <t>Razors &amp; Hair Removal Tools</t>
        </is>
      </c>
      <c r="D24662" t="inlineStr">
        <is>
          <t>Wilkinson Sword</t>
        </is>
      </c>
      <c r="E24662" t="n">
        <v>7.6</v>
      </c>
      <c r="F24662" t="n">
        <v>1</v>
      </c>
      <c r="G24662" t="n">
        <v>35</v>
      </c>
      <c r="H24662" s="5">
        <f>HYPERLINK("https://api.qogita.com/variants/link/4027800402502/", "View Product")</f>
        <v/>
      </c>
    </row>
    <row r="24663">
      <c r="A24663" t="inlineStr">
        <is>
          <t>4027800407002</t>
        </is>
      </c>
      <c r="B24663" t="inlineStr">
        <is>
          <t>Wilkinson Sword Intuition Sensitive Care Women's Razor Blades 6 Blades</t>
        </is>
      </c>
      <c r="C24663" t="inlineStr">
        <is>
          <t>Razors &amp; Hair Removal Tools</t>
        </is>
      </c>
      <c r="D24663" t="inlineStr">
        <is>
          <t>Wilkinson Sword</t>
        </is>
      </c>
      <c r="E24663" t="n">
        <v>16.34</v>
      </c>
      <c r="F24663" t="n">
        <v>1</v>
      </c>
      <c r="G24663" t="n">
        <v>25</v>
      </c>
      <c r="H24663" s="5">
        <f>HYPERLINK("https://api.qogita.com/variants/link/4027800407002/", "View Product")</f>
        <v/>
      </c>
    </row>
    <row r="24664">
      <c r="A24664" t="inlineStr">
        <is>
          <t>4027800710409</t>
        </is>
      </c>
      <c r="B24664" t="inlineStr">
        <is>
          <t>Wilkinson Sword Xtreme3 Sensitive Disposable Razors 4 Pack</t>
        </is>
      </c>
      <c r="C24664" t="inlineStr">
        <is>
          <t>Razors &amp; Hair Removal Tools</t>
        </is>
      </c>
      <c r="D24664" t="inlineStr">
        <is>
          <t>Wilkinson Sword</t>
        </is>
      </c>
      <c r="E24664" t="n">
        <v>4.97</v>
      </c>
      <c r="F24664" t="n">
        <v>1</v>
      </c>
      <c r="G24664" t="n">
        <v>3</v>
      </c>
      <c r="H24664" s="5">
        <f>HYPERLINK("https://api.qogita.com/variants/link/4027800710409/", "View Product")</f>
        <v/>
      </c>
    </row>
    <row r="24665">
      <c r="A24665" t="inlineStr">
        <is>
          <t>4027800712700</t>
        </is>
      </c>
      <c r="B24665" t="inlineStr">
        <is>
          <t>Wilkinson Sword Xtreme3 System Spare Heads 5 Pieces</t>
        </is>
      </c>
      <c r="C24665" t="inlineStr">
        <is>
          <t>Razors &amp; Hair Removal Tools</t>
        </is>
      </c>
      <c r="D24665" t="inlineStr">
        <is>
          <t>Wilkinson Sword</t>
        </is>
      </c>
      <c r="E24665" t="n">
        <v>7.16</v>
      </c>
      <c r="F24665" t="n">
        <v>1</v>
      </c>
      <c r="G24665" t="n">
        <v>4</v>
      </c>
      <c r="H24665" s="5">
        <f>HYPERLINK("https://api.qogita.com/variants/link/4027800712700/", "View Product")</f>
        <v/>
      </c>
    </row>
    <row r="24666">
      <c r="A24666" t="inlineStr">
        <is>
          <t>4027800794300</t>
        </is>
      </c>
      <c r="B24666" t="inlineStr">
        <is>
          <t>Wilkinson Sword Quattro for Women Sensitive 3 Razor Blades</t>
        </is>
      </c>
      <c r="C24666" t="inlineStr">
        <is>
          <t>Razors &amp; Hair Removal Tools</t>
        </is>
      </c>
      <c r="D24666" t="inlineStr">
        <is>
          <t>Wilkinson Sword</t>
        </is>
      </c>
      <c r="E24666" t="n">
        <v>5.63</v>
      </c>
      <c r="F24666" t="n">
        <v>1</v>
      </c>
      <c r="G24666" t="n">
        <v>19</v>
      </c>
      <c r="H24666" s="5">
        <f>HYPERLINK("https://api.qogita.com/variants/link/4027800794300/", "View Product")</f>
        <v/>
      </c>
    </row>
    <row r="24667">
      <c r="A24667" t="inlineStr">
        <is>
          <t>4027800814749</t>
        </is>
      </c>
      <c r="B24667" t="inlineStr">
        <is>
          <t>Wilkinson Sword Quattro For Women Razor With 8 Heads</t>
        </is>
      </c>
      <c r="C24667" t="inlineStr">
        <is>
          <t>Razors &amp; Hair Removal Tools</t>
        </is>
      </c>
      <c r="D24667" t="inlineStr">
        <is>
          <t>Wilkinson Sword</t>
        </is>
      </c>
      <c r="E24667" t="n">
        <v>23.71</v>
      </c>
      <c r="F24667" t="n">
        <v>1</v>
      </c>
      <c r="G24667" t="n">
        <v>4</v>
      </c>
      <c r="H24667" s="5">
        <f>HYPERLINK("https://api.qogita.com/variants/link/4027800814749/", "View Product")</f>
        <v/>
      </c>
    </row>
    <row r="24668">
      <c r="A24668" t="inlineStr">
        <is>
          <t>4038432014483</t>
        </is>
      </c>
      <c r="B24668" t="inlineStr">
        <is>
          <t>ZMILE Cosmetics Merry Berry Vegan Cosmetics Case</t>
        </is>
      </c>
      <c r="C24668" t="inlineStr">
        <is>
          <t>Makeup Bags</t>
        </is>
      </c>
      <c r="D24668" t="inlineStr">
        <is>
          <t>Smile Cosmetics</t>
        </is>
      </c>
      <c r="E24668" t="n">
        <v>13.88</v>
      </c>
      <c r="F24668" t="n">
        <v>1</v>
      </c>
      <c r="G24668" t="n">
        <v>4</v>
      </c>
      <c r="H24668" s="5">
        <f>HYPERLINK("https://api.qogita.com/variants/link/4038432014483/", "View Product")</f>
        <v/>
      </c>
    </row>
    <row r="24669">
      <c r="A24669" t="inlineStr">
        <is>
          <t>4038432014490</t>
        </is>
      </c>
      <c r="B24669" t="inlineStr">
        <is>
          <t>ZMILE COSMETICS All You Need To Go Beauty Box Vegan Cosmetics with Mirror - Small Make-Up Set for On the Go, for Traveling and as a Gift</t>
        </is>
      </c>
      <c r="C24669" t="inlineStr">
        <is>
          <t>Makeup Bags</t>
        </is>
      </c>
      <c r="D24669" t="inlineStr">
        <is>
          <t>Smile Cosmetics</t>
        </is>
      </c>
      <c r="E24669" t="n">
        <v>5.63</v>
      </c>
      <c r="F24669" t="n">
        <v>1</v>
      </c>
      <c r="G24669" t="n">
        <v>10</v>
      </c>
      <c r="H24669" s="5">
        <f>HYPERLINK("https://api.qogita.com/variants/link/4038432014490/", "View Product")</f>
        <v/>
      </c>
    </row>
    <row r="24670">
      <c r="A24670" t="inlineStr">
        <is>
          <t>4038432014513</t>
        </is>
      </c>
      <c r="B24670" t="inlineStr">
        <is>
          <t>ZMILE Cosmetics Beauty Case Velvet Limited Edition Vegan Cosmetics Case</t>
        </is>
      </c>
      <c r="C24670" t="inlineStr">
        <is>
          <t>Makeup Bags</t>
        </is>
      </c>
      <c r="D24670" t="inlineStr">
        <is>
          <t>Smile Cosmetics</t>
        </is>
      </c>
      <c r="E24670" t="n">
        <v>17.64</v>
      </c>
      <c r="F24670" t="n">
        <v>1</v>
      </c>
      <c r="G24670" t="n">
        <v>64</v>
      </c>
      <c r="H24670" s="5">
        <f>HYPERLINK("https://api.qogita.com/variants/link/4038432014513/", "View Product")</f>
        <v/>
      </c>
    </row>
    <row r="24671">
      <c r="A24671" t="inlineStr">
        <is>
          <t>4038432014681</t>
        </is>
      </c>
      <c r="B24671" t="inlineStr">
        <is>
          <t>ZMILE COSMETICS Traveller Blue Cosmetic Case Vegan Cosmetics with Make-Up Set for On the Go Traveling and as a Gift</t>
        </is>
      </c>
      <c r="C24671" t="inlineStr">
        <is>
          <t>Makeup Bags</t>
        </is>
      </c>
      <c r="D24671" t="inlineStr">
        <is>
          <t>Smile Cosmetics</t>
        </is>
      </c>
      <c r="E24671" t="n">
        <v>19.76</v>
      </c>
      <c r="F24671" t="n">
        <v>1</v>
      </c>
      <c r="G24671" t="n">
        <v>2</v>
      </c>
      <c r="H24671" s="5">
        <f>HYPERLINK("https://api.qogita.com/variants/link/4038432014681/", "View Product")</f>
        <v/>
      </c>
    </row>
    <row r="24672">
      <c r="A24672" t="inlineStr">
        <is>
          <t>4044897029917</t>
        </is>
      </c>
      <c r="B24672" t="inlineStr">
        <is>
          <t>Goldwell Dualsenses Color Revive Cool Light Blonde Shampoo 250ml</t>
        </is>
      </c>
      <c r="C24672" t="inlineStr">
        <is>
          <t>Shampoo</t>
        </is>
      </c>
      <c r="D24672" t="inlineStr">
        <is>
          <t>Goldwell</t>
        </is>
      </c>
      <c r="E24672" t="n">
        <v>9.039999999999999</v>
      </c>
      <c r="F24672" t="n">
        <v>1</v>
      </c>
      <c r="G24672" t="n">
        <v>11</v>
      </c>
      <c r="H24672" s="5">
        <f>HYPERLINK("https://api.qogita.com/variants/link/4044897029917/", "View Product")</f>
        <v/>
      </c>
    </row>
    <row r="24673">
      <c r="A24673" t="inlineStr">
        <is>
          <t>4044897029924</t>
        </is>
      </c>
      <c r="B24673" t="inlineStr">
        <is>
          <t>Goldwell Cool Red Dualsenses Color Revive Color Giving Shampoo 250ml</t>
        </is>
      </c>
      <c r="C24673" t="inlineStr">
        <is>
          <t>Shampoo</t>
        </is>
      </c>
      <c r="D24673" t="inlineStr">
        <is>
          <t>Goldwell</t>
        </is>
      </c>
      <c r="E24673" t="n">
        <v>8.75</v>
      </c>
      <c r="F24673" t="n">
        <v>1</v>
      </c>
      <c r="G24673" t="n">
        <v>14</v>
      </c>
      <c r="H24673" s="5">
        <f>HYPERLINK("https://api.qogita.com/variants/link/4044897029924/", "View Product")</f>
        <v/>
      </c>
    </row>
    <row r="24674">
      <c r="A24674" t="inlineStr">
        <is>
          <t>4044897062402</t>
        </is>
      </c>
      <c r="B24674" t="inlineStr">
        <is>
          <t>Goldwell Neutral Brown Conditioner 200ml Toning Conditioner</t>
        </is>
      </c>
      <c r="C24674" t="inlineStr">
        <is>
          <t>Conditioner</t>
        </is>
      </c>
      <c r="D24674" t="inlineStr">
        <is>
          <t>Goldwell</t>
        </is>
      </c>
      <c r="E24674" t="n">
        <v>10.21</v>
      </c>
      <c r="F24674" t="n">
        <v>1</v>
      </c>
      <c r="G24674" t="n">
        <v>2</v>
      </c>
      <c r="H24674" s="5">
        <f>HYPERLINK("https://api.qogita.com/variants/link/4044897062402/", "View Product")</f>
        <v/>
      </c>
    </row>
    <row r="24675">
      <c r="A24675" t="inlineStr">
        <is>
          <t>4044897062457</t>
        </is>
      </c>
      <c r="B24675" t="inlineStr">
        <is>
          <t>Goldwell Silver 60sec Treatment 500ml Mask For Blonde And Gray Hair</t>
        </is>
      </c>
      <c r="C24675" t="inlineStr">
        <is>
          <t>Hair Masks</t>
        </is>
      </c>
      <c r="D24675" t="inlineStr">
        <is>
          <t>Goldwell</t>
        </is>
      </c>
      <c r="E24675" t="n">
        <v>17.6</v>
      </c>
      <c r="F24675" t="n">
        <v>1</v>
      </c>
      <c r="G24675" t="n">
        <v>4</v>
      </c>
      <c r="H24675" s="5">
        <f>HYPERLINK("https://api.qogita.com/variants/link/4044897062457/", "View Product")</f>
        <v/>
      </c>
    </row>
    <row r="24676">
      <c r="A24676" t="inlineStr">
        <is>
          <t>4045787020144</t>
        </is>
      </c>
      <c r="B24676" t="inlineStr">
        <is>
          <t>Schwarzkopf Professional Silhouette Pumpspray 1000ml Hair Spray</t>
        </is>
      </c>
      <c r="C24676" t="inlineStr">
        <is>
          <t>Hairspray</t>
        </is>
      </c>
      <c r="D24676" t="inlineStr">
        <is>
          <t>Schwarzkopf</t>
        </is>
      </c>
      <c r="E24676" t="n">
        <v>20.41</v>
      </c>
      <c r="F24676" t="n">
        <v>1</v>
      </c>
      <c r="G24676" t="n">
        <v>12</v>
      </c>
      <c r="H24676" s="5">
        <f>HYPERLINK("https://api.qogita.com/variants/link/4045787020144/", "View Product")</f>
        <v/>
      </c>
    </row>
    <row r="24677">
      <c r="A24677" t="inlineStr">
        <is>
          <t>4045787132441</t>
        </is>
      </c>
      <c r="B24677" t="inlineStr">
        <is>
          <t>Schwarzkopf Professional Natural Styling 1 Perm Lotion 1000 Ml</t>
        </is>
      </c>
      <c r="C24677" t="inlineStr">
        <is>
          <t>Hair Care Sets</t>
        </is>
      </c>
      <c r="D24677" t="inlineStr">
        <is>
          <t>Schwarzkopf</t>
        </is>
      </c>
      <c r="E24677" t="n">
        <v>19.65</v>
      </c>
      <c r="F24677" t="n">
        <v>1</v>
      </c>
      <c r="G24677" t="n">
        <v>2</v>
      </c>
      <c r="H24677" s="5">
        <f>HYPERLINK("https://api.qogita.com/variants/link/4045787132441/", "View Product")</f>
        <v/>
      </c>
    </row>
    <row r="24678">
      <c r="A24678" t="inlineStr">
        <is>
          <t>4045787237771</t>
        </is>
      </c>
      <c r="B24678" t="inlineStr">
        <is>
          <t>Schwarzkopf Professional 10minute Permanent Hair Color Igora Color 10 60 Ml</t>
        </is>
      </c>
      <c r="C24678" t="inlineStr">
        <is>
          <t>Hair Dye</t>
        </is>
      </c>
      <c r="D24678" t="inlineStr">
        <is>
          <t>Schwarzkopf</t>
        </is>
      </c>
      <c r="E24678" t="n">
        <v>6.59</v>
      </c>
      <c r="F24678" t="n">
        <v>1</v>
      </c>
      <c r="G24678" t="n">
        <v>11</v>
      </c>
      <c r="H24678" s="5">
        <f>HYPERLINK("https://api.qogita.com/variants/link/4045787237771/", "View Product")</f>
        <v/>
      </c>
    </row>
    <row r="24679">
      <c r="A24679" t="inlineStr">
        <is>
          <t>4045787292510</t>
        </is>
      </c>
      <c r="B24679" t="inlineStr">
        <is>
          <t>Schwarzkopf Professional Silhouette Mousse Extra Strong Hair Foam 500ml</t>
        </is>
      </c>
      <c r="C24679" t="inlineStr">
        <is>
          <t>Mousse</t>
        </is>
      </c>
      <c r="D24679" t="inlineStr">
        <is>
          <t>Schwarzkopf</t>
        </is>
      </c>
      <c r="E24679" t="n">
        <v>7.54</v>
      </c>
      <c r="F24679" t="n">
        <v>1</v>
      </c>
      <c r="G24679" t="n">
        <v>2</v>
      </c>
      <c r="H24679" s="5">
        <f>HYPERLINK("https://api.qogita.com/variants/link/4045787292510/", "View Product")</f>
        <v/>
      </c>
    </row>
    <row r="24680">
      <c r="A24680" t="inlineStr">
        <is>
          <t>4045787299816</t>
        </is>
      </c>
      <c r="B24680" t="inlineStr">
        <is>
          <t>Schwarzkopf Professional Silhouette Super Hold Mousse 200ml Hair Thickener With Strong Hold</t>
        </is>
      </c>
      <c r="C24680" t="inlineStr">
        <is>
          <t>Mousse</t>
        </is>
      </c>
      <c r="D24680" t="inlineStr">
        <is>
          <t>Schwarzkopf</t>
        </is>
      </c>
      <c r="E24680" t="n">
        <v>7.17</v>
      </c>
      <c r="F24680" t="n">
        <v>1</v>
      </c>
      <c r="G24680" t="n">
        <v>15</v>
      </c>
      <c r="H24680" s="5">
        <f>HYPERLINK("https://api.qogita.com/variants/link/4045787299816/", "View Product")</f>
        <v/>
      </c>
    </row>
    <row r="24681">
      <c r="A24681" t="inlineStr">
        <is>
          <t>4045787481600</t>
        </is>
      </c>
      <c r="B24681" t="inlineStr">
        <is>
          <t>Schwarzkopf SKP Color Remover 10x30g</t>
        </is>
      </c>
      <c r="C24681" t="inlineStr">
        <is>
          <t>Hair Dye</t>
        </is>
      </c>
      <c r="D24681" t="inlineStr">
        <is>
          <t>Schwarzkopf</t>
        </is>
      </c>
      <c r="E24681" t="n">
        <v>17.47</v>
      </c>
      <c r="F24681" t="n">
        <v>1</v>
      </c>
      <c r="G24681" t="n">
        <v>10</v>
      </c>
      <c r="H24681" s="5">
        <f>HYPERLINK("https://api.qogita.com/variants/link/4045787481600/", "View Product")</f>
        <v/>
      </c>
    </row>
    <row r="24682">
      <c r="A24682" t="inlineStr">
        <is>
          <t>4045787688962</t>
        </is>
      </c>
      <c r="B24682" t="inlineStr">
        <is>
          <t>Schwarzkopf Professional Stain Remover Skin Cleansing Fluid 250 Ml</t>
        </is>
      </c>
      <c r="C24682" t="inlineStr">
        <is>
          <t>Shower Gel</t>
        </is>
      </c>
      <c r="D24682" t="inlineStr">
        <is>
          <t>Schwarzkopf</t>
        </is>
      </c>
      <c r="E24682" t="n">
        <v>5.82</v>
      </c>
      <c r="F24682" t="n">
        <v>1</v>
      </c>
      <c r="G24682" t="n">
        <v>3</v>
      </c>
      <c r="H24682" s="5">
        <f>HYPERLINK("https://api.qogita.com/variants/link/4045787688962/", "View Product")</f>
        <v/>
      </c>
    </row>
    <row r="24683">
      <c r="A24683" t="inlineStr">
        <is>
          <t>4045787689587</t>
        </is>
      </c>
      <c r="B24683" t="inlineStr">
        <is>
          <t>Schwarzkopf Professional Fibreplex N 1 Bond Booster Protective Hair Booster</t>
        </is>
      </c>
      <c r="C24683" t="inlineStr">
        <is>
          <t>Hair Masks</t>
        </is>
      </c>
      <c r="D24683" t="inlineStr">
        <is>
          <t>Schwarzkopf</t>
        </is>
      </c>
      <c r="E24683" t="n">
        <v>17.67</v>
      </c>
      <c r="F24683" t="n">
        <v>1</v>
      </c>
      <c r="G24683" t="n">
        <v>69</v>
      </c>
      <c r="H24683" s="5">
        <f>HYPERLINK("https://api.qogita.com/variants/link/4045787689587/", "View Product")</f>
        <v/>
      </c>
    </row>
    <row r="24684">
      <c r="A24684" t="inlineStr">
        <is>
          <t>4045787722772</t>
        </is>
      </c>
      <c r="B24684" t="inlineStr">
        <is>
          <t>Schwarzkopf Professional Bc Color Freeze Delicate Shampoo For Colored Hair 1000ml</t>
        </is>
      </c>
      <c r="C24684" t="inlineStr">
        <is>
          <t>Shampoo</t>
        </is>
      </c>
      <c r="D24684" t="inlineStr">
        <is>
          <t>Schwarzkopf</t>
        </is>
      </c>
      <c r="E24684" t="n">
        <v>14.03</v>
      </c>
      <c r="F24684" t="n">
        <v>1</v>
      </c>
      <c r="G24684" t="n">
        <v>12</v>
      </c>
      <c r="H24684" s="5">
        <f>HYPERLINK("https://api.qogita.com/variants/link/4045787722772/", "View Product")</f>
        <v/>
      </c>
    </row>
    <row r="24685">
      <c r="A24685" t="inlineStr">
        <is>
          <t>4045787722857</t>
        </is>
      </c>
      <c r="B24685" t="inlineStr">
        <is>
          <t>Bc Bonacure Color Freeze Silver Shampoo - 1000ml</t>
        </is>
      </c>
      <c r="C24685" t="inlineStr">
        <is>
          <t>Shampoo</t>
        </is>
      </c>
      <c r="D24685" t="inlineStr">
        <is>
          <t>Bc Bonacure</t>
        </is>
      </c>
      <c r="E24685" t="n">
        <v>16.92</v>
      </c>
      <c r="F24685" t="n">
        <v>1</v>
      </c>
      <c r="G24685" t="n">
        <v>7</v>
      </c>
      <c r="H24685" s="5">
        <f>HYPERLINK("https://api.qogita.com/variants/link/4045787722857/", "View Product")</f>
        <v/>
      </c>
    </row>
    <row r="24686">
      <c r="A24686" t="inlineStr">
        <is>
          <t>4045787723830</t>
        </is>
      </c>
      <c r="B24686" t="inlineStr">
        <is>
          <t>Bc Bonacure Repair Rescue Treatment Restorative Mask For Damaged Hair 500ml</t>
        </is>
      </c>
      <c r="C24686" t="inlineStr">
        <is>
          <t>Hair Masks</t>
        </is>
      </c>
      <c r="D24686" t="inlineStr">
        <is>
          <t>Bc Bonacure</t>
        </is>
      </c>
      <c r="E24686" t="n">
        <v>16.08</v>
      </c>
      <c r="F24686" t="n">
        <v>1</v>
      </c>
      <c r="G24686" t="n">
        <v>13</v>
      </c>
      <c r="H24686" s="5">
        <f>HYPERLINK("https://api.qogita.com/variants/link/4045787723830/", "View Product")</f>
        <v/>
      </c>
    </row>
    <row r="24687">
      <c r="A24687" t="inlineStr">
        <is>
          <t>4045787724158</t>
        </is>
      </c>
      <c r="B24687" t="inlineStr">
        <is>
          <t>Bc Bonacure Color Freeze Conditioner Gentle Conditioner For Colored Hair 1000ml</t>
        </is>
      </c>
      <c r="C24687" t="inlineStr">
        <is>
          <t>Conditioner</t>
        </is>
      </c>
      <c r="D24687" t="inlineStr">
        <is>
          <t>Bc Bonacure</t>
        </is>
      </c>
      <c r="E24687" t="n">
        <v>20.5</v>
      </c>
      <c r="F24687" t="n">
        <v>1</v>
      </c>
      <c r="G24687" t="n">
        <v>14</v>
      </c>
      <c r="H24687" s="5">
        <f>HYPERLINK("https://api.qogita.com/variants/link/4045787724158/", "View Product")</f>
        <v/>
      </c>
    </row>
    <row r="24688">
      <c r="A24688" t="inlineStr">
        <is>
          <t>4045787724233</t>
        </is>
      </c>
      <c r="B24688" t="inlineStr">
        <is>
          <t>Schwarzkopf Bc Color Freeze Mask 500ml Hair Treatment For Radiant Color</t>
        </is>
      </c>
      <c r="C24688" t="inlineStr">
        <is>
          <t>Hair Masks</t>
        </is>
      </c>
      <c r="D24688" t="inlineStr">
        <is>
          <t>Schwarzkopf</t>
        </is>
      </c>
      <c r="E24688" t="n">
        <v>17.26</v>
      </c>
      <c r="F24688" t="n">
        <v>1</v>
      </c>
      <c r="G24688" t="n">
        <v>5</v>
      </c>
      <c r="H24688" s="5">
        <f>HYPERLINK("https://api.qogita.com/variants/link/4045787724233/", "View Product")</f>
        <v/>
      </c>
    </row>
    <row r="24689">
      <c r="A24689" t="inlineStr">
        <is>
          <t>4045787725537</t>
        </is>
      </c>
      <c r="B24689" t="inlineStr">
        <is>
          <t>Schwarzkopf Professional Bc Bonacure Frizz Away Conditioner For Unruly And Frizzy Hair 200ml</t>
        </is>
      </c>
      <c r="C24689" t="inlineStr">
        <is>
          <t>Conditioner</t>
        </is>
      </c>
      <c r="D24689" t="inlineStr">
        <is>
          <t>Schwarzkopf</t>
        </is>
      </c>
      <c r="E24689" t="n">
        <v>7.02</v>
      </c>
      <c r="F24689" t="n">
        <v>1</v>
      </c>
      <c r="G24689" t="n">
        <v>3</v>
      </c>
      <c r="H24689" s="5">
        <f>HYPERLINK("https://api.qogita.com/variants/link/4045787725537/", "View Product")</f>
        <v/>
      </c>
    </row>
    <row r="24690">
      <c r="A24690" t="inlineStr">
        <is>
          <t>4045787725711</t>
        </is>
      </c>
      <c r="B24690" t="inlineStr">
        <is>
          <t>Bc Bonacure Frizz Away Conditioner - 1000ml</t>
        </is>
      </c>
      <c r="C24690" t="inlineStr">
        <is>
          <t>Conditioner</t>
        </is>
      </c>
      <c r="D24690" t="inlineStr">
        <is>
          <t>Bc Bonacure</t>
        </is>
      </c>
      <c r="E24690" t="n">
        <v>19.1</v>
      </c>
      <c r="F24690" t="n">
        <v>1</v>
      </c>
      <c r="G24690" t="n">
        <v>5</v>
      </c>
      <c r="H24690" s="5">
        <f>HYPERLINK("https://api.qogita.com/variants/link/4045787725711/", "View Product")</f>
        <v/>
      </c>
    </row>
    <row r="24691">
      <c r="A24691" t="inlineStr">
        <is>
          <t>4045787726190</t>
        </is>
      </c>
      <c r="B24691" t="inlineStr">
        <is>
          <t>Bc Bonacure Moisture Kick Hydration Balm Moisturizing Balm For Normal And Dry Hair 150ml</t>
        </is>
      </c>
      <c r="C24691" t="inlineStr">
        <is>
          <t>Conditioner</t>
        </is>
      </c>
      <c r="D24691" t="inlineStr">
        <is>
          <t>Bc Bonacure</t>
        </is>
      </c>
      <c r="E24691" t="n">
        <v>10.96</v>
      </c>
      <c r="F24691" t="n">
        <v>1</v>
      </c>
      <c r="G24691" t="n">
        <v>4</v>
      </c>
      <c r="H24691" s="5">
        <f>HYPERLINK("https://api.qogita.com/variants/link/4045787726190/", "View Product")</f>
        <v/>
      </c>
    </row>
    <row r="24692">
      <c r="A24692" t="inlineStr">
        <is>
          <t>4045787726718</t>
        </is>
      </c>
      <c r="B24692" t="inlineStr">
        <is>
          <t>Schwarzkopf Professional Bonacure Frizz Away Smoothing Oil 50ml</t>
        </is>
      </c>
      <c r="C24692" t="inlineStr">
        <is>
          <t>Hair Oil &amp; Hair Serum</t>
        </is>
      </c>
      <c r="D24692" t="inlineStr">
        <is>
          <t>Schwarzkopf</t>
        </is>
      </c>
      <c r="E24692" t="n">
        <v>13.77</v>
      </c>
      <c r="F24692" t="n">
        <v>1</v>
      </c>
      <c r="G24692" t="n">
        <v>4</v>
      </c>
      <c r="H24692" s="5">
        <f>HYPERLINK("https://api.qogita.com/variants/link/4045787726718/", "View Product")</f>
        <v/>
      </c>
    </row>
    <row r="24693">
      <c r="A24693" t="inlineStr">
        <is>
          <t>4045787736373</t>
        </is>
      </c>
      <c r="B24693" t="inlineStr">
        <is>
          <t>Schwarzkopf Professional Good Bye Yellow Neutralizing Shampoo 1000ml</t>
        </is>
      </c>
      <c r="C24693" t="inlineStr">
        <is>
          <t>Shampoo</t>
        </is>
      </c>
      <c r="D24693" t="inlineStr">
        <is>
          <t>Schwarzkopf</t>
        </is>
      </c>
      <c r="E24693" t="n">
        <v>19.95</v>
      </c>
      <c r="F24693" t="n">
        <v>1</v>
      </c>
      <c r="G24693" t="n">
        <v>13</v>
      </c>
      <c r="H24693" s="5">
        <f>HYPERLINK("https://api.qogita.com/variants/link/4045787736373/", "View Product")</f>
        <v/>
      </c>
    </row>
    <row r="24694">
      <c r="A24694" t="inlineStr">
        <is>
          <t>4045787761825</t>
        </is>
      </c>
      <c r="B24694" t="inlineStr">
        <is>
          <t>Blondme Bond Enforcing Lift &amp; Blend Sand 60 ml Hair Color</t>
        </is>
      </c>
      <c r="C24694" t="inlineStr">
        <is>
          <t>Hair Dye</t>
        </is>
      </c>
      <c r="D24694" t="inlineStr">
        <is>
          <t>Schwarzkopf</t>
        </is>
      </c>
      <c r="E24694" t="n">
        <v>7.5</v>
      </c>
      <c r="F24694" t="n">
        <v>1</v>
      </c>
      <c r="G24694" t="n">
        <v>3</v>
      </c>
      <c r="H24694" s="5">
        <f>HYPERLINK("https://api.qogita.com/variants/link/4045787761825/", "View Product")</f>
        <v/>
      </c>
    </row>
    <row r="24695">
      <c r="A24695" t="inlineStr">
        <is>
          <t>4045787802887</t>
        </is>
      </c>
      <c r="B24695" t="inlineStr">
        <is>
          <t>Bc Bonacure Sun Protect 2in1 Hair Mask 150ml</t>
        </is>
      </c>
      <c r="C24695" t="inlineStr">
        <is>
          <t>Hair Masks</t>
        </is>
      </c>
      <c r="D24695" t="inlineStr">
        <is>
          <t>Bc Bonacure</t>
        </is>
      </c>
      <c r="E24695" t="n">
        <v>11.41</v>
      </c>
      <c r="F24695" t="n">
        <v>1</v>
      </c>
      <c r="G24695" t="n">
        <v>4</v>
      </c>
      <c r="H24695" s="5">
        <f>HYPERLINK("https://api.qogita.com/variants/link/4045787802887/", "View Product")</f>
        <v/>
      </c>
    </row>
    <row r="24696">
      <c r="A24696" t="inlineStr">
        <is>
          <t>4045787814170</t>
        </is>
      </c>
      <c r="B24696" t="inlineStr">
        <is>
          <t>Schwarzkopf Professional Silhouette Flexible Hair Spray White 500ml</t>
        </is>
      </c>
      <c r="C24696" t="inlineStr">
        <is>
          <t>Hairspray</t>
        </is>
      </c>
      <c r="D24696" t="inlineStr">
        <is>
          <t>Schwarzkopf</t>
        </is>
      </c>
      <c r="E24696" t="n">
        <v>6.75</v>
      </c>
      <c r="F24696" t="n">
        <v>1</v>
      </c>
      <c r="G24696" t="n">
        <v>3</v>
      </c>
      <c r="H24696" s="5">
        <f>HYPERLINK("https://api.qogita.com/variants/link/4045787814170/", "View Product")</f>
        <v/>
      </c>
    </row>
    <row r="24697">
      <c r="A24697" t="inlineStr">
        <is>
          <t>4045787925807</t>
        </is>
      </c>
      <c r="B24697" t="inlineStr">
        <is>
          <t>Schwarzkopf Blondme Blonde Lifting 60ml - Hair Lightener L-Ice</t>
        </is>
      </c>
      <c r="C24697" t="inlineStr">
        <is>
          <t>Bleaching</t>
        </is>
      </c>
      <c r="D24697" t="inlineStr">
        <is>
          <t>Schwarzkopf</t>
        </is>
      </c>
      <c r="E24697" t="n">
        <v>7.76</v>
      </c>
      <c r="F24697" t="n">
        <v>1</v>
      </c>
      <c r="G24697" t="n">
        <v>5</v>
      </c>
      <c r="H24697" s="5">
        <f>HYPERLINK("https://api.qogita.com/variants/link/4045787925807/", "View Product")</f>
        <v/>
      </c>
    </row>
    <row r="24698">
      <c r="A24698" t="inlineStr">
        <is>
          <t>4045787928112</t>
        </is>
      </c>
      <c r="B24698" t="inlineStr">
        <is>
          <t>Schwarzkopf Professional Blondme Bond Enforcing Premium Clay Lightener 350 G</t>
        </is>
      </c>
      <c r="C24698" t="inlineStr">
        <is>
          <t>Bleaching</t>
        </is>
      </c>
      <c r="D24698" t="inlineStr">
        <is>
          <t>Schwarzkopf</t>
        </is>
      </c>
      <c r="E24698" t="n">
        <v>21.48</v>
      </c>
      <c r="F24698" t="n">
        <v>1</v>
      </c>
      <c r="G24698" t="n">
        <v>6</v>
      </c>
      <c r="H24698" s="5">
        <f>HYPERLINK("https://api.qogita.com/variants/link/4045787928112/", "View Product")</f>
        <v/>
      </c>
    </row>
    <row r="24699">
      <c r="A24699" t="inlineStr">
        <is>
          <t>4045787936490</t>
        </is>
      </c>
      <c r="B24699" t="inlineStr">
        <is>
          <t>Schwarzkopf Professional Osis+ Velvet Light Hair Spray With Wax Effect 200ml</t>
        </is>
      </c>
      <c r="C24699" t="inlineStr">
        <is>
          <t>Hairspray</t>
        </is>
      </c>
      <c r="D24699" t="inlineStr">
        <is>
          <t>Schwarzkopf</t>
        </is>
      </c>
      <c r="E24699" t="n">
        <v>7.7</v>
      </c>
      <c r="F24699" t="n">
        <v>1</v>
      </c>
      <c r="G24699" t="n">
        <v>71</v>
      </c>
      <c r="H24699" s="5">
        <f>HYPERLINK("https://api.qogita.com/variants/link/4045787936490/", "View Product")</f>
        <v/>
      </c>
    </row>
    <row r="24700">
      <c r="A24700" t="inlineStr">
        <is>
          <t>4045787949513</t>
        </is>
      </c>
      <c r="B24700" t="inlineStr">
        <is>
          <t>Schwarzkopf Professional Bonacure R-Two Rescuing Treatment Hair Mask 500ml</t>
        </is>
      </c>
      <c r="C24700" t="inlineStr">
        <is>
          <t>Hair Masks</t>
        </is>
      </c>
      <c r="D24700" t="inlineStr">
        <is>
          <t>Schwarzkopf</t>
        </is>
      </c>
      <c r="E24700" t="n">
        <v>19.07</v>
      </c>
      <c r="F24700" t="n">
        <v>1</v>
      </c>
      <c r="G24700" t="n">
        <v>5</v>
      </c>
      <c r="H24700" s="5">
        <f>HYPERLINK("https://api.qogita.com/variants/link/4045787949513/", "View Product")</f>
        <v/>
      </c>
    </row>
    <row r="24701">
      <c r="A24701" t="inlineStr">
        <is>
          <t>4045787949674</t>
        </is>
      </c>
      <c r="B24701" t="inlineStr">
        <is>
          <t>Schwarzkopf Professional Bc Rtwo Restoring Essence 400ml For Extremely Damaged Hair</t>
        </is>
      </c>
      <c r="C24701" t="inlineStr">
        <is>
          <t>Hair Oil &amp; Hair Serum</t>
        </is>
      </c>
      <c r="D24701" t="inlineStr">
        <is>
          <t>Schwarzkopf</t>
        </is>
      </c>
      <c r="E24701" t="n">
        <v>13.3</v>
      </c>
      <c r="F24701" t="n">
        <v>1</v>
      </c>
      <c r="G24701" t="n">
        <v>7</v>
      </c>
      <c r="H24701" s="5">
        <f>HYPERLINK("https://api.qogita.com/variants/link/4045787949674/", "View Product")</f>
        <v/>
      </c>
    </row>
    <row r="24702">
      <c r="A24702" t="inlineStr">
        <is>
          <t>4045787955453</t>
        </is>
      </c>
      <c r="B24702" t="inlineStr">
        <is>
          <t>Schwarzkopf Igora Royal IR Dove Grey Permanent Hair Color 60ml</t>
        </is>
      </c>
      <c r="C24702" t="inlineStr">
        <is>
          <t>Hair Dye</t>
        </is>
      </c>
      <c r="D24702" t="inlineStr">
        <is>
          <t>Schwarzkopf</t>
        </is>
      </c>
      <c r="E24702" t="n">
        <v>6.28</v>
      </c>
      <c r="F24702" t="n">
        <v>1</v>
      </c>
      <c r="G24702" t="n">
        <v>6</v>
      </c>
      <c r="H24702" s="5">
        <f>HYPERLINK("https://api.qogita.com/variants/link/4045787955453/", "View Product")</f>
        <v/>
      </c>
    </row>
    <row r="24703">
      <c r="A24703" t="inlineStr">
        <is>
          <t>4045787998412</t>
        </is>
      </c>
      <c r="B24703" t="inlineStr">
        <is>
          <t>Schwarzkopf Professional Bc Bonacure Scalp Soothing Shampoo 1000ml For Dry And Sensitive Scalp</t>
        </is>
      </c>
      <c r="C24703" t="inlineStr">
        <is>
          <t>Shampoo</t>
        </is>
      </c>
      <c r="D24703" t="inlineStr">
        <is>
          <t>Schwarzkopf</t>
        </is>
      </c>
      <c r="E24703" t="n">
        <v>20.7</v>
      </c>
      <c r="F24703" t="n">
        <v>1</v>
      </c>
      <c r="G24703" t="n">
        <v>41</v>
      </c>
      <c r="H24703" s="5">
        <f>HYPERLINK("https://api.qogita.com/variants/link/4045787998412/", "View Product")</f>
        <v/>
      </c>
    </row>
    <row r="24704">
      <c r="A24704" t="inlineStr">
        <is>
          <t>4045787999464</t>
        </is>
      </c>
      <c r="B24704" t="inlineStr">
        <is>
          <t>Osis+ Session Strong Hold Hair Spray 500ml - Strong Hold Hair Spray</t>
        </is>
      </c>
      <c r="C24704" t="inlineStr">
        <is>
          <t>Hairspray</t>
        </is>
      </c>
      <c r="D24704" t="inlineStr">
        <is>
          <t>Osis</t>
        </is>
      </c>
      <c r="E24704" t="n">
        <v>8.609999999999999</v>
      </c>
      <c r="F24704" t="n">
        <v>1</v>
      </c>
      <c r="G24704" t="n">
        <v>306</v>
      </c>
      <c r="H24704" s="5">
        <f>HYPERLINK("https://api.qogita.com/variants/link/4045787999464/", "View Product")</f>
        <v/>
      </c>
    </row>
    <row r="24705">
      <c r="A24705" t="inlineStr">
        <is>
          <t>4045787999549</t>
        </is>
      </c>
      <c r="B24705" t="inlineStr">
        <is>
          <t>Osis+ Volume Up Spray For Increasing Hair Volume 300ml</t>
        </is>
      </c>
      <c r="C24705" t="inlineStr">
        <is>
          <t>Hairspray</t>
        </is>
      </c>
      <c r="D24705" t="inlineStr">
        <is>
          <t>Osis</t>
        </is>
      </c>
      <c r="E24705" t="n">
        <v>7.17</v>
      </c>
      <c r="F24705" t="n">
        <v>1</v>
      </c>
      <c r="G24705" t="n">
        <v>20</v>
      </c>
      <c r="H24705" s="5">
        <f>HYPERLINK("https://api.qogita.com/variants/link/4045787999549/", "View Product")</f>
        <v/>
      </c>
    </row>
    <row r="24706">
      <c r="A24706" t="inlineStr">
        <is>
          <t>7350016331791</t>
        </is>
      </c>
      <c r="B24706" t="inlineStr">
        <is>
          <t>Sachajuan Dark Volume Powder For Dark Hair</t>
        </is>
      </c>
      <c r="C24706" t="inlineStr">
        <is>
          <t>Volume Powder</t>
        </is>
      </c>
      <c r="D24706" t="inlineStr">
        <is>
          <t>Sachajuan</t>
        </is>
      </c>
      <c r="E24706" t="n">
        <v>12.48</v>
      </c>
      <c r="F24706" t="n">
        <v>1</v>
      </c>
      <c r="G24706" t="n">
        <v>4</v>
      </c>
      <c r="H24706" s="5">
        <f>HYPERLINK("https://api.qogita.com/variants/link/7350016331791/", "View Product")</f>
        <v/>
      </c>
    </row>
    <row r="24707">
      <c r="A24707" t="inlineStr">
        <is>
          <t>7350016332088</t>
        </is>
      </c>
      <c r="B24707" t="inlineStr">
        <is>
          <t>SACHAJUAN Colour Protect Shampoo 250ml</t>
        </is>
      </c>
      <c r="C24707" t="inlineStr">
        <is>
          <t>Shampoo</t>
        </is>
      </c>
      <c r="D24707" t="inlineStr">
        <is>
          <t>Sachajuan</t>
        </is>
      </c>
      <c r="E24707" t="n">
        <v>17.91</v>
      </c>
      <c r="F24707" t="n">
        <v>1</v>
      </c>
      <c r="G24707" t="n">
        <v>6</v>
      </c>
      <c r="H24707" s="5">
        <f>HYPERLINK("https://api.qogita.com/variants/link/7350016332088/", "View Product")</f>
        <v/>
      </c>
    </row>
    <row r="24708">
      <c r="A24708" t="inlineStr">
        <is>
          <t>7350016332149</t>
        </is>
      </c>
      <c r="B24708" t="inlineStr">
        <is>
          <t>Sachajuan Hair Paste - Strong Fixation, 80 Ml</t>
        </is>
      </c>
      <c r="C24708" t="inlineStr">
        <is>
          <t>Wax</t>
        </is>
      </c>
      <c r="D24708" t="inlineStr">
        <is>
          <t>Sachajuan</t>
        </is>
      </c>
      <c r="E24708" t="n">
        <v>22.3</v>
      </c>
      <c r="F24708" t="n">
        <v>1</v>
      </c>
      <c r="G24708" t="n">
        <v>9</v>
      </c>
      <c r="H24708" s="5">
        <f>HYPERLINK("https://api.qogita.com/variants/link/7350016332149/", "View Product")</f>
        <v/>
      </c>
    </row>
    <row r="24709">
      <c r="A24709" t="inlineStr">
        <is>
          <t>7350016332217</t>
        </is>
      </c>
      <c r="B24709" t="inlineStr">
        <is>
          <t>SACHAJUAN Thickening Conditioner 100ml</t>
        </is>
      </c>
      <c r="C24709" t="inlineStr">
        <is>
          <t>Conditioner</t>
        </is>
      </c>
      <c r="D24709" t="inlineStr">
        <is>
          <t>Sachajuan</t>
        </is>
      </c>
      <c r="E24709" t="n">
        <v>10.48</v>
      </c>
      <c r="F24709" t="n">
        <v>1</v>
      </c>
      <c r="G24709" t="n">
        <v>4</v>
      </c>
      <c r="H24709" s="5">
        <f>HYPERLINK("https://api.qogita.com/variants/link/7350016332217/", "View Product")</f>
        <v/>
      </c>
    </row>
    <row r="24710">
      <c r="A24710" t="inlineStr">
        <is>
          <t>7350016332651</t>
        </is>
      </c>
      <c r="B24710" t="inlineStr">
        <is>
          <t>SACHAJUAN Anti Pollution Shampoo 250ml</t>
        </is>
      </c>
      <c r="C24710" t="inlineStr">
        <is>
          <t>Shampoo</t>
        </is>
      </c>
      <c r="D24710" t="inlineStr">
        <is>
          <t>Sachajuan</t>
        </is>
      </c>
      <c r="E24710" t="n">
        <v>18.53</v>
      </c>
      <c r="F24710" t="n">
        <v>1</v>
      </c>
      <c r="G24710" t="n">
        <v>11</v>
      </c>
      <c r="H24710" s="5">
        <f>HYPERLINK("https://api.qogita.com/variants/link/7350016332651/", "View Product")</f>
        <v/>
      </c>
    </row>
    <row r="24711">
      <c r="A24711" t="inlineStr">
        <is>
          <t>7350016332699</t>
        </is>
      </c>
      <c r="B24711" t="inlineStr">
        <is>
          <t>SACHAJUAN Fresh Lavender Body Wash 500ml</t>
        </is>
      </c>
      <c r="C24711" t="inlineStr">
        <is>
          <t>Shower Gel</t>
        </is>
      </c>
      <c r="D24711" t="inlineStr">
        <is>
          <t>Sachajuan</t>
        </is>
      </c>
      <c r="E24711" t="n">
        <v>31.49</v>
      </c>
      <c r="F24711" t="n">
        <v>1</v>
      </c>
      <c r="G24711" t="n">
        <v>3</v>
      </c>
      <c r="H24711" s="5">
        <f>HYPERLINK("https://api.qogita.com/variants/link/7350016332699/", "View Product")</f>
        <v/>
      </c>
    </row>
    <row r="24712">
      <c r="A24712" t="inlineStr">
        <is>
          <t>7350016332743</t>
        </is>
      </c>
      <c r="B24712" t="inlineStr">
        <is>
          <t>Sachajuan Ocean Mist Texturizing Hair Cream</t>
        </is>
      </c>
      <c r="C24712" t="inlineStr">
        <is>
          <t>Styling Creams</t>
        </is>
      </c>
      <c r="D24712" t="inlineStr">
        <is>
          <t>Sachajuan</t>
        </is>
      </c>
      <c r="E24712" t="n">
        <v>19.78</v>
      </c>
      <c r="F24712" t="n">
        <v>1</v>
      </c>
      <c r="G24712" t="n">
        <v>5</v>
      </c>
      <c r="H24712" s="5">
        <f>HYPERLINK("https://api.qogita.com/variants/link/7350016332743/", "View Product")</f>
        <v/>
      </c>
    </row>
    <row r="24713">
      <c r="A24713" t="inlineStr">
        <is>
          <t>7350016332811</t>
        </is>
      </c>
      <c r="B24713" t="inlineStr">
        <is>
          <t>SACHAJUAN Silver Conditioner Hair Care 220ml 7.4 fl oz</t>
        </is>
      </c>
      <c r="C24713" t="inlineStr">
        <is>
          <t>Conditioner</t>
        </is>
      </c>
      <c r="D24713" t="inlineStr">
        <is>
          <t>Sachajuan</t>
        </is>
      </c>
      <c r="E24713" t="n">
        <v>19</v>
      </c>
      <c r="F24713" t="n">
        <v>1</v>
      </c>
      <c r="G24713" t="n">
        <v>10</v>
      </c>
      <c r="H24713" s="5">
        <f>HYPERLINK("https://api.qogita.com/variants/link/7350016332811/", "View Product")</f>
        <v/>
      </c>
    </row>
    <row r="24714">
      <c r="A24714" t="inlineStr">
        <is>
          <t>7350016332859</t>
        </is>
      </c>
      <c r="B24714" t="inlineStr">
        <is>
          <t>Sachajuan Scalp Shampoo 990ml</t>
        </is>
      </c>
      <c r="C24714" t="inlineStr">
        <is>
          <t>Shampoo</t>
        </is>
      </c>
      <c r="D24714" t="inlineStr">
        <is>
          <t>Sachajuan</t>
        </is>
      </c>
      <c r="E24714" t="n">
        <v>54.85</v>
      </c>
      <c r="F24714" t="n">
        <v>1</v>
      </c>
      <c r="G24714" t="n">
        <v>4</v>
      </c>
      <c r="H24714" s="5">
        <f>HYPERLINK("https://api.qogita.com/variants/link/7350016332859/", "View Product")</f>
        <v/>
      </c>
    </row>
    <row r="24715">
      <c r="A24715" t="inlineStr">
        <is>
          <t>7350016332866</t>
        </is>
      </c>
      <c r="B24715" t="inlineStr">
        <is>
          <t>Sachajuan Scalp Conditioner 990ml</t>
        </is>
      </c>
      <c r="C24715" t="inlineStr">
        <is>
          <t>Conditioner</t>
        </is>
      </c>
      <c r="D24715" t="inlineStr">
        <is>
          <t>Sachajuan</t>
        </is>
      </c>
      <c r="E24715" t="n">
        <v>60.14</v>
      </c>
      <c r="F24715" t="n">
        <v>1</v>
      </c>
      <c r="G24715" t="n">
        <v>5</v>
      </c>
      <c r="H24715" s="5">
        <f>HYPERLINK("https://api.qogita.com/variants/link/7350016332866/", "View Product")</f>
        <v/>
      </c>
    </row>
    <row r="24716">
      <c r="A24716" t="inlineStr">
        <is>
          <t>7350016332927</t>
        </is>
      </c>
      <c r="B24716" t="inlineStr">
        <is>
          <t>SACHAJUAN Thickening Conditioner 990ml</t>
        </is>
      </c>
      <c r="C24716" t="inlineStr">
        <is>
          <t>Conditioner</t>
        </is>
      </c>
      <c r="D24716" t="inlineStr">
        <is>
          <t>Sachajuan</t>
        </is>
      </c>
      <c r="E24716" t="n">
        <v>52.68</v>
      </c>
      <c r="F24716" t="n">
        <v>1</v>
      </c>
      <c r="G24716" t="n">
        <v>10</v>
      </c>
      <c r="H24716" s="5">
        <f>HYPERLINK("https://api.qogita.com/variants/link/7350016332927/", "View Product")</f>
        <v/>
      </c>
    </row>
    <row r="24717">
      <c r="A24717" t="inlineStr">
        <is>
          <t>7350016784924</t>
        </is>
      </c>
      <c r="B24717" t="inlineStr">
        <is>
          <t>REF Colour Boost Masque Vivid Turquoise 6.76 fl Oz</t>
        </is>
      </c>
      <c r="C24717" t="inlineStr">
        <is>
          <t>Hair Masks</t>
        </is>
      </c>
      <c r="D24717" t="inlineStr">
        <is>
          <t>Ref</t>
        </is>
      </c>
      <c r="E24717" t="n">
        <v>12.28</v>
      </c>
      <c r="F24717" t="n">
        <v>1</v>
      </c>
      <c r="G24717" t="n">
        <v>5</v>
      </c>
      <c r="H24717" s="5">
        <f>HYPERLINK("https://api.qogita.com/variants/link/7350016784924/", "View Product")</f>
        <v/>
      </c>
    </row>
    <row r="24718">
      <c r="A24718" t="inlineStr">
        <is>
          <t>7350052830159</t>
        </is>
      </c>
      <c r="B24718" t="inlineStr">
        <is>
          <t>Manasi 7 Strobelighter Celestial Highlighting Cream 13g</t>
        </is>
      </c>
      <c r="C24718" t="inlineStr">
        <is>
          <t>Highlighter</t>
        </is>
      </c>
      <c r="D24718" t="inlineStr">
        <is>
          <t>Manasi 7</t>
        </is>
      </c>
      <c r="E24718" t="n">
        <v>39.44</v>
      </c>
      <c r="F24718" t="n">
        <v>1</v>
      </c>
      <c r="G24718" t="n">
        <v>2</v>
      </c>
      <c r="H24718" s="5">
        <f>HYPERLINK("https://api.qogita.com/variants/link/7350052830159/", "View Product")</f>
        <v/>
      </c>
    </row>
    <row r="24719">
      <c r="A24719" t="inlineStr">
        <is>
          <t>7391681036000</t>
        </is>
      </c>
      <c r="B24719" t="inlineStr">
        <is>
          <t>Maria Nila Structure Repair Shampoo Regenerating Shampoo For Damaged Hair 350ml</t>
        </is>
      </c>
      <c r="C24719" t="inlineStr">
        <is>
          <t>Shampoo</t>
        </is>
      </c>
      <c r="D24719" t="inlineStr">
        <is>
          <t>Maria Nila</t>
        </is>
      </c>
      <c r="E24719" t="n">
        <v>18.47</v>
      </c>
      <c r="F24719" t="n">
        <v>1</v>
      </c>
      <c r="G24719" t="n">
        <v>2</v>
      </c>
      <c r="H24719" s="5">
        <f>HYPERLINK("https://api.qogita.com/variants/link/7391681036000/", "View Product")</f>
        <v/>
      </c>
    </row>
    <row r="24720">
      <c r="A24720" t="inlineStr">
        <is>
          <t>7391681036055</t>
        </is>
      </c>
      <c r="B24720" t="inlineStr">
        <is>
          <t>Maria Nila Structure Repair Shampoo For Dry And Damaged Hair 100ml</t>
        </is>
      </c>
      <c r="C24720" t="inlineStr">
        <is>
          <t>Shampoo</t>
        </is>
      </c>
      <c r="D24720" t="inlineStr">
        <is>
          <t>Maria Nila</t>
        </is>
      </c>
      <c r="E24720" t="n">
        <v>11.61</v>
      </c>
      <c r="F24720" t="n">
        <v>1</v>
      </c>
      <c r="G24720" t="n">
        <v>3</v>
      </c>
      <c r="H24720" s="5">
        <f>HYPERLINK("https://api.qogita.com/variants/link/7391681036055/", "View Product")</f>
        <v/>
      </c>
    </row>
    <row r="24721">
      <c r="A24721" t="inlineStr">
        <is>
          <t>7391681036116</t>
        </is>
      </c>
      <c r="B24721" t="inlineStr">
        <is>
          <t>Maria Nila Pure Volume Conditioner 300ml - Moisturizing Hair Conditioner Providing Volume Without Sulfates</t>
        </is>
      </c>
      <c r="C24721" t="inlineStr">
        <is>
          <t>Conditioner</t>
        </is>
      </c>
      <c r="D24721" t="inlineStr">
        <is>
          <t>Maria Nila</t>
        </is>
      </c>
      <c r="E24721" t="n">
        <v>23.29</v>
      </c>
      <c r="F24721" t="n">
        <v>1</v>
      </c>
      <c r="G24721" t="n">
        <v>2</v>
      </c>
      <c r="H24721" s="5">
        <f>HYPERLINK("https://api.qogita.com/variants/link/7391681036116/", "View Product")</f>
        <v/>
      </c>
    </row>
    <row r="24722">
      <c r="A24722" t="inlineStr">
        <is>
          <t>7391681036406</t>
        </is>
      </c>
      <c r="B24722" t="inlineStr">
        <is>
          <t>Maria Nila Sheer Silver Shampoo - 350ml</t>
        </is>
      </c>
      <c r="C24722" t="inlineStr">
        <is>
          <t>Shampoo</t>
        </is>
      </c>
      <c r="D24722" t="inlineStr">
        <is>
          <t>Maria Nila</t>
        </is>
      </c>
      <c r="E24722" t="n">
        <v>23.29</v>
      </c>
      <c r="F24722" t="n">
        <v>1</v>
      </c>
      <c r="G24722" t="n">
        <v>5</v>
      </c>
      <c r="H24722" s="5">
        <f>HYPERLINK("https://api.qogita.com/variants/link/7391681036406/", "View Product")</f>
        <v/>
      </c>
    </row>
    <row r="24723">
      <c r="A24723" t="inlineStr">
        <is>
          <t>7391681036437</t>
        </is>
      </c>
      <c r="B24723" t="inlineStr">
        <is>
          <t>Maria Nila Sheer Silver Shampoo Neutralizes Yellow Tones In Hair</t>
        </is>
      </c>
      <c r="C24723" t="inlineStr">
        <is>
          <t>Shampoo</t>
        </is>
      </c>
      <c r="D24723" t="inlineStr">
        <is>
          <t>Maria Nila</t>
        </is>
      </c>
      <c r="E24723" t="n">
        <v>45.68</v>
      </c>
      <c r="F24723" t="n">
        <v>1</v>
      </c>
      <c r="G24723" t="n">
        <v>5</v>
      </c>
      <c r="H24723" s="5">
        <f>HYPERLINK("https://api.qogita.com/variants/link/7391681036437/", "View Product")</f>
        <v/>
      </c>
    </row>
    <row r="24724">
      <c r="A24724" t="inlineStr">
        <is>
          <t>7391681036468</t>
        </is>
      </c>
      <c r="B24724" t="inlineStr">
        <is>
          <t>Maria Nila Sheer Silver Conditioner - 100ml</t>
        </is>
      </c>
      <c r="C24724" t="inlineStr">
        <is>
          <t>Conditioner</t>
        </is>
      </c>
      <c r="D24724" t="inlineStr">
        <is>
          <t>Maria Nila</t>
        </is>
      </c>
      <c r="E24724" t="n">
        <v>11.61</v>
      </c>
      <c r="F24724" t="n">
        <v>1</v>
      </c>
      <c r="G24724" t="n">
        <v>2</v>
      </c>
      <c r="H24724" s="5">
        <f>HYPERLINK("https://api.qogita.com/variants/link/7391681036468/", "View Product")</f>
        <v/>
      </c>
    </row>
    <row r="24725">
      <c r="A24725" t="inlineStr">
        <is>
          <t>7391681036529</t>
        </is>
      </c>
      <c r="B24725" t="inlineStr">
        <is>
          <t>Maria Nila Head &amp; Hair Heal Masque 250 Ml Antidandruff And Hair Loss Treatment</t>
        </is>
      </c>
      <c r="C24725" t="inlineStr">
        <is>
          <t>Hair Masks</t>
        </is>
      </c>
      <c r="D24725" t="inlineStr">
        <is>
          <t>Maria Nila</t>
        </is>
      </c>
      <c r="E24725" t="n">
        <v>25.94</v>
      </c>
      <c r="F24725" t="n">
        <v>1</v>
      </c>
      <c r="G24725" t="n">
        <v>2</v>
      </c>
      <c r="H24725" s="5">
        <f>HYPERLINK("https://api.qogita.com/variants/link/7391681036529/", "View Product")</f>
        <v/>
      </c>
    </row>
    <row r="24726">
      <c r="A24726" t="inlineStr">
        <is>
          <t>7391681037120</t>
        </is>
      </c>
      <c r="B24726" t="inlineStr">
        <is>
          <t>Maria Nila Colour Refresh White Mix Non-pigment Hair Mask 300ml</t>
        </is>
      </c>
      <c r="C24726" t="inlineStr">
        <is>
          <t>Hair Masks</t>
        </is>
      </c>
      <c r="D24726" t="inlineStr">
        <is>
          <t>Maria Nila</t>
        </is>
      </c>
      <c r="E24726" t="n">
        <v>25.56</v>
      </c>
      <c r="F24726" t="n">
        <v>1</v>
      </c>
      <c r="G24726" t="n">
        <v>5</v>
      </c>
      <c r="H24726" s="5">
        <f>HYPERLINK("https://api.qogita.com/variants/link/7391681037120/", "View Product")</f>
        <v/>
      </c>
    </row>
    <row r="24727">
      <c r="A24727" t="inlineStr">
        <is>
          <t>7391681038004</t>
        </is>
      </c>
      <c r="B24727" t="inlineStr">
        <is>
          <t>Maria Nila Style Finish Finishing Spray Hairspray For Strong Fixation</t>
        </is>
      </c>
      <c r="C24727" t="inlineStr">
        <is>
          <t>Hairspray</t>
        </is>
      </c>
      <c r="D24727" t="inlineStr">
        <is>
          <t>Maria Nila</t>
        </is>
      </c>
      <c r="E24727" t="n">
        <v>19.79</v>
      </c>
      <c r="F24727" t="n">
        <v>1</v>
      </c>
      <c r="G24727" t="n">
        <v>3</v>
      </c>
      <c r="H24727" s="5">
        <f>HYPERLINK("https://api.qogita.com/variants/link/7391681038004/", "View Product")</f>
        <v/>
      </c>
    </row>
    <row r="24728">
      <c r="A24728" t="inlineStr">
        <is>
          <t>7391681038066</t>
        </is>
      </c>
      <c r="B24728" t="inlineStr">
        <is>
          <t>Maria Nila Extreme Spray 100ml Hold 5/5 Antioxidant Preserves Hair Color 100% Vegan and Sulfate/Paraben Free</t>
        </is>
      </c>
      <c r="C24728" t="inlineStr">
        <is>
          <t>Hairspray</t>
        </is>
      </c>
      <c r="D24728" t="inlineStr">
        <is>
          <t>Maria Nila</t>
        </is>
      </c>
      <c r="E24728" t="n">
        <v>13.02</v>
      </c>
      <c r="F24728" t="n">
        <v>1</v>
      </c>
      <c r="G24728" t="n">
        <v>5</v>
      </c>
      <c r="H24728" s="5">
        <f>HYPERLINK("https://api.qogita.com/variants/link/7391681038066/", "View Product")</f>
        <v/>
      </c>
    </row>
    <row r="24729">
      <c r="A24729" t="inlineStr">
        <is>
          <t>7391681038110</t>
        </is>
      </c>
      <c r="B24729" t="inlineStr">
        <is>
          <t>Maria Nila Styling Spray 100ml - Provides Light and Flexible Stability and Reduces Frizz</t>
        </is>
      </c>
      <c r="C24729" t="inlineStr">
        <is>
          <t>Styling Sprays</t>
        </is>
      </c>
      <c r="D24729" t="inlineStr">
        <is>
          <t>Maria Nila</t>
        </is>
      </c>
      <c r="E24729" t="n">
        <v>13.28</v>
      </c>
      <c r="F24729" t="n">
        <v>1</v>
      </c>
      <c r="G24729" t="n">
        <v>6</v>
      </c>
      <c r="H24729" s="5">
        <f>HYPERLINK("https://api.qogita.com/variants/link/7391681038110/", "View Product")</f>
        <v/>
      </c>
    </row>
    <row r="24730">
      <c r="A24730" t="inlineStr">
        <is>
          <t>7391681038202</t>
        </is>
      </c>
      <c r="B24730" t="inlineStr">
        <is>
          <t>Maria Nila Style Finish Styling Mousse Hair Volume Styling Foam</t>
        </is>
      </c>
      <c r="C24730" t="inlineStr">
        <is>
          <t>Mousse</t>
        </is>
      </c>
      <c r="D24730" t="inlineStr">
        <is>
          <t>Maria Nila</t>
        </is>
      </c>
      <c r="E24730" t="n">
        <v>17.89</v>
      </c>
      <c r="F24730" t="n">
        <v>1</v>
      </c>
      <c r="G24730" t="n">
        <v>2</v>
      </c>
      <c r="H24730" s="5">
        <f>HYPERLINK("https://api.qogita.com/variants/link/7391681038202/", "View Product")</f>
        <v/>
      </c>
    </row>
    <row r="24731">
      <c r="A24731" t="inlineStr">
        <is>
          <t>7391681038264</t>
        </is>
      </c>
      <c r="B24731" t="inlineStr">
        <is>
          <t>Maria Nila Dry Shampoo For Hair Volume Style &amp; Finish</t>
        </is>
      </c>
      <c r="C24731" t="inlineStr">
        <is>
          <t>Dry Shampoo</t>
        </is>
      </c>
      <c r="D24731" t="inlineStr">
        <is>
          <t>Maria Nila</t>
        </is>
      </c>
      <c r="E24731" t="n">
        <v>13.02</v>
      </c>
      <c r="F24731" t="n">
        <v>1</v>
      </c>
      <c r="G24731" t="n">
        <v>20</v>
      </c>
      <c r="H24731" s="5">
        <f>HYPERLINK("https://api.qogita.com/variants/link/7391681038264/", "View Product")</f>
        <v/>
      </c>
    </row>
    <row r="24732">
      <c r="A24732" t="inlineStr">
        <is>
          <t>7391681038509</t>
        </is>
      </c>
      <c r="B24732" t="inlineStr">
        <is>
          <t>Maria Nila Cream Heat Spray 150ml</t>
        </is>
      </c>
      <c r="C24732" t="inlineStr">
        <is>
          <t>Heat Protection</t>
        </is>
      </c>
      <c r="D24732" t="inlineStr">
        <is>
          <t>Maria Nila</t>
        </is>
      </c>
      <c r="E24732" t="n">
        <v>20.51</v>
      </c>
      <c r="F24732" t="n">
        <v>1</v>
      </c>
      <c r="G24732" t="n">
        <v>6</v>
      </c>
      <c r="H24732" s="5">
        <f>HYPERLINK("https://api.qogita.com/variants/link/7391681038509/", "View Product")</f>
        <v/>
      </c>
    </row>
    <row r="24733">
      <c r="A24733" t="inlineStr">
        <is>
          <t>7391681038653</t>
        </is>
      </c>
      <c r="B24733" t="inlineStr">
        <is>
          <t>Maria Nila Curlicue Cream 100ml</t>
        </is>
      </c>
      <c r="C24733" t="inlineStr">
        <is>
          <t>Hair Care Sets</t>
        </is>
      </c>
      <c r="D24733" t="inlineStr">
        <is>
          <t>Maria Nila</t>
        </is>
      </c>
      <c r="E24733" t="n">
        <v>19.46</v>
      </c>
      <c r="F24733" t="n">
        <v>1</v>
      </c>
      <c r="G24733" t="n">
        <v>2</v>
      </c>
      <c r="H24733" s="5">
        <f>HYPERLINK("https://api.qogita.com/variants/link/7391681038653/", "View Product")</f>
        <v/>
      </c>
    </row>
    <row r="24734">
      <c r="A24734" t="inlineStr">
        <is>
          <t>7391681039414</t>
        </is>
      </c>
      <c r="B24734" t="inlineStr">
        <is>
          <t>Maria Nila Styling Clay Hair Wax For Styling</t>
        </is>
      </c>
      <c r="C24734" t="inlineStr">
        <is>
          <t>Wax</t>
        </is>
      </c>
      <c r="D24734" t="inlineStr">
        <is>
          <t>Maria Nila</t>
        </is>
      </c>
      <c r="E24734" t="n">
        <v>13.02</v>
      </c>
      <c r="F24734" t="n">
        <v>1</v>
      </c>
      <c r="G24734" t="n">
        <v>3</v>
      </c>
      <c r="H24734" s="5">
        <f>HYPERLINK("https://api.qogita.com/variants/link/7391681039414/", "View Product")</f>
        <v/>
      </c>
    </row>
    <row r="24735">
      <c r="A24735" t="inlineStr">
        <is>
          <t>7391681047099</t>
        </is>
      </c>
      <c r="B24735" t="inlineStr">
        <is>
          <t>Maria Nila Bright Red Color Refresh Mask 100ml Gentle Nourishing Mask Without Permanent Color Pigments</t>
        </is>
      </c>
      <c r="C24735" t="inlineStr">
        <is>
          <t>Hair Masks</t>
        </is>
      </c>
      <c r="D24735" t="inlineStr">
        <is>
          <t>Maria Nila</t>
        </is>
      </c>
      <c r="E24735" t="n">
        <v>14.96</v>
      </c>
      <c r="F24735" t="n">
        <v>1</v>
      </c>
      <c r="G24735" t="n">
        <v>5</v>
      </c>
      <c r="H24735" s="5">
        <f>HYPERLINK("https://api.qogita.com/variants/link/7391681047099/", "View Product")</f>
        <v/>
      </c>
    </row>
    <row r="24736">
      <c r="A24736" t="inlineStr">
        <is>
          <t>7391681047105</t>
        </is>
      </c>
      <c r="B24736" t="inlineStr">
        <is>
          <t>Maria Nila Colour Refresh Revolutionary Color Mask Sand 100ml</t>
        </is>
      </c>
      <c r="C24736" t="inlineStr">
        <is>
          <t>Hair Masks</t>
        </is>
      </c>
      <c r="D24736" t="inlineStr">
        <is>
          <t>Maria Nila</t>
        </is>
      </c>
      <c r="E24736" t="n">
        <v>14.96</v>
      </c>
      <c r="F24736" t="n">
        <v>1</v>
      </c>
      <c r="G24736" t="n">
        <v>2</v>
      </c>
      <c r="H24736" s="5">
        <f>HYPERLINK("https://api.qogita.com/variants/link/7391681047105/", "View Product")</f>
        <v/>
      </c>
    </row>
    <row r="24737">
      <c r="A24737" t="inlineStr">
        <is>
          <t>7391681047204</t>
        </is>
      </c>
      <c r="B24737" t="inlineStr">
        <is>
          <t>Maria Nila Colour Refresh Cool Cream 8.1 Coloring Mask For Hair 100ml</t>
        </is>
      </c>
      <c r="C24737" t="inlineStr">
        <is>
          <t>Color Rinse</t>
        </is>
      </c>
      <c r="D24737" t="inlineStr">
        <is>
          <t>Maria Nila</t>
        </is>
      </c>
      <c r="E24737" t="n">
        <v>12.47</v>
      </c>
      <c r="F24737" t="n">
        <v>1</v>
      </c>
      <c r="G24737" t="n">
        <v>3</v>
      </c>
      <c r="H24737" s="5">
        <f>HYPERLINK("https://api.qogita.com/variants/link/7391681047204/", "View Product")</f>
        <v/>
      </c>
    </row>
    <row r="24738">
      <c r="A24738" t="inlineStr">
        <is>
          <t>7391681403017</t>
        </is>
      </c>
      <c r="B24738" t="inlineStr">
        <is>
          <t>Maria Nila True Soft Booster Masque 50 Ml For Dry Hair</t>
        </is>
      </c>
      <c r="C24738" t="inlineStr">
        <is>
          <t>Hair Masks</t>
        </is>
      </c>
      <c r="D24738" t="inlineStr">
        <is>
          <t>Maria Nila</t>
        </is>
      </c>
      <c r="E24738" t="n">
        <v>8.640000000000001</v>
      </c>
      <c r="F24738" t="n">
        <v>1</v>
      </c>
      <c r="G24738" t="n">
        <v>5</v>
      </c>
      <c r="H24738" s="5">
        <f>HYPERLINK("https://api.qogita.com/variants/link/7391681403017/", "View Product")</f>
        <v/>
      </c>
    </row>
    <row r="24739">
      <c r="A24739" t="inlineStr">
        <is>
          <t>7391681403765</t>
        </is>
      </c>
      <c r="B24739" t="inlineStr">
        <is>
          <t>Maria Nila Luscious Curl Gel Styling Gel For Curly And Wavy Hair 125 Ml</t>
        </is>
      </c>
      <c r="C24739" t="inlineStr">
        <is>
          <t>Gel</t>
        </is>
      </c>
      <c r="D24739" t="inlineStr">
        <is>
          <t>Maria Nila</t>
        </is>
      </c>
      <c r="E24739" t="n">
        <v>19.17</v>
      </c>
      <c r="F24739" t="n">
        <v>1</v>
      </c>
      <c r="G24739" t="n">
        <v>2</v>
      </c>
      <c r="H24739" s="5">
        <f>HYPERLINK("https://api.qogita.com/variants/link/7391681403765/", "View Product")</f>
        <v/>
      </c>
    </row>
    <row r="24740">
      <c r="A24740" t="inlineStr">
        <is>
          <t>7391681404120</t>
        </is>
      </c>
      <c r="B24740" t="inlineStr">
        <is>
          <t>Maria Nila Soothing Dry Shampoo 250ml Hold 1/5 Freshens up Greasy Hair and Soothing for Scalp 100% Vegan Sulfate Paraben Free</t>
        </is>
      </c>
      <c r="C24740" t="inlineStr">
        <is>
          <t>Dry Shampoo</t>
        </is>
      </c>
      <c r="D24740" t="inlineStr">
        <is>
          <t>Maria Nila</t>
        </is>
      </c>
      <c r="E24740" t="n">
        <v>21.09</v>
      </c>
      <c r="F24740" t="n">
        <v>1</v>
      </c>
      <c r="G24740" t="n">
        <v>9</v>
      </c>
      <c r="H24740" s="5">
        <f>HYPERLINK("https://api.qogita.com/variants/link/7391681404120/", "View Product")</f>
        <v/>
      </c>
    </row>
    <row r="24741">
      <c r="A24741" t="inlineStr">
        <is>
          <t>7391681404236</t>
        </is>
      </c>
      <c r="B24741" t="inlineStr">
        <is>
          <t>Maria Nila Volume Spray Hold 100% Vegan Hair Spray 300ml</t>
        </is>
      </c>
      <c r="C24741" t="inlineStr">
        <is>
          <t>Hairspray</t>
        </is>
      </c>
      <c r="D24741" t="inlineStr">
        <is>
          <t>Maria Nila</t>
        </is>
      </c>
      <c r="E24741" t="n">
        <v>22.03</v>
      </c>
      <c r="F24741" t="n">
        <v>1</v>
      </c>
      <c r="G24741" t="n">
        <v>5</v>
      </c>
      <c r="H24741" s="5">
        <f>HYPERLINK("https://api.qogita.com/variants/link/7391681404236/", "View Product")</f>
        <v/>
      </c>
    </row>
    <row r="24742">
      <c r="A24742" t="inlineStr">
        <is>
          <t>7391681406469</t>
        </is>
      </c>
      <c r="B24742" t="inlineStr">
        <is>
          <t>Maria Nila Styling Spray 300ml Hold 2/5 Reduces Frizz Antioxidant Preserves</t>
        </is>
      </c>
      <c r="C24742" t="inlineStr">
        <is>
          <t>Styling Sprays</t>
        </is>
      </c>
      <c r="D24742" t="inlineStr">
        <is>
          <t>Maria Nila</t>
        </is>
      </c>
      <c r="E24742" t="n">
        <v>23.29</v>
      </c>
      <c r="F24742" t="n">
        <v>1</v>
      </c>
      <c r="G24742" t="n">
        <v>4</v>
      </c>
      <c r="H24742" s="5">
        <f>HYPERLINK("https://api.qogita.com/variants/link/7391681406469/", "View Product")</f>
        <v/>
      </c>
    </row>
    <row r="24743">
      <c r="A24743" t="inlineStr">
        <is>
          <t>7391681406506</t>
        </is>
      </c>
      <c r="B24743" t="inlineStr">
        <is>
          <t>Maria Nila Pure Volume Beauty Box</t>
        </is>
      </c>
      <c r="C24743" t="inlineStr">
        <is>
          <t>Hair Care Sets</t>
        </is>
      </c>
      <c r="D24743" t="inlineStr">
        <is>
          <t>Maria Nila</t>
        </is>
      </c>
      <c r="E24743" t="n">
        <v>47.56</v>
      </c>
      <c r="F24743" t="n">
        <v>1</v>
      </c>
      <c r="G24743" t="n">
        <v>4</v>
      </c>
      <c r="H24743" s="5">
        <f>HYPERLINK("https://api.qogita.com/variants/link/7391681406506/", "View Product")</f>
        <v/>
      </c>
    </row>
    <row r="24744">
      <c r="A24744" t="inlineStr">
        <is>
          <t>7391681406568</t>
        </is>
      </c>
      <c r="B24744" t="inlineStr">
        <is>
          <t>Maria Nila Holiday Box Coils Curls - Perfect For Curly Hair Styling</t>
        </is>
      </c>
      <c r="C24744" t="inlineStr">
        <is>
          <t>Hair Care Sets</t>
        </is>
      </c>
      <c r="D24744" t="inlineStr">
        <is>
          <t>Maria Nila</t>
        </is>
      </c>
      <c r="E24744" t="n">
        <v>53.21</v>
      </c>
      <c r="F24744" t="n">
        <v>1</v>
      </c>
      <c r="G24744" t="n">
        <v>4</v>
      </c>
      <c r="H24744" s="5">
        <f>HYPERLINK("https://api.qogita.com/variants/link/7391681406568/", "View Product")</f>
        <v/>
      </c>
    </row>
    <row r="24745">
      <c r="A24745" t="inlineStr">
        <is>
          <t>7500435224932</t>
        </is>
      </c>
      <c r="B24745" t="inlineStr">
        <is>
          <t>Braun Silkpil 1010 Epilator Pink</t>
        </is>
      </c>
      <c r="C24745" t="inlineStr">
        <is>
          <t>Razors &amp; Hair Removal Tools</t>
        </is>
      </c>
      <c r="D24745" t="inlineStr">
        <is>
          <t>Braun</t>
        </is>
      </c>
      <c r="E24745" t="n">
        <v>30.83</v>
      </c>
      <c r="F24745" t="n">
        <v>1</v>
      </c>
      <c r="G24745" t="n">
        <v>2</v>
      </c>
      <c r="H24745" s="5">
        <f>HYPERLINK("https://api.qogita.com/variants/link/7500435224932/", "View Product")</f>
        <v/>
      </c>
    </row>
    <row r="24746">
      <c r="A24746" t="inlineStr">
        <is>
          <t>7610108006878</t>
        </is>
      </c>
      <c r="B24746" t="inlineStr">
        <is>
          <t>Elmex Anticaries Mouthwash 400 Ml</t>
        </is>
      </c>
      <c r="C24746" t="inlineStr">
        <is>
          <t>Mouthwash</t>
        </is>
      </c>
      <c r="D24746" t="inlineStr">
        <is>
          <t>Elmex</t>
        </is>
      </c>
      <c r="E24746" t="n">
        <v>6.56</v>
      </c>
      <c r="F24746" t="n">
        <v>1</v>
      </c>
      <c r="G24746" t="n">
        <v>9</v>
      </c>
      <c r="H24746" s="5">
        <f>HYPERLINK("https://api.qogita.com/variants/link/7610108006878/", "View Product")</f>
        <v/>
      </c>
    </row>
    <row r="24747">
      <c r="A24747" t="inlineStr">
        <is>
          <t>7610558007166</t>
        </is>
      </c>
      <c r="B24747" t="inlineStr">
        <is>
          <t>Valera Swiss Power4ever eQ Professional Ionic Hair Dryer with Sanify Air Purification 2400W Red</t>
        </is>
      </c>
      <c r="C24747" t="inlineStr">
        <is>
          <t>Hair Dryers</t>
        </is>
      </c>
      <c r="D24747" t="inlineStr">
        <is>
          <t>Valera</t>
        </is>
      </c>
      <c r="E24747" t="n">
        <v>153.8</v>
      </c>
      <c r="F24747" t="n">
        <v>1</v>
      </c>
      <c r="G24747" t="n">
        <v>2</v>
      </c>
      <c r="H24747" s="5">
        <f>HYPERLINK("https://api.qogita.com/variants/link/7610558007166/", "View Product")</f>
        <v/>
      </c>
    </row>
    <row r="24748">
      <c r="A24748" t="inlineStr">
        <is>
          <t>7610558012900</t>
        </is>
      </c>
      <c r="B24748" t="inlineStr">
        <is>
          <t>Valera SQ Beauty Case Heat-Resistant Storage Bag for Hair Straighteners</t>
        </is>
      </c>
      <c r="C24748" t="inlineStr">
        <is>
          <t>Hair Straighteners</t>
        </is>
      </c>
      <c r="D24748" t="inlineStr">
        <is>
          <t>Valera</t>
        </is>
      </c>
      <c r="E24748" t="n">
        <v>22.87</v>
      </c>
      <c r="F24748" t="n">
        <v>1</v>
      </c>
      <c r="G24748" t="n">
        <v>2</v>
      </c>
      <c r="H24748" s="5">
        <f>HYPERLINK("https://api.qogita.com/variants/link/7610558012900/", "View Product")</f>
        <v/>
      </c>
    </row>
    <row r="24749">
      <c r="A24749" t="inlineStr">
        <is>
          <t>7610558013549</t>
        </is>
      </c>
      <c r="B24749" t="inlineStr">
        <is>
          <t>Valera Swiss Nano 9600 Professional Ion Hair Dryer with Sanify Air Purification Silver Grey</t>
        </is>
      </c>
      <c r="C24749" t="inlineStr">
        <is>
          <t>Hair Dryers</t>
        </is>
      </c>
      <c r="D24749" t="inlineStr">
        <is>
          <t>Valera</t>
        </is>
      </c>
      <c r="E24749" t="n">
        <v>93.28</v>
      </c>
      <c r="F24749" t="n">
        <v>1</v>
      </c>
      <c r="G24749" t="n">
        <v>3</v>
      </c>
      <c r="H24749" s="5">
        <f>HYPERLINK("https://api.qogita.com/variants/link/7610558013549/", "View Product")</f>
        <v/>
      </c>
    </row>
    <row r="24750">
      <c r="A24750" t="inlineStr">
        <is>
          <t>7610558014966</t>
        </is>
      </c>
      <c r="B24750" t="inlineStr">
        <is>
          <t>Valera Swiss Steelmaster Blackchrome Sm58802rcbl Professional Hair Dryer</t>
        </is>
      </c>
      <c r="C24750" t="inlineStr">
        <is>
          <t>Hair Dryers</t>
        </is>
      </c>
      <c r="D24750" t="inlineStr">
        <is>
          <t>Valera</t>
        </is>
      </c>
      <c r="E24750" t="n">
        <v>137.58</v>
      </c>
      <c r="F24750" t="n">
        <v>1</v>
      </c>
      <c r="G24750" t="n">
        <v>4</v>
      </c>
      <c r="H24750" s="5">
        <f>HYPERLINK("https://api.qogita.com/variants/link/7610558014966/", "View Product")</f>
        <v/>
      </c>
    </row>
    <row r="24751">
      <c r="A24751" t="inlineStr">
        <is>
          <t>7610558017837</t>
        </is>
      </c>
      <c r="B24751" t="inlineStr">
        <is>
          <t>Valera Filter And Cleaning Brush For Matrixcare Ai Hair Dryers</t>
        </is>
      </c>
      <c r="C24751" t="inlineStr">
        <is>
          <t>Hair Dryers</t>
        </is>
      </c>
      <c r="D24751" t="inlineStr">
        <is>
          <t>Valera</t>
        </is>
      </c>
      <c r="E24751" t="n">
        <v>16.07</v>
      </c>
      <c r="F24751" t="n">
        <v>1</v>
      </c>
      <c r="G24751" t="n">
        <v>2</v>
      </c>
      <c r="H24751" s="5">
        <f>HYPERLINK("https://api.qogita.com/variants/link/7610558017837/", "View Product")</f>
        <v/>
      </c>
    </row>
    <row r="24752">
      <c r="A24752" t="inlineStr">
        <is>
          <t>7610558034025</t>
        </is>
      </c>
      <c r="B24752" t="inlineStr">
        <is>
          <t>Valera Jolly Chrome Wall Holder for Hair Dryers</t>
        </is>
      </c>
      <c r="C24752" t="inlineStr">
        <is>
          <t>Hair Dryers</t>
        </is>
      </c>
      <c r="D24752" t="inlineStr">
        <is>
          <t>Valera</t>
        </is>
      </c>
      <c r="E24752" t="n">
        <v>9.51</v>
      </c>
      <c r="F24752" t="n">
        <v>1</v>
      </c>
      <c r="G24752" t="n">
        <v>3</v>
      </c>
      <c r="H24752" s="5">
        <f>HYPERLINK("https://api.qogita.com/variants/link/7610558034025/", "View Product")</f>
        <v/>
      </c>
    </row>
    <row r="24753">
      <c r="A24753" t="inlineStr">
        <is>
          <t>7611773086752</t>
        </is>
      </c>
      <c r="B24753" t="inlineStr">
        <is>
          <t>La Prairie Skin Caviar Essenceinfoundation Spf 25 Golden Beige W30</t>
        </is>
      </c>
      <c r="C24753" t="inlineStr">
        <is>
          <t>Foundation</t>
        </is>
      </c>
      <c r="D24753" t="inlineStr">
        <is>
          <t>La Prairie</t>
        </is>
      </c>
      <c r="E24753" t="n">
        <v>155.62</v>
      </c>
      <c r="F24753" t="n">
        <v>1</v>
      </c>
      <c r="G24753" t="n">
        <v>2</v>
      </c>
      <c r="H24753" s="5">
        <f>HYPERLINK("https://api.qogita.com/variants/link/7611773086752/", "View Product")</f>
        <v/>
      </c>
    </row>
    <row r="24754">
      <c r="A24754" t="inlineStr">
        <is>
          <t>7611773086806</t>
        </is>
      </c>
      <c r="B24754" t="inlineStr">
        <is>
          <t>La Prairie Skin Caviar Essenceinfoundation Spf 25 30 Ml</t>
        </is>
      </c>
      <c r="C24754" t="inlineStr">
        <is>
          <t>Tinted Day Cream</t>
        </is>
      </c>
      <c r="D24754" t="inlineStr">
        <is>
          <t>La Prairie</t>
        </is>
      </c>
      <c r="E24754" t="n">
        <v>153.23</v>
      </c>
      <c r="F24754" t="n">
        <v>1</v>
      </c>
      <c r="G24754" t="n">
        <v>6</v>
      </c>
      <c r="H24754" s="5">
        <f>HYPERLINK("https://api.qogita.com/variants/link/7611773086806/", "View Product")</f>
        <v/>
      </c>
    </row>
    <row r="24755">
      <c r="A24755" t="inlineStr">
        <is>
          <t>7611773108874</t>
        </is>
      </c>
      <c r="B24755" t="inlineStr">
        <is>
          <t>La Prairie Platinum Rare Haute-Rejuvenation Eye Elixir 15ml</t>
        </is>
      </c>
      <c r="C24755" t="inlineStr">
        <is>
          <t>Eye Serum</t>
        </is>
      </c>
      <c r="D24755" t="inlineStr">
        <is>
          <t>La Prairie</t>
        </is>
      </c>
      <c r="E24755" t="n">
        <v>674.49</v>
      </c>
      <c r="F24755" t="n">
        <v>1</v>
      </c>
      <c r="G24755" t="n">
        <v>4</v>
      </c>
      <c r="H24755" s="5">
        <f>HYPERLINK("https://api.qogita.com/variants/link/7611773108874/", "View Product")</f>
        <v/>
      </c>
    </row>
    <row r="24756">
      <c r="A24756" t="inlineStr">
        <is>
          <t>7611773139670</t>
        </is>
      </c>
      <c r="B24756" t="inlineStr">
        <is>
          <t>La Prairie Caviar Luxe 50ml Cream NEW REMASTERED 2023!</t>
        </is>
      </c>
      <c r="C24756" t="inlineStr">
        <is>
          <t>Face Cream</t>
        </is>
      </c>
      <c r="D24756" t="inlineStr">
        <is>
          <t>La Prairie</t>
        </is>
      </c>
      <c r="E24756" t="n">
        <v>338.98</v>
      </c>
      <c r="F24756" t="n">
        <v>1</v>
      </c>
      <c r="G24756" t="n">
        <v>3</v>
      </c>
      <c r="H24756" s="5">
        <f>HYPERLINK("https://api.qogita.com/variants/link/7611773139670/", "View Product")</f>
        <v/>
      </c>
    </row>
    <row r="24757">
      <c r="A24757" t="inlineStr">
        <is>
          <t>7611773235068</t>
        </is>
      </c>
      <c r="B24757" t="inlineStr">
        <is>
          <t>La Prairie Purifying Cream Cleanser 200ml</t>
        </is>
      </c>
      <c r="C24757" t="inlineStr">
        <is>
          <t>Cleansing Cream</t>
        </is>
      </c>
      <c r="D24757" t="inlineStr">
        <is>
          <t>La Prairie</t>
        </is>
      </c>
      <c r="E24757" t="n">
        <v>67.33</v>
      </c>
      <c r="F24757" t="n">
        <v>1</v>
      </c>
      <c r="G24757" t="n">
        <v>2</v>
      </c>
      <c r="H24757" s="5">
        <f>HYPERLINK("https://api.qogita.com/variants/link/7611773235068/", "View Product")</f>
        <v/>
      </c>
    </row>
    <row r="24758">
      <c r="A24758" t="inlineStr">
        <is>
          <t>7611773272476</t>
        </is>
      </c>
      <c r="B24758" t="inlineStr">
        <is>
          <t>La Prairie Cellular Softening and Balancing Lotion 250ml</t>
        </is>
      </c>
      <c r="C24758" t="inlineStr">
        <is>
          <t>Face Lotion</t>
        </is>
      </c>
      <c r="D24758" t="inlineStr">
        <is>
          <t>La Prairie</t>
        </is>
      </c>
      <c r="E24758" t="n">
        <v>110.78</v>
      </c>
      <c r="F24758" t="n">
        <v>1</v>
      </c>
      <c r="G24758" t="n">
        <v>3</v>
      </c>
      <c r="H24758" s="5">
        <f>HYPERLINK("https://api.qogita.com/variants/link/7611773272476/", "View Product")</f>
        <v/>
      </c>
    </row>
    <row r="24759">
      <c r="A24759" t="inlineStr">
        <is>
          <t>7611916154317</t>
        </is>
      </c>
      <c r="B24759" t="inlineStr">
        <is>
          <t>Weleda Arnica Sport Shower Gel 200ml</t>
        </is>
      </c>
      <c r="C24759" t="inlineStr">
        <is>
          <t>Shower Gel</t>
        </is>
      </c>
      <c r="D24759" t="inlineStr">
        <is>
          <t>Weleda</t>
        </is>
      </c>
      <c r="E24759" t="n">
        <v>8.23</v>
      </c>
      <c r="F24759" t="n">
        <v>1</v>
      </c>
      <c r="G24759" t="n">
        <v>4</v>
      </c>
      <c r="H24759" s="5">
        <f>HYPERLINK("https://api.qogita.com/variants/link/7611916154317/", "View Product")</f>
        <v/>
      </c>
    </row>
    <row r="24760">
      <c r="A24760" t="inlineStr">
        <is>
          <t>7611916160776</t>
        </is>
      </c>
      <c r="B24760" t="inlineStr">
        <is>
          <t>Weleda Aroma Shower Relax Comforting Creamy Body Wash 200 Ml</t>
        </is>
      </c>
      <c r="C24760" t="inlineStr">
        <is>
          <t>Shower Gel</t>
        </is>
      </c>
      <c r="D24760" t="inlineStr">
        <is>
          <t>Weleda</t>
        </is>
      </c>
      <c r="E24760" t="n">
        <v>8.710000000000001</v>
      </c>
      <c r="F24760" t="n">
        <v>1</v>
      </c>
      <c r="G24760" t="n">
        <v>5</v>
      </c>
      <c r="H24760" s="5">
        <f>HYPERLINK("https://api.qogita.com/variants/link/7611916160776/", "View Product")</f>
        <v/>
      </c>
    </row>
    <row r="24761">
      <c r="A24761" t="inlineStr">
        <is>
          <t>7611916163227</t>
        </is>
      </c>
      <c r="B24761" t="inlineStr">
        <is>
          <t>Weleda Contouring Day Cream Blue Gentian and Edelweiss 40ml</t>
        </is>
      </c>
      <c r="C24761" t="inlineStr">
        <is>
          <t>Day Cream</t>
        </is>
      </c>
      <c r="D24761" t="inlineStr">
        <is>
          <t>Weleda</t>
        </is>
      </c>
      <c r="E24761" t="n">
        <v>24.65</v>
      </c>
      <c r="F24761" t="n">
        <v>1</v>
      </c>
      <c r="G24761" t="n">
        <v>4</v>
      </c>
      <c r="H24761" s="5">
        <f>HYPERLINK("https://api.qogita.com/variants/link/7611916163227/", "View Product")</f>
        <v/>
      </c>
    </row>
    <row r="24762">
      <c r="A24762" t="inlineStr">
        <is>
          <t>7611916164514</t>
        </is>
      </c>
      <c r="B24762" t="inlineStr">
        <is>
          <t>Weleda Mandarina Di Capri Shower Gel - Refreshing Citrus Scent</t>
        </is>
      </c>
      <c r="C24762" t="inlineStr">
        <is>
          <t>Shower Gel</t>
        </is>
      </c>
      <c r="D24762" t="inlineStr">
        <is>
          <t>Weleda</t>
        </is>
      </c>
      <c r="E24762" t="n">
        <v>8.710000000000001</v>
      </c>
      <c r="F24762" t="n">
        <v>1</v>
      </c>
      <c r="G24762" t="n">
        <v>14</v>
      </c>
      <c r="H24762" s="5">
        <f>HYPERLINK("https://api.qogita.com/variants/link/7611916164514/", "View Product")</f>
        <v/>
      </c>
    </row>
    <row r="24763">
      <c r="A24763" t="inlineStr">
        <is>
          <t>7611916164606</t>
        </is>
      </c>
      <c r="B24763" t="inlineStr">
        <is>
          <t>Energy Shower Gel Ginger 400ml</t>
        </is>
      </c>
      <c r="C24763" t="inlineStr">
        <is>
          <t>Shower Gel</t>
        </is>
      </c>
      <c r="D24763" t="inlineStr">
        <is>
          <t>Weleda</t>
        </is>
      </c>
      <c r="E24763" t="n">
        <v>11.35</v>
      </c>
      <c r="F24763" t="n">
        <v>1</v>
      </c>
      <c r="G24763" t="n">
        <v>4</v>
      </c>
      <c r="H24763" s="5">
        <f>HYPERLINK("https://api.qogita.com/variants/link/7611916164606/", "View Product")</f>
        <v/>
      </c>
    </row>
    <row r="24764">
      <c r="A24764" t="inlineStr">
        <is>
          <t>7612017050218</t>
        </is>
      </c>
      <c r="B24764" t="inlineStr">
        <is>
          <t>Hydration by Valmont Hydra3 Eye 15ml</t>
        </is>
      </c>
      <c r="C24764" t="inlineStr">
        <is>
          <t>Eye Cream</t>
        </is>
      </c>
      <c r="D24764" t="inlineStr">
        <is>
          <t>Valmont</t>
        </is>
      </c>
      <c r="E24764" t="n">
        <v>81.84</v>
      </c>
      <c r="F24764" t="n">
        <v>1</v>
      </c>
      <c r="G24764" t="n">
        <v>20</v>
      </c>
      <c r="H24764" s="5">
        <f>HYPERLINK("https://api.qogita.com/variants/link/7612017050218/", "View Product")</f>
        <v/>
      </c>
    </row>
    <row r="24765">
      <c r="A24765" t="inlineStr">
        <is>
          <t>7612017059440</t>
        </is>
      </c>
      <c r="B24765" t="inlineStr">
        <is>
          <t>Valmont V-Neck Neck Cream 50ml - Premium Skincare</t>
        </is>
      </c>
      <c r="C24765" t="inlineStr">
        <is>
          <t>Neck &amp; Decollete</t>
        </is>
      </c>
      <c r="D24765" t="inlineStr">
        <is>
          <t>Valmont</t>
        </is>
      </c>
      <c r="E24765" t="n">
        <v>175.97</v>
      </c>
      <c r="F24765" t="n">
        <v>1</v>
      </c>
      <c r="G24765" t="n">
        <v>5</v>
      </c>
      <c r="H24765" s="5">
        <f>HYPERLINK("https://api.qogita.com/variants/link/7612017059440/", "View Product")</f>
        <v/>
      </c>
    </row>
    <row r="24766">
      <c r="A24766" t="inlineStr">
        <is>
          <t>7612017059624</t>
        </is>
      </c>
      <c r="B24766" t="inlineStr">
        <is>
          <t>Valmont VFirm Eye 15ml</t>
        </is>
      </c>
      <c r="C24766" t="inlineStr">
        <is>
          <t>Eye Cream</t>
        </is>
      </c>
      <c r="D24766" t="inlineStr">
        <is>
          <t>Valmont</t>
        </is>
      </c>
      <c r="E24766" t="n">
        <v>143.44</v>
      </c>
      <c r="F24766" t="n">
        <v>1</v>
      </c>
      <c r="G24766" t="n">
        <v>11</v>
      </c>
      <c r="H24766" s="5">
        <f>HYPERLINK("https://api.qogita.com/variants/link/7612017059624/", "View Product")</f>
        <v/>
      </c>
    </row>
    <row r="24767">
      <c r="A24767" t="inlineStr">
        <is>
          <t>7612017061184</t>
        </is>
      </c>
      <c r="B24767" t="inlineStr">
        <is>
          <t>Valmont Wishes Of Beauty Set Oxygenating Skin Care Gift Set With Deto2x Cream 45ml</t>
        </is>
      </c>
      <c r="C24767" t="inlineStr">
        <is>
          <t>Facial Care Sets</t>
        </is>
      </c>
      <c r="D24767" t="inlineStr">
        <is>
          <t>Valmont</t>
        </is>
      </c>
      <c r="E24767" t="n">
        <v>243.81</v>
      </c>
      <c r="F24767" t="n">
        <v>1</v>
      </c>
      <c r="G24767" t="n">
        <v>2</v>
      </c>
      <c r="H24767" s="5">
        <f>HYPERLINK("https://api.qogita.com/variants/link/7612017061184/", "View Product")</f>
        <v/>
      </c>
    </row>
    <row r="24768">
      <c r="A24768" t="inlineStr">
        <is>
          <t>7612017504421</t>
        </is>
      </c>
      <c r="B24768" t="inlineStr">
        <is>
          <t>Valmont Vital Falls &amp; Fizzy Mint Sample 150ml</t>
        </is>
      </c>
      <c r="C24768" t="inlineStr">
        <is>
          <t>Facial Spray</t>
        </is>
      </c>
      <c r="D24768" t="inlineStr">
        <is>
          <t>Valmont</t>
        </is>
      </c>
      <c r="E24768" t="n">
        <v>52.26</v>
      </c>
      <c r="F24768" t="n">
        <v>1</v>
      </c>
      <c r="G24768" t="n">
        <v>11</v>
      </c>
      <c r="H24768" s="5">
        <f>HYPERLINK("https://api.qogita.com/variants/link/7612017504421/", "View Product")</f>
        <v/>
      </c>
    </row>
    <row r="24769">
      <c r="A24769" t="inlineStr">
        <is>
          <t>7612017858210</t>
        </is>
      </c>
      <c r="B24769" t="inlineStr">
        <is>
          <t>Valmont Detox2x Eye 12ml</t>
        </is>
      </c>
      <c r="C24769" t="inlineStr">
        <is>
          <t>Eye Serum</t>
        </is>
      </c>
      <c r="D24769" t="inlineStr">
        <is>
          <t>Valmont</t>
        </is>
      </c>
      <c r="E24769" t="n">
        <v>103.07</v>
      </c>
      <c r="F24769" t="n">
        <v>1</v>
      </c>
      <c r="G24769" t="n">
        <v>2</v>
      </c>
      <c r="H24769" s="5">
        <f>HYPERLINK("https://api.qogita.com/variants/link/7612017858210/", "View Product")</f>
        <v/>
      </c>
    </row>
    <row r="24770">
      <c r="A24770" t="inlineStr">
        <is>
          <t>7612017900537</t>
        </is>
      </c>
      <c r="B24770" t="inlineStr">
        <is>
          <t>Valmont Elixir Des Glaciers Your Face Precious Foundation Powder</t>
        </is>
      </c>
      <c r="C24770" t="inlineStr">
        <is>
          <t>Foundation</t>
        </is>
      </c>
      <c r="D24770" t="inlineStr">
        <is>
          <t>Valmont</t>
        </is>
      </c>
      <c r="E24770" t="n">
        <v>117.43</v>
      </c>
      <c r="F24770" t="n">
        <v>1</v>
      </c>
      <c r="G24770" t="n">
        <v>3</v>
      </c>
      <c r="H24770" s="5">
        <f>HYPERLINK("https://api.qogita.com/variants/link/7612017900537/", "View Product")</f>
        <v/>
      </c>
    </row>
    <row r="24771">
      <c r="A24771" t="inlineStr">
        <is>
          <t>7612017900544</t>
        </is>
      </c>
      <c r="B24771" t="inlineStr">
        <is>
          <t>Valmont Poudre De Teint Precieuse Skin Powder 10 G Beige</t>
        </is>
      </c>
      <c r="C24771" t="inlineStr">
        <is>
          <t>Powder</t>
        </is>
      </c>
      <c r="D24771" t="inlineStr">
        <is>
          <t>Valmont</t>
        </is>
      </c>
      <c r="E24771" t="n">
        <v>117.43</v>
      </c>
      <c r="F24771" t="n">
        <v>1</v>
      </c>
      <c r="G24771" t="n">
        <v>3</v>
      </c>
      <c r="H24771" s="5">
        <f>HYPERLINK("https://api.qogita.com/variants/link/7612017900544/", "View Product")</f>
        <v/>
      </c>
    </row>
    <row r="24772">
      <c r="A24772" t="inlineStr">
        <is>
          <t>7612017905013</t>
        </is>
      </c>
      <c r="B24772" t="inlineStr">
        <is>
          <t>Valmont Des Glaciers Nourishing Beauty Oil 30 Ml</t>
        </is>
      </c>
      <c r="C24772" t="inlineStr">
        <is>
          <t>Facial Oil</t>
        </is>
      </c>
      <c r="D24772" t="inlineStr">
        <is>
          <t>Valmont</t>
        </is>
      </c>
      <c r="E24772" t="n">
        <v>314.68</v>
      </c>
      <c r="F24772" t="n">
        <v>1</v>
      </c>
      <c r="G24772" t="n">
        <v>2</v>
      </c>
      <c r="H24772" s="5">
        <f>HYPERLINK("https://api.qogita.com/variants/link/7612017905013/", "View Product")</f>
        <v/>
      </c>
    </row>
    <row r="24773">
      <c r="A24773" t="inlineStr">
        <is>
          <t>7612017910413</t>
        </is>
      </c>
      <c r="B24773" t="inlineStr">
        <is>
          <t>Valmont Elixir Des Glaciers Teint Precieux Smoothing Foundation 30 Ml Ivory In Shanghai</t>
        </is>
      </c>
      <c r="C24773" t="inlineStr">
        <is>
          <t>Foundation</t>
        </is>
      </c>
      <c r="D24773" t="inlineStr">
        <is>
          <t>Valmont</t>
        </is>
      </c>
      <c r="E24773" t="n">
        <v>147.45</v>
      </c>
      <c r="F24773" t="n">
        <v>1</v>
      </c>
      <c r="G24773" t="n">
        <v>2</v>
      </c>
      <c r="H24773" s="5">
        <f>HYPERLINK("https://api.qogita.com/variants/link/7612017910413/", "View Product")</f>
        <v/>
      </c>
    </row>
    <row r="24774">
      <c r="A24774" t="inlineStr">
        <is>
          <t>7612017910444</t>
        </is>
      </c>
      <c r="B24774" t="inlineStr">
        <is>
          <t>Valmont L'Elixir Des Glaciers Base In Florence, 30 Ml, Unisex, For</t>
        </is>
      </c>
      <c r="C24774" t="inlineStr">
        <is>
          <t>Anti-Aging Serum</t>
        </is>
      </c>
      <c r="D24774" t="inlineStr">
        <is>
          <t>Valmont</t>
        </is>
      </c>
      <c r="E24774" t="n">
        <v>145.61</v>
      </c>
      <c r="F24774" t="n">
        <v>1</v>
      </c>
      <c r="G24774" t="n">
        <v>2</v>
      </c>
      <c r="H24774" s="5">
        <f>HYPERLINK("https://api.qogita.com/variants/link/7612017910444/", "View Product")</f>
        <v/>
      </c>
    </row>
    <row r="24775">
      <c r="A24775" t="inlineStr">
        <is>
          <t>7640111492504</t>
        </is>
      </c>
      <c r="B24775" t="inlineStr">
        <is>
          <t>Gres Parfums Cabotine Rose Eau De Toilette 50ml For Women</t>
        </is>
      </c>
      <c r="C24775" t="inlineStr">
        <is>
          <t>Eau De Toilette</t>
        </is>
      </c>
      <c r="D24775" t="inlineStr">
        <is>
          <t>Gres Parfums</t>
        </is>
      </c>
      <c r="E24775" t="n">
        <v>9.74</v>
      </c>
      <c r="F24775" t="n">
        <v>1</v>
      </c>
      <c r="G24775" t="n">
        <v>5</v>
      </c>
      <c r="H24775" s="5">
        <f>HYPERLINK("https://api.qogita.com/variants/link/7640111492504/", "View Product")</f>
        <v/>
      </c>
    </row>
    <row r="24776">
      <c r="A24776" t="inlineStr">
        <is>
          <t>7640111493723</t>
        </is>
      </c>
      <c r="B24776" t="inlineStr">
        <is>
          <t>Jaguar Gold Eau De Toilette 100ml For Men</t>
        </is>
      </c>
      <c r="C24776" t="inlineStr">
        <is>
          <t>Eau De Toilette</t>
        </is>
      </c>
      <c r="D24776" t="inlineStr">
        <is>
          <t>Jaguar</t>
        </is>
      </c>
      <c r="E24776" t="n">
        <v>10.89</v>
      </c>
      <c r="F24776" t="n">
        <v>1</v>
      </c>
      <c r="G24776" t="n">
        <v>55</v>
      </c>
      <c r="H24776" s="5">
        <f>HYPERLINK("https://api.qogita.com/variants/link/7640111493723/", "View Product")</f>
        <v/>
      </c>
    </row>
    <row r="24777">
      <c r="A24777" t="inlineStr">
        <is>
          <t>7640111494027</t>
        </is>
      </c>
      <c r="B24777" t="inlineStr">
        <is>
          <t>Gres Cabotine Eau De Toilette Spray 100ml</t>
        </is>
      </c>
      <c r="C24777" t="inlineStr">
        <is>
          <t>Eau De Toilette</t>
        </is>
      </c>
      <c r="D24777" t="inlineStr">
        <is>
          <t>Gres</t>
        </is>
      </c>
      <c r="E24777" t="n">
        <v>8.99</v>
      </c>
      <c r="F24777" t="n">
        <v>1</v>
      </c>
      <c r="G24777" t="n">
        <v>16</v>
      </c>
      <c r="H24777" s="5">
        <f>HYPERLINK("https://api.qogita.com/variants/link/7640111494027/", "View Product")</f>
        <v/>
      </c>
    </row>
    <row r="24778">
      <c r="A24778" t="inlineStr">
        <is>
          <t>7640111495499</t>
        </is>
      </c>
      <c r="B24778" t="inlineStr">
        <is>
          <t>Classic Blue by Jaguar EDT Spray 100ml 3.4oz Perfume</t>
        </is>
      </c>
      <c r="C24778" t="inlineStr">
        <is>
          <t>Eau De Toilette</t>
        </is>
      </c>
      <c r="D24778" t="inlineStr">
        <is>
          <t>Jaguar</t>
        </is>
      </c>
      <c r="E24778" t="n">
        <v>9.460000000000001</v>
      </c>
      <c r="F24778" t="n">
        <v>1</v>
      </c>
      <c r="G24778" t="n">
        <v>7</v>
      </c>
      <c r="H24778" s="5">
        <f>HYPERLINK("https://api.qogita.com/variants/link/7640111495499/", "View Product")</f>
        <v/>
      </c>
    </row>
    <row r="24779">
      <c r="A24779" t="inlineStr">
        <is>
          <t>7640111499053</t>
        </is>
      </c>
      <c r="B24779" t="inlineStr">
        <is>
          <t>Lalique L'Amour Eau De Parfum Spray 50ml</t>
        </is>
      </c>
      <c r="C24779" t="inlineStr">
        <is>
          <t>Eau De Parfum</t>
        </is>
      </c>
      <c r="D24779" t="inlineStr">
        <is>
          <t>Lalique</t>
        </is>
      </c>
      <c r="E24779" t="n">
        <v>16.91</v>
      </c>
      <c r="F24779" t="n">
        <v>1</v>
      </c>
      <c r="G24779" t="n">
        <v>3</v>
      </c>
      <c r="H24779" s="5">
        <f>HYPERLINK("https://api.qogita.com/variants/link/7640111499053/", "View Product")</f>
        <v/>
      </c>
    </row>
    <row r="24780">
      <c r="A24780" t="inlineStr">
        <is>
          <t>7640111500568</t>
        </is>
      </c>
      <c r="B24780" t="inlineStr">
        <is>
          <t>Gres Madame Gres Eau De Parfum Spray 100ml</t>
        </is>
      </c>
      <c r="C24780" t="inlineStr">
        <is>
          <t>Eau De Parfum</t>
        </is>
      </c>
      <c r="D24780" t="inlineStr">
        <is>
          <t>Gres</t>
        </is>
      </c>
      <c r="E24780" t="n">
        <v>13.65</v>
      </c>
      <c r="F24780" t="n">
        <v>1</v>
      </c>
      <c r="G24780" t="n">
        <v>3</v>
      </c>
      <c r="H24780" s="5">
        <f>HYPERLINK("https://api.qogita.com/variants/link/7640111500568/", "View Product")</f>
        <v/>
      </c>
    </row>
    <row r="24781">
      <c r="A24781" t="inlineStr">
        <is>
          <t>7640111501886</t>
        </is>
      </c>
      <c r="B24781" t="inlineStr">
        <is>
          <t>Lalique Gold Homme Eau De Parfum 100ml</t>
        </is>
      </c>
      <c r="C24781" t="inlineStr">
        <is>
          <t>Eau De Parfum</t>
        </is>
      </c>
      <c r="D24781" t="inlineStr">
        <is>
          <t>Lalique</t>
        </is>
      </c>
      <c r="E24781" t="n">
        <v>42.43</v>
      </c>
      <c r="F24781" t="n">
        <v>1</v>
      </c>
      <c r="G24781" t="n">
        <v>6</v>
      </c>
      <c r="H24781" s="5">
        <f>HYPERLINK("https://api.qogita.com/variants/link/7640111501886/", "View Product")</f>
        <v/>
      </c>
    </row>
    <row r="24782">
      <c r="A24782" t="inlineStr">
        <is>
          <t>7640111501916</t>
        </is>
      </c>
      <c r="B24782" t="inlineStr">
        <is>
          <t>Lalique Eau De Parfum for Men 100g</t>
        </is>
      </c>
      <c r="C24782" t="inlineStr">
        <is>
          <t>Eau De Parfum</t>
        </is>
      </c>
      <c r="D24782" t="inlineStr">
        <is>
          <t>Lalique</t>
        </is>
      </c>
      <c r="E24782" t="n">
        <v>37.98</v>
      </c>
      <c r="F24782" t="n">
        <v>1</v>
      </c>
      <c r="G24782" t="n">
        <v>15</v>
      </c>
      <c r="H24782" s="5">
        <f>HYPERLINK("https://api.qogita.com/variants/link/7640111501916/", "View Product")</f>
        <v/>
      </c>
    </row>
    <row r="24783">
      <c r="A24783" t="inlineStr">
        <is>
          <t>7640111502678</t>
        </is>
      </c>
      <c r="B24783" t="inlineStr">
        <is>
          <t>Lalique L'Origine Or Intemporel Noir Premier Unisex Eau de Parfum Spray</t>
        </is>
      </c>
      <c r="C24783" t="inlineStr">
        <is>
          <t>Eau De Parfum</t>
        </is>
      </c>
      <c r="D24783" t="inlineStr">
        <is>
          <t>Lalique</t>
        </is>
      </c>
      <c r="E24783" t="n">
        <v>79.41</v>
      </c>
      <c r="F24783" t="n">
        <v>1</v>
      </c>
      <c r="G24783" t="n">
        <v>3</v>
      </c>
      <c r="H24783" s="5">
        <f>HYPERLINK("https://api.qogita.com/variants/link/7640111502678/", "View Product")</f>
        <v/>
      </c>
    </row>
    <row r="24784">
      <c r="A24784" t="inlineStr">
        <is>
          <t>7640111503668</t>
        </is>
      </c>
      <c r="B24784" t="inlineStr">
        <is>
          <t>Men's Les Compositions Floral Bronze Eau De Parfum Spray 3.4 oz Fragrances</t>
        </is>
      </c>
      <c r="C24784" t="inlineStr">
        <is>
          <t>Eau De Parfum</t>
        </is>
      </c>
      <c r="D24784" t="inlineStr">
        <is>
          <t>Lalique</t>
        </is>
      </c>
      <c r="E24784" t="n">
        <v>47.34</v>
      </c>
      <c r="F24784" t="n">
        <v>1</v>
      </c>
      <c r="G24784" t="n">
        <v>2</v>
      </c>
      <c r="H24784" s="5">
        <f>HYPERLINK("https://api.qogita.com/variants/link/7640111503668/", "View Product")</f>
        <v/>
      </c>
    </row>
    <row r="24785">
      <c r="A24785" t="inlineStr">
        <is>
          <t>7640111505310</t>
        </is>
      </c>
      <c r="B24785" t="inlineStr">
        <is>
          <t>Jaguar Classic Motion EDT 100ml</t>
        </is>
      </c>
      <c r="C24785" t="inlineStr">
        <is>
          <t>Eau De Toilette</t>
        </is>
      </c>
      <c r="D24785" t="inlineStr">
        <is>
          <t>Jaguar</t>
        </is>
      </c>
      <c r="E24785" t="n">
        <v>11.15</v>
      </c>
      <c r="F24785" t="n">
        <v>1</v>
      </c>
      <c r="G24785" t="n">
        <v>9</v>
      </c>
      <c r="H24785" s="5">
        <f>HYPERLINK("https://api.qogita.com/variants/link/7640111505310/", "View Product")</f>
        <v/>
      </c>
    </row>
    <row r="24786">
      <c r="A24786" t="inlineStr">
        <is>
          <t>7640111525011</t>
        </is>
      </c>
      <c r="B24786" t="inlineStr">
        <is>
          <t>Jaguar Vision III Eau De Toilette Spray for Men 100ml</t>
        </is>
      </c>
      <c r="C24786" t="inlineStr">
        <is>
          <t>Eau De Toilette</t>
        </is>
      </c>
      <c r="D24786" t="inlineStr">
        <is>
          <t>Jaguar</t>
        </is>
      </c>
      <c r="E24786" t="n">
        <v>12.75</v>
      </c>
      <c r="F24786" t="n">
        <v>1</v>
      </c>
      <c r="G24786" t="n">
        <v>30</v>
      </c>
      <c r="H24786" s="5">
        <f>HYPERLINK("https://api.qogita.com/variants/link/7640111525011/", "View Product")</f>
        <v/>
      </c>
    </row>
    <row r="24787">
      <c r="A24787" t="inlineStr">
        <is>
          <t>7640119233055</t>
        </is>
      </c>
      <c r="B24787" t="inlineStr">
        <is>
          <t>Fytofontana Stem Cells Dna Revitalizing Skin Renewal Emulsion Spf 25</t>
        </is>
      </c>
      <c r="C24787" t="inlineStr">
        <is>
          <t>Day Cream</t>
        </is>
      </c>
      <c r="D24787" t="inlineStr">
        <is>
          <t>Fytofontana</t>
        </is>
      </c>
      <c r="E24787" t="n">
        <v>51.99</v>
      </c>
      <c r="F24787" t="n">
        <v>1</v>
      </c>
      <c r="G24787" t="n">
        <v>7</v>
      </c>
      <c r="H24787" s="5">
        <f>HYPERLINK("https://api.qogita.com/variants/link/7640119233055/", "View Product")</f>
        <v/>
      </c>
    </row>
    <row r="24788">
      <c r="A24788" t="inlineStr">
        <is>
          <t>7640119233109</t>
        </is>
      </c>
      <c r="B24788" t="inlineStr">
        <is>
          <t>Pure Eye - Two-Phase Makeup Remover for Eye Area with Stem Cells 125 ml</t>
        </is>
      </c>
      <c r="C24788" t="inlineStr">
        <is>
          <t>Makeup Remover</t>
        </is>
      </c>
      <c r="D24788" t="inlineStr">
        <is>
          <t>Fytofontana Stem Cells</t>
        </is>
      </c>
      <c r="E24788" t="n">
        <v>16.9</v>
      </c>
      <c r="F24788" t="n">
        <v>1</v>
      </c>
      <c r="G24788" t="n">
        <v>19</v>
      </c>
      <c r="H24788" s="5">
        <f>HYPERLINK("https://api.qogita.com/variants/link/7640119233109/", "View Product")</f>
        <v/>
      </c>
    </row>
    <row r="24789">
      <c r="A24789" t="inlineStr">
        <is>
          <t>7640126190037</t>
        </is>
      </c>
      <c r="B24789" t="inlineStr">
        <is>
          <t>Swissdent Swissdent Extreme Whitening Toothpaste 100ml</t>
        </is>
      </c>
      <c r="C24789" t="inlineStr">
        <is>
          <t>Toothpaste</t>
        </is>
      </c>
      <c r="D24789" t="inlineStr">
        <is>
          <t>Swissdent</t>
        </is>
      </c>
      <c r="E24789" t="n">
        <v>15.27</v>
      </c>
      <c r="F24789" t="n">
        <v>1</v>
      </c>
      <c r="G24789" t="n">
        <v>35</v>
      </c>
      <c r="H24789" s="5">
        <f>HYPERLINK("https://api.qogita.com/variants/link/7640126190037/", "View Product")</f>
        <v/>
      </c>
    </row>
    <row r="24790">
      <c r="A24790" t="inlineStr">
        <is>
          <t>7640126190501</t>
        </is>
      </c>
      <c r="B24790" t="inlineStr">
        <is>
          <t>Swissdent Nanowhitening Gentle Toothpaste Whitening Toothpaste</t>
        </is>
      </c>
      <c r="C24790" t="inlineStr">
        <is>
          <t>Toothpaste</t>
        </is>
      </c>
      <c r="D24790" t="inlineStr">
        <is>
          <t>Swissdent</t>
        </is>
      </c>
      <c r="E24790" t="n">
        <v>8.1</v>
      </c>
      <c r="F24790" t="n">
        <v>1</v>
      </c>
      <c r="G24790" t="n">
        <v>25</v>
      </c>
      <c r="H24790" s="5">
        <f>HYPERLINK("https://api.qogita.com/variants/link/7640126190501/", "View Product")</f>
        <v/>
      </c>
    </row>
    <row r="24791">
      <c r="A24791" t="inlineStr">
        <is>
          <t>7640126196237</t>
        </is>
      </c>
      <c r="B24791" t="inlineStr">
        <is>
          <t>Swissdent Soft-Medium Festive Toothbrush 2 1 Free</t>
        </is>
      </c>
      <c r="C24791" t="inlineStr">
        <is>
          <t>Toothbrushes &amp; Tongue Cleaners</t>
        </is>
      </c>
      <c r="D24791" t="inlineStr">
        <is>
          <t>Swissdent</t>
        </is>
      </c>
      <c r="E24791" t="n">
        <v>7.18</v>
      </c>
      <c r="F24791" t="n">
        <v>1</v>
      </c>
      <c r="G24791" t="n">
        <v>17</v>
      </c>
      <c r="H24791" s="5">
        <f>HYPERLINK("https://api.qogita.com/variants/link/7640126196237/", "View Product")</f>
        <v/>
      </c>
    </row>
    <row r="24792">
      <c r="A24792" t="inlineStr">
        <is>
          <t>7640147050037</t>
        </is>
      </c>
      <c r="B24792" t="inlineStr">
        <is>
          <t>Andy Tauer Lone Star Memories Eau De Toilette 50ml</t>
        </is>
      </c>
      <c r="C24792" t="inlineStr">
        <is>
          <t>Eau De Toilette</t>
        </is>
      </c>
      <c r="D24792" t="inlineStr">
        <is>
          <t>Tauer Perfumes</t>
        </is>
      </c>
      <c r="E24792" t="n">
        <v>104</v>
      </c>
      <c r="F24792" t="n">
        <v>1</v>
      </c>
      <c r="G24792" t="n">
        <v>3</v>
      </c>
      <c r="H24792" s="5">
        <f>HYPERLINK("https://api.qogita.com/variants/link/7640147050037/", "View Product")</f>
        <v/>
      </c>
    </row>
    <row r="24793">
      <c r="A24793" t="inlineStr">
        <is>
          <t>7640147050792</t>
        </is>
      </c>
      <c r="B24793" t="inlineStr">
        <is>
          <t>Tauer Perfumes Cologne Du Maghreb Eau De Cologne Spray 50ml</t>
        </is>
      </c>
      <c r="C24793" t="inlineStr">
        <is>
          <t>Eau De Cologne</t>
        </is>
      </c>
      <c r="D24793" t="inlineStr">
        <is>
          <t>Tauer Perfumes</t>
        </is>
      </c>
      <c r="E24793" t="n">
        <v>102.56</v>
      </c>
      <c r="F24793" t="n">
        <v>1</v>
      </c>
      <c r="G24793" t="n">
        <v>2</v>
      </c>
      <c r="H24793" s="5">
        <f>HYPERLINK("https://api.qogita.com/variants/link/7640147050792/", "View Product")</f>
        <v/>
      </c>
    </row>
    <row r="24794">
      <c r="A24794" t="inlineStr">
        <is>
          <t>7640164030029</t>
        </is>
      </c>
      <c r="B24794" t="inlineStr">
        <is>
          <t>Gisada Uomo Eau De Toilette Spray 100ml</t>
        </is>
      </c>
      <c r="C24794" t="inlineStr">
        <is>
          <t>Eau De Toilette</t>
        </is>
      </c>
      <c r="D24794" t="inlineStr">
        <is>
          <t>Gisada</t>
        </is>
      </c>
      <c r="E24794" t="n">
        <v>67.87</v>
      </c>
      <c r="F24794" t="n">
        <v>1</v>
      </c>
      <c r="G24794" t="n">
        <v>3</v>
      </c>
      <c r="H24794" s="5">
        <f>HYPERLINK("https://api.qogita.com/variants/link/7640164030029/", "View Product")</f>
        <v/>
      </c>
    </row>
    <row r="24795">
      <c r="A24795" t="inlineStr">
        <is>
          <t>7640164030067</t>
        </is>
      </c>
      <c r="B24795" t="inlineStr">
        <is>
          <t>Gisada Donna Eau De Toilette Spray 50ml</t>
        </is>
      </c>
      <c r="C24795" t="inlineStr">
        <is>
          <t>Eau De Toilette</t>
        </is>
      </c>
      <c r="D24795" t="inlineStr">
        <is>
          <t>Gisada</t>
        </is>
      </c>
      <c r="E24795" t="n">
        <v>49.53</v>
      </c>
      <c r="F24795" t="n">
        <v>1</v>
      </c>
      <c r="G24795" t="n">
        <v>17</v>
      </c>
      <c r="H24795" s="5">
        <f>HYPERLINK("https://api.qogita.com/variants/link/7640164030067/", "View Product")</f>
        <v/>
      </c>
    </row>
    <row r="24796">
      <c r="A24796" t="inlineStr">
        <is>
          <t>7640171190792</t>
        </is>
      </c>
      <c r="B24796" t="inlineStr">
        <is>
          <t>Jaguar Gold In Black Eau De Toilette Spray 100ml By Jaguar</t>
        </is>
      </c>
      <c r="C24796" t="inlineStr">
        <is>
          <t>Eau De Toilette</t>
        </is>
      </c>
      <c r="D24796" t="inlineStr">
        <is>
          <t>Jaguar</t>
        </is>
      </c>
      <c r="E24796" t="n">
        <v>11.04</v>
      </c>
      <c r="F24796" t="n">
        <v>1</v>
      </c>
      <c r="G24796" t="n">
        <v>7</v>
      </c>
      <c r="H24796" s="5">
        <f>HYPERLINK("https://api.qogita.com/variants/link/7640171190792/", "View Product")</f>
        <v/>
      </c>
    </row>
    <row r="24797">
      <c r="A24797" t="inlineStr">
        <is>
          <t>7640171190921</t>
        </is>
      </c>
      <c r="B24797" t="inlineStr">
        <is>
          <t>Bentley For Men Black Edition Eau De Parfum Spray 100ml By Bentley</t>
        </is>
      </c>
      <c r="C24797" t="inlineStr">
        <is>
          <t>Eau De Parfum</t>
        </is>
      </c>
      <c r="D24797" t="inlineStr">
        <is>
          <t>Bentley</t>
        </is>
      </c>
      <c r="E24797" t="n">
        <v>21.47</v>
      </c>
      <c r="F24797" t="n">
        <v>1</v>
      </c>
      <c r="G24797" t="n">
        <v>23</v>
      </c>
      <c r="H24797" s="5">
        <f>HYPERLINK("https://api.qogita.com/variants/link/7640171190921/", "View Product")</f>
        <v/>
      </c>
    </row>
    <row r="24798">
      <c r="A24798" t="inlineStr">
        <is>
          <t>7640171191478</t>
        </is>
      </c>
      <c r="B24798" t="inlineStr">
        <is>
          <t>Lalique Les Compositions Parfumees Sweet Amber Eau De Parfum 100ml For Women</t>
        </is>
      </c>
      <c r="C24798" t="inlineStr">
        <is>
          <t>Eau De Parfum</t>
        </is>
      </c>
      <c r="D24798" t="inlineStr">
        <is>
          <t>Lalique</t>
        </is>
      </c>
      <c r="E24798" t="n">
        <v>51.59</v>
      </c>
      <c r="F24798" t="n">
        <v>1</v>
      </c>
      <c r="G24798" t="n">
        <v>5</v>
      </c>
      <c r="H24798" s="5">
        <f>HYPERLINK("https://api.qogita.com/variants/link/7640171191478/", "View Product")</f>
        <v/>
      </c>
    </row>
    <row r="24799">
      <c r="A24799" t="inlineStr">
        <is>
          <t>7640171192802</t>
        </is>
      </c>
      <c r="B24799" t="inlineStr">
        <is>
          <t>Beyond The Collection Majestic Cashmere Perfumed Water Spray 100ml</t>
        </is>
      </c>
      <c r="C24799" t="inlineStr">
        <is>
          <t>Eau De Parfum</t>
        </is>
      </c>
      <c r="D24799" t="inlineStr">
        <is>
          <t>Beyond The Collection</t>
        </is>
      </c>
      <c r="E24799" t="n">
        <v>61.7</v>
      </c>
      <c r="F24799" t="n">
        <v>1</v>
      </c>
      <c r="G24799" t="n">
        <v>3</v>
      </c>
      <c r="H24799" s="5">
        <f>HYPERLINK("https://api.qogita.com/variants/link/7640171192802/", "View Product")</f>
        <v/>
      </c>
    </row>
    <row r="24800">
      <c r="A24800" t="inlineStr">
        <is>
          <t>7640171193649</t>
        </is>
      </c>
      <c r="B24800" t="inlineStr">
        <is>
          <t>Bentley Momentum Unbreakable Eau De Parfum Spray 100ml</t>
        </is>
      </c>
      <c r="C24800" t="inlineStr">
        <is>
          <t>Eau De Parfum</t>
        </is>
      </c>
      <c r="D24800" t="inlineStr">
        <is>
          <t>Bentley</t>
        </is>
      </c>
      <c r="E24800" t="n">
        <v>28.03</v>
      </c>
      <c r="F24800" t="n">
        <v>1</v>
      </c>
      <c r="G24800" t="n">
        <v>2</v>
      </c>
      <c r="H24800" s="5">
        <f>HYPERLINK("https://api.qogita.com/variants/link/7640171193649/", "View Product")</f>
        <v/>
      </c>
    </row>
    <row r="24801">
      <c r="A24801" t="inlineStr">
        <is>
          <t>7640171193793</t>
        </is>
      </c>
      <c r="B24801" t="inlineStr">
        <is>
          <t>Brioni Intense Eau de Parfum 60ml</t>
        </is>
      </c>
      <c r="C24801" t="inlineStr">
        <is>
          <t>Eau De Parfum</t>
        </is>
      </c>
      <c r="D24801" t="inlineStr">
        <is>
          <t>Brioni</t>
        </is>
      </c>
      <c r="E24801" t="n">
        <v>48.16</v>
      </c>
      <c r="F24801" t="n">
        <v>1</v>
      </c>
      <c r="G24801" t="n">
        <v>25</v>
      </c>
      <c r="H24801" s="5">
        <f>HYPERLINK("https://api.qogita.com/variants/link/7640171193793/", "View Product")</f>
        <v/>
      </c>
    </row>
    <row r="24802">
      <c r="A24802" t="inlineStr">
        <is>
          <t>7640171194325</t>
        </is>
      </c>
      <c r="B24802" t="inlineStr">
        <is>
          <t>Brioni Essentiel Eau De Parfum Spray 100ml</t>
        </is>
      </c>
      <c r="C24802" t="inlineStr">
        <is>
          <t>Eau De Parfum</t>
        </is>
      </c>
      <c r="D24802" t="inlineStr">
        <is>
          <t>Brioni</t>
        </is>
      </c>
      <c r="E24802" t="n">
        <v>59</v>
      </c>
      <c r="F24802" t="n">
        <v>1</v>
      </c>
      <c r="G24802" t="n">
        <v>14</v>
      </c>
      <c r="H24802" s="5">
        <f>HYPERLINK("https://api.qogita.com/variants/link/7640171194325/", "View Product")</f>
        <v/>
      </c>
    </row>
    <row r="24803">
      <c r="A24803" t="inlineStr">
        <is>
          <t>7640171196459</t>
        </is>
      </c>
      <c r="B24803" t="inlineStr">
        <is>
          <t>Lalique Imperial Green Eau De Parfum 100ml For Men</t>
        </is>
      </c>
      <c r="C24803" t="inlineStr">
        <is>
          <t>Eau De Parfum</t>
        </is>
      </c>
      <c r="D24803" t="inlineStr">
        <is>
          <t>Lalique</t>
        </is>
      </c>
      <c r="E24803" t="n">
        <v>39.62</v>
      </c>
      <c r="F24803" t="n">
        <v>1</v>
      </c>
      <c r="G24803" t="n">
        <v>11</v>
      </c>
      <c r="H24803" s="5">
        <f>HYPERLINK("https://api.qogita.com/variants/link/7640171196459/", "View Product")</f>
        <v/>
      </c>
    </row>
    <row r="24804">
      <c r="A24804" t="inlineStr">
        <is>
          <t>7640171198019</t>
        </is>
      </c>
      <c r="B24804" t="inlineStr">
        <is>
          <t>Lalique Les Compositions Parfumees Blue Rise Eau De Parfum 100ml</t>
        </is>
      </c>
      <c r="C24804" t="inlineStr">
        <is>
          <t>Eau De Parfum</t>
        </is>
      </c>
      <c r="D24804" t="inlineStr">
        <is>
          <t>Lalique</t>
        </is>
      </c>
      <c r="E24804" t="n">
        <v>43.83</v>
      </c>
      <c r="F24804" t="n">
        <v>1</v>
      </c>
      <c r="G24804" t="n">
        <v>10</v>
      </c>
      <c r="H24804" s="5">
        <f>HYPERLINK("https://api.qogita.com/variants/link/7640171198019/", "View Product")</f>
        <v/>
      </c>
    </row>
    <row r="24805">
      <c r="A24805" t="inlineStr">
        <is>
          <t>7640171198026</t>
        </is>
      </c>
      <c r="B24805" t="inlineStr">
        <is>
          <t>Lalique Les Compositions Parfumees Velvet Plum Eau De Parfum Spray 100ml</t>
        </is>
      </c>
      <c r="C24805" t="inlineStr">
        <is>
          <t>Eau De Parfum</t>
        </is>
      </c>
      <c r="D24805" t="inlineStr">
        <is>
          <t>Lalique</t>
        </is>
      </c>
      <c r="E24805" t="n">
        <v>41</v>
      </c>
      <c r="F24805" t="n">
        <v>1</v>
      </c>
      <c r="G24805" t="n">
        <v>3</v>
      </c>
      <c r="H24805" s="5">
        <f>HYPERLINK("https://api.qogita.com/variants/link/7640171198026/", "View Product")</f>
        <v/>
      </c>
    </row>
    <row r="24806">
      <c r="A24806" t="inlineStr">
        <is>
          <t>7640171198033</t>
        </is>
      </c>
      <c r="B24806" t="inlineStr">
        <is>
          <t>Lalique Les Compositions Parfumees Infinite Shine Eau De Parfum 100ml</t>
        </is>
      </c>
      <c r="C24806" t="inlineStr">
        <is>
          <t>Eau De Parfum</t>
        </is>
      </c>
      <c r="D24806" t="inlineStr">
        <is>
          <t>Lalique</t>
        </is>
      </c>
      <c r="E24806" t="n">
        <v>39.48</v>
      </c>
      <c r="F24806" t="n">
        <v>1</v>
      </c>
      <c r="G24806" t="n">
        <v>12</v>
      </c>
      <c r="H24806" s="5">
        <f>HYPERLINK("https://api.qogita.com/variants/link/7640171198033/", "View Product")</f>
        <v/>
      </c>
    </row>
    <row r="24807">
      <c r="A24807" t="inlineStr">
        <is>
          <t>7640177360144</t>
        </is>
      </c>
      <c r="B24807" t="inlineStr">
        <is>
          <t>Ghopard Musk Malaki Eau De Parfum</t>
        </is>
      </c>
      <c r="C24807" t="inlineStr">
        <is>
          <t>Eau De Parfum</t>
        </is>
      </c>
      <c r="D24807" t="inlineStr">
        <is>
          <t>Chopard</t>
        </is>
      </c>
      <c r="E24807" t="n">
        <v>39.33</v>
      </c>
      <c r="F24807" t="n">
        <v>1</v>
      </c>
      <c r="G24807" t="n">
        <v>4</v>
      </c>
      <c r="H24807" s="5">
        <f>HYPERLINK("https://api.qogita.com/variants/link/7640177360144/", "View Product")</f>
        <v/>
      </c>
    </row>
    <row r="24808">
      <c r="A24808" t="inlineStr">
        <is>
          <t>7640177360786</t>
        </is>
      </c>
      <c r="B24808" t="inlineStr">
        <is>
          <t>Chopard Imperiale Vanille Malika Eau De Parfum 100 Ml</t>
        </is>
      </c>
      <c r="C24808" t="inlineStr">
        <is>
          <t>Eau De Parfum</t>
        </is>
      </c>
      <c r="D24808" t="inlineStr">
        <is>
          <t>Chopard</t>
        </is>
      </c>
      <c r="E24808" t="n">
        <v>39.46</v>
      </c>
      <c r="F24808" t="n">
        <v>1</v>
      </c>
      <c r="G24808" t="n">
        <v>2</v>
      </c>
      <c r="H24808" s="5">
        <f>HYPERLINK("https://api.qogita.com/variants/link/7640177360786/", "View Product")</f>
        <v/>
      </c>
    </row>
    <row r="24809">
      <c r="A24809" t="inlineStr">
        <is>
          <t>7640177360861</t>
        </is>
      </c>
      <c r="B24809" t="inlineStr">
        <is>
          <t>Chopard Sparkling Love Eau De Parfum 30ml</t>
        </is>
      </c>
      <c r="C24809" t="inlineStr">
        <is>
          <t>Eau De Parfum</t>
        </is>
      </c>
      <c r="D24809" t="inlineStr">
        <is>
          <t>Chopard</t>
        </is>
      </c>
      <c r="E24809" t="n">
        <v>28.4</v>
      </c>
      <c r="F24809" t="n">
        <v>1</v>
      </c>
      <c r="G24809" t="n">
        <v>3</v>
      </c>
      <c r="H24809" s="5">
        <f>HYPERLINK("https://api.qogita.com/variants/link/7640177360861/", "View Product")</f>
        <v/>
      </c>
    </row>
    <row r="24810">
      <c r="A24810" t="inlineStr">
        <is>
          <t>7640177361004</t>
        </is>
      </c>
      <c r="B24810" t="inlineStr">
        <is>
          <t>Chopard Happy Magnolia Bouquet Eau De Toilette</t>
        </is>
      </c>
      <c r="C24810" t="inlineStr">
        <is>
          <t>Eau De Toilette</t>
        </is>
      </c>
      <c r="D24810" t="inlineStr">
        <is>
          <t>Chopard</t>
        </is>
      </c>
      <c r="E24810" t="n">
        <v>20.29</v>
      </c>
      <c r="F24810" t="n">
        <v>1</v>
      </c>
      <c r="G24810" t="n">
        <v>8</v>
      </c>
      <c r="H24810" s="5">
        <f>HYPERLINK("https://api.qogita.com/variants/link/7640177361004/", "View Product")</f>
        <v/>
      </c>
    </row>
    <row r="24811">
      <c r="A24811" t="inlineStr">
        <is>
          <t>7640177362032</t>
        </is>
      </c>
      <c r="B24811" t="inlineStr">
        <is>
          <t>Chopard Happy Chopard Felicia Roses Eau De Parfum 40ml Women Spray</t>
        </is>
      </c>
      <c r="C24811" t="inlineStr">
        <is>
          <t>Eau De Parfum</t>
        </is>
      </c>
      <c r="D24811" t="inlineStr">
        <is>
          <t>Chopard</t>
        </is>
      </c>
      <c r="E24811" t="n">
        <v>17.9</v>
      </c>
      <c r="F24811" t="n">
        <v>1</v>
      </c>
      <c r="G24811" t="n">
        <v>9</v>
      </c>
      <c r="H24811" s="5">
        <f>HYPERLINK("https://api.qogita.com/variants/link/7640177362032/", "View Product")</f>
        <v/>
      </c>
    </row>
    <row r="24812">
      <c r="A24812" t="inlineStr">
        <is>
          <t>7640177366122</t>
        </is>
      </c>
      <c r="B24812" t="inlineStr">
        <is>
          <t>Chopard Casmir Shower Gel</t>
        </is>
      </c>
      <c r="C24812" t="inlineStr">
        <is>
          <t>Shower Gel</t>
        </is>
      </c>
      <c r="D24812" t="inlineStr">
        <is>
          <t>Chopard</t>
        </is>
      </c>
      <c r="E24812" t="n">
        <v>6.33</v>
      </c>
      <c r="F24812" t="n">
        <v>1</v>
      </c>
      <c r="G24812" t="n">
        <v>9</v>
      </c>
      <c r="H24812" s="5">
        <f>HYPERLINK("https://api.qogita.com/variants/link/7640177366122/", "View Product")</f>
        <v/>
      </c>
    </row>
    <row r="24813">
      <c r="A24813" t="inlineStr">
        <is>
          <t>7640177367471</t>
        </is>
      </c>
      <c r="B24813" t="inlineStr">
        <is>
          <t>Chopard Rose Seljuke Eau De Parfum 100ml Unisex Spray</t>
        </is>
      </c>
      <c r="C24813" t="inlineStr">
        <is>
          <t>Eau De Parfum</t>
        </is>
      </c>
      <c r="D24813" t="inlineStr">
        <is>
          <t>Chopard</t>
        </is>
      </c>
      <c r="E24813" t="n">
        <v>104.91</v>
      </c>
      <c r="F24813" t="n">
        <v>1</v>
      </c>
      <c r="G24813" t="n">
        <v>6</v>
      </c>
      <c r="H24813" s="5">
        <f>HYPERLINK("https://api.qogita.com/variants/link/7640177367471/", "View Product")</f>
        <v/>
      </c>
    </row>
    <row r="24814">
      <c r="A24814" t="inlineStr">
        <is>
          <t>7640177367525</t>
        </is>
      </c>
      <c r="B24814" t="inlineStr">
        <is>
          <t>Aigle Imperial Perfumed Water Spray 100ml</t>
        </is>
      </c>
      <c r="C24814" t="inlineStr">
        <is>
          <t>Eau De Parfum</t>
        </is>
      </c>
      <c r="D24814" t="inlineStr">
        <is>
          <t>Aigle</t>
        </is>
      </c>
      <c r="E24814" t="n">
        <v>112.39</v>
      </c>
      <c r="F24814" t="n">
        <v>1</v>
      </c>
      <c r="G24814" t="n">
        <v>3</v>
      </c>
      <c r="H24814" s="5">
        <f>HYPERLINK("https://api.qogita.com/variants/link/7640177367525/", "View Product")</f>
        <v/>
      </c>
    </row>
    <row r="24815">
      <c r="A24815" t="inlineStr">
        <is>
          <t>7640233340028</t>
        </is>
      </c>
      <c r="B24815" t="inlineStr">
        <is>
          <t>Elie Saab Le Parfum Woman Eau De Parfum Spray 50ml</t>
        </is>
      </c>
      <c r="C24815" t="inlineStr">
        <is>
          <t>Eau De Parfum</t>
        </is>
      </c>
      <c r="D24815" t="inlineStr">
        <is>
          <t>Elie Saab</t>
        </is>
      </c>
      <c r="E24815" t="n">
        <v>36.15</v>
      </c>
      <c r="F24815" t="n">
        <v>1</v>
      </c>
      <c r="G24815" t="n">
        <v>5</v>
      </c>
      <c r="H24815" s="5">
        <f>HYPERLINK("https://api.qogita.com/variants/link/7640233340028/", "View Product")</f>
        <v/>
      </c>
    </row>
    <row r="24816">
      <c r="A24816" t="inlineStr">
        <is>
          <t>7640233340073</t>
        </is>
      </c>
      <c r="B24816" t="inlineStr">
        <is>
          <t>Elie Saab Le Parfum Royal Eau De Parfum Spray 30ml</t>
        </is>
      </c>
      <c r="C24816" t="inlineStr">
        <is>
          <t>Eau De Parfum</t>
        </is>
      </c>
      <c r="D24816" t="inlineStr">
        <is>
          <t>Elie Saab</t>
        </is>
      </c>
      <c r="E24816" t="n">
        <v>24.45</v>
      </c>
      <c r="F24816" t="n">
        <v>1</v>
      </c>
      <c r="G24816" t="n">
        <v>19</v>
      </c>
      <c r="H24816" s="5">
        <f>HYPERLINK("https://api.qogita.com/variants/link/7640233340073/", "View Product")</f>
        <v/>
      </c>
    </row>
    <row r="24817">
      <c r="A24817" t="inlineStr">
        <is>
          <t>7640233340080</t>
        </is>
      </c>
      <c r="B24817" t="inlineStr">
        <is>
          <t>Elie Saab Le Parfum Royal Eau De Parfum Spray 50ml</t>
        </is>
      </c>
      <c r="C24817" t="inlineStr">
        <is>
          <t>Eau De Parfum</t>
        </is>
      </c>
      <c r="D24817" t="inlineStr">
        <is>
          <t>Elie Saab</t>
        </is>
      </c>
      <c r="E24817" t="n">
        <v>47.39</v>
      </c>
      <c r="F24817" t="n">
        <v>1</v>
      </c>
      <c r="G24817" t="n">
        <v>2</v>
      </c>
      <c r="H24817" s="5">
        <f>HYPERLINK("https://api.qogita.com/variants/link/7640233340080/", "View Product")</f>
        <v/>
      </c>
    </row>
    <row r="24818">
      <c r="A24818" t="inlineStr">
        <is>
          <t>7640233340202</t>
        </is>
      </c>
      <c r="B24818" t="inlineStr">
        <is>
          <t>Elie Saab Girl Of Now Forever Eau De Parfum Spray 30ml</t>
        </is>
      </c>
      <c r="C24818" t="inlineStr">
        <is>
          <t>Eau De Parfum</t>
        </is>
      </c>
      <c r="D24818" t="inlineStr">
        <is>
          <t>Elie Saab</t>
        </is>
      </c>
      <c r="E24818" t="n">
        <v>22.13</v>
      </c>
      <c r="F24818" t="n">
        <v>1</v>
      </c>
      <c r="G24818" t="n">
        <v>5</v>
      </c>
      <c r="H24818" s="5">
        <f>HYPERLINK("https://api.qogita.com/variants/link/7640233340202/", "View Product")</f>
        <v/>
      </c>
    </row>
    <row r="24819">
      <c r="A24819" t="inlineStr">
        <is>
          <t>7640233340233</t>
        </is>
      </c>
      <c r="B24819" t="inlineStr">
        <is>
          <t>Elie Saab Girl Of Now Shine Eau De Parfum Spray 30ml</t>
        </is>
      </c>
      <c r="C24819" t="inlineStr">
        <is>
          <t>Eau De Parfum</t>
        </is>
      </c>
      <c r="D24819" t="inlineStr">
        <is>
          <t>Elie Saab</t>
        </is>
      </c>
      <c r="E24819" t="n">
        <v>26.69</v>
      </c>
      <c r="F24819" t="n">
        <v>1</v>
      </c>
      <c r="G24819" t="n">
        <v>3</v>
      </c>
      <c r="H24819" s="5">
        <f>HYPERLINK("https://api.qogita.com/variants/link/7640233340233/", "View Product")</f>
        <v/>
      </c>
    </row>
    <row r="24820">
      <c r="A24820" t="inlineStr">
        <is>
          <t>7640233340240</t>
        </is>
      </c>
      <c r="B24820" t="inlineStr">
        <is>
          <t>Elie Saab Girl Of Now Shine Eau De Parfum Spray 50ml</t>
        </is>
      </c>
      <c r="C24820" t="inlineStr">
        <is>
          <t>Eau De Parfum</t>
        </is>
      </c>
      <c r="D24820" t="inlineStr">
        <is>
          <t>Elie Saab</t>
        </is>
      </c>
      <c r="E24820" t="n">
        <v>29.91</v>
      </c>
      <c r="F24820" t="n">
        <v>1</v>
      </c>
      <c r="G24820" t="n">
        <v>38</v>
      </c>
      <c r="H24820" s="5">
        <f>HYPERLINK("https://api.qogita.com/variants/link/7640233340240/", "View Product")</f>
        <v/>
      </c>
    </row>
    <row r="24821">
      <c r="A24821" t="inlineStr">
        <is>
          <t>7640233340257</t>
        </is>
      </c>
      <c r="B24821" t="inlineStr">
        <is>
          <t>Elie Saab Girl Of Now Shine Eau De Parfum Spray 90ml</t>
        </is>
      </c>
      <c r="C24821" t="inlineStr">
        <is>
          <t>Eau De Parfum</t>
        </is>
      </c>
      <c r="D24821" t="inlineStr">
        <is>
          <t>Elie Saab</t>
        </is>
      </c>
      <c r="E24821" t="n">
        <v>47.41</v>
      </c>
      <c r="F24821" t="n">
        <v>1</v>
      </c>
      <c r="G24821" t="n">
        <v>6</v>
      </c>
      <c r="H24821" s="5">
        <f>HYPERLINK("https://api.qogita.com/variants/link/7640233340257/", "View Product")</f>
        <v/>
      </c>
    </row>
    <row r="24822">
      <c r="A24822" t="inlineStr">
        <is>
          <t>7640233340707</t>
        </is>
      </c>
      <c r="B24822" t="inlineStr">
        <is>
          <t>Elie Saab Le Parfum Lumiere Eau De Parfum 30ml 1.25ml</t>
        </is>
      </c>
      <c r="C24822" t="inlineStr">
        <is>
          <t>Eau De Parfum</t>
        </is>
      </c>
      <c r="D24822" t="inlineStr">
        <is>
          <t>Elie Saab</t>
        </is>
      </c>
      <c r="E24822" t="n">
        <v>24.11</v>
      </c>
      <c r="F24822" t="n">
        <v>1</v>
      </c>
      <c r="G24822" t="n">
        <v>5</v>
      </c>
      <c r="H24822" s="5">
        <f>HYPERLINK("https://api.qogita.com/variants/link/7640233340707/", "View Product")</f>
        <v/>
      </c>
    </row>
    <row r="24823">
      <c r="A24823" t="inlineStr">
        <is>
          <t>7640233340776</t>
        </is>
      </c>
      <c r="B24823" t="inlineStr">
        <is>
          <t>Elie Saab Girl Of Now Lovely EDP 50ml and BL 75ml</t>
        </is>
      </c>
      <c r="C24823" t="inlineStr">
        <is>
          <t>Eau De Parfum</t>
        </is>
      </c>
      <c r="D24823" t="inlineStr">
        <is>
          <t>Elie Saab</t>
        </is>
      </c>
      <c r="E24823" t="n">
        <v>40.45</v>
      </c>
      <c r="F24823" t="n">
        <v>1</v>
      </c>
      <c r="G24823" t="n">
        <v>15</v>
      </c>
      <c r="H24823" s="5">
        <f>HYPERLINK("https://api.qogita.com/variants/link/7640233340776/", "View Product")</f>
        <v/>
      </c>
    </row>
    <row r="24824">
      <c r="A24824" t="inlineStr">
        <is>
          <t>7640233340837</t>
        </is>
      </c>
      <c r="B24824" t="inlineStr">
        <is>
          <t>Elie Saab Essence No 4 Oud Eau De Parfum 3.3 Oz</t>
        </is>
      </c>
      <c r="C24824" t="inlineStr">
        <is>
          <t>Eau De Parfum</t>
        </is>
      </c>
      <c r="D24824" t="inlineStr">
        <is>
          <t>Elie Saab</t>
        </is>
      </c>
      <c r="E24824" t="n">
        <v>39.4</v>
      </c>
      <c r="F24824" t="n">
        <v>1</v>
      </c>
      <c r="G24824" t="n">
        <v>23</v>
      </c>
      <c r="H24824" s="5">
        <f>HYPERLINK("https://api.qogita.com/variants/link/7640233340837/", "View Product")</f>
        <v/>
      </c>
    </row>
    <row r="24825">
      <c r="A24825" t="inlineStr">
        <is>
          <t>7640233341056</t>
        </is>
      </c>
      <c r="B24825" t="inlineStr">
        <is>
          <t>Elie Saab Girl Of Now Lovely Eau De Parfum</t>
        </is>
      </c>
      <c r="C24825" t="inlineStr">
        <is>
          <t>Eau De Parfum</t>
        </is>
      </c>
      <c r="D24825" t="inlineStr">
        <is>
          <t>Elie Saab</t>
        </is>
      </c>
      <c r="E24825" t="n">
        <v>23.08</v>
      </c>
      <c r="F24825" t="n">
        <v>1</v>
      </c>
      <c r="G24825" t="n">
        <v>26</v>
      </c>
      <c r="H24825" s="5">
        <f>HYPERLINK("https://api.qogita.com/variants/link/7640233341056/", "View Product")</f>
        <v/>
      </c>
    </row>
    <row r="24826">
      <c r="A24826" t="inlineStr">
        <is>
          <t>7640233341704</t>
        </is>
      </c>
      <c r="B24826" t="inlineStr">
        <is>
          <t>Elie Saab Le Parfum Bridal Eau De Parfum Spray 50ml</t>
        </is>
      </c>
      <c r="C24826" t="inlineStr">
        <is>
          <t>Eau De Parfum</t>
        </is>
      </c>
      <c r="D24826" t="inlineStr">
        <is>
          <t>Elie Saab</t>
        </is>
      </c>
      <c r="E24826" t="n">
        <v>33.19</v>
      </c>
      <c r="F24826" t="n">
        <v>1</v>
      </c>
      <c r="G24826" t="n">
        <v>23</v>
      </c>
      <c r="H24826" s="5">
        <f>HYPERLINK("https://api.qogita.com/variants/link/7640233341704/", "View Product")</f>
        <v/>
      </c>
    </row>
    <row r="24827">
      <c r="A24827" t="inlineStr">
        <is>
          <t>7640233342046</t>
        </is>
      </c>
      <c r="B24827" t="inlineStr">
        <is>
          <t>Elie Saab Elixir Love Eau De Parfum - 50ml</t>
        </is>
      </c>
      <c r="C24827" t="inlineStr">
        <is>
          <t>Eau De Parfum</t>
        </is>
      </c>
      <c r="D24827" t="inlineStr">
        <is>
          <t>Elie Saab</t>
        </is>
      </c>
      <c r="E24827" t="n">
        <v>40.1</v>
      </c>
      <c r="F24827" t="n">
        <v>1</v>
      </c>
      <c r="G24827" t="n">
        <v>13</v>
      </c>
      <c r="H24827" s="5">
        <f>HYPERLINK("https://api.qogita.com/variants/link/7640233342046/", "View Product")</f>
        <v/>
      </c>
    </row>
    <row r="24828">
      <c r="A24828" t="inlineStr">
        <is>
          <t>7640365140626</t>
        </is>
      </c>
      <c r="B24828" t="inlineStr">
        <is>
          <t>Philipp Plein Plein Fatale Eau De Parfum Spray 50ml</t>
        </is>
      </c>
      <c r="C24828" t="inlineStr">
        <is>
          <t>Eau De Parfum</t>
        </is>
      </c>
      <c r="D24828" t="inlineStr">
        <is>
          <t>Philipp Plein</t>
        </is>
      </c>
      <c r="E24828" t="n">
        <v>18.28</v>
      </c>
      <c r="F24828" t="n">
        <v>1</v>
      </c>
      <c r="G24828" t="n">
        <v>14</v>
      </c>
      <c r="H24828" s="5">
        <f>HYPERLINK("https://api.qogita.com/variants/link/7640365140626/", "View Product")</f>
        <v/>
      </c>
    </row>
    <row r="24829">
      <c r="A24829" t="inlineStr">
        <is>
          <t>7640365140923</t>
        </is>
      </c>
      <c r="B24829" t="inlineStr">
        <is>
          <t>Philipp Plein Fatale Rose Eau De Parfum Spray 50ml</t>
        </is>
      </c>
      <c r="C24829" t="inlineStr">
        <is>
          <t>Eau De Parfum</t>
        </is>
      </c>
      <c r="D24829" t="inlineStr">
        <is>
          <t>Philipp Plein</t>
        </is>
      </c>
      <c r="E24829" t="n">
        <v>23.97</v>
      </c>
      <c r="F24829" t="n">
        <v>1</v>
      </c>
      <c r="G24829" t="n">
        <v>5</v>
      </c>
      <c r="H24829" s="5">
        <f>HYPERLINK("https://api.qogita.com/variants/link/7640365140923/", "View Product")</f>
        <v/>
      </c>
    </row>
    <row r="24830">
      <c r="A24830" t="inlineStr">
        <is>
          <t>7640365140930</t>
        </is>
      </c>
      <c r="B24830" t="inlineStr">
        <is>
          <t>Philipp Plein Fatale Rose Eau De Parfum Spray 90ml</t>
        </is>
      </c>
      <c r="C24830" t="inlineStr">
        <is>
          <t>Eau De Parfum</t>
        </is>
      </c>
      <c r="D24830" t="inlineStr">
        <is>
          <t>Philipp Plein</t>
        </is>
      </c>
      <c r="E24830" t="n">
        <v>30.43</v>
      </c>
      <c r="F24830" t="n">
        <v>1</v>
      </c>
      <c r="G24830" t="n">
        <v>3</v>
      </c>
      <c r="H24830" s="5">
        <f>HYPERLINK("https://api.qogita.com/variants/link/7640365140930/", "View Product")</f>
        <v/>
      </c>
    </row>
    <row r="24831">
      <c r="A24831" t="inlineStr">
        <is>
          <t>7674182001105</t>
        </is>
      </c>
      <c r="B24831" t="inlineStr">
        <is>
          <t>Enrico Gi Perfume 100ml</t>
        </is>
      </c>
      <c r="C24831" t="inlineStr">
        <is>
          <t>Eau De Parfum</t>
        </is>
      </c>
      <c r="D24831" t="inlineStr">
        <is>
          <t>Enrico G.</t>
        </is>
      </c>
      <c r="E24831" t="n">
        <v>15.6</v>
      </c>
      <c r="F24831" t="n">
        <v>1</v>
      </c>
      <c r="G24831" t="n">
        <v>4</v>
      </c>
      <c r="H24831" s="5">
        <f>HYPERLINK("https://api.qogita.com/variants/link/7674182001105/", "View Product")</f>
        <v/>
      </c>
    </row>
    <row r="24832">
      <c r="A24832" t="inlineStr">
        <is>
          <t>7702018070732</t>
        </is>
      </c>
      <c r="B24832" t="inlineStr">
        <is>
          <t>Gillette Simply Venus 3 Plus Disposable Razors 8 4 Pieces</t>
        </is>
      </c>
      <c r="C24832" t="inlineStr">
        <is>
          <t>Razors &amp; Hair Removal Tools</t>
        </is>
      </c>
      <c r="D24832" t="inlineStr">
        <is>
          <t>Gillette</t>
        </is>
      </c>
      <c r="E24832" t="n">
        <v>10.03</v>
      </c>
      <c r="F24832" t="n">
        <v>1</v>
      </c>
      <c r="G24832" t="n">
        <v>5</v>
      </c>
      <c r="H24832" s="5">
        <f>HYPERLINK("https://api.qogita.com/variants/link/7702018070732/", "View Product")</f>
        <v/>
      </c>
    </row>
    <row r="24833">
      <c r="A24833" t="inlineStr">
        <is>
          <t>7702018263875</t>
        </is>
      </c>
      <c r="B24833" t="inlineStr">
        <is>
          <t>Gillette Fusion Proglide Spare Heads 8 Units</t>
        </is>
      </c>
      <c r="C24833" t="inlineStr">
        <is>
          <t>Shaving</t>
        </is>
      </c>
      <c r="D24833" t="inlineStr">
        <is>
          <t>Gillette</t>
        </is>
      </c>
      <c r="E24833" t="n">
        <v>24.01</v>
      </c>
      <c r="F24833" t="n">
        <v>1</v>
      </c>
      <c r="G24833" t="n">
        <v>392</v>
      </c>
      <c r="H24833" s="5">
        <f>HYPERLINK("https://api.qogita.com/variants/link/7702018263875/", "View Product")</f>
        <v/>
      </c>
    </row>
    <row r="24834">
      <c r="A24834" t="inlineStr">
        <is>
          <t>7702018322862</t>
        </is>
      </c>
      <c r="B24834" t="inlineStr">
        <is>
          <t>Gillette Venus Comfort Glide Spa Breeze Shaver With 2 Spare Heads</t>
        </is>
      </c>
      <c r="C24834" t="inlineStr">
        <is>
          <t>Razors &amp; Hair Removal Tools</t>
        </is>
      </c>
      <c r="D24834" t="inlineStr">
        <is>
          <t>Gillette</t>
        </is>
      </c>
      <c r="E24834" t="n">
        <v>11.06</v>
      </c>
      <c r="F24834" t="n">
        <v>1</v>
      </c>
      <c r="G24834" t="n">
        <v>48</v>
      </c>
      <c r="H24834" s="5">
        <f>HYPERLINK("https://api.qogita.com/variants/link/7702018322862/", "View Product")</f>
        <v/>
      </c>
    </row>
    <row r="24835">
      <c r="A24835" t="inlineStr">
        <is>
          <t>7702018400997</t>
        </is>
      </c>
      <c r="B24835" t="inlineStr">
        <is>
          <t>Gillette Ladies Venus Swirl Shaver With Flexball Technology Includes 1 Replacement Head</t>
        </is>
      </c>
      <c r="C24835" t="inlineStr">
        <is>
          <t>Razors &amp; Hair Removal Tools</t>
        </is>
      </c>
      <c r="D24835" t="inlineStr">
        <is>
          <t>Gillette</t>
        </is>
      </c>
      <c r="E24835" t="n">
        <v>11.72</v>
      </c>
      <c r="F24835" t="n">
        <v>1</v>
      </c>
      <c r="G24835" t="n">
        <v>32</v>
      </c>
      <c r="H24835" s="5">
        <f>HYPERLINK("https://api.qogita.com/variants/link/7702018400997/", "View Product")</f>
        <v/>
      </c>
    </row>
    <row r="24836">
      <c r="A24836" t="inlineStr">
        <is>
          <t>7702018425853</t>
        </is>
      </c>
      <c r="B24836" t="inlineStr">
        <is>
          <t>Gillette Mach3 Regular Shaver With 12 Heads Shaver With Spare Blades</t>
        </is>
      </c>
      <c r="C24836" t="inlineStr">
        <is>
          <t>Razors &amp; Hair Removal Tools</t>
        </is>
      </c>
      <c r="D24836" t="inlineStr">
        <is>
          <t>Gillette</t>
        </is>
      </c>
      <c r="E24836" t="n">
        <v>44.51</v>
      </c>
      <c r="F24836" t="n">
        <v>1</v>
      </c>
      <c r="G24836" t="n">
        <v>6</v>
      </c>
      <c r="H24836" s="5">
        <f>HYPERLINK("https://api.qogita.com/variants/link/7702018425853/", "View Product")</f>
        <v/>
      </c>
    </row>
    <row r="24837">
      <c r="A24837" t="inlineStr">
        <is>
          <t>7702018457281</t>
        </is>
      </c>
      <c r="B24837" t="inlineStr">
        <is>
          <t>Gillette Blue3 Cool Disposable Men's Razors</t>
        </is>
      </c>
      <c r="C24837" t="inlineStr">
        <is>
          <t>Razors &amp; Hair Removal Tools</t>
        </is>
      </c>
      <c r="D24837" t="inlineStr">
        <is>
          <t>Gillette</t>
        </is>
      </c>
      <c r="E24837" t="n">
        <v>4.81</v>
      </c>
      <c r="F24837" t="n">
        <v>1</v>
      </c>
      <c r="G24837" t="n">
        <v>1</v>
      </c>
      <c r="H24837" s="5">
        <f>HYPERLINK("https://api.qogita.com/variants/link/7702018457281/", "View Product")</f>
        <v/>
      </c>
    </row>
    <row r="24838">
      <c r="A24838" t="inlineStr">
        <is>
          <t>7702018464692</t>
        </is>
      </c>
      <c r="B24838" t="inlineStr">
        <is>
          <t>Gillette Fusion Hydra Gel Sensitive Skin 200 Ml Shaving Gel For Sensitive Skin</t>
        </is>
      </c>
      <c r="C24838" t="inlineStr">
        <is>
          <t>Shaving</t>
        </is>
      </c>
      <c r="D24838" t="inlineStr">
        <is>
          <t>Gillette</t>
        </is>
      </c>
      <c r="E24838" t="n">
        <v>3.47</v>
      </c>
      <c r="F24838" t="n">
        <v>1</v>
      </c>
      <c r="G24838" t="n">
        <v>18</v>
      </c>
      <c r="H24838" s="5">
        <f>HYPERLINK("https://api.qogita.com/variants/link/7702018464692/", "View Product")</f>
        <v/>
      </c>
    </row>
    <row r="24839">
      <c r="A24839" t="inlineStr">
        <is>
          <t>7702018489978</t>
        </is>
      </c>
      <c r="B24839" t="inlineStr">
        <is>
          <t>Gillette Blue 3 Comfort Disposable Razors - 8-Pack</t>
        </is>
      </c>
      <c r="C24839" t="inlineStr">
        <is>
          <t>Razors &amp; Hair Removal Tools</t>
        </is>
      </c>
      <c r="D24839" t="inlineStr">
        <is>
          <t>Gillette</t>
        </is>
      </c>
      <c r="E24839" t="n">
        <v>8.31</v>
      </c>
      <c r="F24839" t="n">
        <v>1</v>
      </c>
      <c r="G24839" t="n">
        <v>8</v>
      </c>
      <c r="H24839" s="5">
        <f>HYPERLINK("https://api.qogita.com/variants/link/7702018489978/", "View Product")</f>
        <v/>
      </c>
    </row>
    <row r="24840">
      <c r="A24840" t="inlineStr">
        <is>
          <t>7702018491544</t>
        </is>
      </c>
      <c r="B24840" t="inlineStr">
        <is>
          <t>Gillette Venus Sensitive Disposable Razors 3 Pieces</t>
        </is>
      </c>
      <c r="C24840" t="inlineStr">
        <is>
          <t>Razors &amp; Hair Removal Tools</t>
        </is>
      </c>
      <c r="D24840" t="inlineStr">
        <is>
          <t>Gillette</t>
        </is>
      </c>
      <c r="E24840" t="n">
        <v>8.029999999999999</v>
      </c>
      <c r="F24840" t="n">
        <v>1</v>
      </c>
      <c r="G24840" t="n">
        <v>14</v>
      </c>
      <c r="H24840" s="5">
        <f>HYPERLINK("https://api.qogita.com/variants/link/7702018491544/", "View Product")</f>
        <v/>
      </c>
    </row>
    <row r="24841">
      <c r="A24841" t="inlineStr">
        <is>
          <t>7702018545773</t>
        </is>
      </c>
      <c r="B24841" t="inlineStr">
        <is>
          <t>Gillette Disposable Razors Venus Sensitive - 6 Pieces</t>
        </is>
      </c>
      <c r="C24841" t="inlineStr">
        <is>
          <t>Razors &amp; Hair Removal Tools</t>
        </is>
      </c>
      <c r="D24841" t="inlineStr">
        <is>
          <t>Gillette</t>
        </is>
      </c>
      <c r="E24841" t="n">
        <v>9.83</v>
      </c>
      <c r="F24841" t="n">
        <v>1</v>
      </c>
      <c r="G24841" t="n">
        <v>33</v>
      </c>
      <c r="H24841" s="5">
        <f>HYPERLINK("https://api.qogita.com/variants/link/7702018545773/", "View Product")</f>
        <v/>
      </c>
    </row>
    <row r="24842">
      <c r="A24842" t="inlineStr">
        <is>
          <t>7702018552313</t>
        </is>
      </c>
      <c r="B24842" t="inlineStr">
        <is>
          <t>Gillette Mach3 Replacement Heads 4 Count</t>
        </is>
      </c>
      <c r="C24842" t="inlineStr">
        <is>
          <t>Shaving</t>
        </is>
      </c>
      <c r="D24842" t="inlineStr">
        <is>
          <t>Gillette</t>
        </is>
      </c>
      <c r="E24842" t="n">
        <v>18.18</v>
      </c>
      <c r="F24842" t="n">
        <v>1</v>
      </c>
      <c r="G24842" t="n">
        <v>8</v>
      </c>
      <c r="H24842" s="5">
        <f>HYPERLINK("https://api.qogita.com/variants/link/7702018552313/", "View Product")</f>
        <v/>
      </c>
    </row>
    <row r="24843">
      <c r="A24843" t="inlineStr">
        <is>
          <t>7702018575350</t>
        </is>
      </c>
      <c r="B24843" t="inlineStr">
        <is>
          <t>Gillette Venus Sensitive Smooth Women's Razor With 2 Heads Pinkwhite</t>
        </is>
      </c>
      <c r="C24843" t="inlineStr">
        <is>
          <t>Razors &amp; Hair Removal Tools</t>
        </is>
      </c>
      <c r="D24843" t="inlineStr">
        <is>
          <t>Gillette Venus</t>
        </is>
      </c>
      <c r="E24843" t="n">
        <v>10</v>
      </c>
      <c r="F24843" t="n">
        <v>1</v>
      </c>
      <c r="G24843" t="n">
        <v>41</v>
      </c>
      <c r="H24843" s="5">
        <f>HYPERLINK("https://api.qogita.com/variants/link/7702018575350/", "View Product")</f>
        <v/>
      </c>
    </row>
    <row r="24844">
      <c r="A24844" t="inlineStr">
        <is>
          <t>7702018590148</t>
        </is>
      </c>
      <c r="B24844" t="inlineStr">
        <is>
          <t>Gillette King Double Edge Safety Razor With 5 Spare Blades</t>
        </is>
      </c>
      <c r="C24844" t="inlineStr">
        <is>
          <t>Shaving</t>
        </is>
      </c>
      <c r="D24844" t="inlineStr">
        <is>
          <t>Gillette</t>
        </is>
      </c>
      <c r="E24844" t="n">
        <v>15.66</v>
      </c>
      <c r="F24844" t="n">
        <v>1</v>
      </c>
      <c r="G24844" t="n">
        <v>43</v>
      </c>
      <c r="H24844" s="5">
        <f>HYPERLINK("https://api.qogita.com/variants/link/7702018590148/", "View Product")</f>
        <v/>
      </c>
    </row>
    <row r="24845">
      <c r="A24845" t="inlineStr">
        <is>
          <t>7702018604005</t>
        </is>
      </c>
      <c r="B24845" t="inlineStr">
        <is>
          <t>Gillette Sensitive Shave Gel For Sensitive Skin 200 Ml</t>
        </is>
      </c>
      <c r="C24845" t="inlineStr">
        <is>
          <t>Shaving</t>
        </is>
      </c>
      <c r="D24845" t="inlineStr">
        <is>
          <t>Gillette</t>
        </is>
      </c>
      <c r="E24845" t="n">
        <v>7.88</v>
      </c>
      <c r="F24845" t="n">
        <v>1</v>
      </c>
      <c r="G24845" t="n">
        <v>50</v>
      </c>
      <c r="H24845" s="5">
        <f>HYPERLINK("https://api.qogita.com/variants/link/7702018604005/", "View Product")</f>
        <v/>
      </c>
    </row>
    <row r="24846">
      <c r="A24846" t="inlineStr">
        <is>
          <t>7702018619757</t>
        </is>
      </c>
      <c r="B24846" t="inlineStr">
        <is>
          <t>Gillette Charcoal Cleansing Shave Gel 200 Ml</t>
        </is>
      </c>
      <c r="C24846" t="inlineStr">
        <is>
          <t>Cleansing Gel</t>
        </is>
      </c>
      <c r="D24846" t="inlineStr">
        <is>
          <t>Gillette</t>
        </is>
      </c>
      <c r="E24846" t="n">
        <v>4.84</v>
      </c>
      <c r="F24846" t="n">
        <v>1</v>
      </c>
      <c r="G24846" t="n">
        <v>5</v>
      </c>
      <c r="H24846" s="5">
        <f>HYPERLINK("https://api.qogita.com/variants/link/7702018619757/", "View Product")</f>
        <v/>
      </c>
    </row>
    <row r="24847">
      <c r="A24847" t="inlineStr">
        <is>
          <t>7702018620180</t>
        </is>
      </c>
      <c r="B24847" t="inlineStr">
        <is>
          <t>Gillette After Shave Splash Series Arctic Ice 100 Ml</t>
        </is>
      </c>
      <c r="C24847" t="inlineStr">
        <is>
          <t>Aftershave</t>
        </is>
      </c>
      <c r="D24847" t="inlineStr">
        <is>
          <t>Gillette</t>
        </is>
      </c>
      <c r="E24847" t="n">
        <v>10.44</v>
      </c>
      <c r="F24847" t="n">
        <v>1</v>
      </c>
      <c r="G24847" t="n">
        <v>17</v>
      </c>
      <c r="H24847" s="5">
        <f>HYPERLINK("https://api.qogita.com/variants/link/7702018620180/", "View Product")</f>
        <v/>
      </c>
    </row>
    <row r="24848">
      <c r="A24848" t="inlineStr">
        <is>
          <t>7702018851324</t>
        </is>
      </c>
      <c r="B24848" t="inlineStr">
        <is>
          <t>Gillette Fusion5 Blades 8 Pack</t>
        </is>
      </c>
      <c r="C24848" t="inlineStr">
        <is>
          <t>Shaving</t>
        </is>
      </c>
      <c r="D24848" t="inlineStr">
        <is>
          <t>Gillette</t>
        </is>
      </c>
      <c r="E24848" t="n">
        <v>20.87</v>
      </c>
      <c r="F24848" t="n">
        <v>1</v>
      </c>
      <c r="G24848" t="n">
        <v>64</v>
      </c>
      <c r="H24848" s="5">
        <f>HYPERLINK("https://api.qogita.com/variants/link/7702018851324/", "View Product")</f>
        <v/>
      </c>
    </row>
    <row r="24849">
      <c r="A24849" t="inlineStr">
        <is>
          <t>7702018886364</t>
        </is>
      </c>
      <c r="B24849" t="inlineStr">
        <is>
          <t>Gillette Venus Breeze Refill 4 Replacement Heads</t>
        </is>
      </c>
      <c r="C24849" t="inlineStr">
        <is>
          <t>Razors &amp; Hair Removal Tools</t>
        </is>
      </c>
      <c r="D24849" t="inlineStr">
        <is>
          <t>Gillette</t>
        </is>
      </c>
      <c r="E24849" t="n">
        <v>11.48</v>
      </c>
      <c r="F24849" t="n">
        <v>1</v>
      </c>
      <c r="G24849" t="n">
        <v>52</v>
      </c>
      <c r="H24849" s="5">
        <f>HYPERLINK("https://api.qogita.com/variants/link/7702018886364/", "View Product")</f>
        <v/>
      </c>
    </row>
    <row r="24850">
      <c r="A24850" t="inlineStr">
        <is>
          <t>7702018978106</t>
        </is>
      </c>
      <c r="B24850" t="inlineStr">
        <is>
          <t>Gillette Endurance High Performance Antiperspirant Gel For Men Arctic Ice 70ml</t>
        </is>
      </c>
      <c r="C24850" t="inlineStr">
        <is>
          <t>Deodorant &amp; Anti-Perspirant</t>
        </is>
      </c>
      <c r="D24850" t="inlineStr">
        <is>
          <t>Gillette</t>
        </is>
      </c>
      <c r="E24850" t="n">
        <v>7.16</v>
      </c>
      <c r="F24850" t="n">
        <v>1</v>
      </c>
      <c r="G24850" t="n">
        <v>9</v>
      </c>
      <c r="H24850" s="5">
        <f>HYPERLINK("https://api.qogita.com/variants/link/7702018978106/", "View Product")</f>
        <v/>
      </c>
    </row>
    <row r="24851">
      <c r="A24851" t="inlineStr">
        <is>
          <t>7750075021624</t>
        </is>
      </c>
      <c r="B24851" t="inlineStr">
        <is>
          <t>Kativa Argan Oil 4 Oils 60ml Nourishing Hair Treatment</t>
        </is>
      </c>
      <c r="C24851" t="inlineStr">
        <is>
          <t>Hair Oil &amp; Hair Serum</t>
        </is>
      </c>
      <c r="D24851" t="inlineStr">
        <is>
          <t>Kativa</t>
        </is>
      </c>
      <c r="E24851" t="n">
        <v>4.56</v>
      </c>
      <c r="F24851" t="n">
        <v>1</v>
      </c>
      <c r="G24851" t="n">
        <v>20</v>
      </c>
      <c r="H24851" s="5">
        <f>HYPERLINK("https://api.qogita.com/variants/link/7750075021624/", "View Product")</f>
        <v/>
      </c>
    </row>
    <row r="24852">
      <c r="A24852" t="inlineStr">
        <is>
          <t>7750075063501</t>
        </is>
      </c>
      <c r="B24852" t="inlineStr">
        <is>
          <t>Kativa Total Plex Shampoo Reconstructor 355ml Professional Hair Care</t>
        </is>
      </c>
      <c r="C24852" t="inlineStr">
        <is>
          <t>Shampoo</t>
        </is>
      </c>
      <c r="D24852" t="inlineStr">
        <is>
          <t>Kativa</t>
        </is>
      </c>
      <c r="E24852" t="n">
        <v>4.83</v>
      </c>
      <c r="F24852" t="n">
        <v>1</v>
      </c>
      <c r="G24852" t="n">
        <v>5</v>
      </c>
      <c r="H24852" s="5">
        <f>HYPERLINK("https://api.qogita.com/variants/link/7750075063501/", "View Product")</f>
        <v/>
      </c>
    </row>
    <row r="24853">
      <c r="A24853" t="inlineStr">
        <is>
          <t>7750075063518</t>
        </is>
      </c>
      <c r="B24853" t="inlineStr">
        <is>
          <t>Kativa Total Plex Conditioner Reconstructor 355ml Professional Hair Care</t>
        </is>
      </c>
      <c r="C24853" t="inlineStr">
        <is>
          <t>Conditioner</t>
        </is>
      </c>
      <c r="D24853" t="inlineStr">
        <is>
          <t>Kativa</t>
        </is>
      </c>
      <c r="E24853" t="n">
        <v>4.83</v>
      </c>
      <c r="F24853" t="n">
        <v>1</v>
      </c>
      <c r="G24853" t="n">
        <v>4</v>
      </c>
      <c r="H24853" s="5">
        <f>HYPERLINK("https://api.qogita.com/variants/link/7750075063518/", "View Product")</f>
        <v/>
      </c>
    </row>
    <row r="24854">
      <c r="A24854" t="inlineStr">
        <is>
          <t>8000630040843</t>
        </is>
      </c>
      <c r="B24854" t="inlineStr">
        <is>
          <t>Dove Deospray Original Original Antiperspirant 48h Alcoholfree</t>
        </is>
      </c>
      <c r="C24854" t="inlineStr">
        <is>
          <t>Deodorant &amp; Anti-Perspirant</t>
        </is>
      </c>
      <c r="D24854" t="inlineStr">
        <is>
          <t>Dove</t>
        </is>
      </c>
      <c r="E24854" t="n">
        <v>4.14</v>
      </c>
      <c r="F24854" t="n">
        <v>1</v>
      </c>
      <c r="G24854" t="n">
        <v>8</v>
      </c>
      <c r="H24854" s="5">
        <f>HYPERLINK("https://api.qogita.com/variants/link/8000630040843/", "View Product")</f>
        <v/>
      </c>
    </row>
    <row r="24855">
      <c r="A24855" t="inlineStr">
        <is>
          <t>8001090819314</t>
        </is>
      </c>
      <c r="B24855" t="inlineStr">
        <is>
          <t>Gillette Fusion 5 Razor Blades 14 Replacement Blades for Men's Wet Shavers with 5-Blade</t>
        </is>
      </c>
      <c r="C24855" t="inlineStr">
        <is>
          <t>Razors &amp; Hair Removal Tools</t>
        </is>
      </c>
      <c r="D24855" t="inlineStr">
        <is>
          <t>Gillette</t>
        </is>
      </c>
      <c r="E24855" t="n">
        <v>63.07</v>
      </c>
      <c r="F24855" t="n">
        <v>1</v>
      </c>
      <c r="G24855" t="n">
        <v>5</v>
      </c>
      <c r="H24855" s="5">
        <f>HYPERLINK("https://api.qogita.com/variants/link/8001090819314/", "View Product")</f>
        <v/>
      </c>
    </row>
    <row r="24856">
      <c r="A24856" t="inlineStr">
        <is>
          <t>8001090965615</t>
        </is>
      </c>
      <c r="B24856" t="inlineStr">
        <is>
          <t>Old Spice Captain Shower Gel Shampoo Shower Gel For Body And Hair</t>
        </is>
      </c>
      <c r="C24856" t="inlineStr">
        <is>
          <t>Shower Gel</t>
        </is>
      </c>
      <c r="D24856" t="inlineStr">
        <is>
          <t>Old Spice</t>
        </is>
      </c>
      <c r="E24856" t="n">
        <v>6</v>
      </c>
      <c r="F24856" t="n">
        <v>1</v>
      </c>
      <c r="G24856" t="n">
        <v>7</v>
      </c>
      <c r="H24856" s="5">
        <f>HYPERLINK("https://api.qogita.com/variants/link/8001090965615/", "View Product")</f>
        <v/>
      </c>
    </row>
    <row r="24857">
      <c r="A24857" t="inlineStr">
        <is>
          <t>8001090978752</t>
        </is>
      </c>
      <c r="B24857" t="inlineStr">
        <is>
          <t>Old Spice Captain Aftershave Lotion 100ml</t>
        </is>
      </c>
      <c r="C24857" t="inlineStr">
        <is>
          <t>Aftershave</t>
        </is>
      </c>
      <c r="D24857" t="inlineStr">
        <is>
          <t>Old Spice</t>
        </is>
      </c>
      <c r="E24857" t="n">
        <v>11.06</v>
      </c>
      <c r="F24857" t="n">
        <v>1</v>
      </c>
      <c r="G24857" t="n">
        <v>6</v>
      </c>
      <c r="H24857" s="5">
        <f>HYPERLINK("https://api.qogita.com/variants/link/8001090978752/", "View Product")</f>
        <v/>
      </c>
    </row>
    <row r="24858">
      <c r="A24858" t="inlineStr">
        <is>
          <t>8001841834375</t>
        </is>
      </c>
      <c r="B24858" t="inlineStr">
        <is>
          <t>Old Spice Restart Deodorant Body Spray 150 Ml</t>
        </is>
      </c>
      <c r="C24858" t="inlineStr">
        <is>
          <t>Deodorant &amp; Anti-Perspirant</t>
        </is>
      </c>
      <c r="D24858" t="inlineStr">
        <is>
          <t>Old Spice</t>
        </is>
      </c>
      <c r="E24858" t="n">
        <v>5.73</v>
      </c>
      <c r="F24858" t="n">
        <v>1</v>
      </c>
      <c r="G24858" t="n">
        <v>2</v>
      </c>
      <c r="H24858" s="5">
        <f>HYPERLINK("https://api.qogita.com/variants/link/8001841834375/", "View Product")</f>
        <v/>
      </c>
    </row>
    <row r="24859">
      <c r="A24859" t="inlineStr">
        <is>
          <t>8002135111974</t>
        </is>
      </c>
      <c r="B24859" t="inlineStr">
        <is>
          <t>Ferrari Scuderia Black Eau De Toilette Spray 125ml</t>
        </is>
      </c>
      <c r="C24859" t="inlineStr">
        <is>
          <t>Eau De Toilette</t>
        </is>
      </c>
      <c r="D24859" t="inlineStr">
        <is>
          <t>Ferrari</t>
        </is>
      </c>
      <c r="E24859" t="n">
        <v>13.79</v>
      </c>
      <c r="F24859" t="n">
        <v>1</v>
      </c>
      <c r="G24859" t="n">
        <v>427</v>
      </c>
      <c r="H24859" s="5">
        <f>HYPERLINK("https://api.qogita.com/variants/link/8002135111974/", "View Product")</f>
        <v/>
      </c>
    </row>
    <row r="24860">
      <c r="A24860" t="inlineStr">
        <is>
          <t>8002410031805</t>
        </is>
      </c>
      <c r="B24860" t="inlineStr">
        <is>
          <t>Chilly Intima Fresh Feminine Wash Gel 200ml 6.7 fl oz</t>
        </is>
      </c>
      <c r="C24860" t="inlineStr">
        <is>
          <t>Intimate Hygiene</t>
        </is>
      </c>
      <c r="D24860" t="inlineStr">
        <is>
          <t>Chilly</t>
        </is>
      </c>
      <c r="E24860" t="n">
        <v>4.46</v>
      </c>
      <c r="F24860" t="n">
        <v>1</v>
      </c>
      <c r="G24860" t="n">
        <v>102</v>
      </c>
      <c r="H24860" s="5">
        <f>HYPERLINK("https://api.qogita.com/variants/link/8002410031805/", "View Product")</f>
        <v/>
      </c>
    </row>
    <row r="24861">
      <c r="A24861" t="inlineStr">
        <is>
          <t>8002410039160</t>
        </is>
      </c>
      <c r="B24861" t="inlineStr">
        <is>
          <t>Chilly Refreshing Intimate Foam Fresh - 100 Ml</t>
        </is>
      </c>
      <c r="C24861" t="inlineStr">
        <is>
          <t>Intimate Care</t>
        </is>
      </c>
      <c r="D24861" t="inlineStr">
        <is>
          <t>Chilly</t>
        </is>
      </c>
      <c r="E24861" t="n">
        <v>6.07</v>
      </c>
      <c r="F24861" t="n">
        <v>1</v>
      </c>
      <c r="G24861" t="n">
        <v>5</v>
      </c>
      <c r="H24861" s="5">
        <f>HYPERLINK("https://api.qogita.com/variants/link/8002410039160/", "View Product")</f>
        <v/>
      </c>
    </row>
    <row r="24862">
      <c r="A24862" t="inlineStr">
        <is>
          <t>8002410039177</t>
        </is>
      </c>
      <c r="B24862" t="inlineStr">
        <is>
          <t>Chilly Delicate Intimate Foam - 100 Ml</t>
        </is>
      </c>
      <c r="C24862" t="inlineStr">
        <is>
          <t>Intimate Care</t>
        </is>
      </c>
      <c r="D24862" t="inlineStr">
        <is>
          <t>Chilly</t>
        </is>
      </c>
      <c r="E24862" t="n">
        <v>6.07</v>
      </c>
      <c r="F24862" t="n">
        <v>1</v>
      </c>
      <c r="G24862" t="n">
        <v>11</v>
      </c>
      <c r="H24862" s="5">
        <f>HYPERLINK("https://api.qogita.com/variants/link/8002410039177/", "View Product")</f>
        <v/>
      </c>
    </row>
    <row r="24863">
      <c r="A24863" t="inlineStr">
        <is>
          <t>8002410039184</t>
        </is>
      </c>
      <c r="B24863" t="inlineStr">
        <is>
          <t>Chilly Intimate Foam Protect - 100 Ml</t>
        </is>
      </c>
      <c r="C24863" t="inlineStr">
        <is>
          <t>Intimate Hygiene</t>
        </is>
      </c>
      <c r="D24863" t="inlineStr">
        <is>
          <t>Chilly</t>
        </is>
      </c>
      <c r="E24863" t="n">
        <v>6.07</v>
      </c>
      <c r="F24863" t="n">
        <v>1</v>
      </c>
      <c r="G24863" t="n">
        <v>14</v>
      </c>
      <c r="H24863" s="5">
        <f>HYPERLINK("https://api.qogita.com/variants/link/8002410039184/", "View Product")</f>
        <v/>
      </c>
    </row>
    <row r="24864">
      <c r="A24864" t="inlineStr">
        <is>
          <t>8002410044539</t>
        </is>
      </c>
      <c r="B24864" t="inlineStr">
        <is>
          <t>Borotalco Men Dry Amber Deodorant Spray 150 Ml</t>
        </is>
      </c>
      <c r="C24864" t="inlineStr">
        <is>
          <t>Deodorant &amp; Anti-Perspirant</t>
        </is>
      </c>
      <c r="D24864" t="inlineStr">
        <is>
          <t>Borotalco</t>
        </is>
      </c>
      <c r="E24864" t="n">
        <v>4.5</v>
      </c>
      <c r="F24864" t="n">
        <v>1</v>
      </c>
      <c r="G24864" t="n">
        <v>82</v>
      </c>
      <c r="H24864" s="5">
        <f>HYPERLINK("https://api.qogita.com/variants/link/8002410044539/", "View Product")</f>
        <v/>
      </c>
    </row>
    <row r="24865">
      <c r="A24865" t="inlineStr">
        <is>
          <t>8002410046632</t>
        </is>
      </c>
      <c r="B24865" t="inlineStr">
        <is>
          <t>Borotalco Soft Deodorant with Talcum and Floral Fragrance 48h Spray 150ml</t>
        </is>
      </c>
      <c r="C24865" t="inlineStr">
        <is>
          <t>Deodorant &amp; Anti-Perspirant</t>
        </is>
      </c>
      <c r="D24865" t="inlineStr">
        <is>
          <t>Borotalco</t>
        </is>
      </c>
      <c r="E24865" t="n">
        <v>4.5</v>
      </c>
      <c r="F24865" t="n">
        <v>1</v>
      </c>
      <c r="G24865" t="n">
        <v>3</v>
      </c>
      <c r="H24865" s="5">
        <f>HYPERLINK("https://api.qogita.com/variants/link/8002410046632/", "View Product")</f>
        <v/>
      </c>
    </row>
    <row r="24866">
      <c r="A24866" t="inlineStr">
        <is>
          <t>8004283159952</t>
        </is>
      </c>
      <c r="B24866" t="inlineStr">
        <is>
          <t>Lactacyd Active Protection Antibacterial Intimate Wash Emulsion</t>
        </is>
      </c>
      <c r="C24866" t="inlineStr">
        <is>
          <t>Intimate Hygiene</t>
        </is>
      </c>
      <c r="D24866" t="inlineStr">
        <is>
          <t>Lactacyd</t>
        </is>
      </c>
      <c r="E24866" t="n">
        <v>3.24</v>
      </c>
      <c r="F24866" t="n">
        <v>1</v>
      </c>
      <c r="G24866" t="n">
        <v>33</v>
      </c>
      <c r="H24866" s="5">
        <f>HYPERLINK("https://api.qogita.com/variants/link/8004283159952/", "View Product")</f>
        <v/>
      </c>
    </row>
    <row r="24867">
      <c r="A24867" t="inlineStr">
        <is>
          <t>8004395000395</t>
        </is>
      </c>
      <c r="B24867" t="inlineStr">
        <is>
          <t>Proraso Green Shaving Brush Beard Brush</t>
        </is>
      </c>
      <c r="C24867" t="inlineStr">
        <is>
          <t>Beard Care Accessories</t>
        </is>
      </c>
      <c r="D24867" t="inlineStr">
        <is>
          <t>Proraso</t>
        </is>
      </c>
      <c r="E24867" t="n">
        <v>7.1</v>
      </c>
      <c r="F24867" t="n">
        <v>1</v>
      </c>
      <c r="G24867" t="n">
        <v>3</v>
      </c>
      <c r="H24867" s="5">
        <f>HYPERLINK("https://api.qogita.com/variants/link/8004395000395/", "View Product")</f>
        <v/>
      </c>
    </row>
    <row r="24868">
      <c r="A24868" t="inlineStr">
        <is>
          <t>8004395001118</t>
        </is>
      </c>
      <c r="B24868" t="inlineStr">
        <is>
          <t>Proraso Eucalyptus Refreshing Shaving Cream 150 Ml A Soothing Shaving Cream For A Refreshing Shave</t>
        </is>
      </c>
      <c r="C24868" t="inlineStr">
        <is>
          <t>Shaving</t>
        </is>
      </c>
      <c r="D24868" t="inlineStr">
        <is>
          <t>Proraso</t>
        </is>
      </c>
      <c r="E24868" t="n">
        <v>3.04</v>
      </c>
      <c r="F24868" t="n">
        <v>1</v>
      </c>
      <c r="G24868" t="n">
        <v>4</v>
      </c>
      <c r="H24868" s="5">
        <f>HYPERLINK("https://api.qogita.com/variants/link/8004395001118/", "View Product")</f>
        <v/>
      </c>
    </row>
    <row r="24869">
      <c r="A24869" t="inlineStr">
        <is>
          <t>8004395001149</t>
        </is>
      </c>
      <c r="B24869" t="inlineStr">
        <is>
          <t>Proraso Refreshing Shaving Soap In A Bowl With Eucalyptus Oil And Menthol 150ml</t>
        </is>
      </c>
      <c r="C24869" t="inlineStr">
        <is>
          <t>Shaving</t>
        </is>
      </c>
      <c r="D24869" t="inlineStr">
        <is>
          <t>Proraso</t>
        </is>
      </c>
      <c r="E24869" t="n">
        <v>2.36</v>
      </c>
      <c r="F24869" t="n">
        <v>1</v>
      </c>
      <c r="G24869" t="n">
        <v>44</v>
      </c>
      <c r="H24869" s="5">
        <f>HYPERLINK("https://api.qogita.com/variants/link/8004395001149/", "View Product")</f>
        <v/>
      </c>
    </row>
    <row r="24870">
      <c r="A24870" t="inlineStr">
        <is>
          <t>8004395001613</t>
        </is>
      </c>
      <c r="B24870" t="inlineStr">
        <is>
          <t>Proraso Beard Wax Wood Spice 15 Ml</t>
        </is>
      </c>
      <c r="C24870" t="inlineStr">
        <is>
          <t>Beard Care Accessories</t>
        </is>
      </c>
      <c r="D24870" t="inlineStr">
        <is>
          <t>Proraso</t>
        </is>
      </c>
      <c r="E24870" t="n">
        <v>5.98</v>
      </c>
      <c r="F24870" t="n">
        <v>1</v>
      </c>
      <c r="G24870" t="n">
        <v>21</v>
      </c>
      <c r="H24870" s="5">
        <f>HYPERLINK("https://api.qogita.com/variants/link/8004395001613/", "View Product")</f>
        <v/>
      </c>
    </row>
    <row r="24871">
      <c r="A24871" t="inlineStr">
        <is>
          <t>8004395001668</t>
        </is>
      </c>
      <c r="B24871" t="inlineStr">
        <is>
          <t>Proraso Beard Oil Smooth And Protect 30ml Wood And Spice Scent</t>
        </is>
      </c>
      <c r="C24871" t="inlineStr">
        <is>
          <t>Beard Care Accessories</t>
        </is>
      </c>
      <c r="D24871" t="inlineStr">
        <is>
          <t>Proraso</t>
        </is>
      </c>
      <c r="E24871" t="n">
        <v>6.75</v>
      </c>
      <c r="F24871" t="n">
        <v>1</v>
      </c>
      <c r="G24871" t="n">
        <v>34</v>
      </c>
      <c r="H24871" s="5">
        <f>HYPERLINK("https://api.qogita.com/variants/link/8004395001668/", "View Product")</f>
        <v/>
      </c>
    </row>
    <row r="24872">
      <c r="A24872" t="inlineStr">
        <is>
          <t>8004395003600</t>
        </is>
      </c>
      <c r="B24872" t="inlineStr">
        <is>
          <t>Proraso Klasical Gift Set Shaving For Sensitive Skin White 4 Pieces</t>
        </is>
      </c>
      <c r="C24872" t="inlineStr">
        <is>
          <t>Shaving</t>
        </is>
      </c>
      <c r="D24872" t="inlineStr">
        <is>
          <t>Proraso</t>
        </is>
      </c>
      <c r="E24872" t="n">
        <v>13.09</v>
      </c>
      <c r="F24872" t="n">
        <v>1</v>
      </c>
      <c r="G24872" t="n">
        <v>5</v>
      </c>
      <c r="H24872" s="5">
        <f>HYPERLINK("https://api.qogita.com/variants/link/8004395003600/", "View Product")</f>
        <v/>
      </c>
    </row>
    <row r="24873">
      <c r="A24873" t="inlineStr">
        <is>
          <t>8004395006052</t>
        </is>
      </c>
      <c r="B24873" t="inlineStr">
        <is>
          <t>Proraso Professional Preshave Cream With Eucalyptus And Menthol 300ml Refreshing And Toning</t>
        </is>
      </c>
      <c r="C24873" t="inlineStr">
        <is>
          <t>Shaving</t>
        </is>
      </c>
      <c r="D24873" t="inlineStr">
        <is>
          <t>Proraso</t>
        </is>
      </c>
      <c r="E24873" t="n">
        <v>9.210000000000001</v>
      </c>
      <c r="F24873" t="n">
        <v>1</v>
      </c>
      <c r="G24873" t="n">
        <v>34</v>
      </c>
      <c r="H24873" s="5">
        <f>HYPERLINK("https://api.qogita.com/variants/link/8004395006052/", "View Product")</f>
        <v/>
      </c>
    </row>
    <row r="24874">
      <c r="A24874" t="inlineStr">
        <is>
          <t>8004395006779</t>
        </is>
      </c>
      <c r="B24874" t="inlineStr">
        <is>
          <t>PRORASO Professional Size Aftershave Lotion 400ml Red</t>
        </is>
      </c>
      <c r="C24874" t="inlineStr">
        <is>
          <t>Aftershave</t>
        </is>
      </c>
      <c r="D24874" t="inlineStr">
        <is>
          <t>Proraso</t>
        </is>
      </c>
      <c r="E24874" t="n">
        <v>14.12</v>
      </c>
      <c r="F24874" t="n">
        <v>1</v>
      </c>
      <c r="G24874" t="n">
        <v>23</v>
      </c>
      <c r="H24874" s="5">
        <f>HYPERLINK("https://api.qogita.com/variants/link/8004395006779/", "View Product")</f>
        <v/>
      </c>
    </row>
    <row r="24875">
      <c r="A24875" t="inlineStr">
        <is>
          <t>8004395006939</t>
        </is>
      </c>
      <c r="B24875" t="inlineStr">
        <is>
          <t>Proraso Eucalyptus Beard Care Set</t>
        </is>
      </c>
      <c r="C24875" t="inlineStr">
        <is>
          <t>Beard Care Sets</t>
        </is>
      </c>
      <c r="D24875" t="inlineStr">
        <is>
          <t>Proraso</t>
        </is>
      </c>
      <c r="E24875" t="n">
        <v>22.38</v>
      </c>
      <c r="F24875" t="n">
        <v>1</v>
      </c>
      <c r="G24875" t="n">
        <v>6</v>
      </c>
      <c r="H24875" s="5">
        <f>HYPERLINK("https://api.qogita.com/variants/link/8004395006939/", "View Product")</f>
        <v/>
      </c>
    </row>
    <row r="24876">
      <c r="A24876" t="inlineStr">
        <is>
          <t>8004395007462</t>
        </is>
      </c>
      <c r="B24876" t="inlineStr">
        <is>
          <t>Proraso Azur Lime Beard Oil and Shampoo Duo Set</t>
        </is>
      </c>
      <c r="C24876" t="inlineStr">
        <is>
          <t>Beard Care Sets</t>
        </is>
      </c>
      <c r="D24876" t="inlineStr">
        <is>
          <t>Proraso</t>
        </is>
      </c>
      <c r="E24876" t="n">
        <v>16.97</v>
      </c>
      <c r="F24876" t="n">
        <v>1</v>
      </c>
      <c r="G24876" t="n">
        <v>5</v>
      </c>
      <c r="H24876" s="5">
        <f>HYPERLINK("https://api.qogita.com/variants/link/8004395007462/", "View Product")</f>
        <v/>
      </c>
    </row>
    <row r="24877">
      <c r="A24877" t="inlineStr">
        <is>
          <t>8004395007516</t>
        </is>
      </c>
      <c r="B24877" t="inlineStr">
        <is>
          <t>Proraso Azur Lime Beard Wash 200ml Beard Shampoo With Citrus And Juniper Scent</t>
        </is>
      </c>
      <c r="C24877" t="inlineStr">
        <is>
          <t>Beard Care Sets</t>
        </is>
      </c>
      <c r="D24877" t="inlineStr">
        <is>
          <t>Proraso</t>
        </is>
      </c>
      <c r="E24877" t="n">
        <v>11.55</v>
      </c>
      <c r="F24877" t="n">
        <v>1</v>
      </c>
      <c r="G24877" t="n">
        <v>3</v>
      </c>
      <c r="H24877" s="5">
        <f>HYPERLINK("https://api.qogita.com/variants/link/8004395007516/", "View Product")</f>
        <v/>
      </c>
    </row>
    <row r="24878">
      <c r="A24878" t="inlineStr">
        <is>
          <t>8004395007714</t>
        </is>
      </c>
      <c r="B24878" t="inlineStr">
        <is>
          <t>PRORASO Azur Lime EdC 100ml</t>
        </is>
      </c>
      <c r="C24878" t="inlineStr">
        <is>
          <t>Eau De Cologne</t>
        </is>
      </c>
      <c r="D24878" t="inlineStr">
        <is>
          <t>Proraso</t>
        </is>
      </c>
      <c r="E24878" t="n">
        <v>20.48</v>
      </c>
      <c r="F24878" t="n">
        <v>1</v>
      </c>
      <c r="G24878" t="n">
        <v>6</v>
      </c>
      <c r="H24878" s="5">
        <f>HYPERLINK("https://api.qogita.com/variants/link/8004395007714/", "View Product")</f>
        <v/>
      </c>
    </row>
    <row r="24879">
      <c r="A24879" t="inlineStr">
        <is>
          <t>8004395007806</t>
        </is>
      </c>
      <c r="B24879" t="inlineStr">
        <is>
          <t>Proraso Yellow After Shave Balm 100ml Wood And Spice Scent</t>
        </is>
      </c>
      <c r="C24879" t="inlineStr">
        <is>
          <t>Aftershave</t>
        </is>
      </c>
      <c r="D24879" t="inlineStr">
        <is>
          <t>Proraso</t>
        </is>
      </c>
      <c r="E24879" t="n">
        <v>6.28</v>
      </c>
      <c r="F24879" t="n">
        <v>1</v>
      </c>
      <c r="G24879" t="n">
        <v>25</v>
      </c>
      <c r="H24879" s="5">
        <f>HYPERLINK("https://api.qogita.com/variants/link/8004395007806/", "View Product")</f>
        <v/>
      </c>
    </row>
    <row r="24880">
      <c r="A24880" t="inlineStr">
        <is>
          <t>8004395008001</t>
        </is>
      </c>
      <c r="B24880" t="inlineStr">
        <is>
          <t>Proraso Post Shaving Powder</t>
        </is>
      </c>
      <c r="C24880" t="inlineStr">
        <is>
          <t>Aftershave</t>
        </is>
      </c>
      <c r="D24880" t="inlineStr">
        <is>
          <t>Proraso</t>
        </is>
      </c>
      <c r="E24880" t="n">
        <v>5.31</v>
      </c>
      <c r="F24880" t="n">
        <v>1</v>
      </c>
      <c r="G24880" t="n">
        <v>2</v>
      </c>
      <c r="H24880" s="5">
        <f>HYPERLINK("https://api.qogita.com/variants/link/8004395008001/", "View Product")</f>
        <v/>
      </c>
    </row>
    <row r="24881">
      <c r="A24881" t="inlineStr">
        <is>
          <t>8004395009459</t>
        </is>
      </c>
      <c r="B24881" t="inlineStr">
        <is>
          <t>Proraso Green Shaving Foam Refreshing Shaving Foam With Eucalyptus</t>
        </is>
      </c>
      <c r="C24881" t="inlineStr">
        <is>
          <t>Shaving</t>
        </is>
      </c>
      <c r="D24881" t="inlineStr">
        <is>
          <t>Proraso</t>
        </is>
      </c>
      <c r="E24881" t="n">
        <v>3.33</v>
      </c>
      <c r="F24881" t="n">
        <v>1</v>
      </c>
      <c r="G24881" t="n">
        <v>3</v>
      </c>
      <c r="H24881" s="5">
        <f>HYPERLINK("https://api.qogita.com/variants/link/8004395009459/", "View Product")</f>
        <v/>
      </c>
    </row>
    <row r="24882">
      <c r="A24882" t="inlineStr">
        <is>
          <t>8004395111336</t>
        </is>
      </c>
      <c r="B24882" t="inlineStr">
        <is>
          <t>MARVIS Ginger Mint Toothpaste with Gentle Spicy Ginger and Mint 25ml - Travel Size with Fluoride</t>
        </is>
      </c>
      <c r="C24882" t="inlineStr">
        <is>
          <t>Toothpaste</t>
        </is>
      </c>
      <c r="D24882" t="inlineStr">
        <is>
          <t>Marvis</t>
        </is>
      </c>
      <c r="E24882" t="n">
        <v>2.59</v>
      </c>
      <c r="F24882" t="n">
        <v>1</v>
      </c>
      <c r="G24882" t="n">
        <v>33</v>
      </c>
      <c r="H24882" s="5">
        <f>HYPERLINK("https://api.qogita.com/variants/link/8004395111336/", "View Product")</f>
        <v/>
      </c>
    </row>
    <row r="24883">
      <c r="A24883" t="inlineStr">
        <is>
          <t>8004608242406</t>
        </is>
      </c>
      <c r="B24883" t="inlineStr">
        <is>
          <t>Davines Essential Haircare LOVE Conditioner Lovely Smoothing Conditioner 250ml</t>
        </is>
      </c>
      <c r="C24883" t="inlineStr">
        <is>
          <t>Conditioner</t>
        </is>
      </c>
      <c r="D24883" t="inlineStr">
        <is>
          <t>Davines</t>
        </is>
      </c>
      <c r="E24883" t="n">
        <v>20.56</v>
      </c>
      <c r="F24883" t="n">
        <v>1</v>
      </c>
      <c r="G24883" t="n">
        <v>4</v>
      </c>
      <c r="H24883" s="5">
        <f>HYPERLINK("https://api.qogita.com/variants/link/8004608242406/", "View Product")</f>
        <v/>
      </c>
    </row>
    <row r="24884">
      <c r="A24884" t="inlineStr">
        <is>
          <t>8004608242543</t>
        </is>
      </c>
      <c r="B24884" t="inlineStr">
        <is>
          <t>Davines Essential Haircare Volu Hair Mist 250ml</t>
        </is>
      </c>
      <c r="C24884" t="inlineStr">
        <is>
          <t>Hair Tonic</t>
        </is>
      </c>
      <c r="D24884" t="inlineStr">
        <is>
          <t>Davines</t>
        </is>
      </c>
      <c r="E24884" t="n">
        <v>30.74</v>
      </c>
      <c r="F24884" t="n">
        <v>1</v>
      </c>
      <c r="G24884" t="n">
        <v>9</v>
      </c>
      <c r="H24884" s="5">
        <f>HYPERLINK("https://api.qogita.com/variants/link/8004608242543/", "View Product")</f>
        <v/>
      </c>
    </row>
    <row r="24885">
      <c r="A24885" t="inlineStr">
        <is>
          <t>8004608242611</t>
        </is>
      </c>
      <c r="B24885" t="inlineStr">
        <is>
          <t>Davines Essential Haircare Minu Conditioner 5000ml</t>
        </is>
      </c>
      <c r="C24885" t="inlineStr">
        <is>
          <t>Conditioner</t>
        </is>
      </c>
      <c r="D24885" t="inlineStr">
        <is>
          <t>Davines</t>
        </is>
      </c>
      <c r="E24885" t="n">
        <v>10.54</v>
      </c>
      <c r="F24885" t="n">
        <v>1</v>
      </c>
      <c r="G24885" t="n">
        <v>1</v>
      </c>
      <c r="H24885" s="5">
        <f>HYPERLINK("https://api.qogita.com/variants/link/8004608242611/", "View Product")</f>
        <v/>
      </c>
    </row>
    <row r="24886">
      <c r="A24886" t="inlineStr">
        <is>
          <t>8004608242932</t>
        </is>
      </c>
      <c r="B24886" t="inlineStr">
        <is>
          <t>Davines Essential Haircare Nounou Shampoo 75ml Tomato</t>
        </is>
      </c>
      <c r="C24886" t="inlineStr">
        <is>
          <t>Shampoo</t>
        </is>
      </c>
      <c r="D24886" t="inlineStr">
        <is>
          <t>Davines</t>
        </is>
      </c>
      <c r="E24886" t="n">
        <v>9.99</v>
      </c>
      <c r="F24886" t="n">
        <v>1</v>
      </c>
      <c r="G24886" t="n">
        <v>2</v>
      </c>
      <c r="H24886" s="5">
        <f>HYPERLINK("https://api.qogita.com/variants/link/8004608242932/", "View Product")</f>
        <v/>
      </c>
    </row>
    <row r="24887">
      <c r="A24887" t="inlineStr">
        <is>
          <t>8004608247760</t>
        </is>
      </c>
      <c r="B24887" t="inlineStr">
        <is>
          <t>Davines OI Body Wash 280ml</t>
        </is>
      </c>
      <c r="C24887" t="inlineStr">
        <is>
          <t>Shower Gel</t>
        </is>
      </c>
      <c r="D24887" t="inlineStr">
        <is>
          <t>Davines</t>
        </is>
      </c>
      <c r="E24887" t="n">
        <v>19.91</v>
      </c>
      <c r="F24887" t="n">
        <v>1</v>
      </c>
      <c r="G24887" t="n">
        <v>12</v>
      </c>
      <c r="H24887" s="5">
        <f>HYPERLINK("https://api.qogita.com/variants/link/8004608247760/", "View Product")</f>
        <v/>
      </c>
    </row>
    <row r="24888">
      <c r="A24888" t="inlineStr">
        <is>
          <t>8004608255093</t>
        </is>
      </c>
      <c r="B24888" t="inlineStr">
        <is>
          <t>Davines Naturaltech Renewing Shampoo for Durability - Aromatic</t>
        </is>
      </c>
      <c r="C24888" t="inlineStr">
        <is>
          <t>Shampoo</t>
        </is>
      </c>
      <c r="D24888" t="inlineStr">
        <is>
          <t>Davines</t>
        </is>
      </c>
      <c r="E24888" t="n">
        <v>21.48</v>
      </c>
      <c r="F24888" t="n">
        <v>1</v>
      </c>
      <c r="G24888" t="n">
        <v>9</v>
      </c>
      <c r="H24888" s="5">
        <f>HYPERLINK("https://api.qogita.com/variants/link/8004608255093/", "View Product")</f>
        <v/>
      </c>
    </row>
    <row r="24889">
      <c r="A24889" t="inlineStr">
        <is>
          <t>8004608256533</t>
        </is>
      </c>
      <c r="B24889" t="inlineStr">
        <is>
          <t>Davines Natural Tech Detoxifying Scrub Shampoo for Atonic Scalp 250ml</t>
        </is>
      </c>
      <c r="C24889" t="inlineStr">
        <is>
          <t>Shampoo</t>
        </is>
      </c>
      <c r="D24889" t="inlineStr">
        <is>
          <t>Davines</t>
        </is>
      </c>
      <c r="E24889" t="n">
        <v>23.45</v>
      </c>
      <c r="F24889" t="n">
        <v>1</v>
      </c>
      <c r="G24889" t="n">
        <v>14</v>
      </c>
      <c r="H24889" s="5">
        <f>HYPERLINK("https://api.qogita.com/variants/link/8004608256533/", "View Product")</f>
        <v/>
      </c>
    </row>
    <row r="24890">
      <c r="A24890" t="inlineStr">
        <is>
          <t>8004608257134</t>
        </is>
      </c>
      <c r="B24890" t="inlineStr">
        <is>
          <t>Davines Essential Haircare LOVE Conditioner Lovely Smoothing 1000ml</t>
        </is>
      </c>
      <c r="C24890" t="inlineStr">
        <is>
          <t>Conditioner</t>
        </is>
      </c>
      <c r="D24890" t="inlineStr">
        <is>
          <t>Davines</t>
        </is>
      </c>
      <c r="E24890" t="n">
        <v>70.51000000000001</v>
      </c>
      <c r="F24890" t="n">
        <v>1</v>
      </c>
      <c r="G24890" t="n">
        <v>4</v>
      </c>
      <c r="H24890" s="5">
        <f>HYPERLINK("https://api.qogita.com/variants/link/8004608257134/", "View Product")</f>
        <v/>
      </c>
    </row>
    <row r="24891">
      <c r="A24891" t="inlineStr">
        <is>
          <t>8004608257196</t>
        </is>
      </c>
      <c r="B24891" t="inlineStr">
        <is>
          <t>Love Curl by Davines Revitalizer 250ml</t>
        </is>
      </c>
      <c r="C24891" t="inlineStr">
        <is>
          <t>Hair Oil &amp; Hair Serum</t>
        </is>
      </c>
      <c r="D24891" t="inlineStr">
        <is>
          <t>Davines</t>
        </is>
      </c>
      <c r="E24891" t="n">
        <v>24.26</v>
      </c>
      <c r="F24891" t="n">
        <v>1</v>
      </c>
      <c r="G24891" t="n">
        <v>2</v>
      </c>
      <c r="H24891" s="5">
        <f>HYPERLINK("https://api.qogita.com/variants/link/8004608257196/", "View Product")</f>
        <v/>
      </c>
    </row>
    <row r="24892">
      <c r="A24892" t="inlineStr">
        <is>
          <t>8004608257240</t>
        </is>
      </c>
      <c r="B24892" t="inlineStr">
        <is>
          <t>Davines LOVE Curl Mask for Nourished and Workable Curls 2.65 Ounce</t>
        </is>
      </c>
      <c r="C24892" t="inlineStr">
        <is>
          <t>Hair Masks</t>
        </is>
      </c>
      <c r="D24892" t="inlineStr">
        <is>
          <t>Davines</t>
        </is>
      </c>
      <c r="E24892" t="n">
        <v>11.29</v>
      </c>
      <c r="F24892" t="n">
        <v>1</v>
      </c>
      <c r="G24892" t="n">
        <v>4</v>
      </c>
      <c r="H24892" s="5">
        <f>HYPERLINK("https://api.qogita.com/variants/link/8004608257240/", "View Product")</f>
        <v/>
      </c>
    </row>
    <row r="24893">
      <c r="A24893" t="inlineStr">
        <is>
          <t>8004608262435</t>
        </is>
      </c>
      <c r="B24893" t="inlineStr">
        <is>
          <t>Davines Essential Haircare Dede Conditioner 1000ml</t>
        </is>
      </c>
      <c r="C24893" t="inlineStr">
        <is>
          <t>Conditioner</t>
        </is>
      </c>
      <c r="D24893" t="inlineStr">
        <is>
          <t>Davines</t>
        </is>
      </c>
      <c r="E24893" t="n">
        <v>66.20999999999999</v>
      </c>
      <c r="F24893" t="n">
        <v>1</v>
      </c>
      <c r="G24893" t="n">
        <v>5</v>
      </c>
      <c r="H24893" s="5">
        <f>HYPERLINK("https://api.qogita.com/variants/link/8004608262435/", "View Product")</f>
        <v/>
      </c>
    </row>
    <row r="24894">
      <c r="A24894" t="inlineStr">
        <is>
          <t>8004608266518</t>
        </is>
      </c>
      <c r="B24894" t="inlineStr">
        <is>
          <t>Conditioner 50ml</t>
        </is>
      </c>
      <c r="C24894" t="inlineStr">
        <is>
          <t>Conditioner</t>
        </is>
      </c>
      <c r="D24894" t="inlineStr">
        <is>
          <t>Davines</t>
        </is>
      </c>
      <c r="E24894" t="n">
        <v>12.3</v>
      </c>
      <c r="F24894" t="n">
        <v>1</v>
      </c>
      <c r="G24894" t="n">
        <v>2</v>
      </c>
      <c r="H24894" s="5">
        <f>HYPERLINK("https://api.qogita.com/variants/link/8004608266518/", "View Product")</f>
        <v/>
      </c>
    </row>
    <row r="24895">
      <c r="A24895" t="inlineStr">
        <is>
          <t>8004608269113</t>
        </is>
      </c>
      <c r="B24895" t="inlineStr">
        <is>
          <t>Natural Tech by Davines Nourishing Shampoo 250ml</t>
        </is>
      </c>
      <c r="C24895" t="inlineStr">
        <is>
          <t>Shampoo</t>
        </is>
      </c>
      <c r="D24895" t="inlineStr">
        <is>
          <t>Davines</t>
        </is>
      </c>
      <c r="E24895" t="n">
        <v>22.74</v>
      </c>
      <c r="F24895" t="n">
        <v>1</v>
      </c>
      <c r="G24895" t="n">
        <v>9</v>
      </c>
      <c r="H24895" s="5">
        <f>HYPERLINK("https://api.qogita.com/variants/link/8004608269113/", "View Product")</f>
        <v/>
      </c>
    </row>
    <row r="24896">
      <c r="A24896" t="inlineStr">
        <is>
          <t>8004608269151</t>
        </is>
      </c>
      <c r="B24896" t="inlineStr">
        <is>
          <t>Davines Nourishing Vegetarian Miracle Mask</t>
        </is>
      </c>
      <c r="C24896" t="inlineStr">
        <is>
          <t>Hair Masks</t>
        </is>
      </c>
      <c r="D24896" t="inlineStr">
        <is>
          <t>Davines</t>
        </is>
      </c>
      <c r="E24896" t="n">
        <v>34.66</v>
      </c>
      <c r="F24896" t="n">
        <v>1</v>
      </c>
      <c r="G24896" t="n">
        <v>3</v>
      </c>
      <c r="H24896" s="5">
        <f>HYPERLINK("https://api.qogita.com/variants/link/8004608269151/", "View Product")</f>
        <v/>
      </c>
    </row>
    <row r="24897">
      <c r="A24897" t="inlineStr">
        <is>
          <t>8004608270614</t>
        </is>
      </c>
      <c r="B24897" t="inlineStr">
        <is>
          <t>Davines Sun Protection SPF 30</t>
        </is>
      </c>
      <c r="C24897" t="inlineStr">
        <is>
          <t>Body Sun Protection</t>
        </is>
      </c>
      <c r="D24897" t="inlineStr">
        <is>
          <t>Davines</t>
        </is>
      </c>
      <c r="E24897" t="n">
        <v>25.92</v>
      </c>
      <c r="F24897" t="n">
        <v>1</v>
      </c>
      <c r="G24897" t="n">
        <v>3</v>
      </c>
      <c r="H24897" s="5">
        <f>HYPERLINK("https://api.qogita.com/variants/link/8004608270614/", "View Product")</f>
        <v/>
      </c>
    </row>
    <row r="24898">
      <c r="A24898" t="inlineStr">
        <is>
          <t>8004608272588</t>
        </is>
      </c>
      <c r="B24898" t="inlineStr">
        <is>
          <t>Davines Blow Dry Primer 100ml</t>
        </is>
      </c>
      <c r="C24898" t="inlineStr">
        <is>
          <t>Hair Care Sets</t>
        </is>
      </c>
      <c r="D24898" t="inlineStr">
        <is>
          <t>Davines</t>
        </is>
      </c>
      <c r="E24898" t="n">
        <v>13.27</v>
      </c>
      <c r="F24898" t="n">
        <v>1</v>
      </c>
      <c r="G24898" t="n">
        <v>4</v>
      </c>
      <c r="H24898" s="5">
        <f>HYPERLINK("https://api.qogita.com/variants/link/8004608272588/", "View Product")</f>
        <v/>
      </c>
    </row>
    <row r="24899">
      <c r="A24899" t="inlineStr">
        <is>
          <t>8004608275374</t>
        </is>
      </c>
      <c r="B24899" t="inlineStr">
        <is>
          <t>Davines Energizing Superactive New Version 3.38 Fl Oz</t>
        </is>
      </c>
      <c r="C24899" t="inlineStr">
        <is>
          <t>Hair Tonic</t>
        </is>
      </c>
      <c r="D24899" t="inlineStr">
        <is>
          <t>Davines</t>
        </is>
      </c>
      <c r="E24899" t="n">
        <v>73.66</v>
      </c>
      <c r="F24899" t="n">
        <v>1</v>
      </c>
      <c r="G24899" t="n">
        <v>4</v>
      </c>
      <c r="H24899" s="5">
        <f>HYPERLINK("https://api.qogita.com/variants/link/8004608275374/", "View Product")</f>
        <v/>
      </c>
    </row>
    <row r="24900">
      <c r="A24900" t="inlineStr">
        <is>
          <t>8004608279327</t>
        </is>
      </c>
      <c r="B24900" t="inlineStr">
        <is>
          <t>Davines Natural Tech Rebalancing Shampoo For Oily Hair</t>
        </is>
      </c>
      <c r="C24900" t="inlineStr">
        <is>
          <t>Shampoo</t>
        </is>
      </c>
      <c r="D24900" t="inlineStr">
        <is>
          <t>Davines</t>
        </is>
      </c>
      <c r="E24900" t="n">
        <v>21.48</v>
      </c>
      <c r="F24900" t="n">
        <v>1</v>
      </c>
      <c r="G24900" t="n">
        <v>2</v>
      </c>
      <c r="H24900" s="5">
        <f>HYPERLINK("https://api.qogita.com/variants/link/8004608279327/", "View Product")</f>
        <v/>
      </c>
    </row>
    <row r="24901">
      <c r="A24901" t="inlineStr">
        <is>
          <t>8004608281924</t>
        </is>
      </c>
      <c r="B24901" t="inlineStr">
        <is>
          <t>Davines Momo Shampoo Travel Size 75ml</t>
        </is>
      </c>
      <c r="C24901" t="inlineStr">
        <is>
          <t>Shampoo</t>
        </is>
      </c>
      <c r="D24901" t="inlineStr">
        <is>
          <t>Davines</t>
        </is>
      </c>
      <c r="E24901" t="n">
        <v>11.29</v>
      </c>
      <c r="F24901" t="n">
        <v>1</v>
      </c>
      <c r="G24901" t="n">
        <v>5</v>
      </c>
      <c r="H24901" s="5">
        <f>HYPERLINK("https://api.qogita.com/variants/link/8004608281924/", "View Product")</f>
        <v/>
      </c>
    </row>
    <row r="24902">
      <c r="A24902" t="inlineStr">
        <is>
          <t>8004608282259</t>
        </is>
      </c>
      <c r="B24902" t="inlineStr">
        <is>
          <t>Davines Essential Haircare Shampoo Dede 1000ml</t>
        </is>
      </c>
      <c r="C24902" t="inlineStr">
        <is>
          <t>Shampoo</t>
        </is>
      </c>
      <c r="D24902" t="inlineStr">
        <is>
          <t>Davines</t>
        </is>
      </c>
      <c r="E24902" t="n">
        <v>49.89</v>
      </c>
      <c r="F24902" t="n">
        <v>1</v>
      </c>
      <c r="G24902" t="n">
        <v>3</v>
      </c>
      <c r="H24902" s="5">
        <f>HYPERLINK("https://api.qogita.com/variants/link/8004608282259/", "View Product")</f>
        <v/>
      </c>
    </row>
    <row r="24903">
      <c r="A24903" t="inlineStr">
        <is>
          <t>8004608285816</t>
        </is>
      </c>
      <c r="B24903" t="inlineStr">
        <is>
          <t>Davines Dry Wax 200ml</t>
        </is>
      </c>
      <c r="C24903" t="inlineStr">
        <is>
          <t>Wax</t>
        </is>
      </c>
      <c r="D24903" t="inlineStr">
        <is>
          <t>Davines</t>
        </is>
      </c>
      <c r="E24903" t="n">
        <v>24.01</v>
      </c>
      <c r="F24903" t="n">
        <v>1</v>
      </c>
      <c r="G24903" t="n">
        <v>5</v>
      </c>
      <c r="H24903" s="5">
        <f>HYPERLINK("https://api.qogita.com/variants/link/8004608285816/", "View Product")</f>
        <v/>
      </c>
    </row>
    <row r="24904">
      <c r="A24904" t="inlineStr">
        <is>
          <t>8005610255668</t>
        </is>
      </c>
      <c r="B24904" t="inlineStr">
        <is>
          <t>Hugo Boss Hugo Grey Tonic Eau De Toilette 100ml For Men</t>
        </is>
      </c>
      <c r="C24904" t="inlineStr">
        <is>
          <t>Eau De Toilette</t>
        </is>
      </c>
      <c r="D24904" t="inlineStr">
        <is>
          <t>Hugo Boss</t>
        </is>
      </c>
      <c r="E24904" t="n">
        <v>38.39</v>
      </c>
      <c r="F24904" t="n">
        <v>1</v>
      </c>
      <c r="G24904" t="n">
        <v>179</v>
      </c>
      <c r="H24904" s="5">
        <f>HYPERLINK("https://api.qogita.com/variants/link/8005610255668/", "View Product")</f>
        <v/>
      </c>
    </row>
    <row r="24905">
      <c r="A24905" t="inlineStr">
        <is>
          <t>8005610268446</t>
        </is>
      </c>
      <c r="B24905" t="inlineStr">
        <is>
          <t>Sebastian Shaper Zero Gravity Hair Spray 50ml</t>
        </is>
      </c>
      <c r="C24905" t="inlineStr">
        <is>
          <t>Hairspray</t>
        </is>
      </c>
      <c r="D24905" t="inlineStr">
        <is>
          <t>Sebastian</t>
        </is>
      </c>
      <c r="E24905" t="n">
        <v>5.21</v>
      </c>
      <c r="F24905" t="n">
        <v>1</v>
      </c>
      <c r="G24905" t="n">
        <v>16</v>
      </c>
      <c r="H24905" s="5">
        <f>HYPERLINK("https://api.qogita.com/variants/link/8005610268446/", "View Product")</f>
        <v/>
      </c>
    </row>
    <row r="24906">
      <c r="A24906" t="inlineStr">
        <is>
          <t>8005610289298</t>
        </is>
      </c>
      <c r="B24906" t="inlineStr">
        <is>
          <t>Londa Color 9/65</t>
        </is>
      </c>
      <c r="C24906" t="inlineStr">
        <is>
          <t>Hair Dye</t>
        </is>
      </c>
      <c r="D24906" t="inlineStr">
        <is>
          <t>Londa</t>
        </is>
      </c>
      <c r="E24906" t="n">
        <v>3.22</v>
      </c>
      <c r="F24906" t="n">
        <v>1</v>
      </c>
      <c r="G24906" t="n">
        <v>8</v>
      </c>
      <c r="H24906" s="5">
        <f>HYPERLINK("https://api.qogita.com/variants/link/8005610289298/", "View Product")</f>
        <v/>
      </c>
    </row>
    <row r="24907">
      <c r="A24907" t="inlineStr">
        <is>
          <t>8005610291369</t>
        </is>
      </c>
      <c r="B24907" t="inlineStr">
        <is>
          <t>Mexx Woman Eau De Parfum Floral Fresh Women's Perfume with Lemon and Rose</t>
        </is>
      </c>
      <c r="C24907" t="inlineStr">
        <is>
          <t>Eau De Parfum</t>
        </is>
      </c>
      <c r="D24907" t="inlineStr">
        <is>
          <t>Mexx</t>
        </is>
      </c>
      <c r="E24907" t="n">
        <v>5.73</v>
      </c>
      <c r="F24907" t="n">
        <v>1</v>
      </c>
      <c r="G24907" t="n">
        <v>6</v>
      </c>
      <c r="H24907" s="5">
        <f>HYPERLINK("https://api.qogita.com/variants/link/8005610291369/", "View Product")</f>
        <v/>
      </c>
    </row>
    <row r="24908">
      <c r="A24908" t="inlineStr">
        <is>
          <t>8005610325507</t>
        </is>
      </c>
      <c r="B24908" t="inlineStr">
        <is>
          <t>Gabriela Sabatini Woman Eau De Toilette Spray 60ml</t>
        </is>
      </c>
      <c r="C24908" t="inlineStr">
        <is>
          <t>Eau De Toilette</t>
        </is>
      </c>
      <c r="D24908" t="inlineStr">
        <is>
          <t>Gabriela Sabatini</t>
        </is>
      </c>
      <c r="E24908" t="n">
        <v>10.36</v>
      </c>
      <c r="F24908" t="n">
        <v>1</v>
      </c>
      <c r="G24908" t="n">
        <v>25</v>
      </c>
      <c r="H24908" s="5">
        <f>HYPERLINK("https://api.qogita.com/variants/link/8005610325507/", "View Product")</f>
        <v/>
      </c>
    </row>
    <row r="24909">
      <c r="A24909" t="inlineStr">
        <is>
          <t>8005610327112</t>
        </is>
      </c>
      <c r="B24909" t="inlineStr">
        <is>
          <t>Bruno Banani Pure Men Eau De Toilette Spray 30ml</t>
        </is>
      </c>
      <c r="C24909" t="inlineStr">
        <is>
          <t>Eau De Toilette</t>
        </is>
      </c>
      <c r="D24909" t="inlineStr">
        <is>
          <t>Bruno Banani</t>
        </is>
      </c>
      <c r="E24909" t="n">
        <v>7.86</v>
      </c>
      <c r="F24909" t="n">
        <v>1</v>
      </c>
      <c r="G24909" t="n">
        <v>16</v>
      </c>
      <c r="H24909" s="5">
        <f>HYPERLINK("https://api.qogita.com/variants/link/8005610327112/", "View Product")</f>
        <v/>
      </c>
    </row>
    <row r="24910">
      <c r="A24910" t="inlineStr">
        <is>
          <t>8005610328768</t>
        </is>
      </c>
      <c r="B24910" t="inlineStr">
        <is>
          <t>Gucci Rush Eau De Toilette Spray 50ml</t>
        </is>
      </c>
      <c r="C24910" t="inlineStr">
        <is>
          <t>Eau De Toilette</t>
        </is>
      </c>
      <c r="D24910" t="inlineStr">
        <is>
          <t>Gucci</t>
        </is>
      </c>
      <c r="E24910" t="n">
        <v>45.42</v>
      </c>
      <c r="F24910" t="n">
        <v>1</v>
      </c>
      <c r="G24910" t="n">
        <v>37</v>
      </c>
      <c r="H24910" s="5">
        <f>HYPERLINK("https://api.qogita.com/variants/link/8005610328768/", "View Product")</f>
        <v/>
      </c>
    </row>
    <row r="24911">
      <c r="A24911" t="inlineStr">
        <is>
          <t>8005610429878</t>
        </is>
      </c>
      <c r="B24911" t="inlineStr">
        <is>
          <t>Sebastian Twisted Styling Foam 200ml</t>
        </is>
      </c>
      <c r="C24911" t="inlineStr">
        <is>
          <t>Mousse</t>
        </is>
      </c>
      <c r="D24911" t="inlineStr">
        <is>
          <t>Sebastian</t>
        </is>
      </c>
      <c r="E24911" t="n">
        <v>12.01</v>
      </c>
      <c r="F24911" t="n">
        <v>1</v>
      </c>
      <c r="G24911" t="n">
        <v>8</v>
      </c>
      <c r="H24911" s="5">
        <f>HYPERLINK("https://api.qogita.com/variants/link/8005610429878/", "View Product")</f>
        <v/>
      </c>
    </row>
    <row r="24912">
      <c r="A24912" t="inlineStr">
        <is>
          <t>8005610434124</t>
        </is>
      </c>
      <c r="B24912" t="inlineStr">
        <is>
          <t>Max Factor Honey Lacquer Lip Gloss 025 Floral Ruby 38 Ml</t>
        </is>
      </c>
      <c r="C24912" t="inlineStr">
        <is>
          <t>Lip Gloss</t>
        </is>
      </c>
      <c r="D24912" t="inlineStr">
        <is>
          <t>Max Factor</t>
        </is>
      </c>
      <c r="E24912" t="n">
        <v>5.37</v>
      </c>
      <c r="F24912" t="n">
        <v>1</v>
      </c>
      <c r="G24912" t="n">
        <v>3</v>
      </c>
      <c r="H24912" s="5">
        <f>HYPERLINK("https://api.qogita.com/variants/link/8005610434124/", "View Product")</f>
        <v/>
      </c>
    </row>
    <row r="24913">
      <c r="A24913" t="inlineStr">
        <is>
          <t>8005610481005</t>
        </is>
      </c>
      <c r="B24913" t="inlineStr">
        <is>
          <t>Gucci Bloom Eau De Parfum Spray 100ml By Gucci</t>
        </is>
      </c>
      <c r="C24913" t="inlineStr">
        <is>
          <t>Eau De Parfum</t>
        </is>
      </c>
      <c r="D24913" t="inlineStr">
        <is>
          <t>Gucci</t>
        </is>
      </c>
      <c r="E24913" t="n">
        <v>73.15000000000001</v>
      </c>
      <c r="F24913" t="n">
        <v>1</v>
      </c>
      <c r="G24913" t="n">
        <v>2</v>
      </c>
      <c r="H24913" s="5">
        <f>HYPERLINK("https://api.qogita.com/variants/link/8005610481005/", "View Product")</f>
        <v/>
      </c>
    </row>
    <row r="24914">
      <c r="A24914" t="inlineStr">
        <is>
          <t>8005610481043</t>
        </is>
      </c>
      <c r="B24914" t="inlineStr">
        <is>
          <t>Gucci Bloom Eau De Parfum Spray 50ml A Floral Fragrance For Women</t>
        </is>
      </c>
      <c r="C24914" t="inlineStr">
        <is>
          <t>Eau De Parfum</t>
        </is>
      </c>
      <c r="D24914" t="inlineStr">
        <is>
          <t>Gucci</t>
        </is>
      </c>
      <c r="E24914" t="n">
        <v>59.27</v>
      </c>
      <c r="F24914" t="n">
        <v>1</v>
      </c>
      <c r="G24914" t="n">
        <v>3</v>
      </c>
      <c r="H24914" s="5">
        <f>HYPERLINK("https://api.qogita.com/variants/link/8005610481043/", "View Product")</f>
        <v/>
      </c>
    </row>
    <row r="24915">
      <c r="A24915" t="inlineStr">
        <is>
          <t>8005610499154</t>
        </is>
      </c>
      <c r="B24915" t="inlineStr">
        <is>
          <t>Nioxin 3-Part System 2 Natural Hair with Progressed Thinning</t>
        </is>
      </c>
      <c r="C24915" t="inlineStr">
        <is>
          <t>Hair Care Sets</t>
        </is>
      </c>
      <c r="D24915" t="inlineStr">
        <is>
          <t>Nioxin</t>
        </is>
      </c>
      <c r="E24915" t="n">
        <v>14.46</v>
      </c>
      <c r="F24915" t="n">
        <v>1</v>
      </c>
      <c r="G24915" t="n">
        <v>3</v>
      </c>
      <c r="H24915" s="5">
        <f>HYPERLINK("https://api.qogita.com/variants/link/8005610499154/", "View Product")</f>
        <v/>
      </c>
    </row>
    <row r="24916">
      <c r="A24916" t="inlineStr">
        <is>
          <t>8005610502410</t>
        </is>
      </c>
      <c r="B24916" t="inlineStr">
        <is>
          <t>Nioxin Intensive Hair Booster Cuticle Protection Treatment 100ml</t>
        </is>
      </c>
      <c r="C24916" t="inlineStr">
        <is>
          <t>Scalp Care</t>
        </is>
      </c>
      <c r="D24916" t="inlineStr">
        <is>
          <t>Nioxin</t>
        </is>
      </c>
      <c r="E24916" t="n">
        <v>23.57</v>
      </c>
      <c r="F24916" t="n">
        <v>1</v>
      </c>
      <c r="G24916" t="n">
        <v>11</v>
      </c>
      <c r="H24916" s="5">
        <f>HYPERLINK("https://api.qogita.com/variants/link/8005610502410/", "View Product")</f>
        <v/>
      </c>
    </row>
    <row r="24917">
      <c r="A24917" t="inlineStr">
        <is>
          <t>8005610524146</t>
        </is>
      </c>
      <c r="B24917" t="inlineStr">
        <is>
          <t>Gucci Guilty Pour Femme Eau de Parfum Spray 50ml</t>
        </is>
      </c>
      <c r="C24917" t="inlineStr">
        <is>
          <t>Eau De Parfum</t>
        </is>
      </c>
      <c r="D24917" t="inlineStr">
        <is>
          <t>Gucci</t>
        </is>
      </c>
      <c r="E24917" t="n">
        <v>54.68</v>
      </c>
      <c r="F24917" t="n">
        <v>1</v>
      </c>
      <c r="G24917" t="n">
        <v>6</v>
      </c>
      <c r="H24917" s="5">
        <f>HYPERLINK("https://api.qogita.com/variants/link/8005610524146/", "View Product")</f>
        <v/>
      </c>
    </row>
    <row r="24918">
      <c r="A24918" t="inlineStr">
        <is>
          <t>8005610529080</t>
        </is>
      </c>
      <c r="B24918" t="inlineStr">
        <is>
          <t>Wella Color Touch Vibrant Reds P5 5554 60ml Hair Color</t>
        </is>
      </c>
      <c r="C24918" t="inlineStr">
        <is>
          <t>Hair Dye</t>
        </is>
      </c>
      <c r="D24918" t="inlineStr">
        <is>
          <t>Wella</t>
        </is>
      </c>
      <c r="E24918" t="n">
        <v>7.54</v>
      </c>
      <c r="F24918" t="n">
        <v>1</v>
      </c>
      <c r="G24918" t="n">
        <v>2</v>
      </c>
      <c r="H24918" s="5">
        <f>HYPERLINK("https://api.qogita.com/variants/link/8005610529080/", "View Product")</f>
        <v/>
      </c>
    </row>
    <row r="24919">
      <c r="A24919" t="inlineStr">
        <is>
          <t>8005610529561</t>
        </is>
      </c>
      <c r="B24919" t="inlineStr">
        <is>
          <t>Wella Color Touch Pure Naturals 30 60ml Hair Color</t>
        </is>
      </c>
      <c r="C24919" t="inlineStr">
        <is>
          <t>Hair Dye</t>
        </is>
      </c>
      <c r="D24919" t="inlineStr">
        <is>
          <t>Wella</t>
        </is>
      </c>
      <c r="E24919" t="n">
        <v>7.41</v>
      </c>
      <c r="F24919" t="n">
        <v>1</v>
      </c>
      <c r="G24919" t="n">
        <v>5</v>
      </c>
      <c r="H24919" s="5">
        <f>HYPERLINK("https://api.qogita.com/variants/link/8005610529561/", "View Product")</f>
        <v/>
      </c>
    </row>
    <row r="24920">
      <c r="A24920" t="inlineStr">
        <is>
          <t>8005610532479</t>
        </is>
      </c>
      <c r="B24920" t="inlineStr">
        <is>
          <t>Wella Professionals Eimi Absolute Set Hair Spray 500ml</t>
        </is>
      </c>
      <c r="C24920" t="inlineStr">
        <is>
          <t>Hairspray</t>
        </is>
      </c>
      <c r="D24920" t="inlineStr">
        <is>
          <t>Wella Professionals</t>
        </is>
      </c>
      <c r="E24920" t="n">
        <v>9.75</v>
      </c>
      <c r="F24920" t="n">
        <v>1</v>
      </c>
      <c r="G24920" t="n">
        <v>41</v>
      </c>
      <c r="H24920" s="5">
        <f>HYPERLINK("https://api.qogita.com/variants/link/8005610532479/", "View Product")</f>
        <v/>
      </c>
    </row>
    <row r="24921">
      <c r="A24921" t="inlineStr">
        <is>
          <t>8005610532776</t>
        </is>
      </c>
      <c r="B24921" t="inlineStr">
        <is>
          <t>Wella Eimi Dynamic Fix 45 Seconds Styling Spray 300ml</t>
        </is>
      </c>
      <c r="C24921" t="inlineStr">
        <is>
          <t>Styling Sprays</t>
        </is>
      </c>
      <c r="D24921" t="inlineStr">
        <is>
          <t>Wella</t>
        </is>
      </c>
      <c r="E24921" t="n">
        <v>8.67</v>
      </c>
      <c r="F24921" t="n">
        <v>1</v>
      </c>
      <c r="G24921" t="n">
        <v>8</v>
      </c>
      <c r="H24921" s="5">
        <f>HYPERLINK("https://api.qogita.com/variants/link/8005610532776/", "View Product")</f>
        <v/>
      </c>
    </row>
    <row r="24922">
      <c r="A24922" t="inlineStr">
        <is>
          <t>8005610533162</t>
        </is>
      </c>
      <c r="B24922" t="inlineStr">
        <is>
          <t>Wella Professionals Eimi Natural Volume 300ml</t>
        </is>
      </c>
      <c r="C24922" t="inlineStr">
        <is>
          <t>Mousse</t>
        </is>
      </c>
      <c r="D24922" t="inlineStr">
        <is>
          <t>Wella</t>
        </is>
      </c>
      <c r="E24922" t="n">
        <v>8.210000000000001</v>
      </c>
      <c r="F24922" t="n">
        <v>1</v>
      </c>
      <c r="G24922" t="n">
        <v>10</v>
      </c>
      <c r="H24922" s="5">
        <f>HYPERLINK("https://api.qogita.com/variants/link/8005610533162/", "View Product")</f>
        <v/>
      </c>
    </row>
    <row r="24923">
      <c r="A24923" t="inlineStr">
        <is>
          <t>8005610533285</t>
        </is>
      </c>
      <c r="B24923" t="inlineStr">
        <is>
          <t>Wella Professionals Eimi Shape Control Extrastrong Foam 500ml</t>
        </is>
      </c>
      <c r="C24923" t="inlineStr">
        <is>
          <t>Mousse</t>
        </is>
      </c>
      <c r="D24923" t="inlineStr">
        <is>
          <t>Wella Professionals</t>
        </is>
      </c>
      <c r="E24923" t="n">
        <v>10.14</v>
      </c>
      <c r="F24923" t="n">
        <v>1</v>
      </c>
      <c r="G24923" t="n">
        <v>65</v>
      </c>
      <c r="H24923" s="5">
        <f>HYPERLINK("https://api.qogita.com/variants/link/8005610533285/", "View Product")</f>
        <v/>
      </c>
    </row>
    <row r="24924">
      <c r="A24924" t="inlineStr">
        <is>
          <t>8005610536644</t>
        </is>
      </c>
      <c r="B24924" t="inlineStr">
        <is>
          <t>Wella Color Touch Rich Natural 597 Hair Color 60ml</t>
        </is>
      </c>
      <c r="C24924" t="inlineStr">
        <is>
          <t>Hair Dye</t>
        </is>
      </c>
      <c r="D24924" t="inlineStr">
        <is>
          <t>Wella</t>
        </is>
      </c>
      <c r="E24924" t="n">
        <v>6.73</v>
      </c>
      <c r="F24924" t="n">
        <v>1</v>
      </c>
      <c r="G24924" t="n">
        <v>2</v>
      </c>
      <c r="H24924" s="5">
        <f>HYPERLINK("https://api.qogita.com/variants/link/8005610536644/", "View Product")</f>
        <v/>
      </c>
    </row>
    <row r="24925">
      <c r="A24925" t="inlineStr">
        <is>
          <t>8005610545653</t>
        </is>
      </c>
      <c r="B24925" t="inlineStr">
        <is>
          <t>Wella Color Touch Plus Intense Light Brown Natural Violet Ammonia-Free 60ml</t>
        </is>
      </c>
      <c r="C24925" t="inlineStr">
        <is>
          <t>Hair Dye</t>
        </is>
      </c>
      <c r="D24925" t="inlineStr">
        <is>
          <t>Wella</t>
        </is>
      </c>
      <c r="E24925" t="n">
        <v>7.09</v>
      </c>
      <c r="F24925" t="n">
        <v>1</v>
      </c>
      <c r="G24925" t="n">
        <v>5</v>
      </c>
      <c r="H24925" s="5">
        <f>HYPERLINK("https://api.qogita.com/variants/link/8005610545653/", "View Product")</f>
        <v/>
      </c>
    </row>
    <row r="24926">
      <c r="A24926" t="inlineStr">
        <is>
          <t>8005610562285</t>
        </is>
      </c>
      <c r="B24926" t="inlineStr">
        <is>
          <t>Londa Professional Velvet Oil Shampoo Nourishing Shampoo With Argan Oil 1000ml</t>
        </is>
      </c>
      <c r="C24926" t="inlineStr">
        <is>
          <t>Shampoo</t>
        </is>
      </c>
      <c r="D24926" t="inlineStr">
        <is>
          <t>Londa Professional</t>
        </is>
      </c>
      <c r="E24926" t="n">
        <v>10.59</v>
      </c>
      <c r="F24926" t="n">
        <v>1</v>
      </c>
      <c r="G24926" t="n">
        <v>32</v>
      </c>
      <c r="H24926" s="5">
        <f>HYPERLINK("https://api.qogita.com/variants/link/8005610562285/", "View Product")</f>
        <v/>
      </c>
    </row>
    <row r="24927">
      <c r="A24927" t="inlineStr">
        <is>
          <t>8005610563367</t>
        </is>
      </c>
      <c r="B24927" t="inlineStr">
        <is>
          <t>Wella EIMI Sculpt Force Extra Strong Flubber Gel 250ml 0.25kg</t>
        </is>
      </c>
      <c r="C24927" t="inlineStr">
        <is>
          <t>Gel</t>
        </is>
      </c>
      <c r="D24927" t="inlineStr">
        <is>
          <t>Wella</t>
        </is>
      </c>
      <c r="E24927" t="n">
        <v>6.77</v>
      </c>
      <c r="F24927" t="n">
        <v>1</v>
      </c>
      <c r="G24927" t="n">
        <v>43</v>
      </c>
      <c r="H24927" s="5">
        <f>HYPERLINK("https://api.qogita.com/variants/link/8005610563367/", "View Product")</f>
        <v/>
      </c>
    </row>
    <row r="24928">
      <c r="A24928" t="inlineStr">
        <is>
          <t>8005610567136</t>
        </is>
      </c>
      <c r="B24928" t="inlineStr">
        <is>
          <t>Wella SP System Professional Care Deep Cleanser Shampoo 1000ml</t>
        </is>
      </c>
      <c r="C24928" t="inlineStr">
        <is>
          <t>Shampoo</t>
        </is>
      </c>
      <c r="D24928" t="inlineStr">
        <is>
          <t>Wella Professionals</t>
        </is>
      </c>
      <c r="E24928" t="n">
        <v>13.15</v>
      </c>
      <c r="F24928" t="n">
        <v>1</v>
      </c>
      <c r="G24928" t="n">
        <v>31</v>
      </c>
      <c r="H24928" s="5">
        <f>HYPERLINK("https://api.qogita.com/variants/link/8005610567136/", "View Product")</f>
        <v/>
      </c>
    </row>
    <row r="24929">
      <c r="A24929" t="inlineStr">
        <is>
          <t>8005610573755</t>
        </is>
      </c>
      <c r="B24929" t="inlineStr">
        <is>
          <t>Wella Professionals Oil Reflections Light Luminous Reflective Oil 30ml Brightening Oil For Shine And Softness Of Hair</t>
        </is>
      </c>
      <c r="C24929" t="inlineStr">
        <is>
          <t>Hair Oil &amp; Hair Serum</t>
        </is>
      </c>
      <c r="D24929" t="inlineStr">
        <is>
          <t>Wella Professionals</t>
        </is>
      </c>
      <c r="E24929" t="n">
        <v>4.39</v>
      </c>
      <c r="F24929" t="n">
        <v>1</v>
      </c>
      <c r="G24929" t="n">
        <v>33</v>
      </c>
      <c r="H24929" s="5">
        <f>HYPERLINK("https://api.qogita.com/variants/link/8005610573755/", "View Product")</f>
        <v/>
      </c>
    </row>
    <row r="24930">
      <c r="A24930" t="inlineStr">
        <is>
          <t>8005610575117</t>
        </is>
      </c>
      <c r="B24930" t="inlineStr">
        <is>
          <t>Wella Professionals EIMI Body Crafter Flexible Volumizing Spray 150ml</t>
        </is>
      </c>
      <c r="C24930" t="inlineStr">
        <is>
          <t>Styling Sprays</t>
        </is>
      </c>
      <c r="D24930" t="inlineStr">
        <is>
          <t>Wella EIMI</t>
        </is>
      </c>
      <c r="E24930" t="n">
        <v>6.59</v>
      </c>
      <c r="F24930" t="n">
        <v>1</v>
      </c>
      <c r="G24930" t="n">
        <v>25</v>
      </c>
      <c r="H24930" s="5">
        <f>HYPERLINK("https://api.qogita.com/variants/link/8005610575117/", "View Product")</f>
        <v/>
      </c>
    </row>
    <row r="24931">
      <c r="A24931" t="inlineStr">
        <is>
          <t>8005610585345</t>
        </is>
      </c>
      <c r="B24931" t="inlineStr">
        <is>
          <t>Wella Professional Blondor Pro Magma Pigmented Lightener 120 G</t>
        </is>
      </c>
      <c r="C24931" t="inlineStr">
        <is>
          <t>Bleaching</t>
        </is>
      </c>
      <c r="D24931" t="inlineStr">
        <is>
          <t>Wella Professionals</t>
        </is>
      </c>
      <c r="E24931" t="n">
        <v>24.13</v>
      </c>
      <c r="F24931" t="n">
        <v>1</v>
      </c>
      <c r="G24931" t="n">
        <v>3</v>
      </c>
      <c r="H24931" s="5">
        <f>HYPERLINK("https://api.qogita.com/variants/link/8005610585345/", "View Product")</f>
        <v/>
      </c>
    </row>
    <row r="24932">
      <c r="A24932" t="inlineStr">
        <is>
          <t>8005610587417</t>
        </is>
      </c>
      <c r="B24932" t="inlineStr">
        <is>
          <t>Wella Professionals Eimi Grip Cream Flexible Styling Cream 75ml</t>
        </is>
      </c>
      <c r="C24932" t="inlineStr">
        <is>
          <t>Styling Creams</t>
        </is>
      </c>
      <c r="D24932" t="inlineStr">
        <is>
          <t>Wella Professionals</t>
        </is>
      </c>
      <c r="E24932" t="n">
        <v>7.41</v>
      </c>
      <c r="F24932" t="n">
        <v>1</v>
      </c>
      <c r="G24932" t="n">
        <v>5</v>
      </c>
      <c r="H24932" s="5">
        <f>HYPERLINK("https://api.qogita.com/variants/link/8005610587417/", "View Product")</f>
        <v/>
      </c>
    </row>
    <row r="24933">
      <c r="A24933" t="inlineStr">
        <is>
          <t>8005610587981</t>
        </is>
      </c>
      <c r="B24933" t="inlineStr">
        <is>
          <t>Wella EIMI Perfect Setting Hair Spray for Care &amp; Protection, Heat Protection Spray for Ba</t>
        </is>
      </c>
      <c r="C24933" t="inlineStr">
        <is>
          <t>Hairspray</t>
        </is>
      </c>
      <c r="D24933" t="inlineStr">
        <is>
          <t>Wella</t>
        </is>
      </c>
      <c r="E24933" t="n">
        <v>6.47</v>
      </c>
      <c r="F24933" t="n">
        <v>1</v>
      </c>
      <c r="G24933" t="n">
        <v>68</v>
      </c>
      <c r="H24933" s="5">
        <f>HYPERLINK("https://api.qogita.com/variants/link/8005610587981/", "View Product")</f>
        <v/>
      </c>
    </row>
    <row r="24934">
      <c r="A24934" t="inlineStr">
        <is>
          <t>8005610588018</t>
        </is>
      </c>
      <c r="B24934" t="inlineStr">
        <is>
          <t>Wella Professionals Eimi Flowing Form 100ml</t>
        </is>
      </c>
      <c r="C24934" t="inlineStr">
        <is>
          <t>Styling Sprays</t>
        </is>
      </c>
      <c r="D24934" t="inlineStr">
        <is>
          <t>Wella Professionals</t>
        </is>
      </c>
      <c r="E24934" t="n">
        <v>7.09</v>
      </c>
      <c r="F24934" t="n">
        <v>1</v>
      </c>
      <c r="G24934" t="n">
        <v>6</v>
      </c>
      <c r="H24934" s="5">
        <f>HYPERLINK("https://api.qogita.com/variants/link/8005610588018/", "View Product")</f>
        <v/>
      </c>
    </row>
    <row r="24935">
      <c r="A24935" t="inlineStr">
        <is>
          <t>8005610588162</t>
        </is>
      </c>
      <c r="B24935" t="inlineStr">
        <is>
          <t>Wella EIMI Thermal Image 150ml</t>
        </is>
      </c>
      <c r="C24935" t="inlineStr">
        <is>
          <t>Heat Protection</t>
        </is>
      </c>
      <c r="D24935" t="inlineStr">
        <is>
          <t>Wella</t>
        </is>
      </c>
      <c r="E24935" t="n">
        <v>7.28</v>
      </c>
      <c r="F24935" t="n">
        <v>1</v>
      </c>
      <c r="G24935" t="n">
        <v>45</v>
      </c>
      <c r="H24935" s="5">
        <f>HYPERLINK("https://api.qogita.com/variants/link/8005610588162/", "View Product")</f>
        <v/>
      </c>
    </row>
    <row r="24936">
      <c r="A24936" t="inlineStr">
        <is>
          <t>8005610588285</t>
        </is>
      </c>
      <c r="B24936" t="inlineStr">
        <is>
          <t>Wella Professionals Eimi Pearl Styler 150 Ml Hair Styling Gel</t>
        </is>
      </c>
      <c r="C24936" t="inlineStr">
        <is>
          <t>Gel</t>
        </is>
      </c>
      <c r="D24936" t="inlineStr">
        <is>
          <t>Wella Professionals</t>
        </is>
      </c>
      <c r="E24936" t="n">
        <v>5.07</v>
      </c>
      <c r="F24936" t="n">
        <v>1</v>
      </c>
      <c r="G24936" t="n">
        <v>80</v>
      </c>
      <c r="H24936" s="5">
        <f>HYPERLINK("https://api.qogita.com/variants/link/8005610588285/", "View Product")</f>
        <v/>
      </c>
    </row>
    <row r="24937">
      <c r="A24937" t="inlineStr">
        <is>
          <t>8005610604350</t>
        </is>
      </c>
      <c r="B24937" t="inlineStr">
        <is>
          <t>Londa Professional Color Radiance Conditioner For Colored Hair 250ml</t>
        </is>
      </c>
      <c r="C24937" t="inlineStr">
        <is>
          <t>Conditioner</t>
        </is>
      </c>
      <c r="D24937" t="inlineStr">
        <is>
          <t>Londa Professional</t>
        </is>
      </c>
      <c r="E24937" t="n">
        <v>5.37</v>
      </c>
      <c r="F24937" t="n">
        <v>1</v>
      </c>
      <c r="G24937" t="n">
        <v>7</v>
      </c>
      <c r="H24937" s="5">
        <f>HYPERLINK("https://api.qogita.com/variants/link/8005610604350/", "View Product")</f>
        <v/>
      </c>
    </row>
    <row r="24938">
      <c r="A24938" t="inlineStr">
        <is>
          <t>8005610606842</t>
        </is>
      </c>
      <c r="B24938" t="inlineStr">
        <is>
          <t>Londa Professional Color Radiance Post-Color Treatment 1000ml</t>
        </is>
      </c>
      <c r="C24938" t="inlineStr">
        <is>
          <t>Conditioner</t>
        </is>
      </c>
      <c r="D24938" t="inlineStr">
        <is>
          <t>Londa Professional</t>
        </is>
      </c>
      <c r="E24938" t="n">
        <v>10.41</v>
      </c>
      <c r="F24938" t="n">
        <v>1</v>
      </c>
      <c r="G24938" t="n">
        <v>9</v>
      </c>
      <c r="H24938" s="5">
        <f>HYPERLINK("https://api.qogita.com/variants/link/8005610606842/", "View Product")</f>
        <v/>
      </c>
    </row>
    <row r="24939">
      <c r="A24939" t="inlineStr">
        <is>
          <t>8005610607191</t>
        </is>
      </c>
      <c r="B24939" t="inlineStr">
        <is>
          <t>Londa Professional Extra Rich Creme Emulsion 9 30 Vol - Vyvijeci Emulze Pro Vsechny Typy Vlasu</t>
        </is>
      </c>
      <c r="C24939" t="inlineStr">
        <is>
          <t>Hair Dye</t>
        </is>
      </c>
      <c r="D24939" t="inlineStr">
        <is>
          <t>Londa Professional</t>
        </is>
      </c>
      <c r="E24939" t="n">
        <v>0.77</v>
      </c>
      <c r="F24939" t="n">
        <v>1</v>
      </c>
      <c r="G24939" t="n">
        <v>16</v>
      </c>
      <c r="H24939" s="5">
        <f>HYPERLINK("https://api.qogita.com/variants/link/8005610607191/", "View Product")</f>
        <v/>
      </c>
    </row>
    <row r="24940">
      <c r="A24940" t="inlineStr">
        <is>
          <t>8005610626116</t>
        </is>
      </c>
      <c r="B24940" t="inlineStr">
        <is>
          <t>Wella Koleston Perfect Pure Naturals 40 60ml Hair Color</t>
        </is>
      </c>
      <c r="C24940" t="inlineStr">
        <is>
          <t>Hair Dye</t>
        </is>
      </c>
      <c r="D24940" t="inlineStr">
        <is>
          <t>Wella</t>
        </is>
      </c>
      <c r="E24940" t="n">
        <v>6.91</v>
      </c>
      <c r="F24940" t="n">
        <v>1</v>
      </c>
      <c r="G24940" t="n">
        <v>4</v>
      </c>
      <c r="H24940" s="5">
        <f>HYPERLINK("https://api.qogita.com/variants/link/8005610626116/", "View Product")</f>
        <v/>
      </c>
    </row>
    <row r="24941">
      <c r="A24941" t="inlineStr">
        <is>
          <t>8005610628110</t>
        </is>
      </c>
      <c r="B24941" t="inlineStr">
        <is>
          <t>Wella Koleston Perfect Me+ KP Rich Naturals 10/97 Light Ash Blonde Brown Hair Color</t>
        </is>
      </c>
      <c r="C24941" t="inlineStr">
        <is>
          <t>Hair Dye</t>
        </is>
      </c>
      <c r="D24941" t="inlineStr">
        <is>
          <t>Wella Professionals</t>
        </is>
      </c>
      <c r="E24941" t="n">
        <v>7.02</v>
      </c>
      <c r="F24941" t="n">
        <v>1</v>
      </c>
      <c r="G24941" t="n">
        <v>2</v>
      </c>
      <c r="H24941" s="5">
        <f>HYPERLINK("https://api.qogita.com/variants/link/8005610628110/", "View Product")</f>
        <v/>
      </c>
    </row>
    <row r="24942">
      <c r="A24942" t="inlineStr">
        <is>
          <t>8005610628271</t>
        </is>
      </c>
      <c r="B24942" t="inlineStr">
        <is>
          <t>WELLA Koleston Perfect MEPlus Special Blonde Permanent Hair Colour 12/89 Pearl Cendre 60ml</t>
        </is>
      </c>
      <c r="C24942" t="inlineStr">
        <is>
          <t>Hair Dye</t>
        </is>
      </c>
      <c r="D24942" t="inlineStr">
        <is>
          <t>Wella</t>
        </is>
      </c>
      <c r="E24942" t="n">
        <v>6.94</v>
      </c>
      <c r="F24942" t="n">
        <v>1</v>
      </c>
      <c r="G24942" t="n">
        <v>5</v>
      </c>
      <c r="H24942" s="5">
        <f>HYPERLINK("https://api.qogita.com/variants/link/8005610628271/", "View Product")</f>
        <v/>
      </c>
    </row>
    <row r="24943">
      <c r="A24943" t="inlineStr">
        <is>
          <t>8005610633008</t>
        </is>
      </c>
      <c r="B24943" t="inlineStr">
        <is>
          <t>Wella Invigo Balance Senso Calm Sensitive Mask 0.16501kg</t>
        </is>
      </c>
      <c r="C24943" t="inlineStr">
        <is>
          <t>Hair Masks</t>
        </is>
      </c>
      <c r="D24943" t="inlineStr">
        <is>
          <t>Wella</t>
        </is>
      </c>
      <c r="E24943" t="n">
        <v>6.52</v>
      </c>
      <c r="F24943" t="n">
        <v>1</v>
      </c>
      <c r="G24943" t="n">
        <v>41</v>
      </c>
      <c r="H24943" s="5">
        <f>HYPERLINK("https://api.qogita.com/variants/link/8005610633008/", "View Product")</f>
        <v/>
      </c>
    </row>
    <row r="24944">
      <c r="A24944" t="inlineStr">
        <is>
          <t>8005610640204</t>
        </is>
      </c>
      <c r="B24944" t="inlineStr">
        <is>
          <t>Wella Professionals Eimi Mistify Light Hairspray 300ml Medium Fixation Fast Drying</t>
        </is>
      </c>
      <c r="C24944" t="inlineStr">
        <is>
          <t>Hairspray</t>
        </is>
      </c>
      <c r="D24944" t="inlineStr">
        <is>
          <t>Wella Professionals</t>
        </is>
      </c>
      <c r="E24944" t="n">
        <v>6.86</v>
      </c>
      <c r="F24944" t="n">
        <v>1</v>
      </c>
      <c r="G24944" t="n">
        <v>4</v>
      </c>
      <c r="H24944" s="5">
        <f>HYPERLINK("https://api.qogita.com/variants/link/8005610640204/", "View Product")</f>
        <v/>
      </c>
    </row>
    <row r="24945">
      <c r="A24945" t="inlineStr">
        <is>
          <t>8005610644332</t>
        </is>
      </c>
      <c r="B24945" t="inlineStr">
        <is>
          <t>WELLA Invigo Nutri-Enrich Warming Express Mask with Almond and Apricot Extract 150ml</t>
        </is>
      </c>
      <c r="C24945" t="inlineStr">
        <is>
          <t>Hair Masks</t>
        </is>
      </c>
      <c r="D24945" t="inlineStr">
        <is>
          <t>Wella Professionals</t>
        </is>
      </c>
      <c r="E24945" t="n">
        <v>10.08</v>
      </c>
      <c r="F24945" t="n">
        <v>1</v>
      </c>
      <c r="G24945" t="n">
        <v>7</v>
      </c>
      <c r="H24945" s="5">
        <f>HYPERLINK("https://api.qogita.com/variants/link/8005610644332/", "View Product")</f>
        <v/>
      </c>
    </row>
    <row r="24946">
      <c r="A24946" t="inlineStr">
        <is>
          <t>8005610647029</t>
        </is>
      </c>
      <c r="B24946" t="inlineStr">
        <is>
          <t>Wella Koleston Perfect Me+ Vibrant Reds 60ml</t>
        </is>
      </c>
      <c r="C24946" t="inlineStr">
        <is>
          <t>Hair Dye</t>
        </is>
      </c>
      <c r="D24946" t="inlineStr">
        <is>
          <t>Wella</t>
        </is>
      </c>
      <c r="E24946" t="n">
        <v>6.91</v>
      </c>
      <c r="F24946" t="n">
        <v>1</v>
      </c>
      <c r="G24946" t="n">
        <v>2</v>
      </c>
      <c r="H24946" s="5">
        <f>HYPERLINK("https://api.qogita.com/variants/link/8005610647029/", "View Product")</f>
        <v/>
      </c>
    </row>
    <row r="24947">
      <c r="A24947" t="inlineStr">
        <is>
          <t>8005610650043</t>
        </is>
      </c>
      <c r="B24947" t="inlineStr">
        <is>
          <t>Wella Professional Koleston Perfect Vibrant Reds 845 Hair Color 60ml</t>
        </is>
      </c>
      <c r="C24947" t="inlineStr">
        <is>
          <t>Hair Dye</t>
        </is>
      </c>
      <c r="D24947" t="inlineStr">
        <is>
          <t>Wella Professionals</t>
        </is>
      </c>
      <c r="E24947" t="n">
        <v>7.54</v>
      </c>
      <c r="F24947" t="n">
        <v>1</v>
      </c>
      <c r="G24947" t="n">
        <v>4</v>
      </c>
      <c r="H24947" s="5">
        <f>HYPERLINK("https://api.qogita.com/variants/link/8005610650043/", "View Product")</f>
        <v/>
      </c>
    </row>
    <row r="24948">
      <c r="A24948" t="inlineStr">
        <is>
          <t>8005610653648</t>
        </is>
      </c>
      <c r="B24948" t="inlineStr">
        <is>
          <t>Wella Professionals Koleston Perfect Me Permanent Hair Dye 1031 Bright Light Blond Golden Ash 60ml</t>
        </is>
      </c>
      <c r="C24948" t="inlineStr">
        <is>
          <t>Hair Dye</t>
        </is>
      </c>
      <c r="D24948" t="inlineStr">
        <is>
          <t>Wella Professionals</t>
        </is>
      </c>
      <c r="E24948" t="n">
        <v>6.22</v>
      </c>
      <c r="F24948" t="n">
        <v>1</v>
      </c>
      <c r="G24948" t="n">
        <v>2</v>
      </c>
      <c r="H24948" s="5">
        <f>HYPERLINK("https://api.qogita.com/variants/link/8005610653648/", "View Product")</f>
        <v/>
      </c>
    </row>
    <row r="24949">
      <c r="A24949" t="inlineStr">
        <is>
          <t>8005610653709</t>
        </is>
      </c>
      <c r="B24949" t="inlineStr">
        <is>
          <t>Wella Koleston Perfect ME+ 10/03 Light Natural Golden Blonde Hair Dye 60ml</t>
        </is>
      </c>
      <c r="C24949" t="inlineStr">
        <is>
          <t>Hair Dye</t>
        </is>
      </c>
      <c r="D24949" t="inlineStr">
        <is>
          <t>Wella Professionals</t>
        </is>
      </c>
      <c r="E24949" t="n">
        <v>7.54</v>
      </c>
      <c r="F24949" t="n">
        <v>1</v>
      </c>
      <c r="G24949" t="n">
        <v>2</v>
      </c>
      <c r="H24949" s="5">
        <f>HYPERLINK("https://api.qogita.com/variants/link/8005610653709/", "View Product")</f>
        <v/>
      </c>
    </row>
    <row r="24950">
      <c r="A24950" t="inlineStr">
        <is>
          <t>8005610653761</t>
        </is>
      </c>
      <c r="B24950" t="inlineStr">
        <is>
          <t>Wella Koleston Perfect Me+ 10/04 60ml</t>
        </is>
      </c>
      <c r="C24950" t="inlineStr">
        <is>
          <t>Hair Dye</t>
        </is>
      </c>
      <c r="D24950" t="inlineStr">
        <is>
          <t>Wella</t>
        </is>
      </c>
      <c r="E24950" t="n">
        <v>7.52</v>
      </c>
      <c r="F24950" t="n">
        <v>1</v>
      </c>
      <c r="G24950" t="n">
        <v>3</v>
      </c>
      <c r="H24950" s="5">
        <f>HYPERLINK("https://api.qogita.com/variants/link/8005610653761/", "View Product")</f>
        <v/>
      </c>
    </row>
    <row r="24951">
      <c r="A24951" t="inlineStr">
        <is>
          <t>8005610655260</t>
        </is>
      </c>
      <c r="B24951" t="inlineStr">
        <is>
          <t>Wella Professionals Koleston Perfect Vibrant Reds</t>
        </is>
      </c>
      <c r="C24951" t="inlineStr">
        <is>
          <t>Hair Dye</t>
        </is>
      </c>
      <c r="D24951" t="inlineStr">
        <is>
          <t>Wella</t>
        </is>
      </c>
      <c r="E24951" t="n">
        <v>7.3</v>
      </c>
      <c r="F24951" t="n">
        <v>1</v>
      </c>
      <c r="G24951" t="n">
        <v>3</v>
      </c>
      <c r="H24951" s="5">
        <f>HYPERLINK("https://api.qogita.com/variants/link/8005610655260/", "View Product")</f>
        <v/>
      </c>
    </row>
    <row r="24952">
      <c r="A24952" t="inlineStr">
        <is>
          <t>8005610656083</t>
        </is>
      </c>
      <c r="B24952" t="inlineStr">
        <is>
          <t>Wella Professional Koleston Perfect Me Vibrant Reds Permanent Hair Color 6655 60ml</t>
        </is>
      </c>
      <c r="C24952" t="inlineStr">
        <is>
          <t>Hair Dye</t>
        </is>
      </c>
      <c r="D24952" t="inlineStr">
        <is>
          <t>Wella Professionals</t>
        </is>
      </c>
      <c r="E24952" t="n">
        <v>7.52</v>
      </c>
      <c r="F24952" t="n">
        <v>1</v>
      </c>
      <c r="G24952" t="n">
        <v>5</v>
      </c>
      <c r="H24952" s="5">
        <f>HYPERLINK("https://api.qogita.com/variants/link/8005610656083/", "View Product")</f>
        <v/>
      </c>
    </row>
    <row r="24953">
      <c r="A24953" t="inlineStr">
        <is>
          <t>8005610659282</t>
        </is>
      </c>
      <c r="B24953" t="inlineStr">
        <is>
          <t>Wella Koleston Perfect Me+ 60ml</t>
        </is>
      </c>
      <c r="C24953" t="inlineStr">
        <is>
          <t>Hair Dye</t>
        </is>
      </c>
      <c r="D24953" t="inlineStr">
        <is>
          <t>Wella</t>
        </is>
      </c>
      <c r="E24953" t="n">
        <v>6.71</v>
      </c>
      <c r="F24953" t="n">
        <v>1</v>
      </c>
      <c r="G24953" t="n">
        <v>2</v>
      </c>
      <c r="H24953" s="5">
        <f>HYPERLINK("https://api.qogita.com/variants/link/8005610659282/", "View Product")</f>
        <v/>
      </c>
    </row>
    <row r="24954">
      <c r="A24954" t="inlineStr">
        <is>
          <t>8005610659336</t>
        </is>
      </c>
      <c r="B24954" t="inlineStr">
        <is>
          <t>Wella Koleston Perfect Me+ 0/30 Gold Natural Permanent Hair Color 2oz/60ml</t>
        </is>
      </c>
      <c r="C24954" t="inlineStr">
        <is>
          <t>Hair Dye</t>
        </is>
      </c>
      <c r="D24954" t="inlineStr">
        <is>
          <t>Wella</t>
        </is>
      </c>
      <c r="E24954" t="n">
        <v>7.95</v>
      </c>
      <c r="F24954" t="n">
        <v>1</v>
      </c>
      <c r="G24954" t="n">
        <v>13</v>
      </c>
      <c r="H24954" s="5">
        <f>HYPERLINK("https://api.qogita.com/variants/link/8005610659336/", "View Product")</f>
        <v/>
      </c>
    </row>
    <row r="24955">
      <c r="A24955" t="inlineStr">
        <is>
          <t>8005610659480</t>
        </is>
      </c>
      <c r="B24955" t="inlineStr">
        <is>
          <t>Wella Koleston Perfect ME+ 0/66 60ml</t>
        </is>
      </c>
      <c r="C24955" t="inlineStr">
        <is>
          <t>Hair Dye</t>
        </is>
      </c>
      <c r="D24955" t="inlineStr">
        <is>
          <t>Wella Professionals</t>
        </is>
      </c>
      <c r="E24955" t="n">
        <v>7.62</v>
      </c>
      <c r="F24955" t="n">
        <v>1</v>
      </c>
      <c r="G24955" t="n">
        <v>3</v>
      </c>
      <c r="H24955" s="5">
        <f>HYPERLINK("https://api.qogita.com/variants/link/8005610659480/", "View Product")</f>
        <v/>
      </c>
    </row>
    <row r="24956">
      <c r="A24956" t="inlineStr">
        <is>
          <t>8005610659534</t>
        </is>
      </c>
      <c r="B24956" t="inlineStr">
        <is>
          <t>Wella Professional Koleston Perfect Me Special Mix Permanent Hair Color 088</t>
        </is>
      </c>
      <c r="C24956" t="inlineStr">
        <is>
          <t>Hair Dye</t>
        </is>
      </c>
      <c r="D24956" t="inlineStr">
        <is>
          <t>Wella Professionals</t>
        </is>
      </c>
      <c r="E24956" t="n">
        <v>7.54</v>
      </c>
      <c r="F24956" t="n">
        <v>1</v>
      </c>
      <c r="G24956" t="n">
        <v>3</v>
      </c>
      <c r="H24956" s="5">
        <f>HYPERLINK("https://api.qogita.com/variants/link/8005610659534/", "View Product")</f>
        <v/>
      </c>
    </row>
    <row r="24957">
      <c r="A24957" t="inlineStr">
        <is>
          <t>8005610660783</t>
        </is>
      </c>
      <c r="B24957" t="inlineStr">
        <is>
          <t>Wella 5/75 Koleston Perfect ME+ 60ml</t>
        </is>
      </c>
      <c r="C24957" t="inlineStr">
        <is>
          <t>Hair Dye</t>
        </is>
      </c>
      <c r="D24957" t="inlineStr">
        <is>
          <t>Wella Professionals</t>
        </is>
      </c>
      <c r="E24957" t="n">
        <v>6.67</v>
      </c>
      <c r="F24957" t="n">
        <v>1</v>
      </c>
      <c r="G24957" t="n">
        <v>5</v>
      </c>
      <c r="H24957" s="5">
        <f>HYPERLINK("https://api.qogita.com/variants/link/8005610660783/", "View Product")</f>
        <v/>
      </c>
    </row>
    <row r="24958">
      <c r="A24958" t="inlineStr">
        <is>
          <t>8005610660837</t>
        </is>
      </c>
      <c r="B24958" t="inlineStr">
        <is>
          <t>Wella 5/77 Koleston Perfect ME+ 60ml</t>
        </is>
      </c>
      <c r="C24958" t="inlineStr">
        <is>
          <t>Hair Dye</t>
        </is>
      </c>
      <c r="D24958" t="inlineStr">
        <is>
          <t>Wella Professionals</t>
        </is>
      </c>
      <c r="E24958" t="n">
        <v>7.54</v>
      </c>
      <c r="F24958" t="n">
        <v>1</v>
      </c>
      <c r="G24958" t="n">
        <v>2</v>
      </c>
      <c r="H24958" s="5">
        <f>HYPERLINK("https://api.qogita.com/variants/link/8005610660837/", "View Product")</f>
        <v/>
      </c>
    </row>
    <row r="24959">
      <c r="A24959" t="inlineStr">
        <is>
          <t>8005610661384</t>
        </is>
      </c>
      <c r="B24959" t="inlineStr">
        <is>
          <t>Wella Professional Koleston Perfect Me Vibrant Reds Permanent Hair Color 643</t>
        </is>
      </c>
      <c r="C24959" t="inlineStr">
        <is>
          <t>Hair Dye</t>
        </is>
      </c>
      <c r="D24959" t="inlineStr">
        <is>
          <t>Wella Professionals</t>
        </is>
      </c>
      <c r="E24959" t="n">
        <v>6.96</v>
      </c>
      <c r="F24959" t="n">
        <v>1</v>
      </c>
      <c r="G24959" t="n">
        <v>2</v>
      </c>
      <c r="H24959" s="5">
        <f>HYPERLINK("https://api.qogita.com/variants/link/8005610661384/", "View Product")</f>
        <v/>
      </c>
    </row>
    <row r="24960">
      <c r="A24960" t="inlineStr">
        <is>
          <t>8005610662954</t>
        </is>
      </c>
      <c r="B24960" t="inlineStr">
        <is>
          <t>Wella Koleston Perfect ME+ 7/71 Medium Blonde Ash Brown 60ml</t>
        </is>
      </c>
      <c r="C24960" t="inlineStr">
        <is>
          <t>Hair Dye</t>
        </is>
      </c>
      <c r="D24960" t="inlineStr">
        <is>
          <t>Wella Professionals</t>
        </is>
      </c>
      <c r="E24960" t="n">
        <v>6.67</v>
      </c>
      <c r="F24960" t="n">
        <v>1</v>
      </c>
      <c r="G24960" t="n">
        <v>2</v>
      </c>
      <c r="H24960" s="5">
        <f>HYPERLINK("https://api.qogita.com/variants/link/8005610662954/", "View Product")</f>
        <v/>
      </c>
    </row>
    <row r="24961">
      <c r="A24961" t="inlineStr">
        <is>
          <t>8005610663104</t>
        </is>
      </c>
      <c r="B24961" t="inlineStr">
        <is>
          <t>Wella Koleston Perfect Me+ KP Deep Browns 7/77 Permanent Hair Dye</t>
        </is>
      </c>
      <c r="C24961" t="inlineStr">
        <is>
          <t>Hair Dye</t>
        </is>
      </c>
      <c r="D24961" t="inlineStr">
        <is>
          <t>Wella</t>
        </is>
      </c>
      <c r="E24961" t="n">
        <v>7.5</v>
      </c>
      <c r="F24961" t="n">
        <v>1</v>
      </c>
      <c r="G24961" t="n">
        <v>6</v>
      </c>
      <c r="H24961" s="5">
        <f>HYPERLINK("https://api.qogita.com/variants/link/8005610663104/", "View Product")</f>
        <v/>
      </c>
    </row>
    <row r="24962">
      <c r="A24962" t="inlineStr">
        <is>
          <t>8005610663500</t>
        </is>
      </c>
      <c r="B24962" t="inlineStr">
        <is>
          <t>Wella Professional Koleston Perfect Me Pure Naturals Permanent Hair Color 807</t>
        </is>
      </c>
      <c r="C24962" t="inlineStr">
        <is>
          <t>Hair Dye</t>
        </is>
      </c>
      <c r="D24962" t="inlineStr">
        <is>
          <t>Wella Professionals</t>
        </is>
      </c>
      <c r="E24962" t="n">
        <v>6.67</v>
      </c>
      <c r="F24962" t="n">
        <v>1</v>
      </c>
      <c r="G24962" t="n">
        <v>3</v>
      </c>
      <c r="H24962" s="5">
        <f>HYPERLINK("https://api.qogita.com/variants/link/8005610663500/", "View Product")</f>
        <v/>
      </c>
    </row>
    <row r="24963">
      <c r="A24963" t="inlineStr">
        <is>
          <t>8005610664293</t>
        </is>
      </c>
      <c r="B24963" t="inlineStr">
        <is>
          <t>Wella 9/01 Koleston Perfect ME+ Hair Coloring 60ml</t>
        </is>
      </c>
      <c r="C24963" t="inlineStr">
        <is>
          <t>Hair Dye</t>
        </is>
      </c>
      <c r="D24963" t="inlineStr">
        <is>
          <t>Wella</t>
        </is>
      </c>
      <c r="E24963" t="n">
        <v>6.13</v>
      </c>
      <c r="F24963" t="n">
        <v>1</v>
      </c>
      <c r="G24963" t="n">
        <v>3</v>
      </c>
      <c r="H24963" s="5">
        <f>HYPERLINK("https://api.qogita.com/variants/link/8005610664293/", "View Product")</f>
        <v/>
      </c>
    </row>
    <row r="24964">
      <c r="A24964" t="inlineStr">
        <is>
          <t>8005610665399</t>
        </is>
      </c>
      <c r="B24964" t="inlineStr">
        <is>
          <t>Wella Koleston Perfect ME+ 10/31 Hair Color 60ml</t>
        </is>
      </c>
      <c r="C24964" t="inlineStr">
        <is>
          <t>Hair Dye</t>
        </is>
      </c>
      <c r="D24964" t="inlineStr">
        <is>
          <t>Wella</t>
        </is>
      </c>
      <c r="E24964" t="n">
        <v>6.91</v>
      </c>
      <c r="F24964" t="n">
        <v>1</v>
      </c>
      <c r="G24964" t="n">
        <v>3</v>
      </c>
      <c r="H24964" s="5">
        <f>HYPERLINK("https://api.qogita.com/variants/link/8005610665399/", "View Product")</f>
        <v/>
      </c>
    </row>
    <row r="24965">
      <c r="A24965" t="inlineStr">
        <is>
          <t>8005610665993</t>
        </is>
      </c>
      <c r="B24965" t="inlineStr">
        <is>
          <t>WELLA Welloxon Perfect,  60 ml</t>
        </is>
      </c>
      <c r="C24965" t="inlineStr">
        <is>
          <t>Hair Dye</t>
        </is>
      </c>
      <c r="D24965" t="inlineStr">
        <is>
          <t>Wella Professionals</t>
        </is>
      </c>
      <c r="E24965" t="n">
        <v>1.13</v>
      </c>
      <c r="F24965" t="n">
        <v>1</v>
      </c>
      <c r="G24965" t="n">
        <v>110</v>
      </c>
      <c r="H24965" s="5">
        <f>HYPERLINK("https://api.qogita.com/variants/link/8005610665993/", "View Product")</f>
        <v/>
      </c>
    </row>
    <row r="24966">
      <c r="A24966" t="inlineStr">
        <is>
          <t>8005610667164</t>
        </is>
      </c>
      <c r="B24966" t="inlineStr">
        <is>
          <t>Wella Koleston Perfect ME+ 44/65 60ml</t>
        </is>
      </c>
      <c r="C24966" t="inlineStr">
        <is>
          <t>Hair Dye</t>
        </is>
      </c>
      <c r="D24966" t="inlineStr">
        <is>
          <t>Wella</t>
        </is>
      </c>
      <c r="E24966" t="n">
        <v>7.54</v>
      </c>
      <c r="F24966" t="n">
        <v>1</v>
      </c>
      <c r="G24966" t="n">
        <v>2</v>
      </c>
      <c r="H24966" s="5">
        <f>HYPERLINK("https://api.qogita.com/variants/link/8005610667164/", "View Product")</f>
        <v/>
      </c>
    </row>
    <row r="24967">
      <c r="A24967" t="inlineStr">
        <is>
          <t>8005610667461</t>
        </is>
      </c>
      <c r="B24967" t="inlineStr">
        <is>
          <t>Wella 55/65 Koleston Perfect ME+ Hair Colouring 60ml</t>
        </is>
      </c>
      <c r="C24967" t="inlineStr">
        <is>
          <t>Hair Dye</t>
        </is>
      </c>
      <c r="D24967" t="inlineStr">
        <is>
          <t>Wella</t>
        </is>
      </c>
      <c r="E24967" t="n">
        <v>7.02</v>
      </c>
      <c r="F24967" t="n">
        <v>1</v>
      </c>
      <c r="G24967" t="n">
        <v>4</v>
      </c>
      <c r="H24967" s="5">
        <f>HYPERLINK("https://api.qogita.com/variants/link/8005610667461/", "View Product")</f>
        <v/>
      </c>
    </row>
    <row r="24968">
      <c r="A24968" t="inlineStr">
        <is>
          <t>8005610668062</t>
        </is>
      </c>
      <c r="B24968" t="inlineStr">
        <is>
          <t>Wella Professional Koleston Perfect Me Vibrant Reds Permanent Hair Color 8843</t>
        </is>
      </c>
      <c r="C24968" t="inlineStr">
        <is>
          <t>Hair Dye</t>
        </is>
      </c>
      <c r="D24968" t="inlineStr">
        <is>
          <t>Wella Professionals</t>
        </is>
      </c>
      <c r="E24968" t="n">
        <v>6.88</v>
      </c>
      <c r="F24968" t="n">
        <v>1</v>
      </c>
      <c r="G24968" t="n">
        <v>9</v>
      </c>
      <c r="H24968" s="5">
        <f>HYPERLINK("https://api.qogita.com/variants/link/8005610668062/", "View Product")</f>
        <v/>
      </c>
    </row>
    <row r="24969">
      <c r="A24969" t="inlineStr">
        <is>
          <t>8005610711515</t>
        </is>
      </c>
      <c r="B24969" t="inlineStr">
        <is>
          <t>Wella Kp Special Mix 043 Hair Color 60ml</t>
        </is>
      </c>
      <c r="C24969" t="inlineStr">
        <is>
          <t>Hair Dye</t>
        </is>
      </c>
      <c r="D24969" t="inlineStr">
        <is>
          <t>Wella</t>
        </is>
      </c>
      <c r="E24969" t="n">
        <v>6.78</v>
      </c>
      <c r="F24969" t="n">
        <v>1</v>
      </c>
      <c r="G24969" t="n">
        <v>3</v>
      </c>
      <c r="H24969" s="5">
        <f>HYPERLINK("https://api.qogita.com/variants/link/8005610711515/", "View Product")</f>
        <v/>
      </c>
    </row>
    <row r="24970">
      <c r="A24970" t="inlineStr">
        <is>
          <t>8005610714912</t>
        </is>
      </c>
      <c r="B24970" t="inlineStr">
        <is>
          <t>Hugo Boss Ma Vie Pour Femme L'Eau Eau De Toilette 50ml Spray - For Her</t>
        </is>
      </c>
      <c r="C24970" t="inlineStr">
        <is>
          <t>Eau De Toilette</t>
        </is>
      </c>
      <c r="D24970" t="inlineStr">
        <is>
          <t>Hugo Boss</t>
        </is>
      </c>
      <c r="E24970" t="n">
        <v>21.53</v>
      </c>
      <c r="F24970" t="n">
        <v>1</v>
      </c>
      <c r="G24970" t="n">
        <v>198</v>
      </c>
      <c r="H24970" s="5">
        <f>HYPERLINK("https://api.qogita.com/variants/link/8005610714912/", "View Product")</f>
        <v/>
      </c>
    </row>
    <row r="24971">
      <c r="A24971" t="inlineStr">
        <is>
          <t>8006540280140</t>
        </is>
      </c>
      <c r="B24971" t="inlineStr">
        <is>
          <t>Old Spice Captain Shower Gel Shampoo 3 In 1 Body Hair And Face Wash 675 Ml</t>
        </is>
      </c>
      <c r="C24971" t="inlineStr">
        <is>
          <t>Shower Gel</t>
        </is>
      </c>
      <c r="D24971" t="inlineStr">
        <is>
          <t>Old Spice</t>
        </is>
      </c>
      <c r="E24971" t="n">
        <v>8.18</v>
      </c>
      <c r="F24971" t="n">
        <v>1</v>
      </c>
      <c r="G24971" t="n">
        <v>10</v>
      </c>
      <c r="H24971" s="5">
        <f>HYPERLINK("https://api.qogita.com/variants/link/8006540280140/", "View Product")</f>
        <v/>
      </c>
    </row>
    <row r="24972">
      <c r="A24972" t="inlineStr">
        <is>
          <t>8006540731222</t>
        </is>
      </c>
      <c r="B24972" t="inlineStr">
        <is>
          <t>Oral-B iO3 Series Electric Toothbrush Red Pink New</t>
        </is>
      </c>
      <c r="C24972" t="inlineStr">
        <is>
          <t>Electric Toothbrushes</t>
        </is>
      </c>
      <c r="D24972" t="inlineStr">
        <is>
          <t>Oral-B</t>
        </is>
      </c>
      <c r="E24972" t="n">
        <v>69.22</v>
      </c>
      <c r="F24972" t="n">
        <v>1</v>
      </c>
      <c r="G24972" t="n">
        <v>5</v>
      </c>
      <c r="H24972" s="5">
        <f>HYPERLINK("https://api.qogita.com/variants/link/8006540731222/", "View Product")</f>
        <v/>
      </c>
    </row>
    <row r="24973">
      <c r="A24973" t="inlineStr">
        <is>
          <t>8006540731772</t>
        </is>
      </c>
      <c r="B24973" t="inlineStr">
        <is>
          <t>Oral B Electric Toothbrush Series Io 3 Duo Blackice Blue 2 Pieces</t>
        </is>
      </c>
      <c r="C24973" t="inlineStr">
        <is>
          <t>Electric Toothbrushes</t>
        </is>
      </c>
      <c r="D24973" t="inlineStr">
        <is>
          <t>Oral-B</t>
        </is>
      </c>
      <c r="E24973" t="n">
        <v>117.69</v>
      </c>
      <c r="F24973" t="n">
        <v>1</v>
      </c>
      <c r="G24973" t="n">
        <v>2</v>
      </c>
      <c r="H24973" s="5">
        <f>HYPERLINK("https://api.qogita.com/variants/link/8006540731772/", "View Product")</f>
        <v/>
      </c>
    </row>
    <row r="24974">
      <c r="A24974" t="inlineStr">
        <is>
          <t>8006540773338</t>
        </is>
      </c>
      <c r="B24974" t="inlineStr">
        <is>
          <t>Oral B PRO Kids 3+ Frozen Electric Toothbrush with Case - Age Range: 3+, Character Theme: Frozen, Quantity: 1</t>
        </is>
      </c>
      <c r="C24974" t="inlineStr">
        <is>
          <t>Dental Care For Children</t>
        </is>
      </c>
      <c r="D24974" t="inlineStr">
        <is>
          <t>Oral-B</t>
        </is>
      </c>
      <c r="E24974" t="n">
        <v>32.97</v>
      </c>
      <c r="F24974" t="n">
        <v>1</v>
      </c>
      <c r="G24974" t="n">
        <v>10</v>
      </c>
      <c r="H24974" s="5">
        <f>HYPERLINK("https://api.qogita.com/variants/link/8006540773338/", "View Product")</f>
        <v/>
      </c>
    </row>
    <row r="24975">
      <c r="A24975" t="inlineStr">
        <is>
          <t>8006540818824</t>
        </is>
      </c>
      <c r="B24975" t="inlineStr">
        <is>
          <t>Old Spice Captain Shower Gel For Men 1000 Ml Bodyhairface Wash</t>
        </is>
      </c>
      <c r="C24975" t="inlineStr">
        <is>
          <t>Shower Gel</t>
        </is>
      </c>
      <c r="D24975" t="inlineStr">
        <is>
          <t>Old Spice</t>
        </is>
      </c>
      <c r="E24975" t="n">
        <v>11.75</v>
      </c>
      <c r="F24975" t="n">
        <v>1</v>
      </c>
      <c r="G24975" t="n">
        <v>51</v>
      </c>
      <c r="H24975" s="5">
        <f>HYPERLINK("https://api.qogita.com/variants/link/8006540818824/", "View Product")</f>
        <v/>
      </c>
    </row>
    <row r="24976">
      <c r="A24976" t="inlineStr">
        <is>
          <t>8006540847466</t>
        </is>
      </c>
      <c r="B24976" t="inlineStr">
        <is>
          <t>Oral B Precision Clean Eb20 Replacement Brush Heads 6 Pieces</t>
        </is>
      </c>
      <c r="C24976" t="inlineStr">
        <is>
          <t>Electric Toothbrushes</t>
        </is>
      </c>
      <c r="D24976" t="inlineStr">
        <is>
          <t>Oral-B</t>
        </is>
      </c>
      <c r="E24976" t="n">
        <v>20.67</v>
      </c>
      <c r="F24976" t="n">
        <v>1</v>
      </c>
      <c r="G24976" t="n">
        <v>5</v>
      </c>
      <c r="H24976" s="5">
        <f>HYPERLINK("https://api.qogita.com/variants/link/8006540847466/", "View Product")</f>
        <v/>
      </c>
    </row>
    <row r="24977">
      <c r="A24977" t="inlineStr">
        <is>
          <t>8007033784824</t>
        </is>
      </c>
      <c r="B24977" t="inlineStr">
        <is>
          <t>Elementi Di Ghiaccio by Byblos for Women 4 oz EDT Spray</t>
        </is>
      </c>
      <c r="C24977" t="inlineStr">
        <is>
          <t>Eau De Toilette</t>
        </is>
      </c>
      <c r="D24977" t="inlineStr">
        <is>
          <t>Byblos</t>
        </is>
      </c>
      <c r="E24977" t="n">
        <v>8.65</v>
      </c>
      <c r="F24977" t="n">
        <v>1</v>
      </c>
      <c r="G24977" t="n">
        <v>3</v>
      </c>
      <c r="H24977" s="5">
        <f>HYPERLINK("https://api.qogita.com/variants/link/8007033784824/", "View Product")</f>
        <v/>
      </c>
    </row>
    <row r="24978">
      <c r="A24978" t="inlineStr">
        <is>
          <t>8007376054745</t>
        </is>
      </c>
      <c r="B24978" t="inlineStr">
        <is>
          <t>American Crew Precision Blend Natural 3x40ml - Pack of 3</t>
        </is>
      </c>
      <c r="C24978" t="inlineStr">
        <is>
          <t>Hair Dye</t>
        </is>
      </c>
      <c r="D24978" t="inlineStr">
        <is>
          <t>American Crew</t>
        </is>
      </c>
      <c r="E24978" t="n">
        <v>9.859999999999999</v>
      </c>
      <c r="F24978" t="n">
        <v>1</v>
      </c>
      <c r="G24978" t="n">
        <v>4</v>
      </c>
      <c r="H24978" s="5">
        <f>HYPERLINK("https://api.qogita.com/variants/link/8007376054745/", "View Product")</f>
        <v/>
      </c>
    </row>
    <row r="24979">
      <c r="A24979" t="inlineStr">
        <is>
          <t>8007403051006</t>
        </is>
      </c>
      <c r="B24979" t="inlineStr">
        <is>
          <t>Imetec Body Cleansing Pro</t>
        </is>
      </c>
      <c r="C24979" t="inlineStr">
        <is>
          <t>Shower Gel</t>
        </is>
      </c>
      <c r="D24979" t="inlineStr">
        <is>
          <t>Imetec</t>
        </is>
      </c>
      <c r="E24979" t="n">
        <v>59.31</v>
      </c>
      <c r="F24979" t="n">
        <v>1</v>
      </c>
      <c r="G24979" t="n">
        <v>2</v>
      </c>
      <c r="H24979" s="5">
        <f>HYPERLINK("https://api.qogita.com/variants/link/8007403051006/", "View Product")</f>
        <v/>
      </c>
    </row>
    <row r="24980">
      <c r="A24980" t="inlineStr">
        <is>
          <t>8007403054120</t>
        </is>
      </c>
      <c r="B24980" t="inlineStr">
        <is>
          <t>Bellissima Sensitive Beauty 5412 Active Scrub Electric Foot File for Calluses - White</t>
        </is>
      </c>
      <c r="C24980" t="inlineStr">
        <is>
          <t>Callus Remover</t>
        </is>
      </c>
      <c r="D24980" t="inlineStr">
        <is>
          <t>Bellissima Sensitive Beauty</t>
        </is>
      </c>
      <c r="E24980" t="n">
        <v>27.65</v>
      </c>
      <c r="F24980" t="n">
        <v>1</v>
      </c>
      <c r="G24980" t="n">
        <v>5</v>
      </c>
      <c r="H24980" s="5">
        <f>HYPERLINK("https://api.qogita.com/variants/link/8007403054120/", "View Product")</f>
        <v/>
      </c>
    </row>
    <row r="24981">
      <c r="A24981" t="inlineStr">
        <is>
          <t>8007403111403</t>
        </is>
      </c>
      <c r="B24981" t="inlineStr">
        <is>
          <t>Bellissima B9 100 Hair Straightener with Fast Heating Function and Automatic Multi-Voltage 210°C</t>
        </is>
      </c>
      <c r="C24981" t="inlineStr">
        <is>
          <t>Hair Straighteners</t>
        </is>
      </c>
      <c r="D24981" t="inlineStr">
        <is>
          <t>Bellissima</t>
        </is>
      </c>
      <c r="E24981" t="n">
        <v>25.68</v>
      </c>
      <c r="F24981" t="n">
        <v>1</v>
      </c>
      <c r="G24981" t="n">
        <v>5</v>
      </c>
      <c r="H24981" s="5">
        <f>HYPERLINK("https://api.qogita.com/variants/link/8007403111403/", "View Product")</f>
        <v/>
      </c>
    </row>
    <row r="24982">
      <c r="A24982" t="inlineStr">
        <is>
          <t>8007403113124</t>
        </is>
      </c>
      <c r="B24982" t="inlineStr">
        <is>
          <t>Imetec Bellissima P2 2200 Professional Hair Dryer 2200W with Ion Technology for Moisture Balance and Frizz Reduction 8 Blower and Temperature Settings Narrow Styling Nozzle</t>
        </is>
      </c>
      <c r="C24982" t="inlineStr">
        <is>
          <t>Hair Dryers</t>
        </is>
      </c>
      <c r="D24982" t="inlineStr">
        <is>
          <t>Imetec</t>
        </is>
      </c>
      <c r="E24982" t="n">
        <v>43.52</v>
      </c>
      <c r="F24982" t="n">
        <v>1</v>
      </c>
      <c r="G24982" t="n">
        <v>3</v>
      </c>
      <c r="H24982" s="5">
        <f>HYPERLINK("https://api.qogita.com/variants/link/8007403113124/", "View Product")</f>
        <v/>
      </c>
    </row>
    <row r="24983">
      <c r="A24983" t="inlineStr">
        <is>
          <t>8007403114640</t>
        </is>
      </c>
      <c r="B24983" t="inlineStr">
        <is>
          <t>Imetec 11464N Bellissima Hair Straightener</t>
        </is>
      </c>
      <c r="C24983" t="inlineStr">
        <is>
          <t>Hair Straighteners</t>
        </is>
      </c>
      <c r="D24983" t="inlineStr">
        <is>
          <t>Imetec</t>
        </is>
      </c>
      <c r="E24983" t="n">
        <v>19.76</v>
      </c>
      <c r="F24983" t="n">
        <v>1</v>
      </c>
      <c r="G24983" t="n">
        <v>2</v>
      </c>
      <c r="H24983" s="5">
        <f>HYPERLINK("https://api.qogita.com/variants/link/8007403114640/", "View Product")</f>
        <v/>
      </c>
    </row>
    <row r="24984">
      <c r="A24984" t="inlineStr">
        <is>
          <t>8007403114930</t>
        </is>
      </c>
      <c r="B24984" t="inlineStr">
        <is>
          <t>Bellissima Intellisense B24 100 Hair Straightener with Intellistyle Technology</t>
        </is>
      </c>
      <c r="C24984" t="inlineStr">
        <is>
          <t>Hair Straighteners</t>
        </is>
      </c>
      <c r="D24984" t="inlineStr">
        <is>
          <t>Bellissima</t>
        </is>
      </c>
      <c r="E24984" t="n">
        <v>71.16</v>
      </c>
      <c r="F24984" t="n">
        <v>1</v>
      </c>
      <c r="G24984" t="n">
        <v>4</v>
      </c>
      <c r="H24984" s="5">
        <f>HYPERLINK("https://api.qogita.com/variants/link/8007403114930/", "View Product")</f>
        <v/>
      </c>
    </row>
    <row r="24985">
      <c r="A24985" t="inlineStr">
        <is>
          <t>8007403117399</t>
        </is>
      </c>
      <c r="B24985" t="inlineStr">
        <is>
          <t>Bellissima My Pro Revolution BHS4 1100 Warm Air Brush with Ionizer and Ceramic Coating Black and Rose Gold</t>
        </is>
      </c>
      <c r="C24985" t="inlineStr">
        <is>
          <t>Hot Air Brushes</t>
        </is>
      </c>
      <c r="D24985" t="inlineStr">
        <is>
          <t>Bellissima</t>
        </is>
      </c>
      <c r="E24985" t="n">
        <v>63.26</v>
      </c>
      <c r="F24985" t="n">
        <v>1</v>
      </c>
      <c r="G24985" t="n">
        <v>5</v>
      </c>
      <c r="H24985" s="5">
        <f>HYPERLINK("https://api.qogita.com/variants/link/8007403117399/", "View Product")</f>
        <v/>
      </c>
    </row>
    <row r="24986">
      <c r="A24986" t="inlineStr">
        <is>
          <t>8007403117726</t>
        </is>
      </c>
      <c r="B24986" t="inlineStr">
        <is>
          <t>Bellissima Glamor Waves Hair Curler Attachment</t>
        </is>
      </c>
      <c r="C24986" t="inlineStr">
        <is>
          <t>Curling Sets</t>
        </is>
      </c>
      <c r="D24986" t="inlineStr">
        <is>
          <t>Bellissima</t>
        </is>
      </c>
      <c r="E24986" t="n">
        <v>30.41</v>
      </c>
      <c r="F24986" t="n">
        <v>1</v>
      </c>
      <c r="G24986" t="n">
        <v>5</v>
      </c>
      <c r="H24986" s="5">
        <f>HYPERLINK("https://api.qogita.com/variants/link/8007403117726/", "View Product")</f>
        <v/>
      </c>
    </row>
    <row r="24987">
      <c r="A24987" t="inlineStr">
        <is>
          <t>8007403118082</t>
        </is>
      </c>
      <c r="B24987" t="inlineStr">
        <is>
          <t>Imetec Bellissima Steam Elixir Ceramic and Argan Oil Hair Straightener with Fast Heating and 4 Temperatures</t>
        </is>
      </c>
      <c r="C24987" t="inlineStr">
        <is>
          <t>Hair Straighteners</t>
        </is>
      </c>
      <c r="D24987" t="inlineStr">
        <is>
          <t>Imetec</t>
        </is>
      </c>
      <c r="E24987" t="n">
        <v>120.2</v>
      </c>
      <c r="F24987" t="n">
        <v>1</v>
      </c>
      <c r="G24987" t="n">
        <v>6</v>
      </c>
      <c r="H24987" s="5">
        <f>HYPERLINK("https://api.qogita.com/variants/link/8007403118082/", "View Product")</f>
        <v/>
      </c>
    </row>
    <row r="24988">
      <c r="A24988" t="inlineStr">
        <is>
          <t>8007403118563</t>
        </is>
      </c>
      <c r="B24988" t="inlineStr">
        <is>
          <t>Glam Waves - Curling Iron 11856</t>
        </is>
      </c>
      <c r="C24988" t="inlineStr">
        <is>
          <t>Curling Irons</t>
        </is>
      </c>
      <c r="D24988" t="inlineStr">
        <is>
          <t>Konická</t>
        </is>
      </c>
      <c r="E24988" t="n">
        <v>59.31</v>
      </c>
      <c r="F24988" t="n">
        <v>1</v>
      </c>
      <c r="G24988" t="n">
        <v>3</v>
      </c>
      <c r="H24988" s="5">
        <f>HYPERLINK("https://api.qogita.com/variants/link/8007403118563/", "View Product")</f>
        <v/>
      </c>
    </row>
    <row r="24989">
      <c r="A24989" t="inlineStr">
        <is>
          <t>8007403118723</t>
        </is>
      </c>
      <c r="B24989" t="inlineStr">
        <is>
          <t>Schöner Imetec Travel Hair Dryer 1400 Watts Foldable Handle Precision Concentrator 2 Air/Temperature Combinations Travel Case Gift Idea</t>
        </is>
      </c>
      <c r="C24989" t="inlineStr">
        <is>
          <t>Hair Dryers</t>
        </is>
      </c>
      <c r="D24989" t="inlineStr">
        <is>
          <t>Bellissima</t>
        </is>
      </c>
      <c r="E24989" t="n">
        <v>35.55</v>
      </c>
      <c r="F24989" t="n">
        <v>1</v>
      </c>
      <c r="G24989" t="n">
        <v>2</v>
      </c>
      <c r="H24989" s="5">
        <f>HYPERLINK("https://api.qogita.com/variants/link/8007403118723/", "View Product")</f>
        <v/>
      </c>
    </row>
    <row r="24990">
      <c r="A24990" t="inlineStr">
        <is>
          <t>8007403118730</t>
        </is>
      </c>
      <c r="B24990" t="inlineStr">
        <is>
          <t>Bellissima Xl 11873 Absolute Hair Straightener With Plates 4xl</t>
        </is>
      </c>
      <c r="C24990" t="inlineStr">
        <is>
          <t>Hair Straighteners</t>
        </is>
      </c>
      <c r="D24990" t="inlineStr">
        <is>
          <t>Bellissima</t>
        </is>
      </c>
      <c r="E24990" t="n">
        <v>138.45</v>
      </c>
      <c r="F24990" t="n">
        <v>1</v>
      </c>
      <c r="G24990" t="n">
        <v>3</v>
      </c>
      <c r="H24990" s="5">
        <f>HYPERLINK("https://api.qogita.com/variants/link/8007403118730/", "View Product")</f>
        <v/>
      </c>
    </row>
    <row r="24991">
      <c r="A24991" t="inlineStr">
        <is>
          <t>8007403118778</t>
        </is>
      </c>
      <c r="B24991" t="inlineStr">
        <is>
          <t>Bellissima Mini Hair Straightener for Travel and On-the-Go, Smooth Hair Anytime, Anywhere, Compact and Lightweight, Ceramic Coating, Temperature 200°C</t>
        </is>
      </c>
      <c r="C24991" t="inlineStr">
        <is>
          <t>Hair Straighteners</t>
        </is>
      </c>
      <c r="D24991" t="inlineStr">
        <is>
          <t>Bellissima</t>
        </is>
      </c>
      <c r="E24991" t="n">
        <v>30.76</v>
      </c>
      <c r="F24991" t="n">
        <v>1</v>
      </c>
      <c r="G24991" t="n">
        <v>14</v>
      </c>
      <c r="H24991" s="5">
        <f>HYPERLINK("https://api.qogita.com/variants/link/8007403118778/", "View Product")</f>
        <v/>
      </c>
    </row>
    <row r="24992">
      <c r="A24992" t="inlineStr">
        <is>
          <t>8008277261454</t>
        </is>
      </c>
      <c r="B24992" t="inlineStr">
        <is>
          <t>Inebrya Blondesse Blonde Miracle Shampoo 300ml</t>
        </is>
      </c>
      <c r="C24992" t="inlineStr">
        <is>
          <t>Shampoo</t>
        </is>
      </c>
      <c r="D24992" t="inlineStr">
        <is>
          <t>Inebrya</t>
        </is>
      </c>
      <c r="E24992" t="n">
        <v>10.36</v>
      </c>
      <c r="F24992" t="n">
        <v>1</v>
      </c>
      <c r="G24992" t="n">
        <v>2</v>
      </c>
      <c r="H24992" s="5">
        <f>HYPERLINK("https://api.qogita.com/variants/link/8008277261454/", "View Product")</f>
        <v/>
      </c>
    </row>
    <row r="24993">
      <c r="A24993" t="inlineStr">
        <is>
          <t>8008277262758</t>
        </is>
      </c>
      <c r="B24993" t="inlineStr">
        <is>
          <t>Shecare Repair Magic Spray Intensive Brightening And Repair Treatment For Chemically Damaged Hair 200ml</t>
        </is>
      </c>
      <c r="C24993" t="inlineStr">
        <is>
          <t>Hair Masks</t>
        </is>
      </c>
      <c r="D24993" t="inlineStr">
        <is>
          <t>Shecare</t>
        </is>
      </c>
      <c r="E24993" t="n">
        <v>19.21</v>
      </c>
      <c r="F24993" t="n">
        <v>1</v>
      </c>
      <c r="G24993" t="n">
        <v>6</v>
      </c>
      <c r="H24993" s="5">
        <f>HYPERLINK("https://api.qogita.com/variants/link/8008277262758/", "View Product")</f>
        <v/>
      </c>
    </row>
    <row r="24994">
      <c r="A24994" t="inlineStr">
        <is>
          <t>8008277262918</t>
        </is>
      </c>
      <c r="B24994" t="inlineStr">
        <is>
          <t>Inebrya Color Perfect Locker Hair Color Protection Spray 200 Ml</t>
        </is>
      </c>
      <c r="C24994" t="inlineStr">
        <is>
          <t>Uv Protection</t>
        </is>
      </c>
      <c r="D24994" t="inlineStr">
        <is>
          <t>Inebrya</t>
        </is>
      </c>
      <c r="E24994" t="n">
        <v>19.21</v>
      </c>
      <c r="F24994" t="n">
        <v>1</v>
      </c>
      <c r="G24994" t="n">
        <v>2</v>
      </c>
      <c r="H24994" s="5">
        <f>HYPERLINK("https://api.qogita.com/variants/link/8008277262918/", "View Product")</f>
        <v/>
      </c>
    </row>
    <row r="24995">
      <c r="A24995" t="inlineStr">
        <is>
          <t>8008277263076</t>
        </is>
      </c>
      <c r="B24995" t="inlineStr">
        <is>
          <t>Ice Cream Dry-T Dry Shampoo For Hair 200ml</t>
        </is>
      </c>
      <c r="C24995" t="inlineStr">
        <is>
          <t>Dry Shampoo</t>
        </is>
      </c>
      <c r="D24995" t="inlineStr">
        <is>
          <t>Inebrya</t>
        </is>
      </c>
      <c r="E24995" t="n">
        <v>7.03</v>
      </c>
      <c r="F24995" t="n">
        <v>1</v>
      </c>
      <c r="G24995" t="n">
        <v>8</v>
      </c>
      <c r="H24995" s="5">
        <f>HYPERLINK("https://api.qogita.com/variants/link/8008277263076/", "View Product")</f>
        <v/>
      </c>
    </row>
    <row r="24996">
      <c r="A24996" t="inlineStr">
        <is>
          <t>8008277263182</t>
        </is>
      </c>
      <c r="B24996" t="inlineStr">
        <is>
          <t>Inebrya Ice Cream Keratin Toning Mousse 150ml</t>
        </is>
      </c>
      <c r="C24996" t="inlineStr">
        <is>
          <t>Mousse</t>
        </is>
      </c>
      <c r="D24996" t="inlineStr">
        <is>
          <t>Inebrya</t>
        </is>
      </c>
      <c r="E24996" t="n">
        <v>5.94</v>
      </c>
      <c r="F24996" t="n">
        <v>1</v>
      </c>
      <c r="G24996" t="n">
        <v>5</v>
      </c>
      <c r="H24996" s="5">
        <f>HYPERLINK("https://api.qogita.com/variants/link/8008277263182/", "View Product")</f>
        <v/>
      </c>
    </row>
    <row r="24997">
      <c r="A24997" t="inlineStr">
        <is>
          <t>8008277263212</t>
        </is>
      </c>
      <c r="B24997" t="inlineStr">
        <is>
          <t>Inebrya Ice Cream Dry-T Nourishing Shampoo 1000ml</t>
        </is>
      </c>
      <c r="C24997" t="inlineStr">
        <is>
          <t>Shampoo</t>
        </is>
      </c>
      <c r="D24997" t="inlineStr">
        <is>
          <t>Inebrya</t>
        </is>
      </c>
      <c r="E24997" t="n">
        <v>13.82</v>
      </c>
      <c r="F24997" t="n">
        <v>1</v>
      </c>
      <c r="G24997" t="n">
        <v>7</v>
      </c>
      <c r="H24997" s="5">
        <f>HYPERLINK("https://api.qogita.com/variants/link/8008277263212/", "View Product")</f>
        <v/>
      </c>
    </row>
    <row r="24998">
      <c r="A24998" t="inlineStr">
        <is>
          <t>8008277263243</t>
        </is>
      </c>
      <c r="B24998" t="inlineStr">
        <is>
          <t>Inebrya Dry Conditioner For Hair 1000ml</t>
        </is>
      </c>
      <c r="C24998" t="inlineStr">
        <is>
          <t>Conditioner</t>
        </is>
      </c>
      <c r="D24998" t="inlineStr">
        <is>
          <t>Inebrya</t>
        </is>
      </c>
      <c r="E24998" t="n">
        <v>10.14</v>
      </c>
      <c r="F24998" t="n">
        <v>1</v>
      </c>
      <c r="G24998" t="n">
        <v>2</v>
      </c>
      <c r="H24998" s="5">
        <f>HYPERLINK("https://api.qogita.com/variants/link/8008277263243/", "View Product")</f>
        <v/>
      </c>
    </row>
    <row r="24999">
      <c r="A24999" t="inlineStr">
        <is>
          <t>8008277263267</t>
        </is>
      </c>
      <c r="B24999" t="inlineStr">
        <is>
          <t>Inebrya Dry T Hair Mask 500ml</t>
        </is>
      </c>
      <c r="C24999" t="inlineStr">
        <is>
          <t>Hair Masks</t>
        </is>
      </c>
      <c r="D24999" t="inlineStr">
        <is>
          <t>Inebrya</t>
        </is>
      </c>
      <c r="E24999" t="n">
        <v>4.72</v>
      </c>
      <c r="F24999" t="n">
        <v>1</v>
      </c>
      <c r="G24999" t="n">
        <v>5</v>
      </c>
      <c r="H24999" s="5">
        <f>HYPERLINK("https://api.qogita.com/variants/link/8008277263267/", "View Product")</f>
        <v/>
      </c>
    </row>
    <row r="25000">
      <c r="A25000" t="inlineStr">
        <is>
          <t>8008277263304</t>
        </is>
      </c>
      <c r="B25000" t="inlineStr">
        <is>
          <t>Inebrya Ice Cream Pro-Age Shining Shampoo With Argan Oil 1000ml</t>
        </is>
      </c>
      <c r="C25000" t="inlineStr">
        <is>
          <t>Shampoo</t>
        </is>
      </c>
      <c r="D25000" t="inlineStr">
        <is>
          <t>Inebrya</t>
        </is>
      </c>
      <c r="E25000" t="n">
        <v>16.71</v>
      </c>
      <c r="F25000" t="n">
        <v>1</v>
      </c>
      <c r="G25000" t="n">
        <v>5</v>
      </c>
      <c r="H25000" s="5">
        <f>HYPERLINK("https://api.qogita.com/variants/link/8008277263304/", "View Product")</f>
        <v/>
      </c>
    </row>
    <row r="25001">
      <c r="A25001" t="inlineStr">
        <is>
          <t>8008277263311</t>
        </is>
      </c>
      <c r="B25001" t="inlineStr">
        <is>
          <t>Inebrya Ice Cream Pro-Age Two-Phase Conditioner With Argan Oil 200ml</t>
        </is>
      </c>
      <c r="C25001" t="inlineStr">
        <is>
          <t>Conditioner</t>
        </is>
      </c>
      <c r="D25001" t="inlineStr">
        <is>
          <t>Inebrya</t>
        </is>
      </c>
      <c r="E25001" t="n">
        <v>12.28</v>
      </c>
      <c r="F25001" t="n">
        <v>1</v>
      </c>
      <c r="G25001" t="n">
        <v>3</v>
      </c>
      <c r="H25001" s="5">
        <f>HYPERLINK("https://api.qogita.com/variants/link/8008277263311/", "View Product")</f>
        <v/>
      </c>
    </row>
    <row r="25002">
      <c r="A25002" t="inlineStr">
        <is>
          <t>8008277263342</t>
        </is>
      </c>
      <c r="B25002" t="inlineStr">
        <is>
          <t>Inebrya Ice Cream Pro-Age Hair Treatment With Argan Oil 100ml</t>
        </is>
      </c>
      <c r="C25002" t="inlineStr">
        <is>
          <t>Hair Masks</t>
        </is>
      </c>
      <c r="D25002" t="inlineStr">
        <is>
          <t>Inebrya</t>
        </is>
      </c>
      <c r="E25002" t="n">
        <v>22.11</v>
      </c>
      <c r="F25002" t="n">
        <v>1</v>
      </c>
      <c r="G25002" t="n">
        <v>14</v>
      </c>
      <c r="H25002" s="5">
        <f>HYPERLINK("https://api.qogita.com/variants/link/8008277263342/", "View Product")</f>
        <v/>
      </c>
    </row>
    <row r="25003">
      <c r="A25003" t="inlineStr">
        <is>
          <t>8008277263366</t>
        </is>
      </c>
      <c r="B25003" t="inlineStr">
        <is>
          <t>Inebrya Ice Cream Argan Age Hand Cream 100ml</t>
        </is>
      </c>
      <c r="C25003" t="inlineStr">
        <is>
          <t>Hand Cream</t>
        </is>
      </c>
      <c r="D25003" t="inlineStr">
        <is>
          <t>Inebrya</t>
        </is>
      </c>
      <c r="E25003" t="n">
        <v>7.07</v>
      </c>
      <c r="F25003" t="n">
        <v>1</v>
      </c>
      <c r="G25003" t="n">
        <v>5</v>
      </c>
      <c r="H25003" s="5">
        <f>HYPERLINK("https://api.qogita.com/variants/link/8008277263366/", "View Product")</f>
        <v/>
      </c>
    </row>
    <row r="25004">
      <c r="A25004" t="inlineStr">
        <is>
          <t>8008277263540</t>
        </is>
      </c>
      <c r="B25004" t="inlineStr">
        <is>
          <t>Inebrya Ice Cream Pro Volume Conditioner Mousse 150ml</t>
        </is>
      </c>
      <c r="C25004" t="inlineStr">
        <is>
          <t>Conditioner</t>
        </is>
      </c>
      <c r="D25004" t="inlineStr">
        <is>
          <t>Inebrya</t>
        </is>
      </c>
      <c r="E25004" t="n">
        <v>15.74</v>
      </c>
      <c r="F25004" t="n">
        <v>1</v>
      </c>
      <c r="G25004" t="n">
        <v>3</v>
      </c>
      <c r="H25004" s="5">
        <f>HYPERLINK("https://api.qogita.com/variants/link/8008277263540/", "View Product")</f>
        <v/>
      </c>
    </row>
    <row r="25005">
      <c r="A25005" t="inlineStr">
        <is>
          <t>8008277263595</t>
        </is>
      </c>
      <c r="B25005" t="inlineStr">
        <is>
          <t>Inebrya Ice Cream Liss Pro Smoothing Spray 150ml</t>
        </is>
      </c>
      <c r="C25005" t="inlineStr">
        <is>
          <t>Leave-In Conditioner</t>
        </is>
      </c>
      <c r="D25005" t="inlineStr">
        <is>
          <t>Inebrya</t>
        </is>
      </c>
      <c r="E25005" t="n">
        <v>19.21</v>
      </c>
      <c r="F25005" t="n">
        <v>1</v>
      </c>
      <c r="G25005" t="n">
        <v>7</v>
      </c>
      <c r="H25005" s="5">
        <f>HYPERLINK("https://api.qogita.com/variants/link/8008277263595/", "View Product")</f>
        <v/>
      </c>
    </row>
    <row r="25006">
      <c r="A25006" t="inlineStr">
        <is>
          <t>8008277263625</t>
        </is>
      </c>
      <c r="B25006" t="inlineStr">
        <is>
          <t>Inebrya Ice Cream Pro Volume Shampoo Increasing Volume 300ml</t>
        </is>
      </c>
      <c r="C25006" t="inlineStr">
        <is>
          <t>Shampoo</t>
        </is>
      </c>
      <c r="D25006" t="inlineStr">
        <is>
          <t>Inebrya</t>
        </is>
      </c>
      <c r="E25006" t="n">
        <v>9.199999999999999</v>
      </c>
      <c r="F25006" t="n">
        <v>1</v>
      </c>
      <c r="G25006" t="n">
        <v>10</v>
      </c>
      <c r="H25006" s="5">
        <f>HYPERLINK("https://api.qogita.com/variants/link/8008277263625/", "View Product")</f>
        <v/>
      </c>
    </row>
    <row r="25007">
      <c r="A25007" t="inlineStr">
        <is>
          <t>8008277263656</t>
        </is>
      </c>
      <c r="B25007" t="inlineStr">
        <is>
          <t>Inebrya Ice Cream Pro-Volume Spray 300ml</t>
        </is>
      </c>
      <c r="C25007" t="inlineStr">
        <is>
          <t>Styling Sprays</t>
        </is>
      </c>
      <c r="D25007" t="inlineStr">
        <is>
          <t>Inebrya</t>
        </is>
      </c>
      <c r="E25007" t="n">
        <v>19.21</v>
      </c>
      <c r="F25007" t="n">
        <v>1</v>
      </c>
      <c r="G25007" t="n">
        <v>5</v>
      </c>
      <c r="H25007" s="5">
        <f>HYPERLINK("https://api.qogita.com/variants/link/8008277263656/", "View Product")</f>
        <v/>
      </c>
    </row>
    <row r="25008">
      <c r="A25008" t="inlineStr">
        <is>
          <t>8008277263779</t>
        </is>
      </c>
      <c r="B25008" t="inlineStr">
        <is>
          <t>Inebrya Ice Cream Frequent Best Care Regenerating Shampoo For Hair 1000ml</t>
        </is>
      </c>
      <c r="C25008" t="inlineStr">
        <is>
          <t>Shampoo</t>
        </is>
      </c>
      <c r="D25008" t="inlineStr">
        <is>
          <t>Inebrya</t>
        </is>
      </c>
      <c r="E25008" t="n">
        <v>13.82</v>
      </c>
      <c r="F25008" t="n">
        <v>1</v>
      </c>
      <c r="G25008" t="n">
        <v>15</v>
      </c>
      <c r="H25008" s="5">
        <f>HYPERLINK("https://api.qogita.com/variants/link/8008277263779/", "View Product")</f>
        <v/>
      </c>
    </row>
    <row r="25009">
      <c r="A25009" t="inlineStr">
        <is>
          <t>8008277263908</t>
        </is>
      </c>
      <c r="B25009" t="inlineStr">
        <is>
          <t>Ice Cream Energy Strengthening Lotion For Weak And Thin Hair 125ml</t>
        </is>
      </c>
      <c r="C25009" t="inlineStr">
        <is>
          <t>Conditioner</t>
        </is>
      </c>
      <c r="D25009" t="inlineStr">
        <is>
          <t>Inebrya</t>
        </is>
      </c>
      <c r="E25009" t="n">
        <v>12.68</v>
      </c>
      <c r="F25009" t="n">
        <v>1</v>
      </c>
      <c r="G25009" t="n">
        <v>2</v>
      </c>
      <c r="H25009" s="5">
        <f>HYPERLINK("https://api.qogita.com/variants/link/8008277263908/", "View Product")</f>
        <v/>
      </c>
    </row>
    <row r="25010">
      <c r="A25010" t="inlineStr">
        <is>
          <t>8008277264363</t>
        </is>
      </c>
      <c r="B25010" t="inlineStr">
        <is>
          <t>Shecare Glazed Illuminating Shampoo for Dull and Matte Hair 1000ml</t>
        </is>
      </c>
      <c r="C25010" t="inlineStr">
        <is>
          <t>Shampoo</t>
        </is>
      </c>
      <c r="D25010" t="inlineStr">
        <is>
          <t>Inebrya</t>
        </is>
      </c>
      <c r="E25010" t="n">
        <v>23.45</v>
      </c>
      <c r="F25010" t="n">
        <v>1</v>
      </c>
      <c r="G25010" t="n">
        <v>2</v>
      </c>
      <c r="H25010" s="5">
        <f>HYPERLINK("https://api.qogita.com/variants/link/8008277264363/", "View Product")</f>
        <v/>
      </c>
    </row>
    <row r="25011">
      <c r="A25011" t="inlineStr">
        <is>
          <t>8008277264400</t>
        </is>
      </c>
      <c r="B25011" t="inlineStr">
        <is>
          <t>Inebrya Shecare Glazed Instant Liquid Conditioner for Dull and Lifeless Hair</t>
        </is>
      </c>
      <c r="C25011" t="inlineStr">
        <is>
          <t>Conditioner</t>
        </is>
      </c>
      <c r="D25011" t="inlineStr">
        <is>
          <t>Inebrya</t>
        </is>
      </c>
      <c r="E25011" t="n">
        <v>20.19</v>
      </c>
      <c r="F25011" t="n">
        <v>1</v>
      </c>
      <c r="G25011" t="n">
        <v>3</v>
      </c>
      <c r="H25011" s="5">
        <f>HYPERLINK("https://api.qogita.com/variants/link/8008277264400/", "View Product")</f>
        <v/>
      </c>
    </row>
    <row r="25012">
      <c r="A25012" t="inlineStr">
        <is>
          <t>8008277264493</t>
        </is>
      </c>
      <c r="B25012" t="inlineStr">
        <is>
          <t>Innebrya Kromask Nourishing Face Color Mask 250ml</t>
        </is>
      </c>
      <c r="C25012" t="inlineStr">
        <is>
          <t>Glow Mask</t>
        </is>
      </c>
      <c r="D25012" t="inlineStr">
        <is>
          <t>Inebrya</t>
        </is>
      </c>
      <c r="E25012" t="n">
        <v>16.12</v>
      </c>
      <c r="F25012" t="n">
        <v>1</v>
      </c>
      <c r="G25012" t="n">
        <v>3</v>
      </c>
      <c r="H25012" s="5">
        <f>HYPERLINK("https://api.qogita.com/variants/link/8008277264493/", "View Product")</f>
        <v/>
      </c>
    </row>
    <row r="25013">
      <c r="A25013" t="inlineStr">
        <is>
          <t>8008277264509</t>
        </is>
      </c>
      <c r="B25013" t="inlineStr">
        <is>
          <t>INEBRYA Kromask Nourishing Honey Mask 250ml</t>
        </is>
      </c>
      <c r="C25013" t="inlineStr">
        <is>
          <t>Hair Masks</t>
        </is>
      </c>
      <c r="D25013" t="inlineStr">
        <is>
          <t>Inebrya</t>
        </is>
      </c>
      <c r="E25013" t="n">
        <v>7.34</v>
      </c>
      <c r="F25013" t="n">
        <v>1</v>
      </c>
      <c r="G25013" t="n">
        <v>3</v>
      </c>
      <c r="H25013" s="5">
        <f>HYPERLINK("https://api.qogita.com/variants/link/8008277264509/", "View Product")</f>
        <v/>
      </c>
    </row>
    <row r="25014">
      <c r="A25014" t="inlineStr">
        <is>
          <t>8008277264516</t>
        </is>
      </c>
      <c r="B25014" t="inlineStr">
        <is>
          <t>INEBRYA Kromask Nourishing Mask Pineapple 250ml</t>
        </is>
      </c>
      <c r="C25014" t="inlineStr">
        <is>
          <t>Hair Masks</t>
        </is>
      </c>
      <c r="D25014" t="inlineStr">
        <is>
          <t>Inebrya</t>
        </is>
      </c>
      <c r="E25014" t="n">
        <v>16.12</v>
      </c>
      <c r="F25014" t="n">
        <v>1</v>
      </c>
      <c r="G25014" t="n">
        <v>3</v>
      </c>
      <c r="H25014" s="5">
        <f>HYPERLINK("https://api.qogita.com/variants/link/8008277264516/", "View Product")</f>
        <v/>
      </c>
    </row>
    <row r="25015">
      <c r="A25015" t="inlineStr">
        <is>
          <t>8008277264554</t>
        </is>
      </c>
      <c r="B25015" t="inlineStr">
        <is>
          <t>INEBRYA Kromask Color Care Mask Violet 250ml</t>
        </is>
      </c>
      <c r="C25015" t="inlineStr">
        <is>
          <t>Hair Masks</t>
        </is>
      </c>
      <c r="D25015" t="inlineStr">
        <is>
          <t>Inebrya</t>
        </is>
      </c>
      <c r="E25015" t="n">
        <v>16.12</v>
      </c>
      <c r="F25015" t="n">
        <v>1</v>
      </c>
      <c r="G25015" t="n">
        <v>3</v>
      </c>
      <c r="H25015" s="5">
        <f>HYPERLINK("https://api.qogita.com/variants/link/8008277264554/", "View Product")</f>
        <v/>
      </c>
    </row>
    <row r="25016">
      <c r="A25016" t="inlineStr">
        <is>
          <t>8008277265117</t>
        </is>
      </c>
      <c r="B25016" t="inlineStr">
        <is>
          <t>Inebrya Up To You Curl Boost Moisturizing Shampoo For Wavy And Curly Hair 1000ml</t>
        </is>
      </c>
      <c r="C25016" t="inlineStr">
        <is>
          <t>Shampoo</t>
        </is>
      </c>
      <c r="D25016" t="inlineStr">
        <is>
          <t>Inebrya</t>
        </is>
      </c>
      <c r="E25016" t="n">
        <v>18.06</v>
      </c>
      <c r="F25016" t="n">
        <v>1</v>
      </c>
      <c r="G25016" t="n">
        <v>11</v>
      </c>
      <c r="H25016" s="5">
        <f>HYPERLINK("https://api.qogita.com/variants/link/8008277265117/", "View Product")</f>
        <v/>
      </c>
    </row>
    <row r="25017">
      <c r="A25017" t="inlineStr">
        <is>
          <t>8008277265179</t>
        </is>
      </c>
      <c r="B25017" t="inlineStr">
        <is>
          <t>Inebrya Up To You Smoothing Anti-Frizz Shampoo 300ml</t>
        </is>
      </c>
      <c r="C25017" t="inlineStr">
        <is>
          <t>Shampoo</t>
        </is>
      </c>
      <c r="D25017" t="inlineStr">
        <is>
          <t>Inebrya</t>
        </is>
      </c>
      <c r="E25017" t="n">
        <v>9.58</v>
      </c>
      <c r="F25017" t="n">
        <v>1</v>
      </c>
      <c r="G25017" t="n">
        <v>5</v>
      </c>
      <c r="H25017" s="5">
        <f>HYPERLINK("https://api.qogita.com/variants/link/8008277265179/", "View Product")</f>
        <v/>
      </c>
    </row>
    <row r="25018">
      <c r="A25018" t="inlineStr">
        <is>
          <t>8008277265186</t>
        </is>
      </c>
      <c r="B25018" t="inlineStr">
        <is>
          <t>Inebrya Up To You Smoothing Shampoo For Frizzy Hair 1000ml</t>
        </is>
      </c>
      <c r="C25018" t="inlineStr">
        <is>
          <t>Shampoo</t>
        </is>
      </c>
      <c r="D25018" t="inlineStr">
        <is>
          <t>Inebrya</t>
        </is>
      </c>
      <c r="E25018" t="n">
        <v>18.06</v>
      </c>
      <c r="F25018" t="n">
        <v>1</v>
      </c>
      <c r="G25018" t="n">
        <v>3</v>
      </c>
      <c r="H25018" s="5">
        <f>HYPERLINK("https://api.qogita.com/variants/link/8008277265186/", "View Product")</f>
        <v/>
      </c>
    </row>
    <row r="25019">
      <c r="A25019" t="inlineStr">
        <is>
          <t>8008277760513</t>
        </is>
      </c>
      <c r="B25019" t="inlineStr">
        <is>
          <t>Fanola Nourishing Restructuring Shampoo For Dry And Brittle Hair 350ml</t>
        </is>
      </c>
      <c r="C25019" t="inlineStr">
        <is>
          <t>Shampoo</t>
        </is>
      </c>
      <c r="D25019" t="inlineStr">
        <is>
          <t>Fanola</t>
        </is>
      </c>
      <c r="E25019" t="n">
        <v>4.15</v>
      </c>
      <c r="F25019" t="n">
        <v>1</v>
      </c>
      <c r="G25019" t="n">
        <v>39</v>
      </c>
      <c r="H25019" s="5">
        <f>HYPERLINK("https://api.qogita.com/variants/link/8008277760513/", "View Product")</f>
        <v/>
      </c>
    </row>
    <row r="25020">
      <c r="A25020" t="inlineStr">
        <is>
          <t>8008277760520</t>
        </is>
      </c>
      <c r="B25020" t="inlineStr">
        <is>
          <t>Fanola Nourishing Restructuring Conditioner Leave-In Conditioner For Dry, Frizzy Hair And After Treatments 350ml</t>
        </is>
      </c>
      <c r="C25020" t="inlineStr">
        <is>
          <t>Leave-In Conditioner</t>
        </is>
      </c>
      <c r="D25020" t="inlineStr">
        <is>
          <t>Fanola</t>
        </is>
      </c>
      <c r="E25020" t="n">
        <v>4.97</v>
      </c>
      <c r="F25020" t="n">
        <v>1</v>
      </c>
      <c r="G25020" t="n">
        <v>5</v>
      </c>
      <c r="H25020" s="5">
        <f>HYPERLINK("https://api.qogita.com/variants/link/8008277760520/", "View Product")</f>
        <v/>
      </c>
    </row>
    <row r="25021">
      <c r="A25021" t="inlineStr">
        <is>
          <t>8008277760889</t>
        </is>
      </c>
      <c r="B25021" t="inlineStr">
        <is>
          <t>Fanola Nourishing Colour Mask - Nourishing and Conditioning Pigmented Hair Mask</t>
        </is>
      </c>
      <c r="C25021" t="inlineStr">
        <is>
          <t>Hair Masks</t>
        </is>
      </c>
      <c r="D25021" t="inlineStr">
        <is>
          <t>Fanola</t>
        </is>
      </c>
      <c r="E25021" t="n">
        <v>6.02</v>
      </c>
      <c r="F25021" t="n">
        <v>1</v>
      </c>
      <c r="G25021" t="n">
        <v>5</v>
      </c>
      <c r="H25021" s="5">
        <f>HYPERLINK("https://api.qogita.com/variants/link/8008277760889/", "View Product")</f>
        <v/>
      </c>
    </row>
    <row r="25022">
      <c r="A25022" t="inlineStr">
        <is>
          <t>8008277762555</t>
        </is>
      </c>
      <c r="B25022" t="inlineStr">
        <is>
          <t>Fanola Special Treatments Vitamins Energizing Shampoo 350ml Cleansing Care</t>
        </is>
      </c>
      <c r="C25022" t="inlineStr">
        <is>
          <t>Shampoo</t>
        </is>
      </c>
      <c r="D25022" t="inlineStr">
        <is>
          <t>Fanola</t>
        </is>
      </c>
      <c r="E25022" t="n">
        <v>4.97</v>
      </c>
      <c r="F25022" t="n">
        <v>1</v>
      </c>
      <c r="G25022" t="n">
        <v>4</v>
      </c>
      <c r="H25022" s="5">
        <f>HYPERLINK("https://api.qogita.com/variants/link/8008277762555/", "View Product")</f>
        <v/>
      </c>
    </row>
    <row r="25023">
      <c r="A25023" t="inlineStr">
        <is>
          <t>8008277762579</t>
        </is>
      </c>
      <c r="B25023" t="inlineStr">
        <is>
          <t>Fanola Vitamins Energizing Lotion - 150ml</t>
        </is>
      </c>
      <c r="C25023" t="inlineStr">
        <is>
          <t>Hair Vitamin</t>
        </is>
      </c>
      <c r="D25023" t="inlineStr">
        <is>
          <t>Fanola</t>
        </is>
      </c>
      <c r="E25023" t="n">
        <v>8.050000000000001</v>
      </c>
      <c r="F25023" t="n">
        <v>1</v>
      </c>
      <c r="G25023" t="n">
        <v>4</v>
      </c>
      <c r="H25023" s="5">
        <f>HYPERLINK("https://api.qogita.com/variants/link/8008277762579/", "View Product")</f>
        <v/>
      </c>
    </row>
    <row r="25024">
      <c r="A25024" t="inlineStr">
        <is>
          <t>8008277762616</t>
        </is>
      </c>
      <c r="B25024" t="inlineStr">
        <is>
          <t>Fanola Vitamins Sensi Be Complex Shampoo 350ml for Sensitive Scalp</t>
        </is>
      </c>
      <c r="C25024" t="inlineStr">
        <is>
          <t>Shampoo</t>
        </is>
      </c>
      <c r="D25024" t="inlineStr">
        <is>
          <t>Fanola</t>
        </is>
      </c>
      <c r="E25024" t="n">
        <v>5.49</v>
      </c>
      <c r="F25024" t="n">
        <v>1</v>
      </c>
      <c r="G25024" t="n">
        <v>12</v>
      </c>
      <c r="H25024" s="5">
        <f>HYPERLINK("https://api.qogita.com/variants/link/8008277762616/", "View Product")</f>
        <v/>
      </c>
    </row>
    <row r="25025">
      <c r="A25025" t="inlineStr">
        <is>
          <t>8008277764566</t>
        </is>
      </c>
      <c r="B25025" t="inlineStr">
        <is>
          <t>Fanola Fantouch Volumizing Mousse 300ml Hair Product</t>
        </is>
      </c>
      <c r="C25025" t="inlineStr">
        <is>
          <t>Mousse</t>
        </is>
      </c>
      <c r="D25025" t="inlineStr">
        <is>
          <t>Fanola</t>
        </is>
      </c>
      <c r="E25025" t="n">
        <v>7.84</v>
      </c>
      <c r="F25025" t="n">
        <v>1</v>
      </c>
      <c r="G25025" t="n">
        <v>8</v>
      </c>
      <c r="H25025" s="5">
        <f>HYPERLINK("https://api.qogita.com/variants/link/8008277764566/", "View Product")</f>
        <v/>
      </c>
    </row>
    <row r="25026">
      <c r="A25026" t="inlineStr">
        <is>
          <t>8008277765358</t>
        </is>
      </c>
      <c r="B25026" t="inlineStr">
        <is>
          <t>Fanola Fantouch Hair Styling Fluid 200ml</t>
        </is>
      </c>
      <c r="C25026" t="inlineStr">
        <is>
          <t>Styling Sprays</t>
        </is>
      </c>
      <c r="D25026" t="inlineStr">
        <is>
          <t>Fanola</t>
        </is>
      </c>
      <c r="E25026" t="n">
        <v>5.39</v>
      </c>
      <c r="F25026" t="n">
        <v>1</v>
      </c>
      <c r="G25026" t="n">
        <v>3</v>
      </c>
      <c r="H25026" s="5">
        <f>HYPERLINK("https://api.qogita.com/variants/link/8008277765358/", "View Product")</f>
        <v/>
      </c>
    </row>
    <row r="25027">
      <c r="A25027" t="inlineStr">
        <is>
          <t>8008970004242</t>
        </is>
      </c>
      <c r="B25027" t="inlineStr">
        <is>
          <t>Denim Black Deodorant Spray 150ml</t>
        </is>
      </c>
      <c r="C25027" t="inlineStr">
        <is>
          <t>Deodorant &amp; Anti-Perspirant</t>
        </is>
      </c>
      <c r="D25027" t="inlineStr">
        <is>
          <t>Denim</t>
        </is>
      </c>
      <c r="E25027" t="n">
        <v>3.28</v>
      </c>
      <c r="F25027" t="n">
        <v>1</v>
      </c>
      <c r="G25027" t="n">
        <v>2</v>
      </c>
      <c r="H25027" s="5">
        <f>HYPERLINK("https://api.qogita.com/variants/link/8008970004242/", "View Product")</f>
        <v/>
      </c>
    </row>
    <row r="25028">
      <c r="A25028" t="inlineStr">
        <is>
          <t>8008970006130</t>
        </is>
      </c>
      <c r="B25028" t="inlineStr">
        <is>
          <t>Tesori D'Oriente Orchidea Della Cina Eau De Parfum</t>
        </is>
      </c>
      <c r="C25028" t="inlineStr">
        <is>
          <t>Eau De Parfum</t>
        </is>
      </c>
      <c r="D25028" t="inlineStr">
        <is>
          <t>Tesori D'Oriente</t>
        </is>
      </c>
      <c r="E25028" t="n">
        <v>4.24</v>
      </c>
      <c r="F25028" t="n">
        <v>1</v>
      </c>
      <c r="G25028" t="n">
        <v>20</v>
      </c>
      <c r="H25028" s="5">
        <f>HYPERLINK("https://api.qogita.com/variants/link/8008970006130/", "View Product")</f>
        <v/>
      </c>
    </row>
    <row r="25029">
      <c r="A25029" t="inlineStr">
        <is>
          <t>8008970010366</t>
        </is>
      </c>
      <c r="B25029" t="inlineStr">
        <is>
          <t>Tesori d'Oriente Mirra Myrrh Shower Cream 250ml</t>
        </is>
      </c>
      <c r="C25029" t="inlineStr">
        <is>
          <t>Shower Gel</t>
        </is>
      </c>
      <c r="D25029" t="inlineStr">
        <is>
          <t>Tesori D'Oriente</t>
        </is>
      </c>
      <c r="E25029" t="n">
        <v>3.85</v>
      </c>
      <c r="F25029" t="n">
        <v>1</v>
      </c>
      <c r="G25029" t="n">
        <v>9</v>
      </c>
      <c r="H25029" s="5">
        <f>HYPERLINK("https://api.qogita.com/variants/link/8008970010366/", "View Product")</f>
        <v/>
      </c>
    </row>
    <row r="25030">
      <c r="A25030" t="inlineStr">
        <is>
          <t>8008970037196</t>
        </is>
      </c>
      <c r="B25030" t="inlineStr">
        <is>
          <t>Denim Gold Shower Gel</t>
        </is>
      </c>
      <c r="C25030" t="inlineStr">
        <is>
          <t>Shower Gel</t>
        </is>
      </c>
      <c r="D25030" t="inlineStr">
        <is>
          <t>Denim</t>
        </is>
      </c>
      <c r="E25030" t="n">
        <v>3.95</v>
      </c>
      <c r="F25030" t="n">
        <v>1</v>
      </c>
      <c r="G25030" t="n">
        <v>11</v>
      </c>
      <c r="H25030" s="5">
        <f>HYPERLINK("https://api.qogita.com/variants/link/8008970037196/", "View Product")</f>
        <v/>
      </c>
    </row>
    <row r="25031">
      <c r="A25031" t="inlineStr">
        <is>
          <t>8008970038810</t>
        </is>
      </c>
      <c r="B25031" t="inlineStr">
        <is>
          <t>Denim Shower Foam for Men</t>
        </is>
      </c>
      <c r="C25031" t="inlineStr">
        <is>
          <t>Shower Foam</t>
        </is>
      </c>
      <c r="D25031" t="inlineStr">
        <is>
          <t>Denim</t>
        </is>
      </c>
      <c r="E25031" t="n">
        <v>4.76</v>
      </c>
      <c r="F25031" t="n">
        <v>1</v>
      </c>
      <c r="G25031" t="n">
        <v>11</v>
      </c>
      <c r="H25031" s="5">
        <f>HYPERLINK("https://api.qogita.com/variants/link/8008970038810/", "View Product")</f>
        <v/>
      </c>
    </row>
    <row r="25032">
      <c r="A25032" t="inlineStr">
        <is>
          <t>8008970040745</t>
        </is>
      </c>
      <c r="B25032" t="inlineStr">
        <is>
          <t>Tesori d'Oriente Byzantium Aromatic Shower Cream with Black Rose and Labdanum 8.45 Fluid Ounce (250ml)</t>
        </is>
      </c>
      <c r="C25032" t="inlineStr">
        <is>
          <t>Shower Gel</t>
        </is>
      </c>
      <c r="D25032" t="inlineStr">
        <is>
          <t>Tesori D'Oriente</t>
        </is>
      </c>
      <c r="E25032" t="n">
        <v>4.3</v>
      </c>
      <c r="F25032" t="n">
        <v>1</v>
      </c>
      <c r="G25032" t="n">
        <v>10</v>
      </c>
      <c r="H25032" s="5">
        <f>HYPERLINK("https://api.qogita.com/variants/link/8008970040745/", "View Product")</f>
        <v/>
      </c>
    </row>
    <row r="25033">
      <c r="A25033" t="inlineStr">
        <is>
          <t>8008970040752</t>
        </is>
      </c>
      <c r="B25033" t="inlineStr">
        <is>
          <t>Tesori d'Oriente Perfumes for Women Eau De Toilette Spray 100ml Byzantium</t>
        </is>
      </c>
      <c r="C25033" t="inlineStr">
        <is>
          <t>Eau De Toilette</t>
        </is>
      </c>
      <c r="D25033" t="inlineStr">
        <is>
          <t>Tesori D'Oriente</t>
        </is>
      </c>
      <c r="E25033" t="n">
        <v>6.31</v>
      </c>
      <c r="F25033" t="n">
        <v>1</v>
      </c>
      <c r="G25033" t="n">
        <v>25</v>
      </c>
      <c r="H25033" s="5">
        <f>HYPERLINK("https://api.qogita.com/variants/link/8008970040752/", "View Product")</f>
        <v/>
      </c>
    </row>
    <row r="25034">
      <c r="A25034" t="inlineStr">
        <is>
          <t>8008970050393</t>
        </is>
      </c>
      <c r="B25034" t="inlineStr">
        <is>
          <t>Tesori D'Oriente Thalasso Therapy Unisex Perfume 100ml</t>
        </is>
      </c>
      <c r="C25034" t="inlineStr">
        <is>
          <t>Eau De Parfum</t>
        </is>
      </c>
      <c r="D25034" t="inlineStr">
        <is>
          <t>Tesori D'Oriente</t>
        </is>
      </c>
      <c r="E25034" t="n">
        <v>4.28</v>
      </c>
      <c r="F25034" t="n">
        <v>1</v>
      </c>
      <c r="G25034" t="n">
        <v>1</v>
      </c>
      <c r="H25034" s="5">
        <f>HYPERLINK("https://api.qogita.com/variants/link/8008970050393/", "View Product")</f>
        <v/>
      </c>
    </row>
    <row r="25035">
      <c r="A25035" t="inlineStr">
        <is>
          <t>8008970050416</t>
        </is>
      </c>
      <c r="B25035" t="inlineStr">
        <is>
          <t>Tesori D'Oriente Hammam Aromatic Room Spray 250ml</t>
        </is>
      </c>
      <c r="C25035" t="inlineStr">
        <is>
          <t>Diffusers</t>
        </is>
      </c>
      <c r="D25035" t="inlineStr">
        <is>
          <t>Tesori D'Oriente</t>
        </is>
      </c>
      <c r="E25035" t="n">
        <v>5.93</v>
      </c>
      <c r="F25035" t="n">
        <v>1</v>
      </c>
      <c r="G25035" t="n">
        <v>42</v>
      </c>
      <c r="H25035" s="5">
        <f>HYPERLINK("https://api.qogita.com/variants/link/8008970050416/", "View Product")</f>
        <v/>
      </c>
    </row>
    <row r="25036">
      <c r="A25036" t="inlineStr">
        <is>
          <t>8008970050454</t>
        </is>
      </c>
      <c r="B25036" t="inlineStr">
        <is>
          <t>Tesori D'Oriente Ayurveda Aromatic Diffuser Home Spray And Diffuser</t>
        </is>
      </c>
      <c r="C25036" t="inlineStr">
        <is>
          <t>Diffusers</t>
        </is>
      </c>
      <c r="D25036" t="inlineStr">
        <is>
          <t>Tesori D'Oriente</t>
        </is>
      </c>
      <c r="E25036" t="n">
        <v>8.48</v>
      </c>
      <c r="F25036" t="n">
        <v>1</v>
      </c>
      <c r="G25036" t="n">
        <v>24</v>
      </c>
      <c r="H25036" s="5">
        <f>HYPERLINK("https://api.qogita.com/variants/link/8008970050454/", "View Product")</f>
        <v/>
      </c>
    </row>
    <row r="25037">
      <c r="A25037" t="inlineStr">
        <is>
          <t>8008970051956</t>
        </is>
      </c>
      <c r="B25037" t="inlineStr">
        <is>
          <t>Tesori D'oriente Hammam Laundry Perfume 250ml</t>
        </is>
      </c>
      <c r="C25037" t="inlineStr">
        <is>
          <t>Diffusers</t>
        </is>
      </c>
      <c r="D25037" t="inlineStr">
        <is>
          <t>Tesori D'Oriente</t>
        </is>
      </c>
      <c r="E25037" t="n">
        <v>7.68</v>
      </c>
      <c r="F25037" t="n">
        <v>1</v>
      </c>
      <c r="G25037" t="n">
        <v>5</v>
      </c>
      <c r="H25037" s="5">
        <f>HYPERLINK("https://api.qogita.com/variants/link/8008970051956/", "View Product")</f>
        <v/>
      </c>
    </row>
    <row r="25038">
      <c r="A25038" t="inlineStr">
        <is>
          <t>8008970054254</t>
        </is>
      </c>
      <c r="B25038" t="inlineStr">
        <is>
          <t>Tesori D'Oriente Forest Ritual Shower Gel</t>
        </is>
      </c>
      <c r="C25038" t="inlineStr">
        <is>
          <t>Shower Gel</t>
        </is>
      </c>
      <c r="D25038" t="inlineStr">
        <is>
          <t>Tesori D'Oriente</t>
        </is>
      </c>
      <c r="E25038" t="n">
        <v>4.26</v>
      </c>
      <c r="F25038" t="n">
        <v>1</v>
      </c>
      <c r="G25038" t="n">
        <v>22</v>
      </c>
      <c r="H25038" s="5">
        <f>HYPERLINK("https://api.qogita.com/variants/link/8008970054254/", "View Product")</f>
        <v/>
      </c>
    </row>
    <row r="25039">
      <c r="A25039" t="inlineStr">
        <is>
          <t>8009150880090</t>
        </is>
      </c>
      <c r="B25039" t="inlineStr">
        <is>
          <t>Visconti Di Modrone Eau De Toilette 200ml</t>
        </is>
      </c>
      <c r="C25039" t="inlineStr">
        <is>
          <t>Eau De Toilette</t>
        </is>
      </c>
      <c r="D25039" t="inlineStr">
        <is>
          <t>Visconti Di Modrone</t>
        </is>
      </c>
      <c r="E25039" t="n">
        <v>21.15</v>
      </c>
      <c r="F25039" t="n">
        <v>1</v>
      </c>
      <c r="G25039" t="n">
        <v>16</v>
      </c>
      <c r="H25039" s="5">
        <f>HYPERLINK("https://api.qogita.com/variants/link/8009150880090/", "View Product")</f>
        <v/>
      </c>
    </row>
    <row r="25040">
      <c r="A25040" t="inlineStr">
        <is>
          <t>8011003060283</t>
        </is>
      </c>
      <c r="B25040" t="inlineStr">
        <is>
          <t>Moschino Femme Eau de Toilette 25ml</t>
        </is>
      </c>
      <c r="C25040" t="inlineStr">
        <is>
          <t>Eau De Toilette</t>
        </is>
      </c>
      <c r="D25040" t="inlineStr">
        <is>
          <t>Moschino</t>
        </is>
      </c>
      <c r="E25040" t="n">
        <v>17.83</v>
      </c>
      <c r="F25040" t="n">
        <v>1</v>
      </c>
      <c r="G25040" t="n">
        <v>6</v>
      </c>
      <c r="H25040" s="5">
        <f>HYPERLINK("https://api.qogita.com/variants/link/8011003060283/", "View Product")</f>
        <v/>
      </c>
    </row>
    <row r="25041">
      <c r="A25041" t="inlineStr">
        <is>
          <t>8011003064083</t>
        </is>
      </c>
      <c r="B25041" t="inlineStr">
        <is>
          <t>Moschino Uomo Eau De Toilette Spray 75ml</t>
        </is>
      </c>
      <c r="C25041" t="inlineStr">
        <is>
          <t>Eau De Toilette</t>
        </is>
      </c>
      <c r="D25041" t="inlineStr">
        <is>
          <t>Moschino</t>
        </is>
      </c>
      <c r="E25041" t="n">
        <v>13.35</v>
      </c>
      <c r="F25041" t="n">
        <v>1</v>
      </c>
      <c r="G25041" t="n">
        <v>84</v>
      </c>
      <c r="H25041" s="5">
        <f>HYPERLINK("https://api.qogita.com/variants/link/8011003064083/", "View Product")</f>
        <v/>
      </c>
    </row>
    <row r="25042">
      <c r="A25042" t="inlineStr">
        <is>
          <t>8011003804573</t>
        </is>
      </c>
      <c r="B25042" t="inlineStr">
        <is>
          <t>Versace Yellow Diamond Deodorant Spray 50ml</t>
        </is>
      </c>
      <c r="C25042" t="inlineStr">
        <is>
          <t>Deodorant &amp; Anti-Perspirant</t>
        </is>
      </c>
      <c r="D25042" t="inlineStr">
        <is>
          <t>Versace</t>
        </is>
      </c>
      <c r="E25042" t="n">
        <v>19.46</v>
      </c>
      <c r="F25042" t="n">
        <v>1</v>
      </c>
      <c r="G25042" t="n">
        <v>78</v>
      </c>
      <c r="H25042" s="5">
        <f>HYPERLINK("https://api.qogita.com/variants/link/8011003804573/", "View Product")</f>
        <v/>
      </c>
    </row>
    <row r="25043">
      <c r="A25043" t="inlineStr">
        <is>
          <t>8011003806423</t>
        </is>
      </c>
      <c r="B25043" t="inlineStr">
        <is>
          <t>Versace Yellow Diamond Eau De Toilette Spray for Women 0.17 Fl Oz</t>
        </is>
      </c>
      <c r="C25043" t="inlineStr">
        <is>
          <t>Eau De Toilette</t>
        </is>
      </c>
      <c r="D25043" t="inlineStr">
        <is>
          <t>Versace</t>
        </is>
      </c>
      <c r="E25043" t="n">
        <v>7.51</v>
      </c>
      <c r="F25043" t="n">
        <v>1</v>
      </c>
      <c r="G25043" t="n">
        <v>2</v>
      </c>
      <c r="H25043" s="5">
        <f>HYPERLINK("https://api.qogita.com/variants/link/8011003806423/", "View Product")</f>
        <v/>
      </c>
    </row>
    <row r="25044">
      <c r="A25044" t="inlineStr">
        <is>
          <t>8011003818112</t>
        </is>
      </c>
      <c r="B25044" t="inlineStr">
        <is>
          <t>Versace Bright Crystal Absolu Eau De Parfum Spray 90ml</t>
        </is>
      </c>
      <c r="C25044" t="inlineStr">
        <is>
          <t>Eau De Parfum</t>
        </is>
      </c>
      <c r="D25044" t="inlineStr">
        <is>
          <t>Versace</t>
        </is>
      </c>
      <c r="E25044" t="n">
        <v>52.06</v>
      </c>
      <c r="F25044" t="n">
        <v>1</v>
      </c>
      <c r="G25044" t="n">
        <v>434</v>
      </c>
      <c r="H25044" s="5">
        <f>HYPERLINK("https://api.qogita.com/variants/link/8011003818112/", "View Product")</f>
        <v/>
      </c>
    </row>
    <row r="25045">
      <c r="A25045" t="inlineStr">
        <is>
          <t>8011003819423</t>
        </is>
      </c>
      <c r="B25045" t="inlineStr">
        <is>
          <t>Versace Bright Crystal Absolu Eau De Parfum Spray 30ml</t>
        </is>
      </c>
      <c r="C25045" t="inlineStr">
        <is>
          <t>Eau De Parfum</t>
        </is>
      </c>
      <c r="D25045" t="inlineStr">
        <is>
          <t>Versace</t>
        </is>
      </c>
      <c r="E25045" t="n">
        <v>33.3</v>
      </c>
      <c r="F25045" t="n">
        <v>1</v>
      </c>
      <c r="G25045" t="n">
        <v>117</v>
      </c>
      <c r="H25045" s="5">
        <f>HYPERLINK("https://api.qogita.com/variants/link/8011003819423/", "View Product")</f>
        <v/>
      </c>
    </row>
    <row r="25046">
      <c r="A25046" t="inlineStr">
        <is>
          <t>8011003823093</t>
        </is>
      </c>
      <c r="B25046" t="inlineStr">
        <is>
          <t>Versace Yellow Diamond Intense Eau De Parfum Spray 90ml</t>
        </is>
      </c>
      <c r="C25046" t="inlineStr">
        <is>
          <t>Eau De Parfum</t>
        </is>
      </c>
      <c r="D25046" t="inlineStr">
        <is>
          <t>Versace</t>
        </is>
      </c>
      <c r="E25046" t="n">
        <v>51.43</v>
      </c>
      <c r="F25046" t="n">
        <v>1</v>
      </c>
      <c r="G25046" t="n">
        <v>2</v>
      </c>
      <c r="H25046" s="5">
        <f>HYPERLINK("https://api.qogita.com/variants/link/8011003823093/", "View Product")</f>
        <v/>
      </c>
    </row>
    <row r="25047">
      <c r="A25047" t="inlineStr">
        <is>
          <t>8011003823123</t>
        </is>
      </c>
      <c r="B25047" t="inlineStr">
        <is>
          <t>Versace Yellow Diamond Intense Eau De Parfum Spray 3 Ounce</t>
        </is>
      </c>
      <c r="C25047" t="inlineStr">
        <is>
          <t>Eau De Parfum</t>
        </is>
      </c>
      <c r="D25047" t="inlineStr">
        <is>
          <t>Versace</t>
        </is>
      </c>
      <c r="E25047" t="n">
        <v>40.55</v>
      </c>
      <c r="F25047" t="n">
        <v>1</v>
      </c>
      <c r="G25047" t="n">
        <v>4</v>
      </c>
      <c r="H25047" s="5">
        <f>HYPERLINK("https://api.qogita.com/variants/link/8011003823123/", "View Product")</f>
        <v/>
      </c>
    </row>
    <row r="25048">
      <c r="A25048" t="inlineStr">
        <is>
          <t>8011003823512</t>
        </is>
      </c>
      <c r="B25048" t="inlineStr">
        <is>
          <t>Versace Eros Eau De Parfum Spray 30ml</t>
        </is>
      </c>
      <c r="C25048" t="inlineStr">
        <is>
          <t>Eau De Parfum</t>
        </is>
      </c>
      <c r="D25048" t="inlineStr">
        <is>
          <t>Versace</t>
        </is>
      </c>
      <c r="E25048" t="n">
        <v>32.69</v>
      </c>
      <c r="F25048" t="n">
        <v>1</v>
      </c>
      <c r="G25048" t="n">
        <v>18</v>
      </c>
      <c r="H25048" s="5">
        <f>HYPERLINK("https://api.qogita.com/variants/link/8011003823512/", "View Product")</f>
        <v/>
      </c>
    </row>
    <row r="25049">
      <c r="A25049" t="inlineStr">
        <is>
          <t>8011003823536</t>
        </is>
      </c>
      <c r="B25049" t="inlineStr">
        <is>
          <t>Versace Eros Pour Femme Eau De Parfum Spray 100ml</t>
        </is>
      </c>
      <c r="C25049" t="inlineStr">
        <is>
          <t>Eau De Parfum</t>
        </is>
      </c>
      <c r="D25049" t="inlineStr">
        <is>
          <t>Versace</t>
        </is>
      </c>
      <c r="E25049" t="n">
        <v>53.38</v>
      </c>
      <c r="F25049" t="n">
        <v>1</v>
      </c>
      <c r="G25049" t="n">
        <v>66</v>
      </c>
      <c r="H25049" s="5">
        <f>HYPERLINK("https://api.qogita.com/variants/link/8011003823536/", "View Product")</f>
        <v/>
      </c>
    </row>
    <row r="25050">
      <c r="A25050" t="inlineStr">
        <is>
          <t>8011003827343</t>
        </is>
      </c>
      <c r="B25050" t="inlineStr">
        <is>
          <t>Versace Eros Pour Femme Eau De Toilette Spray 100ml</t>
        </is>
      </c>
      <c r="C25050" t="inlineStr">
        <is>
          <t>Eau De Toilette</t>
        </is>
      </c>
      <c r="D25050" t="inlineStr">
        <is>
          <t>Versace</t>
        </is>
      </c>
      <c r="E25050" t="n">
        <v>50.92</v>
      </c>
      <c r="F25050" t="n">
        <v>1</v>
      </c>
      <c r="G25050" t="n">
        <v>25</v>
      </c>
      <c r="H25050" s="5">
        <f>HYPERLINK("https://api.qogita.com/variants/link/8011003827343/", "View Product")</f>
        <v/>
      </c>
    </row>
    <row r="25051">
      <c r="A25051" t="inlineStr">
        <is>
          <t>8011003827886</t>
        </is>
      </c>
      <c r="B25051" t="inlineStr">
        <is>
          <t>Moschino Fresh Couture Eau De Toilette Spray 30ml</t>
        </is>
      </c>
      <c r="C25051" t="inlineStr">
        <is>
          <t>Eau De Toilette</t>
        </is>
      </c>
      <c r="D25051" t="inlineStr">
        <is>
          <t>Moschino</t>
        </is>
      </c>
      <c r="E25051" t="n">
        <v>20.22</v>
      </c>
      <c r="F25051" t="n">
        <v>1</v>
      </c>
      <c r="G25051" t="n">
        <v>5</v>
      </c>
      <c r="H25051" s="5">
        <f>HYPERLINK("https://api.qogita.com/variants/link/8011003827886/", "View Product")</f>
        <v/>
      </c>
    </row>
    <row r="25052">
      <c r="A25052" t="inlineStr">
        <is>
          <t>8011003832286</t>
        </is>
      </c>
      <c r="B25052" t="inlineStr">
        <is>
          <t>Versace Yellow Diamond Eau de Toilette Spray for Women 6.7 Oz</t>
        </is>
      </c>
      <c r="C25052" t="inlineStr">
        <is>
          <t>Eau De Toilette</t>
        </is>
      </c>
      <c r="D25052" t="inlineStr">
        <is>
          <t>Versace</t>
        </is>
      </c>
      <c r="E25052" t="n">
        <v>61.01</v>
      </c>
      <c r="F25052" t="n">
        <v>1</v>
      </c>
      <c r="G25052" t="n">
        <v>14</v>
      </c>
      <c r="H25052" s="5">
        <f>HYPERLINK("https://api.qogita.com/variants/link/8011003832286/", "View Product")</f>
        <v/>
      </c>
    </row>
    <row r="25053">
      <c r="A25053" t="inlineStr">
        <is>
          <t>8011003838042</t>
        </is>
      </c>
      <c r="B25053" t="inlineStr">
        <is>
          <t>Moschino Pink Fresh Couture Eau De Toilette Spray 30ml</t>
        </is>
      </c>
      <c r="C25053" t="inlineStr">
        <is>
          <t>Eau De Toilette</t>
        </is>
      </c>
      <c r="D25053" t="inlineStr">
        <is>
          <t>Moschino</t>
        </is>
      </c>
      <c r="E25053" t="n">
        <v>19.6</v>
      </c>
      <c r="F25053" t="n">
        <v>1</v>
      </c>
      <c r="G25053" t="n">
        <v>9</v>
      </c>
      <c r="H25053" s="5">
        <f>HYPERLINK("https://api.qogita.com/variants/link/8011003838042/", "View Product")</f>
        <v/>
      </c>
    </row>
    <row r="25054">
      <c r="A25054" t="inlineStr">
        <is>
          <t>8011003838493</t>
        </is>
      </c>
      <c r="B25054" t="inlineStr">
        <is>
          <t>Missoni Parfum Pour Homme Eau De Parfum Spray 100ml By Missoni</t>
        </is>
      </c>
      <c r="C25054" t="inlineStr">
        <is>
          <t>Eau De Parfum</t>
        </is>
      </c>
      <c r="D25054" t="inlineStr">
        <is>
          <t>Missoni</t>
        </is>
      </c>
      <c r="E25054" t="n">
        <v>36.17</v>
      </c>
      <c r="F25054" t="n">
        <v>1</v>
      </c>
      <c r="G25054" t="n">
        <v>8</v>
      </c>
      <c r="H25054" s="5">
        <f>HYPERLINK("https://api.qogita.com/variants/link/8011003838493/", "View Product")</f>
        <v/>
      </c>
    </row>
    <row r="25055">
      <c r="A25055" t="inlineStr">
        <is>
          <t>8011003839094</t>
        </is>
      </c>
      <c r="B25055" t="inlineStr">
        <is>
          <t>Versace Pour Femme Dylan Blue Eau De Parfum Spray 30ml</t>
        </is>
      </c>
      <c r="C25055" t="inlineStr">
        <is>
          <t>Eau De Parfum</t>
        </is>
      </c>
      <c r="D25055" t="inlineStr">
        <is>
          <t>Versace</t>
        </is>
      </c>
      <c r="E25055" t="n">
        <v>34.1</v>
      </c>
      <c r="F25055" t="n">
        <v>1</v>
      </c>
      <c r="G25055" t="n">
        <v>6</v>
      </c>
      <c r="H25055" s="5">
        <f>HYPERLINK("https://api.qogita.com/variants/link/8011003839094/", "View Product")</f>
        <v/>
      </c>
    </row>
    <row r="25056">
      <c r="A25056" t="inlineStr">
        <is>
          <t>8011003839117</t>
        </is>
      </c>
      <c r="B25056" t="inlineStr">
        <is>
          <t>Versace Pour Femme Dylan Blue Eau De Parfum Spray 100ml</t>
        </is>
      </c>
      <c r="C25056" t="inlineStr">
        <is>
          <t>Eau De Parfum</t>
        </is>
      </c>
      <c r="D25056" t="inlineStr">
        <is>
          <t>Versace</t>
        </is>
      </c>
      <c r="E25056" t="n">
        <v>52.47</v>
      </c>
      <c r="F25056" t="n">
        <v>1</v>
      </c>
      <c r="G25056" t="n">
        <v>29</v>
      </c>
      <c r="H25056" s="5">
        <f>HYPERLINK("https://api.qogita.com/variants/link/8011003839117/", "View Product")</f>
        <v/>
      </c>
    </row>
    <row r="25057">
      <c r="A25057" t="inlineStr">
        <is>
          <t>8011003839308</t>
        </is>
      </c>
      <c r="B25057" t="inlineStr">
        <is>
          <t>Moschino Toy 2 Eau De Parfum Spray 100ml</t>
        </is>
      </c>
      <c r="C25057" t="inlineStr">
        <is>
          <t>Eau De Parfum</t>
        </is>
      </c>
      <c r="D25057" t="inlineStr">
        <is>
          <t>Moschino</t>
        </is>
      </c>
      <c r="E25057" t="n">
        <v>34.41</v>
      </c>
      <c r="F25057" t="n">
        <v>1</v>
      </c>
      <c r="G25057" t="n">
        <v>44</v>
      </c>
      <c r="H25057" s="5">
        <f>HYPERLINK("https://api.qogita.com/variants/link/8011003839308/", "View Product")</f>
        <v/>
      </c>
    </row>
    <row r="25058">
      <c r="A25058" t="inlineStr">
        <is>
          <t>8011003845361</t>
        </is>
      </c>
      <c r="B25058" t="inlineStr">
        <is>
          <t>Versace Eros Flame After Shave Lotion 100ml</t>
        </is>
      </c>
      <c r="C25058" t="inlineStr">
        <is>
          <t>Aftershave</t>
        </is>
      </c>
      <c r="D25058" t="inlineStr">
        <is>
          <t>Versace</t>
        </is>
      </c>
      <c r="E25058" t="n">
        <v>29.13</v>
      </c>
      <c r="F25058" t="n">
        <v>1</v>
      </c>
      <c r="G25058" t="n">
        <v>171</v>
      </c>
      <c r="H25058" s="5">
        <f>HYPERLINK("https://api.qogita.com/variants/link/8011003845361/", "View Product")</f>
        <v/>
      </c>
    </row>
    <row r="25059">
      <c r="A25059" t="inlineStr">
        <is>
          <t>8011003845408</t>
        </is>
      </c>
      <c r="B25059" t="inlineStr">
        <is>
          <t>Versace Eros Flame Shower Gel 250ml</t>
        </is>
      </c>
      <c r="C25059" t="inlineStr">
        <is>
          <t>Shower Gel</t>
        </is>
      </c>
      <c r="D25059" t="inlineStr">
        <is>
          <t>Versace</t>
        </is>
      </c>
      <c r="E25059" t="n">
        <v>16.36</v>
      </c>
      <c r="F25059" t="n">
        <v>1</v>
      </c>
      <c r="G25059" t="n">
        <v>42</v>
      </c>
      <c r="H25059" s="5">
        <f>HYPERLINK("https://api.qogita.com/variants/link/8011003845408/", "View Product")</f>
        <v/>
      </c>
    </row>
    <row r="25060">
      <c r="A25060" t="inlineStr">
        <is>
          <t>8011003845606</t>
        </is>
      </c>
      <c r="B25060" t="inlineStr">
        <is>
          <t>Dsquared2 Wood Pour Femme Shower Gel 200ml</t>
        </is>
      </c>
      <c r="C25060" t="inlineStr">
        <is>
          <t>Shower Gel</t>
        </is>
      </c>
      <c r="D25060" t="inlineStr">
        <is>
          <t>Dsquared2</t>
        </is>
      </c>
      <c r="E25060" t="n">
        <v>17.46</v>
      </c>
      <c r="F25060" t="n">
        <v>1</v>
      </c>
      <c r="G25060" t="n">
        <v>16</v>
      </c>
      <c r="H25060" s="5">
        <f>HYPERLINK("https://api.qogita.com/variants/link/8011003845606/", "View Product")</f>
        <v/>
      </c>
    </row>
    <row r="25061">
      <c r="A25061" t="inlineStr">
        <is>
          <t>8011003845682</t>
        </is>
      </c>
      <c r="B25061" t="inlineStr">
        <is>
          <t>Dsquared2 Wood Pour Homme Eau De Toilette Spray 30ml</t>
        </is>
      </c>
      <c r="C25061" t="inlineStr">
        <is>
          <t>Eau De Toilette</t>
        </is>
      </c>
      <c r="D25061" t="inlineStr">
        <is>
          <t>Dsquared2</t>
        </is>
      </c>
      <c r="E25061" t="n">
        <v>17.82</v>
      </c>
      <c r="F25061" t="n">
        <v>1</v>
      </c>
      <c r="G25061" t="n">
        <v>331</v>
      </c>
      <c r="H25061" s="5">
        <f>HYPERLINK("https://api.qogita.com/variants/link/8011003845682/", "View Product")</f>
        <v/>
      </c>
    </row>
    <row r="25062">
      <c r="A25062" t="inlineStr">
        <is>
          <t>8011003845699</t>
        </is>
      </c>
      <c r="B25062" t="inlineStr">
        <is>
          <t>Dsquared2 Wood Pour Homme Eau De Toilette Spray 50ml For Men</t>
        </is>
      </c>
      <c r="C25062" t="inlineStr">
        <is>
          <t>Eau De Toilette</t>
        </is>
      </c>
      <c r="D25062" t="inlineStr">
        <is>
          <t>Dsquared2</t>
        </is>
      </c>
      <c r="E25062" t="n">
        <v>25.87</v>
      </c>
      <c r="F25062" t="n">
        <v>1</v>
      </c>
      <c r="G25062" t="n">
        <v>67</v>
      </c>
      <c r="H25062" s="5">
        <f>HYPERLINK("https://api.qogita.com/variants/link/8011003845699/", "View Product")</f>
        <v/>
      </c>
    </row>
    <row r="25063">
      <c r="A25063" t="inlineStr">
        <is>
          <t>8011003847020</t>
        </is>
      </c>
      <c r="B25063" t="inlineStr">
        <is>
          <t>Dsquared2 Wood Pour Home Mini Set Eau De Toilette 5 Ml Shower Gel 25 Ml And Aftershave Balm 25 Ml</t>
        </is>
      </c>
      <c r="C25063" t="inlineStr">
        <is>
          <t>Fragrance Sets</t>
        </is>
      </c>
      <c r="D25063" t="inlineStr">
        <is>
          <t>Dsquared2</t>
        </is>
      </c>
      <c r="E25063" t="n">
        <v>8.01</v>
      </c>
      <c r="F25063" t="n">
        <v>1</v>
      </c>
      <c r="G25063" t="n">
        <v>83</v>
      </c>
      <c r="H25063" s="5">
        <f>HYPERLINK("https://api.qogita.com/variants/link/8011003847020/", "View Product")</f>
        <v/>
      </c>
    </row>
    <row r="25064">
      <c r="A25064" t="inlineStr">
        <is>
          <t>8011003848188</t>
        </is>
      </c>
      <c r="B25064" t="inlineStr">
        <is>
          <t>Versace Atelier Versace Figue Blanche Eau De Parfum</t>
        </is>
      </c>
      <c r="C25064" t="inlineStr">
        <is>
          <t>Eau De Parfum</t>
        </is>
      </c>
      <c r="D25064" t="inlineStr">
        <is>
          <t>Versace</t>
        </is>
      </c>
      <c r="E25064" t="n">
        <v>143.61</v>
      </c>
      <c r="F25064" t="n">
        <v>1</v>
      </c>
      <c r="G25064" t="n">
        <v>17</v>
      </c>
      <c r="H25064" s="5">
        <f>HYPERLINK("https://api.qogita.com/variants/link/8011003848188/", "View Product")</f>
        <v/>
      </c>
    </row>
    <row r="25065">
      <c r="A25065" t="inlineStr">
        <is>
          <t>8011003852673</t>
        </is>
      </c>
      <c r="B25065" t="inlineStr">
        <is>
          <t>Dsquared2 Red Wood Eau De Toilette 30ml for Women</t>
        </is>
      </c>
      <c r="C25065" t="inlineStr">
        <is>
          <t>Eau De Toilette</t>
        </is>
      </c>
      <c r="D25065" t="inlineStr">
        <is>
          <t>Dsquared2</t>
        </is>
      </c>
      <c r="E25065" t="n">
        <v>24.59</v>
      </c>
      <c r="F25065" t="n">
        <v>1</v>
      </c>
      <c r="G25065" t="n">
        <v>8</v>
      </c>
      <c r="H25065" s="5">
        <f>HYPERLINK("https://api.qogita.com/variants/link/8011003852673/", "View Product")</f>
        <v/>
      </c>
    </row>
    <row r="25066">
      <c r="A25066" t="inlineStr">
        <is>
          <t>8011003852680</t>
        </is>
      </c>
      <c r="B25066" t="inlineStr">
        <is>
          <t>Dsquared2 Red Wood Pour Femme Eau De Toilette Spray 50ml</t>
        </is>
      </c>
      <c r="C25066" t="inlineStr">
        <is>
          <t>Eau De Toilette</t>
        </is>
      </c>
      <c r="D25066" t="inlineStr">
        <is>
          <t>Dsquared2</t>
        </is>
      </c>
      <c r="E25066" t="n">
        <v>12.28</v>
      </c>
      <c r="F25066" t="n">
        <v>1</v>
      </c>
      <c r="G25066" t="n">
        <v>12</v>
      </c>
      <c r="H25066" s="5">
        <f>HYPERLINK("https://api.qogita.com/variants/link/8011003852680/", "View Product")</f>
        <v/>
      </c>
    </row>
    <row r="25067">
      <c r="A25067" t="inlineStr">
        <is>
          <t>8011003858118</t>
        </is>
      </c>
      <c r="B25067" t="inlineStr">
        <is>
          <t>Versace Pour Femme Dylan Turquoise Perfumed Bath Shower Gel 200ml</t>
        </is>
      </c>
      <c r="C25067" t="inlineStr">
        <is>
          <t>Shower Gel</t>
        </is>
      </c>
      <c r="D25067" t="inlineStr">
        <is>
          <t>Versace</t>
        </is>
      </c>
      <c r="E25067" t="n">
        <v>14.7</v>
      </c>
      <c r="F25067" t="n">
        <v>1</v>
      </c>
      <c r="G25067" t="n">
        <v>5</v>
      </c>
      <c r="H25067" s="5">
        <f>HYPERLINK("https://api.qogita.com/variants/link/8011003858118/", "View Product")</f>
        <v/>
      </c>
    </row>
    <row r="25068">
      <c r="A25068" t="inlineStr">
        <is>
          <t>8011003858125</t>
        </is>
      </c>
      <c r="B25068" t="inlineStr">
        <is>
          <t>Versace Dylan Turquoise Pour Femme Body Gel 200ml</t>
        </is>
      </c>
      <c r="C25068" t="inlineStr">
        <is>
          <t>Body Care Sets</t>
        </is>
      </c>
      <c r="D25068" t="inlineStr">
        <is>
          <t>Versace</t>
        </is>
      </c>
      <c r="E25068" t="n">
        <v>19.31</v>
      </c>
      <c r="F25068" t="n">
        <v>1</v>
      </c>
      <c r="G25068" t="n">
        <v>5</v>
      </c>
      <c r="H25068" s="5">
        <f>HYPERLINK("https://api.qogita.com/variants/link/8011003858125/", "View Product")</f>
        <v/>
      </c>
    </row>
    <row r="25069">
      <c r="A25069" t="inlineStr">
        <is>
          <t>8011003861903</t>
        </is>
      </c>
      <c r="B25069" t="inlineStr">
        <is>
          <t>Versace Eros Men Eau De Parfum Spray 50 Ml A Captivating Fragrance For Men</t>
        </is>
      </c>
      <c r="C25069" t="inlineStr">
        <is>
          <t>Eau De Parfum</t>
        </is>
      </c>
      <c r="D25069" t="inlineStr">
        <is>
          <t>Versace</t>
        </is>
      </c>
      <c r="E25069" t="n">
        <v>44.21</v>
      </c>
      <c r="F25069" t="n">
        <v>1</v>
      </c>
      <c r="G25069" t="n">
        <v>30</v>
      </c>
      <c r="H25069" s="5">
        <f>HYPERLINK("https://api.qogita.com/variants/link/8011003861903/", "View Product")</f>
        <v/>
      </c>
    </row>
    <row r="25070">
      <c r="A25070" t="inlineStr">
        <is>
          <t>8011003861910</t>
        </is>
      </c>
      <c r="B25070" t="inlineStr">
        <is>
          <t>Versace Eros Pour Homme Eau De Parfum Spray 200ml</t>
        </is>
      </c>
      <c r="C25070" t="inlineStr">
        <is>
          <t>Eau De Parfum</t>
        </is>
      </c>
      <c r="D25070" t="inlineStr">
        <is>
          <t>Versace</t>
        </is>
      </c>
      <c r="E25070" t="n">
        <v>70.81999999999999</v>
      </c>
      <c r="F25070" t="n">
        <v>1</v>
      </c>
      <c r="G25070" t="n">
        <v>190</v>
      </c>
      <c r="H25070" s="5">
        <f>HYPERLINK("https://api.qogita.com/variants/link/8011003861910/", "View Product")</f>
        <v/>
      </c>
    </row>
    <row r="25071">
      <c r="A25071" t="inlineStr">
        <is>
          <t>8011003863730</t>
        </is>
      </c>
      <c r="B25071" t="inlineStr">
        <is>
          <t>Versace Atelier Versace Fleur De Mat Eau De Parfum</t>
        </is>
      </c>
      <c r="C25071" t="inlineStr">
        <is>
          <t>Eau De Parfum</t>
        </is>
      </c>
      <c r="D25071" t="inlineStr">
        <is>
          <t>Versace</t>
        </is>
      </c>
      <c r="E25071" t="n">
        <v>149.78</v>
      </c>
      <c r="F25071" t="n">
        <v>1</v>
      </c>
      <c r="G25071" t="n">
        <v>4</v>
      </c>
      <c r="H25071" s="5">
        <f>HYPERLINK("https://api.qogita.com/variants/link/8011003863730/", "View Product")</f>
        <v/>
      </c>
    </row>
    <row r="25072">
      <c r="A25072" t="inlineStr">
        <is>
          <t>8011003864096</t>
        </is>
      </c>
      <c r="B25072" t="inlineStr">
        <is>
          <t>Moschino Toy 2 Bubble Gum Perfumed Body Lotion 200ml</t>
        </is>
      </c>
      <c r="C25072" t="inlineStr">
        <is>
          <t>Body Lotion</t>
        </is>
      </c>
      <c r="D25072" t="inlineStr">
        <is>
          <t>Moschino</t>
        </is>
      </c>
      <c r="E25072" t="n">
        <v>19.31</v>
      </c>
      <c r="F25072" t="n">
        <v>1</v>
      </c>
      <c r="G25072" t="n">
        <v>3</v>
      </c>
      <c r="H25072" s="5">
        <f>HYPERLINK("https://api.qogita.com/variants/link/8011003864096/", "View Product")</f>
        <v/>
      </c>
    </row>
    <row r="25073">
      <c r="A25073" t="inlineStr">
        <is>
          <t>8011003864102</t>
        </is>
      </c>
      <c r="B25073" t="inlineStr">
        <is>
          <t>Moschino Toy 2 Bubble Gum Shower Gel 200ml</t>
        </is>
      </c>
      <c r="C25073" t="inlineStr">
        <is>
          <t>Shower Gel</t>
        </is>
      </c>
      <c r="D25073" t="inlineStr">
        <is>
          <t>Moschino</t>
        </is>
      </c>
      <c r="E25073" t="n">
        <v>17.47</v>
      </c>
      <c r="F25073" t="n">
        <v>1</v>
      </c>
      <c r="G25073" t="n">
        <v>11</v>
      </c>
      <c r="H25073" s="5">
        <f>HYPERLINK("https://api.qogita.com/variants/link/8011003864102/", "View Product")</f>
        <v/>
      </c>
    </row>
    <row r="25074">
      <c r="A25074" t="inlineStr">
        <is>
          <t>8011003864232</t>
        </is>
      </c>
      <c r="B25074" t="inlineStr">
        <is>
          <t>Dsquared2 Two Wood Eau De Toilette 30ml Unisex Spray</t>
        </is>
      </c>
      <c r="C25074" t="inlineStr">
        <is>
          <t>Eau De Toilette</t>
        </is>
      </c>
      <c r="D25074" t="inlineStr">
        <is>
          <t>Dsquared2</t>
        </is>
      </c>
      <c r="E25074" t="n">
        <v>16.71</v>
      </c>
      <c r="F25074" t="n">
        <v>1</v>
      </c>
      <c r="G25074" t="n">
        <v>39</v>
      </c>
      <c r="H25074" s="5">
        <f>HYPERLINK("https://api.qogita.com/variants/link/8011003864232/", "View Product")</f>
        <v/>
      </c>
    </row>
    <row r="25075">
      <c r="A25075" t="inlineStr">
        <is>
          <t>8011003864287</t>
        </is>
      </c>
      <c r="B25075" t="inlineStr">
        <is>
          <t>Dsquared2 Wood 2 Eau De Toilette Spray 50ml</t>
        </is>
      </c>
      <c r="C25075" t="inlineStr">
        <is>
          <t>Eau De Toilette</t>
        </is>
      </c>
      <c r="D25075" t="inlineStr">
        <is>
          <t>Dsquared2</t>
        </is>
      </c>
      <c r="E25075" t="n">
        <v>27.21</v>
      </c>
      <c r="F25075" t="n">
        <v>1</v>
      </c>
      <c r="G25075" t="n">
        <v>4</v>
      </c>
      <c r="H25075" s="5">
        <f>HYPERLINK("https://api.qogita.com/variants/link/8011003864287/", "View Product")</f>
        <v/>
      </c>
    </row>
    <row r="25076">
      <c r="A25076" t="inlineStr">
        <is>
          <t>8011003865796</t>
        </is>
      </c>
      <c r="B25076" t="inlineStr">
        <is>
          <t>Atkinsons English Lavender Eau De Toilette 620ml</t>
        </is>
      </c>
      <c r="C25076" t="inlineStr">
        <is>
          <t>Eau De Toilette</t>
        </is>
      </c>
      <c r="D25076" t="inlineStr">
        <is>
          <t>Atkinsons</t>
        </is>
      </c>
      <c r="E25076" t="n">
        <v>55.67</v>
      </c>
      <c r="F25076" t="n">
        <v>1</v>
      </c>
      <c r="G25076" t="n">
        <v>5</v>
      </c>
      <c r="H25076" s="5">
        <f>HYPERLINK("https://api.qogita.com/variants/link/8011003865796/", "View Product")</f>
        <v/>
      </c>
    </row>
    <row r="25077">
      <c r="A25077" t="inlineStr">
        <is>
          <t>8011003865949</t>
        </is>
      </c>
      <c r="B25077" t="inlineStr">
        <is>
          <t>Atkinsons Con R Wonderland Eau De Parfum 100ml</t>
        </is>
      </c>
      <c r="C25077" t="inlineStr">
        <is>
          <t>Eau De Parfum</t>
        </is>
      </c>
      <c r="D25077" t="inlineStr">
        <is>
          <t>Atkinson's</t>
        </is>
      </c>
      <c r="E25077" t="n">
        <v>92.08</v>
      </c>
      <c r="F25077" t="n">
        <v>1</v>
      </c>
      <c r="G25077" t="n">
        <v>3</v>
      </c>
      <c r="H25077" s="5">
        <f>HYPERLINK("https://api.qogita.com/variants/link/8011003865949/", "View Product")</f>
        <v/>
      </c>
    </row>
    <row r="25078">
      <c r="A25078" t="inlineStr">
        <is>
          <t>8011003866120</t>
        </is>
      </c>
      <c r="B25078" t="inlineStr">
        <is>
          <t>Atkinsons 1799 Pirates' Grand Reserve Eau De Parfum 100ml</t>
        </is>
      </c>
      <c r="C25078" t="inlineStr">
        <is>
          <t>Eau De Parfum</t>
        </is>
      </c>
      <c r="D25078" t="inlineStr">
        <is>
          <t>Atkinson's</t>
        </is>
      </c>
      <c r="E25078" t="n">
        <v>85.83</v>
      </c>
      <c r="F25078" t="n">
        <v>1</v>
      </c>
      <c r="G25078" t="n">
        <v>4</v>
      </c>
      <c r="H25078" s="5">
        <f>HYPERLINK("https://api.qogita.com/variants/link/8011003866120/", "View Product")</f>
        <v/>
      </c>
    </row>
    <row r="25079">
      <c r="A25079" t="inlineStr">
        <is>
          <t>8011003866496</t>
        </is>
      </c>
      <c r="B25079" t="inlineStr">
        <is>
          <t>Atkinsons 24 Old Bond Street Eau De Cologne 100ml Unisex Spray</t>
        </is>
      </c>
      <c r="C25079" t="inlineStr">
        <is>
          <t>Eau De Cologne</t>
        </is>
      </c>
      <c r="D25079" t="inlineStr">
        <is>
          <t>Atkinsons</t>
        </is>
      </c>
      <c r="E25079" t="n">
        <v>71.16</v>
      </c>
      <c r="F25079" t="n">
        <v>1</v>
      </c>
      <c r="G25079" t="n">
        <v>3</v>
      </c>
      <c r="H25079" s="5">
        <f>HYPERLINK("https://api.qogita.com/variants/link/8011003866496/", "View Product")</f>
        <v/>
      </c>
    </row>
    <row r="25080">
      <c r="A25080" t="inlineStr">
        <is>
          <t>8011003867196</t>
        </is>
      </c>
      <c r="B25080" t="inlineStr">
        <is>
          <t>Atkinsons Oud Save The Queen Eau de Parfum for Women 100ml</t>
        </is>
      </c>
      <c r="C25080" t="inlineStr">
        <is>
          <t>Eau De Parfum</t>
        </is>
      </c>
      <c r="D25080" t="inlineStr">
        <is>
          <t>Atkinsons</t>
        </is>
      </c>
      <c r="E25080" t="n">
        <v>113.72</v>
      </c>
      <c r="F25080" t="n">
        <v>1</v>
      </c>
      <c r="G25080" t="n">
        <v>5</v>
      </c>
      <c r="H25080" s="5">
        <f>HYPERLINK("https://api.qogita.com/variants/link/8011003867196/", "View Product")</f>
        <v/>
      </c>
    </row>
    <row r="25081">
      <c r="A25081" t="inlineStr">
        <is>
          <t>8011003870578</t>
        </is>
      </c>
      <c r="B25081" t="inlineStr">
        <is>
          <t>Moschino Toy Boy Men's 4 Piece Gift Set 3.4oz EDP 3.4oz Shower Gel and Aftershave</t>
        </is>
      </c>
      <c r="C25081" t="inlineStr">
        <is>
          <t>Fragrance</t>
        </is>
      </c>
      <c r="D25081" t="inlineStr">
        <is>
          <t>Moschino</t>
        </is>
      </c>
      <c r="E25081" t="n">
        <v>68.95</v>
      </c>
      <c r="F25081" t="n">
        <v>1</v>
      </c>
      <c r="G25081" t="n">
        <v>5</v>
      </c>
      <c r="H25081" s="5">
        <f>HYPERLINK("https://api.qogita.com/variants/link/8011003870578/", "View Product")</f>
        <v/>
      </c>
    </row>
    <row r="25082">
      <c r="A25082" t="inlineStr">
        <is>
          <t>8011003872848</t>
        </is>
      </c>
      <c r="B25082" t="inlineStr">
        <is>
          <t>Dsquared2 Original Wood Eau De Parfum 50ml Men's Fragrance</t>
        </is>
      </c>
      <c r="C25082" t="inlineStr">
        <is>
          <t>Eau De Parfum</t>
        </is>
      </c>
      <c r="D25082" t="inlineStr">
        <is>
          <t>Dsquared2</t>
        </is>
      </c>
      <c r="E25082" t="n">
        <v>34.19</v>
      </c>
      <c r="F25082" t="n">
        <v>1</v>
      </c>
      <c r="G25082" t="n">
        <v>14</v>
      </c>
      <c r="H25082" s="5">
        <f>HYPERLINK("https://api.qogita.com/variants/link/8011003872848/", "View Product")</f>
        <v/>
      </c>
    </row>
    <row r="25083">
      <c r="A25083" t="inlineStr">
        <is>
          <t>8011003872855</t>
        </is>
      </c>
      <c r="B25083" t="inlineStr">
        <is>
          <t>Dsquared Original Wood Men Eau De Parfum Spray 100ml</t>
        </is>
      </c>
      <c r="C25083" t="inlineStr">
        <is>
          <t>Eau De Parfum</t>
        </is>
      </c>
      <c r="D25083" t="inlineStr">
        <is>
          <t>Dsquared2</t>
        </is>
      </c>
      <c r="E25083" t="n">
        <v>44.53</v>
      </c>
      <c r="F25083" t="n">
        <v>1</v>
      </c>
      <c r="G25083" t="n">
        <v>8</v>
      </c>
      <c r="H25083" s="5">
        <f>HYPERLINK("https://api.qogita.com/variants/link/8011003872855/", "View Product")</f>
        <v/>
      </c>
    </row>
    <row r="25084">
      <c r="A25084" t="inlineStr">
        <is>
          <t>8011003875290</t>
        </is>
      </c>
      <c r="B25084" t="inlineStr">
        <is>
          <t>Versace Dylan Turquoise Pour Femme Eau De Toilette Spray 200ml</t>
        </is>
      </c>
      <c r="C25084" t="inlineStr">
        <is>
          <t>Eau De Toilette</t>
        </is>
      </c>
      <c r="D25084" t="inlineStr">
        <is>
          <t>Versace</t>
        </is>
      </c>
      <c r="E25084" t="n">
        <v>90.89</v>
      </c>
      <c r="F25084" t="n">
        <v>1</v>
      </c>
      <c r="G25084" t="n">
        <v>3</v>
      </c>
      <c r="H25084" s="5">
        <f>HYPERLINK("https://api.qogita.com/variants/link/8011003875290/", "View Product")</f>
        <v/>
      </c>
    </row>
    <row r="25085">
      <c r="A25085" t="inlineStr">
        <is>
          <t>8011003884841</t>
        </is>
      </c>
      <c r="B25085" t="inlineStr">
        <is>
          <t>Versace Bright Crystal Set 90ml EDT with Shower Gel, Body Lotion, and Bag</t>
        </is>
      </c>
      <c r="C25085" t="inlineStr">
        <is>
          <t>Fragrance Sets</t>
        </is>
      </c>
      <c r="D25085" t="inlineStr">
        <is>
          <t>Versace</t>
        </is>
      </c>
      <c r="E25085" t="n">
        <v>64.31999999999999</v>
      </c>
      <c r="F25085" t="n">
        <v>1</v>
      </c>
      <c r="G25085" t="n">
        <v>97</v>
      </c>
      <c r="H25085" s="5">
        <f>HYPERLINK("https://api.qogita.com/variants/link/8011003884841/", "View Product")</f>
        <v/>
      </c>
    </row>
    <row r="25086">
      <c r="A25086" t="inlineStr">
        <is>
          <t>8011003889419</t>
        </is>
      </c>
      <c r="B25086" t="inlineStr">
        <is>
          <t>Moschino Toy 2 Giftset</t>
        </is>
      </c>
      <c r="C25086" t="inlineStr">
        <is>
          <t>Fragrance Sets</t>
        </is>
      </c>
      <c r="D25086" t="inlineStr">
        <is>
          <t>Moschino</t>
        </is>
      </c>
      <c r="E25086" t="n">
        <v>64.31999999999999</v>
      </c>
      <c r="F25086" t="n">
        <v>1</v>
      </c>
      <c r="G25086" t="n">
        <v>15</v>
      </c>
      <c r="H25086" s="5">
        <f>HYPERLINK("https://api.qogita.com/variants/link/8011003889419/", "View Product")</f>
        <v/>
      </c>
    </row>
    <row r="25087">
      <c r="A25087" t="inlineStr">
        <is>
          <t>8011003890972</t>
        </is>
      </c>
      <c r="B25087" t="inlineStr">
        <is>
          <t>Versace Eau Fraiche Extreme Man Eau De Parfum 50ml</t>
        </is>
      </c>
      <c r="C25087" t="inlineStr">
        <is>
          <t>Eau De Parfum</t>
        </is>
      </c>
      <c r="D25087" t="inlineStr">
        <is>
          <t>Versace</t>
        </is>
      </c>
      <c r="E25087" t="n">
        <v>66.59</v>
      </c>
      <c r="F25087" t="n">
        <v>1</v>
      </c>
      <c r="G25087" t="n">
        <v>25</v>
      </c>
      <c r="H25087" s="5">
        <f>HYPERLINK("https://api.qogita.com/variants/link/8011003890972/", "View Product")</f>
        <v/>
      </c>
    </row>
    <row r="25088">
      <c r="A25088" t="inlineStr">
        <is>
          <t>8011003891146</t>
        </is>
      </c>
      <c r="B25088" t="inlineStr">
        <is>
          <t>Dsquared2 Icon Pour Femme Eau De Parfum 100ml</t>
        </is>
      </c>
      <c r="C25088" t="inlineStr">
        <is>
          <t>Eau De Parfum</t>
        </is>
      </c>
      <c r="D25088" t="inlineStr">
        <is>
          <t>Dsquared2</t>
        </is>
      </c>
      <c r="E25088" t="n">
        <v>37.91</v>
      </c>
      <c r="F25088" t="n">
        <v>1</v>
      </c>
      <c r="G25088" t="n">
        <v>43</v>
      </c>
      <c r="H25088" s="5">
        <f>HYPERLINK("https://api.qogita.com/variants/link/8011003891146/", "View Product")</f>
        <v/>
      </c>
    </row>
    <row r="25089">
      <c r="A25089" t="inlineStr">
        <is>
          <t>8011003893270</t>
        </is>
      </c>
      <c r="B25089" t="inlineStr">
        <is>
          <t>Versace Yellow Diamond Gift Set 3 Pieces</t>
        </is>
      </c>
      <c r="C25089" t="inlineStr">
        <is>
          <t>Fragrance Sets</t>
        </is>
      </c>
      <c r="D25089" t="inlineStr">
        <is>
          <t>Versace</t>
        </is>
      </c>
      <c r="E25089" t="n">
        <v>59.32</v>
      </c>
      <c r="F25089" t="n">
        <v>1</v>
      </c>
      <c r="G25089" t="n">
        <v>5</v>
      </c>
      <c r="H25089" s="5">
        <f>HYPERLINK("https://api.qogita.com/variants/link/8011003893270/", "View Product")</f>
        <v/>
      </c>
    </row>
    <row r="25090">
      <c r="A25090" t="inlineStr">
        <is>
          <t>8011003893294</t>
        </is>
      </c>
      <c r="B25090" t="inlineStr">
        <is>
          <t>Versace Yellow Diamond Gift Set 4 Pieces</t>
        </is>
      </c>
      <c r="C25090" t="inlineStr">
        <is>
          <t>Fragrance Sets</t>
        </is>
      </c>
      <c r="D25090" t="inlineStr">
        <is>
          <t>Versace</t>
        </is>
      </c>
      <c r="E25090" t="n">
        <v>76.09</v>
      </c>
      <c r="F25090" t="n">
        <v>1</v>
      </c>
      <c r="G25090" t="n">
        <v>13</v>
      </c>
      <c r="H25090" s="5">
        <f>HYPERLINK("https://api.qogita.com/variants/link/8011003893294/", "View Product")</f>
        <v/>
      </c>
    </row>
    <row r="25091">
      <c r="A25091" t="inlineStr">
        <is>
          <t>8011003893300</t>
        </is>
      </c>
      <c r="B25091" t="inlineStr">
        <is>
          <t>Versace Crystal Noir Eau De Parfum Gift Set - 50ml</t>
        </is>
      </c>
      <c r="C25091" t="inlineStr">
        <is>
          <t>Fragrance Sets</t>
        </is>
      </c>
      <c r="D25091" t="inlineStr">
        <is>
          <t>Versace</t>
        </is>
      </c>
      <c r="E25091" t="n">
        <v>64.22</v>
      </c>
      <c r="F25091" t="n">
        <v>1</v>
      </c>
      <c r="G25091" t="n">
        <v>5</v>
      </c>
      <c r="H25091" s="5">
        <f>HYPERLINK("https://api.qogita.com/variants/link/8011003893300/", "View Product")</f>
        <v/>
      </c>
    </row>
    <row r="25092">
      <c r="A25092" t="inlineStr">
        <is>
          <t>8011003893379</t>
        </is>
      </c>
      <c r="B25092" t="inlineStr">
        <is>
          <t>Versace Dylan Turquoise Pour Femme Eau De Toilette Spray 50ml Set With Shower Gel And Body Lotion</t>
        </is>
      </c>
      <c r="C25092" t="inlineStr">
        <is>
          <t>Fragrance Sets</t>
        </is>
      </c>
      <c r="D25092" t="inlineStr">
        <is>
          <t>Versace</t>
        </is>
      </c>
      <c r="E25092" t="n">
        <v>59.32</v>
      </c>
      <c r="F25092" t="n">
        <v>1</v>
      </c>
      <c r="G25092" t="n">
        <v>5</v>
      </c>
      <c r="H25092" s="5">
        <f>HYPERLINK("https://api.qogita.com/variants/link/8011003893379/", "View Product")</f>
        <v/>
      </c>
    </row>
    <row r="25093">
      <c r="A25093" t="inlineStr">
        <is>
          <t>8011003893621</t>
        </is>
      </c>
      <c r="B25093" t="inlineStr">
        <is>
          <t>Versace Eros Eau De Parfum 50ml &amp; Shower Gel 50ml &amp; After Shave Balm 50ml</t>
        </is>
      </c>
      <c r="C25093" t="inlineStr">
        <is>
          <t>Fragrance Sets</t>
        </is>
      </c>
      <c r="D25093" t="inlineStr">
        <is>
          <t>Versace</t>
        </is>
      </c>
      <c r="E25093" t="n">
        <v>60.55</v>
      </c>
      <c r="F25093" t="n">
        <v>1</v>
      </c>
      <c r="G25093" t="n">
        <v>3</v>
      </c>
      <c r="H25093" s="5">
        <f>HYPERLINK("https://api.qogita.com/variants/link/8011003893621/", "View Product")</f>
        <v/>
      </c>
    </row>
    <row r="25094">
      <c r="A25094" t="inlineStr">
        <is>
          <t>8011003893768</t>
        </is>
      </c>
      <c r="B25094" t="inlineStr">
        <is>
          <t>Moschino Toy 2 Eau De Parfum Spray, Perfumed Bath &amp; Shower Gel, Body Lotion 1.7oz</t>
        </is>
      </c>
      <c r="C25094" t="inlineStr">
        <is>
          <t>Eau De Parfum</t>
        </is>
      </c>
      <c r="D25094" t="inlineStr">
        <is>
          <t>Moschino</t>
        </is>
      </c>
      <c r="E25094" t="n">
        <v>36.38</v>
      </c>
      <c r="F25094" t="n">
        <v>1</v>
      </c>
      <c r="G25094" t="n">
        <v>8</v>
      </c>
      <c r="H25094" s="5">
        <f>HYPERLINK("https://api.qogita.com/variants/link/8011003893768/", "View Product")</f>
        <v/>
      </c>
    </row>
    <row r="25095">
      <c r="A25095" t="inlineStr">
        <is>
          <t>8011003893775</t>
        </is>
      </c>
      <c r="B25095" t="inlineStr">
        <is>
          <t>Moschino Toy 2 100ml EDP Spray Gift Set</t>
        </is>
      </c>
      <c r="C25095" t="inlineStr">
        <is>
          <t>Fragrance Sets</t>
        </is>
      </c>
      <c r="D25095" t="inlineStr">
        <is>
          <t>Moschino</t>
        </is>
      </c>
      <c r="E25095" t="n">
        <v>74.88</v>
      </c>
      <c r="F25095" t="n">
        <v>1</v>
      </c>
      <c r="G25095" t="n">
        <v>5</v>
      </c>
      <c r="H25095" s="5">
        <f>HYPERLINK("https://api.qogita.com/variants/link/8011003893775/", "View Product")</f>
        <v/>
      </c>
    </row>
    <row r="25096">
      <c r="A25096" t="inlineStr">
        <is>
          <t>8011003893850</t>
        </is>
      </c>
      <c r="B25096" t="inlineStr">
        <is>
          <t>Moschino Toy 2 Pearl Eau De Parfum 50 Ml By Moschino</t>
        </is>
      </c>
      <c r="C25096" t="inlineStr">
        <is>
          <t>Eau De Parfum</t>
        </is>
      </c>
      <c r="D25096" t="inlineStr">
        <is>
          <t>Moschino</t>
        </is>
      </c>
      <c r="E25096" t="n">
        <v>60.52</v>
      </c>
      <c r="F25096" t="n">
        <v>1</v>
      </c>
      <c r="G25096" t="n">
        <v>5</v>
      </c>
      <c r="H25096" s="5">
        <f>HYPERLINK("https://api.qogita.com/variants/link/8011003893850/", "View Product")</f>
        <v/>
      </c>
    </row>
    <row r="25097">
      <c r="A25097" t="inlineStr">
        <is>
          <t>8011003899791</t>
        </is>
      </c>
      <c r="B25097" t="inlineStr">
        <is>
          <t>Versace Bright Crystal Eau De Toilette Spray 50 Milliliters Body Lotion 150 Milliliters Set</t>
        </is>
      </c>
      <c r="C25097" t="inlineStr">
        <is>
          <t>Fragrance Sets</t>
        </is>
      </c>
      <c r="D25097" t="inlineStr">
        <is>
          <t>Versace</t>
        </is>
      </c>
      <c r="E25097" t="n">
        <v>72.38</v>
      </c>
      <c r="F25097" t="n">
        <v>1</v>
      </c>
      <c r="G25097" t="n">
        <v>47</v>
      </c>
      <c r="H25097" s="5">
        <f>HYPERLINK("https://api.qogita.com/variants/link/8011003899791/", "View Product")</f>
        <v/>
      </c>
    </row>
    <row r="25098">
      <c r="A25098" t="inlineStr">
        <is>
          <t>8011003900008</t>
        </is>
      </c>
      <c r="B25098" t="inlineStr">
        <is>
          <t>Versace Eros Eau De Toilette Spray 50ml Set 3 Pieces</t>
        </is>
      </c>
      <c r="C25098" t="inlineStr">
        <is>
          <t>Fragrance Sets</t>
        </is>
      </c>
      <c r="D25098" t="inlineStr">
        <is>
          <t>Versace</t>
        </is>
      </c>
      <c r="E25098" t="n">
        <v>52.26</v>
      </c>
      <c r="F25098" t="n">
        <v>1</v>
      </c>
      <c r="G25098" t="n">
        <v>29</v>
      </c>
      <c r="H25098" s="5">
        <f>HYPERLINK("https://api.qogita.com/variants/link/8011003900008/", "View Product")</f>
        <v/>
      </c>
    </row>
    <row r="25099">
      <c r="A25099" t="inlineStr">
        <is>
          <t>8011003991136</t>
        </is>
      </c>
      <c r="B25099" t="inlineStr">
        <is>
          <t>Moschino I Love Love Eau De Toilette 30ml Women's Fragrance</t>
        </is>
      </c>
      <c r="C25099" t="inlineStr">
        <is>
          <t>Eau De Toilette</t>
        </is>
      </c>
      <c r="D25099" t="inlineStr">
        <is>
          <t>Moschino</t>
        </is>
      </c>
      <c r="E25099" t="n">
        <v>19.5</v>
      </c>
      <c r="F25099" t="n">
        <v>1</v>
      </c>
      <c r="G25099" t="n">
        <v>191</v>
      </c>
      <c r="H25099" s="5">
        <f>HYPERLINK("https://api.qogita.com/variants/link/8011003991136/", "View Product")</f>
        <v/>
      </c>
    </row>
    <row r="25100">
      <c r="A25100" t="inlineStr">
        <is>
          <t>8011003991600</t>
        </is>
      </c>
      <c r="B25100" t="inlineStr">
        <is>
          <t>Moschino Funny Eau De Toilette Spray 50ml</t>
        </is>
      </c>
      <c r="C25100" t="inlineStr">
        <is>
          <t>Eau De Toilette</t>
        </is>
      </c>
      <c r="D25100" t="inlineStr">
        <is>
          <t>Moschino</t>
        </is>
      </c>
      <c r="E25100" t="n">
        <v>13.72</v>
      </c>
      <c r="F25100" t="n">
        <v>1</v>
      </c>
      <c r="G25100" t="n">
        <v>23</v>
      </c>
      <c r="H25100" s="5">
        <f>HYPERLINK("https://api.qogita.com/variants/link/8011003991600/", "View Product")</f>
        <v/>
      </c>
    </row>
    <row r="25101">
      <c r="A25101" t="inlineStr">
        <is>
          <t>8011003993802</t>
        </is>
      </c>
      <c r="B25101" t="inlineStr">
        <is>
          <t>Versace Bright Crystal Eau De Toilette Spray 30ml</t>
        </is>
      </c>
      <c r="C25101" t="inlineStr">
        <is>
          <t>Eau De Toilette</t>
        </is>
      </c>
      <c r="D25101" t="inlineStr">
        <is>
          <t>Versace</t>
        </is>
      </c>
      <c r="E25101" t="n">
        <v>30.19</v>
      </c>
      <c r="F25101" t="n">
        <v>1</v>
      </c>
      <c r="G25101" t="n">
        <v>45</v>
      </c>
      <c r="H25101" s="5">
        <f>HYPERLINK("https://api.qogita.com/variants/link/8011003993802/", "View Product")</f>
        <v/>
      </c>
    </row>
    <row r="25102">
      <c r="A25102" t="inlineStr">
        <is>
          <t>8011003993819</t>
        </is>
      </c>
      <c r="B25102" t="inlineStr">
        <is>
          <t>Versace Bright Crystal Eau De Toilette Spray 50ml</t>
        </is>
      </c>
      <c r="C25102" t="inlineStr">
        <is>
          <t>Eau De Toilette</t>
        </is>
      </c>
      <c r="D25102" t="inlineStr">
        <is>
          <t>Versace</t>
        </is>
      </c>
      <c r="E25102" t="n">
        <v>37.93</v>
      </c>
      <c r="F25102" t="n">
        <v>1</v>
      </c>
      <c r="G25102" t="n">
        <v>239</v>
      </c>
      <c r="H25102" s="5">
        <f>HYPERLINK("https://api.qogita.com/variants/link/8011003993819/", "View Product")</f>
        <v/>
      </c>
    </row>
    <row r="25103">
      <c r="A25103" t="inlineStr">
        <is>
          <t>8011003995950</t>
        </is>
      </c>
      <c r="B25103" t="inlineStr">
        <is>
          <t>Versace Pour Homme Eau De Toilette Spray 50ml</t>
        </is>
      </c>
      <c r="C25103" t="inlineStr">
        <is>
          <t>Eau De Toilette</t>
        </is>
      </c>
      <c r="D25103" t="inlineStr">
        <is>
          <t>Versace</t>
        </is>
      </c>
      <c r="E25103" t="n">
        <v>31.84</v>
      </c>
      <c r="F25103" t="n">
        <v>1</v>
      </c>
      <c r="G25103" t="n">
        <v>84</v>
      </c>
      <c r="H25103" s="5">
        <f>HYPERLINK("https://api.qogita.com/variants/link/8011003995950/", "View Product")</f>
        <v/>
      </c>
    </row>
    <row r="25104">
      <c r="A25104" t="inlineStr">
        <is>
          <t>8011003997008</t>
        </is>
      </c>
      <c r="B25104" t="inlineStr">
        <is>
          <t>Versace Versense Eau De Toilette Spray 30ml</t>
        </is>
      </c>
      <c r="C25104" t="inlineStr">
        <is>
          <t>Eau De Toilette</t>
        </is>
      </c>
      <c r="D25104" t="inlineStr">
        <is>
          <t>Versace</t>
        </is>
      </c>
      <c r="E25104" t="n">
        <v>32.15</v>
      </c>
      <c r="F25104" t="n">
        <v>1</v>
      </c>
      <c r="G25104" t="n">
        <v>54</v>
      </c>
      <c r="H25104" s="5">
        <f>HYPERLINK("https://api.qogita.com/variants/link/8011003997008/", "View Product")</f>
        <v/>
      </c>
    </row>
    <row r="25105">
      <c r="A25105" t="inlineStr">
        <is>
          <t>8011003997015</t>
        </is>
      </c>
      <c r="B25105" t="inlineStr">
        <is>
          <t>Versace Versense Eau De Toilette 50ml Women's Fragrance</t>
        </is>
      </c>
      <c r="C25105" t="inlineStr">
        <is>
          <t>Eau De Toilette</t>
        </is>
      </c>
      <c r="D25105" t="inlineStr">
        <is>
          <t>Versace</t>
        </is>
      </c>
      <c r="E25105" t="n">
        <v>33.3</v>
      </c>
      <c r="F25105" t="n">
        <v>1</v>
      </c>
      <c r="G25105" t="n">
        <v>268</v>
      </c>
      <c r="H25105" s="5">
        <f>HYPERLINK("https://api.qogita.com/variants/link/8011003997015/", "View Product")</f>
        <v/>
      </c>
    </row>
    <row r="25106">
      <c r="A25106" t="inlineStr">
        <is>
          <t>8011003997039</t>
        </is>
      </c>
      <c r="B25106" t="inlineStr">
        <is>
          <t>Versace Versense Perfumed Deodorant Spray 50ml For Women</t>
        </is>
      </c>
      <c r="C25106" t="inlineStr">
        <is>
          <t>Deodorant &amp; Anti-Perspirant</t>
        </is>
      </c>
      <c r="D25106" t="inlineStr">
        <is>
          <t>Versace</t>
        </is>
      </c>
      <c r="E25106" t="n">
        <v>22.24</v>
      </c>
      <c r="F25106" t="n">
        <v>1</v>
      </c>
      <c r="G25106" t="n">
        <v>11</v>
      </c>
      <c r="H25106" s="5">
        <f>HYPERLINK("https://api.qogita.com/variants/link/8011003997039/", "View Product")</f>
        <v/>
      </c>
    </row>
    <row r="25107">
      <c r="A25107" t="inlineStr">
        <is>
          <t>8011530000134</t>
        </is>
      </c>
      <c r="B25107" t="inlineStr">
        <is>
          <t>Laura Biagiotti Roma Uomo Eau De Toilette Spray 125ml</t>
        </is>
      </c>
      <c r="C25107" t="inlineStr">
        <is>
          <t>Eau De Toilette</t>
        </is>
      </c>
      <c r="D25107" t="inlineStr">
        <is>
          <t>Laura Biagiotti</t>
        </is>
      </c>
      <c r="E25107" t="n">
        <v>29.37</v>
      </c>
      <c r="F25107" t="n">
        <v>1</v>
      </c>
      <c r="G25107" t="n">
        <v>118</v>
      </c>
      <c r="H25107" s="5">
        <f>HYPERLINK("https://api.qogita.com/variants/link/8011530000134/", "View Product")</f>
        <v/>
      </c>
    </row>
    <row r="25108">
      <c r="A25108" t="inlineStr">
        <is>
          <t>8011530000158</t>
        </is>
      </c>
      <c r="B25108" t="inlineStr">
        <is>
          <t>Laura Biagiotti Roma Uomo Eau De Toilette Spray 40ml</t>
        </is>
      </c>
      <c r="C25108" t="inlineStr">
        <is>
          <t>Eau De Toilette</t>
        </is>
      </c>
      <c r="D25108" t="inlineStr">
        <is>
          <t>Laura Biagiotti</t>
        </is>
      </c>
      <c r="E25108" t="n">
        <v>17</v>
      </c>
      <c r="F25108" t="n">
        <v>1</v>
      </c>
      <c r="G25108" t="n">
        <v>17</v>
      </c>
      <c r="H25108" s="5">
        <f>HYPERLINK("https://api.qogita.com/variants/link/8011530000158/", "View Product")</f>
        <v/>
      </c>
    </row>
    <row r="25109">
      <c r="A25109" t="inlineStr">
        <is>
          <t>8011530000165</t>
        </is>
      </c>
      <c r="B25109" t="inlineStr">
        <is>
          <t>Laura Biagiotti Roma Men Shower Gel 200ml</t>
        </is>
      </c>
      <c r="C25109" t="inlineStr">
        <is>
          <t>Shower Gel</t>
        </is>
      </c>
      <c r="D25109" t="inlineStr">
        <is>
          <t>Laura Biagiotti</t>
        </is>
      </c>
      <c r="E25109" t="n">
        <v>6.94</v>
      </c>
      <c r="F25109" t="n">
        <v>1</v>
      </c>
      <c r="G25109" t="n">
        <v>5</v>
      </c>
      <c r="H25109" s="5">
        <f>HYPERLINK("https://api.qogita.com/variants/link/8011530000165/", "View Product")</f>
        <v/>
      </c>
    </row>
    <row r="25110">
      <c r="A25110" t="inlineStr">
        <is>
          <t>8011530000295</t>
        </is>
      </c>
      <c r="B25110" t="inlineStr">
        <is>
          <t>Laura Biagiotti Roma Eau De Toilette Spray 25ml</t>
        </is>
      </c>
      <c r="C25110" t="inlineStr">
        <is>
          <t>Eau De Toilette</t>
        </is>
      </c>
      <c r="D25110" t="inlineStr">
        <is>
          <t>Laura Biagiotti</t>
        </is>
      </c>
      <c r="E25110" t="n">
        <v>16.48</v>
      </c>
      <c r="F25110" t="n">
        <v>1</v>
      </c>
      <c r="G25110" t="n">
        <v>52</v>
      </c>
      <c r="H25110" s="5">
        <f>HYPERLINK("https://api.qogita.com/variants/link/8011530000295/", "View Product")</f>
        <v/>
      </c>
    </row>
    <row r="25111">
      <c r="A25111" t="inlineStr">
        <is>
          <t>8011530000431</t>
        </is>
      </c>
      <c r="B25111" t="inlineStr">
        <is>
          <t>Laura Biagiotti Roma Ladies EDT Spray 50ml</t>
        </is>
      </c>
      <c r="C25111" t="inlineStr">
        <is>
          <t>Eau De Toilette</t>
        </is>
      </c>
      <c r="D25111" t="inlineStr">
        <is>
          <t>Laura Biagiotti</t>
        </is>
      </c>
      <c r="E25111" t="n">
        <v>23.08</v>
      </c>
      <c r="F25111" t="n">
        <v>1</v>
      </c>
      <c r="G25111" t="n">
        <v>21</v>
      </c>
      <c r="H25111" s="5">
        <f>HYPERLINK("https://api.qogita.com/variants/link/8011530000431/", "View Product")</f>
        <v/>
      </c>
    </row>
    <row r="25112">
      <c r="A25112" t="inlineStr">
        <is>
          <t>8011530000509</t>
        </is>
      </c>
      <c r="B25112" t="inlineStr">
        <is>
          <t>Roma by Laura Biagiotti Eau de Toilette Spray for Women 3.4 oz</t>
        </is>
      </c>
      <c r="C25112" t="inlineStr">
        <is>
          <t>Eau De Toilette</t>
        </is>
      </c>
      <c r="D25112" t="inlineStr">
        <is>
          <t>Laura Biagiotti</t>
        </is>
      </c>
      <c r="E25112" t="n">
        <v>17.01</v>
      </c>
      <c r="F25112" t="n">
        <v>1</v>
      </c>
      <c r="G25112" t="n">
        <v>438</v>
      </c>
      <c r="H25112" s="5">
        <f>HYPERLINK("https://api.qogita.com/variants/link/8011530000509/", "View Product")</f>
        <v/>
      </c>
    </row>
    <row r="25113">
      <c r="A25113" t="inlineStr">
        <is>
          <t>8011530001117</t>
        </is>
      </c>
      <c r="B25113" t="inlineStr">
        <is>
          <t>Laura Biagiotti Laura Shower Gel 150ml</t>
        </is>
      </c>
      <c r="C25113" t="inlineStr">
        <is>
          <t>Shower Gel</t>
        </is>
      </c>
      <c r="D25113" t="inlineStr">
        <is>
          <t>Laura Biagiotti</t>
        </is>
      </c>
      <c r="E25113" t="n">
        <v>6.08</v>
      </c>
      <c r="F25113" t="n">
        <v>1</v>
      </c>
      <c r="G25113" t="n">
        <v>16</v>
      </c>
      <c r="H25113" s="5">
        <f>HYPERLINK("https://api.qogita.com/variants/link/8011530001117/", "View Product")</f>
        <v/>
      </c>
    </row>
    <row r="25114">
      <c r="A25114" t="inlineStr">
        <is>
          <t>8011530001124</t>
        </is>
      </c>
      <c r="B25114" t="inlineStr">
        <is>
          <t>Laura Biagiotti Laura EDT 25ml</t>
        </is>
      </c>
      <c r="C25114" t="inlineStr">
        <is>
          <t>Eau De Toilette</t>
        </is>
      </c>
      <c r="D25114" t="inlineStr">
        <is>
          <t>Laura Biagiotti</t>
        </is>
      </c>
      <c r="E25114" t="n">
        <v>13.23</v>
      </c>
      <c r="F25114" t="n">
        <v>1</v>
      </c>
      <c r="G25114" t="n">
        <v>12</v>
      </c>
      <c r="H25114" s="5">
        <f>HYPERLINK("https://api.qogita.com/variants/link/8011530001124/", "View Product")</f>
        <v/>
      </c>
    </row>
    <row r="25115">
      <c r="A25115" t="inlineStr">
        <is>
          <t>8011530805500</t>
        </is>
      </c>
      <c r="B25115" t="inlineStr">
        <is>
          <t>Trussardi Riflesso Eau De Toilette 100ml For Men</t>
        </is>
      </c>
      <c r="C25115" t="inlineStr">
        <is>
          <t>Eau De Toilette</t>
        </is>
      </c>
      <c r="D25115" t="inlineStr">
        <is>
          <t>Trussardi</t>
        </is>
      </c>
      <c r="E25115" t="n">
        <v>30.64</v>
      </c>
      <c r="F25115" t="n">
        <v>1</v>
      </c>
      <c r="G25115" t="n">
        <v>83</v>
      </c>
      <c r="H25115" s="5">
        <f>HYPERLINK("https://api.qogita.com/variants/link/8011530805500/", "View Product")</f>
        <v/>
      </c>
    </row>
    <row r="25116">
      <c r="A25116" t="inlineStr">
        <is>
          <t>8011530805920</t>
        </is>
      </c>
      <c r="B25116" t="inlineStr">
        <is>
          <t>Trussardi Sound Of Donna Eau De Parfum Spray 100ml For Women</t>
        </is>
      </c>
      <c r="C25116" t="inlineStr">
        <is>
          <t>Eau De Parfum</t>
        </is>
      </c>
      <c r="D25116" t="inlineStr">
        <is>
          <t>Trussardi</t>
        </is>
      </c>
      <c r="E25116" t="n">
        <v>36.47</v>
      </c>
      <c r="F25116" t="n">
        <v>1</v>
      </c>
      <c r="G25116" t="n">
        <v>16</v>
      </c>
      <c r="H25116" s="5">
        <f>HYPERLINK("https://api.qogita.com/variants/link/8011530805920/", "View Product")</f>
        <v/>
      </c>
    </row>
    <row r="25117">
      <c r="A25117" t="inlineStr">
        <is>
          <t>8011530810016</t>
        </is>
      </c>
      <c r="B25117" t="inlineStr">
        <is>
          <t>Trussardi Uomo Eau De Toilette Spray 50ml A Classic Fragrance For Men</t>
        </is>
      </c>
      <c r="C25117" t="inlineStr">
        <is>
          <t>Eau De Toilette</t>
        </is>
      </c>
      <c r="D25117" t="inlineStr">
        <is>
          <t>Trussardi</t>
        </is>
      </c>
      <c r="E25117" t="n">
        <v>25.44</v>
      </c>
      <c r="F25117" t="n">
        <v>1</v>
      </c>
      <c r="G25117" t="n">
        <v>4</v>
      </c>
      <c r="H25117" s="5">
        <f>HYPERLINK("https://api.qogita.com/variants/link/8011530810016/", "View Product")</f>
        <v/>
      </c>
    </row>
    <row r="25118">
      <c r="A25118" t="inlineStr">
        <is>
          <t>8011530820008</t>
        </is>
      </c>
      <c r="B25118" t="inlineStr">
        <is>
          <t>Trussardi Donna Trussardi 2011 Eau De Parfum 30ml Spray</t>
        </is>
      </c>
      <c r="C25118" t="inlineStr">
        <is>
          <t>Eau De Parfum</t>
        </is>
      </c>
      <c r="D25118" t="inlineStr">
        <is>
          <t>Trussardi</t>
        </is>
      </c>
      <c r="E25118" t="n">
        <v>19.52</v>
      </c>
      <c r="F25118" t="n">
        <v>1</v>
      </c>
      <c r="G25118" t="n">
        <v>8</v>
      </c>
      <c r="H25118" s="5">
        <f>HYPERLINK("https://api.qogita.com/variants/link/8011530820008/", "View Product")</f>
        <v/>
      </c>
    </row>
    <row r="25119">
      <c r="A25119" t="inlineStr">
        <is>
          <t>8011530840013</t>
        </is>
      </c>
      <c r="B25119" t="inlineStr">
        <is>
          <t>Delicate Rose by Trussardi Eau De Toilette Spray 50ml</t>
        </is>
      </c>
      <c r="C25119" t="inlineStr">
        <is>
          <t>Eau De Toilette</t>
        </is>
      </c>
      <c r="D25119" t="inlineStr">
        <is>
          <t>Trussardi</t>
        </is>
      </c>
      <c r="E25119" t="n">
        <v>29.7</v>
      </c>
      <c r="F25119" t="n">
        <v>1</v>
      </c>
      <c r="G25119" t="n">
        <v>7</v>
      </c>
      <c r="H25119" s="5">
        <f>HYPERLINK("https://api.qogita.com/variants/link/8011530840013/", "View Product")</f>
        <v/>
      </c>
    </row>
    <row r="25120">
      <c r="A25120" t="inlineStr">
        <is>
          <t>8011530850005</t>
        </is>
      </c>
      <c r="B25120" t="inlineStr">
        <is>
          <t>Trussardi My Name Eau de Parfum 30ml</t>
        </is>
      </c>
      <c r="C25120" t="inlineStr">
        <is>
          <t>Eau De Parfum</t>
        </is>
      </c>
      <c r="D25120" t="inlineStr">
        <is>
          <t>Trussardi</t>
        </is>
      </c>
      <c r="E25120" t="n">
        <v>18.82</v>
      </c>
      <c r="F25120" t="n">
        <v>1</v>
      </c>
      <c r="G25120" t="n">
        <v>11</v>
      </c>
      <c r="H25120" s="5">
        <f>HYPERLINK("https://api.qogita.com/variants/link/8011530850005/", "View Product")</f>
        <v/>
      </c>
    </row>
    <row r="25121">
      <c r="A25121" t="inlineStr">
        <is>
          <t>8011607026418</t>
        </is>
      </c>
      <c r="B25121" t="inlineStr">
        <is>
          <t>Pupa True Eyes Eye Liner Pencil - 1.4g</t>
        </is>
      </c>
      <c r="C25121" t="inlineStr">
        <is>
          <t>Eye Pencil</t>
        </is>
      </c>
      <c r="D25121" t="inlineStr">
        <is>
          <t>Pupa</t>
        </is>
      </c>
      <c r="E25121" t="n">
        <v>9.470000000000001</v>
      </c>
      <c r="F25121" t="n">
        <v>1</v>
      </c>
      <c r="G25121" t="n">
        <v>5</v>
      </c>
      <c r="H25121" s="5">
        <f>HYPERLINK("https://api.qogita.com/variants/link/8011607026418/", "View Product")</f>
        <v/>
      </c>
    </row>
    <row r="25122">
      <c r="A25122" t="inlineStr">
        <is>
          <t>8011607078295</t>
        </is>
      </c>
      <c r="B25122" t="inlineStr">
        <is>
          <t>Pupa Multiplay Eye Pencil 14 Water Green 1.2g</t>
        </is>
      </c>
      <c r="C25122" t="inlineStr">
        <is>
          <t>Eye Pencil</t>
        </is>
      </c>
      <c r="D25122" t="inlineStr">
        <is>
          <t>Pupa</t>
        </is>
      </c>
      <c r="E25122" t="n">
        <v>9.09</v>
      </c>
      <c r="F25122" t="n">
        <v>1</v>
      </c>
      <c r="G25122" t="n">
        <v>5</v>
      </c>
      <c r="H25122" s="5">
        <f>HYPERLINK("https://api.qogita.com/variants/link/8011607078295/", "View Product")</f>
        <v/>
      </c>
    </row>
    <row r="25123">
      <c r="A25123" t="inlineStr">
        <is>
          <t>8011607178315</t>
        </is>
      </c>
      <c r="B25123" t="inlineStr">
        <is>
          <t>Pupa Miss Pupa Ultra Brilliant Lipstick In Shade 203, 2.4ml</t>
        </is>
      </c>
      <c r="C25123" t="inlineStr">
        <is>
          <t>Lipstick</t>
        </is>
      </c>
      <c r="D25123" t="inlineStr">
        <is>
          <t>Pupa</t>
        </is>
      </c>
      <c r="E25123" t="n">
        <v>11.13</v>
      </c>
      <c r="F25123" t="n">
        <v>1</v>
      </c>
      <c r="G25123" t="n">
        <v>5</v>
      </c>
      <c r="H25123" s="5">
        <f>HYPERLINK("https://api.qogita.com/variants/link/8011607178315/", "View Product")</f>
        <v/>
      </c>
    </row>
    <row r="25124">
      <c r="A25124" t="inlineStr">
        <is>
          <t>8011607210138</t>
        </is>
      </c>
      <c r="B25124" t="inlineStr">
        <is>
          <t>Pupa Milano Im Lipstick 303 Flamboyant Orange 35g</t>
        </is>
      </c>
      <c r="C25124" t="inlineStr">
        <is>
          <t>Lipstick</t>
        </is>
      </c>
      <c r="D25124" t="inlineStr">
        <is>
          <t>Pupa</t>
        </is>
      </c>
      <c r="E25124" t="n">
        <v>10.09</v>
      </c>
      <c r="F25124" t="n">
        <v>1</v>
      </c>
      <c r="G25124" t="n">
        <v>2</v>
      </c>
      <c r="H25124" s="5">
        <f>HYPERLINK("https://api.qogita.com/variants/link/8011607210138/", "View Product")</f>
        <v/>
      </c>
    </row>
    <row r="25125">
      <c r="A25125" t="inlineStr">
        <is>
          <t>8011607222148</t>
        </is>
      </c>
      <c r="B25125" t="inlineStr">
        <is>
          <t>PUPA Milano Made To Last Foundation 30ml Porcelain</t>
        </is>
      </c>
      <c r="C25125" t="inlineStr">
        <is>
          <t>Foundation</t>
        </is>
      </c>
      <c r="D25125" t="inlineStr">
        <is>
          <t>Pupa</t>
        </is>
      </c>
      <c r="E25125" t="n">
        <v>16.9</v>
      </c>
      <c r="F25125" t="n">
        <v>1</v>
      </c>
      <c r="G25125" t="n">
        <v>3</v>
      </c>
      <c r="H25125" s="5">
        <f>HYPERLINK("https://api.qogita.com/variants/link/8011607222148/", "View Product")</f>
        <v/>
      </c>
    </row>
    <row r="25126">
      <c r="A25126" t="inlineStr">
        <is>
          <t>8011607238064</t>
        </is>
      </c>
      <c r="B25126" t="inlineStr">
        <is>
          <t>Pupa Vamp Compact Duo Eyeshadow 012 - 2.2g</t>
        </is>
      </c>
      <c r="C25126" t="inlineStr">
        <is>
          <t>Eyeshadow</t>
        </is>
      </c>
      <c r="D25126" t="inlineStr">
        <is>
          <t>Pupa</t>
        </is>
      </c>
      <c r="E25126" t="n">
        <v>11.44</v>
      </c>
      <c r="F25126" t="n">
        <v>1</v>
      </c>
      <c r="G25126" t="n">
        <v>4</v>
      </c>
      <c r="H25126" s="5">
        <f>HYPERLINK("https://api.qogita.com/variants/link/8011607238064/", "View Product")</f>
        <v/>
      </c>
    </row>
    <row r="25127">
      <c r="A25127" t="inlineStr">
        <is>
          <t>8011607254293</t>
        </is>
      </c>
      <c r="B25127" t="inlineStr">
        <is>
          <t>Pupa Miss Pupa Gloss Ultra Shine Gloss Instant Volume Effect Lip Gloss 305 5ml</t>
        </is>
      </c>
      <c r="C25127" t="inlineStr">
        <is>
          <t>Lip Gloss</t>
        </is>
      </c>
      <c r="D25127" t="inlineStr">
        <is>
          <t>Pupa</t>
        </is>
      </c>
      <c r="E25127" t="n">
        <v>10.51</v>
      </c>
      <c r="F25127" t="n">
        <v>1</v>
      </c>
      <c r="G25127" t="n">
        <v>3</v>
      </c>
      <c r="H25127" s="5">
        <f>HYPERLINK("https://api.qogita.com/variants/link/8011607254293/", "View Product")</f>
        <v/>
      </c>
    </row>
    <row r="25128">
      <c r="A25128" t="inlineStr">
        <is>
          <t>8011607255665</t>
        </is>
      </c>
      <c r="B25128" t="inlineStr">
        <is>
          <t>Pupa Milano Made To Last Lip Duo Liquid Lip Colour 2 X 4 Ml 006 Fire Red</t>
        </is>
      </c>
      <c r="C25128" t="inlineStr">
        <is>
          <t>Lip Sets</t>
        </is>
      </c>
      <c r="D25128" t="inlineStr">
        <is>
          <t>Pupa</t>
        </is>
      </c>
      <c r="E25128" t="n">
        <v>11.44</v>
      </c>
      <c r="F25128" t="n">
        <v>1</v>
      </c>
      <c r="G25128" t="n">
        <v>2</v>
      </c>
      <c r="H25128" s="5">
        <f>HYPERLINK("https://api.qogita.com/variants/link/8011607255665/", "View Product")</f>
        <v/>
      </c>
    </row>
    <row r="25129">
      <c r="A25129" t="inlineStr">
        <is>
          <t>8011607283804</t>
        </is>
      </c>
      <c r="B25129" t="inlineStr">
        <is>
          <t>Pupa Cover Concealer Stick 01 35 Grams</t>
        </is>
      </c>
      <c r="C25129" t="inlineStr">
        <is>
          <t>Concealer</t>
        </is>
      </c>
      <c r="D25129" t="inlineStr">
        <is>
          <t>Pupa</t>
        </is>
      </c>
      <c r="E25129" t="n">
        <v>9.81</v>
      </c>
      <c r="F25129" t="n">
        <v>1</v>
      </c>
      <c r="G25129" t="n">
        <v>3</v>
      </c>
      <c r="H25129" s="5">
        <f>HYPERLINK("https://api.qogita.com/variants/link/8011607283804/", "View Product")</f>
        <v/>
      </c>
    </row>
    <row r="25130">
      <c r="A25130" t="inlineStr">
        <is>
          <t>8011607319350</t>
        </is>
      </c>
      <c r="B25130" t="inlineStr">
        <is>
          <t>Pupa Makeup Stories Compact Eyeshadow Palette 002 Smokey Vibes - 13.3g</t>
        </is>
      </c>
      <c r="C25130" t="inlineStr">
        <is>
          <t>Eye Sets &amp; Pallets</t>
        </is>
      </c>
      <c r="D25130" t="inlineStr">
        <is>
          <t>Pupa</t>
        </is>
      </c>
      <c r="E25130" t="n">
        <v>20.3</v>
      </c>
      <c r="F25130" t="n">
        <v>1</v>
      </c>
      <c r="G25130" t="n">
        <v>5</v>
      </c>
      <c r="H25130" s="5">
        <f>HYPERLINK("https://api.qogita.com/variants/link/8011607319350/", "View Product")</f>
        <v/>
      </c>
    </row>
    <row r="25131">
      <c r="A25131" t="inlineStr">
        <is>
          <t>8011607334391</t>
        </is>
      </c>
      <c r="B25131" t="inlineStr">
        <is>
          <t>Pupa Extreme Kajal Nr. 004 Extreme Butter 980g</t>
        </is>
      </c>
      <c r="C25131" t="inlineStr">
        <is>
          <t>Eye Pencil</t>
        </is>
      </c>
      <c r="D25131" t="inlineStr">
        <is>
          <t>Pupa</t>
        </is>
      </c>
      <c r="E25131" t="n">
        <v>10.53</v>
      </c>
      <c r="F25131" t="n">
        <v>1</v>
      </c>
      <c r="G25131" t="n">
        <v>5</v>
      </c>
      <c r="H25131" s="5">
        <f>HYPERLINK("https://api.qogita.com/variants/link/8011607334391/", "View Product")</f>
        <v/>
      </c>
    </row>
    <row r="25132">
      <c r="A25132" t="inlineStr">
        <is>
          <t>8011607334407</t>
        </is>
      </c>
      <c r="B25132" t="inlineStr">
        <is>
          <t>Pupa Milano Extreme Kajal Eyeliner 16 G Extreme Peacock</t>
        </is>
      </c>
      <c r="C25132" t="inlineStr">
        <is>
          <t>Eyeliner</t>
        </is>
      </c>
      <c r="D25132" t="inlineStr">
        <is>
          <t>Pupa</t>
        </is>
      </c>
      <c r="E25132" t="n">
        <v>9.77</v>
      </c>
      <c r="F25132" t="n">
        <v>1</v>
      </c>
      <c r="G25132" t="n">
        <v>5</v>
      </c>
      <c r="H25132" s="5">
        <f>HYPERLINK("https://api.qogita.com/variants/link/8011607334407/", "View Product")</f>
        <v/>
      </c>
    </row>
    <row r="25133">
      <c r="A25133" t="inlineStr">
        <is>
          <t>8011607336746</t>
        </is>
      </c>
      <c r="B25133" t="inlineStr">
        <is>
          <t>Pupa Wonder Cover Total Coverage Concealer - 004 Warm Beige, 4.2ml</t>
        </is>
      </c>
      <c r="C25133" t="inlineStr">
        <is>
          <t>Concealer</t>
        </is>
      </c>
      <c r="D25133" t="inlineStr">
        <is>
          <t>Pupa</t>
        </is>
      </c>
      <c r="E25133" t="n">
        <v>13.1</v>
      </c>
      <c r="F25133" t="n">
        <v>1</v>
      </c>
      <c r="G25133" t="n">
        <v>2</v>
      </c>
      <c r="H25133" s="5">
        <f>HYPERLINK("https://api.qogita.com/variants/link/8011607336746/", "View Product")</f>
        <v/>
      </c>
    </row>
    <row r="25134">
      <c r="A25134" t="inlineStr">
        <is>
          <t>8011607361090</t>
        </is>
      </c>
      <c r="B25134" t="inlineStr">
        <is>
          <t>Pupa Milano Volumizing Mascara Vamp Forever 9 Ml 111 Forever Black</t>
        </is>
      </c>
      <c r="C25134" t="inlineStr">
        <is>
          <t>Mascara</t>
        </is>
      </c>
      <c r="D25134" t="inlineStr">
        <is>
          <t>Pupa</t>
        </is>
      </c>
      <c r="E25134" t="n">
        <v>9.68</v>
      </c>
      <c r="F25134" t="n">
        <v>1</v>
      </c>
      <c r="G25134" t="n">
        <v>5</v>
      </c>
      <c r="H25134" s="5">
        <f>HYPERLINK("https://api.qogita.com/variants/link/8011607361090/", "View Product")</f>
        <v/>
      </c>
    </row>
    <row r="25135">
      <c r="A25135" t="inlineStr">
        <is>
          <t>8011607362844</t>
        </is>
      </c>
      <c r="B25135" t="inlineStr">
        <is>
          <t>Pupa Glow Essence Illuminating Tonic Lotion 150ml</t>
        </is>
      </c>
      <c r="C25135" t="inlineStr">
        <is>
          <t>Facial Spray</t>
        </is>
      </c>
      <c r="D25135" t="inlineStr">
        <is>
          <t>Pupa</t>
        </is>
      </c>
      <c r="E25135" t="n">
        <v>10.17</v>
      </c>
      <c r="F25135" t="n">
        <v>1</v>
      </c>
      <c r="G25135" t="n">
        <v>2</v>
      </c>
      <c r="H25135" s="5">
        <f>HYPERLINK("https://api.qogita.com/variants/link/8011607362844/", "View Product")</f>
        <v/>
      </c>
    </row>
    <row r="25136">
      <c r="A25136" t="inlineStr">
        <is>
          <t>8011607362905</t>
        </is>
      </c>
      <c r="B25136" t="inlineStr">
        <is>
          <t>PUPA Hyalu Shots Deep Hydration Serum 30ml</t>
        </is>
      </c>
      <c r="C25136" t="inlineStr">
        <is>
          <t>Hyaluronic Acid Serum</t>
        </is>
      </c>
      <c r="D25136" t="inlineStr">
        <is>
          <t>Pupa</t>
        </is>
      </c>
      <c r="E25136" t="n">
        <v>11.91</v>
      </c>
      <c r="F25136" t="n">
        <v>1</v>
      </c>
      <c r="G25136" t="n">
        <v>5</v>
      </c>
      <c r="H25136" s="5">
        <f>HYPERLINK("https://api.qogita.com/variants/link/8011607362905/", "View Product")</f>
        <v/>
      </c>
    </row>
    <row r="25137">
      <c r="A25137" t="inlineStr">
        <is>
          <t>8011607366125</t>
        </is>
      </c>
      <c r="B25137" t="inlineStr">
        <is>
          <t>Pupa Fruit Lovers Kit 3 Bergamot</t>
        </is>
      </c>
      <c r="C25137" t="inlineStr">
        <is>
          <t>Body Makeup</t>
        </is>
      </c>
      <c r="D25137" t="inlineStr">
        <is>
          <t>Pupa</t>
        </is>
      </c>
      <c r="E25137" t="n">
        <v>19.07</v>
      </c>
      <c r="F25137" t="n">
        <v>1</v>
      </c>
      <c r="G25137" t="n">
        <v>2</v>
      </c>
      <c r="H25137" s="5">
        <f>HYPERLINK("https://api.qogita.com/variants/link/8011607366125/", "View Product")</f>
        <v/>
      </c>
    </row>
    <row r="25138">
      <c r="A25138" t="inlineStr">
        <is>
          <t>8011607368259</t>
        </is>
      </c>
      <c r="B25138" t="inlineStr">
        <is>
          <t>Pupa Milano Vamp Compact Eyeshadow 103 Hypnotic Violet 15 G Highly Pigmented Metallic Eyeshadow</t>
        </is>
      </c>
      <c r="C25138" t="inlineStr">
        <is>
          <t>Eyeshadow</t>
        </is>
      </c>
      <c r="D25138" t="inlineStr">
        <is>
          <t>Pupa</t>
        </is>
      </c>
      <c r="E25138" t="n">
        <v>10.41</v>
      </c>
      <c r="F25138" t="n">
        <v>1</v>
      </c>
      <c r="G25138" t="n">
        <v>4</v>
      </c>
      <c r="H25138" s="5">
        <f>HYPERLINK("https://api.qogita.com/variants/link/8011607368259/", "View Product")</f>
        <v/>
      </c>
    </row>
    <row r="25139">
      <c r="A25139" t="inlineStr">
        <is>
          <t>8011607368266</t>
        </is>
      </c>
      <c r="B25139" t="inlineStr">
        <is>
          <t>Pupa Milano Vamp Compact Eyeshadow 108 Frost Rose Metallic 15 G</t>
        </is>
      </c>
      <c r="C25139" t="inlineStr">
        <is>
          <t>Eyeshadow</t>
        </is>
      </c>
      <c r="D25139" t="inlineStr">
        <is>
          <t>Pupa</t>
        </is>
      </c>
      <c r="E25139" t="n">
        <v>10.41</v>
      </c>
      <c r="F25139" t="n">
        <v>1</v>
      </c>
      <c r="G25139" t="n">
        <v>4</v>
      </c>
      <c r="H25139" s="5">
        <f>HYPERLINK("https://api.qogita.com/variants/link/8011607368266/", "View Product")</f>
        <v/>
      </c>
    </row>
    <row r="25140">
      <c r="A25140" t="inlineStr">
        <is>
          <t>8011607368457</t>
        </is>
      </c>
      <c r="B25140" t="inlineStr">
        <is>
          <t>Pupa Vamp Compact Eyeshadow 107 Sugar Candy Gems 15 G</t>
        </is>
      </c>
      <c r="C25140" t="inlineStr">
        <is>
          <t>Eyeshadow</t>
        </is>
      </c>
      <c r="D25140" t="inlineStr">
        <is>
          <t>Pupa</t>
        </is>
      </c>
      <c r="E25140" t="n">
        <v>9.470000000000001</v>
      </c>
      <c r="F25140" t="n">
        <v>1</v>
      </c>
      <c r="G25140" t="n">
        <v>22</v>
      </c>
      <c r="H25140" s="5">
        <f>HYPERLINK("https://api.qogita.com/variants/link/8011607368457/", "View Product")</f>
        <v/>
      </c>
    </row>
    <row r="25141">
      <c r="A25141" t="inlineStr">
        <is>
          <t>8011607368488</t>
        </is>
      </c>
      <c r="B25141" t="inlineStr">
        <is>
          <t>Pupa Vamp Compact Eyeshadow 403 Fancy Brown 15 G</t>
        </is>
      </c>
      <c r="C25141" t="inlineStr">
        <is>
          <t>Eyeshadow</t>
        </is>
      </c>
      <c r="D25141" t="inlineStr">
        <is>
          <t>Pupa</t>
        </is>
      </c>
      <c r="E25141" t="n">
        <v>9.640000000000001</v>
      </c>
      <c r="F25141" t="n">
        <v>1</v>
      </c>
      <c r="G25141" t="n">
        <v>7</v>
      </c>
      <c r="H25141" s="5">
        <f>HYPERLINK("https://api.qogita.com/variants/link/8011607368488/", "View Product")</f>
        <v/>
      </c>
    </row>
    <row r="25142">
      <c r="A25142" t="inlineStr">
        <is>
          <t>8011607368617</t>
        </is>
      </c>
      <c r="B25142" t="inlineStr">
        <is>
          <t>Pupa Vamp Compact Eyeshadow 207 Seductive Bronze Fusion 15 G</t>
        </is>
      </c>
      <c r="C25142" t="inlineStr">
        <is>
          <t>Eyeshadow</t>
        </is>
      </c>
      <c r="D25142" t="inlineStr">
        <is>
          <t>Pupa</t>
        </is>
      </c>
      <c r="E25142" t="n">
        <v>9.16</v>
      </c>
      <c r="F25142" t="n">
        <v>1</v>
      </c>
      <c r="G25142" t="n">
        <v>10</v>
      </c>
      <c r="H25142" s="5">
        <f>HYPERLINK("https://api.qogita.com/variants/link/8011607368617/", "View Product")</f>
        <v/>
      </c>
    </row>
    <row r="25143">
      <c r="A25143" t="inlineStr">
        <is>
          <t>8011607368631</t>
        </is>
      </c>
      <c r="B25143" t="inlineStr">
        <is>
          <t>Pupa Vamp Compact Eyeshadow 408 Brown On Fire Fusion 15 G</t>
        </is>
      </c>
      <c r="C25143" t="inlineStr">
        <is>
          <t>Eyeshadow</t>
        </is>
      </c>
      <c r="D25143" t="inlineStr">
        <is>
          <t>Pupa</t>
        </is>
      </c>
      <c r="E25143" t="n">
        <v>9.029999999999999</v>
      </c>
      <c r="F25143" t="n">
        <v>1</v>
      </c>
      <c r="G25143" t="n">
        <v>5</v>
      </c>
      <c r="H25143" s="5">
        <f>HYPERLINK("https://api.qogita.com/variants/link/8011607368631/", "View Product")</f>
        <v/>
      </c>
    </row>
    <row r="25144">
      <c r="A25144" t="inlineStr">
        <is>
          <t>8011607369133</t>
        </is>
      </c>
      <c r="B25144" t="inlineStr">
        <is>
          <t>Pupa Milano Vamp Compact Eyeshadow 206 Sparkling Gold 15 G</t>
        </is>
      </c>
      <c r="C25144" t="inlineStr">
        <is>
          <t>Eyeshadow</t>
        </is>
      </c>
      <c r="D25144" t="inlineStr">
        <is>
          <t>Pupa</t>
        </is>
      </c>
      <c r="E25144" t="n">
        <v>10.57</v>
      </c>
      <c r="F25144" t="n">
        <v>1</v>
      </c>
      <c r="G25144" t="n">
        <v>7</v>
      </c>
      <c r="H25144" s="5">
        <f>HYPERLINK("https://api.qogita.com/variants/link/8011607369133/", "View Product")</f>
        <v/>
      </c>
    </row>
    <row r="25145">
      <c r="A25145" t="inlineStr">
        <is>
          <t>8011607369225</t>
        </is>
      </c>
      <c r="B25145" t="inlineStr">
        <is>
          <t>Pupa Vamp Compact Eyeshadow 300 Blackout Matt 15 G</t>
        </is>
      </c>
      <c r="C25145" t="inlineStr">
        <is>
          <t>Eyeshadow</t>
        </is>
      </c>
      <c r="D25145" t="inlineStr">
        <is>
          <t>Pupa</t>
        </is>
      </c>
      <c r="E25145" t="n">
        <v>9.720000000000001</v>
      </c>
      <c r="F25145" t="n">
        <v>1</v>
      </c>
      <c r="G25145" t="n">
        <v>5</v>
      </c>
      <c r="H25145" s="5">
        <f>HYPERLINK("https://api.qogita.com/variants/link/8011607369225/", "View Product")</f>
        <v/>
      </c>
    </row>
    <row r="25146">
      <c r="A25146" t="inlineStr">
        <is>
          <t>8011607372904</t>
        </is>
      </c>
      <c r="B25146" t="inlineStr">
        <is>
          <t>Pupa Vamp! Stylo Liner Long Lasting Mark Eyeliner - 1.1ml</t>
        </is>
      </c>
      <c r="C25146" t="inlineStr">
        <is>
          <t>Eyeliner</t>
        </is>
      </c>
      <c r="D25146" t="inlineStr">
        <is>
          <t>Pupa</t>
        </is>
      </c>
      <c r="E25146" t="n">
        <v>11.34</v>
      </c>
      <c r="F25146" t="n">
        <v>1</v>
      </c>
      <c r="G25146" t="n">
        <v>6</v>
      </c>
      <c r="H25146" s="5">
        <f>HYPERLINK("https://api.qogita.com/variants/link/8011607372904/", "View Product")</f>
        <v/>
      </c>
    </row>
    <row r="25147">
      <c r="A25147" t="inlineStr">
        <is>
          <t>8011607373055</t>
        </is>
      </c>
      <c r="B25147" t="inlineStr">
        <is>
          <t>Pupa Shine Bright Gel Body Oil 001 Gold Diamond 50ml</t>
        </is>
      </c>
      <c r="C25147" t="inlineStr">
        <is>
          <t>Body Oil</t>
        </is>
      </c>
      <c r="D25147" t="inlineStr">
        <is>
          <t>Pupa</t>
        </is>
      </c>
      <c r="E25147" t="n">
        <v>15.11</v>
      </c>
      <c r="F25147" t="n">
        <v>1</v>
      </c>
      <c r="G25147" t="n">
        <v>3</v>
      </c>
      <c r="H25147" s="5">
        <f>HYPERLINK("https://api.qogita.com/variants/link/8011607373055/", "View Product")</f>
        <v/>
      </c>
    </row>
    <row r="25148">
      <c r="A25148" t="inlineStr">
        <is>
          <t>8011607374656</t>
        </is>
      </c>
      <c r="B25148" t="inlineStr">
        <is>
          <t>Pupa Vamp Forever Mascara - 9ml</t>
        </is>
      </c>
      <c r="C25148" t="inlineStr">
        <is>
          <t>Mascara</t>
        </is>
      </c>
      <c r="D25148" t="inlineStr">
        <is>
          <t>Pupa</t>
        </is>
      </c>
      <c r="E25148" t="n">
        <v>18.42</v>
      </c>
      <c r="F25148" t="n">
        <v>1</v>
      </c>
      <c r="G25148" t="n">
        <v>4</v>
      </c>
      <c r="H25148" s="5">
        <f>HYPERLINK("https://api.qogita.com/variants/link/8011607374656/", "View Product")</f>
        <v/>
      </c>
    </row>
    <row r="25149">
      <c r="A25149" t="inlineStr">
        <is>
          <t>8011607376186</t>
        </is>
      </c>
      <c r="B25149" t="inlineStr">
        <is>
          <t>Pupa Vamp! Eyeshadow Palette 001 Natural Matt - 5.2g</t>
        </is>
      </c>
      <c r="C25149" t="inlineStr">
        <is>
          <t>Eye Sets &amp; Pallets</t>
        </is>
      </c>
      <c r="D25149" t="inlineStr">
        <is>
          <t>Pupa</t>
        </is>
      </c>
      <c r="E25149" t="n">
        <v>13.41</v>
      </c>
      <c r="F25149" t="n">
        <v>1</v>
      </c>
      <c r="G25149" t="n">
        <v>4</v>
      </c>
      <c r="H25149" s="5">
        <f>HYPERLINK("https://api.qogita.com/variants/link/8011607376186/", "View Product")</f>
        <v/>
      </c>
    </row>
    <row r="25150">
      <c r="A25150" t="inlineStr">
        <is>
          <t>8011607376612</t>
        </is>
      </c>
      <c r="B25150" t="inlineStr">
        <is>
          <t>Pupa Hair Styling Boost Moisturizing Shampoo for Normal to Dry Hair 250ml</t>
        </is>
      </c>
      <c r="C25150" t="inlineStr">
        <is>
          <t>Shampoo</t>
        </is>
      </c>
      <c r="D25150" t="inlineStr">
        <is>
          <t>Pupa</t>
        </is>
      </c>
      <c r="E25150" t="n">
        <v>8.52</v>
      </c>
      <c r="F25150" t="n">
        <v>1</v>
      </c>
      <c r="G25150" t="n">
        <v>4</v>
      </c>
      <c r="H25150" s="5">
        <f>HYPERLINK("https://api.qogita.com/variants/link/8011607376612/", "View Product")</f>
        <v/>
      </c>
    </row>
    <row r="25151">
      <c r="A25151" t="inlineStr">
        <is>
          <t>8011607377282</t>
        </is>
      </c>
      <c r="B25151" t="inlineStr">
        <is>
          <t>Pupa Milano Wonder Me Blush 4 G In Shade 002 Hug Meglow</t>
        </is>
      </c>
      <c r="C25151" t="inlineStr">
        <is>
          <t>Blush</t>
        </is>
      </c>
      <c r="D25151" t="inlineStr">
        <is>
          <t>Pupa</t>
        </is>
      </c>
      <c r="E25151" t="n">
        <v>10.78</v>
      </c>
      <c r="F25151" t="n">
        <v>1</v>
      </c>
      <c r="G25151" t="n">
        <v>5</v>
      </c>
      <c r="H25151" s="5">
        <f>HYPERLINK("https://api.qogita.com/variants/link/8011607377282/", "View Product")</f>
        <v/>
      </c>
    </row>
    <row r="25152">
      <c r="A25152" t="inlineStr">
        <is>
          <t>8011607377466</t>
        </is>
      </c>
      <c r="B25152" t="inlineStr">
        <is>
          <t>Pupa Wonder Me Natural Sculpt 8g Face Powder Contouring 002 Medium Dark Skin</t>
        </is>
      </c>
      <c r="C25152" t="inlineStr">
        <is>
          <t>Contouring</t>
        </is>
      </c>
      <c r="D25152" t="inlineStr">
        <is>
          <t>Pupa</t>
        </is>
      </c>
      <c r="E25152" t="n">
        <v>12.81</v>
      </c>
      <c r="F25152" t="n">
        <v>1</v>
      </c>
      <c r="G25152" t="n">
        <v>6</v>
      </c>
      <c r="H25152" s="5">
        <f>HYPERLINK("https://api.qogita.com/variants/link/8011607377466/", "View Product")</f>
        <v/>
      </c>
    </row>
    <row r="25153">
      <c r="A25153" t="inlineStr">
        <is>
          <t>8011607379682</t>
        </is>
      </c>
      <c r="B25153" t="inlineStr">
        <is>
          <t>Pupa Hawaiian Spa Kit - Darkova Sada Telove Pece</t>
        </is>
      </c>
      <c r="C25153" t="inlineStr">
        <is>
          <t>Body Care Sets</t>
        </is>
      </c>
      <c r="D25153" t="inlineStr">
        <is>
          <t>Pupa</t>
        </is>
      </c>
      <c r="E25153" t="n">
        <v>18.93</v>
      </c>
      <c r="F25153" t="n">
        <v>1</v>
      </c>
      <c r="G25153" t="n">
        <v>2</v>
      </c>
      <c r="H25153" s="5">
        <f>HYPERLINK("https://api.qogita.com/variants/link/8011607379682/", "View Product")</f>
        <v/>
      </c>
    </row>
    <row r="25154">
      <c r="A25154" t="inlineStr">
        <is>
          <t>8011607379989</t>
        </is>
      </c>
      <c r="B25154" t="inlineStr">
        <is>
          <t>Pupa Ocenian Spa Nourishing Concentrated Body Cream - Vyzivujici Telovy Krem</t>
        </is>
      </c>
      <c r="C25154" t="inlineStr">
        <is>
          <t>Body Lotion</t>
        </is>
      </c>
      <c r="D25154" t="inlineStr">
        <is>
          <t>Pupa Milano</t>
        </is>
      </c>
      <c r="E25154" t="n">
        <v>9.94</v>
      </c>
      <c r="F25154" t="n">
        <v>1</v>
      </c>
      <c r="G25154" t="n">
        <v>21</v>
      </c>
      <c r="H25154" s="5">
        <f>HYPERLINK("https://api.qogita.com/variants/link/8011607379989/", "View Product")</f>
        <v/>
      </c>
    </row>
    <row r="25155">
      <c r="A25155" t="inlineStr">
        <is>
          <t>8011607391493</t>
        </is>
      </c>
      <c r="B25155" t="inlineStr">
        <is>
          <t>Pupa Milano Vamp Gift Set Sexy Lashes - Perfect For Enhancing Your Eye Makeup</t>
        </is>
      </c>
      <c r="C25155" t="inlineStr">
        <is>
          <t>Eye Sets &amp; Pallets</t>
        </is>
      </c>
      <c r="D25155" t="inlineStr">
        <is>
          <t>Pupa</t>
        </is>
      </c>
      <c r="E25155" t="n">
        <v>18</v>
      </c>
      <c r="F25155" t="n">
        <v>1</v>
      </c>
      <c r="G25155" t="n">
        <v>5</v>
      </c>
      <c r="H25155" s="5">
        <f>HYPERLINK("https://api.qogita.com/variants/link/8011607391493/", "View Product")</f>
        <v/>
      </c>
    </row>
    <row r="25156">
      <c r="A25156" t="inlineStr">
        <is>
          <t>8011607391721</t>
        </is>
      </c>
      <c r="B25156" t="inlineStr">
        <is>
          <t>Pupa Milano Gift Set With Two-Phase Makeup Remover Vamp Mascara</t>
        </is>
      </c>
      <c r="C25156" t="inlineStr">
        <is>
          <t>Eye Makeup Remover</t>
        </is>
      </c>
      <c r="D25156" t="inlineStr">
        <is>
          <t>Pupa</t>
        </is>
      </c>
      <c r="E25156" t="n">
        <v>18.67</v>
      </c>
      <c r="F25156" t="n">
        <v>1</v>
      </c>
      <c r="G25156" t="n">
        <v>3</v>
      </c>
      <c r="H25156" s="5">
        <f>HYPERLINK("https://api.qogita.com/variants/link/8011607391721/", "View Product")</f>
        <v/>
      </c>
    </row>
    <row r="25157">
      <c r="A25157" t="inlineStr">
        <is>
          <t>8011607393343</t>
        </is>
      </c>
      <c r="B25157" t="inlineStr">
        <is>
          <t>Pupa Milano Peach Paradise Happy Box Scented Water 100 Ml</t>
        </is>
      </c>
      <c r="C25157" t="inlineStr">
        <is>
          <t>Eau De Toilette</t>
        </is>
      </c>
      <c r="D25157" t="inlineStr">
        <is>
          <t>Pupa</t>
        </is>
      </c>
      <c r="E25157" t="n">
        <v>9.27</v>
      </c>
      <c r="F25157" t="n">
        <v>1</v>
      </c>
      <c r="G25157" t="n">
        <v>5</v>
      </c>
      <c r="H25157" s="5">
        <f>HYPERLINK("https://api.qogita.com/variants/link/8011607393343/", "View Product")</f>
        <v/>
      </c>
    </row>
    <row r="25158">
      <c r="A25158" t="inlineStr">
        <is>
          <t>8011607393442</t>
        </is>
      </c>
      <c r="B25158" t="inlineStr">
        <is>
          <t>Pupa Milano Vanilla Groove Happy Box Shower Gel 200 Ml</t>
        </is>
      </c>
      <c r="C25158" t="inlineStr">
        <is>
          <t>Shower Gel</t>
        </is>
      </c>
      <c r="D25158" t="inlineStr">
        <is>
          <t>Pupa</t>
        </is>
      </c>
      <c r="E25158" t="n">
        <v>10.37</v>
      </c>
      <c r="F25158" t="n">
        <v>1</v>
      </c>
      <c r="G25158" t="n">
        <v>3</v>
      </c>
      <c r="H25158" s="5">
        <f>HYPERLINK("https://api.qogita.com/variants/link/8011607393442/", "View Product")</f>
        <v/>
      </c>
    </row>
    <row r="25159">
      <c r="A25159" t="inlineStr">
        <is>
          <t>8011607393466</t>
        </is>
      </c>
      <c r="B25159" t="inlineStr">
        <is>
          <t>Pupa Milano Peach Paradise Happy Box Body Lotion 200 Ml</t>
        </is>
      </c>
      <c r="C25159" t="inlineStr">
        <is>
          <t>Body Lotion</t>
        </is>
      </c>
      <c r="D25159" t="inlineStr">
        <is>
          <t>Pupa</t>
        </is>
      </c>
      <c r="E25159" t="n">
        <v>9.630000000000001</v>
      </c>
      <c r="F25159" t="n">
        <v>1</v>
      </c>
      <c r="G25159" t="n">
        <v>19</v>
      </c>
      <c r="H25159" s="5">
        <f>HYPERLINK("https://api.qogita.com/variants/link/8011607393466/", "View Product")</f>
        <v/>
      </c>
    </row>
    <row r="25160">
      <c r="A25160" t="inlineStr">
        <is>
          <t>8011607393572</t>
        </is>
      </c>
      <c r="B25160" t="inlineStr">
        <is>
          <t>Pupa Milano Vanilla Groove Happy Box Kit Gift Set 1</t>
        </is>
      </c>
      <c r="C25160" t="inlineStr">
        <is>
          <t>Complexion Sets &amp; Pallets</t>
        </is>
      </c>
      <c r="D25160" t="inlineStr">
        <is>
          <t>Pupa</t>
        </is>
      </c>
      <c r="E25160" t="n">
        <v>16.31</v>
      </c>
      <c r="F25160" t="n">
        <v>1</v>
      </c>
      <c r="G25160" t="n">
        <v>3</v>
      </c>
      <c r="H25160" s="5">
        <f>HYPERLINK("https://api.qogita.com/variants/link/8011607393572/", "View Product")</f>
        <v/>
      </c>
    </row>
    <row r="25161">
      <c r="A25161" t="inlineStr">
        <is>
          <t>8011607393602</t>
        </is>
      </c>
      <c r="B25161" t="inlineStr">
        <is>
          <t>Pupa Milano Flower Dream Happy Box Kit Gift Set 2</t>
        </is>
      </c>
      <c r="C25161" t="inlineStr">
        <is>
          <t>Complexion Sets &amp; Pallets</t>
        </is>
      </c>
      <c r="D25161" t="inlineStr">
        <is>
          <t>Pupa</t>
        </is>
      </c>
      <c r="E25161" t="n">
        <v>17.73</v>
      </c>
      <c r="F25161" t="n">
        <v>1</v>
      </c>
      <c r="G25161" t="n">
        <v>4</v>
      </c>
      <c r="H25161" s="5">
        <f>HYPERLINK("https://api.qogita.com/variants/link/8011607393602/", "View Product")</f>
        <v/>
      </c>
    </row>
    <row r="25162">
      <c r="A25162" t="inlineStr">
        <is>
          <t>8011607393657</t>
        </is>
      </c>
      <c r="B25162" t="inlineStr">
        <is>
          <t>Pupa Happy Box Kit Flower Dream Flower Power Shower Gel 200ml + 200ml</t>
        </is>
      </c>
      <c r="C25162" t="inlineStr">
        <is>
          <t>Shower Gel</t>
        </is>
      </c>
      <c r="D25162" t="inlineStr">
        <is>
          <t>Pupa</t>
        </is>
      </c>
      <c r="E25162" t="n">
        <v>15.49</v>
      </c>
      <c r="F25162" t="n">
        <v>1</v>
      </c>
      <c r="G25162" t="n">
        <v>5</v>
      </c>
      <c r="H25162" s="5">
        <f>HYPERLINK("https://api.qogita.com/variants/link/8011607393657/", "View Product")</f>
        <v/>
      </c>
    </row>
    <row r="25163">
      <c r="A25163" t="inlineStr">
        <is>
          <t>8011607393787</t>
        </is>
      </c>
      <c r="B25163" t="inlineStr">
        <is>
          <t>Pupa Milano Daisy Field Let's Bloom Shower Gel - 200 Ml</t>
        </is>
      </c>
      <c r="C25163" t="inlineStr">
        <is>
          <t>Shower Gel</t>
        </is>
      </c>
      <c r="D25163" t="inlineStr">
        <is>
          <t>Pupa</t>
        </is>
      </c>
      <c r="E25163" t="n">
        <v>9.34</v>
      </c>
      <c r="F25163" t="n">
        <v>1</v>
      </c>
      <c r="G25163" t="n">
        <v>5</v>
      </c>
      <c r="H25163" s="5">
        <f>HYPERLINK("https://api.qogita.com/variants/link/8011607393787/", "View Product")</f>
        <v/>
      </c>
    </row>
    <row r="25164">
      <c r="A25164" t="inlineStr">
        <is>
          <t>8011607393817</t>
        </is>
      </c>
      <c r="B25164" t="inlineStr">
        <is>
          <t>Pupa Milano Shower Gel With Bag Wild Flowers Let's Bloom - 200 Ml</t>
        </is>
      </c>
      <c r="C25164" t="inlineStr">
        <is>
          <t>Shower Gel</t>
        </is>
      </c>
      <c r="D25164" t="inlineStr">
        <is>
          <t>Pupa</t>
        </is>
      </c>
      <c r="E25164" t="n">
        <v>9.34</v>
      </c>
      <c r="F25164" t="n">
        <v>1</v>
      </c>
      <c r="G25164" t="n">
        <v>11</v>
      </c>
      <c r="H25164" s="5">
        <f>HYPERLINK("https://api.qogita.com/variants/link/8011607393817/", "View Product")</f>
        <v/>
      </c>
    </row>
    <row r="25165">
      <c r="A25165" t="inlineStr">
        <is>
          <t>8011607395347</t>
        </is>
      </c>
      <c r="B25165" t="inlineStr">
        <is>
          <t>Pupa Milano True Queen Eyeshadow Palette - 5.2 G</t>
        </is>
      </c>
      <c r="C25165" t="inlineStr">
        <is>
          <t>Eye Sets &amp; Pallets</t>
        </is>
      </c>
      <c r="D25165" t="inlineStr">
        <is>
          <t>Pupa</t>
        </is>
      </c>
      <c r="E25165" t="n">
        <v>15.65</v>
      </c>
      <c r="F25165" t="n">
        <v>1</v>
      </c>
      <c r="G25165" t="n">
        <v>2</v>
      </c>
      <c r="H25165" s="5">
        <f>HYPERLINK("https://api.qogita.com/variants/link/8011607395347/", "View Product")</f>
        <v/>
      </c>
    </row>
    <row r="25166">
      <c r="A25166" t="inlineStr">
        <is>
          <t>8011607396146</t>
        </is>
      </c>
      <c r="B25166" t="inlineStr">
        <is>
          <t>Pupa Pupart S Burgundy - A Stylish Makeup Palette</t>
        </is>
      </c>
      <c r="C25166" t="inlineStr">
        <is>
          <t>Eye Sets &amp; Pallets</t>
        </is>
      </c>
      <c r="D25166" t="inlineStr">
        <is>
          <t>Pupa</t>
        </is>
      </c>
      <c r="E25166" t="n">
        <v>14.42</v>
      </c>
      <c r="F25166" t="n">
        <v>1</v>
      </c>
      <c r="G25166" t="n">
        <v>10</v>
      </c>
      <c r="H25166" s="5">
        <f>HYPERLINK("https://api.qogita.com/variants/link/8011607396146/", "View Product")</f>
        <v/>
      </c>
    </row>
    <row r="25167">
      <c r="A25167" t="inlineStr">
        <is>
          <t>8011889621028</t>
        </is>
      </c>
      <c r="B25167" t="inlineStr">
        <is>
          <t>John Richmond JR for Woman Eau de Parfum 100ml</t>
        </is>
      </c>
      <c r="C25167" t="inlineStr">
        <is>
          <t>Eau De Parfum</t>
        </is>
      </c>
      <c r="D25167" t="inlineStr">
        <is>
          <t>John Richmond</t>
        </is>
      </c>
      <c r="E25167" t="n">
        <v>29.39</v>
      </c>
      <c r="F25167" t="n">
        <v>1</v>
      </c>
      <c r="G25167" t="n">
        <v>13</v>
      </c>
      <c r="H25167" s="5">
        <f>HYPERLINK("https://api.qogita.com/variants/link/8011889621028/", "View Product")</f>
        <v/>
      </c>
    </row>
    <row r="25168">
      <c r="A25168" t="inlineStr">
        <is>
          <t>8011889623015</t>
        </is>
      </c>
      <c r="B25168" t="inlineStr">
        <is>
          <t>John Richmond Black Metal Woman Eau De Parfum for Women - Floral and Sensual</t>
        </is>
      </c>
      <c r="C25168" t="inlineStr">
        <is>
          <t>Eau De Parfum</t>
        </is>
      </c>
      <c r="D25168" t="inlineStr">
        <is>
          <t>John Richmond</t>
        </is>
      </c>
      <c r="E25168" t="n">
        <v>15.58</v>
      </c>
      <c r="F25168" t="n">
        <v>1</v>
      </c>
      <c r="G25168" t="n">
        <v>5</v>
      </c>
      <c r="H25168" s="5">
        <f>HYPERLINK("https://api.qogita.com/variants/link/8011889623015/", "View Product")</f>
        <v/>
      </c>
    </row>
    <row r="25169">
      <c r="A25169" t="inlineStr">
        <is>
          <t>8011889624029</t>
        </is>
      </c>
      <c r="B25169" t="inlineStr">
        <is>
          <t>John Richmond Unknown Pleasures Mysterious Wood Eau de Parfum Unisex Emotional Rational Intuitive Tangible and Intense 100ml</t>
        </is>
      </c>
      <c r="C25169" t="inlineStr">
        <is>
          <t>Eau De Parfum</t>
        </is>
      </c>
      <c r="D25169" t="inlineStr">
        <is>
          <t>John Richmond</t>
        </is>
      </c>
      <c r="E25169" t="n">
        <v>34.45</v>
      </c>
      <c r="F25169" t="n">
        <v>1</v>
      </c>
      <c r="G25169" t="n">
        <v>5</v>
      </c>
      <c r="H25169" s="5">
        <f>HYPERLINK("https://api.qogita.com/variants/link/8011889624029/", "View Product")</f>
        <v/>
      </c>
    </row>
    <row r="25170">
      <c r="A25170" t="inlineStr">
        <is>
          <t>8015150000413</t>
        </is>
      </c>
      <c r="B25170" t="inlineStr">
        <is>
          <t>Collistar Antiage Mattifying Cream Gel 50ml Mattifying Cream Gel With Antiage Effect</t>
        </is>
      </c>
      <c r="C25170" t="inlineStr">
        <is>
          <t>Anti-Aging Facial Care</t>
        </is>
      </c>
      <c r="D25170" t="inlineStr">
        <is>
          <t>Collistar</t>
        </is>
      </c>
      <c r="E25170" t="n">
        <v>22.95</v>
      </c>
      <c r="F25170" t="n">
        <v>1</v>
      </c>
      <c r="G25170" t="n">
        <v>9</v>
      </c>
      <c r="H25170" s="5">
        <f>HYPERLINK("https://api.qogita.com/variants/link/8015150000413/", "View Product")</f>
        <v/>
      </c>
    </row>
    <row r="25171">
      <c r="A25171" t="inlineStr">
        <is>
          <t>8015150000536</t>
        </is>
      </c>
      <c r="B25171" t="inlineStr">
        <is>
          <t>Collistar Super Concentrate Elasticizing Even Finish Day And Night Body Serum 200ml</t>
        </is>
      </c>
      <c r="C25171" t="inlineStr">
        <is>
          <t>Body Lotion</t>
        </is>
      </c>
      <c r="D25171" t="inlineStr">
        <is>
          <t>Collistar</t>
        </is>
      </c>
      <c r="E25171" t="n">
        <v>24.14</v>
      </c>
      <c r="F25171" t="n">
        <v>1</v>
      </c>
      <c r="G25171" t="n">
        <v>11</v>
      </c>
      <c r="H25171" s="5">
        <f>HYPERLINK("https://api.qogita.com/variants/link/8015150000536/", "View Product")</f>
        <v/>
      </c>
    </row>
    <row r="25172">
      <c r="A25172" t="inlineStr">
        <is>
          <t>8015150001328</t>
        </is>
      </c>
      <c r="B25172" t="inlineStr">
        <is>
          <t>Collistar Magic Drops Glow Highlighting Body Concentrate 125ml</t>
        </is>
      </c>
      <c r="C25172" t="inlineStr">
        <is>
          <t>Body Lotion</t>
        </is>
      </c>
      <c r="D25172" t="inlineStr">
        <is>
          <t>Collistar</t>
        </is>
      </c>
      <c r="E25172" t="n">
        <v>23.34</v>
      </c>
      <c r="F25172" t="n">
        <v>1</v>
      </c>
      <c r="G25172" t="n">
        <v>10</v>
      </c>
      <c r="H25172" s="5">
        <f>HYPERLINK("https://api.qogita.com/variants/link/8015150001328/", "View Product")</f>
        <v/>
      </c>
    </row>
    <row r="25173">
      <c r="A25173" t="inlineStr">
        <is>
          <t>8015150001366</t>
        </is>
      </c>
      <c r="B25173" t="inlineStr">
        <is>
          <t>Collistar 24 Hours Deodorant Roll-On</t>
        </is>
      </c>
      <c r="C25173" t="inlineStr">
        <is>
          <t>Deodorant &amp; Anti-Perspirant</t>
        </is>
      </c>
      <c r="D25173" t="inlineStr">
        <is>
          <t>Collistar</t>
        </is>
      </c>
      <c r="E25173" t="n">
        <v>9.869999999999999</v>
      </c>
      <c r="F25173" t="n">
        <v>1</v>
      </c>
      <c r="G25173" t="n">
        <v>6</v>
      </c>
      <c r="H25173" s="5">
        <f>HYPERLINK("https://api.qogita.com/variants/link/8015150001366/", "View Product")</f>
        <v/>
      </c>
    </row>
    <row r="25174">
      <c r="A25174" t="inlineStr">
        <is>
          <t>8015150001892</t>
        </is>
      </c>
      <c r="B25174" t="inlineStr">
        <is>
          <t>Collistar Lift Hd Set 3 Pieces - Premium Skincare Set</t>
        </is>
      </c>
      <c r="C25174" t="inlineStr">
        <is>
          <t>Facial Care Sets</t>
        </is>
      </c>
      <c r="D25174" t="inlineStr">
        <is>
          <t>Collistar</t>
        </is>
      </c>
      <c r="E25174" t="n">
        <v>38.19</v>
      </c>
      <c r="F25174" t="n">
        <v>1</v>
      </c>
      <c r="G25174" t="n">
        <v>7</v>
      </c>
      <c r="H25174" s="5">
        <f>HYPERLINK("https://api.qogita.com/variants/link/8015150001892/", "View Product")</f>
        <v/>
      </c>
    </row>
    <row r="25175">
      <c r="A25175" t="inlineStr">
        <is>
          <t>8015150002387</t>
        </is>
      </c>
      <c r="B25175" t="inlineStr">
        <is>
          <t>Collistar Benessere Neroli And Helichrysum Shower Gel Mousse 200ml</t>
        </is>
      </c>
      <c r="C25175" t="inlineStr">
        <is>
          <t>Shower Foam</t>
        </is>
      </c>
      <c r="D25175" t="inlineStr">
        <is>
          <t>Collistar</t>
        </is>
      </c>
      <c r="E25175" t="n">
        <v>10.67</v>
      </c>
      <c r="F25175" t="n">
        <v>1</v>
      </c>
      <c r="G25175" t="n">
        <v>4</v>
      </c>
      <c r="H25175" s="5">
        <f>HYPERLINK("https://api.qogita.com/variants/link/8015150002387/", "View Product")</f>
        <v/>
      </c>
    </row>
    <row r="25176">
      <c r="A25176" t="inlineStr">
        <is>
          <t>8015150002424</t>
        </is>
      </c>
      <c r="B25176" t="inlineStr">
        <is>
          <t>Collistar Benessere Fig And Wisteria Cream Shower Milk 250ml</t>
        </is>
      </c>
      <c r="C25176" t="inlineStr">
        <is>
          <t>Shower Gel</t>
        </is>
      </c>
      <c r="D25176" t="inlineStr">
        <is>
          <t>Collistar</t>
        </is>
      </c>
      <c r="E25176" t="n">
        <v>10.67</v>
      </c>
      <c r="F25176" t="n">
        <v>1</v>
      </c>
      <c r="G25176" t="n">
        <v>5</v>
      </c>
      <c r="H25176" s="5">
        <f>HYPERLINK("https://api.qogita.com/variants/link/8015150002424/", "View Product")</f>
        <v/>
      </c>
    </row>
    <row r="25177">
      <c r="A25177" t="inlineStr">
        <is>
          <t>8015150003766</t>
        </is>
      </c>
      <c r="B25177" t="inlineStr">
        <is>
          <t>Collistar Not Ordinary Treatment - Glow Vibes N 01 Morning Light 15 Ml</t>
        </is>
      </c>
      <c r="C25177" t="inlineStr">
        <is>
          <t>Glow Serum</t>
        </is>
      </c>
      <c r="D25177" t="inlineStr">
        <is>
          <t>Collistar</t>
        </is>
      </c>
      <c r="E25177" t="n">
        <v>15.02</v>
      </c>
      <c r="F25177" t="n">
        <v>1</v>
      </c>
      <c r="G25177" t="n">
        <v>22</v>
      </c>
      <c r="H25177" s="5">
        <f>HYPERLINK("https://api.qogita.com/variants/link/8015150003766/", "View Product")</f>
        <v/>
      </c>
    </row>
    <row r="25178">
      <c r="A25178" t="inlineStr">
        <is>
          <t>8015150003780</t>
        </is>
      </c>
      <c r="B25178" t="inlineStr">
        <is>
          <t>Collistar Not Ordinary Treatment Blush Vibes 01 Pink Lemonade - A Vibrant Blush For A Fresh Look</t>
        </is>
      </c>
      <c r="C25178" t="inlineStr">
        <is>
          <t>Blush</t>
        </is>
      </c>
      <c r="D25178" t="inlineStr">
        <is>
          <t>Collistar</t>
        </is>
      </c>
      <c r="E25178" t="n">
        <v>29.49</v>
      </c>
      <c r="F25178" t="n">
        <v>1</v>
      </c>
      <c r="G25178" t="n">
        <v>3</v>
      </c>
      <c r="H25178" s="5">
        <f>HYPERLINK("https://api.qogita.com/variants/link/8015150003780/", "View Product")</f>
        <v/>
      </c>
    </row>
    <row r="25179">
      <c r="A25179" t="inlineStr">
        <is>
          <t>8015150003803</t>
        </is>
      </c>
      <c r="B25179" t="inlineStr">
        <is>
          <t>Collistar Collistar Not Blush Vibes Fluid Blush 03-Orange Spritz 15ml</t>
        </is>
      </c>
      <c r="C25179" t="inlineStr">
        <is>
          <t>Blush</t>
        </is>
      </c>
      <c r="D25179" t="inlineStr">
        <is>
          <t>Collistar</t>
        </is>
      </c>
      <c r="E25179" t="n">
        <v>29.49</v>
      </c>
      <c r="F25179" t="n">
        <v>1</v>
      </c>
      <c r="G25179" t="n">
        <v>5</v>
      </c>
      <c r="H25179" s="5">
        <f>HYPERLINK("https://api.qogita.com/variants/link/8015150003803/", "View Product")</f>
        <v/>
      </c>
    </row>
    <row r="25180">
      <c r="A25180" t="inlineStr">
        <is>
          <t>8015150004534</t>
        </is>
      </c>
      <c r="B25180" t="inlineStr">
        <is>
          <t>Collistar Lift Hd Sculpt Lifting And Reshaping Cream 50 Ml</t>
        </is>
      </c>
      <c r="C25180" t="inlineStr">
        <is>
          <t>Anti-Aging Facial Care</t>
        </is>
      </c>
      <c r="D25180" t="inlineStr">
        <is>
          <t>Collistar</t>
        </is>
      </c>
      <c r="E25180" t="n">
        <v>29.18</v>
      </c>
      <c r="F25180" t="n">
        <v>1</v>
      </c>
      <c r="G25180" t="n">
        <v>3</v>
      </c>
      <c r="H25180" s="5">
        <f>HYPERLINK("https://api.qogita.com/variants/link/8015150004534/", "View Product")</f>
        <v/>
      </c>
    </row>
    <row r="25181">
      <c r="A25181" t="inlineStr">
        <is>
          <t>8015150004657</t>
        </is>
      </c>
      <c r="B25181" t="inlineStr">
        <is>
          <t>Collistar Impeccable Set Ultra Black Mascara Base Mascara</t>
        </is>
      </c>
      <c r="C25181" t="inlineStr">
        <is>
          <t>Mascara</t>
        </is>
      </c>
      <c r="D25181" t="inlineStr">
        <is>
          <t>Collistar</t>
        </is>
      </c>
      <c r="E25181" t="n">
        <v>23.59</v>
      </c>
      <c r="F25181" t="n">
        <v>1</v>
      </c>
      <c r="G25181" t="n">
        <v>10</v>
      </c>
      <c r="H25181" s="5">
        <f>HYPERLINK("https://api.qogita.com/variants/link/8015150004657/", "View Product")</f>
        <v/>
      </c>
    </row>
    <row r="25182">
      <c r="A25182" t="inlineStr">
        <is>
          <t>8015150005685</t>
        </is>
      </c>
      <c r="B25182" t="inlineStr">
        <is>
          <t>Collistar Anticellulite Beautifying Cryo-Gel Body Gel Against Cellulite And Stretch Marks - 400 Ml</t>
        </is>
      </c>
      <c r="C25182" t="inlineStr">
        <is>
          <t>Anti-Cellulite</t>
        </is>
      </c>
      <c r="D25182" t="inlineStr">
        <is>
          <t>Collistar</t>
        </is>
      </c>
      <c r="E25182" t="n">
        <v>31.46</v>
      </c>
      <c r="F25182" t="n">
        <v>1</v>
      </c>
      <c r="G25182" t="n">
        <v>4</v>
      </c>
      <c r="H25182" s="5">
        <f>HYPERLINK("https://api.qogita.com/variants/link/8015150005685/", "View Product")</f>
        <v/>
      </c>
    </row>
    <row r="25183">
      <c r="A25183" t="inlineStr">
        <is>
          <t>8015150120371</t>
        </is>
      </c>
      <c r="B25183" t="inlineStr">
        <is>
          <t>Collistar Puro Rossetto Matte Lipstick 35 Ml</t>
        </is>
      </c>
      <c r="C25183" t="inlineStr">
        <is>
          <t>Lipstick</t>
        </is>
      </c>
      <c r="D25183" t="inlineStr">
        <is>
          <t>Collistar</t>
        </is>
      </c>
      <c r="E25183" t="n">
        <v>12.92</v>
      </c>
      <c r="F25183" t="n">
        <v>1</v>
      </c>
      <c r="G25183" t="n">
        <v>2</v>
      </c>
      <c r="H25183" s="5">
        <f>HYPERLINK("https://api.qogita.com/variants/link/8015150120371/", "View Product")</f>
        <v/>
      </c>
    </row>
    <row r="25184">
      <c r="A25184" t="inlineStr">
        <is>
          <t>8015150130059</t>
        </is>
      </c>
      <c r="B25184" t="inlineStr">
        <is>
          <t>Collistar Impeccabile Concealer Stick 24h 4ml 4 Sand Longlasting Corrector</t>
        </is>
      </c>
      <c r="C25184" t="inlineStr">
        <is>
          <t>Concealer</t>
        </is>
      </c>
      <c r="D25184" t="inlineStr">
        <is>
          <t>Collistar</t>
        </is>
      </c>
      <c r="E25184" t="n">
        <v>14.7</v>
      </c>
      <c r="F25184" t="n">
        <v>1</v>
      </c>
      <c r="G25184" t="n">
        <v>2</v>
      </c>
      <c r="H25184" s="5">
        <f>HYPERLINK("https://api.qogita.com/variants/link/8015150130059/", "View Product")</f>
        <v/>
      </c>
    </row>
    <row r="25185">
      <c r="A25185" t="inlineStr">
        <is>
          <t>8015150180016</t>
        </is>
      </c>
      <c r="B25185" t="inlineStr">
        <is>
          <t>Collistar Impeccable Compact Eye Shadow 110 Cinnamon 2g</t>
        </is>
      </c>
      <c r="C25185" t="inlineStr">
        <is>
          <t>Eyeshadow</t>
        </is>
      </c>
      <c r="D25185" t="inlineStr">
        <is>
          <t>Collistar</t>
        </is>
      </c>
      <c r="E25185" t="n">
        <v>12.32</v>
      </c>
      <c r="F25185" t="n">
        <v>1</v>
      </c>
      <c r="G25185" t="n">
        <v>3</v>
      </c>
      <c r="H25185" s="5">
        <f>HYPERLINK("https://api.qogita.com/variants/link/8015150180016/", "View Product")</f>
        <v/>
      </c>
    </row>
    <row r="25186">
      <c r="A25186" t="inlineStr">
        <is>
          <t>8015150180221</t>
        </is>
      </c>
      <c r="B25186" t="inlineStr">
        <is>
          <t>Collistar Impeccable Compact Eye Shadow 220 Honey 2g</t>
        </is>
      </c>
      <c r="C25186" t="inlineStr">
        <is>
          <t>Eyeshadow</t>
        </is>
      </c>
      <c r="D25186" t="inlineStr">
        <is>
          <t>Collistar</t>
        </is>
      </c>
      <c r="E25186" t="n">
        <v>12.6</v>
      </c>
      <c r="F25186" t="n">
        <v>1</v>
      </c>
      <c r="G25186" t="n">
        <v>3</v>
      </c>
      <c r="H25186" s="5">
        <f>HYPERLINK("https://api.qogita.com/variants/link/8015150180221/", "View Product")</f>
        <v/>
      </c>
    </row>
    <row r="25187">
      <c r="A25187" t="inlineStr">
        <is>
          <t>8015150189057</t>
        </is>
      </c>
      <c r="B25187" t="inlineStr">
        <is>
          <t>Collistar Not Ordinary Butter Mask Lip Mask 10ml</t>
        </is>
      </c>
      <c r="C25187" t="inlineStr">
        <is>
          <t>Lip Mask</t>
        </is>
      </c>
      <c r="D25187" t="inlineStr">
        <is>
          <t>Collistar</t>
        </is>
      </c>
      <c r="E25187" t="n">
        <v>14.13</v>
      </c>
      <c r="F25187" t="n">
        <v>1</v>
      </c>
      <c r="G25187" t="n">
        <v>7</v>
      </c>
      <c r="H25187" s="5">
        <f>HYPERLINK("https://api.qogita.com/variants/link/8015150189057/", "View Product")</f>
        <v/>
      </c>
    </row>
    <row r="25188">
      <c r="A25188" t="inlineStr">
        <is>
          <t>8015150218344</t>
        </is>
      </c>
      <c r="B25188" t="inlineStr">
        <is>
          <t>Collistar Hyaluronic Acid Molecular Spray - 100ml</t>
        </is>
      </c>
      <c r="C25188" t="inlineStr">
        <is>
          <t>Hyaluronic Acid Serum</t>
        </is>
      </c>
      <c r="D25188" t="inlineStr">
        <is>
          <t>Collistar</t>
        </is>
      </c>
      <c r="E25188" t="n">
        <v>12.1</v>
      </c>
      <c r="F25188" t="n">
        <v>1</v>
      </c>
      <c r="G25188" t="n">
        <v>6</v>
      </c>
      <c r="H25188" s="5">
        <f>HYPERLINK("https://api.qogita.com/variants/link/8015150218344/", "View Product")</f>
        <v/>
      </c>
    </row>
    <row r="25189">
      <c r="A25189" t="inlineStr">
        <is>
          <t>8015150219266</t>
        </is>
      </c>
      <c r="B25189" t="inlineStr">
        <is>
          <t>Collistar Face Care Make-Up Removing Cleansing Balm - 100ml</t>
        </is>
      </c>
      <c r="C25189" t="inlineStr">
        <is>
          <t>Makeup Remover</t>
        </is>
      </c>
      <c r="D25189" t="inlineStr">
        <is>
          <t>Collistar</t>
        </is>
      </c>
      <c r="E25189" t="n">
        <v>11.94</v>
      </c>
      <c r="F25189" t="n">
        <v>1</v>
      </c>
      <c r="G25189" t="n">
        <v>11</v>
      </c>
      <c r="H25189" s="5">
        <f>HYPERLINK("https://api.qogita.com/variants/link/8015150219266/", "View Product")</f>
        <v/>
      </c>
    </row>
    <row r="25190">
      <c r="A25190" t="inlineStr">
        <is>
          <t>8015150219327</t>
        </is>
      </c>
      <c r="B25190" t="inlineStr">
        <is>
          <t>Collistar Purifying Cleansing Gel 200ml</t>
        </is>
      </c>
      <c r="C25190" t="inlineStr">
        <is>
          <t>Cleansing Gel</t>
        </is>
      </c>
      <c r="D25190" t="inlineStr">
        <is>
          <t>Collistar</t>
        </is>
      </c>
      <c r="E25190" t="n">
        <v>12.2</v>
      </c>
      <c r="F25190" t="n">
        <v>1</v>
      </c>
      <c r="G25190" t="n">
        <v>5</v>
      </c>
      <c r="H25190" s="5">
        <f>HYPERLINK("https://api.qogita.com/variants/link/8015150219327/", "View Product")</f>
        <v/>
      </c>
    </row>
    <row r="25191">
      <c r="A25191" t="inlineStr">
        <is>
          <t>8015150219334</t>
        </is>
      </c>
      <c r="B25191" t="inlineStr">
        <is>
          <t>Collistar Antiage Cleansing Milk 250 Ml</t>
        </is>
      </c>
      <c r="C25191" t="inlineStr">
        <is>
          <t>Cleansing Milk</t>
        </is>
      </c>
      <c r="D25191" t="inlineStr">
        <is>
          <t>Collistar</t>
        </is>
      </c>
      <c r="E25191" t="n">
        <v>13.2</v>
      </c>
      <c r="F25191" t="n">
        <v>1</v>
      </c>
      <c r="G25191" t="n">
        <v>5</v>
      </c>
      <c r="H25191" s="5">
        <f>HYPERLINK("https://api.qogita.com/variants/link/8015150219334/", "View Product")</f>
        <v/>
      </c>
    </row>
    <row r="25192">
      <c r="A25192" t="inlineStr">
        <is>
          <t>8015150247238</t>
        </is>
      </c>
      <c r="B25192" t="inlineStr">
        <is>
          <t>Collistar Lift Hd Ultralifting Eye And Lip Contour Cream 15 Ml</t>
        </is>
      </c>
      <c r="C25192" t="inlineStr">
        <is>
          <t>Eye Cream</t>
        </is>
      </c>
      <c r="D25192" t="inlineStr">
        <is>
          <t>Collistar</t>
        </is>
      </c>
      <c r="E25192" t="n">
        <v>23.15</v>
      </c>
      <c r="F25192" t="n">
        <v>1</v>
      </c>
      <c r="G25192" t="n">
        <v>5</v>
      </c>
      <c r="H25192" s="5">
        <f>HYPERLINK("https://api.qogita.com/variants/link/8015150247238/", "View Product")</f>
        <v/>
      </c>
    </row>
    <row r="25193">
      <c r="A25193" t="inlineStr">
        <is>
          <t>8015150247290</t>
        </is>
      </c>
      <c r="B25193" t="inlineStr">
        <is>
          <t>Collistar Idroattiva Intense Hydration Balm 50 Ml - Deeply Hydrates And Nourishes The Skin</t>
        </is>
      </c>
      <c r="C25193" t="inlineStr">
        <is>
          <t>Face Cream</t>
        </is>
      </c>
      <c r="D25193" t="inlineStr">
        <is>
          <t>Collistar</t>
        </is>
      </c>
      <c r="E25193" t="n">
        <v>16.99</v>
      </c>
      <c r="F25193" t="n">
        <v>1</v>
      </c>
      <c r="G25193" t="n">
        <v>11</v>
      </c>
      <c r="H25193" s="5">
        <f>HYPERLINK("https://api.qogita.com/variants/link/8015150247290/", "View Product")</f>
        <v/>
      </c>
    </row>
    <row r="25194">
      <c r="A25194" t="inlineStr">
        <is>
          <t>8015150247313</t>
        </is>
      </c>
      <c r="B25194" t="inlineStr">
        <is>
          <t>Collistar Idroattiva+ Eye-Hydro Gel Eye Cream 15ml</t>
        </is>
      </c>
      <c r="C25194" t="inlineStr">
        <is>
          <t>Eye Gel</t>
        </is>
      </c>
      <c r="D25194" t="inlineStr">
        <is>
          <t>Collistar</t>
        </is>
      </c>
      <c r="E25194" t="n">
        <v>15.3</v>
      </c>
      <c r="F25194" t="n">
        <v>1</v>
      </c>
      <c r="G25194" t="n">
        <v>5</v>
      </c>
      <c r="H25194" s="5">
        <f>HYPERLINK("https://api.qogita.com/variants/link/8015150247313/", "View Product")</f>
        <v/>
      </c>
    </row>
    <row r="25195">
      <c r="A25195" t="inlineStr">
        <is>
          <t>8015150251150</t>
        </is>
      </c>
      <c r="B25195" t="inlineStr">
        <is>
          <t>Collistar Spray Deodorant 125ml</t>
        </is>
      </c>
      <c r="C25195" t="inlineStr">
        <is>
          <t>Deodorant &amp; Anti-Perspirant</t>
        </is>
      </c>
      <c r="D25195" t="inlineStr">
        <is>
          <t>Collistar</t>
        </is>
      </c>
      <c r="E25195" t="n">
        <v>9.699999999999999</v>
      </c>
      <c r="F25195" t="n">
        <v>1</v>
      </c>
      <c r="G25195" t="n">
        <v>8</v>
      </c>
      <c r="H25195" s="5">
        <f>HYPERLINK("https://api.qogita.com/variants/link/8015150251150/", "View Product")</f>
        <v/>
      </c>
    </row>
    <row r="25196">
      <c r="A25196" t="inlineStr">
        <is>
          <t>8015150251549</t>
        </is>
      </c>
      <c r="B25196" t="inlineStr">
        <is>
          <t>Collistar Pure Active Anti-Cellulite Capsules With Caffeine</t>
        </is>
      </c>
      <c r="C25196" t="inlineStr">
        <is>
          <t>Vitamin</t>
        </is>
      </c>
      <c r="D25196" t="inlineStr">
        <is>
          <t>Collistar</t>
        </is>
      </c>
      <c r="E25196" t="n">
        <v>19.85</v>
      </c>
      <c r="F25196" t="n">
        <v>1</v>
      </c>
      <c r="G25196" t="n">
        <v>11</v>
      </c>
      <c r="H25196" s="5">
        <f>HYPERLINK("https://api.qogita.com/variants/link/8015150251549/", "View Product")</f>
        <v/>
      </c>
    </row>
    <row r="25197">
      <c r="A25197" t="inlineStr">
        <is>
          <t>8015150251709</t>
        </is>
      </c>
      <c r="B25197" t="inlineStr">
        <is>
          <t>Collistar Concealers &amp; Correctors Anti-Aging with Exfoliating and Regenerating</t>
        </is>
      </c>
      <c r="C25197" t="inlineStr">
        <is>
          <t>Concealer</t>
        </is>
      </c>
      <c r="D25197" t="inlineStr">
        <is>
          <t>Collistar</t>
        </is>
      </c>
      <c r="E25197" t="n">
        <v>17.48</v>
      </c>
      <c r="F25197" t="n">
        <v>1</v>
      </c>
      <c r="G25197" t="n">
        <v>4</v>
      </c>
      <c r="H25197" s="5">
        <f>HYPERLINK("https://api.qogita.com/variants/link/8015150251709/", "View Product")</f>
        <v/>
      </c>
    </row>
    <row r="25198">
      <c r="A25198" t="inlineStr">
        <is>
          <t>8015150251716</t>
        </is>
      </c>
      <c r="B25198" t="inlineStr">
        <is>
          <t>Collistar Concealers and Correctors</t>
        </is>
      </c>
      <c r="C25198" t="inlineStr">
        <is>
          <t>Concealer</t>
        </is>
      </c>
      <c r="D25198" t="inlineStr">
        <is>
          <t>Collistar</t>
        </is>
      </c>
      <c r="E25198" t="n">
        <v>14.94</v>
      </c>
      <c r="F25198" t="n">
        <v>1</v>
      </c>
      <c r="G25198" t="n">
        <v>5</v>
      </c>
      <c r="H25198" s="5">
        <f>HYPERLINK("https://api.qogita.com/variants/link/8015150251716/", "View Product")</f>
        <v/>
      </c>
    </row>
    <row r="25199">
      <c r="A25199" t="inlineStr">
        <is>
          <t>8015150252348</t>
        </is>
      </c>
      <c r="B25199" t="inlineStr">
        <is>
          <t>Collistar Sublime Melting Milk Nourishing Body Lotion For Dry Skin 400 Ml</t>
        </is>
      </c>
      <c r="C25199" t="inlineStr">
        <is>
          <t>Body Lotion</t>
        </is>
      </c>
      <c r="D25199" t="inlineStr">
        <is>
          <t>Collistar</t>
        </is>
      </c>
      <c r="E25199" t="n">
        <v>14.17</v>
      </c>
      <c r="F25199" t="n">
        <v>1</v>
      </c>
      <c r="G25199" t="n">
        <v>14</v>
      </c>
      <c r="H25199" s="5">
        <f>HYPERLINK("https://api.qogita.com/variants/link/8015150252348/", "View Product")</f>
        <v/>
      </c>
    </row>
    <row r="25200">
      <c r="A25200" t="inlineStr">
        <is>
          <t>8015150253154</t>
        </is>
      </c>
      <c r="B25200" t="inlineStr">
        <is>
          <t>Collistar Twophase Sculpting Concentrate 200ml</t>
        </is>
      </c>
      <c r="C25200" t="inlineStr">
        <is>
          <t>Hydrating Serum</t>
        </is>
      </c>
      <c r="D25200" t="inlineStr">
        <is>
          <t>Collistar</t>
        </is>
      </c>
      <c r="E25200" t="n">
        <v>19.93</v>
      </c>
      <c r="F25200" t="n">
        <v>1</v>
      </c>
      <c r="G25200" t="n">
        <v>10</v>
      </c>
      <c r="H25200" s="5">
        <f>HYPERLINK("https://api.qogita.com/variants/link/8015150253154/", "View Product")</f>
        <v/>
      </c>
    </row>
    <row r="25201">
      <c r="A25201" t="inlineStr">
        <is>
          <t>8015150253666</t>
        </is>
      </c>
      <c r="B25201" t="inlineStr">
        <is>
          <t>Collistar Perfect Body Ultralifting Antiage Cream 400ml</t>
        </is>
      </c>
      <c r="C25201" t="inlineStr">
        <is>
          <t>Body Lotion</t>
        </is>
      </c>
      <c r="D25201" t="inlineStr">
        <is>
          <t>Collistar</t>
        </is>
      </c>
      <c r="E25201" t="n">
        <v>29.71</v>
      </c>
      <c r="F25201" t="n">
        <v>1</v>
      </c>
      <c r="G25201" t="n">
        <v>12</v>
      </c>
      <c r="H25201" s="5">
        <f>HYPERLINK("https://api.qogita.com/variants/link/8015150253666/", "View Product")</f>
        <v/>
      </c>
    </row>
    <row r="25202">
      <c r="A25202" t="inlineStr">
        <is>
          <t>8015150260510</t>
        </is>
      </c>
      <c r="B25202" t="inlineStr">
        <is>
          <t>Collistar Perfect Tanning Ultra Protection Tanning Cream Spf 30 150ml</t>
        </is>
      </c>
      <c r="C25202" t="inlineStr">
        <is>
          <t>Body Sun Protection</t>
        </is>
      </c>
      <c r="D25202" t="inlineStr">
        <is>
          <t>Collistar</t>
        </is>
      </c>
      <c r="E25202" t="n">
        <v>16.04</v>
      </c>
      <c r="F25202" t="n">
        <v>1</v>
      </c>
      <c r="G25202" t="n">
        <v>5</v>
      </c>
      <c r="H25202" s="5">
        <f>HYPERLINK("https://api.qogita.com/variants/link/8015150260510/", "View Product")</f>
        <v/>
      </c>
    </row>
    <row r="25203">
      <c r="A25203" t="inlineStr">
        <is>
          <t>8015150260619</t>
        </is>
      </c>
      <c r="B25203" t="inlineStr">
        <is>
          <t>Collistar Super Tanning Dry Oil Spf 15 200ml Moisturizing Sunscreen For The Body</t>
        </is>
      </c>
      <c r="C25203" t="inlineStr">
        <is>
          <t>Body Sun Protection</t>
        </is>
      </c>
      <c r="D25203" t="inlineStr">
        <is>
          <t>Collistar</t>
        </is>
      </c>
      <c r="E25203" t="n">
        <v>15.23</v>
      </c>
      <c r="F25203" t="n">
        <v>1</v>
      </c>
      <c r="G25203" t="n">
        <v>4</v>
      </c>
      <c r="H25203" s="5">
        <f>HYPERLINK("https://api.qogita.com/variants/link/8015150260619/", "View Product")</f>
        <v/>
      </c>
    </row>
    <row r="25204">
      <c r="A25204" t="inlineStr">
        <is>
          <t>8015150260718</t>
        </is>
      </c>
      <c r="B25204" t="inlineStr">
        <is>
          <t>Collistar Perfect Tanning Moisturizing Tanning Spray Spf 20 200 Ml</t>
        </is>
      </c>
      <c r="C25204" t="inlineStr">
        <is>
          <t>Body Sun Protection</t>
        </is>
      </c>
      <c r="D25204" t="inlineStr">
        <is>
          <t>Collistar</t>
        </is>
      </c>
      <c r="E25204" t="n">
        <v>16.04</v>
      </c>
      <c r="F25204" t="n">
        <v>1</v>
      </c>
      <c r="G25204" t="n">
        <v>5</v>
      </c>
      <c r="H25204" s="5">
        <f>HYPERLINK("https://api.qogita.com/variants/link/8015150260718/", "View Product")</f>
        <v/>
      </c>
    </row>
    <row r="25205">
      <c r="A25205" t="inlineStr">
        <is>
          <t>8015150261166</t>
        </is>
      </c>
      <c r="B25205" t="inlineStr">
        <is>
          <t>Collistar Magic Drops Self Tanning Concentrate 30ml</t>
        </is>
      </c>
      <c r="C25205" t="inlineStr">
        <is>
          <t>Face Self-Tanner</t>
        </is>
      </c>
      <c r="D25205" t="inlineStr">
        <is>
          <t>Collistar</t>
        </is>
      </c>
      <c r="E25205" t="n">
        <v>18.79</v>
      </c>
      <c r="F25205" t="n">
        <v>1</v>
      </c>
      <c r="G25205" t="n">
        <v>32</v>
      </c>
      <c r="H25205" s="5">
        <f>HYPERLINK("https://api.qogita.com/variants/link/8015150261166/", "View Product")</f>
        <v/>
      </c>
    </row>
    <row r="25206">
      <c r="A25206" t="inlineStr">
        <is>
          <t>8015150262514</t>
        </is>
      </c>
      <c r="B25206" t="inlineStr">
        <is>
          <t>Collistar Active Spray Sunscreen Milk for Hypersensitive Skin SPF 30 200ml</t>
        </is>
      </c>
      <c r="C25206" t="inlineStr">
        <is>
          <t>Body Sun Protection</t>
        </is>
      </c>
      <c r="D25206" t="inlineStr">
        <is>
          <t>Collistar</t>
        </is>
      </c>
      <c r="E25206" t="n">
        <v>17.55</v>
      </c>
      <c r="F25206" t="n">
        <v>1</v>
      </c>
      <c r="G25206" t="n">
        <v>5</v>
      </c>
      <c r="H25206" s="5">
        <f>HYPERLINK("https://api.qogita.com/variants/link/8015150262514/", "View Product")</f>
        <v/>
      </c>
    </row>
    <row r="25207">
      <c r="A25207" t="inlineStr">
        <is>
          <t>8015150262545</t>
        </is>
      </c>
      <c r="B25207" t="inlineStr">
        <is>
          <t>Collistar Protective Sunscreen SPF 50+ Certified Environmentally Friendly Formula 150ml</t>
        </is>
      </c>
      <c r="C25207" t="inlineStr">
        <is>
          <t>Body Sun Protection</t>
        </is>
      </c>
      <c r="D25207" t="inlineStr">
        <is>
          <t>Collistar</t>
        </is>
      </c>
      <c r="E25207" t="n">
        <v>19.46</v>
      </c>
      <c r="F25207" t="n">
        <v>1</v>
      </c>
      <c r="G25207" t="n">
        <v>2</v>
      </c>
      <c r="H25207" s="5">
        <f>HYPERLINK("https://api.qogita.com/variants/link/8015150262545/", "View Product")</f>
        <v/>
      </c>
    </row>
    <row r="25208">
      <c r="A25208" t="inlineStr">
        <is>
          <t>8015150262576</t>
        </is>
      </c>
      <c r="B25208" t="inlineStr">
        <is>
          <t>Collistar Soothing After-Sun Moisture Gel Cream with Biodegradable Formula and Environmentally Certified Perfume 250ml</t>
        </is>
      </c>
      <c r="C25208" t="inlineStr">
        <is>
          <t>Aftersun</t>
        </is>
      </c>
      <c r="D25208" t="inlineStr">
        <is>
          <t>Collistar</t>
        </is>
      </c>
      <c r="E25208" t="n">
        <v>17.62</v>
      </c>
      <c r="F25208" t="n">
        <v>1</v>
      </c>
      <c r="G25208" t="n">
        <v>13</v>
      </c>
      <c r="H25208" s="5">
        <f>HYPERLINK("https://api.qogita.com/variants/link/8015150262576/", "View Product")</f>
        <v/>
      </c>
    </row>
    <row r="25209">
      <c r="A25209" t="inlineStr">
        <is>
          <t>8015150284295</t>
        </is>
      </c>
      <c r="B25209" t="inlineStr">
        <is>
          <t>Collistar Shower Shampoo 250ml</t>
        </is>
      </c>
      <c r="C25209" t="inlineStr">
        <is>
          <t>Shower Gel</t>
        </is>
      </c>
      <c r="D25209" t="inlineStr">
        <is>
          <t>Collistar</t>
        </is>
      </c>
      <c r="E25209" t="n">
        <v>13.38</v>
      </c>
      <c r="F25209" t="n">
        <v>1</v>
      </c>
      <c r="G25209" t="n">
        <v>3</v>
      </c>
      <c r="H25209" s="5">
        <f>HYPERLINK("https://api.qogita.com/variants/link/8015150284295/", "View Product")</f>
        <v/>
      </c>
    </row>
    <row r="25210">
      <c r="A25210" t="inlineStr">
        <is>
          <t>8015150285315</t>
        </is>
      </c>
      <c r="B25210" t="inlineStr">
        <is>
          <t>Collistar Actives Puri Men's Collagen Anti-Wrinkle Regenerating Serum 30ml</t>
        </is>
      </c>
      <c r="C25210" t="inlineStr">
        <is>
          <t>Collagen Serum</t>
        </is>
      </c>
      <c r="D25210" t="inlineStr">
        <is>
          <t>Collistar</t>
        </is>
      </c>
      <c r="E25210" t="n">
        <v>21.11</v>
      </c>
      <c r="F25210" t="n">
        <v>1</v>
      </c>
      <c r="G25210" t="n">
        <v>12</v>
      </c>
      <c r="H25210" s="5">
        <f>HYPERLINK("https://api.qogita.com/variants/link/8015150285315/", "View Product")</f>
        <v/>
      </c>
    </row>
    <row r="25211">
      <c r="A25211" t="inlineStr">
        <is>
          <t>8015150285469</t>
        </is>
      </c>
      <c r="B25211" t="inlineStr">
        <is>
          <t>Collistar Acqua Attiva Shower Shampoo 250 Ml</t>
        </is>
      </c>
      <c r="C25211" t="inlineStr">
        <is>
          <t>Shower Gel</t>
        </is>
      </c>
      <c r="D25211" t="inlineStr">
        <is>
          <t>Collistar</t>
        </is>
      </c>
      <c r="E25211" t="n">
        <v>14.86</v>
      </c>
      <c r="F25211" t="n">
        <v>1</v>
      </c>
      <c r="G25211" t="n">
        <v>5</v>
      </c>
      <c r="H25211" s="5">
        <f>HYPERLINK("https://api.qogita.com/variants/link/8015150285469/", "View Product")</f>
        <v/>
      </c>
    </row>
    <row r="25212">
      <c r="A25212" t="inlineStr">
        <is>
          <t>8015150285537</t>
        </is>
      </c>
      <c r="B25212" t="inlineStr">
        <is>
          <t>Collistar Man Aftershave Antiredness 100ml Sensitive Skin Formula</t>
        </is>
      </c>
      <c r="C25212" t="inlineStr">
        <is>
          <t>Aftershave</t>
        </is>
      </c>
      <c r="D25212" t="inlineStr">
        <is>
          <t>Collistar</t>
        </is>
      </c>
      <c r="E25212" t="n">
        <v>21.29</v>
      </c>
      <c r="F25212" t="n">
        <v>1</v>
      </c>
      <c r="G25212" t="n">
        <v>30</v>
      </c>
      <c r="H25212" s="5">
        <f>HYPERLINK("https://api.qogita.com/variants/link/8015150285537/", "View Product")</f>
        <v/>
      </c>
    </row>
    <row r="25213">
      <c r="A25213" t="inlineStr">
        <is>
          <t>8015150285544</t>
        </is>
      </c>
      <c r="B25213" t="inlineStr">
        <is>
          <t>Collistar Uomo Tonifying Aftershave Lotion 100ml</t>
        </is>
      </c>
      <c r="C25213" t="inlineStr">
        <is>
          <t>Aftershave</t>
        </is>
      </c>
      <c r="D25213" t="inlineStr">
        <is>
          <t>Collistar</t>
        </is>
      </c>
      <c r="E25213" t="n">
        <v>21.8</v>
      </c>
      <c r="F25213" t="n">
        <v>1</v>
      </c>
      <c r="G25213" t="n">
        <v>19</v>
      </c>
      <c r="H25213" s="5">
        <f>HYPERLINK("https://api.qogita.com/variants/link/8015150285544/", "View Product")</f>
        <v/>
      </c>
    </row>
    <row r="25214">
      <c r="A25214" t="inlineStr">
        <is>
          <t>8015150297271</t>
        </is>
      </c>
      <c r="B25214" t="inlineStr">
        <is>
          <t>Collistar Attivi Puri Collagen Shampoo 250ml</t>
        </is>
      </c>
      <c r="C25214" t="inlineStr">
        <is>
          <t>Shampoo</t>
        </is>
      </c>
      <c r="D25214" t="inlineStr">
        <is>
          <t>Collistar</t>
        </is>
      </c>
      <c r="E25214" t="n">
        <v>11.77</v>
      </c>
      <c r="F25214" t="n">
        <v>1</v>
      </c>
      <c r="G25214" t="n">
        <v>9</v>
      </c>
      <c r="H25214" s="5">
        <f>HYPERLINK("https://api.qogita.com/variants/link/8015150297271/", "View Product")</f>
        <v/>
      </c>
    </row>
    <row r="25215">
      <c r="A25215" t="inlineStr">
        <is>
          <t>8015150297295</t>
        </is>
      </c>
      <c r="B25215" t="inlineStr">
        <is>
          <t>Attivi Puri Hair Thickening Serum Spray With Collagen 100ml</t>
        </is>
      </c>
      <c r="C25215" t="inlineStr">
        <is>
          <t>Hair Oil &amp; Hair Serum</t>
        </is>
      </c>
      <c r="D25215" t="inlineStr">
        <is>
          <t>Attivi Puri</t>
        </is>
      </c>
      <c r="E25215" t="n">
        <v>15.98</v>
      </c>
      <c r="F25215" t="n">
        <v>1</v>
      </c>
      <c r="G25215" t="n">
        <v>17</v>
      </c>
      <c r="H25215" s="5">
        <f>HYPERLINK("https://api.qogita.com/variants/link/8015150297295/", "View Product")</f>
        <v/>
      </c>
    </row>
    <row r="25216">
      <c r="A25216" t="inlineStr">
        <is>
          <t>8015150297349</t>
        </is>
      </c>
      <c r="B25216" t="inlineStr">
        <is>
          <t>Collistar Attivi Puri Peptides Hair Serum - 75ml</t>
        </is>
      </c>
      <c r="C25216" t="inlineStr">
        <is>
          <t>Hair Oil &amp; Hair Serum</t>
        </is>
      </c>
      <c r="D25216" t="inlineStr">
        <is>
          <t>Collistar</t>
        </is>
      </c>
      <c r="E25216" t="n">
        <v>28.5</v>
      </c>
      <c r="F25216" t="n">
        <v>1</v>
      </c>
      <c r="G25216" t="n">
        <v>7</v>
      </c>
      <c r="H25216" s="5">
        <f>HYPERLINK("https://api.qogita.com/variants/link/8015150297349/", "View Product")</f>
        <v/>
      </c>
    </row>
    <row r="25217">
      <c r="A25217" t="inlineStr">
        <is>
          <t>8016741002595</t>
        </is>
      </c>
      <c r="B25217" t="inlineStr">
        <is>
          <t>Iziana Terenzi Wirtanen Perfume Extract 100ml</t>
        </is>
      </c>
      <c r="C25217" t="inlineStr">
        <is>
          <t>Extrait De Parfum</t>
        </is>
      </c>
      <c r="D25217" t="inlineStr">
        <is>
          <t>Tiziana Terenzi</t>
        </is>
      </c>
      <c r="E25217" t="n">
        <v>183.3</v>
      </c>
      <c r="F25217" t="n">
        <v>1</v>
      </c>
      <c r="G25217" t="n">
        <v>5</v>
      </c>
      <c r="H25217" s="5">
        <f>HYPERLINK("https://api.qogita.com/variants/link/8016741002595/", "View Product")</f>
        <v/>
      </c>
    </row>
    <row r="25218">
      <c r="A25218" t="inlineStr">
        <is>
          <t>8016741052590</t>
        </is>
      </c>
      <c r="B25218" t="inlineStr">
        <is>
          <t>V Canto Fili Extrait De Parfum Spray 100ml</t>
        </is>
      </c>
      <c r="C25218" t="inlineStr">
        <is>
          <t>Extrait De Parfum</t>
        </is>
      </c>
      <c r="D25218" t="inlineStr">
        <is>
          <t>V Canto</t>
        </is>
      </c>
      <c r="E25218" t="n">
        <v>119.04</v>
      </c>
      <c r="F25218" t="n">
        <v>1</v>
      </c>
      <c r="G25218" t="n">
        <v>3</v>
      </c>
      <c r="H25218" s="5">
        <f>HYPERLINK("https://api.qogita.com/variants/link/8016741052590/", "View Product")</f>
        <v/>
      </c>
    </row>
    <row r="25219">
      <c r="A25219" t="inlineStr">
        <is>
          <t>8016741062599</t>
        </is>
      </c>
      <c r="B25219" t="inlineStr">
        <is>
          <t>Canto Posi V Extrait De Parfum Spray 100ml</t>
        </is>
      </c>
      <c r="C25219" t="inlineStr">
        <is>
          <t>Extrait De Parfum</t>
        </is>
      </c>
      <c r="D25219" t="inlineStr">
        <is>
          <t>Canto</t>
        </is>
      </c>
      <c r="E25219" t="n">
        <v>119.14</v>
      </c>
      <c r="F25219" t="n">
        <v>1</v>
      </c>
      <c r="G25219" t="n">
        <v>3</v>
      </c>
      <c r="H25219" s="5">
        <f>HYPERLINK("https://api.qogita.com/variants/link/8016741062599/", "View Product")</f>
        <v/>
      </c>
    </row>
    <row r="25220">
      <c r="A25220" t="inlineStr">
        <is>
          <t>8016741102684</t>
        </is>
      </c>
      <c r="B25220" t="inlineStr">
        <is>
          <t>Tiziana Terenzi Vittoriale Parfum</t>
        </is>
      </c>
      <c r="C25220" t="inlineStr">
        <is>
          <t>Eau De Parfum</t>
        </is>
      </c>
      <c r="D25220" t="inlineStr">
        <is>
          <t>Tiziana Terenzi</t>
        </is>
      </c>
      <c r="E25220" t="n">
        <v>163.46</v>
      </c>
      <c r="F25220" t="n">
        <v>1</v>
      </c>
      <c r="G25220" t="n">
        <v>4</v>
      </c>
      <c r="H25220" s="5">
        <f>HYPERLINK("https://api.qogita.com/variants/link/8016741102684/", "View Product")</f>
        <v/>
      </c>
    </row>
    <row r="25221">
      <c r="A25221" t="inlineStr">
        <is>
          <t>8016741112591</t>
        </is>
      </c>
      <c r="B25221" t="inlineStr">
        <is>
          <t>Wellness Garden Hashabis by Giardino Benessere Eau De Parfum Spray 100ml</t>
        </is>
      </c>
      <c r="C25221" t="inlineStr">
        <is>
          <t>Eau De Parfum</t>
        </is>
      </c>
      <c r="D25221" t="inlineStr">
        <is>
          <t>Giardino Benessere</t>
        </is>
      </c>
      <c r="E25221" t="n">
        <v>38.95</v>
      </c>
      <c r="F25221" t="n">
        <v>1</v>
      </c>
      <c r="G25221" t="n">
        <v>3</v>
      </c>
      <c r="H25221" s="5">
        <f>HYPERLINK("https://api.qogita.com/variants/link/8016741112591/", "View Product")</f>
        <v/>
      </c>
    </row>
    <row r="25222">
      <c r="A25222" t="inlineStr">
        <is>
          <t>8016741122323</t>
        </is>
      </c>
      <c r="B25222" t="inlineStr">
        <is>
          <t>Tiziana Terenzi Lillipur Eau de Parfum 100ml</t>
        </is>
      </c>
      <c r="C25222" t="inlineStr">
        <is>
          <t>Eau De Parfum</t>
        </is>
      </c>
      <c r="D25222" t="inlineStr">
        <is>
          <t>Tiziana Terenzi</t>
        </is>
      </c>
      <c r="E25222" t="n">
        <v>85.92</v>
      </c>
      <c r="F25222" t="n">
        <v>1</v>
      </c>
      <c r="G25222" t="n">
        <v>4</v>
      </c>
      <c r="H25222" s="5">
        <f>HYPERLINK("https://api.qogita.com/variants/link/8016741122323/", "View Product")</f>
        <v/>
      </c>
    </row>
    <row r="25223">
      <c r="A25223" t="inlineStr">
        <is>
          <t>8016741132537</t>
        </is>
      </c>
      <c r="B25223" t="inlineStr">
        <is>
          <t>Tiziana Terenzi Foconero Eau De Parfum Spray 100ml</t>
        </is>
      </c>
      <c r="C25223" t="inlineStr">
        <is>
          <t>Eau De Parfum</t>
        </is>
      </c>
      <c r="D25223" t="inlineStr">
        <is>
          <t>Tiziana Terenzi</t>
        </is>
      </c>
      <c r="E25223" t="n">
        <v>84.48</v>
      </c>
      <c r="F25223" t="n">
        <v>1</v>
      </c>
      <c r="G25223" t="n">
        <v>5</v>
      </c>
      <c r="H25223" s="5">
        <f>HYPERLINK("https://api.qogita.com/variants/link/8016741132537/", "View Product")</f>
        <v/>
      </c>
    </row>
    <row r="25224">
      <c r="A25224" t="inlineStr">
        <is>
          <t>8016741152535</t>
        </is>
      </c>
      <c r="B25224" t="inlineStr">
        <is>
          <t>Tiziana Terenzi Purple De Parfum Extract 100ml</t>
        </is>
      </c>
      <c r="C25224" t="inlineStr">
        <is>
          <t>Extrait De Parfum</t>
        </is>
      </c>
      <c r="D25224" t="inlineStr">
        <is>
          <t>Tiziana Terenzi</t>
        </is>
      </c>
      <c r="E25224" t="n">
        <v>104.1</v>
      </c>
      <c r="F25224" t="n">
        <v>1</v>
      </c>
      <c r="G25224" t="n">
        <v>2</v>
      </c>
      <c r="H25224" s="5">
        <f>HYPERLINK("https://api.qogita.com/variants/link/8016741152535/", "View Product")</f>
        <v/>
      </c>
    </row>
    <row r="25225">
      <c r="A25225" t="inlineStr">
        <is>
          <t>8016741162664</t>
        </is>
      </c>
      <c r="B25225" t="inlineStr">
        <is>
          <t>V Canto Malatesta by V Canto Extrait de Parfum Spray 3.4 oz</t>
        </is>
      </c>
      <c r="C25225" t="inlineStr">
        <is>
          <t>Extrait De Parfum</t>
        </is>
      </c>
      <c r="D25225" t="inlineStr">
        <is>
          <t>V Canto</t>
        </is>
      </c>
      <c r="E25225" t="n">
        <v>94.05</v>
      </c>
      <c r="F25225" t="n">
        <v>1</v>
      </c>
      <c r="G25225" t="n">
        <v>10</v>
      </c>
      <c r="H25225" s="5">
        <f>HYPERLINK("https://api.qogita.com/variants/link/8016741162664/", "View Product")</f>
        <v/>
      </c>
    </row>
    <row r="25226">
      <c r="A25226" t="inlineStr">
        <is>
          <t>8016741262500</t>
        </is>
      </c>
      <c r="B25226" t="inlineStr">
        <is>
          <t>V Canto Cicuta Extrait De Parfum Spray 100ml</t>
        </is>
      </c>
      <c r="C25226" t="inlineStr">
        <is>
          <t>Extrait De Parfum</t>
        </is>
      </c>
      <c r="D25226" t="inlineStr">
        <is>
          <t>V Canto</t>
        </is>
      </c>
      <c r="E25226" t="n">
        <v>69.87</v>
      </c>
      <c r="F25226" t="n">
        <v>1</v>
      </c>
      <c r="G25226" t="n">
        <v>9</v>
      </c>
      <c r="H25226" s="5">
        <f>HYPERLINK("https://api.qogita.com/variants/link/8016741262500/", "View Product")</f>
        <v/>
      </c>
    </row>
    <row r="25227">
      <c r="A25227" t="inlineStr">
        <is>
          <t>8016741322532</t>
        </is>
      </c>
      <c r="B25227" t="inlineStr">
        <is>
          <t>By Giardino Benessere</t>
        </is>
      </c>
      <c r="C25227" t="inlineStr">
        <is>
          <t>Eau De Parfum</t>
        </is>
      </c>
      <c r="D25227" t="inlineStr">
        <is>
          <t>Giardino Benessere</t>
        </is>
      </c>
      <c r="E25227" t="n">
        <v>41.82</v>
      </c>
      <c r="F25227" t="n">
        <v>1</v>
      </c>
      <c r="G25227" t="n">
        <v>2</v>
      </c>
      <c r="H25227" s="5">
        <f>HYPERLINK("https://api.qogita.com/variants/link/8016741322532/", "View Product")</f>
        <v/>
      </c>
    </row>
    <row r="25228">
      <c r="A25228" t="inlineStr">
        <is>
          <t>8016741422621</t>
        </is>
      </c>
      <c r="B25228" t="inlineStr">
        <is>
          <t>Tiziana Terenzi Cabiria Extrait De Parfum Spray 100ml</t>
        </is>
      </c>
      <c r="C25228" t="inlineStr">
        <is>
          <t>Extrait De Parfum</t>
        </is>
      </c>
      <c r="D25228" t="inlineStr">
        <is>
          <t>Tiziana Terenzi</t>
        </is>
      </c>
      <c r="E25228" t="n">
        <v>130.94</v>
      </c>
      <c r="F25228" t="n">
        <v>1</v>
      </c>
      <c r="G25228" t="n">
        <v>5</v>
      </c>
      <c r="H25228" s="5">
        <f>HYPERLINK("https://api.qogita.com/variants/link/8016741422621/", "View Product")</f>
        <v/>
      </c>
    </row>
    <row r="25229">
      <c r="A25229" t="inlineStr">
        <is>
          <t>8016741422683</t>
        </is>
      </c>
      <c r="B25229" t="inlineStr">
        <is>
          <t>Tiziana Terenzi Deriva Extrait De Parfum 100ml</t>
        </is>
      </c>
      <c r="C25229" t="inlineStr">
        <is>
          <t>Extrait De Parfum</t>
        </is>
      </c>
      <c r="D25229" t="inlineStr">
        <is>
          <t>Tiziana Terenzi</t>
        </is>
      </c>
      <c r="E25229" t="n">
        <v>202.42</v>
      </c>
      <c r="F25229" t="n">
        <v>1</v>
      </c>
      <c r="G25229" t="n">
        <v>2</v>
      </c>
      <c r="H25229" s="5">
        <f>HYPERLINK("https://api.qogita.com/variants/link/8016741422683/", "View Product")</f>
        <v/>
      </c>
    </row>
    <row r="25230">
      <c r="A25230" t="inlineStr">
        <is>
          <t>8016741482601</t>
        </is>
      </c>
      <c r="B25230" t="inlineStr">
        <is>
          <t>Poggia by Tiziana Terenzi Extrait de Parfum 100ml</t>
        </is>
      </c>
      <c r="C25230" t="inlineStr">
        <is>
          <t>Extrait De Parfum</t>
        </is>
      </c>
      <c r="D25230" t="inlineStr">
        <is>
          <t>Tiziana Terenzi</t>
        </is>
      </c>
      <c r="E25230" t="n">
        <v>190.16</v>
      </c>
      <c r="F25230" t="n">
        <v>1</v>
      </c>
      <c r="G25230" t="n">
        <v>3</v>
      </c>
      <c r="H25230" s="5">
        <f>HYPERLINK("https://api.qogita.com/variants/link/8016741482601/", "View Product")</f>
        <v/>
      </c>
    </row>
    <row r="25231">
      <c r="A25231" t="inlineStr">
        <is>
          <t>8016741492600</t>
        </is>
      </c>
      <c r="B25231" t="inlineStr">
        <is>
          <t>Cubia By Tiziana Terenzi Extrait De Parfum 100ml</t>
        </is>
      </c>
      <c r="C25231" t="inlineStr">
        <is>
          <t>Extrait De Parfum</t>
        </is>
      </c>
      <c r="D25231" t="inlineStr">
        <is>
          <t>Tiziana Terenzi</t>
        </is>
      </c>
      <c r="E25231" t="n">
        <v>192.42</v>
      </c>
      <c r="F25231" t="n">
        <v>1</v>
      </c>
      <c r="G25231" t="n">
        <v>3</v>
      </c>
      <c r="H25231" s="5">
        <f>HYPERLINK("https://api.qogita.com/variants/link/8016741492600/", "View Product")</f>
        <v/>
      </c>
    </row>
    <row r="25232">
      <c r="A25232" t="inlineStr">
        <is>
          <t>8016741502620</t>
        </is>
      </c>
      <c r="B25232" t="inlineStr">
        <is>
          <t>Tiziana Terenzi Tuttle Extrait De Parfum Spray 100ml</t>
        </is>
      </c>
      <c r="C25232" t="inlineStr">
        <is>
          <t>Extrait De Parfum</t>
        </is>
      </c>
      <c r="D25232" t="inlineStr">
        <is>
          <t>Tiziana Terenzi</t>
        </is>
      </c>
      <c r="E25232" t="n">
        <v>148.2</v>
      </c>
      <c r="F25232" t="n">
        <v>1</v>
      </c>
      <c r="G25232" t="n">
        <v>3</v>
      </c>
      <c r="H25232" s="5">
        <f>HYPERLINK("https://api.qogita.com/variants/link/8016741502620/", "View Product")</f>
        <v/>
      </c>
    </row>
    <row r="25233">
      <c r="A25233" t="inlineStr">
        <is>
          <t>8016741582554</t>
        </is>
      </c>
      <c r="B25233" t="inlineStr">
        <is>
          <t>Tiziana Terenzi Casanova Eau De Parfum 100ml</t>
        </is>
      </c>
      <c r="C25233" t="inlineStr">
        <is>
          <t>Eau De Parfum</t>
        </is>
      </c>
      <c r="D25233" t="inlineStr">
        <is>
          <t>Tiziana Terenzi</t>
        </is>
      </c>
      <c r="E25233" t="n">
        <v>134.73</v>
      </c>
      <c r="F25233" t="n">
        <v>1</v>
      </c>
      <c r="G25233" t="n">
        <v>8</v>
      </c>
      <c r="H25233" s="5">
        <f>HYPERLINK("https://api.qogita.com/variants/link/8016741582554/", "View Product")</f>
        <v/>
      </c>
    </row>
    <row r="25234">
      <c r="A25234" t="inlineStr">
        <is>
          <t>8016741602559</t>
        </is>
      </c>
      <c r="B25234" t="inlineStr">
        <is>
          <t>Gumin Extrait De Parfum Spray 100ml</t>
        </is>
      </c>
      <c r="C25234" t="inlineStr">
        <is>
          <t>Extrait De Parfum</t>
        </is>
      </c>
      <c r="D25234" t="inlineStr">
        <is>
          <t>Tiziana Terenzi</t>
        </is>
      </c>
      <c r="E25234" t="n">
        <v>171.04</v>
      </c>
      <c r="F25234" t="n">
        <v>1</v>
      </c>
      <c r="G25234" t="n">
        <v>12</v>
      </c>
      <c r="H25234" s="5">
        <f>HYPERLINK("https://api.qogita.com/variants/link/8016741602559/", "View Product")</f>
        <v/>
      </c>
    </row>
    <row r="25235">
      <c r="A25235" t="inlineStr">
        <is>
          <t>8016741632433</t>
        </is>
      </c>
      <c r="B25235" t="inlineStr">
        <is>
          <t>Andromeda by Tiziana Terenzi Extrait De Parfum 100ml</t>
        </is>
      </c>
      <c r="C25235" t="inlineStr">
        <is>
          <t>Extrait De Parfum</t>
        </is>
      </c>
      <c r="D25235" t="inlineStr">
        <is>
          <t>Tiziana Terenzi</t>
        </is>
      </c>
      <c r="E25235" t="n">
        <v>132.2</v>
      </c>
      <c r="F25235" t="n">
        <v>1</v>
      </c>
      <c r="G25235" t="n">
        <v>4</v>
      </c>
      <c r="H25235" s="5">
        <f>HYPERLINK("https://api.qogita.com/variants/link/8016741632433/", "View Product")</f>
        <v/>
      </c>
    </row>
    <row r="25236">
      <c r="A25236" t="inlineStr">
        <is>
          <t>8016741652431</t>
        </is>
      </c>
      <c r="B25236" t="inlineStr">
        <is>
          <t>Tiziana Terenzi Ursa Extrait De Parfum 100ml Unisex Spray</t>
        </is>
      </c>
      <c r="C25236" t="inlineStr">
        <is>
          <t>Extrait De Parfum</t>
        </is>
      </c>
      <c r="D25236" t="inlineStr">
        <is>
          <t>Tiziana Terenzi</t>
        </is>
      </c>
      <c r="E25236" t="n">
        <v>87.91</v>
      </c>
      <c r="F25236" t="n">
        <v>1</v>
      </c>
      <c r="G25236" t="n">
        <v>12</v>
      </c>
      <c r="H25236" s="5">
        <f>HYPERLINK("https://api.qogita.com/variants/link/8016741652431/", "View Product")</f>
        <v/>
      </c>
    </row>
    <row r="25237">
      <c r="A25237" t="inlineStr">
        <is>
          <t>8016741712555</t>
        </is>
      </c>
      <c r="B25237" t="inlineStr">
        <is>
          <t>Tiziana Terenzi Giardino Benessere Unisex The Titans Crio Eau De Parfum 3.4 Ounces</t>
        </is>
      </c>
      <c r="C25237" t="inlineStr">
        <is>
          <t>Eau De Parfum</t>
        </is>
      </c>
      <c r="D25237" t="inlineStr">
        <is>
          <t>Tiziana Terenzi</t>
        </is>
      </c>
      <c r="E25237" t="n">
        <v>82.62</v>
      </c>
      <c r="F25237" t="n">
        <v>1</v>
      </c>
      <c r="G25237" t="n">
        <v>12</v>
      </c>
      <c r="H25237" s="5">
        <f>HYPERLINK("https://api.qogita.com/variants/link/8016741712555/", "View Product")</f>
        <v/>
      </c>
    </row>
    <row r="25238">
      <c r="A25238" t="inlineStr">
        <is>
          <t>8016741752582</t>
        </is>
      </c>
      <c r="B25238" t="inlineStr">
        <is>
          <t>Tiziana Terenzi Siene Extrait De Parfum Spray 100ml</t>
        </is>
      </c>
      <c r="C25238" t="inlineStr">
        <is>
          <t>Extrait De Parfum</t>
        </is>
      </c>
      <c r="D25238" t="inlineStr">
        <is>
          <t>Tiziana Terenzi</t>
        </is>
      </c>
      <c r="E25238" t="n">
        <v>68.31999999999999</v>
      </c>
      <c r="F25238" t="n">
        <v>1</v>
      </c>
      <c r="G25238" t="n">
        <v>10</v>
      </c>
      <c r="H25238" s="5">
        <f>HYPERLINK("https://api.qogita.com/variants/link/8016741752582/", "View Product")</f>
        <v/>
      </c>
    </row>
    <row r="25239">
      <c r="A25239" t="inlineStr">
        <is>
          <t>8016741812637</t>
        </is>
      </c>
      <c r="B25239" t="inlineStr">
        <is>
          <t>V Canto EAU de Parfum Unisex Leon 100ml</t>
        </is>
      </c>
      <c r="C25239" t="inlineStr">
        <is>
          <t>Eau De Parfum</t>
        </is>
      </c>
      <c r="D25239" t="inlineStr">
        <is>
          <t>V Canto</t>
        </is>
      </c>
      <c r="E25239" t="n">
        <v>110.22</v>
      </c>
      <c r="F25239" t="n">
        <v>1</v>
      </c>
      <c r="G25239" t="n">
        <v>5</v>
      </c>
      <c r="H25239" s="5">
        <f>HYPERLINK("https://api.qogita.com/variants/link/8016741812637/", "View Product")</f>
        <v/>
      </c>
    </row>
    <row r="25240">
      <c r="A25240" t="inlineStr">
        <is>
          <t>8016741842559</t>
        </is>
      </c>
      <c r="B25240" t="inlineStr">
        <is>
          <t>V Canto Curaro Extrait De Parfum Spray 100ml</t>
        </is>
      </c>
      <c r="C25240" t="inlineStr">
        <is>
          <t>Extrait De Parfum</t>
        </is>
      </c>
      <c r="D25240" t="inlineStr">
        <is>
          <t>V Canto</t>
        </is>
      </c>
      <c r="E25240" t="n">
        <v>120.22</v>
      </c>
      <c r="F25240" t="n">
        <v>1</v>
      </c>
      <c r="G25240" t="n">
        <v>5</v>
      </c>
      <c r="H25240" s="5">
        <f>HYPERLINK("https://api.qogita.com/variants/link/8016741842559/", "View Product")</f>
        <v/>
      </c>
    </row>
    <row r="25241">
      <c r="A25241" t="inlineStr">
        <is>
          <t>8016741842658</t>
        </is>
      </c>
      <c r="B25241" t="inlineStr">
        <is>
          <t>TIZIANA TERENZI Akragas Extrait de Parfum Unisex Scent 100ml</t>
        </is>
      </c>
      <c r="C25241" t="inlineStr">
        <is>
          <t>Extrait De Parfum</t>
        </is>
      </c>
      <c r="D25241" t="inlineStr">
        <is>
          <t>Tiziana Terenzi</t>
        </is>
      </c>
      <c r="E25241" t="n">
        <v>65.02</v>
      </c>
      <c r="F25241" t="n">
        <v>1</v>
      </c>
      <c r="G25241" t="n">
        <v>5</v>
      </c>
      <c r="H25241" s="5">
        <f>HYPERLINK("https://api.qogita.com/variants/link/8016741842658/", "View Product")</f>
        <v/>
      </c>
    </row>
    <row r="25242">
      <c r="A25242" t="inlineStr">
        <is>
          <t>8016741922633</t>
        </is>
      </c>
      <c r="B25242" t="inlineStr">
        <is>
          <t>Giardino Benessere Woodsrock Patchouli Eau De Parfum Spray 100ml</t>
        </is>
      </c>
      <c r="C25242" t="inlineStr">
        <is>
          <t>Eau De Parfum</t>
        </is>
      </c>
      <c r="D25242" t="inlineStr">
        <is>
          <t>Giardino Benessere</t>
        </is>
      </c>
      <c r="E25242" t="n">
        <v>41.88</v>
      </c>
      <c r="F25242" t="n">
        <v>1</v>
      </c>
      <c r="G25242" t="n">
        <v>6</v>
      </c>
      <c r="H25242" s="5">
        <f>HYPERLINK("https://api.qogita.com/variants/link/8016741922633/", "View Product")</f>
        <v/>
      </c>
    </row>
    <row r="25243">
      <c r="A25243" t="inlineStr">
        <is>
          <t>8016741962202</t>
        </is>
      </c>
      <c r="B25243" t="inlineStr">
        <is>
          <t>Tiziana Terenzi White Fire Extrait De Parfum Spray 100ml</t>
        </is>
      </c>
      <c r="C25243" t="inlineStr">
        <is>
          <t>Extrait De Parfum</t>
        </is>
      </c>
      <c r="D25243" t="inlineStr">
        <is>
          <t>Tiziana Terenzi</t>
        </is>
      </c>
      <c r="E25243" t="n">
        <v>96.17</v>
      </c>
      <c r="F25243" t="n">
        <v>1</v>
      </c>
      <c r="G25243" t="n">
        <v>27</v>
      </c>
      <c r="H25243" s="5">
        <f>HYPERLINK("https://api.qogita.com/variants/link/8016741962202/", "View Product")</f>
        <v/>
      </c>
    </row>
    <row r="25244">
      <c r="A25244" t="inlineStr">
        <is>
          <t>8017692552740</t>
        </is>
      </c>
      <c r="B25244" t="inlineStr">
        <is>
          <t>Di Angelo Cosmetics No.1 Lash Extend Serum 6ml</t>
        </is>
      </c>
      <c r="C25244" t="inlineStr">
        <is>
          <t>Eyelash Serum &amp; Eyebrow Serum</t>
        </is>
      </c>
      <c r="D25244" t="inlineStr">
        <is>
          <t>Di Angelo Cosmetics</t>
        </is>
      </c>
      <c r="E25244" t="n">
        <v>56.06</v>
      </c>
      <c r="F25244" t="n">
        <v>1</v>
      </c>
      <c r="G25244" t="n">
        <v>22</v>
      </c>
      <c r="H25244" s="5">
        <f>HYPERLINK("https://api.qogita.com/variants/link/8017692552740/", "View Product")</f>
        <v/>
      </c>
    </row>
    <row r="25245">
      <c r="A25245" t="inlineStr">
        <is>
          <t>8018365140103</t>
        </is>
      </c>
      <c r="B25245" t="inlineStr">
        <is>
          <t>Versace L'Homme Eau De Toilette Spray 100ml</t>
        </is>
      </c>
      <c r="C25245" t="inlineStr">
        <is>
          <t>Eau De Toilette</t>
        </is>
      </c>
      <c r="D25245" t="inlineStr">
        <is>
          <t>Versace</t>
        </is>
      </c>
      <c r="E25245" t="n">
        <v>24.24</v>
      </c>
      <c r="F25245" t="n">
        <v>1</v>
      </c>
      <c r="G25245" t="n">
        <v>149</v>
      </c>
      <c r="H25245" s="5">
        <f>HYPERLINK("https://api.qogita.com/variants/link/8018365140103/", "View Product")</f>
        <v/>
      </c>
    </row>
    <row r="25246">
      <c r="A25246" t="inlineStr">
        <is>
          <t>8018365250260</t>
        </is>
      </c>
      <c r="B25246" t="inlineStr">
        <is>
          <t>Versace Woman Eau De Parfum Spray 50ml</t>
        </is>
      </c>
      <c r="C25246" t="inlineStr">
        <is>
          <t>Eau De Parfum</t>
        </is>
      </c>
      <c r="D25246" t="inlineStr">
        <is>
          <t>Versace</t>
        </is>
      </c>
      <c r="E25246" t="n">
        <v>18.52</v>
      </c>
      <c r="F25246" t="n">
        <v>1</v>
      </c>
      <c r="G25246" t="n">
        <v>231</v>
      </c>
      <c r="H25246" s="5">
        <f>HYPERLINK("https://api.qogita.com/variants/link/8018365250260/", "View Product")</f>
        <v/>
      </c>
    </row>
    <row r="25247">
      <c r="A25247" t="inlineStr">
        <is>
          <t>8018365250468</t>
        </is>
      </c>
      <c r="B25247" t="inlineStr">
        <is>
          <t>Versace Woman Eau De Parfum Spray 100ml</t>
        </is>
      </c>
      <c r="C25247" t="inlineStr">
        <is>
          <t>Eau De Parfum</t>
        </is>
      </c>
      <c r="D25247" t="inlineStr">
        <is>
          <t>Versace</t>
        </is>
      </c>
      <c r="E25247" t="n">
        <v>25.97</v>
      </c>
      <c r="F25247" t="n">
        <v>1</v>
      </c>
      <c r="G25247" t="n">
        <v>85</v>
      </c>
      <c r="H25247" s="5">
        <f>HYPERLINK("https://api.qogita.com/variants/link/8018365250468/", "View Product")</f>
        <v/>
      </c>
    </row>
    <row r="25248">
      <c r="A25248" t="inlineStr">
        <is>
          <t>8018365500013</t>
        </is>
      </c>
      <c r="B25248" t="inlineStr">
        <is>
          <t>Versace Man Eau Fraiche Eau De Toilette Spray 30ml</t>
        </is>
      </c>
      <c r="C25248" t="inlineStr">
        <is>
          <t>Eau De Toilette</t>
        </is>
      </c>
      <c r="D25248" t="inlineStr">
        <is>
          <t>Versace</t>
        </is>
      </c>
      <c r="E25248" t="n">
        <v>26</v>
      </c>
      <c r="F25248" t="n">
        <v>1</v>
      </c>
      <c r="G25248" t="n">
        <v>11</v>
      </c>
      <c r="H25248" s="5">
        <f>HYPERLINK("https://api.qogita.com/variants/link/8018365500013/", "View Product")</f>
        <v/>
      </c>
    </row>
    <row r="25249">
      <c r="A25249" t="inlineStr">
        <is>
          <t>8020762004704</t>
        </is>
      </c>
      <c r="B25249" t="inlineStr">
        <is>
          <t>Gestil Wonder Hair Balm 500ml</t>
        </is>
      </c>
      <c r="C25249" t="inlineStr">
        <is>
          <t>Hair Oil &amp; Hair Serum</t>
        </is>
      </c>
      <c r="D25249" t="inlineStr">
        <is>
          <t>Other Animal</t>
        </is>
      </c>
      <c r="E25249" t="n">
        <v>10.5</v>
      </c>
      <c r="F25249" t="n">
        <v>1</v>
      </c>
      <c r="G25249" t="n">
        <v>293</v>
      </c>
      <c r="H25249" s="5">
        <f>HYPERLINK("https://api.qogita.com/variants/link/8020762004704/", "View Product")</f>
        <v/>
      </c>
    </row>
    <row r="25250">
      <c r="A25250" t="inlineStr">
        <is>
          <t>8020936054191</t>
        </is>
      </c>
      <c r="B25250" t="inlineStr">
        <is>
          <t>Kemon Actyva Bellessere Shampoo Hair &amp; Body 250ml</t>
        </is>
      </c>
      <c r="C25250" t="inlineStr">
        <is>
          <t>Shampoo</t>
        </is>
      </c>
      <c r="D25250" t="inlineStr">
        <is>
          <t>Kemon</t>
        </is>
      </c>
      <c r="E25250" t="n">
        <v>6.59</v>
      </c>
      <c r="F25250" t="n">
        <v>1</v>
      </c>
      <c r="G25250" t="n">
        <v>5</v>
      </c>
      <c r="H25250" s="5">
        <f>HYPERLINK("https://api.qogita.com/variants/link/8020936054191/", "View Product")</f>
        <v/>
      </c>
    </row>
    <row r="25251">
      <c r="A25251" t="inlineStr">
        <is>
          <t>8020936054238</t>
        </is>
      </c>
      <c r="B25251" t="inlineStr">
        <is>
          <t>Kemon Actyva Bellessere Butter Body Cream for Soft Skin 30ml</t>
        </is>
      </c>
      <c r="C25251" t="inlineStr">
        <is>
          <t>Body Butter</t>
        </is>
      </c>
      <c r="D25251" t="inlineStr">
        <is>
          <t>Kemon</t>
        </is>
      </c>
      <c r="E25251" t="n">
        <v>4.41</v>
      </c>
      <c r="F25251" t="n">
        <v>1</v>
      </c>
      <c r="G25251" t="n">
        <v>13</v>
      </c>
      <c r="H25251" s="5">
        <f>HYPERLINK("https://api.qogita.com/variants/link/8020936054238/", "View Product")</f>
        <v/>
      </c>
    </row>
    <row r="25252">
      <c r="A25252" t="inlineStr">
        <is>
          <t>8020936062448</t>
        </is>
      </c>
      <c r="B25252" t="inlineStr">
        <is>
          <t>Kemon Liding Beauty Oil 25ml</t>
        </is>
      </c>
      <c r="C25252" t="inlineStr">
        <is>
          <t>Facial Oil</t>
        </is>
      </c>
      <c r="D25252" t="inlineStr">
        <is>
          <t>Kemon</t>
        </is>
      </c>
      <c r="E25252" t="n">
        <v>11.57</v>
      </c>
      <c r="F25252" t="n">
        <v>1</v>
      </c>
      <c r="G25252" t="n">
        <v>2</v>
      </c>
      <c r="H25252" s="5">
        <f>HYPERLINK("https://api.qogita.com/variants/link/8020936062448/", "View Product")</f>
        <v/>
      </c>
    </row>
    <row r="25253">
      <c r="A25253" t="inlineStr">
        <is>
          <t>8020936066880</t>
        </is>
      </c>
      <c r="B25253" t="inlineStr">
        <is>
          <t>Kemon Actyva Color Brilliant Hair Spray for Colored Hair 200ml</t>
        </is>
      </c>
      <c r="C25253" t="inlineStr">
        <is>
          <t>Hairspray</t>
        </is>
      </c>
      <c r="D25253" t="inlineStr">
        <is>
          <t>Kemon</t>
        </is>
      </c>
      <c r="E25253" t="n">
        <v>7.33</v>
      </c>
      <c r="F25253" t="n">
        <v>1</v>
      </c>
      <c r="G25253" t="n">
        <v>5</v>
      </c>
      <c r="H25253" s="5">
        <f>HYPERLINK("https://api.qogita.com/variants/link/8020936066880/", "View Product")</f>
        <v/>
      </c>
    </row>
    <row r="25254">
      <c r="A25254" t="inlineStr">
        <is>
          <t>8020936073413</t>
        </is>
      </c>
      <c r="B25254" t="inlineStr">
        <is>
          <t>Kemon Liding Color Cold Velian Shampoo 250ml</t>
        </is>
      </c>
      <c r="C25254" t="inlineStr">
        <is>
          <t>Shampoo</t>
        </is>
      </c>
      <c r="D25254" t="inlineStr">
        <is>
          <t>Kemon</t>
        </is>
      </c>
      <c r="E25254" t="n">
        <v>6.83</v>
      </c>
      <c r="F25254" t="n">
        <v>1</v>
      </c>
      <c r="G25254" t="n">
        <v>44</v>
      </c>
      <c r="H25254" s="5">
        <f>HYPERLINK("https://api.qogita.com/variants/link/8020936073413/", "View Product")</f>
        <v/>
      </c>
    </row>
    <row r="25255">
      <c r="A25255" t="inlineStr">
        <is>
          <t>8020936073611</t>
        </is>
      </c>
      <c r="B25255" t="inlineStr">
        <is>
          <t>Kemon Liding Nourishing Hair Mask 1000ml</t>
        </is>
      </c>
      <c r="C25255" t="inlineStr">
        <is>
          <t>Hair Masks</t>
        </is>
      </c>
      <c r="D25255" t="inlineStr">
        <is>
          <t>Kemon</t>
        </is>
      </c>
      <c r="E25255" t="n">
        <v>26.49</v>
      </c>
      <c r="F25255" t="n">
        <v>1</v>
      </c>
      <c r="G25255" t="n">
        <v>10</v>
      </c>
      <c r="H25255" s="5">
        <f>HYPERLINK("https://api.qogita.com/variants/link/8020936073611/", "View Product")</f>
        <v/>
      </c>
    </row>
    <row r="25256">
      <c r="A25256" t="inlineStr">
        <is>
          <t>8020936079354</t>
        </is>
      </c>
      <c r="B25256" t="inlineStr">
        <is>
          <t>Kemon Actyva Bellessere Heat Protection Thermo Spray with Memory Effect 200ml</t>
        </is>
      </c>
      <c r="C25256" t="inlineStr">
        <is>
          <t>Heat Protection</t>
        </is>
      </c>
      <c r="D25256" t="inlineStr">
        <is>
          <t>Kemon</t>
        </is>
      </c>
      <c r="E25256" t="n">
        <v>5.66</v>
      </c>
      <c r="F25256" t="n">
        <v>1</v>
      </c>
      <c r="G25256" t="n">
        <v>167</v>
      </c>
      <c r="H25256" s="5">
        <f>HYPERLINK("https://api.qogita.com/variants/link/8020936079354/", "View Product")</f>
        <v/>
      </c>
    </row>
    <row r="25257">
      <c r="A25257" t="inlineStr">
        <is>
          <t>8020936083955</t>
        </is>
      </c>
      <c r="B25257" t="inlineStr">
        <is>
          <t>Kemon Yo Cond Silver Reflective Climate Agent with Natural Origin, with Yogurt Extract and Soothing Workshop Plants 250ml</t>
        </is>
      </c>
      <c r="C25257" t="inlineStr">
        <is>
          <t>Hair Masks</t>
        </is>
      </c>
      <c r="D25257" t="inlineStr">
        <is>
          <t>Kemon</t>
        </is>
      </c>
      <c r="E25257" t="n">
        <v>9.949999999999999</v>
      </c>
      <c r="F25257" t="n">
        <v>1</v>
      </c>
      <c r="G25257" t="n">
        <v>16</v>
      </c>
      <c r="H25257" s="5">
        <f>HYPERLINK("https://api.qogita.com/variants/link/8020936083955/", "View Product")</f>
        <v/>
      </c>
    </row>
    <row r="25258">
      <c r="A25258" t="inlineStr">
        <is>
          <t>8020936084150</t>
        </is>
      </c>
      <c r="B25258" t="inlineStr">
        <is>
          <t>Kemon Yo Cond Rosa Reflective Climate Conditioner with Natural Origin, with Yogurt Extract and Soothing Workshop Plants 250ml</t>
        </is>
      </c>
      <c r="C25258" t="inlineStr">
        <is>
          <t>Conditioner</t>
        </is>
      </c>
      <c r="D25258" t="inlineStr">
        <is>
          <t>Kemon</t>
        </is>
      </c>
      <c r="E25258" t="n">
        <v>9.56</v>
      </c>
      <c r="F25258" t="n">
        <v>1</v>
      </c>
      <c r="G25258" t="n">
        <v>3</v>
      </c>
      <c r="H25258" s="5">
        <f>HYPERLINK("https://api.qogita.com/variants/link/8020936084150/", "View Product")</f>
        <v/>
      </c>
    </row>
    <row r="25259">
      <c r="A25259" t="inlineStr">
        <is>
          <t>8020936085171</t>
        </is>
      </c>
      <c r="B25259" t="inlineStr">
        <is>
          <t>Kemon Actyva Colore Brillante Shampoo 250ml - Hair Care</t>
        </is>
      </c>
      <c r="C25259" t="inlineStr">
        <is>
          <t>Shampoo</t>
        </is>
      </c>
      <c r="D25259" t="inlineStr">
        <is>
          <t>Kemon</t>
        </is>
      </c>
      <c r="E25259" t="n">
        <v>6.83</v>
      </c>
      <c r="F25259" t="n">
        <v>1</v>
      </c>
      <c r="G25259" t="n">
        <v>14</v>
      </c>
      <c r="H25259" s="5">
        <f>HYPERLINK("https://api.qogita.com/variants/link/8020936085171/", "View Product")</f>
        <v/>
      </c>
    </row>
    <row r="25260">
      <c r="A25260" t="inlineStr">
        <is>
          <t>8020936089346</t>
        </is>
      </c>
      <c r="B25260" t="inlineStr">
        <is>
          <t>Kemon Actyva Nuova Fibra Shampoo</t>
        </is>
      </c>
      <c r="C25260" t="inlineStr">
        <is>
          <t>Shampoo</t>
        </is>
      </c>
      <c r="D25260" t="inlineStr">
        <is>
          <t>Kemon</t>
        </is>
      </c>
      <c r="E25260" t="n">
        <v>22.35</v>
      </c>
      <c r="F25260" t="n">
        <v>1</v>
      </c>
      <c r="G25260" t="n">
        <v>26</v>
      </c>
      <c r="H25260" s="5">
        <f>HYPERLINK("https://api.qogita.com/variants/link/8020936089346/", "View Product")</f>
        <v/>
      </c>
    </row>
    <row r="25261">
      <c r="A25261" t="inlineStr">
        <is>
          <t>8020936096412</t>
        </is>
      </c>
      <c r="B25261" t="inlineStr">
        <is>
          <t>Kemon Hair Care Energy Shampoo Energising 1000 Ml</t>
        </is>
      </c>
      <c r="C25261" t="inlineStr">
        <is>
          <t>Shampoo</t>
        </is>
      </c>
      <c r="D25261" t="inlineStr">
        <is>
          <t>Kemon</t>
        </is>
      </c>
      <c r="E25261" t="n">
        <v>15.19</v>
      </c>
      <c r="F25261" t="n">
        <v>1</v>
      </c>
      <c r="G25261" t="n">
        <v>5</v>
      </c>
      <c r="H25261" s="5">
        <f>HYPERLINK("https://api.qogita.com/variants/link/8020936096412/", "View Product")</f>
        <v/>
      </c>
    </row>
    <row r="25262">
      <c r="A25262" t="inlineStr">
        <is>
          <t>8020936096542</t>
        </is>
      </c>
      <c r="B25262" t="inlineStr">
        <is>
          <t>Kemon Care Curly Hair Shampoo - 1000ml</t>
        </is>
      </c>
      <c r="C25262" t="inlineStr">
        <is>
          <t>Shampoo</t>
        </is>
      </c>
      <c r="D25262" t="inlineStr">
        <is>
          <t>Kemon</t>
        </is>
      </c>
      <c r="E25262" t="n">
        <v>15.27</v>
      </c>
      <c r="F25262" t="n">
        <v>1</v>
      </c>
      <c r="G25262" t="n">
        <v>3</v>
      </c>
      <c r="H25262" s="5">
        <f>HYPERLINK("https://api.qogita.com/variants/link/8020936096542/", "View Product")</f>
        <v/>
      </c>
    </row>
    <row r="25263">
      <c r="A25263" t="inlineStr">
        <is>
          <t>8020936097952</t>
        </is>
      </c>
      <c r="B25263" t="inlineStr">
        <is>
          <t>Actyva Conditioner for Fine Hair with Volumizing Effect and Linseed</t>
        </is>
      </c>
      <c r="C25263" t="inlineStr">
        <is>
          <t>Conditioner</t>
        </is>
      </c>
      <c r="D25263" t="inlineStr">
        <is>
          <t>Kemon</t>
        </is>
      </c>
      <c r="E25263" t="n">
        <v>6.83</v>
      </c>
      <c r="F25263" t="n">
        <v>1</v>
      </c>
      <c r="G25263" t="n">
        <v>5</v>
      </c>
      <c r="H25263" s="5">
        <f>HYPERLINK("https://api.qogita.com/variants/link/8020936097952/", "View Product")</f>
        <v/>
      </c>
    </row>
    <row r="25264">
      <c r="A25264" t="inlineStr">
        <is>
          <t>8020936098867</t>
        </is>
      </c>
      <c r="B25264" t="inlineStr">
        <is>
          <t>Actyva Brilliant Color Anti-Yellow Shampoo Eliminates Yellow Reflections</t>
        </is>
      </c>
      <c r="C25264" t="inlineStr">
        <is>
          <t>Shampoo</t>
        </is>
      </c>
      <c r="D25264" t="inlineStr">
        <is>
          <t>Kemon</t>
        </is>
      </c>
      <c r="E25264" t="n">
        <v>6.47</v>
      </c>
      <c r="F25264" t="n">
        <v>1</v>
      </c>
      <c r="G25264" t="n">
        <v>12</v>
      </c>
      <c r="H25264" s="5">
        <f>HYPERLINK("https://api.qogita.com/variants/link/8020936098867/", "View Product")</f>
        <v/>
      </c>
    </row>
    <row r="25265">
      <c r="A25265" t="inlineStr">
        <is>
          <t>8022297012384</t>
        </is>
      </c>
      <c r="B25265" t="inlineStr">
        <is>
          <t>Alfaparf Milano Semi Di Lino Sublime Cristalli Seda 45ml</t>
        </is>
      </c>
      <c r="C25265" t="inlineStr">
        <is>
          <t>Hair Oil &amp; Hair Serum</t>
        </is>
      </c>
      <c r="D25265" t="inlineStr">
        <is>
          <t>Alfaparf Milano</t>
        </is>
      </c>
      <c r="E25265" t="n">
        <v>16.59</v>
      </c>
      <c r="F25265" t="n">
        <v>1</v>
      </c>
      <c r="G25265" t="n">
        <v>14</v>
      </c>
      <c r="H25265" s="5">
        <f>HYPERLINK("https://api.qogita.com/variants/link/8022297012384/", "View Product")</f>
        <v/>
      </c>
    </row>
    <row r="25266">
      <c r="A25266" t="inlineStr">
        <is>
          <t>8022297048178</t>
        </is>
      </c>
      <c r="B25266" t="inlineStr">
        <is>
          <t>Alfaparf Milano The Hair Supporters Scalp Protector Step 1 156ml</t>
        </is>
      </c>
      <c r="C25266" t="inlineStr">
        <is>
          <t>Scalp Care</t>
        </is>
      </c>
      <c r="D25266" t="inlineStr">
        <is>
          <t>Alfaparf Milano</t>
        </is>
      </c>
      <c r="E25266" t="n">
        <v>17.51</v>
      </c>
      <c r="F25266" t="n">
        <v>1</v>
      </c>
      <c r="G25266" t="n">
        <v>5</v>
      </c>
      <c r="H25266" s="5">
        <f>HYPERLINK("https://api.qogita.com/variants/link/8022297048178/", "View Product")</f>
        <v/>
      </c>
    </row>
    <row r="25267">
      <c r="A25267" t="inlineStr">
        <is>
          <t>8022297064253</t>
        </is>
      </c>
      <c r="B25267" t="inlineStr">
        <is>
          <t>Alfaparf Milano Semi Di Lino Moisture Shampoo Nutriente Nourishing Shampoo For Dry Hair 250ml</t>
        </is>
      </c>
      <c r="C25267" t="inlineStr">
        <is>
          <t>Shampoo</t>
        </is>
      </c>
      <c r="D25267" t="inlineStr">
        <is>
          <t>Alfaparf Milano</t>
        </is>
      </c>
      <c r="E25267" t="n">
        <v>9.9</v>
      </c>
      <c r="F25267" t="n">
        <v>1</v>
      </c>
      <c r="G25267" t="n">
        <v>2</v>
      </c>
      <c r="H25267" s="5">
        <f>HYPERLINK("https://api.qogita.com/variants/link/8022297064253/", "View Product")</f>
        <v/>
      </c>
    </row>
    <row r="25268">
      <c r="A25268" t="inlineStr">
        <is>
          <t>8022297064956</t>
        </is>
      </c>
      <c r="B25268" t="inlineStr">
        <is>
          <t>Alfaparf Milano Semi Di Lino Diamond Illuminating Conditioner Brightening Conditioner For Normal Hair 200ml</t>
        </is>
      </c>
      <c r="C25268" t="inlineStr">
        <is>
          <t>Conditioner</t>
        </is>
      </c>
      <c r="D25268" t="inlineStr">
        <is>
          <t>Alfaparf Milano</t>
        </is>
      </c>
      <c r="E25268" t="n">
        <v>9.949999999999999</v>
      </c>
      <c r="F25268" t="n">
        <v>1</v>
      </c>
      <c r="G25268" t="n">
        <v>5</v>
      </c>
      <c r="H25268" s="5">
        <f>HYPERLINK("https://api.qogita.com/variants/link/8022297064956/", "View Product")</f>
        <v/>
      </c>
    </row>
    <row r="25269">
      <c r="A25269" t="inlineStr">
        <is>
          <t>8022297064987</t>
        </is>
      </c>
      <c r="B25269" t="inlineStr">
        <is>
          <t>Alfaparf Milano Semi Di Lino Diamond Illuminating Mask For Normal Hair</t>
        </is>
      </c>
      <c r="C25269" t="inlineStr">
        <is>
          <t>Hair Masks</t>
        </is>
      </c>
      <c r="D25269" t="inlineStr">
        <is>
          <t>Alfaparf Milano</t>
        </is>
      </c>
      <c r="E25269" t="n">
        <v>18.02</v>
      </c>
      <c r="F25269" t="n">
        <v>1</v>
      </c>
      <c r="G25269" t="n">
        <v>25</v>
      </c>
      <c r="H25269" s="5">
        <f>HYPERLINK("https://api.qogita.com/variants/link/8022297064987/", "View Product")</f>
        <v/>
      </c>
    </row>
    <row r="25270">
      <c r="A25270" t="inlineStr">
        <is>
          <t>8022297072029</t>
        </is>
      </c>
      <c r="B25270" t="inlineStr">
        <is>
          <t>Alfaparf Milano Semi Di Lino Sublime Cellula Madre Beauty Genesis 12x13ml</t>
        </is>
      </c>
      <c r="C25270" t="inlineStr">
        <is>
          <t>Hair Care Sets</t>
        </is>
      </c>
      <c r="D25270" t="inlineStr">
        <is>
          <t>Alfaparf Milano</t>
        </is>
      </c>
      <c r="E25270" t="n">
        <v>24.92</v>
      </c>
      <c r="F25270" t="n">
        <v>1</v>
      </c>
      <c r="G25270" t="n">
        <v>2</v>
      </c>
      <c r="H25270" s="5">
        <f>HYPERLINK("https://api.qogita.com/variants/link/8022297072029/", "View Product")</f>
        <v/>
      </c>
    </row>
    <row r="25271">
      <c r="A25271" t="inlineStr">
        <is>
          <t>8022297095868</t>
        </is>
      </c>
      <c r="B25271" t="inlineStr">
        <is>
          <t>Alfaparf Milano Semi Di Lino Scalp Renew Energizing Tonic 125ml</t>
        </is>
      </c>
      <c r="C25271" t="inlineStr">
        <is>
          <t>Hair Tonic</t>
        </is>
      </c>
      <c r="D25271" t="inlineStr">
        <is>
          <t>Alfaparf Milano</t>
        </is>
      </c>
      <c r="E25271" t="n">
        <v>11.58</v>
      </c>
      <c r="F25271" t="n">
        <v>1</v>
      </c>
      <c r="G25271" t="n">
        <v>10</v>
      </c>
      <c r="H25271" s="5">
        <f>HYPERLINK("https://api.qogita.com/variants/link/8022297095868/", "View Product")</f>
        <v/>
      </c>
    </row>
    <row r="25272">
      <c r="A25272" t="inlineStr">
        <is>
          <t>8022297095899</t>
        </is>
      </c>
      <c r="B25272" t="inlineStr">
        <is>
          <t>Alfaparf Milano Semi Di Lino Scalp Rebalance Purifying Shampoo 250ml</t>
        </is>
      </c>
      <c r="C25272" t="inlineStr">
        <is>
          <t>Shampoo</t>
        </is>
      </c>
      <c r="D25272" t="inlineStr">
        <is>
          <t>Alfaparf Milano</t>
        </is>
      </c>
      <c r="E25272" t="n">
        <v>8.960000000000001</v>
      </c>
      <c r="F25272" t="n">
        <v>1</v>
      </c>
      <c r="G25272" t="n">
        <v>20</v>
      </c>
      <c r="H25272" s="5">
        <f>HYPERLINK("https://api.qogita.com/variants/link/8022297095899/", "View Product")</f>
        <v/>
      </c>
    </row>
    <row r="25273">
      <c r="A25273" t="inlineStr">
        <is>
          <t>8022297095912</t>
        </is>
      </c>
      <c r="B25273" t="inlineStr">
        <is>
          <t>Alfaparf Milano Semi Di Lino Scalp Rebalance Shampoo Reequilibrante 250ml</t>
        </is>
      </c>
      <c r="C25273" t="inlineStr">
        <is>
          <t>Shampoo</t>
        </is>
      </c>
      <c r="D25273" t="inlineStr">
        <is>
          <t>Alfaparf Milano</t>
        </is>
      </c>
      <c r="E25273" t="n">
        <v>7.5</v>
      </c>
      <c r="F25273" t="n">
        <v>1</v>
      </c>
      <c r="G25273" t="n">
        <v>8</v>
      </c>
      <c r="H25273" s="5">
        <f>HYPERLINK("https://api.qogita.com/variants/link/8022297095912/", "View Product")</f>
        <v/>
      </c>
    </row>
    <row r="25274">
      <c r="A25274" t="inlineStr">
        <is>
          <t>8022297111230</t>
        </is>
      </c>
      <c r="B25274" t="inlineStr">
        <is>
          <t>Alfaparf Semi Di Lino Smooth Rebel Hair Mask - 200ml</t>
        </is>
      </c>
      <c r="C25274" t="inlineStr">
        <is>
          <t>Hair Masks</t>
        </is>
      </c>
      <c r="D25274" t="inlineStr">
        <is>
          <t>Alfaparf Milano</t>
        </is>
      </c>
      <c r="E25274" t="n">
        <v>11.1</v>
      </c>
      <c r="F25274" t="n">
        <v>1</v>
      </c>
      <c r="G25274" t="n">
        <v>10</v>
      </c>
      <c r="H25274" s="5">
        <f>HYPERLINK("https://api.qogita.com/variants/link/8022297111230/", "View Product")</f>
        <v/>
      </c>
    </row>
    <row r="25275">
      <c r="A25275" t="inlineStr">
        <is>
          <t>8022297111292</t>
        </is>
      </c>
      <c r="B25275" t="inlineStr">
        <is>
          <t>Alfaparf Milano Semi Di Lino Curls Conditioner 200ml</t>
        </is>
      </c>
      <c r="C25275" t="inlineStr">
        <is>
          <t>Conditioner</t>
        </is>
      </c>
      <c r="D25275" t="inlineStr">
        <is>
          <t>Alfaparf Milano</t>
        </is>
      </c>
      <c r="E25275" t="n">
        <v>12.43</v>
      </c>
      <c r="F25275" t="n">
        <v>1</v>
      </c>
      <c r="G25275" t="n">
        <v>9</v>
      </c>
      <c r="H25275" s="5">
        <f>HYPERLINK("https://api.qogita.com/variants/link/8022297111292/", "View Product")</f>
        <v/>
      </c>
    </row>
    <row r="25276">
      <c r="A25276" t="inlineStr">
        <is>
          <t>8022297111339</t>
        </is>
      </c>
      <c r="B25276" t="inlineStr">
        <is>
          <t>Alfaparf Semi Di Lino Curls Enhancing Mask - 200ml</t>
        </is>
      </c>
      <c r="C25276" t="inlineStr">
        <is>
          <t>Hair Masks</t>
        </is>
      </c>
      <c r="D25276" t="inlineStr">
        <is>
          <t>Alfaparf Milano</t>
        </is>
      </c>
      <c r="E25276" t="n">
        <v>8.960000000000001</v>
      </c>
      <c r="F25276" t="n">
        <v>1</v>
      </c>
      <c r="G25276" t="n">
        <v>37</v>
      </c>
      <c r="H25276" s="5">
        <f>HYPERLINK("https://api.qogita.com/variants/link/8022297111339/", "View Product")</f>
        <v/>
      </c>
    </row>
    <row r="25277">
      <c r="A25277" t="inlineStr">
        <is>
          <t>8022297111353</t>
        </is>
      </c>
      <c r="B25277" t="inlineStr">
        <is>
          <t>Alfaparf Semi Di Lino Curls Multi-Benefit Oil For Curly Hair 100ml</t>
        </is>
      </c>
      <c r="C25277" t="inlineStr">
        <is>
          <t>Hair Oil &amp; Hair Serum</t>
        </is>
      </c>
      <c r="D25277" t="inlineStr">
        <is>
          <t>Alfaparf Milano</t>
        </is>
      </c>
      <c r="E25277" t="n">
        <v>13.51</v>
      </c>
      <c r="F25277" t="n">
        <v>1</v>
      </c>
      <c r="G25277" t="n">
        <v>22</v>
      </c>
      <c r="H25277" s="5">
        <f>HYPERLINK("https://api.qogita.com/variants/link/8022297111353/", "View Product")</f>
        <v/>
      </c>
    </row>
    <row r="25278">
      <c r="A25278" t="inlineStr">
        <is>
          <t>8022297111377</t>
        </is>
      </c>
      <c r="B25278" t="inlineStr">
        <is>
          <t>Alfaparf Reactivating Spray For Curly And Wavy Hair 125ml</t>
        </is>
      </c>
      <c r="C25278" t="inlineStr">
        <is>
          <t>Leave-In Conditioner</t>
        </is>
      </c>
      <c r="D25278" t="inlineStr">
        <is>
          <t>Alfaparf Milano</t>
        </is>
      </c>
      <c r="E25278" t="n">
        <v>12.95</v>
      </c>
      <c r="F25278" t="n">
        <v>1</v>
      </c>
      <c r="G25278" t="n">
        <v>4</v>
      </c>
      <c r="H25278" s="5">
        <f>HYPERLINK("https://api.qogita.com/variants/link/8022297111377/", "View Product")</f>
        <v/>
      </c>
    </row>
    <row r="25279">
      <c r="A25279" t="inlineStr">
        <is>
          <t>8022297133478</t>
        </is>
      </c>
      <c r="B25279" t="inlineStr">
        <is>
          <t>Alfaparf Milano Semi Di Lino Sublime Cellula Madre Smoothing Treatment 150ml</t>
        </is>
      </c>
      <c r="C25279" t="inlineStr">
        <is>
          <t>Hair Masks</t>
        </is>
      </c>
      <c r="D25279" t="inlineStr">
        <is>
          <t>Alfaparf Milano</t>
        </is>
      </c>
      <c r="E25279" t="n">
        <v>15.68</v>
      </c>
      <c r="F25279" t="n">
        <v>1</v>
      </c>
      <c r="G25279" t="n">
        <v>11</v>
      </c>
      <c r="H25279" s="5">
        <f>HYPERLINK("https://api.qogita.com/variants/link/8022297133478/", "View Product")</f>
        <v/>
      </c>
    </row>
    <row r="25280">
      <c r="A25280" t="inlineStr">
        <is>
          <t>8022297141435</t>
        </is>
      </c>
      <c r="B25280" t="inlineStr">
        <is>
          <t>Alfaparf Keratin Therapy Lisse Design Conditioner After Keratin Hair Straightening 250ml</t>
        </is>
      </c>
      <c r="C25280" t="inlineStr">
        <is>
          <t>Conditioner</t>
        </is>
      </c>
      <c r="D25280" t="inlineStr">
        <is>
          <t>Alfaparf Milano</t>
        </is>
      </c>
      <c r="E25280" t="n">
        <v>10.27</v>
      </c>
      <c r="F25280" t="n">
        <v>1</v>
      </c>
      <c r="G25280" t="n">
        <v>2</v>
      </c>
      <c r="H25280" s="5">
        <f>HYPERLINK("https://api.qogita.com/variants/link/8022297141435/", "View Product")</f>
        <v/>
      </c>
    </row>
    <row r="25281">
      <c r="A25281" t="inlineStr">
        <is>
          <t>8022297141565</t>
        </is>
      </c>
      <c r="B25281" t="inlineStr">
        <is>
          <t>Alfaparf Milano Alfaparf Sdl Style And Care Text Dry Shampoo</t>
        </is>
      </c>
      <c r="C25281" t="inlineStr">
        <is>
          <t>Dry Shampoo</t>
        </is>
      </c>
      <c r="D25281" t="inlineStr">
        <is>
          <t>Alfaparf Milano</t>
        </is>
      </c>
      <c r="E25281" t="n">
        <v>9.630000000000001</v>
      </c>
      <c r="F25281" t="n">
        <v>1</v>
      </c>
      <c r="G25281" t="n">
        <v>14</v>
      </c>
      <c r="H25281" s="5">
        <f>HYPERLINK("https://api.qogita.com/variants/link/8022297141565/", "View Product")</f>
        <v/>
      </c>
    </row>
    <row r="25282">
      <c r="A25282" t="inlineStr">
        <is>
          <t>8022297154756</t>
        </is>
      </c>
      <c r="B25282" t="inlineStr">
        <is>
          <t>Alfaparf Milano Semi Di Lino Sublime Crystal Liquid Serum 30ml</t>
        </is>
      </c>
      <c r="C25282" t="inlineStr">
        <is>
          <t>Hair Oil &amp; Hair Serum</t>
        </is>
      </c>
      <c r="D25282" t="inlineStr">
        <is>
          <t>Alfaparf Milano</t>
        </is>
      </c>
      <c r="E25282" t="n">
        <v>9.949999999999999</v>
      </c>
      <c r="F25282" t="n">
        <v>1</v>
      </c>
      <c r="G25282" t="n">
        <v>32</v>
      </c>
      <c r="H25282" s="5">
        <f>HYPERLINK("https://api.qogita.com/variants/link/8022297154756/", "View Product")</f>
        <v/>
      </c>
    </row>
    <row r="25283">
      <c r="A25283" t="inlineStr">
        <is>
          <t>8022297154763</t>
        </is>
      </c>
      <c r="B25283" t="inlineStr">
        <is>
          <t>Alfaparf Milano Semi Di Lino Sublime Liquid Crystals 50ml Hair Care</t>
        </is>
      </c>
      <c r="C25283" t="inlineStr">
        <is>
          <t>Hair Oil &amp; Hair Serum</t>
        </is>
      </c>
      <c r="D25283" t="inlineStr">
        <is>
          <t>Alfaparf Milano</t>
        </is>
      </c>
      <c r="E25283" t="n">
        <v>12.68</v>
      </c>
      <c r="F25283" t="n">
        <v>1</v>
      </c>
      <c r="G25283" t="n">
        <v>75</v>
      </c>
      <c r="H25283" s="5">
        <f>HYPERLINK("https://api.qogita.com/variants/link/8022297154763/", "View Product")</f>
        <v/>
      </c>
    </row>
    <row r="25284">
      <c r="A25284" t="inlineStr">
        <is>
          <t>8022297160597</t>
        </is>
      </c>
      <c r="B25284" t="inlineStr">
        <is>
          <t>Alfaparf Milano Semi Di Lino Density Thickening Conditioner For Fine Hair 200ml</t>
        </is>
      </c>
      <c r="C25284" t="inlineStr">
        <is>
          <t>Conditioner</t>
        </is>
      </c>
      <c r="D25284" t="inlineStr">
        <is>
          <t>Alfaparf Milano</t>
        </is>
      </c>
      <c r="E25284" t="n">
        <v>11.41</v>
      </c>
      <c r="F25284" t="n">
        <v>1</v>
      </c>
      <c r="G25284" t="n">
        <v>5</v>
      </c>
      <c r="H25284" s="5">
        <f>HYPERLINK("https://api.qogita.com/variants/link/8022297160597/", "View Product")</f>
        <v/>
      </c>
    </row>
    <row r="25285">
      <c r="A25285" t="inlineStr">
        <is>
          <t>8022297161280</t>
        </is>
      </c>
      <c r="B25285" t="inlineStr">
        <is>
          <t>Alfaparf Milano Semi Di Lino Sublime Essential Oil Essential Oil For All Hair Types 12 X 13 Ml</t>
        </is>
      </c>
      <c r="C25285" t="inlineStr">
        <is>
          <t>Hair Oil &amp; Hair Serum</t>
        </is>
      </c>
      <c r="D25285" t="inlineStr">
        <is>
          <t>Alfaparf Milano</t>
        </is>
      </c>
      <c r="E25285" t="n">
        <v>21.9</v>
      </c>
      <c r="F25285" t="n">
        <v>1</v>
      </c>
      <c r="G25285" t="n">
        <v>9</v>
      </c>
      <c r="H25285" s="5">
        <f>HYPERLINK("https://api.qogita.com/variants/link/8022297161280/", "View Product")</f>
        <v/>
      </c>
    </row>
    <row r="25286">
      <c r="A25286" t="inlineStr">
        <is>
          <t>8022297168180</t>
        </is>
      </c>
      <c r="B25286" t="inlineStr">
        <is>
          <t>Alfaparf Milano Semi Di Lino Sublime Detoxifying Low Shampoo 1000ml</t>
        </is>
      </c>
      <c r="C25286" t="inlineStr">
        <is>
          <t>Shampoo</t>
        </is>
      </c>
      <c r="D25286" t="inlineStr">
        <is>
          <t>Alfaparf Milano</t>
        </is>
      </c>
      <c r="E25286" t="n">
        <v>23.59</v>
      </c>
      <c r="F25286" t="n">
        <v>1</v>
      </c>
      <c r="G25286" t="n">
        <v>14</v>
      </c>
      <c r="H25286" s="5">
        <f>HYPERLINK("https://api.qogita.com/variants/link/8022297168180/", "View Product")</f>
        <v/>
      </c>
    </row>
    <row r="25287">
      <c r="A25287" t="inlineStr">
        <is>
          <t>8022297175317</t>
        </is>
      </c>
      <c r="B25287" t="inlineStr">
        <is>
          <t>Alfaparf Milano Semi di Lino Reconstruction Reparative Mask Color Safe Deep Conditioning Hair Mask for Medium to Thick Hair 6.88 oz</t>
        </is>
      </c>
      <c r="C25287" t="inlineStr">
        <is>
          <t>Hair Masks</t>
        </is>
      </c>
      <c r="D25287" t="inlineStr">
        <is>
          <t>Alfaparf Milano</t>
        </is>
      </c>
      <c r="E25287" t="n">
        <v>13.6</v>
      </c>
      <c r="F25287" t="n">
        <v>1</v>
      </c>
      <c r="G25287" t="n">
        <v>24</v>
      </c>
      <c r="H25287" s="5">
        <f>HYPERLINK("https://api.qogita.com/variants/link/8022297175317/", "View Product")</f>
        <v/>
      </c>
    </row>
    <row r="25288">
      <c r="A25288" t="inlineStr">
        <is>
          <t>8025337134282</t>
        </is>
      </c>
      <c r="B25288" t="inlineStr">
        <is>
          <t>Kallos KJMN 620 100ml Hair Styling Product</t>
        </is>
      </c>
      <c r="C25288" t="inlineStr">
        <is>
          <t>Gel</t>
        </is>
      </c>
      <c r="D25288" t="inlineStr">
        <is>
          <t>Kallos</t>
        </is>
      </c>
      <c r="E25288" t="n">
        <v>2.57</v>
      </c>
      <c r="F25288" t="n">
        <v>1</v>
      </c>
      <c r="G25288" t="n">
        <v>5</v>
      </c>
      <c r="H25288" s="5">
        <f>HYPERLINK("https://api.qogita.com/variants/link/8025337134282/", "View Product")</f>
        <v/>
      </c>
    </row>
    <row r="25289">
      <c r="A25289" t="inlineStr">
        <is>
          <t>8028544100880</t>
        </is>
      </c>
      <c r="B25289" t="inlineStr">
        <is>
          <t>LORENZO VILLORESI Lorenzo Vill Donna Eau De Toilette Spray 100ml</t>
        </is>
      </c>
      <c r="C25289" t="inlineStr">
        <is>
          <t>Eau De Toilette</t>
        </is>
      </c>
      <c r="D25289" t="inlineStr">
        <is>
          <t>Lorenzo Villoresi</t>
        </is>
      </c>
      <c r="E25289" t="n">
        <v>75.59999999999999</v>
      </c>
      <c r="F25289" t="n">
        <v>1</v>
      </c>
      <c r="G25289" t="n">
        <v>6</v>
      </c>
      <c r="H25289" s="5">
        <f>HYPERLINK("https://api.qogita.com/variants/link/8028544100880/", "View Product")</f>
        <v/>
      </c>
    </row>
    <row r="25290">
      <c r="A25290" t="inlineStr">
        <is>
          <t>8028544101405</t>
        </is>
      </c>
      <c r="B25290" t="inlineStr">
        <is>
          <t>Lorenzo Vill of Villo Musk EDT Vapo 50ml</t>
        </is>
      </c>
      <c r="C25290" t="inlineStr">
        <is>
          <t>Eau De Toilette</t>
        </is>
      </c>
      <c r="D25290" t="inlineStr">
        <is>
          <t>Lorenzo Villoresi</t>
        </is>
      </c>
      <c r="E25290" t="n">
        <v>49.17</v>
      </c>
      <c r="F25290" t="n">
        <v>1</v>
      </c>
      <c r="G25290" t="n">
        <v>3</v>
      </c>
      <c r="H25290" s="5">
        <f>HYPERLINK("https://api.qogita.com/variants/link/8028544101405/", "View Product")</f>
        <v/>
      </c>
    </row>
    <row r="25291">
      <c r="A25291" t="inlineStr">
        <is>
          <t>8029041111638</t>
        </is>
      </c>
      <c r="B25291" t="inlineStr">
        <is>
          <t>Bionike Defense Twophase Eye Makeup Remover 150 Ml</t>
        </is>
      </c>
      <c r="C25291" t="inlineStr">
        <is>
          <t>Eye Makeup Remover</t>
        </is>
      </c>
      <c r="D25291" t="inlineStr">
        <is>
          <t>Bionike</t>
        </is>
      </c>
      <c r="E25291" t="n">
        <v>14.81</v>
      </c>
      <c r="F25291" t="n">
        <v>1</v>
      </c>
      <c r="G25291" t="n">
        <v>3</v>
      </c>
      <c r="H25291" s="5">
        <f>HYPERLINK("https://api.qogita.com/variants/link/8029041111638/", "View Product")</f>
        <v/>
      </c>
    </row>
    <row r="25292">
      <c r="A25292" t="inlineStr">
        <is>
          <t>8029352354236</t>
        </is>
      </c>
      <c r="B25292" t="inlineStr">
        <is>
          <t>INSIGHT Regenerating Body Oil 150ml</t>
        </is>
      </c>
      <c r="C25292" t="inlineStr">
        <is>
          <t>Body Oil</t>
        </is>
      </c>
      <c r="D25292" t="inlineStr">
        <is>
          <t>Insight</t>
        </is>
      </c>
      <c r="E25292" t="n">
        <v>9.640000000000001</v>
      </c>
      <c r="F25292" t="n">
        <v>1</v>
      </c>
      <c r="G25292" t="n">
        <v>5</v>
      </c>
      <c r="H25292" s="5">
        <f>HYPERLINK("https://api.qogita.com/variants/link/8029352354236/", "View Product")</f>
        <v/>
      </c>
    </row>
    <row r="25293">
      <c r="A25293" t="inlineStr">
        <is>
          <t>8029352462955</t>
        </is>
      </c>
      <c r="B25293" t="inlineStr">
        <is>
          <t>Oway Colorup Color Protection Mask For Colored Hair 150ml</t>
        </is>
      </c>
      <c r="C25293" t="inlineStr">
        <is>
          <t>Hair Masks</t>
        </is>
      </c>
      <c r="D25293" t="inlineStr">
        <is>
          <t>Oway</t>
        </is>
      </c>
      <c r="E25293" t="n">
        <v>18.98</v>
      </c>
      <c r="F25293" t="n">
        <v>1</v>
      </c>
      <c r="G25293" t="n">
        <v>7</v>
      </c>
      <c r="H25293" s="5">
        <f>HYPERLINK("https://api.qogita.com/variants/link/8029352462955/", "View Product")</f>
        <v/>
      </c>
    </row>
    <row r="25294">
      <c r="A25294" t="inlineStr">
        <is>
          <t>8032274010845</t>
        </is>
      </c>
      <c r="B25294" t="inlineStr">
        <is>
          <t>Milkshake Lifestyling Soft Hold Smoothing Hair Cream 150 Ml</t>
        </is>
      </c>
      <c r="C25294" t="inlineStr">
        <is>
          <t>Styling Creams</t>
        </is>
      </c>
      <c r="D25294" t="inlineStr">
        <is>
          <t>Milk_Shake</t>
        </is>
      </c>
      <c r="E25294" t="n">
        <v>10.14</v>
      </c>
      <c r="F25294" t="n">
        <v>1</v>
      </c>
      <c r="G25294" t="n">
        <v>5</v>
      </c>
      <c r="H25294" s="5">
        <f>HYPERLINK("https://api.qogita.com/variants/link/8032274010845/", "View Product")</f>
        <v/>
      </c>
    </row>
    <row r="25295">
      <c r="A25295" t="inlineStr">
        <is>
          <t>8032274010883</t>
        </is>
      </c>
      <c r="B25295" t="inlineStr">
        <is>
          <t>Milkshake Lifestyling Styling Potion Conditioning And Styling Cream 175ml</t>
        </is>
      </c>
      <c r="C25295" t="inlineStr">
        <is>
          <t>Styling Creams</t>
        </is>
      </c>
      <c r="D25295" t="inlineStr">
        <is>
          <t>Milk_Shake</t>
        </is>
      </c>
      <c r="E25295" t="n">
        <v>13.79</v>
      </c>
      <c r="F25295" t="n">
        <v>1</v>
      </c>
      <c r="G25295" t="n">
        <v>2</v>
      </c>
      <c r="H25295" s="5">
        <f>HYPERLINK("https://api.qogita.com/variants/link/8032274010883/", "View Product")</f>
        <v/>
      </c>
    </row>
    <row r="25296">
      <c r="A25296" t="inlineStr">
        <is>
          <t>8032274012917</t>
        </is>
      </c>
      <c r="B25296" t="inlineStr">
        <is>
          <t>Milk Shake Natural Care Active Yogurt Mask 250ml Nourishing Intensive Hair Mask For Dry Hair</t>
        </is>
      </c>
      <c r="C25296" t="inlineStr">
        <is>
          <t>Hair Masks</t>
        </is>
      </c>
      <c r="D25296" t="inlineStr">
        <is>
          <t>Milk_Shake</t>
        </is>
      </c>
      <c r="E25296" t="n">
        <v>9.24</v>
      </c>
      <c r="F25296" t="n">
        <v>1</v>
      </c>
      <c r="G25296" t="n">
        <v>4</v>
      </c>
      <c r="H25296" s="5">
        <f>HYPERLINK("https://api.qogita.com/variants/link/8032274012917/", "View Product")</f>
        <v/>
      </c>
    </row>
    <row r="25297">
      <c r="A25297" t="inlineStr">
        <is>
          <t>8032274049999</t>
        </is>
      </c>
      <c r="B25297" t="inlineStr">
        <is>
          <t>Milkshake Glistening Argan Oil 10ml For All Hair Types</t>
        </is>
      </c>
      <c r="C25297" t="inlineStr">
        <is>
          <t>Hair Oil &amp; Hair Serum</t>
        </is>
      </c>
      <c r="D25297" t="inlineStr">
        <is>
          <t>Milk_Shake</t>
        </is>
      </c>
      <c r="E25297" t="n">
        <v>4.56</v>
      </c>
      <c r="F25297" t="n">
        <v>1</v>
      </c>
      <c r="G25297" t="n">
        <v>19</v>
      </c>
      <c r="H25297" s="5">
        <f>HYPERLINK("https://api.qogita.com/variants/link/8032274049999/", "View Product")</f>
        <v/>
      </c>
    </row>
    <row r="25298">
      <c r="A25298" t="inlineStr">
        <is>
          <t>8032274051763</t>
        </is>
      </c>
      <c r="B25298" t="inlineStr">
        <is>
          <t>Milk Shake No Frizz Glistening Spray 100 Ml Styling Spray For Coarse And Unruly Hair</t>
        </is>
      </c>
      <c r="C25298" t="inlineStr">
        <is>
          <t>Styling Sprays</t>
        </is>
      </c>
      <c r="D25298" t="inlineStr">
        <is>
          <t>Milk_Shake</t>
        </is>
      </c>
      <c r="E25298" t="n">
        <v>11.06</v>
      </c>
      <c r="F25298" t="n">
        <v>1</v>
      </c>
      <c r="G25298" t="n">
        <v>14</v>
      </c>
      <c r="H25298" s="5">
        <f>HYPERLINK("https://api.qogita.com/variants/link/8032274051763/", "View Product")</f>
        <v/>
      </c>
    </row>
    <row r="25299">
      <c r="A25299" t="inlineStr">
        <is>
          <t>8032274054214</t>
        </is>
      </c>
      <c r="B25299" t="inlineStr">
        <is>
          <t>No Inhibition 12 Wonders Leave in Treatment 140ml</t>
        </is>
      </c>
      <c r="C25299" t="inlineStr">
        <is>
          <t>Leave-In Conditioner</t>
        </is>
      </c>
      <c r="D25299" t="inlineStr">
        <is>
          <t>No Inhibition</t>
        </is>
      </c>
      <c r="E25299" t="n">
        <v>11.32</v>
      </c>
      <c r="F25299" t="n">
        <v>1</v>
      </c>
      <c r="G25299" t="n">
        <v>9</v>
      </c>
      <c r="H25299" s="5">
        <f>HYPERLINK("https://api.qogita.com/variants/link/8032274054214/", "View Product")</f>
        <v/>
      </c>
    </row>
    <row r="25300">
      <c r="A25300" t="inlineStr">
        <is>
          <t>8032274055556</t>
        </is>
      </c>
      <c r="B25300" t="inlineStr">
        <is>
          <t>Milk_Shake Incredible Milk Leave-In Treatment for All Hair Types 150ml</t>
        </is>
      </c>
      <c r="C25300" t="inlineStr">
        <is>
          <t>Leave-In Conditioner</t>
        </is>
      </c>
      <c r="D25300" t="inlineStr">
        <is>
          <t>Milk_Shake</t>
        </is>
      </c>
      <c r="E25300" t="n">
        <v>12.93</v>
      </c>
      <c r="F25300" t="n">
        <v>1</v>
      </c>
      <c r="G25300" t="n">
        <v>2</v>
      </c>
      <c r="H25300" s="5">
        <f>HYPERLINK("https://api.qogita.com/variants/link/8032274055556/", "View Product")</f>
        <v/>
      </c>
    </row>
    <row r="25301">
      <c r="A25301" t="inlineStr">
        <is>
          <t>8032274059899</t>
        </is>
      </c>
      <c r="B25301" t="inlineStr">
        <is>
          <t>Milkshake Energizing Blend Shampoo Hair Thickening 1000ml Unisex</t>
        </is>
      </c>
      <c r="C25301" t="inlineStr">
        <is>
          <t>Shampoo</t>
        </is>
      </c>
      <c r="D25301" t="inlineStr">
        <is>
          <t>Milk_Shake</t>
        </is>
      </c>
      <c r="E25301" t="n">
        <v>22.17</v>
      </c>
      <c r="F25301" t="n">
        <v>1</v>
      </c>
      <c r="G25301" t="n">
        <v>3</v>
      </c>
      <c r="H25301" s="5">
        <f>HYPERLINK("https://api.qogita.com/variants/link/8032274059899/", "View Product")</f>
        <v/>
      </c>
    </row>
    <row r="25302">
      <c r="A25302" t="inlineStr">
        <is>
          <t>8032274059905</t>
        </is>
      </c>
      <c r="B25302" t="inlineStr">
        <is>
          <t>Milk_Shake Energizing Conditioner 1000ml Black Rosemary</t>
        </is>
      </c>
      <c r="C25302" t="inlineStr">
        <is>
          <t>Conditioner</t>
        </is>
      </c>
      <c r="D25302" t="inlineStr">
        <is>
          <t>Milk_Shake</t>
        </is>
      </c>
      <c r="E25302" t="n">
        <v>23.16</v>
      </c>
      <c r="F25302" t="n">
        <v>1</v>
      </c>
      <c r="G25302" t="n">
        <v>13</v>
      </c>
      <c r="H25302" s="5">
        <f>HYPERLINK("https://api.qogita.com/variants/link/8032274059905/", "View Product")</f>
        <v/>
      </c>
    </row>
    <row r="25303">
      <c r="A25303" t="inlineStr">
        <is>
          <t>8032274060734</t>
        </is>
      </c>
      <c r="B25303" t="inlineStr">
        <is>
          <t>Depot N 101 Normalizing Daily Shampoo 250ml</t>
        </is>
      </c>
      <c r="C25303" t="inlineStr">
        <is>
          <t>Shampoo</t>
        </is>
      </c>
      <c r="D25303" t="inlineStr">
        <is>
          <t>Depot</t>
        </is>
      </c>
      <c r="E25303" t="n">
        <v>7.28</v>
      </c>
      <c r="F25303" t="n">
        <v>1</v>
      </c>
      <c r="G25303" t="n">
        <v>15</v>
      </c>
      <c r="H25303" s="5">
        <f>HYPERLINK("https://api.qogita.com/variants/link/8032274060734/", "View Product")</f>
        <v/>
      </c>
    </row>
    <row r="25304">
      <c r="A25304" t="inlineStr">
        <is>
          <t>8032274061311</t>
        </is>
      </c>
      <c r="B25304" t="inlineStr">
        <is>
          <t>Depot N 501 Moisturizing &amp; Clarifying Beard Shampoo 250ml</t>
        </is>
      </c>
      <c r="C25304" t="inlineStr">
        <is>
          <t>Beard Care Sets</t>
        </is>
      </c>
      <c r="D25304" t="inlineStr">
        <is>
          <t>Depot</t>
        </is>
      </c>
      <c r="E25304" t="n">
        <v>9.710000000000001</v>
      </c>
      <c r="F25304" t="n">
        <v>1</v>
      </c>
      <c r="G25304" t="n">
        <v>5</v>
      </c>
      <c r="H25304" s="5">
        <f>HYPERLINK("https://api.qogita.com/variants/link/8032274061311/", "View Product")</f>
        <v/>
      </c>
    </row>
    <row r="25305">
      <c r="A25305" t="inlineStr">
        <is>
          <t>8032274062981</t>
        </is>
      </c>
      <c r="B25305" t="inlineStr">
        <is>
          <t>Milk Shake Normalizing Blend Shampoo For Normal To Oily Hair 300ml Unisex</t>
        </is>
      </c>
      <c r="C25305" t="inlineStr">
        <is>
          <t>Shampoo</t>
        </is>
      </c>
      <c r="D25305" t="inlineStr">
        <is>
          <t>Milk_Shake</t>
        </is>
      </c>
      <c r="E25305" t="n">
        <v>8.609999999999999</v>
      </c>
      <c r="F25305" t="n">
        <v>1</v>
      </c>
      <c r="G25305" t="n">
        <v>23</v>
      </c>
      <c r="H25305" s="5">
        <f>HYPERLINK("https://api.qogita.com/variants/link/8032274062981/", "View Product")</f>
        <v/>
      </c>
    </row>
    <row r="25306">
      <c r="A25306" t="inlineStr">
        <is>
          <t>8032274083344</t>
        </is>
      </c>
      <c r="B25306" t="inlineStr">
        <is>
          <t>Milk Shake Krespect Keratin System Preparing Shampoo Smoothing Shampoo For Coarse And Unruly Hair</t>
        </is>
      </c>
      <c r="C25306" t="inlineStr">
        <is>
          <t>Shampoo</t>
        </is>
      </c>
      <c r="D25306" t="inlineStr">
        <is>
          <t>Milk_Shake</t>
        </is>
      </c>
      <c r="E25306" t="n">
        <v>12.51</v>
      </c>
      <c r="F25306" t="n">
        <v>1</v>
      </c>
      <c r="G25306" t="n">
        <v>5</v>
      </c>
      <c r="H25306" s="5">
        <f>HYPERLINK("https://api.qogita.com/variants/link/8032274083344/", "View Product")</f>
        <v/>
      </c>
    </row>
    <row r="25307">
      <c r="A25307" t="inlineStr">
        <is>
          <t>8032274083351</t>
        </is>
      </c>
      <c r="B25307" t="inlineStr">
        <is>
          <t>Milk Shake K-Respect Shampoo for Frizzy Hair 250ml</t>
        </is>
      </c>
      <c r="C25307" t="inlineStr">
        <is>
          <t>Shampoo</t>
        </is>
      </c>
      <c r="D25307" t="inlineStr">
        <is>
          <t>Milk_Shake</t>
        </is>
      </c>
      <c r="E25307" t="n">
        <v>8.25</v>
      </c>
      <c r="F25307" t="n">
        <v>1</v>
      </c>
      <c r="G25307" t="n">
        <v>14</v>
      </c>
      <c r="H25307" s="5">
        <f>HYPERLINK("https://api.qogita.com/variants/link/8032274083351/", "View Product")</f>
        <v/>
      </c>
    </row>
    <row r="25308">
      <c r="A25308" t="inlineStr">
        <is>
          <t>8032274086895</t>
        </is>
      </c>
      <c r="B25308" t="inlineStr">
        <is>
          <t>DEPOT 309 Texturizing Dust 7g</t>
        </is>
      </c>
      <c r="C25308" t="inlineStr">
        <is>
          <t>Volume Powder</t>
        </is>
      </c>
      <c r="D25308" t="inlineStr">
        <is>
          <t>Depot</t>
        </is>
      </c>
      <c r="E25308" t="n">
        <v>15.7</v>
      </c>
      <c r="F25308" t="n">
        <v>1</v>
      </c>
      <c r="G25308" t="n">
        <v>7</v>
      </c>
      <c r="H25308" s="5">
        <f>HYPERLINK("https://api.qogita.com/variants/link/8032274086895/", "View Product")</f>
        <v/>
      </c>
    </row>
    <row r="25309">
      <c r="A25309" t="inlineStr">
        <is>
          <t>8032274101864</t>
        </is>
      </c>
      <c r="B25309" t="inlineStr">
        <is>
          <t>Milkshake Color Whipped Cream Cold Brunette 100ml Tinted Leavein Mousse</t>
        </is>
      </c>
      <c r="C25309" t="inlineStr">
        <is>
          <t>Mousse</t>
        </is>
      </c>
      <c r="D25309" t="inlineStr">
        <is>
          <t>Det Bästa</t>
        </is>
      </c>
      <c r="E25309" t="n">
        <v>7.74</v>
      </c>
      <c r="F25309" t="n">
        <v>1</v>
      </c>
      <c r="G25309" t="n">
        <v>3</v>
      </c>
      <c r="H25309" s="5">
        <f>HYPERLINK("https://api.qogita.com/variants/link/8032274101864/", "View Product")</f>
        <v/>
      </c>
    </row>
    <row r="25310">
      <c r="A25310" t="inlineStr">
        <is>
          <t>8032274101888</t>
        </is>
      </c>
      <c r="B25310" t="inlineStr">
        <is>
          <t>milk_shake Colour Whipped Cream Violet 100ml</t>
        </is>
      </c>
      <c r="C25310" t="inlineStr">
        <is>
          <t>Hair Coloring</t>
        </is>
      </c>
      <c r="D25310" t="inlineStr">
        <is>
          <t>Milk_Shake</t>
        </is>
      </c>
      <c r="E25310" t="n">
        <v>7.89</v>
      </c>
      <c r="F25310" t="n">
        <v>1</v>
      </c>
      <c r="G25310" t="n">
        <v>11</v>
      </c>
      <c r="H25310" s="5">
        <f>HYPERLINK("https://api.qogita.com/variants/link/8032274101888/", "View Product")</f>
        <v/>
      </c>
    </row>
    <row r="25311">
      <c r="A25311" t="inlineStr">
        <is>
          <t>8032274106227</t>
        </is>
      </c>
      <c r="B25311" t="inlineStr">
        <is>
          <t>Milk Shake Integrity Intensive Treatment Hair Mask 500ml</t>
        </is>
      </c>
      <c r="C25311" t="inlineStr">
        <is>
          <t>Hair Masks</t>
        </is>
      </c>
      <c r="D25311" t="inlineStr">
        <is>
          <t>Milk_Shake</t>
        </is>
      </c>
      <c r="E25311" t="n">
        <v>20.93</v>
      </c>
      <c r="F25311" t="n">
        <v>1</v>
      </c>
      <c r="G25311" t="n">
        <v>20</v>
      </c>
      <c r="H25311" s="5">
        <f>HYPERLINK("https://api.qogita.com/variants/link/8032274106227/", "View Product")</f>
        <v/>
      </c>
    </row>
    <row r="25312">
      <c r="A25312" t="inlineStr">
        <is>
          <t>8032274109068</t>
        </is>
      </c>
      <c r="B25312" t="inlineStr">
        <is>
          <t>Integrity Incredible Oil Regenerating Oil For Damaged Hair 50ml</t>
        </is>
      </c>
      <c r="C25312" t="inlineStr">
        <is>
          <t>Hair Oil &amp; Hair Serum</t>
        </is>
      </c>
      <c r="D25312" t="inlineStr">
        <is>
          <t>Integrity</t>
        </is>
      </c>
      <c r="E25312" t="n">
        <v>17.64</v>
      </c>
      <c r="F25312" t="n">
        <v>1</v>
      </c>
      <c r="G25312" t="n">
        <v>10</v>
      </c>
      <c r="H25312" s="5">
        <f>HYPERLINK("https://api.qogita.com/variants/link/8032274109068/", "View Product")</f>
        <v/>
      </c>
    </row>
    <row r="25313">
      <c r="A25313" t="inlineStr">
        <is>
          <t>8032274112242</t>
        </is>
      </c>
      <c r="B25313" t="inlineStr">
        <is>
          <t>Depot No. 310 Curl Designer CCUD020 Hair Cream 150ml</t>
        </is>
      </c>
      <c r="C25313" t="inlineStr">
        <is>
          <t>Styling Creams</t>
        </is>
      </c>
      <c r="D25313" t="inlineStr">
        <is>
          <t>Depot</t>
        </is>
      </c>
      <c r="E25313" t="n">
        <v>7.67</v>
      </c>
      <c r="F25313" t="n">
        <v>1</v>
      </c>
      <c r="G25313" t="n">
        <v>3</v>
      </c>
      <c r="H25313" s="5">
        <f>HYPERLINK("https://api.qogita.com/variants/link/8032274112242/", "View Product")</f>
        <v/>
      </c>
    </row>
    <row r="25314">
      <c r="A25314" t="inlineStr">
        <is>
          <t>8032274121749</t>
        </is>
      </c>
      <c r="B25314" t="inlineStr">
        <is>
          <t>Milk Shake Sos Roots Instant Hair Touch Up 75 Ml In Mahogany</t>
        </is>
      </c>
      <c r="C25314" t="inlineStr">
        <is>
          <t>Hairline Paint</t>
        </is>
      </c>
      <c r="D25314" t="inlineStr">
        <is>
          <t>Milk_Shake</t>
        </is>
      </c>
      <c r="E25314" t="n">
        <v>8.699999999999999</v>
      </c>
      <c r="F25314" t="n">
        <v>1</v>
      </c>
      <c r="G25314" t="n">
        <v>14</v>
      </c>
      <c r="H25314" s="5">
        <f>HYPERLINK("https://api.qogita.com/variants/link/8032274121749/", "View Product")</f>
        <v/>
      </c>
    </row>
    <row r="25315">
      <c r="A25315" t="inlineStr">
        <is>
          <t>8032274143857</t>
        </is>
      </c>
      <c r="B25315" t="inlineStr">
        <is>
          <t>Milk Shake Cold Brunette Shampoo 1000ml</t>
        </is>
      </c>
      <c r="C25315" t="inlineStr">
        <is>
          <t>Shampoo</t>
        </is>
      </c>
      <c r="D25315" t="inlineStr">
        <is>
          <t>Milk_Shake</t>
        </is>
      </c>
      <c r="E25315" t="n">
        <v>23.62</v>
      </c>
      <c r="F25315" t="n">
        <v>1</v>
      </c>
      <c r="G25315" t="n">
        <v>25</v>
      </c>
      <c r="H25315" s="5">
        <f>HYPERLINK("https://api.qogita.com/variants/link/8032274143857/", "View Product")</f>
        <v/>
      </c>
    </row>
    <row r="25316">
      <c r="A25316" t="inlineStr">
        <is>
          <t>8032274147701</t>
        </is>
      </c>
      <c r="B25316" t="inlineStr">
        <is>
          <t>Milk Shake Color Maintainer Shampoo 1000ml</t>
        </is>
      </c>
      <c r="C25316" t="inlineStr">
        <is>
          <t>Shampoo</t>
        </is>
      </c>
      <c r="D25316" t="inlineStr">
        <is>
          <t>Milk_Shake</t>
        </is>
      </c>
      <c r="E25316" t="n">
        <v>17.71</v>
      </c>
      <c r="F25316" t="n">
        <v>1</v>
      </c>
      <c r="G25316" t="n">
        <v>18</v>
      </c>
      <c r="H25316" s="5">
        <f>HYPERLINK("https://api.qogita.com/variants/link/8032274147701/", "View Product")</f>
        <v/>
      </c>
    </row>
    <row r="25317">
      <c r="A25317" t="inlineStr">
        <is>
          <t>8032274147817</t>
        </is>
      </c>
      <c r="B25317" t="inlineStr">
        <is>
          <t>Milk Shake Haircare Color Maintainer Conditioner 1000ml For Colored Hair</t>
        </is>
      </c>
      <c r="C25317" t="inlineStr">
        <is>
          <t>Conditioner</t>
        </is>
      </c>
      <c r="D25317" t="inlineStr">
        <is>
          <t>Milk_Shake</t>
        </is>
      </c>
      <c r="E25317" t="n">
        <v>19.02</v>
      </c>
      <c r="F25317" t="n">
        <v>1</v>
      </c>
      <c r="G25317" t="n">
        <v>14</v>
      </c>
      <c r="H25317" s="5">
        <f>HYPERLINK("https://api.qogita.com/variants/link/8032274147817/", "View Product")</f>
        <v/>
      </c>
    </row>
    <row r="25318">
      <c r="A25318" t="inlineStr">
        <is>
          <t>8032274151333</t>
        </is>
      </c>
      <c r="B25318" t="inlineStr">
        <is>
          <t>Milk Shake Purifying Blend Shampoo 300ml</t>
        </is>
      </c>
      <c r="C25318" t="inlineStr">
        <is>
          <t>Shampoo</t>
        </is>
      </c>
      <c r="D25318" t="inlineStr">
        <is>
          <t>Milk_Shake</t>
        </is>
      </c>
      <c r="E25318" t="n">
        <v>8.73</v>
      </c>
      <c r="F25318" t="n">
        <v>1</v>
      </c>
      <c r="G25318" t="n">
        <v>2</v>
      </c>
      <c r="H25318" s="5">
        <f>HYPERLINK("https://api.qogita.com/variants/link/8032274151333/", "View Product")</f>
        <v/>
      </c>
    </row>
    <row r="25319">
      <c r="A25319" t="inlineStr">
        <is>
          <t>8032274167327</t>
        </is>
      </c>
      <c r="B25319" t="inlineStr">
        <is>
          <t>Milk Shake Make My Day Shampoo 300 Ml</t>
        </is>
      </c>
      <c r="C25319" t="inlineStr">
        <is>
          <t>Shampoo</t>
        </is>
      </c>
      <c r="D25319" t="inlineStr">
        <is>
          <t>Milk_Shake</t>
        </is>
      </c>
      <c r="E25319" t="n">
        <v>10.74</v>
      </c>
      <c r="F25319" t="n">
        <v>1</v>
      </c>
      <c r="G25319" t="n">
        <v>22</v>
      </c>
      <c r="H25319" s="5">
        <f>HYPERLINK("https://api.qogita.com/variants/link/8032274167327/", "View Product")</f>
        <v/>
      </c>
    </row>
    <row r="25320">
      <c r="A25320" t="inlineStr">
        <is>
          <t>8032274169321</t>
        </is>
      </c>
      <c r="B25320" t="inlineStr">
        <is>
          <t>Milk Shake Make My Day Daily Conditioner 250 Ml</t>
        </is>
      </c>
      <c r="C25320" t="inlineStr">
        <is>
          <t>Conditioner</t>
        </is>
      </c>
      <c r="D25320" t="inlineStr">
        <is>
          <t>Milk_Shake</t>
        </is>
      </c>
      <c r="E25320" t="n">
        <v>11.3</v>
      </c>
      <c r="F25320" t="n">
        <v>1</v>
      </c>
      <c r="G25320" t="n">
        <v>21</v>
      </c>
      <c r="H25320" s="5">
        <f>HYPERLINK("https://api.qogita.com/variants/link/8032274169321/", "View Product")</f>
        <v/>
      </c>
    </row>
    <row r="25321">
      <c r="A25321" t="inlineStr">
        <is>
          <t>8032274170761</t>
        </is>
      </c>
      <c r="B25321" t="inlineStr">
        <is>
          <t>Milk Shake Colour Care Colour Maintainer Conditioner Flower 300ml</t>
        </is>
      </c>
      <c r="C25321" t="inlineStr">
        <is>
          <t>Conditioner</t>
        </is>
      </c>
      <c r="D25321" t="inlineStr">
        <is>
          <t>Milk_Shake</t>
        </is>
      </c>
      <c r="E25321" t="n">
        <v>8.9</v>
      </c>
      <c r="F25321" t="n">
        <v>1</v>
      </c>
      <c r="G25321" t="n">
        <v>18</v>
      </c>
      <c r="H25321" s="5">
        <f>HYPERLINK("https://api.qogita.com/variants/link/8032274170761/", "View Product")</f>
        <v/>
      </c>
    </row>
    <row r="25322">
      <c r="A25322" t="inlineStr">
        <is>
          <t>8032274175865</t>
        </is>
      </c>
      <c r="B25322" t="inlineStr">
        <is>
          <t>Milk Shake Pink Lemonade Shampoo For Blonde And Lightened Hair</t>
        </is>
      </c>
      <c r="C25322" t="inlineStr">
        <is>
          <t>Shampoo</t>
        </is>
      </c>
      <c r="D25322" t="inlineStr">
        <is>
          <t>Milk_Shake</t>
        </is>
      </c>
      <c r="E25322" t="n">
        <v>22.67</v>
      </c>
      <c r="F25322" t="n">
        <v>1</v>
      </c>
      <c r="G25322" t="n">
        <v>5</v>
      </c>
      <c r="H25322" s="5">
        <f>HYPERLINK("https://api.qogita.com/variants/link/8032274175865/", "View Product")</f>
        <v/>
      </c>
    </row>
    <row r="25323">
      <c r="A25323" t="inlineStr">
        <is>
          <t>8032274175896</t>
        </is>
      </c>
      <c r="B25323" t="inlineStr">
        <is>
          <t>Milk Shake Conditioner For Blonde And Lightened Hair Pink Lemonade</t>
        </is>
      </c>
      <c r="C25323" t="inlineStr">
        <is>
          <t>Conditioner</t>
        </is>
      </c>
      <c r="D25323" t="inlineStr">
        <is>
          <t>Milk_Shake</t>
        </is>
      </c>
      <c r="E25323" t="n">
        <v>30.51</v>
      </c>
      <c r="F25323" t="n">
        <v>1</v>
      </c>
      <c r="G25323" t="n">
        <v>12</v>
      </c>
      <c r="H25323" s="5">
        <f>HYPERLINK("https://api.qogita.com/variants/link/8032274175896/", "View Product")</f>
        <v/>
      </c>
    </row>
    <row r="25324">
      <c r="A25324" t="inlineStr">
        <is>
          <t>8032529113437</t>
        </is>
      </c>
      <c r="B25324" t="inlineStr">
        <is>
          <t>Salvatore Ferragamo Incanto Charms Eau De Toilette</t>
        </is>
      </c>
      <c r="C25324" t="inlineStr">
        <is>
          <t>Eau De Toilette</t>
        </is>
      </c>
      <c r="D25324" t="inlineStr">
        <is>
          <t>Salvatore Ferragamo</t>
        </is>
      </c>
      <c r="E25324" t="n">
        <v>14.35</v>
      </c>
      <c r="F25324" t="n">
        <v>1</v>
      </c>
      <c r="G25324" t="n">
        <v>12</v>
      </c>
      <c r="H25324" s="5">
        <f>HYPERLINK("https://api.qogita.com/variants/link/8032529113437/", "View Product")</f>
        <v/>
      </c>
    </row>
    <row r="25325">
      <c r="A25325" t="inlineStr">
        <is>
          <t>8032758530531</t>
        </is>
      </c>
      <c r="B25325" t="inlineStr">
        <is>
          <t>Acqua Eau de Toilette 100ml</t>
        </is>
      </c>
      <c r="C25325" t="inlineStr">
        <is>
          <t>Eau De Toilette</t>
        </is>
      </c>
      <c r="D25325" t="inlineStr">
        <is>
          <t>Acqua Dell'elba</t>
        </is>
      </c>
      <c r="E25325" t="n">
        <v>70.56</v>
      </c>
      <c r="F25325" t="n">
        <v>1</v>
      </c>
      <c r="G25325" t="n">
        <v>3</v>
      </c>
      <c r="H25325" s="5">
        <f>HYPERLINK("https://api.qogita.com/variants/link/8032758530531/", "View Product")</f>
        <v/>
      </c>
    </row>
    <row r="25326">
      <c r="A25326" t="inlineStr">
        <is>
          <t>8032947860432</t>
        </is>
      </c>
      <c r="B25326" t="inlineStr">
        <is>
          <t>Fanola Cream Colore Colouring Cream 6.4 Dark Blonde Copper 100ml</t>
        </is>
      </c>
      <c r="C25326" t="inlineStr">
        <is>
          <t>Hair Dye</t>
        </is>
      </c>
      <c r="D25326" t="inlineStr">
        <is>
          <t>Fanola</t>
        </is>
      </c>
      <c r="E25326" t="n">
        <v>3.1</v>
      </c>
      <c r="F25326" t="n">
        <v>1</v>
      </c>
      <c r="G25326" t="n">
        <v>2</v>
      </c>
      <c r="H25326" s="5">
        <f>HYPERLINK("https://api.qogita.com/variants/link/8032947860432/", "View Product")</f>
        <v/>
      </c>
    </row>
    <row r="25327">
      <c r="A25327" t="inlineStr">
        <is>
          <t>8032947860517</t>
        </is>
      </c>
      <c r="B25327" t="inlineStr">
        <is>
          <t>Fanola 7.44 Blonde Intense Copper Hair Color 100ml</t>
        </is>
      </c>
      <c r="C25327" t="inlineStr">
        <is>
          <t>Hair Dye</t>
        </is>
      </c>
      <c r="D25327" t="inlineStr">
        <is>
          <t>Fanola</t>
        </is>
      </c>
      <c r="E25327" t="n">
        <v>3.05</v>
      </c>
      <c r="F25327" t="n">
        <v>1</v>
      </c>
      <c r="G25327" t="n">
        <v>5</v>
      </c>
      <c r="H25327" s="5">
        <f>HYPERLINK("https://api.qogita.com/variants/link/8032947860517/", "View Product")</f>
        <v/>
      </c>
    </row>
    <row r="25328">
      <c r="A25328" t="inlineStr">
        <is>
          <t>8032947860630</t>
        </is>
      </c>
      <c r="B25328" t="inlineStr">
        <is>
          <t>Fanola Hair Dye 11.1 Blonde Platinum Ash Clarifying 100ml</t>
        </is>
      </c>
      <c r="C25328" t="inlineStr">
        <is>
          <t>Hair Dye</t>
        </is>
      </c>
      <c r="D25328" t="inlineStr">
        <is>
          <t>Fanola</t>
        </is>
      </c>
      <c r="E25328" t="n">
        <v>3.06</v>
      </c>
      <c r="F25328" t="n">
        <v>1</v>
      </c>
      <c r="G25328" t="n">
        <v>2</v>
      </c>
      <c r="H25328" s="5">
        <f>HYPERLINK("https://api.qogita.com/variants/link/8032947860630/", "View Product")</f>
        <v/>
      </c>
    </row>
    <row r="25329">
      <c r="A25329" t="inlineStr">
        <is>
          <t>8032947860692</t>
        </is>
      </c>
      <c r="B25329" t="inlineStr">
        <is>
          <t>Fanola Crema Colore Colouring Cream Correctors Yellow Mixton 100ml</t>
        </is>
      </c>
      <c r="C25329" t="inlineStr">
        <is>
          <t>Hair Dye</t>
        </is>
      </c>
      <c r="D25329" t="inlineStr">
        <is>
          <t>Fanola</t>
        </is>
      </c>
      <c r="E25329" t="n">
        <v>3.81</v>
      </c>
      <c r="F25329" t="n">
        <v>1</v>
      </c>
      <c r="G25329" t="n">
        <v>2</v>
      </c>
      <c r="H25329" s="5">
        <f>HYPERLINK("https://api.qogita.com/variants/link/8032947860692/", "View Product")</f>
        <v/>
      </c>
    </row>
    <row r="25330">
      <c r="A25330" t="inlineStr">
        <is>
          <t>8032947860760</t>
        </is>
      </c>
      <c r="B25330" t="inlineStr">
        <is>
          <t>Fanola Cream Colore Colouring Cream 8.14 Cocoa 100ml</t>
        </is>
      </c>
      <c r="C25330" t="inlineStr">
        <is>
          <t>Hair Dye</t>
        </is>
      </c>
      <c r="D25330" t="inlineStr">
        <is>
          <t>Fanola</t>
        </is>
      </c>
      <c r="E25330" t="n">
        <v>3.06</v>
      </c>
      <c r="F25330" t="n">
        <v>1</v>
      </c>
      <c r="G25330" t="n">
        <v>3</v>
      </c>
      <c r="H25330" s="5">
        <f>HYPERLINK("https://api.qogita.com/variants/link/8032947860760/", "View Product")</f>
        <v/>
      </c>
    </row>
    <row r="25331">
      <c r="A25331" t="inlineStr">
        <is>
          <t>8032947860777</t>
        </is>
      </c>
      <c r="B25331" t="inlineStr">
        <is>
          <t>Fanola Color Cream Dye Tint for Hair 100ml Walnut 9.14</t>
        </is>
      </c>
      <c r="C25331" t="inlineStr">
        <is>
          <t>Hair Dye</t>
        </is>
      </c>
      <c r="D25331" t="inlineStr">
        <is>
          <t>Fanola</t>
        </is>
      </c>
      <c r="E25331" t="n">
        <v>3.06</v>
      </c>
      <c r="F25331" t="n">
        <v>1</v>
      </c>
      <c r="G25331" t="n">
        <v>9</v>
      </c>
      <c r="H25331" s="5">
        <f>HYPERLINK("https://api.qogita.com/variants/link/8032947860777/", "View Product")</f>
        <v/>
      </c>
    </row>
    <row r="25332">
      <c r="A25332" t="inlineStr">
        <is>
          <t>8032947861712</t>
        </is>
      </c>
      <c r="B25332" t="inlineStr">
        <is>
          <t>Fanola Oxidant Cream 40 Volume 12% 300ml</t>
        </is>
      </c>
      <c r="C25332" t="inlineStr">
        <is>
          <t>Bleaching</t>
        </is>
      </c>
      <c r="D25332" t="inlineStr">
        <is>
          <t>Fanola</t>
        </is>
      </c>
      <c r="E25332" t="n">
        <v>1.54</v>
      </c>
      <c r="F25332" t="n">
        <v>1</v>
      </c>
      <c r="G25332" t="n">
        <v>12</v>
      </c>
      <c r="H25332" s="5">
        <f>HYPERLINK("https://api.qogita.com/variants/link/8032947861712/", "View Product")</f>
        <v/>
      </c>
    </row>
    <row r="25333">
      <c r="A25333" t="inlineStr">
        <is>
          <t>8032947863068</t>
        </is>
      </c>
      <c r="B25333" t="inlineStr">
        <is>
          <t>Fanola Hair Colour Cream 9.11 Light Blonde Intensive Ash 100ml</t>
        </is>
      </c>
      <c r="C25333" t="inlineStr">
        <is>
          <t>Hair Dye</t>
        </is>
      </c>
      <c r="D25333" t="inlineStr">
        <is>
          <t>Fanola</t>
        </is>
      </c>
      <c r="E25333" t="n">
        <v>3.48</v>
      </c>
      <c r="F25333" t="n">
        <v>1</v>
      </c>
      <c r="G25333" t="n">
        <v>2</v>
      </c>
      <c r="H25333" s="5">
        <f>HYPERLINK("https://api.qogita.com/variants/link/8032947863068/", "View Product")</f>
        <v/>
      </c>
    </row>
    <row r="25334">
      <c r="A25334" t="inlineStr">
        <is>
          <t>8032947863136</t>
        </is>
      </c>
      <c r="B25334" t="inlineStr">
        <is>
          <t>Fanola Cream Colore Colouring Cream 7.29 Nougat Chocolate 100ml</t>
        </is>
      </c>
      <c r="C25334" t="inlineStr">
        <is>
          <t>Hair Dye</t>
        </is>
      </c>
      <c r="D25334" t="inlineStr">
        <is>
          <t>Fanola</t>
        </is>
      </c>
      <c r="E25334" t="n">
        <v>3.06</v>
      </c>
      <c r="F25334" t="n">
        <v>1</v>
      </c>
      <c r="G25334" t="n">
        <v>3</v>
      </c>
      <c r="H25334" s="5">
        <f>HYPERLINK("https://api.qogita.com/variants/link/8032947863136/", "View Product")</f>
        <v/>
      </c>
    </row>
    <row r="25335">
      <c r="A25335" t="inlineStr">
        <is>
          <t>8032947863549</t>
        </is>
      </c>
      <c r="B25335" t="inlineStr">
        <is>
          <t>FANOLA Oro Puro Therapy Color Keratin Hair Color 100ml 7.31 Medium Blonde Sand</t>
        </is>
      </c>
      <c r="C25335" t="inlineStr">
        <is>
          <t>Hair Dye</t>
        </is>
      </c>
      <c r="D25335" t="inlineStr">
        <is>
          <t>Fanola</t>
        </is>
      </c>
      <c r="E25335" t="n">
        <v>3.81</v>
      </c>
      <c r="F25335" t="n">
        <v>1</v>
      </c>
      <c r="G25335" t="n">
        <v>3</v>
      </c>
      <c r="H25335" s="5">
        <f>HYPERLINK("https://api.qogita.com/variants/link/8032947863549/", "View Product")</f>
        <v/>
      </c>
    </row>
    <row r="25336">
      <c r="A25336" t="inlineStr">
        <is>
          <t>8032947863563</t>
        </is>
      </c>
      <c r="B25336" t="inlineStr">
        <is>
          <t>Fanola Oro Therapy Colour Keratin Puro 9.31 Light Blonde Sand 100ml</t>
        </is>
      </c>
      <c r="C25336" t="inlineStr">
        <is>
          <t>Hair Dye</t>
        </is>
      </c>
      <c r="D25336" t="inlineStr">
        <is>
          <t>Fanola</t>
        </is>
      </c>
      <c r="E25336" t="n">
        <v>3.78</v>
      </c>
      <c r="F25336" t="n">
        <v>1</v>
      </c>
      <c r="G25336" t="n">
        <v>2</v>
      </c>
      <c r="H25336" s="5">
        <f>HYPERLINK("https://api.qogita.com/variants/link/8032947863563/", "View Product")</f>
        <v/>
      </c>
    </row>
    <row r="25337">
      <c r="A25337" t="inlineStr">
        <is>
          <t>8032947864478</t>
        </is>
      </c>
      <c r="B25337" t="inlineStr">
        <is>
          <t>Fanola Oro Therapy Color Keratin 7.3 Medium Blonde Gold 100ml</t>
        </is>
      </c>
      <c r="C25337" t="inlineStr">
        <is>
          <t>Hair Dye</t>
        </is>
      </c>
      <c r="D25337" t="inlineStr">
        <is>
          <t>Fanola</t>
        </is>
      </c>
      <c r="E25337" t="n">
        <v>3.81</v>
      </c>
      <c r="F25337" t="n">
        <v>1</v>
      </c>
      <c r="G25337" t="n">
        <v>2</v>
      </c>
      <c r="H25337" s="5">
        <f>HYPERLINK("https://api.qogita.com/variants/link/8032947864478/", "View Product")</f>
        <v/>
      </c>
    </row>
    <row r="25338">
      <c r="A25338" t="inlineStr">
        <is>
          <t>8032947864577</t>
        </is>
      </c>
      <c r="B25338" t="inlineStr">
        <is>
          <t>Fanola Oro Therapy Color Keratin 10.0 Extra 100ml</t>
        </is>
      </c>
      <c r="C25338" t="inlineStr">
        <is>
          <t>Hair Oil &amp; Hair Serum</t>
        </is>
      </c>
      <c r="D25338" t="inlineStr">
        <is>
          <t>Fanola</t>
        </is>
      </c>
      <c r="E25338" t="n">
        <v>3.81</v>
      </c>
      <c r="F25338" t="n">
        <v>1</v>
      </c>
      <c r="G25338" t="n">
        <v>3</v>
      </c>
      <c r="H25338" s="5">
        <f>HYPERLINK("https://api.qogita.com/variants/link/8032947864577/", "View Product")</f>
        <v/>
      </c>
    </row>
    <row r="25339">
      <c r="A25339" t="inlineStr">
        <is>
          <t>8032947865819</t>
        </is>
      </c>
      <c r="B25339" t="inlineStr">
        <is>
          <t>Fanola Keraterm Keratin Mask For Frizzy Hair 1000ml</t>
        </is>
      </c>
      <c r="C25339" t="inlineStr">
        <is>
          <t>Hair Masks</t>
        </is>
      </c>
      <c r="D25339" t="inlineStr">
        <is>
          <t>Fanola</t>
        </is>
      </c>
      <c r="E25339" t="n">
        <v>10.49</v>
      </c>
      <c r="F25339" t="n">
        <v>1</v>
      </c>
      <c r="G25339" t="n">
        <v>55</v>
      </c>
      <c r="H25339" s="5">
        <f>HYPERLINK("https://api.qogita.com/variants/link/8032947865819/", "View Product")</f>
        <v/>
      </c>
    </row>
    <row r="25340">
      <c r="A25340" t="inlineStr">
        <is>
          <t>8032947866045</t>
        </is>
      </c>
      <c r="B25340" t="inlineStr">
        <is>
          <t>Fanola Oro Therapy Color Keratin 7.606 100mL - Warm Red Blonde</t>
        </is>
      </c>
      <c r="C25340" t="inlineStr">
        <is>
          <t>Hair Dye</t>
        </is>
      </c>
      <c r="D25340" t="inlineStr">
        <is>
          <t>Fanola</t>
        </is>
      </c>
      <c r="E25340" t="n">
        <v>3.81</v>
      </c>
      <c r="F25340" t="n">
        <v>1</v>
      </c>
      <c r="G25340" t="n">
        <v>4</v>
      </c>
      <c r="H25340" s="5">
        <f>HYPERLINK("https://api.qogita.com/variants/link/8032947866045/", "View Product")</f>
        <v/>
      </c>
    </row>
    <row r="25341">
      <c r="A25341" t="inlineStr">
        <is>
          <t>8032947866243</t>
        </is>
      </c>
      <c r="B25341" t="inlineStr">
        <is>
          <t>Fanola No Yellow Violet Bleaching Cream 500g</t>
        </is>
      </c>
      <c r="C25341" t="inlineStr">
        <is>
          <t>Bleaching</t>
        </is>
      </c>
      <c r="D25341" t="inlineStr">
        <is>
          <t>Fanola</t>
        </is>
      </c>
      <c r="E25341" t="n">
        <v>16.45</v>
      </c>
      <c r="F25341" t="n">
        <v>1</v>
      </c>
      <c r="G25341" t="n">
        <v>23</v>
      </c>
      <c r="H25341" s="5">
        <f>HYPERLINK("https://api.qogita.com/variants/link/8032947866243/", "View Product")</f>
        <v/>
      </c>
    </row>
    <row r="25342">
      <c r="A25342" t="inlineStr">
        <is>
          <t>8032947866267</t>
        </is>
      </c>
      <c r="B25342" t="inlineStr">
        <is>
          <t>Fanola No Yellow Color 9 Ice Very Light Blonde 100ml</t>
        </is>
      </c>
      <c r="C25342" t="inlineStr">
        <is>
          <t>Hair Dye</t>
        </is>
      </c>
      <c r="D25342" t="inlineStr">
        <is>
          <t>Fanola</t>
        </is>
      </c>
      <c r="E25342" t="n">
        <v>4.75</v>
      </c>
      <c r="F25342" t="n">
        <v>1</v>
      </c>
      <c r="G25342" t="n">
        <v>5</v>
      </c>
      <c r="H25342" s="5">
        <f>HYPERLINK("https://api.qogita.com/variants/link/8032947866267/", "View Product")</f>
        <v/>
      </c>
    </row>
    <row r="25343">
      <c r="A25343" t="inlineStr">
        <is>
          <t>8032947867103</t>
        </is>
      </c>
      <c r="B25343" t="inlineStr">
        <is>
          <t>9.00 Fanola Colouring Cream 100ml</t>
        </is>
      </c>
      <c r="C25343" t="inlineStr">
        <is>
          <t>Hair Dye</t>
        </is>
      </c>
      <c r="D25343" t="inlineStr">
        <is>
          <t>Fanola</t>
        </is>
      </c>
      <c r="E25343" t="n">
        <v>3.05</v>
      </c>
      <c r="F25343" t="n">
        <v>1</v>
      </c>
      <c r="G25343" t="n">
        <v>4</v>
      </c>
      <c r="H25343" s="5">
        <f>HYPERLINK("https://api.qogita.com/variants/link/8032947867103/", "View Product")</f>
        <v/>
      </c>
    </row>
    <row r="25344">
      <c r="A25344" t="inlineStr">
        <is>
          <t>8032947867110</t>
        </is>
      </c>
      <c r="B25344" t="inlineStr">
        <is>
          <t>Fanola Dye 10.00 Intense blond platinum 100ml</t>
        </is>
      </c>
      <c r="C25344" t="inlineStr">
        <is>
          <t>Hair Dye</t>
        </is>
      </c>
      <c r="D25344" t="inlineStr">
        <is>
          <t>Fanola</t>
        </is>
      </c>
      <c r="E25344" t="n">
        <v>3.06</v>
      </c>
      <c r="F25344" t="n">
        <v>1</v>
      </c>
      <c r="G25344" t="n">
        <v>9</v>
      </c>
      <c r="H25344" s="5">
        <f>HYPERLINK("https://api.qogita.com/variants/link/8032947867110/", "View Product")</f>
        <v/>
      </c>
    </row>
    <row r="25345">
      <c r="A25345" t="inlineStr">
        <is>
          <t>8032947868117</t>
        </is>
      </c>
      <c r="B25345" t="inlineStr">
        <is>
          <t>Fanola Oro Therapy Color Keratin 8.4 100ml</t>
        </is>
      </c>
      <c r="C25345" t="inlineStr">
        <is>
          <t>Hair Oil &amp; Hair Serum</t>
        </is>
      </c>
      <c r="D25345" t="inlineStr">
        <is>
          <t>Fanola</t>
        </is>
      </c>
      <c r="E25345" t="n">
        <v>3.81</v>
      </c>
      <c r="F25345" t="n">
        <v>1</v>
      </c>
      <c r="G25345" t="n">
        <v>4</v>
      </c>
      <c r="H25345" s="5">
        <f>HYPERLINK("https://api.qogita.com/variants/link/8032947868117/", "View Product")</f>
        <v/>
      </c>
    </row>
    <row r="25346">
      <c r="A25346" t="inlineStr">
        <is>
          <t>8032947868933</t>
        </is>
      </c>
      <c r="B25346" t="inlineStr">
        <is>
          <t>Fanola No Yellow Color Toner Rose Gold 100ml</t>
        </is>
      </c>
      <c r="C25346" t="inlineStr">
        <is>
          <t>Hair Dye</t>
        </is>
      </c>
      <c r="D25346" t="inlineStr">
        <is>
          <t>Fanola</t>
        </is>
      </c>
      <c r="E25346" t="n">
        <v>3.94</v>
      </c>
      <c r="F25346" t="n">
        <v>1</v>
      </c>
      <c r="G25346" t="n">
        <v>5</v>
      </c>
      <c r="H25346" s="5">
        <f>HYPERLINK("https://api.qogita.com/variants/link/8032947868933/", "View Product")</f>
        <v/>
      </c>
    </row>
    <row r="25347">
      <c r="A25347" t="inlineStr">
        <is>
          <t>8033219160342</t>
        </is>
      </c>
      <c r="B25347" t="inlineStr">
        <is>
          <t>Inebrya Fixing Hairspray Ice Cream Stylein Logic Volume 320 Ml Volumizing Ecologic Lacquer</t>
        </is>
      </c>
      <c r="C25347" t="inlineStr">
        <is>
          <t>Hairspray</t>
        </is>
      </c>
      <c r="D25347" t="inlineStr">
        <is>
          <t>Inebrya</t>
        </is>
      </c>
      <c r="E25347" t="n">
        <v>16.71</v>
      </c>
      <c r="F25347" t="n">
        <v>1</v>
      </c>
      <c r="G25347" t="n">
        <v>5</v>
      </c>
      <c r="H25347" s="5">
        <f>HYPERLINK("https://api.qogita.com/variants/link/8033219160342/", "View Product")</f>
        <v/>
      </c>
    </row>
    <row r="25348">
      <c r="A25348" t="inlineStr">
        <is>
          <t>8033219160908</t>
        </is>
      </c>
      <c r="B25348" t="inlineStr">
        <is>
          <t>Inebrya 8 Pure Light Blonde 100ml</t>
        </is>
      </c>
      <c r="C25348" t="inlineStr">
        <is>
          <t>Hair Dye</t>
        </is>
      </c>
      <c r="D25348" t="inlineStr">
        <is>
          <t>Inebrya</t>
        </is>
      </c>
      <c r="E25348" t="n">
        <v>7.25</v>
      </c>
      <c r="F25348" t="n">
        <v>1</v>
      </c>
      <c r="G25348" t="n">
        <v>4</v>
      </c>
      <c r="H25348" s="5">
        <f>HYPERLINK("https://api.qogita.com/variants/link/8033219160908/", "View Product")</f>
        <v/>
      </c>
    </row>
    <row r="25349">
      <c r="A25349" t="inlineStr">
        <is>
          <t>8033219160915</t>
        </is>
      </c>
      <c r="B25349" t="inlineStr">
        <is>
          <t>Professional Permanent Pure Natural Hair Colour Dye 9 Very Light Blonde</t>
        </is>
      </c>
      <c r="C25349" t="inlineStr">
        <is>
          <t>Hair Dye</t>
        </is>
      </c>
      <c r="D25349" t="inlineStr">
        <is>
          <t>Inebrya</t>
        </is>
      </c>
      <c r="E25349" t="n">
        <v>7.25</v>
      </c>
      <c r="F25349" t="n">
        <v>1</v>
      </c>
      <c r="G25349" t="n">
        <v>2</v>
      </c>
      <c r="H25349" s="5">
        <f>HYPERLINK("https://api.qogita.com/variants/link/8033219160915/", "View Product")</f>
        <v/>
      </c>
    </row>
    <row r="25350">
      <c r="A25350" t="inlineStr">
        <is>
          <t>8033219161011</t>
        </is>
      </c>
      <c r="B25350" t="inlineStr">
        <is>
          <t>Inebrya Bionic Natural 1/0 Black Hair Dye 100ml</t>
        </is>
      </c>
      <c r="C25350" t="inlineStr">
        <is>
          <t>Hair Dye</t>
        </is>
      </c>
      <c r="D25350" t="inlineStr">
        <is>
          <t>Inebrya</t>
        </is>
      </c>
      <c r="E25350" t="n">
        <v>10.39</v>
      </c>
      <c r="F25350" t="n">
        <v>1</v>
      </c>
      <c r="G25350" t="n">
        <v>2</v>
      </c>
      <c r="H25350" s="5">
        <f>HYPERLINK("https://api.qogita.com/variants/link/8033219161011/", "View Product")</f>
        <v/>
      </c>
    </row>
    <row r="25351">
      <c r="A25351" t="inlineStr">
        <is>
          <t>8033219161509</t>
        </is>
      </c>
      <c r="B25351" t="inlineStr">
        <is>
          <t>Inebrya Color Superlighteners 12/11 Intense Beige Blonde 100ml</t>
        </is>
      </c>
      <c r="C25351" t="inlineStr">
        <is>
          <t>Bleaching</t>
        </is>
      </c>
      <c r="D25351" t="inlineStr">
        <is>
          <t>Inebrya</t>
        </is>
      </c>
      <c r="E25351" t="n">
        <v>7.25</v>
      </c>
      <c r="F25351" t="n">
        <v>1</v>
      </c>
      <c r="G25351" t="n">
        <v>3</v>
      </c>
      <c r="H25351" s="5">
        <f>HYPERLINK("https://api.qogita.com/variants/link/8033219161509/", "View Product")</f>
        <v/>
      </c>
    </row>
    <row r="25352">
      <c r="A25352" t="inlineStr">
        <is>
          <t>8033219162742</t>
        </is>
      </c>
      <c r="B25352" t="inlineStr">
        <is>
          <t>Inebrya Color Mixton Red 200g</t>
        </is>
      </c>
      <c r="C25352" t="inlineStr">
        <is>
          <t>Hair Dye</t>
        </is>
      </c>
      <c r="D25352" t="inlineStr">
        <is>
          <t>Inebrya</t>
        </is>
      </c>
      <c r="E25352" t="n">
        <v>7.25</v>
      </c>
      <c r="F25352" t="n">
        <v>1</v>
      </c>
      <c r="G25352" t="n">
        <v>4</v>
      </c>
      <c r="H25352" s="5">
        <f>HYPERLINK("https://api.qogita.com/variants/link/8033219162742/", "View Product")</f>
        <v/>
      </c>
    </row>
    <row r="25353">
      <c r="A25353" t="inlineStr">
        <is>
          <t>8033219165415</t>
        </is>
      </c>
      <c r="B25353" t="inlineStr">
        <is>
          <t>Ice Cream Kromask Professional Hair Mask Purple 300ml</t>
        </is>
      </c>
      <c r="C25353" t="inlineStr">
        <is>
          <t>Hair Masks</t>
        </is>
      </c>
      <c r="D25353" t="inlineStr">
        <is>
          <t>Inebrya</t>
        </is>
      </c>
      <c r="E25353" t="n">
        <v>6.73</v>
      </c>
      <c r="F25353" t="n">
        <v>1</v>
      </c>
      <c r="G25353" t="n">
        <v>2</v>
      </c>
      <c r="H25353" s="5">
        <f>HYPERLINK("https://api.qogita.com/variants/link/8033219165415/", "View Product")</f>
        <v/>
      </c>
    </row>
    <row r="25354">
      <c r="A25354" t="inlineStr">
        <is>
          <t>8033219166818</t>
        </is>
      </c>
      <c r="B25354" t="inlineStr">
        <is>
          <t>Inebrya Color Correctors Violet 100ml Ivory 100ml</t>
        </is>
      </c>
      <c r="C25354" t="inlineStr">
        <is>
          <t>Hair Dye</t>
        </is>
      </c>
      <c r="D25354" t="inlineStr">
        <is>
          <t>Inebrya</t>
        </is>
      </c>
      <c r="E25354" t="n">
        <v>7.25</v>
      </c>
      <c r="F25354" t="n">
        <v>1</v>
      </c>
      <c r="G25354" t="n">
        <v>2</v>
      </c>
      <c r="H25354" s="5">
        <f>HYPERLINK("https://api.qogita.com/variants/link/8033219166818/", "View Product")</f>
        <v/>
      </c>
    </row>
    <row r="25355">
      <c r="A25355" t="inlineStr">
        <is>
          <t>8033219168768</t>
        </is>
      </c>
      <c r="B25355" t="inlineStr">
        <is>
          <t>INEBRYA COLOR Permanent Hair Color Cream 100ml</t>
        </is>
      </c>
      <c r="C25355" t="inlineStr">
        <is>
          <t>Hair Dye</t>
        </is>
      </c>
      <c r="D25355" t="inlineStr">
        <is>
          <t>Inebrya</t>
        </is>
      </c>
      <c r="E25355" t="n">
        <v>7.25</v>
      </c>
      <c r="F25355" t="n">
        <v>1</v>
      </c>
      <c r="G25355" t="n">
        <v>5</v>
      </c>
      <c r="H25355" s="5">
        <f>HYPERLINK("https://api.qogita.com/variants/link/8033219168768/", "View Product")</f>
        <v/>
      </c>
    </row>
    <row r="25356">
      <c r="A25356" t="inlineStr">
        <is>
          <t>8033275421166</t>
        </is>
      </c>
      <c r="B25356" t="inlineStr">
        <is>
          <t>Millefiori Milano Natural Diffuser Vanilla And Wood 100 Ml</t>
        </is>
      </c>
      <c r="C25356" t="inlineStr">
        <is>
          <t>Diffusers</t>
        </is>
      </c>
      <c r="D25356" t="inlineStr">
        <is>
          <t>Millefiori Milano</t>
        </is>
      </c>
      <c r="E25356" t="n">
        <v>15.54</v>
      </c>
      <c r="F25356" t="n">
        <v>1</v>
      </c>
      <c r="G25356" t="n">
        <v>73</v>
      </c>
      <c r="H25356" s="5">
        <f>HYPERLINK("https://api.qogita.com/variants/link/8033275421166/", "View Product")</f>
        <v/>
      </c>
    </row>
    <row r="25357">
      <c r="A25357" t="inlineStr">
        <is>
          <t>8033406600347</t>
        </is>
      </c>
      <c r="B25357" t="inlineStr">
        <is>
          <t>NOBILE 1942 Vespri Esperidati Women's Eau de Parfum Spray 75ml</t>
        </is>
      </c>
      <c r="C25357" t="inlineStr">
        <is>
          <t>Eau De Parfum</t>
        </is>
      </c>
      <c r="D25357" t="inlineStr">
        <is>
          <t>Nobile 1942</t>
        </is>
      </c>
      <c r="E25357" t="n">
        <v>71.45</v>
      </c>
      <c r="F25357" t="n">
        <v>1</v>
      </c>
      <c r="G25357" t="n">
        <v>4</v>
      </c>
      <c r="H25357" s="5">
        <f>HYPERLINK("https://api.qogita.com/variants/link/8033406600347/", "View Product")</f>
        <v/>
      </c>
    </row>
    <row r="25358">
      <c r="A25358" t="inlineStr">
        <is>
          <t>8033406605168</t>
        </is>
      </c>
      <c r="B25358" t="inlineStr">
        <is>
          <t>NOBILE 1942 A' GRAZIA Supreme Fragrance 75ml Unisex</t>
        </is>
      </c>
      <c r="C25358" t="inlineStr">
        <is>
          <t>Eau De Parfum</t>
        </is>
      </c>
      <c r="D25358" t="inlineStr">
        <is>
          <t>Nobile 1942</t>
        </is>
      </c>
      <c r="E25358" t="n">
        <v>70.56999999999999</v>
      </c>
      <c r="F25358" t="n">
        <v>1</v>
      </c>
      <c r="G25358" t="n">
        <v>4</v>
      </c>
      <c r="H25358" s="5">
        <f>HYPERLINK("https://api.qogita.com/variants/link/8033406605168/", "View Product")</f>
        <v/>
      </c>
    </row>
    <row r="25359">
      <c r="A25359" t="inlineStr">
        <is>
          <t>8033488151942</t>
        </is>
      </c>
      <c r="B25359" t="inlineStr">
        <is>
          <t>Shooting Stars by Xerjoff Lua Eau De Parfum Spray 50ml</t>
        </is>
      </c>
      <c r="C25359" t="inlineStr">
        <is>
          <t>Eau De Parfum</t>
        </is>
      </c>
      <c r="D25359" t="inlineStr">
        <is>
          <t>Xerjoff</t>
        </is>
      </c>
      <c r="E25359" t="n">
        <v>128.08</v>
      </c>
      <c r="F25359" t="n">
        <v>1</v>
      </c>
      <c r="G25359" t="n">
        <v>4</v>
      </c>
      <c r="H25359" s="5">
        <f>HYPERLINK("https://api.qogita.com/variants/link/8033488151942/", "View Product")</f>
        <v/>
      </c>
    </row>
    <row r="25360">
      <c r="A25360" t="inlineStr">
        <is>
          <t>8033488151980</t>
        </is>
      </c>
      <c r="B25360" t="inlineStr">
        <is>
          <t>Xerjoff Blue Hope Eau De Parfum Spray 100ml</t>
        </is>
      </c>
      <c r="C25360" t="inlineStr">
        <is>
          <t>Eau De Parfum</t>
        </is>
      </c>
      <c r="D25360" t="inlineStr">
        <is>
          <t>Xerjoff</t>
        </is>
      </c>
      <c r="E25360" t="n">
        <v>244.46</v>
      </c>
      <c r="F25360" t="n">
        <v>1</v>
      </c>
      <c r="G25360" t="n">
        <v>5</v>
      </c>
      <c r="H25360" s="5">
        <f>HYPERLINK("https://api.qogita.com/variants/link/8033488151980/", "View Product")</f>
        <v/>
      </c>
    </row>
    <row r="25361">
      <c r="A25361" t="inlineStr">
        <is>
          <t>8033488152871</t>
        </is>
      </c>
      <c r="B25361" t="inlineStr">
        <is>
          <t>Xerjoff Cruz Del Sur Ii Eau De Parfum Spray 50ml</t>
        </is>
      </c>
      <c r="C25361" t="inlineStr">
        <is>
          <t>Eau De Parfum</t>
        </is>
      </c>
      <c r="D25361" t="inlineStr">
        <is>
          <t>Xerjoff</t>
        </is>
      </c>
      <c r="E25361" t="n">
        <v>130.58</v>
      </c>
      <c r="F25361" t="n">
        <v>1</v>
      </c>
      <c r="G25361" t="n">
        <v>18</v>
      </c>
      <c r="H25361" s="5">
        <f>HYPERLINK("https://api.qogita.com/variants/link/8033488152871/", "View Product")</f>
        <v/>
      </c>
    </row>
    <row r="25362">
      <c r="A25362" t="inlineStr">
        <is>
          <t>8033488153281</t>
        </is>
      </c>
      <c r="B25362" t="inlineStr">
        <is>
          <t>Xerjoff Casamorati 1888 Gran Ballo Woman Eau De Parfum Spray 100ml</t>
        </is>
      </c>
      <c r="C25362" t="inlineStr">
        <is>
          <t>Eau De Parfum</t>
        </is>
      </c>
      <c r="D25362" t="inlineStr">
        <is>
          <t>Xerjoff</t>
        </is>
      </c>
      <c r="E25362" t="n">
        <v>137.77</v>
      </c>
      <c r="F25362" t="n">
        <v>1</v>
      </c>
      <c r="G25362" t="n">
        <v>4</v>
      </c>
      <c r="H25362" s="5">
        <f>HYPERLINK("https://api.qogita.com/variants/link/8033488153281/", "View Product")</f>
        <v/>
      </c>
    </row>
    <row r="25363">
      <c r="A25363" t="inlineStr">
        <is>
          <t>8033488153458</t>
        </is>
      </c>
      <c r="B25363" t="inlineStr">
        <is>
          <t>Oud Stars Al-Khatt by Xerjoff Eau De Parfum Spray Unisex 1.7 Oz</t>
        </is>
      </c>
      <c r="C25363" t="inlineStr">
        <is>
          <t>Eau De Parfum</t>
        </is>
      </c>
      <c r="D25363" t="inlineStr">
        <is>
          <t>Xerjoff</t>
        </is>
      </c>
      <c r="E25363" t="n">
        <v>144.56</v>
      </c>
      <c r="F25363" t="n">
        <v>1</v>
      </c>
      <c r="G25363" t="n">
        <v>5</v>
      </c>
      <c r="H25363" s="5">
        <f>HYPERLINK("https://api.qogita.com/variants/link/8033488153458/", "View Product")</f>
        <v/>
      </c>
    </row>
    <row r="25364">
      <c r="A25364" t="inlineStr">
        <is>
          <t>8033488153564</t>
        </is>
      </c>
      <c r="B25364" t="inlineStr">
        <is>
          <t>Casamorati 1888 Fiore D'Ulivo Perfumed Water Spray 100ml</t>
        </is>
      </c>
      <c r="C25364" t="inlineStr">
        <is>
          <t>Eau De Parfum</t>
        </is>
      </c>
      <c r="D25364" t="inlineStr">
        <is>
          <t>Casamorati</t>
        </is>
      </c>
      <c r="E25364" t="n">
        <v>119</v>
      </c>
      <c r="F25364" t="n">
        <v>1</v>
      </c>
      <c r="G25364" t="n">
        <v>15</v>
      </c>
      <c r="H25364" s="5">
        <f>HYPERLINK("https://api.qogita.com/variants/link/8033488153564/", "View Product")</f>
        <v/>
      </c>
    </row>
    <row r="25365">
      <c r="A25365" t="inlineStr">
        <is>
          <t>8033488153762</t>
        </is>
      </c>
      <c r="B25365" t="inlineStr">
        <is>
          <t>Xerjoff Oud Stars Zafar Eau De Parfum Spray 50ml</t>
        </is>
      </c>
      <c r="C25365" t="inlineStr">
        <is>
          <t>Eau De Parfum</t>
        </is>
      </c>
      <c r="D25365" t="inlineStr">
        <is>
          <t>Xerjoff</t>
        </is>
      </c>
      <c r="E25365" t="n">
        <v>138.54</v>
      </c>
      <c r="F25365" t="n">
        <v>1</v>
      </c>
      <c r="G25365" t="n">
        <v>10</v>
      </c>
      <c r="H25365" s="5">
        <f>HYPERLINK("https://api.qogita.com/variants/link/8033488153762/", "View Product")</f>
        <v/>
      </c>
    </row>
    <row r="25366">
      <c r="A25366" t="inlineStr">
        <is>
          <t>8033488154158</t>
        </is>
      </c>
      <c r="B25366" t="inlineStr">
        <is>
          <t>Casamorati 1888 La Tosca Perfumed Water Spray 100ml</t>
        </is>
      </c>
      <c r="C25366" t="inlineStr">
        <is>
          <t>Eau De Parfum</t>
        </is>
      </c>
      <c r="D25366" t="inlineStr">
        <is>
          <t>Casamorati</t>
        </is>
      </c>
      <c r="E25366" t="n">
        <v>129.28</v>
      </c>
      <c r="F25366" t="n">
        <v>1</v>
      </c>
      <c r="G25366" t="n">
        <v>9</v>
      </c>
      <c r="H25366" s="5">
        <f>HYPERLINK("https://api.qogita.com/variants/link/8033488154158/", "View Product")</f>
        <v/>
      </c>
    </row>
    <row r="25367">
      <c r="A25367" t="inlineStr">
        <is>
          <t>8033488154554</t>
        </is>
      </c>
      <c r="B25367" t="inlineStr">
        <is>
          <t>Casamorati 1888 Mefisto Eau De Parfum Spray 30ml By Casamorati</t>
        </is>
      </c>
      <c r="C25367" t="inlineStr">
        <is>
          <t>Eau De Parfum</t>
        </is>
      </c>
      <c r="D25367" t="inlineStr">
        <is>
          <t>Casamorati</t>
        </is>
      </c>
      <c r="E25367" t="n">
        <v>63.72</v>
      </c>
      <c r="F25367" t="n">
        <v>1</v>
      </c>
      <c r="G25367" t="n">
        <v>14</v>
      </c>
      <c r="H25367" s="5">
        <f>HYPERLINK("https://api.qogita.com/variants/link/8033488154554/", "View Product")</f>
        <v/>
      </c>
    </row>
    <row r="25368">
      <c r="A25368" t="inlineStr">
        <is>
          <t>8033488154561</t>
        </is>
      </c>
      <c r="B25368" t="inlineStr">
        <is>
          <t>Casamorati 1888 Regio Eau De Parfum Spray 30ml</t>
        </is>
      </c>
      <c r="C25368" t="inlineStr">
        <is>
          <t>Eau De Parfum</t>
        </is>
      </c>
      <c r="D25368" t="inlineStr">
        <is>
          <t>Casamorati</t>
        </is>
      </c>
      <c r="E25368" t="n">
        <v>54.89</v>
      </c>
      <c r="F25368" t="n">
        <v>1</v>
      </c>
      <c r="G25368" t="n">
        <v>5</v>
      </c>
      <c r="H25368" s="5">
        <f>HYPERLINK("https://api.qogita.com/variants/link/8033488154561/", "View Product")</f>
        <v/>
      </c>
    </row>
    <row r="25369">
      <c r="A25369" t="inlineStr">
        <is>
          <t>8033488154585</t>
        </is>
      </c>
      <c r="B25369" t="inlineStr">
        <is>
          <t>Casamorati 1888 La Tosca Eau De Parfum Spray 30ml By Casamorati</t>
        </is>
      </c>
      <c r="C25369" t="inlineStr">
        <is>
          <t>Eau De Parfum</t>
        </is>
      </c>
      <c r="D25369" t="inlineStr">
        <is>
          <t>Casamorati</t>
        </is>
      </c>
      <c r="E25369" t="n">
        <v>59.97</v>
      </c>
      <c r="F25369" t="n">
        <v>1</v>
      </c>
      <c r="G25369" t="n">
        <v>3</v>
      </c>
      <c r="H25369" s="5">
        <f>HYPERLINK("https://api.qogita.com/variants/link/8033488154585/", "View Product")</f>
        <v/>
      </c>
    </row>
    <row r="25370">
      <c r="A25370" t="inlineStr">
        <is>
          <t>8033488154950</t>
        </is>
      </c>
      <c r="B25370" t="inlineStr">
        <is>
          <t>Xerjoff Alexandria Ii Eau De Parfum Spray 50ml</t>
        </is>
      </c>
      <c r="C25370" t="inlineStr">
        <is>
          <t>Eau De Parfum</t>
        </is>
      </c>
      <c r="D25370" t="inlineStr">
        <is>
          <t>Xerjoff</t>
        </is>
      </c>
      <c r="E25370" t="n">
        <v>158.8</v>
      </c>
      <c r="F25370" t="n">
        <v>1</v>
      </c>
      <c r="G25370" t="n">
        <v>242</v>
      </c>
      <c r="H25370" s="5">
        <f>HYPERLINK("https://api.qogita.com/variants/link/8033488154950/", "View Product")</f>
        <v/>
      </c>
    </row>
    <row r="25371">
      <c r="A25371" t="inlineStr">
        <is>
          <t>8033488155070</t>
        </is>
      </c>
      <c r="B25371" t="inlineStr">
        <is>
          <t>Xerjoff 1861 Naxos Eau De Parfum 100ml</t>
        </is>
      </c>
      <c r="C25371" t="inlineStr">
        <is>
          <t>Eau De Parfum</t>
        </is>
      </c>
      <c r="D25371" t="inlineStr">
        <is>
          <t>Xerjoff</t>
        </is>
      </c>
      <c r="E25371" t="n">
        <v>151.31</v>
      </c>
      <c r="F25371" t="n">
        <v>1</v>
      </c>
      <c r="G25371" t="n">
        <v>413</v>
      </c>
      <c r="H25371" s="5">
        <f>HYPERLINK("https://api.qogita.com/variants/link/8033488155070/", "View Product")</f>
        <v/>
      </c>
    </row>
    <row r="25372">
      <c r="A25372" t="inlineStr">
        <is>
          <t>8033488155124</t>
        </is>
      </c>
      <c r="B25372" t="inlineStr">
        <is>
          <t>Xerjoff More Than Words Eau De Parfum Spray 50ml</t>
        </is>
      </c>
      <c r="C25372" t="inlineStr">
        <is>
          <t>Eau De Parfum</t>
        </is>
      </c>
      <c r="D25372" t="inlineStr">
        <is>
          <t>Xerjoff</t>
        </is>
      </c>
      <c r="E25372" t="n">
        <v>107.18</v>
      </c>
      <c r="F25372" t="n">
        <v>1</v>
      </c>
      <c r="G25372" t="n">
        <v>43</v>
      </c>
      <c r="H25372" s="5">
        <f>HYPERLINK("https://api.qogita.com/variants/link/8033488155124/", "View Product")</f>
        <v/>
      </c>
    </row>
    <row r="25373">
      <c r="A25373" t="inlineStr">
        <is>
          <t>8033488155261</t>
        </is>
      </c>
      <c r="B25373" t="inlineStr">
        <is>
          <t>Xerjoff Shunkoin Eau De Parfum 50ml Join The Club</t>
        </is>
      </c>
      <c r="C25373" t="inlineStr">
        <is>
          <t>Eau De Parfum</t>
        </is>
      </c>
      <c r="D25373" t="inlineStr">
        <is>
          <t>Xerjoff</t>
        </is>
      </c>
      <c r="E25373" t="n">
        <v>98.5</v>
      </c>
      <c r="F25373" t="n">
        <v>1</v>
      </c>
      <c r="G25373" t="n">
        <v>4</v>
      </c>
      <c r="H25373" s="5">
        <f>HYPERLINK("https://api.qogita.com/variants/link/8033488155261/", "View Product")</f>
        <v/>
      </c>
    </row>
    <row r="25374">
      <c r="A25374" t="inlineStr">
        <is>
          <t>8033488155452</t>
        </is>
      </c>
      <c r="B25374" t="inlineStr">
        <is>
          <t>Xerjoff 17/17 Homme Parfum Spray 50ml</t>
        </is>
      </c>
      <c r="C25374" t="inlineStr">
        <is>
          <t>Eau De Parfum</t>
        </is>
      </c>
      <c r="D25374" t="inlineStr">
        <is>
          <t>Xerjoff</t>
        </is>
      </c>
      <c r="E25374" t="n">
        <v>188.66</v>
      </c>
      <c r="F25374" t="n">
        <v>1</v>
      </c>
      <c r="G25374" t="n">
        <v>2</v>
      </c>
      <c r="H25374" s="5">
        <f>HYPERLINK("https://api.qogita.com/variants/link/8033488155452/", "View Product")</f>
        <v/>
      </c>
    </row>
    <row r="25375">
      <c r="A25375" t="inlineStr">
        <is>
          <t>8033488155537</t>
        </is>
      </c>
      <c r="B25375" t="inlineStr">
        <is>
          <t>Xerjoff 17/17 Damarose Eau De Parfum Spray 50ml</t>
        </is>
      </c>
      <c r="C25375" t="inlineStr">
        <is>
          <t>Eau De Parfum</t>
        </is>
      </c>
      <c r="D25375" t="inlineStr">
        <is>
          <t>Xerjoff</t>
        </is>
      </c>
      <c r="E25375" t="n">
        <v>190.22</v>
      </c>
      <c r="F25375" t="n">
        <v>1</v>
      </c>
      <c r="G25375" t="n">
        <v>9</v>
      </c>
      <c r="H25375" s="5">
        <f>HYPERLINK("https://api.qogita.com/variants/link/8033488155537/", "View Product")</f>
        <v/>
      </c>
    </row>
    <row r="25376">
      <c r="A25376" t="inlineStr">
        <is>
          <t>8033488156343</t>
        </is>
      </c>
      <c r="B25376" t="inlineStr">
        <is>
          <t>Xerjoff Laylati Eau De Parfum Spray 100ml</t>
        </is>
      </c>
      <c r="C25376" t="inlineStr">
        <is>
          <t>Eau De Parfum</t>
        </is>
      </c>
      <c r="D25376" t="inlineStr">
        <is>
          <t>Xerjoff</t>
        </is>
      </c>
      <c r="E25376" t="n">
        <v>114.24</v>
      </c>
      <c r="F25376" t="n">
        <v>1</v>
      </c>
      <c r="G25376" t="n">
        <v>10</v>
      </c>
      <c r="H25376" s="5">
        <f>HYPERLINK("https://api.qogita.com/variants/link/8033488156343/", "View Product")</f>
        <v/>
      </c>
    </row>
    <row r="25377">
      <c r="A25377" t="inlineStr">
        <is>
          <t>8033488156480</t>
        </is>
      </c>
      <c r="B25377" t="inlineStr">
        <is>
          <t>Xerjoff Velvet Collection Wardasina Eau De Parfum 100ml Unisex Spray</t>
        </is>
      </c>
      <c r="C25377" t="inlineStr">
        <is>
          <t>Eau De Parfum</t>
        </is>
      </c>
      <c r="D25377" t="inlineStr">
        <is>
          <t>Xerjoff</t>
        </is>
      </c>
      <c r="E25377" t="n">
        <v>142.04</v>
      </c>
      <c r="F25377" t="n">
        <v>1</v>
      </c>
      <c r="G25377" t="n">
        <v>11</v>
      </c>
      <c r="H25377" s="5">
        <f>HYPERLINK("https://api.qogita.com/variants/link/8033488156480/", "View Product")</f>
        <v/>
      </c>
    </row>
    <row r="25378">
      <c r="A25378" t="inlineStr">
        <is>
          <t>8033488157463</t>
        </is>
      </c>
      <c r="B25378" t="inlineStr">
        <is>
          <t>17/17 by Xerjoff Pikovaya Dama Eau de Parfum Spray 50ml</t>
        </is>
      </c>
      <c r="C25378" t="inlineStr">
        <is>
          <t>Eau De Parfum</t>
        </is>
      </c>
      <c r="D25378" t="inlineStr">
        <is>
          <t>Xerjoff</t>
        </is>
      </c>
      <c r="E25378" t="n">
        <v>290.69</v>
      </c>
      <c r="F25378" t="n">
        <v>1</v>
      </c>
      <c r="G25378" t="n">
        <v>2</v>
      </c>
      <c r="H25378" s="5">
        <f>HYPERLINK("https://api.qogita.com/variants/link/8033488157463/", "View Product")</f>
        <v/>
      </c>
    </row>
    <row r="25379">
      <c r="A25379" t="inlineStr">
        <is>
          <t>8033488158767</t>
        </is>
      </c>
      <c r="B25379" t="inlineStr">
        <is>
          <t>Xerjoff Laylati Eau De Parfum 50ml Unisex Spray</t>
        </is>
      </c>
      <c r="C25379" t="inlineStr">
        <is>
          <t>Eau De Parfum</t>
        </is>
      </c>
      <c r="D25379" t="inlineStr">
        <is>
          <t>Xerjoff</t>
        </is>
      </c>
      <c r="E25379" t="n">
        <v>89.95999999999999</v>
      </c>
      <c r="F25379" t="n">
        <v>1</v>
      </c>
      <c r="G25379" t="n">
        <v>13</v>
      </c>
      <c r="H25379" s="5">
        <f>HYPERLINK("https://api.qogita.com/variants/link/8033488158767/", "View Product")</f>
        <v/>
      </c>
    </row>
    <row r="25380">
      <c r="A25380" t="inlineStr">
        <is>
          <t>8033488159368</t>
        </is>
      </c>
      <c r="B25380" t="inlineStr">
        <is>
          <t>Xerjoff Starlight Eau De Parfum Spray 50ml</t>
        </is>
      </c>
      <c r="C25380" t="inlineStr">
        <is>
          <t>Eau De Parfum</t>
        </is>
      </c>
      <c r="D25380" t="inlineStr">
        <is>
          <t>Xerjoff</t>
        </is>
      </c>
      <c r="E25380" t="n">
        <v>138.43</v>
      </c>
      <c r="F25380" t="n">
        <v>1</v>
      </c>
      <c r="G25380" t="n">
        <v>11</v>
      </c>
      <c r="H25380" s="5">
        <f>HYPERLINK("https://api.qogita.com/variants/link/8033488159368/", "View Product")</f>
        <v/>
      </c>
    </row>
    <row r="25381">
      <c r="A25381" t="inlineStr">
        <is>
          <t>8034055538708</t>
        </is>
      </c>
      <c r="B25381" t="inlineStr">
        <is>
          <t>Sweet Home Collection Antique Red Aroma Diffuser 250 Ml</t>
        </is>
      </c>
      <c r="C25381" t="inlineStr">
        <is>
          <t>Diffusers</t>
        </is>
      </c>
      <c r="D25381" t="inlineStr">
        <is>
          <t>Sweet Home Collection</t>
        </is>
      </c>
      <c r="E25381" t="n">
        <v>14.59</v>
      </c>
      <c r="F25381" t="n">
        <v>1</v>
      </c>
      <c r="G25381" t="n">
        <v>3</v>
      </c>
      <c r="H25381" s="5">
        <f>HYPERLINK("https://api.qogita.com/variants/link/8034055538708/", "View Product")</f>
        <v/>
      </c>
    </row>
    <row r="25382">
      <c r="A25382" t="inlineStr">
        <is>
          <t>8034073608001</t>
        </is>
      </c>
      <c r="B25382" t="inlineStr">
        <is>
          <t>Millefiori 1dul Hydro Ultrasonic Fragrance Diffuser Pyramid , 100ml</t>
        </is>
      </c>
      <c r="C25382" t="inlineStr">
        <is>
          <t>Diffusers</t>
        </is>
      </c>
      <c r="D25382" t="inlineStr">
        <is>
          <t>Millefiori</t>
        </is>
      </c>
      <c r="E25382" t="n">
        <v>41.06</v>
      </c>
      <c r="F25382" t="n">
        <v>1</v>
      </c>
      <c r="G25382" t="n">
        <v>12</v>
      </c>
      <c r="H25382" s="5">
        <f>HYPERLINK("https://api.qogita.com/variants/link/8034073608001/", "View Product")</f>
        <v/>
      </c>
    </row>
    <row r="25383">
      <c r="A25383" t="inlineStr">
        <is>
          <t>8034097959554</t>
        </is>
      </c>
      <c r="B25383" t="inlineStr">
        <is>
          <t>Salvatore Ferragamo Incanto Blue Pour Homme Eau De Toilette 100ml Spray</t>
        </is>
      </c>
      <c r="C25383" t="inlineStr">
        <is>
          <t>Eau De Toilette</t>
        </is>
      </c>
      <c r="D25383" t="inlineStr">
        <is>
          <t>Salvatore Ferragamo</t>
        </is>
      </c>
      <c r="E25383" t="n">
        <v>15.46</v>
      </c>
      <c r="F25383" t="n">
        <v>1</v>
      </c>
      <c r="G25383" t="n">
        <v>6</v>
      </c>
      <c r="H25383" s="5">
        <f>HYPERLINK("https://api.qogita.com/variants/link/8034097959554/", "View Product")</f>
        <v/>
      </c>
    </row>
    <row r="25384">
      <c r="A25384" t="inlineStr">
        <is>
          <t>8034097959875</t>
        </is>
      </c>
      <c r="B25384" t="inlineStr">
        <is>
          <t>Salvatore Ferragamo Signorina In Fiore Eau De Toilette 30 Ml</t>
        </is>
      </c>
      <c r="C25384" t="inlineStr">
        <is>
          <t>Eau De Toilette</t>
        </is>
      </c>
      <c r="D25384" t="inlineStr">
        <is>
          <t>Salvatore Ferragamo</t>
        </is>
      </c>
      <c r="E25384" t="n">
        <v>22.82</v>
      </c>
      <c r="F25384" t="n">
        <v>1</v>
      </c>
      <c r="G25384" t="n">
        <v>19</v>
      </c>
      <c r="H25384" s="5">
        <f>HYPERLINK("https://api.qogita.com/variants/link/8034097959875/", "View Product")</f>
        <v/>
      </c>
    </row>
    <row r="25385">
      <c r="A25385" t="inlineStr">
        <is>
          <t>8034097959899</t>
        </is>
      </c>
      <c r="B25385" t="inlineStr">
        <is>
          <t>Salvatore Ferragamo Signorina In Fiore Eau De Toilette Spray 100ml</t>
        </is>
      </c>
      <c r="C25385" t="inlineStr">
        <is>
          <t>Eau De Toilette</t>
        </is>
      </c>
      <c r="D25385" t="inlineStr">
        <is>
          <t>Salvatore Ferragamo</t>
        </is>
      </c>
      <c r="E25385" t="n">
        <v>33.17</v>
      </c>
      <c r="F25385" t="n">
        <v>1</v>
      </c>
      <c r="G25385" t="n">
        <v>11</v>
      </c>
      <c r="H25385" s="5">
        <f>HYPERLINK("https://api.qogita.com/variants/link/8034097959899/", "View Product")</f>
        <v/>
      </c>
    </row>
    <row r="25386">
      <c r="A25386" t="inlineStr">
        <is>
          <t>8050444852637</t>
        </is>
      </c>
      <c r="B25386" t="inlineStr">
        <is>
          <t>Rilastil Acnestil Cleansing Mousse For Combination And Oily Skin 150 Ml</t>
        </is>
      </c>
      <c r="C25386" t="inlineStr">
        <is>
          <t>Facial Cleansing</t>
        </is>
      </c>
      <c r="D25386" t="inlineStr">
        <is>
          <t>Rilastil</t>
        </is>
      </c>
      <c r="E25386" t="n">
        <v>14.19</v>
      </c>
      <c r="F25386" t="n">
        <v>1</v>
      </c>
      <c r="G25386" t="n">
        <v>5</v>
      </c>
      <c r="H25386" s="5">
        <f>HYPERLINK("https://api.qogita.com/variants/link/8050444852637/", "View Product")</f>
        <v/>
      </c>
    </row>
    <row r="25387">
      <c r="A25387" t="inlineStr">
        <is>
          <t>8050444852897</t>
        </is>
      </c>
      <c r="B25387" t="inlineStr">
        <is>
          <t>Rilastil Difesa Sterile Cream For Sensitive And Reactive Skin 50 Ml</t>
        </is>
      </c>
      <c r="C25387" t="inlineStr">
        <is>
          <t>Face Cream</t>
        </is>
      </c>
      <c r="D25387" t="inlineStr">
        <is>
          <t>Rilastil</t>
        </is>
      </c>
      <c r="E25387" t="n">
        <v>26.05</v>
      </c>
      <c r="F25387" t="n">
        <v>1</v>
      </c>
      <c r="G25387" t="n">
        <v>4</v>
      </c>
      <c r="H25387" s="5">
        <f>HYPERLINK("https://api.qogita.com/variants/link/8050444852897/", "View Product")</f>
        <v/>
      </c>
    </row>
    <row r="25388">
      <c r="A25388" t="inlineStr">
        <is>
          <t>8051277331191</t>
        </is>
      </c>
      <c r="B25388" t="inlineStr">
        <is>
          <t>Mr. &amp; Mrs. JoyFragrance Black Cedar Wood Car Air Freshener</t>
        </is>
      </c>
      <c r="C25388" t="inlineStr">
        <is>
          <t>Incense</t>
        </is>
      </c>
      <c r="D25388" t="inlineStr">
        <is>
          <t>Mr. &amp; Mrs. Joyfragrance</t>
        </is>
      </c>
      <c r="E25388" t="n">
        <v>4</v>
      </c>
      <c r="F25388" t="n">
        <v>1</v>
      </c>
      <c r="G25388" t="n">
        <v>47</v>
      </c>
      <c r="H25388" s="5">
        <f>HYPERLINK("https://api.qogita.com/variants/link/8051277331191/", "View Product")</f>
        <v/>
      </c>
    </row>
    <row r="25389">
      <c r="A25389" t="inlineStr">
        <is>
          <t>8051277331207</t>
        </is>
      </c>
      <c r="B25389" t="inlineStr">
        <is>
          <t>Mr and Mrs Fragrance Cesare Air Freshener Vanilla</t>
        </is>
      </c>
      <c r="C25389" t="inlineStr">
        <is>
          <t>Diffusers</t>
        </is>
      </c>
      <c r="D25389" t="inlineStr">
        <is>
          <t>Mr &amp; Mrs Fragrance</t>
        </is>
      </c>
      <c r="E25389" t="n">
        <v>3.9</v>
      </c>
      <c r="F25389" t="n">
        <v>1</v>
      </c>
      <c r="G25389" t="n">
        <v>49</v>
      </c>
      <c r="H25389" s="5">
        <f>HYPERLINK("https://api.qogita.com/variants/link/8051277331207/", "View Product")</f>
        <v/>
      </c>
    </row>
    <row r="25390">
      <c r="A25390" t="inlineStr">
        <is>
          <t>8051277331221</t>
        </is>
      </c>
      <c r="B25390" t="inlineStr">
        <is>
          <t>Mr &amp; Mrs Fragrance Cesare Car Air Freshener Pepper Mint</t>
        </is>
      </c>
      <c r="C25390" t="inlineStr">
        <is>
          <t>Diffusers</t>
        </is>
      </c>
      <c r="D25390" t="inlineStr">
        <is>
          <t>Mr &amp; Mrs Fragrance</t>
        </is>
      </c>
      <c r="E25390" t="n">
        <v>4.39</v>
      </c>
      <c r="F25390" t="n">
        <v>1</v>
      </c>
      <c r="G25390" t="n">
        <v>33</v>
      </c>
      <c r="H25390" s="5">
        <f>HYPERLINK("https://api.qogita.com/variants/link/8051277331221/", "View Product")</f>
        <v/>
      </c>
    </row>
    <row r="25391">
      <c r="A25391" t="inlineStr">
        <is>
          <t>8051277331238</t>
        </is>
      </c>
      <c r="B25391" t="inlineStr">
        <is>
          <t>Mr &amp; Mrs Fragrance Cesare Car Air Freshener Citrus Musk 1 Pc</t>
        </is>
      </c>
      <c r="C25391" t="inlineStr">
        <is>
          <t>Diffusers</t>
        </is>
      </c>
      <c r="D25391" t="inlineStr">
        <is>
          <t>Mr &amp; Mrs Fragrance</t>
        </is>
      </c>
      <c r="E25391" t="n">
        <v>3.9</v>
      </c>
      <c r="F25391" t="n">
        <v>1</v>
      </c>
      <c r="G25391" t="n">
        <v>56</v>
      </c>
      <c r="H25391" s="5">
        <f>HYPERLINK("https://api.qogita.com/variants/link/8051277331238/", "View Product")</f>
        <v/>
      </c>
    </row>
    <row r="25392">
      <c r="A25392" t="inlineStr">
        <is>
          <t>8051417068611</t>
        </is>
      </c>
      <c r="B25392" t="inlineStr">
        <is>
          <t>Caducrex Hair Loss Hssc Treatment For Advanced Hair Loss For Men 20 X 35 Ml And 20 X 35 Ml</t>
        </is>
      </c>
      <c r="C25392" t="inlineStr">
        <is>
          <t>Hair Tonic</t>
        </is>
      </c>
      <c r="D25392" t="inlineStr">
        <is>
          <t>Caducrex</t>
        </is>
      </c>
      <c r="E25392" t="n">
        <v>77.16</v>
      </c>
      <c r="F25392" t="n">
        <v>1</v>
      </c>
      <c r="G25392" t="n">
        <v>3</v>
      </c>
      <c r="H25392" s="5">
        <f>HYPERLINK("https://api.qogita.com/variants/link/8051417068611/", "View Product")</f>
        <v/>
      </c>
    </row>
    <row r="25393">
      <c r="A25393" t="inlineStr">
        <is>
          <t>8051417072618</t>
        </is>
      </c>
      <c r="B25393" t="inlineStr">
        <is>
          <t>Hair Loss Treatment for Severe Hair Loss for Women HSSC 20 x 3.5 ml</t>
        </is>
      </c>
      <c r="C25393" t="inlineStr">
        <is>
          <t>Hair Loss</t>
        </is>
      </c>
      <c r="D25393" t="inlineStr">
        <is>
          <t>Cadu-Crex</t>
        </is>
      </c>
      <c r="E25393" t="n">
        <v>100.9</v>
      </c>
      <c r="F25393" t="n">
        <v>1</v>
      </c>
      <c r="G25393" t="n">
        <v>15</v>
      </c>
      <c r="H25393" s="5">
        <f>HYPERLINK("https://api.qogita.com/variants/link/8051417072618/", "View Product")</f>
        <v/>
      </c>
    </row>
    <row r="25394">
      <c r="A25394" t="inlineStr">
        <is>
          <t>8051772712631</t>
        </is>
      </c>
      <c r="B25394" t="inlineStr">
        <is>
          <t>Beper Blood Pressure Meter Wrist 40121 Easy Check With 120 Memory Slots</t>
        </is>
      </c>
      <c r="C25394" t="inlineStr">
        <is>
          <t>Biometric Monitors &amp; Accessories</t>
        </is>
      </c>
      <c r="D25394" t="inlineStr">
        <is>
          <t>Beper</t>
        </is>
      </c>
      <c r="E25394" t="n">
        <v>22.02</v>
      </c>
      <c r="F25394" t="n">
        <v>1</v>
      </c>
      <c r="G25394" t="n">
        <v>3</v>
      </c>
      <c r="H25394" s="5">
        <f>HYPERLINK("https://api.qogita.com/variants/link/8051772712631/", "View Product")</f>
        <v/>
      </c>
    </row>
    <row r="25395">
      <c r="A25395" t="inlineStr">
        <is>
          <t>8051938697987</t>
        </is>
      </c>
      <c r="B25395" t="inlineStr">
        <is>
          <t>Millefiori Icon Magnolia Blossom &amp; Wood Car Air Freshener - 1 piece</t>
        </is>
      </c>
      <c r="C25395" t="inlineStr">
        <is>
          <t>Diffusers</t>
        </is>
      </c>
      <c r="D25395" t="inlineStr">
        <is>
          <t>Millefiori</t>
        </is>
      </c>
      <c r="E25395" t="n">
        <v>8.130000000000001</v>
      </c>
      <c r="F25395" t="n">
        <v>1</v>
      </c>
      <c r="G25395" t="n">
        <v>18</v>
      </c>
      <c r="H25395" s="5">
        <f>HYPERLINK("https://api.qogita.com/variants/link/8051938697987/", "View Product")</f>
        <v/>
      </c>
    </row>
    <row r="25396">
      <c r="A25396" t="inlineStr">
        <is>
          <t>8051938698090</t>
        </is>
      </c>
      <c r="B25396" t="inlineStr">
        <is>
          <t>Millefiori Icon White Musk Car Air Freshener - 1 piece</t>
        </is>
      </c>
      <c r="C25396" t="inlineStr">
        <is>
          <t>Diffusers</t>
        </is>
      </c>
      <c r="D25396" t="inlineStr">
        <is>
          <t>Millefiori</t>
        </is>
      </c>
      <c r="E25396" t="n">
        <v>8.130000000000001</v>
      </c>
      <c r="F25396" t="n">
        <v>1</v>
      </c>
      <c r="G25396" t="n">
        <v>19</v>
      </c>
      <c r="H25396" s="5">
        <f>HYPERLINK("https://api.qogita.com/variants/link/8051938698090/", "View Product")</f>
        <v/>
      </c>
    </row>
    <row r="25397">
      <c r="A25397" t="inlineStr">
        <is>
          <t>8052086372061</t>
        </is>
      </c>
      <c r="B25397" t="inlineStr">
        <is>
          <t>Salvatore Ferragamo Incanto Sky Eau De Toilette</t>
        </is>
      </c>
      <c r="C25397" t="inlineStr">
        <is>
          <t>Eau De Toilette</t>
        </is>
      </c>
      <c r="D25397" t="inlineStr">
        <is>
          <t>Salvatore Ferragamo</t>
        </is>
      </c>
      <c r="E25397" t="n">
        <v>10.14</v>
      </c>
      <c r="F25397" t="n">
        <v>1</v>
      </c>
      <c r="G25397" t="n">
        <v>2</v>
      </c>
      <c r="H25397" s="5">
        <f>HYPERLINK("https://api.qogita.com/variants/link/8052086372061/", "View Product")</f>
        <v/>
      </c>
    </row>
    <row r="25398">
      <c r="A25398" t="inlineStr">
        <is>
          <t>8052086375161</t>
        </is>
      </c>
      <c r="B25398" t="inlineStr">
        <is>
          <t>Tuscan Creations Convivio Perfumed Water Spray 100ml</t>
        </is>
      </c>
      <c r="C25398" t="inlineStr">
        <is>
          <t>Eau De Toilette</t>
        </is>
      </c>
      <c r="D25398" t="inlineStr">
        <is>
          <t>Tuscan Creations</t>
        </is>
      </c>
      <c r="E25398" t="n">
        <v>53.13</v>
      </c>
      <c r="F25398" t="n">
        <v>1</v>
      </c>
      <c r="G25398" t="n">
        <v>23</v>
      </c>
      <c r="H25398" s="5">
        <f>HYPERLINK("https://api.qogita.com/variants/link/8052086375161/", "View Product")</f>
        <v/>
      </c>
    </row>
    <row r="25399">
      <c r="A25399" t="inlineStr">
        <is>
          <t>8052086375239</t>
        </is>
      </c>
      <c r="B25399" t="inlineStr">
        <is>
          <t>Tuscan Creations Rinascimento Perfumed Water Spray 100ml</t>
        </is>
      </c>
      <c r="C25399" t="inlineStr">
        <is>
          <t>Eau De Parfum</t>
        </is>
      </c>
      <c r="D25399" t="inlineStr">
        <is>
          <t>Tuscan Creations</t>
        </is>
      </c>
      <c r="E25399" t="n">
        <v>66.72</v>
      </c>
      <c r="F25399" t="n">
        <v>1</v>
      </c>
      <c r="G25399" t="n">
        <v>6</v>
      </c>
      <c r="H25399" s="5">
        <f>HYPERLINK("https://api.qogita.com/variants/link/8052086375239/", "View Product")</f>
        <v/>
      </c>
    </row>
    <row r="25400">
      <c r="A25400" t="inlineStr">
        <is>
          <t>8052086375253</t>
        </is>
      </c>
      <c r="B25400" t="inlineStr">
        <is>
          <t>Tuscan Creations Calimala Perfumed Water Spray 100ml</t>
        </is>
      </c>
      <c r="C25400" t="inlineStr">
        <is>
          <t>Eau De Parfum</t>
        </is>
      </c>
      <c r="D25400" t="inlineStr">
        <is>
          <t>Tuscan Creations</t>
        </is>
      </c>
      <c r="E25400" t="n">
        <v>77.29000000000001</v>
      </c>
      <c r="F25400" t="n">
        <v>1</v>
      </c>
      <c r="G25400" t="n">
        <v>14</v>
      </c>
      <c r="H25400" s="5">
        <f>HYPERLINK("https://api.qogita.com/variants/link/8052086375253/", "View Product")</f>
        <v/>
      </c>
    </row>
    <row r="25401">
      <c r="A25401" t="inlineStr">
        <is>
          <t>8052086377240</t>
        </is>
      </c>
      <c r="B25401" t="inlineStr">
        <is>
          <t>Salvatore Ferragamo Signorina Ribelle Eau De Parfum 100ml</t>
        </is>
      </c>
      <c r="C25401" t="inlineStr">
        <is>
          <t>Eau De Parfum</t>
        </is>
      </c>
      <c r="D25401" t="inlineStr">
        <is>
          <t>Salvatore Ferragamo</t>
        </is>
      </c>
      <c r="E25401" t="n">
        <v>31.96</v>
      </c>
      <c r="F25401" t="n">
        <v>1</v>
      </c>
      <c r="G25401" t="n">
        <v>12</v>
      </c>
      <c r="H25401" s="5">
        <f>HYPERLINK("https://api.qogita.com/variants/link/8052086377240/", "View Product")</f>
        <v/>
      </c>
    </row>
    <row r="25402">
      <c r="A25402" t="inlineStr">
        <is>
          <t>8052086379732</t>
        </is>
      </c>
      <c r="B25402" t="inlineStr">
        <is>
          <t>Emanuel Ungaro For Him Fresh Eau De Toilette 50ml</t>
        </is>
      </c>
      <c r="C25402" t="inlineStr">
        <is>
          <t>Eau De Toilette</t>
        </is>
      </c>
      <c r="D25402" t="inlineStr">
        <is>
          <t>Emanuel Ungaro</t>
        </is>
      </c>
      <c r="E25402" t="n">
        <v>8.42</v>
      </c>
      <c r="F25402" t="n">
        <v>1</v>
      </c>
      <c r="G25402" t="n">
        <v>4</v>
      </c>
      <c r="H25402" s="5">
        <f>HYPERLINK("https://api.qogita.com/variants/link/8052086379732/", "View Product")</f>
        <v/>
      </c>
    </row>
    <row r="25403">
      <c r="A25403" t="inlineStr">
        <is>
          <t>8052464890361</t>
        </is>
      </c>
      <c r="B25403" t="inlineStr">
        <is>
          <t>Salvatore Ferragamo Oceani Di Seta Eau De Parfum 50 Ml</t>
        </is>
      </c>
      <c r="C25403" t="inlineStr">
        <is>
          <t>Eau De Parfum</t>
        </is>
      </c>
      <c r="D25403" t="inlineStr">
        <is>
          <t>Salvatore Ferragamo</t>
        </is>
      </c>
      <c r="E25403" t="n">
        <v>23.63</v>
      </c>
      <c r="F25403" t="n">
        <v>1</v>
      </c>
      <c r="G25403" t="n">
        <v>2</v>
      </c>
      <c r="H25403" s="5">
        <f>HYPERLINK("https://api.qogita.com/variants/link/8052464890361/", "View Product")</f>
        <v/>
      </c>
    </row>
    <row r="25404">
      <c r="A25404" t="inlineStr">
        <is>
          <t>8052464890378</t>
        </is>
      </c>
      <c r="B25404" t="inlineStr">
        <is>
          <t>Ferragamo Oceani di Seta EdP - Storie di Seta - Eau de Parfum for Women 100ml</t>
        </is>
      </c>
      <c r="C25404" t="inlineStr">
        <is>
          <t>Eau De Parfum</t>
        </is>
      </c>
      <c r="D25404" t="inlineStr">
        <is>
          <t>Salvatore Ferragamo</t>
        </is>
      </c>
      <c r="E25404" t="n">
        <v>26.93</v>
      </c>
      <c r="F25404" t="n">
        <v>1</v>
      </c>
      <c r="G25404" t="n">
        <v>13</v>
      </c>
      <c r="H25404" s="5">
        <f>HYPERLINK("https://api.qogita.com/variants/link/8052464890378/", "View Product")</f>
        <v/>
      </c>
    </row>
    <row r="25405">
      <c r="A25405" t="inlineStr">
        <is>
          <t>8052464891405</t>
        </is>
      </c>
      <c r="B25405" t="inlineStr">
        <is>
          <t>Salvatore Ferragamo Acqua Essenziale Eau de Toilette 50 ml for Men</t>
        </is>
      </c>
      <c r="C25405" t="inlineStr">
        <is>
          <t>Eau De Toilette</t>
        </is>
      </c>
      <c r="D25405" t="inlineStr">
        <is>
          <t>Salvatore Ferragamo</t>
        </is>
      </c>
      <c r="E25405" t="n">
        <v>18.26</v>
      </c>
      <c r="F25405" t="n">
        <v>1</v>
      </c>
      <c r="G25405" t="n">
        <v>8</v>
      </c>
      <c r="H25405" s="5">
        <f>HYPERLINK("https://api.qogita.com/variants/link/8052464891405/", "View Product")</f>
        <v/>
      </c>
    </row>
    <row r="25406">
      <c r="A25406" t="inlineStr">
        <is>
          <t>8052464891467</t>
        </is>
      </c>
      <c r="B25406" t="inlineStr">
        <is>
          <t>Salvatore Ferragamo Acqua Essenziale Blu Eau De Toilette Spray 100ml</t>
        </is>
      </c>
      <c r="C25406" t="inlineStr">
        <is>
          <t>Eau De Toilette</t>
        </is>
      </c>
      <c r="D25406" t="inlineStr">
        <is>
          <t>Salvatore Ferragamo</t>
        </is>
      </c>
      <c r="E25406" t="n">
        <v>27.66</v>
      </c>
      <c r="F25406" t="n">
        <v>1</v>
      </c>
      <c r="G25406" t="n">
        <v>7</v>
      </c>
      <c r="H25406" s="5">
        <f>HYPERLINK("https://api.qogita.com/variants/link/8052464891467/", "View Product")</f>
        <v/>
      </c>
    </row>
    <row r="25407">
      <c r="A25407" t="inlineStr">
        <is>
          <t>8052464891597</t>
        </is>
      </c>
      <c r="B25407" t="inlineStr">
        <is>
          <t>Salvatore Ferragamo Incanto Shine Eau De Toilette Spray 50ml</t>
        </is>
      </c>
      <c r="C25407" t="inlineStr">
        <is>
          <t>Eau De Toilette</t>
        </is>
      </c>
      <c r="D25407" t="inlineStr">
        <is>
          <t>Salvatore Ferragamo</t>
        </is>
      </c>
      <c r="E25407" t="n">
        <v>16.44</v>
      </c>
      <c r="F25407" t="n">
        <v>1</v>
      </c>
      <c r="G25407" t="n">
        <v>5</v>
      </c>
      <c r="H25407" s="5">
        <f>HYPERLINK("https://api.qogita.com/variants/link/8052464891597/", "View Product")</f>
        <v/>
      </c>
    </row>
    <row r="25408">
      <c r="A25408" t="inlineStr">
        <is>
          <t>8052464891689</t>
        </is>
      </c>
      <c r="B25408" t="inlineStr">
        <is>
          <t>Salvatore Ferragamo Ferragamo Bright Leather Eau De Toilette Spray 30ml</t>
        </is>
      </c>
      <c r="C25408" t="inlineStr">
        <is>
          <t>Eau De Toilette</t>
        </is>
      </c>
      <c r="D25408" t="inlineStr">
        <is>
          <t>Salvatore Ferragamo</t>
        </is>
      </c>
      <c r="E25408" t="n">
        <v>14.79</v>
      </c>
      <c r="F25408" t="n">
        <v>1</v>
      </c>
      <c r="G25408" t="n">
        <v>13</v>
      </c>
      <c r="H25408" s="5">
        <f>HYPERLINK("https://api.qogita.com/variants/link/8052464891689/", "View Product")</f>
        <v/>
      </c>
    </row>
    <row r="25409">
      <c r="A25409" t="inlineStr">
        <is>
          <t>8052464891696</t>
        </is>
      </c>
      <c r="B25409" t="inlineStr">
        <is>
          <t>Salvatore Ferragamo Bright Leather Homme Eau De Toilette Spray 50ml</t>
        </is>
      </c>
      <c r="C25409" t="inlineStr">
        <is>
          <t>Eau De Toilette</t>
        </is>
      </c>
      <c r="D25409" t="inlineStr">
        <is>
          <t>Salvatore Ferragamo</t>
        </is>
      </c>
      <c r="E25409" t="n">
        <v>25.44</v>
      </c>
      <c r="F25409" t="n">
        <v>1</v>
      </c>
      <c r="G25409" t="n">
        <v>7</v>
      </c>
      <c r="H25409" s="5">
        <f>HYPERLINK("https://api.qogita.com/variants/link/8052464891696/", "View Product")</f>
        <v/>
      </c>
    </row>
    <row r="25410">
      <c r="A25410" t="inlineStr">
        <is>
          <t>8052464894567</t>
        </is>
      </c>
      <c r="B25410" t="inlineStr">
        <is>
          <t>Wild Petals by Emanuel Ungaro for Women 4.2 Oz Fragrance Mist</t>
        </is>
      </c>
      <c r="C25410" t="inlineStr">
        <is>
          <t>Eau De Parfum</t>
        </is>
      </c>
      <c r="D25410" t="inlineStr">
        <is>
          <t>Emanuel Ungaro</t>
        </is>
      </c>
      <c r="E25410" t="n">
        <v>8.039999999999999</v>
      </c>
      <c r="F25410" t="n">
        <v>1</v>
      </c>
      <c r="G25410" t="n">
        <v>2</v>
      </c>
      <c r="H25410" s="5">
        <f>HYPERLINK("https://api.qogita.com/variants/link/8052464894567/", "View Product")</f>
        <v/>
      </c>
    </row>
    <row r="25411">
      <c r="A25411" t="inlineStr">
        <is>
          <t>8052464895403</t>
        </is>
      </c>
      <c r="B25411" t="inlineStr">
        <is>
          <t>Salvatore Ferragamo Signorina Eau De Parfum 100ml Spray</t>
        </is>
      </c>
      <c r="C25411" t="inlineStr">
        <is>
          <t>Eau De Parfum</t>
        </is>
      </c>
      <c r="D25411" t="inlineStr">
        <is>
          <t>Salvatore Ferragamo</t>
        </is>
      </c>
      <c r="E25411" t="n">
        <v>32.24</v>
      </c>
      <c r="F25411" t="n">
        <v>1</v>
      </c>
      <c r="G25411" t="n">
        <v>376</v>
      </c>
      <c r="H25411" s="5">
        <f>HYPERLINK("https://api.qogita.com/variants/link/8052464895403/", "View Product")</f>
        <v/>
      </c>
    </row>
    <row r="25412">
      <c r="A25412" t="inlineStr">
        <is>
          <t>8052464895861</t>
        </is>
      </c>
      <c r="B25412" t="inlineStr">
        <is>
          <t>Salvatore Ferragamo Signorina Libera Eau De Parfum</t>
        </is>
      </c>
      <c r="C25412" t="inlineStr">
        <is>
          <t>Eau De Parfum</t>
        </is>
      </c>
      <c r="D25412" t="inlineStr">
        <is>
          <t>Salvatore Ferragamo</t>
        </is>
      </c>
      <c r="E25412" t="n">
        <v>20.97</v>
      </c>
      <c r="F25412" t="n">
        <v>1</v>
      </c>
      <c r="G25412" t="n">
        <v>13</v>
      </c>
      <c r="H25412" s="5">
        <f>HYPERLINK("https://api.qogita.com/variants/link/8052464895861/", "View Product")</f>
        <v/>
      </c>
    </row>
    <row r="25413">
      <c r="A25413" t="inlineStr">
        <is>
          <t>8052464896790</t>
        </is>
      </c>
      <c r="B25413" t="inlineStr">
        <is>
          <t>Roberto Cavalli Paradiso Eau de Parfum for Women 50ml</t>
        </is>
      </c>
      <c r="C25413" t="inlineStr">
        <is>
          <t>Eau De Parfum</t>
        </is>
      </c>
      <c r="D25413" t="inlineStr">
        <is>
          <t>Roberto Cavalli</t>
        </is>
      </c>
      <c r="E25413" t="n">
        <v>25.32</v>
      </c>
      <c r="F25413" t="n">
        <v>1</v>
      </c>
      <c r="G25413" t="n">
        <v>2</v>
      </c>
      <c r="H25413" s="5">
        <f>HYPERLINK("https://api.qogita.com/variants/link/8052464896790/", "View Product")</f>
        <v/>
      </c>
    </row>
    <row r="25414">
      <c r="A25414" t="inlineStr">
        <is>
          <t>8052464896868</t>
        </is>
      </c>
      <c r="B25414" t="inlineStr">
        <is>
          <t>Roberto Cavalli Absolute Paradise 75ml</t>
        </is>
      </c>
      <c r="C25414" t="inlineStr">
        <is>
          <t>Eau De Parfum</t>
        </is>
      </c>
      <c r="D25414" t="inlineStr">
        <is>
          <t>Roberto Cavalli</t>
        </is>
      </c>
      <c r="E25414" t="n">
        <v>25.94</v>
      </c>
      <c r="F25414" t="n">
        <v>1</v>
      </c>
      <c r="G25414" t="n">
        <v>17</v>
      </c>
      <c r="H25414" s="5">
        <f>HYPERLINK("https://api.qogita.com/variants/link/8052464896868/", "View Product")</f>
        <v/>
      </c>
    </row>
    <row r="25415">
      <c r="A25415" t="inlineStr">
        <is>
          <t>8052464896943</t>
        </is>
      </c>
      <c r="B25415" t="inlineStr">
        <is>
          <t>Roberto Cavalli Eau De Toilette 90ml</t>
        </is>
      </c>
      <c r="C25415" t="inlineStr">
        <is>
          <t>Eau De Toilette</t>
        </is>
      </c>
      <c r="D25415" t="inlineStr">
        <is>
          <t>Roberto Cavalli</t>
        </is>
      </c>
      <c r="E25415" t="n">
        <v>20.61</v>
      </c>
      <c r="F25415" t="n">
        <v>1</v>
      </c>
      <c r="G25415" t="n">
        <v>62</v>
      </c>
      <c r="H25415" s="5">
        <f>HYPERLINK("https://api.qogita.com/variants/link/8052464896943/", "View Product")</f>
        <v/>
      </c>
    </row>
    <row r="25416">
      <c r="A25416" t="inlineStr">
        <is>
          <t>8052464897094</t>
        </is>
      </c>
      <c r="B25416" t="inlineStr">
        <is>
          <t>Roberto Cavalli Signature Eau de Parfum 30ml</t>
        </is>
      </c>
      <c r="C25416" t="inlineStr">
        <is>
          <t>Eau De Parfum</t>
        </is>
      </c>
      <c r="D25416" t="inlineStr">
        <is>
          <t>Roberto Cavalli</t>
        </is>
      </c>
      <c r="E25416" t="n">
        <v>21.44</v>
      </c>
      <c r="F25416" t="n">
        <v>1</v>
      </c>
      <c r="G25416" t="n">
        <v>5</v>
      </c>
      <c r="H25416" s="5">
        <f>HYPERLINK("https://api.qogita.com/variants/link/8052464897094/", "View Product")</f>
        <v/>
      </c>
    </row>
    <row r="25417">
      <c r="A25417" t="inlineStr">
        <is>
          <t>8053369880143</t>
        </is>
      </c>
      <c r="B25417" t="inlineStr">
        <is>
          <t>Morph Les Exclusifs Rose J Extrait De Parfum 100 Ml Spray</t>
        </is>
      </c>
      <c r="C25417" t="inlineStr">
        <is>
          <t>Extrait De Parfum</t>
        </is>
      </c>
      <c r="D25417" t="inlineStr">
        <is>
          <t>Morph</t>
        </is>
      </c>
      <c r="E25417" t="n">
        <v>94.18000000000001</v>
      </c>
      <c r="F25417" t="n">
        <v>1</v>
      </c>
      <c r="G25417" t="n">
        <v>2</v>
      </c>
      <c r="H25417" s="5">
        <f>HYPERLINK("https://api.qogita.com/variants/link/8053369880143/", "View Product")</f>
        <v/>
      </c>
    </row>
    <row r="25418">
      <c r="A25418" t="inlineStr">
        <is>
          <t>8054247792282</t>
        </is>
      </c>
      <c r="B25418" t="inlineStr">
        <is>
          <t>Moliabal Milano Hair Clip No 228</t>
        </is>
      </c>
      <c r="C25418" t="inlineStr">
        <is>
          <t>Hair Clips &amp; Hair Clamps</t>
        </is>
      </c>
      <c r="D25418" t="inlineStr">
        <is>
          <t>Moliabal Milano</t>
        </is>
      </c>
      <c r="E25418" t="n">
        <v>32.15</v>
      </c>
      <c r="F25418" t="n">
        <v>1</v>
      </c>
      <c r="G25418" t="n">
        <v>1</v>
      </c>
      <c r="H25418" s="5">
        <f>HYPERLINK("https://api.qogita.com/variants/link/8054247792282/", "View Product")</f>
        <v/>
      </c>
    </row>
    <row r="25419">
      <c r="A25419" t="inlineStr">
        <is>
          <t>8054320900016</t>
        </is>
      </c>
      <c r="B25419" t="inlineStr">
        <is>
          <t>Xerjoff Amabile Eau De Parfum 50ml Unisex Spray</t>
        </is>
      </c>
      <c r="C25419" t="inlineStr">
        <is>
          <t>Eau De Parfum</t>
        </is>
      </c>
      <c r="D25419" t="inlineStr">
        <is>
          <t>Xerjoff</t>
        </is>
      </c>
      <c r="E25419" t="n">
        <v>73.53</v>
      </c>
      <c r="F25419" t="n">
        <v>1</v>
      </c>
      <c r="G25419" t="n">
        <v>2</v>
      </c>
      <c r="H25419" s="5">
        <f>HYPERLINK("https://api.qogita.com/variants/link/8054320900016/", "View Product")</f>
        <v/>
      </c>
    </row>
    <row r="25420">
      <c r="A25420" t="inlineStr">
        <is>
          <t>8054320900757</t>
        </is>
      </c>
      <c r="B25420" t="inlineStr">
        <is>
          <t>Xerjoff Hayat Parfum Spray 50ml</t>
        </is>
      </c>
      <c r="C25420" t="inlineStr">
        <is>
          <t>Eau De Parfum</t>
        </is>
      </c>
      <c r="D25420" t="inlineStr">
        <is>
          <t>Xerjoff</t>
        </is>
      </c>
      <c r="E25420" t="n">
        <v>145.89</v>
      </c>
      <c r="F25420" t="n">
        <v>1</v>
      </c>
      <c r="G25420" t="n">
        <v>4</v>
      </c>
      <c r="H25420" s="5">
        <f>HYPERLINK("https://api.qogita.com/variants/link/8054320900757/", "View Product")</f>
        <v/>
      </c>
    </row>
    <row r="25421">
      <c r="A25421" t="inlineStr">
        <is>
          <t>8054320900818</t>
        </is>
      </c>
      <c r="B25421" t="inlineStr">
        <is>
          <t>Xerjoff Aurum Eau De Parfum 50ml</t>
        </is>
      </c>
      <c r="C25421" t="inlineStr">
        <is>
          <t>Eau De Parfum</t>
        </is>
      </c>
      <c r="D25421" t="inlineStr">
        <is>
          <t>Xerjoff</t>
        </is>
      </c>
      <c r="E25421" t="n">
        <v>130.88</v>
      </c>
      <c r="F25421" t="n">
        <v>1</v>
      </c>
      <c r="G25421" t="n">
        <v>7</v>
      </c>
      <c r="H25421" s="5">
        <f>HYPERLINK("https://api.qogita.com/variants/link/8054320900818/", "View Product")</f>
        <v/>
      </c>
    </row>
    <row r="25422">
      <c r="A25422" t="inlineStr">
        <is>
          <t>8054320900849</t>
        </is>
      </c>
      <c r="B25422" t="inlineStr">
        <is>
          <t>Xerjoff Xjk Luna Perfume 50ml</t>
        </is>
      </c>
      <c r="C25422" t="inlineStr">
        <is>
          <t>Eau De Parfum</t>
        </is>
      </c>
      <c r="D25422" t="inlineStr">
        <is>
          <t>Xerjoff</t>
        </is>
      </c>
      <c r="E25422" t="n">
        <v>110.52</v>
      </c>
      <c r="F25422" t="n">
        <v>1</v>
      </c>
      <c r="G25422" t="n">
        <v>6</v>
      </c>
      <c r="H25422" s="5">
        <f>HYPERLINK("https://api.qogita.com/variants/link/8054320900849/", "View Product")</f>
        <v/>
      </c>
    </row>
    <row r="25423">
      <c r="A25423" t="inlineStr">
        <is>
          <t>8054320900870</t>
        </is>
      </c>
      <c r="B25423" t="inlineStr">
        <is>
          <t>Xerjoff K Collection Layla Parfum Spray 50ml</t>
        </is>
      </c>
      <c r="C25423" t="inlineStr">
        <is>
          <t>Eau De Parfum</t>
        </is>
      </c>
      <c r="D25423" t="inlineStr">
        <is>
          <t>Xerjoff</t>
        </is>
      </c>
      <c r="E25423" t="n">
        <v>125.3</v>
      </c>
      <c r="F25423" t="n">
        <v>1</v>
      </c>
      <c r="G25423" t="n">
        <v>11</v>
      </c>
      <c r="H25423" s="5">
        <f>HYPERLINK("https://api.qogita.com/variants/link/8054320900870/", "View Product")</f>
        <v/>
      </c>
    </row>
    <row r="25424">
      <c r="A25424" t="inlineStr">
        <is>
          <t>8054320900931</t>
        </is>
      </c>
      <c r="B25424" t="inlineStr">
        <is>
          <t>Xerjoff K Collection Jabir Parfum Spray 50ml</t>
        </is>
      </c>
      <c r="C25424" t="inlineStr">
        <is>
          <t>Eau De Parfum</t>
        </is>
      </c>
      <c r="D25424" t="inlineStr">
        <is>
          <t>Xerjoff</t>
        </is>
      </c>
      <c r="E25424" t="n">
        <v>138.57</v>
      </c>
      <c r="F25424" t="n">
        <v>1</v>
      </c>
      <c r="G25424" t="n">
        <v>5</v>
      </c>
      <c r="H25424" s="5">
        <f>HYPERLINK("https://api.qogita.com/variants/link/8054320900931/", "View Product")</f>
        <v/>
      </c>
    </row>
    <row r="25425">
      <c r="A25425" t="inlineStr">
        <is>
          <t>8054320902485</t>
        </is>
      </c>
      <c r="B25425" t="inlineStr">
        <is>
          <t>Xerjoff Torino 23 Eau De Parfum Spray 50ml</t>
        </is>
      </c>
      <c r="C25425" t="inlineStr">
        <is>
          <t>Eau De Parfum</t>
        </is>
      </c>
      <c r="D25425" t="inlineStr">
        <is>
          <t>Xerjoff</t>
        </is>
      </c>
      <c r="E25425" t="n">
        <v>104.25</v>
      </c>
      <c r="F25425" t="n">
        <v>1</v>
      </c>
      <c r="G25425" t="n">
        <v>41</v>
      </c>
      <c r="H25425" s="5">
        <f>HYPERLINK("https://api.qogita.com/variants/link/8054320902485/", "View Product")</f>
        <v/>
      </c>
    </row>
    <row r="25426">
      <c r="A25426" t="inlineStr">
        <is>
          <t>8054320902522</t>
        </is>
      </c>
      <c r="B25426" t="inlineStr">
        <is>
          <t>Xerjoff Erba Gold Eau De Parfum 100ml</t>
        </is>
      </c>
      <c r="C25426" t="inlineStr">
        <is>
          <t>Eau De Parfum</t>
        </is>
      </c>
      <c r="D25426" t="inlineStr">
        <is>
          <t>Xerjoff</t>
        </is>
      </c>
      <c r="E25426" t="n">
        <v>161.81</v>
      </c>
      <c r="F25426" t="n">
        <v>1</v>
      </c>
      <c r="G25426" t="n">
        <v>142</v>
      </c>
      <c r="H25426" s="5">
        <f>HYPERLINK("https://api.qogita.com/variants/link/8054320902522/", "View Product")</f>
        <v/>
      </c>
    </row>
    <row r="25427">
      <c r="A25427" t="inlineStr">
        <is>
          <t>8054320902539</t>
        </is>
      </c>
      <c r="B25427" t="inlineStr">
        <is>
          <t>Xerjoff V Erba Gold 1.70 Fl Oz</t>
        </is>
      </c>
      <c r="C25427" t="inlineStr">
        <is>
          <t>Eau De Parfum</t>
        </is>
      </c>
      <c r="D25427" t="inlineStr">
        <is>
          <t>Xerjoff</t>
        </is>
      </c>
      <c r="E25427" t="n">
        <v>119.04</v>
      </c>
      <c r="F25427" t="n">
        <v>1</v>
      </c>
      <c r="G25427" t="n">
        <v>5</v>
      </c>
      <c r="H25427" s="5">
        <f>HYPERLINK("https://api.qogita.com/variants/link/8054320902539/", "View Product")</f>
        <v/>
      </c>
    </row>
    <row r="25428">
      <c r="A25428" t="inlineStr">
        <is>
          <t>8054320902584</t>
        </is>
      </c>
      <c r="B25428" t="inlineStr">
        <is>
          <t>Xerjoff Erba Pura Eau De Parfum 100ml</t>
        </is>
      </c>
      <c r="C25428" t="inlineStr">
        <is>
          <t>Eau De Parfum</t>
        </is>
      </c>
      <c r="D25428" t="inlineStr">
        <is>
          <t>Xerjoff</t>
        </is>
      </c>
      <c r="E25428" t="n">
        <v>140.01</v>
      </c>
      <c r="F25428" t="n">
        <v>1</v>
      </c>
      <c r="G25428" t="n">
        <v>535</v>
      </c>
      <c r="H25428" s="5">
        <f>HYPERLINK("https://api.qogita.com/variants/link/8054320902584/", "View Product")</f>
        <v/>
      </c>
    </row>
    <row r="25429">
      <c r="A25429" t="inlineStr">
        <is>
          <t>8054320902638</t>
        </is>
      </c>
      <c r="B25429" t="inlineStr">
        <is>
          <t>Xerjoff Soprano Eau De Parfum Spray 100ml</t>
        </is>
      </c>
      <c r="C25429" t="inlineStr">
        <is>
          <t>Eau De Parfum</t>
        </is>
      </c>
      <c r="D25429" t="inlineStr">
        <is>
          <t>Xerjoff</t>
        </is>
      </c>
      <c r="E25429" t="n">
        <v>155.17</v>
      </c>
      <c r="F25429" t="n">
        <v>1</v>
      </c>
      <c r="G25429" t="n">
        <v>2</v>
      </c>
      <c r="H25429" s="5">
        <f>HYPERLINK("https://api.qogita.com/variants/link/8054320902638/", "View Product")</f>
        <v/>
      </c>
    </row>
    <row r="25430">
      <c r="A25430" t="inlineStr">
        <is>
          <t>8054320902676</t>
        </is>
      </c>
      <c r="B25430" t="inlineStr">
        <is>
          <t>Xerjoff Ouverture Eau De Parfum 50ml</t>
        </is>
      </c>
      <c r="C25430" t="inlineStr">
        <is>
          <t>Eau De Parfum</t>
        </is>
      </c>
      <c r="D25430" t="inlineStr">
        <is>
          <t>Xerjoff</t>
        </is>
      </c>
      <c r="E25430" t="n">
        <v>102.65</v>
      </c>
      <c r="F25430" t="n">
        <v>1</v>
      </c>
      <c r="G25430" t="n">
        <v>28</v>
      </c>
      <c r="H25430" s="5">
        <f>HYPERLINK("https://api.qogita.com/variants/link/8054320902676/", "View Product")</f>
        <v/>
      </c>
    </row>
    <row r="25431">
      <c r="A25431" t="inlineStr">
        <is>
          <t>8054320902928</t>
        </is>
      </c>
      <c r="B25431" t="inlineStr">
        <is>
          <t>Xerjoff Wardasina 50ml Eau de Parfum</t>
        </is>
      </c>
      <c r="C25431" t="inlineStr">
        <is>
          <t>Eau De Parfum</t>
        </is>
      </c>
      <c r="D25431" t="inlineStr">
        <is>
          <t>Xerjoff</t>
        </is>
      </c>
      <c r="E25431" t="n">
        <v>110.91</v>
      </c>
      <c r="F25431" t="n">
        <v>1</v>
      </c>
      <c r="G25431" t="n">
        <v>11</v>
      </c>
      <c r="H25431" s="5">
        <f>HYPERLINK("https://api.qogita.com/variants/link/8054320902928/", "View Product")</f>
        <v/>
      </c>
    </row>
    <row r="25432">
      <c r="A25432" t="inlineStr">
        <is>
          <t>8054320903123</t>
        </is>
      </c>
      <c r="B25432" t="inlineStr">
        <is>
          <t>Xerjoff Torino 22 Eau De Parfum Unisex Perfume 50ml</t>
        </is>
      </c>
      <c r="C25432" t="inlineStr">
        <is>
          <t>Eau De Parfum</t>
        </is>
      </c>
      <c r="D25432" t="inlineStr">
        <is>
          <t>Xerjoff</t>
        </is>
      </c>
      <c r="E25432" t="n">
        <v>115.94</v>
      </c>
      <c r="F25432" t="n">
        <v>1</v>
      </c>
      <c r="G25432" t="n">
        <v>63</v>
      </c>
      <c r="H25432" s="5">
        <f>HYPERLINK("https://api.qogita.com/variants/link/8054320903123/", "View Product")</f>
        <v/>
      </c>
    </row>
    <row r="25433">
      <c r="A25433" t="inlineStr">
        <is>
          <t>8054320903246</t>
        </is>
      </c>
      <c r="B25433" t="inlineStr">
        <is>
          <t>Xerjoff Oud Luban Parfum Oil 15ml</t>
        </is>
      </c>
      <c r="C25433" t="inlineStr">
        <is>
          <t>Extrait De Parfum</t>
        </is>
      </c>
      <c r="D25433" t="inlineStr">
        <is>
          <t>Xerjoff</t>
        </is>
      </c>
      <c r="E25433" t="n">
        <v>187.47</v>
      </c>
      <c r="F25433" t="n">
        <v>1</v>
      </c>
      <c r="G25433" t="n">
        <v>2</v>
      </c>
      <c r="H25433" s="5">
        <f>HYPERLINK("https://api.qogita.com/variants/link/8054320903246/", "View Product")</f>
        <v/>
      </c>
    </row>
    <row r="25434">
      <c r="A25434" t="inlineStr">
        <is>
          <t>8054320904380</t>
        </is>
      </c>
      <c r="B25434" t="inlineStr">
        <is>
          <t>Duran Duran Neorio Orange Perfume Spray 50ml</t>
        </is>
      </c>
      <c r="C25434" t="inlineStr">
        <is>
          <t>Eau De Parfum</t>
        </is>
      </c>
      <c r="D25434" t="inlineStr">
        <is>
          <t>Duran Duran</t>
        </is>
      </c>
      <c r="E25434" t="n">
        <v>224.86</v>
      </c>
      <c r="F25434" t="n">
        <v>1</v>
      </c>
      <c r="G25434" t="n">
        <v>5</v>
      </c>
      <c r="H25434" s="5">
        <f>HYPERLINK("https://api.qogita.com/variants/link/8054320904380/", "View Product")</f>
        <v/>
      </c>
    </row>
    <row r="25435">
      <c r="A25435" t="inlineStr">
        <is>
          <t>8054521910012</t>
        </is>
      </c>
      <c r="B25435" t="inlineStr">
        <is>
          <t>Accendis Aclus Eau De Parfum</t>
        </is>
      </c>
      <c r="C25435" t="inlineStr">
        <is>
          <t>Eau De Parfum</t>
        </is>
      </c>
      <c r="D25435" t="inlineStr">
        <is>
          <t>Accendis</t>
        </is>
      </c>
      <c r="E25435" t="n">
        <v>48.51</v>
      </c>
      <c r="F25435" t="n">
        <v>1</v>
      </c>
      <c r="G25435" t="n">
        <v>5</v>
      </c>
      <c r="H25435" s="5">
        <f>HYPERLINK("https://api.qogita.com/variants/link/8054521910012/", "View Product")</f>
        <v/>
      </c>
    </row>
    <row r="25436">
      <c r="A25436" t="inlineStr">
        <is>
          <t>8054609780568</t>
        </is>
      </c>
      <c r="B25436" t="inlineStr">
        <is>
          <t>Aquolina Pink Sugar Creamy Sunshine Eau De Toilette</t>
        </is>
      </c>
      <c r="C25436" t="inlineStr">
        <is>
          <t>Eau De Toilette</t>
        </is>
      </c>
      <c r="D25436" t="inlineStr">
        <is>
          <t>Aquolina</t>
        </is>
      </c>
      <c r="E25436" t="n">
        <v>12.76</v>
      </c>
      <c r="F25436" t="n">
        <v>1</v>
      </c>
      <c r="G25436" t="n">
        <v>3</v>
      </c>
      <c r="H25436" s="5">
        <f>HYPERLINK("https://api.qogita.com/variants/link/8054609780568/", "View Product")</f>
        <v/>
      </c>
    </row>
    <row r="25437">
      <c r="A25437" t="inlineStr">
        <is>
          <t>8054754400649</t>
        </is>
      </c>
      <c r="B25437" t="inlineStr">
        <is>
          <t>Dolce &amp; Gabbana Q By Dolce &amp; Gabbana Christmas Fragrance Set</t>
        </is>
      </c>
      <c r="C25437" t="inlineStr">
        <is>
          <t>Fragrance Sets</t>
        </is>
      </c>
      <c r="D25437" t="inlineStr">
        <is>
          <t>Dolce &amp; Gabbana</t>
        </is>
      </c>
      <c r="E25437" t="n">
        <v>54.34</v>
      </c>
      <c r="F25437" t="n">
        <v>1</v>
      </c>
      <c r="G25437" t="n">
        <v>32</v>
      </c>
      <c r="H25437" s="5">
        <f>HYPERLINK("https://api.qogita.com/variants/link/8054754400649/", "View Product")</f>
        <v/>
      </c>
    </row>
    <row r="25438">
      <c r="A25438" t="inlineStr">
        <is>
          <t>8054754400755</t>
        </is>
      </c>
      <c r="B25438" t="inlineStr">
        <is>
          <t>Dolce &amp; Gabbana The Only One Set Eau De Parfum 100ml Eau De Parfum 10ml Eau De Parfum 5ml</t>
        </is>
      </c>
      <c r="C25438" t="inlineStr">
        <is>
          <t>Fragrance Sets</t>
        </is>
      </c>
      <c r="D25438" t="inlineStr">
        <is>
          <t>Dolce &amp; Gabbana</t>
        </is>
      </c>
      <c r="E25438" t="n">
        <v>63.19</v>
      </c>
      <c r="F25438" t="n">
        <v>1</v>
      </c>
      <c r="G25438" t="n">
        <v>26</v>
      </c>
      <c r="H25438" s="5">
        <f>HYPERLINK("https://api.qogita.com/variants/link/8054754400755/", "View Product")</f>
        <v/>
      </c>
    </row>
    <row r="25439">
      <c r="A25439" t="inlineStr">
        <is>
          <t>8054754400779</t>
        </is>
      </c>
      <c r="B25439" t="inlineStr">
        <is>
          <t>Dolce &amp; Gabbana The One Fragrance 3 Piece Gift Set 3.3 Oz / 100ml</t>
        </is>
      </c>
      <c r="C25439" t="inlineStr">
        <is>
          <t>Fragrance Sets</t>
        </is>
      </c>
      <c r="D25439" t="inlineStr">
        <is>
          <t>Dolce &amp; Gabbana</t>
        </is>
      </c>
      <c r="E25439" t="n">
        <v>72.38</v>
      </c>
      <c r="F25439" t="n">
        <v>1</v>
      </c>
      <c r="G25439" t="n">
        <v>15</v>
      </c>
      <c r="H25439" s="5">
        <f>HYPERLINK("https://api.qogita.com/variants/link/8054754400779/", "View Product")</f>
        <v/>
      </c>
    </row>
    <row r="25440">
      <c r="A25440" t="inlineStr">
        <is>
          <t>8054754403589</t>
        </is>
      </c>
      <c r="B25440" t="inlineStr">
        <is>
          <t>Dolce &amp; Gabbana The One - Eau De Parfum 75 Ml + Hair Spray 30 Ml + Eau De Parfum 10 Ml</t>
        </is>
      </c>
      <c r="C25440" t="inlineStr">
        <is>
          <t>Fragrance Sets</t>
        </is>
      </c>
      <c r="D25440" t="inlineStr">
        <is>
          <t>Dolce &amp; Gabbana</t>
        </is>
      </c>
      <c r="E25440" t="n">
        <v>86</v>
      </c>
      <c r="F25440" t="n">
        <v>1</v>
      </c>
      <c r="G25440" t="n">
        <v>4</v>
      </c>
      <c r="H25440" s="5">
        <f>HYPERLINK("https://api.qogita.com/variants/link/8054754403589/", "View Product")</f>
        <v/>
      </c>
    </row>
    <row r="25441">
      <c r="A25441" t="inlineStr">
        <is>
          <t>8054754405033</t>
        </is>
      </c>
      <c r="B25441" t="inlineStr">
        <is>
          <t>Dolce &amp; Gabbana Q Perfume 30ml</t>
        </is>
      </c>
      <c r="C25441" t="inlineStr">
        <is>
          <t>Eau De Parfum</t>
        </is>
      </c>
      <c r="D25441" t="inlineStr">
        <is>
          <t>Dolce &amp; Gabbana</t>
        </is>
      </c>
      <c r="E25441" t="n">
        <v>58.21</v>
      </c>
      <c r="F25441" t="n">
        <v>1</v>
      </c>
      <c r="G25441" t="n">
        <v>2</v>
      </c>
      <c r="H25441" s="5">
        <f>HYPERLINK("https://api.qogita.com/variants/link/8054754405033/", "View Product")</f>
        <v/>
      </c>
    </row>
    <row r="25442">
      <c r="A25442" t="inlineStr">
        <is>
          <t>8054754405040</t>
        </is>
      </c>
      <c r="B25442" t="inlineStr">
        <is>
          <t>Dolce &amp; Gabbana Q Parfum 50ml</t>
        </is>
      </c>
      <c r="C25442" t="inlineStr">
        <is>
          <t>Eau De Parfum</t>
        </is>
      </c>
      <c r="D25442" t="inlineStr">
        <is>
          <t>Dolce &amp; Gabbana</t>
        </is>
      </c>
      <c r="E25442" t="n">
        <v>75.73</v>
      </c>
      <c r="F25442" t="n">
        <v>1</v>
      </c>
      <c r="G25442" t="n">
        <v>10</v>
      </c>
      <c r="H25442" s="5">
        <f>HYPERLINK("https://api.qogita.com/variants/link/8054754405040/", "View Product")</f>
        <v/>
      </c>
    </row>
    <row r="25443">
      <c r="A25443" t="inlineStr">
        <is>
          <t>8055060140298</t>
        </is>
      </c>
      <c r="B25443" t="inlineStr">
        <is>
          <t>Tigi Copyright Total Sun Care &amp; Glow Shower Gel 250ml</t>
        </is>
      </c>
      <c r="C25443" t="inlineStr">
        <is>
          <t>Shower Gel</t>
        </is>
      </c>
      <c r="D25443" t="inlineStr">
        <is>
          <t>Tigi</t>
        </is>
      </c>
      <c r="E25443" t="n">
        <v>4.79</v>
      </c>
      <c r="F25443" t="n">
        <v>1</v>
      </c>
      <c r="G25443" t="n">
        <v>38</v>
      </c>
      <c r="H25443" s="5">
        <f>HYPERLINK("https://api.qogita.com/variants/link/8055060140298/", "View Product")</f>
        <v/>
      </c>
    </row>
    <row r="25444">
      <c r="A25444" t="inlineStr">
        <is>
          <t>8055060140311</t>
        </is>
      </c>
      <c r="B25444" t="inlineStr">
        <is>
          <t>TIGI Copyright Total Sun Care &amp; Glow Beach Waves Shampoo 250ml</t>
        </is>
      </c>
      <c r="C25444" t="inlineStr">
        <is>
          <t>Shampoo</t>
        </is>
      </c>
      <c r="D25444" t="inlineStr">
        <is>
          <t>Tigi</t>
        </is>
      </c>
      <c r="E25444" t="n">
        <v>4.8</v>
      </c>
      <c r="F25444" t="n">
        <v>1</v>
      </c>
      <c r="G25444" t="n">
        <v>48</v>
      </c>
      <c r="H25444" s="5">
        <f>HYPERLINK("https://api.qogita.com/variants/link/8055060140311/", "View Product")</f>
        <v/>
      </c>
    </row>
    <row r="25445">
      <c r="A25445" t="inlineStr">
        <is>
          <t>8055277281739</t>
        </is>
      </c>
      <c r="B25445" t="inlineStr">
        <is>
          <t>Bois 1920 EDP Sensual Tuberose Unisex Perfume 100ml</t>
        </is>
      </c>
      <c r="C25445" t="inlineStr">
        <is>
          <t>Eau De Parfum</t>
        </is>
      </c>
      <c r="D25445" t="inlineStr">
        <is>
          <t>Bois 1920</t>
        </is>
      </c>
      <c r="E25445" t="n">
        <v>78.65000000000001</v>
      </c>
      <c r="F25445" t="n">
        <v>1</v>
      </c>
      <c r="G25445" t="n">
        <v>4</v>
      </c>
      <c r="H25445" s="5">
        <f>HYPERLINK("https://api.qogita.com/variants/link/8055277281739/", "View Product")</f>
        <v/>
      </c>
    </row>
    <row r="25446">
      <c r="A25446" t="inlineStr">
        <is>
          <t>8055277281791</t>
        </is>
      </c>
      <c r="B25446" t="inlineStr">
        <is>
          <t>Bois 1920 Vetiver Ambrato Eau de Parfum 50ml</t>
        </is>
      </c>
      <c r="C25446" t="inlineStr">
        <is>
          <t>Eau De Parfum</t>
        </is>
      </c>
      <c r="D25446" t="inlineStr">
        <is>
          <t>Bois 1920</t>
        </is>
      </c>
      <c r="E25446" t="n">
        <v>32.64</v>
      </c>
      <c r="F25446" t="n">
        <v>1</v>
      </c>
      <c r="G25446" t="n">
        <v>4</v>
      </c>
      <c r="H25446" s="5">
        <f>HYPERLINK("https://api.qogita.com/variants/link/8055277281791/", "View Product")</f>
        <v/>
      </c>
    </row>
    <row r="25447">
      <c r="A25447" t="inlineStr">
        <is>
          <t>8055510240370</t>
        </is>
      </c>
      <c r="B25447" t="inlineStr">
        <is>
          <t>Rilastil Hydrotenseur Anti-Wrinkle Face Cream for Restoration Light Texture with Hyaluronic Acid 40ml</t>
        </is>
      </c>
      <c r="C25447" t="inlineStr">
        <is>
          <t>Face Cream</t>
        </is>
      </c>
      <c r="D25447" t="inlineStr">
        <is>
          <t>Rilastil</t>
        </is>
      </c>
      <c r="E25447" t="n">
        <v>35.72</v>
      </c>
      <c r="F25447" t="n">
        <v>1</v>
      </c>
      <c r="G25447" t="n">
        <v>4</v>
      </c>
      <c r="H25447" s="5">
        <f>HYPERLINK("https://api.qogita.com/variants/link/8055510240370/", "View Product")</f>
        <v/>
      </c>
    </row>
    <row r="25448">
      <c r="A25448" t="inlineStr">
        <is>
          <t>8056420220421</t>
        </is>
      </c>
      <c r="B25448" t="inlineStr">
        <is>
          <t>Beper Ceramic Aroma Lamp And Air Humidifier 70404</t>
        </is>
      </c>
      <c r="C25448" t="inlineStr">
        <is>
          <t>Diffusers</t>
        </is>
      </c>
      <c r="D25448" t="inlineStr">
        <is>
          <t>Beper</t>
        </is>
      </c>
      <c r="E25448" t="n">
        <v>27.62</v>
      </c>
      <c r="F25448" t="n">
        <v>1</v>
      </c>
      <c r="G25448" t="n">
        <v>5</v>
      </c>
      <c r="H25448" s="5">
        <f>HYPERLINK("https://api.qogita.com/variants/link/8056420220421/", "View Product")</f>
        <v/>
      </c>
    </row>
    <row r="25449">
      <c r="A25449" t="inlineStr">
        <is>
          <t>8056420220940</t>
        </is>
      </c>
      <c r="B25449" t="inlineStr">
        <is>
          <t>Beper Aroma Diffuser 70405</t>
        </is>
      </c>
      <c r="C25449" t="inlineStr">
        <is>
          <t>Diffusers</t>
        </is>
      </c>
      <c r="D25449" t="inlineStr">
        <is>
          <t>Beper</t>
        </is>
      </c>
      <c r="E25449" t="n">
        <v>21.64</v>
      </c>
      <c r="F25449" t="n">
        <v>1</v>
      </c>
      <c r="G25449" t="n">
        <v>5</v>
      </c>
      <c r="H25449" s="5">
        <f>HYPERLINK("https://api.qogita.com/variants/link/8056420220940/", "View Product")</f>
        <v/>
      </c>
    </row>
    <row r="25450">
      <c r="A25450" t="inlineStr">
        <is>
          <t>8056420221565</t>
        </is>
      </c>
      <c r="B25450" t="inlineStr">
        <is>
          <t>Beper Rechargeable Pore and Blackhead Vacuum Removes Blackheads, Sebum, Impurities, and Acne from Clogged Pores</t>
        </is>
      </c>
      <c r="C25450" t="inlineStr">
        <is>
          <t>Facial Cleansing Tools</t>
        </is>
      </c>
      <c r="D25450" t="inlineStr">
        <is>
          <t>Beper</t>
        </is>
      </c>
      <c r="E25450" t="n">
        <v>17.29</v>
      </c>
      <c r="F25450" t="n">
        <v>1</v>
      </c>
      <c r="G25450" t="n">
        <v>4</v>
      </c>
      <c r="H25450" s="5">
        <f>HYPERLINK("https://api.qogita.com/variants/link/8056420221565/", "View Product")</f>
        <v/>
      </c>
    </row>
    <row r="25451">
      <c r="A25451" t="inlineStr">
        <is>
          <t>8056420222401</t>
        </is>
      </c>
      <c r="B25451" t="inlineStr">
        <is>
          <t>Beper Precision Rechargeable Hair Clipper Stainless Steel Black Small</t>
        </is>
      </c>
      <c r="C25451" t="inlineStr">
        <is>
          <t>Hair Clippers</t>
        </is>
      </c>
      <c r="D25451" t="inlineStr">
        <is>
          <t>Beper</t>
        </is>
      </c>
      <c r="E25451" t="n">
        <v>24.23</v>
      </c>
      <c r="F25451" t="n">
        <v>1</v>
      </c>
      <c r="G25451" t="n">
        <v>2</v>
      </c>
      <c r="H25451" s="5">
        <f>HYPERLINK("https://api.qogita.com/variants/link/8056420222401/", "View Product")</f>
        <v/>
      </c>
    </row>
    <row r="25452">
      <c r="A25452" t="inlineStr">
        <is>
          <t>8056420222487</t>
        </is>
      </c>
      <c r="B25452" t="inlineStr">
        <is>
          <t>Beper Skin Cleansing Brush</t>
        </is>
      </c>
      <c r="C25452" t="inlineStr">
        <is>
          <t>Facial Cleansing Brushes</t>
        </is>
      </c>
      <c r="D25452" t="inlineStr">
        <is>
          <t>Beper</t>
        </is>
      </c>
      <c r="E25452" t="n">
        <v>12.09</v>
      </c>
      <c r="F25452" t="n">
        <v>1</v>
      </c>
      <c r="G25452" t="n">
        <v>2</v>
      </c>
      <c r="H25452" s="5">
        <f>HYPERLINK("https://api.qogita.com/variants/link/8056420222487/", "View Product")</f>
        <v/>
      </c>
    </row>
    <row r="25453">
      <c r="A25453" t="inlineStr">
        <is>
          <t>8056420223347</t>
        </is>
      </c>
      <c r="B25453" t="inlineStr">
        <is>
          <t>BEPER P304BAR003 Men's Electric Shaver with 3 Flexible Heads - USB Rechargeable and Easy to Clean</t>
        </is>
      </c>
      <c r="C25453" t="inlineStr">
        <is>
          <t>Shaving</t>
        </is>
      </c>
      <c r="D25453" t="inlineStr">
        <is>
          <t>Beper</t>
        </is>
      </c>
      <c r="E25453" t="n">
        <v>26.07</v>
      </c>
      <c r="F25453" t="n">
        <v>1</v>
      </c>
      <c r="G25453" t="n">
        <v>3</v>
      </c>
      <c r="H25453" s="5">
        <f>HYPERLINK("https://api.qogita.com/variants/link/8056420223347/", "View Product")</f>
        <v/>
      </c>
    </row>
    <row r="25454">
      <c r="A25454" t="inlineStr">
        <is>
          <t>8056860210754</t>
        </is>
      </c>
      <c r="B25454" t="inlineStr">
        <is>
          <t>Salvatore Ferragamo Uomo Signature Eau De Parfum Spray 100ml</t>
        </is>
      </c>
      <c r="C25454" t="inlineStr">
        <is>
          <t>Eau De Parfum</t>
        </is>
      </c>
      <c r="D25454" t="inlineStr">
        <is>
          <t>Salvatore Ferragamo</t>
        </is>
      </c>
      <c r="E25454" t="n">
        <v>33.77</v>
      </c>
      <c r="F25454" t="n">
        <v>1</v>
      </c>
      <c r="G25454" t="n">
        <v>918</v>
      </c>
      <c r="H25454" s="5">
        <f>HYPERLINK("https://api.qogita.com/variants/link/8056860210754/", "View Product")</f>
        <v/>
      </c>
    </row>
    <row r="25455">
      <c r="A25455" t="inlineStr">
        <is>
          <t>8057509460042</t>
        </is>
      </c>
      <c r="B25455" t="inlineStr">
        <is>
          <t>Giardini Di Toscana Shabby Chic Eau De Parfum Spray 100ml</t>
        </is>
      </c>
      <c r="C25455" t="inlineStr">
        <is>
          <t>Eau De Parfum</t>
        </is>
      </c>
      <c r="D25455" t="inlineStr">
        <is>
          <t>Giardini Di Toscana</t>
        </is>
      </c>
      <c r="E25455" t="n">
        <v>89.81999999999999</v>
      </c>
      <c r="F25455" t="n">
        <v>1</v>
      </c>
      <c r="G25455" t="n">
        <v>3</v>
      </c>
      <c r="H25455" s="5">
        <f>HYPERLINK("https://api.qogita.com/variants/link/8057509460042/", "View Product")</f>
        <v/>
      </c>
    </row>
    <row r="25456">
      <c r="A25456" t="inlineStr">
        <is>
          <t>8057509460356</t>
        </is>
      </c>
      <c r="B25456" t="inlineStr">
        <is>
          <t>Giardini Di Toscana Christos Eau De Parfum Spray 100ml</t>
        </is>
      </c>
      <c r="C25456" t="inlineStr">
        <is>
          <t>Eau De Parfum</t>
        </is>
      </c>
      <c r="D25456" t="inlineStr">
        <is>
          <t>Giardini Di Toscana</t>
        </is>
      </c>
      <c r="E25456" t="n">
        <v>88.25</v>
      </c>
      <c r="F25456" t="n">
        <v>1</v>
      </c>
      <c r="G25456" t="n">
        <v>2</v>
      </c>
      <c r="H25456" s="5">
        <f>HYPERLINK("https://api.qogita.com/variants/link/8057509460356/", "View Product")</f>
        <v/>
      </c>
    </row>
    <row r="25457">
      <c r="A25457" t="inlineStr">
        <is>
          <t>8057714450678</t>
        </is>
      </c>
      <c r="B25457" t="inlineStr">
        <is>
          <t>Iceberg Twice Black Aftershave Balm for Men 150ml New &amp; Sealed</t>
        </is>
      </c>
      <c r="C25457" t="inlineStr">
        <is>
          <t>Aftershave</t>
        </is>
      </c>
      <c r="D25457" t="inlineStr">
        <is>
          <t>Iceberg</t>
        </is>
      </c>
      <c r="E25457" t="n">
        <v>5.57</v>
      </c>
      <c r="F25457" t="n">
        <v>1</v>
      </c>
      <c r="G25457" t="n">
        <v>8</v>
      </c>
      <c r="H25457" s="5">
        <f>HYPERLINK("https://api.qogita.com/variants/link/8057714450678/", "View Product")</f>
        <v/>
      </c>
    </row>
    <row r="25458">
      <c r="A25458" t="inlineStr">
        <is>
          <t>8057971180042</t>
        </is>
      </c>
      <c r="B25458" t="inlineStr">
        <is>
          <t>Dolce &amp; Gabbana Dolce Shine Eau De Parfum 75ml For Women</t>
        </is>
      </c>
      <c r="C25458" t="inlineStr">
        <is>
          <t>Eau De Parfum</t>
        </is>
      </c>
      <c r="D25458" t="inlineStr">
        <is>
          <t>Dolce &amp; Gabbana</t>
        </is>
      </c>
      <c r="E25458" t="n">
        <v>59.62</v>
      </c>
      <c r="F25458" t="n">
        <v>1</v>
      </c>
      <c r="G25458" t="n">
        <v>9</v>
      </c>
      <c r="H25458" s="5">
        <f>HYPERLINK("https://api.qogita.com/variants/link/8057971180042/", "View Product")</f>
        <v/>
      </c>
    </row>
    <row r="25459">
      <c r="A25459" t="inlineStr">
        <is>
          <t>8057971180318</t>
        </is>
      </c>
      <c r="B25459" t="inlineStr">
        <is>
          <t>Dolce &amp; Gabbana Light Blue Eau De Toilette Spray For Women 100ml</t>
        </is>
      </c>
      <c r="C25459" t="inlineStr">
        <is>
          <t>Eau De Toilette</t>
        </is>
      </c>
      <c r="D25459" t="inlineStr">
        <is>
          <t>Dolce And Gabbana</t>
        </is>
      </c>
      <c r="E25459" t="n">
        <v>43.66</v>
      </c>
      <c r="F25459" t="n">
        <v>1</v>
      </c>
      <c r="G25459" t="n">
        <v>5761</v>
      </c>
      <c r="H25459" s="5">
        <f>HYPERLINK("https://api.qogita.com/variants/link/8057971180318/", "View Product")</f>
        <v/>
      </c>
    </row>
    <row r="25460">
      <c r="A25460" t="inlineStr">
        <is>
          <t>8057971180332</t>
        </is>
      </c>
      <c r="B25460" t="inlineStr">
        <is>
          <t>Dolce &amp; Gabbana Light Blue Eau De Toilette Spray 25ml</t>
        </is>
      </c>
      <c r="C25460" t="inlineStr">
        <is>
          <t>Eau De Toilette</t>
        </is>
      </c>
      <c r="D25460" t="inlineStr">
        <is>
          <t>Dolce &amp; Gabbana</t>
        </is>
      </c>
      <c r="E25460" t="n">
        <v>26.11</v>
      </c>
      <c r="F25460" t="n">
        <v>1</v>
      </c>
      <c r="G25460" t="n">
        <v>27</v>
      </c>
      <c r="H25460" s="5">
        <f>HYPERLINK("https://api.qogita.com/variants/link/8057971180332/", "View Product")</f>
        <v/>
      </c>
    </row>
    <row r="25461">
      <c r="A25461" t="inlineStr">
        <is>
          <t>8057971180547</t>
        </is>
      </c>
      <c r="B25461" t="inlineStr">
        <is>
          <t>Dolce &amp; Gabbana The One Men Eau De Parfum 100ml</t>
        </is>
      </c>
      <c r="C25461" t="inlineStr">
        <is>
          <t>Eau De Parfum</t>
        </is>
      </c>
      <c r="D25461" t="inlineStr">
        <is>
          <t>Dolce &amp; Gabbana</t>
        </is>
      </c>
      <c r="E25461" t="n">
        <v>49.86</v>
      </c>
      <c r="F25461" t="n">
        <v>1</v>
      </c>
      <c r="G25461" t="n">
        <v>4</v>
      </c>
      <c r="H25461" s="5">
        <f>HYPERLINK("https://api.qogita.com/variants/link/8057971180547/", "View Product")</f>
        <v/>
      </c>
    </row>
    <row r="25462">
      <c r="A25462" t="inlineStr">
        <is>
          <t>8057971181346</t>
        </is>
      </c>
      <c r="B25462" t="inlineStr">
        <is>
          <t>Dolce&amp;Gabbana Light Blue Eau Intense Eau De Parfum Spray 50ml</t>
        </is>
      </c>
      <c r="C25462" t="inlineStr">
        <is>
          <t>Eau De Parfum</t>
        </is>
      </c>
      <c r="D25462" t="inlineStr">
        <is>
          <t>Dolce &amp; Gabbana</t>
        </is>
      </c>
      <c r="E25462" t="n">
        <v>41.26</v>
      </c>
      <c r="F25462" t="n">
        <v>1</v>
      </c>
      <c r="G25462" t="n">
        <v>82</v>
      </c>
      <c r="H25462" s="5">
        <f>HYPERLINK("https://api.qogita.com/variants/link/8057971181346/", "View Product")</f>
        <v/>
      </c>
    </row>
    <row r="25463">
      <c r="A25463" t="inlineStr">
        <is>
          <t>8057971183579</t>
        </is>
      </c>
      <c r="B25463" t="inlineStr">
        <is>
          <t>Dolce &amp; Gabbana Light Blue Summer Vibes Pour Homme Eau De Toilette 125ml</t>
        </is>
      </c>
      <c r="C25463" t="inlineStr">
        <is>
          <t>Eau De Toilette</t>
        </is>
      </c>
      <c r="D25463" t="inlineStr">
        <is>
          <t>Dolce &amp; Gabbana</t>
        </is>
      </c>
      <c r="E25463" t="n">
        <v>37.67</v>
      </c>
      <c r="F25463" t="n">
        <v>1</v>
      </c>
      <c r="G25463" t="n">
        <v>3</v>
      </c>
      <c r="H25463" s="5">
        <f>HYPERLINK("https://api.qogita.com/variants/link/8057971183579/", "View Product")</f>
        <v/>
      </c>
    </row>
    <row r="25464">
      <c r="A25464" t="inlineStr">
        <is>
          <t>8057971183647</t>
        </is>
      </c>
      <c r="B25464" t="inlineStr">
        <is>
          <t>Dolce &amp; Gabbana Q Eau De Parfum Spray 30ml</t>
        </is>
      </c>
      <c r="C25464" t="inlineStr">
        <is>
          <t>Eau De Parfum</t>
        </is>
      </c>
      <c r="D25464" t="inlineStr">
        <is>
          <t>Dolce &amp; Gabbana</t>
        </is>
      </c>
      <c r="E25464" t="n">
        <v>35.51</v>
      </c>
      <c r="F25464" t="n">
        <v>1</v>
      </c>
      <c r="G25464" t="n">
        <v>8</v>
      </c>
      <c r="H25464" s="5">
        <f>HYPERLINK("https://api.qogita.com/variants/link/8057971183647/", "View Product")</f>
        <v/>
      </c>
    </row>
    <row r="25465">
      <c r="A25465" t="inlineStr">
        <is>
          <t>8057971183654</t>
        </is>
      </c>
      <c r="B25465" t="inlineStr">
        <is>
          <t>Dolce &amp; Gabbana Q Eau De Parfum Spray 50ml</t>
        </is>
      </c>
      <c r="C25465" t="inlineStr">
        <is>
          <t>Eau De Parfum</t>
        </is>
      </c>
      <c r="D25465" t="inlineStr">
        <is>
          <t>Dolce &amp; Gabbana</t>
        </is>
      </c>
      <c r="E25465" t="n">
        <v>52.26</v>
      </c>
      <c r="F25465" t="n">
        <v>1</v>
      </c>
      <c r="G25465" t="n">
        <v>6</v>
      </c>
      <c r="H25465" s="5">
        <f>HYPERLINK("https://api.qogita.com/variants/link/8057971183654/", "View Product")</f>
        <v/>
      </c>
    </row>
    <row r="25466">
      <c r="A25466" t="inlineStr">
        <is>
          <t>8057971183722</t>
        </is>
      </c>
      <c r="B25466" t="inlineStr">
        <is>
          <t>Dolce &amp; Gabbana Devotion Eau De Parfum 50ml</t>
        </is>
      </c>
      <c r="C25466" t="inlineStr">
        <is>
          <t>Eau De Parfum</t>
        </is>
      </c>
      <c r="D25466" t="inlineStr">
        <is>
          <t>Dolce &amp; Gabbana</t>
        </is>
      </c>
      <c r="E25466" t="n">
        <v>39.73</v>
      </c>
      <c r="F25466" t="n">
        <v>1</v>
      </c>
      <c r="G25466" t="n">
        <v>23</v>
      </c>
      <c r="H25466" s="5">
        <f>HYPERLINK("https://api.qogita.com/variants/link/8057971183722/", "View Product")</f>
        <v/>
      </c>
    </row>
    <row r="25467">
      <c r="A25467" t="inlineStr">
        <is>
          <t>8057971183807</t>
        </is>
      </c>
      <c r="B25467" t="inlineStr">
        <is>
          <t>Dolce &amp; Gabbana Dolce Violet Eau De Toilette 75ml Spray</t>
        </is>
      </c>
      <c r="C25467" t="inlineStr">
        <is>
          <t>Eau De Toilette</t>
        </is>
      </c>
      <c r="D25467" t="inlineStr">
        <is>
          <t>Dolce &amp; Gabbana</t>
        </is>
      </c>
      <c r="E25467" t="n">
        <v>43.95</v>
      </c>
      <c r="F25467" t="n">
        <v>1</v>
      </c>
      <c r="G25467" t="n">
        <v>5</v>
      </c>
      <c r="H25467" s="5">
        <f>HYPERLINK("https://api.qogita.com/variants/link/8057971183807/", "View Product")</f>
        <v/>
      </c>
    </row>
    <row r="25468">
      <c r="A25468" t="inlineStr">
        <is>
          <t>8057971185412</t>
        </is>
      </c>
      <c r="B25468" t="inlineStr">
        <is>
          <t>Dolce &amp; Gabbana Dolce Violet Women's Fragrance</t>
        </is>
      </c>
      <c r="C25468" t="inlineStr">
        <is>
          <t>Eau De Parfum</t>
        </is>
      </c>
      <c r="D25468" t="inlineStr">
        <is>
          <t>Dolce &amp; Gabbana</t>
        </is>
      </c>
      <c r="E25468" t="n">
        <v>67.98</v>
      </c>
      <c r="F25468" t="n">
        <v>1</v>
      </c>
      <c r="G25468" t="n">
        <v>7</v>
      </c>
      <c r="H25468" s="5">
        <f>HYPERLINK("https://api.qogita.com/variants/link/8057971185412/", "View Product")</f>
        <v/>
      </c>
    </row>
    <row r="25469">
      <c r="A25469" t="inlineStr">
        <is>
          <t>8057971185948</t>
        </is>
      </c>
      <c r="B25469" t="inlineStr">
        <is>
          <t>Dolce &amp; Gabbana Everlast Primer - Long-Lasting Makeup Base, 28 Ml</t>
        </is>
      </c>
      <c r="C25469" t="inlineStr">
        <is>
          <t>Primer</t>
        </is>
      </c>
      <c r="D25469" t="inlineStr">
        <is>
          <t>Dolce &amp; Gabbana</t>
        </is>
      </c>
      <c r="E25469" t="n">
        <v>43.6</v>
      </c>
      <c r="F25469" t="n">
        <v>1</v>
      </c>
      <c r="G25469" t="n">
        <v>3</v>
      </c>
      <c r="H25469" s="5">
        <f>HYPERLINK("https://api.qogita.com/variants/link/8057971185948/", "View Product")</f>
        <v/>
      </c>
    </row>
    <row r="25470">
      <c r="A25470" t="inlineStr">
        <is>
          <t>8057971186655</t>
        </is>
      </c>
      <c r="B25470" t="inlineStr">
        <is>
          <t>Dolce&amp;Gabbana The Only One Intense Eau De Parfum Spray 100ml</t>
        </is>
      </c>
      <c r="C25470" t="inlineStr">
        <is>
          <t>Eau De Parfum</t>
        </is>
      </c>
      <c r="D25470" t="inlineStr">
        <is>
          <t>Dolce &amp; Gabbana</t>
        </is>
      </c>
      <c r="E25470" t="n">
        <v>65.41</v>
      </c>
      <c r="F25470" t="n">
        <v>1</v>
      </c>
      <c r="G25470" t="n">
        <v>37</v>
      </c>
      <c r="H25470" s="5">
        <f>HYPERLINK("https://api.qogita.com/variants/link/8057971186655/", "View Product")</f>
        <v/>
      </c>
    </row>
    <row r="25471">
      <c r="A25471" t="inlineStr">
        <is>
          <t>8057971187522</t>
        </is>
      </c>
      <c r="B25471" t="inlineStr">
        <is>
          <t>Dolce and Gabbana The One Eau de Parfum 75ml 2023 Gift Set</t>
        </is>
      </c>
      <c r="C25471" t="inlineStr">
        <is>
          <t>Fragrance Sets</t>
        </is>
      </c>
      <c r="D25471" t="inlineStr">
        <is>
          <t>Dolce &amp; Gabbana</t>
        </is>
      </c>
      <c r="E25471" t="n">
        <v>80.14</v>
      </c>
      <c r="F25471" t="n">
        <v>1</v>
      </c>
      <c r="G25471" t="n">
        <v>14</v>
      </c>
      <c r="H25471" s="5">
        <f>HYPERLINK("https://api.qogita.com/variants/link/8057971187522/", "View Product")</f>
        <v/>
      </c>
    </row>
    <row r="25472">
      <c r="A25472" t="inlineStr">
        <is>
          <t>8057971187829</t>
        </is>
      </c>
      <c r="B25472" t="inlineStr">
        <is>
          <t>Dolce &amp; Gabbana Q By Dolce &amp; Gabbana Intense Eau De Parfum Spray 100ml</t>
        </is>
      </c>
      <c r="C25472" t="inlineStr">
        <is>
          <t>Eau De Parfum</t>
        </is>
      </c>
      <c r="D25472" t="inlineStr">
        <is>
          <t>Dolce &amp; Gabbana</t>
        </is>
      </c>
      <c r="E25472" t="n">
        <v>67.48</v>
      </c>
      <c r="F25472" t="n">
        <v>1</v>
      </c>
      <c r="G25472" t="n">
        <v>5</v>
      </c>
      <c r="H25472" s="5">
        <f>HYPERLINK("https://api.qogita.com/variants/link/8057971187829/", "View Product")</f>
        <v/>
      </c>
    </row>
    <row r="25473">
      <c r="A25473" t="inlineStr">
        <is>
          <t>8057971187980</t>
        </is>
      </c>
      <c r="B25473" t="inlineStr">
        <is>
          <t>Dolce &amp; Gabbana Dolce Blue Jasmine Eau De Parfum</t>
        </is>
      </c>
      <c r="C25473" t="inlineStr">
        <is>
          <t>Eau De Parfum</t>
        </is>
      </c>
      <c r="D25473" t="inlineStr">
        <is>
          <t>Dolce &amp; Gabbana</t>
        </is>
      </c>
      <c r="E25473" t="n">
        <v>29.83</v>
      </c>
      <c r="F25473" t="n">
        <v>1</v>
      </c>
      <c r="G25473" t="n">
        <v>5</v>
      </c>
      <c r="H25473" s="5">
        <f>HYPERLINK("https://api.qogita.com/variants/link/8057971187980/", "View Product")</f>
        <v/>
      </c>
    </row>
    <row r="25474">
      <c r="A25474" t="inlineStr">
        <is>
          <t>8057971188673</t>
        </is>
      </c>
      <c r="B25474" t="inlineStr">
        <is>
          <t>Dolce &amp; Gabbana The One Gold Intense Eau De Parfum 50ml</t>
        </is>
      </c>
      <c r="C25474" t="inlineStr">
        <is>
          <t>Eau De Parfum</t>
        </is>
      </c>
      <c r="D25474" t="inlineStr">
        <is>
          <t>Dolce &amp; Gabbana</t>
        </is>
      </c>
      <c r="E25474" t="n">
        <v>39.6</v>
      </c>
      <c r="F25474" t="n">
        <v>1</v>
      </c>
      <c r="G25474" t="n">
        <v>49</v>
      </c>
      <c r="H25474" s="5">
        <f>HYPERLINK("https://api.qogita.com/variants/link/8057971188673/", "View Product")</f>
        <v/>
      </c>
    </row>
    <row r="25475">
      <c r="A25475" t="inlineStr">
        <is>
          <t>8057971189403</t>
        </is>
      </c>
      <c r="B25475" t="inlineStr">
        <is>
          <t>Dolce &amp; Gabbana Cheeks &amp; Eyes Match Blush - 8 G</t>
        </is>
      </c>
      <c r="C25475" t="inlineStr">
        <is>
          <t>Blush</t>
        </is>
      </c>
      <c r="D25475" t="inlineStr">
        <is>
          <t>Dolce &amp; Gabbana</t>
        </is>
      </c>
      <c r="E25475" t="n">
        <v>36</v>
      </c>
      <c r="F25475" t="n">
        <v>1</v>
      </c>
      <c r="G25475" t="n">
        <v>3</v>
      </c>
      <c r="H25475" s="5">
        <f>HYPERLINK("https://api.qogita.com/variants/link/8057971189403/", "View Product")</f>
        <v/>
      </c>
    </row>
    <row r="25476">
      <c r="A25476" t="inlineStr">
        <is>
          <t>8057971189540</t>
        </is>
      </c>
      <c r="B25476" t="inlineStr">
        <is>
          <t>Dolce &amp; Gabbana Mint Oil Lip Plumper Flash Plumping Lip Oil - 7ml</t>
        </is>
      </c>
      <c r="C25476" t="inlineStr">
        <is>
          <t>Lip Plumper</t>
        </is>
      </c>
      <c r="D25476" t="inlineStr">
        <is>
          <t>Dolce &amp; Gabbana</t>
        </is>
      </c>
      <c r="E25476" t="n">
        <v>31.46</v>
      </c>
      <c r="F25476" t="n">
        <v>1</v>
      </c>
      <c r="G25476" t="n">
        <v>5</v>
      </c>
      <c r="H25476" s="5">
        <f>HYPERLINK("https://api.qogita.com/variants/link/8057971189540/", "View Product")</f>
        <v/>
      </c>
    </row>
    <row r="25477">
      <c r="A25477" t="inlineStr">
        <is>
          <t>8058045422679</t>
        </is>
      </c>
      <c r="B25477" t="inlineStr">
        <is>
          <t>Trussardi Uomo Eau De Toilette Spray 200ml For Men</t>
        </is>
      </c>
      <c r="C25477" t="inlineStr">
        <is>
          <t>Eau De Toilette</t>
        </is>
      </c>
      <c r="D25477" t="inlineStr">
        <is>
          <t>Trussardi</t>
        </is>
      </c>
      <c r="E25477" t="n">
        <v>42.34</v>
      </c>
      <c r="F25477" t="n">
        <v>1</v>
      </c>
      <c r="G25477" t="n">
        <v>29</v>
      </c>
      <c r="H25477" s="5">
        <f>HYPERLINK("https://api.qogita.com/variants/link/8058045422679/", "View Product")</f>
        <v/>
      </c>
    </row>
    <row r="25478">
      <c r="A25478" t="inlineStr">
        <is>
          <t>8058045426592</t>
        </is>
      </c>
      <c r="B25478" t="inlineStr">
        <is>
          <t>Femme Adorable Intense Eau de Parfum 100ml</t>
        </is>
      </c>
      <c r="C25478" t="inlineStr">
        <is>
          <t>Eau De Parfum</t>
        </is>
      </c>
      <c r="D25478" t="inlineStr">
        <is>
          <t>Angel Schlesser</t>
        </is>
      </c>
      <c r="E25478" t="n">
        <v>27.38</v>
      </c>
      <c r="F25478" t="n">
        <v>1</v>
      </c>
      <c r="G25478" t="n">
        <v>2</v>
      </c>
      <c r="H25478" s="5">
        <f>HYPERLINK("https://api.qogita.com/variants/link/8058045426592/", "View Product")</f>
        <v/>
      </c>
    </row>
    <row r="25479">
      <c r="A25479" t="inlineStr">
        <is>
          <t>8058045429944</t>
        </is>
      </c>
      <c r="B25479" t="inlineStr">
        <is>
          <t>Laura Biagiotti Forever Gold For Her Eau De Parfum Spray 30ml</t>
        </is>
      </c>
      <c r="C25479" t="inlineStr">
        <is>
          <t>Eau De Parfum</t>
        </is>
      </c>
      <c r="D25479" t="inlineStr">
        <is>
          <t>Laura Biagiotti</t>
        </is>
      </c>
      <c r="E25479" t="n">
        <v>13.84</v>
      </c>
      <c r="F25479" t="n">
        <v>1</v>
      </c>
      <c r="G25479" t="n">
        <v>7</v>
      </c>
      <c r="H25479" s="5">
        <f>HYPERLINK("https://api.qogita.com/variants/link/8058045429944/", "View Product")</f>
        <v/>
      </c>
    </row>
    <row r="25480">
      <c r="A25480" t="inlineStr">
        <is>
          <t>8058045430070</t>
        </is>
      </c>
      <c r="B25480" t="inlineStr">
        <is>
          <t>ANNE MOLLER Livingoldage Nutri Recovery Extra Rich Cream SPF15 50ml</t>
        </is>
      </c>
      <c r="C25480" t="inlineStr">
        <is>
          <t>Day Cream</t>
        </is>
      </c>
      <c r="D25480" t="inlineStr">
        <is>
          <t>Anne Moller</t>
        </is>
      </c>
      <c r="E25480" t="n">
        <v>39.18</v>
      </c>
      <c r="F25480" t="n">
        <v>1</v>
      </c>
      <c r="G25480" t="n">
        <v>5</v>
      </c>
      <c r="H25480" s="5">
        <f>HYPERLINK("https://api.qogita.com/variants/link/8058045430070/", "View Product")</f>
        <v/>
      </c>
    </row>
    <row r="25481">
      <c r="A25481" t="inlineStr">
        <is>
          <t>8058045430940</t>
        </is>
      </c>
      <c r="B25481" t="inlineStr">
        <is>
          <t>Armand Basi L'Eau Pour Homme Blue Tea Eau De Toilette Spray 125ml</t>
        </is>
      </c>
      <c r="C25481" t="inlineStr">
        <is>
          <t>Eau De Toilette</t>
        </is>
      </c>
      <c r="D25481" t="inlineStr">
        <is>
          <t>Armand Basi</t>
        </is>
      </c>
      <c r="E25481" t="n">
        <v>19.95</v>
      </c>
      <c r="F25481" t="n">
        <v>1</v>
      </c>
      <c r="G25481" t="n">
        <v>4</v>
      </c>
      <c r="H25481" s="5">
        <f>HYPERLINK("https://api.qogita.com/variants/link/8058045430940/", "View Product")</f>
        <v/>
      </c>
    </row>
    <row r="25482">
      <c r="A25482" t="inlineStr">
        <is>
          <t>8058045432937</t>
        </is>
      </c>
      <c r="B25482" t="inlineStr">
        <is>
          <t>Trussardi Levriero Uomo Edp Spray Perfume 100ml New 2022 Limited Edition</t>
        </is>
      </c>
      <c r="C25482" t="inlineStr">
        <is>
          <t>Eau De Parfum</t>
        </is>
      </c>
      <c r="D25482" t="inlineStr">
        <is>
          <t>Trussardi</t>
        </is>
      </c>
      <c r="E25482" t="n">
        <v>47.23</v>
      </c>
      <c r="F25482" t="n">
        <v>1</v>
      </c>
      <c r="G25482" t="n">
        <v>11</v>
      </c>
      <c r="H25482" s="5">
        <f>HYPERLINK("https://api.qogita.com/variants/link/8058045432937/", "View Product")</f>
        <v/>
      </c>
    </row>
    <row r="25483">
      <c r="A25483" t="inlineStr">
        <is>
          <t>8058045433040</t>
        </is>
      </c>
      <c r="B25483" t="inlineStr">
        <is>
          <t>Trussardi Pure Jasmine Eau de Parfum 30ml</t>
        </is>
      </c>
      <c r="C25483" t="inlineStr">
        <is>
          <t>Eau De Parfum</t>
        </is>
      </c>
      <c r="D25483" t="inlineStr">
        <is>
          <t>Trussardi</t>
        </is>
      </c>
      <c r="E25483" t="n">
        <v>20.56</v>
      </c>
      <c r="F25483" t="n">
        <v>1</v>
      </c>
      <c r="G25483" t="n">
        <v>5</v>
      </c>
      <c r="H25483" s="5">
        <f>HYPERLINK("https://api.qogita.com/variants/link/8058045433040/", "View Product")</f>
        <v/>
      </c>
    </row>
    <row r="25484">
      <c r="A25484" t="inlineStr">
        <is>
          <t>8058045433453</t>
        </is>
      </c>
      <c r="B25484" t="inlineStr">
        <is>
          <t>Mandarina Duck For Her Eau De Toilette 100ml</t>
        </is>
      </c>
      <c r="C25484" t="inlineStr">
        <is>
          <t>Eau De Toilette</t>
        </is>
      </c>
      <c r="D25484" t="inlineStr">
        <is>
          <t>Mandarina Duck</t>
        </is>
      </c>
      <c r="E25484" t="n">
        <v>16.59</v>
      </c>
      <c r="F25484" t="n">
        <v>1</v>
      </c>
      <c r="G25484" t="n">
        <v>2</v>
      </c>
      <c r="H25484" s="5">
        <f>HYPERLINK("https://api.qogita.com/variants/link/8058045433453/", "View Product")</f>
        <v/>
      </c>
    </row>
    <row r="25485">
      <c r="A25485" t="inlineStr">
        <is>
          <t>8058045434306</t>
        </is>
      </c>
      <c r="B25485" t="inlineStr">
        <is>
          <t>Anne Moller Express Sun Defense After Sun Glow 175ml</t>
        </is>
      </c>
      <c r="C25485" t="inlineStr">
        <is>
          <t>Aftersun</t>
        </is>
      </c>
      <c r="D25485" t="inlineStr">
        <is>
          <t>Anne Moller</t>
        </is>
      </c>
      <c r="E25485" t="n">
        <v>8.73</v>
      </c>
      <c r="F25485" t="n">
        <v>1</v>
      </c>
      <c r="G25485" t="n">
        <v>4</v>
      </c>
      <c r="H25485" s="5">
        <f>HYPERLINK("https://api.qogita.com/variants/link/8058045434306/", "View Product")</f>
        <v/>
      </c>
    </row>
    <row r="25486">
      <c r="A25486" t="inlineStr">
        <is>
          <t>8058045434351</t>
        </is>
      </c>
      <c r="B25486" t="inlineStr">
        <is>
          <t>Anne Möller CLEAN UP Calming Toner 400ml</t>
        </is>
      </c>
      <c r="C25486" t="inlineStr">
        <is>
          <t>Face Lotion</t>
        </is>
      </c>
      <c r="D25486" t="inlineStr">
        <is>
          <t>Anne Moller</t>
        </is>
      </c>
      <c r="E25486" t="n">
        <v>15.88</v>
      </c>
      <c r="F25486" t="n">
        <v>1</v>
      </c>
      <c r="G25486" t="n">
        <v>2</v>
      </c>
      <c r="H25486" s="5">
        <f>HYPERLINK("https://api.qogita.com/variants/link/8058045434351/", "View Product")</f>
        <v/>
      </c>
    </row>
    <row r="25487">
      <c r="A25487" t="inlineStr">
        <is>
          <t>8058045436614</t>
        </is>
      </c>
      <c r="B25487" t="inlineStr">
        <is>
          <t>Trussardi Ruby Red Eau De Parfum Spray 30ml</t>
        </is>
      </c>
      <c r="C25487" t="inlineStr">
        <is>
          <t>Eau De Parfum</t>
        </is>
      </c>
      <c r="D25487" t="inlineStr">
        <is>
          <t>Trussardi</t>
        </is>
      </c>
      <c r="E25487" t="n">
        <v>19.15</v>
      </c>
      <c r="F25487" t="n">
        <v>1</v>
      </c>
      <c r="G25487" t="n">
        <v>9</v>
      </c>
      <c r="H25487" s="5">
        <f>HYPERLINK("https://api.qogita.com/variants/link/8058045436614/", "View Product")</f>
        <v/>
      </c>
    </row>
    <row r="25488">
      <c r="A25488" t="inlineStr">
        <is>
          <t>8058045436621</t>
        </is>
      </c>
      <c r="B25488" t="inlineStr">
        <is>
          <t>Trussardi Ruby Red Eau De Parfum Spray 60ml</t>
        </is>
      </c>
      <c r="C25488" t="inlineStr">
        <is>
          <t>Eau De Parfum</t>
        </is>
      </c>
      <c r="D25488" t="inlineStr">
        <is>
          <t>Trussardi</t>
        </is>
      </c>
      <c r="E25488" t="n">
        <v>27.77</v>
      </c>
      <c r="F25488" t="n">
        <v>1</v>
      </c>
      <c r="G25488" t="n">
        <v>2</v>
      </c>
      <c r="H25488" s="5">
        <f>HYPERLINK("https://api.qogita.com/variants/link/8058045436621/", "View Product")</f>
        <v/>
      </c>
    </row>
    <row r="25489">
      <c r="A25489" t="inlineStr">
        <is>
          <t>8058045438762</t>
        </is>
      </c>
      <c r="B25489" t="inlineStr">
        <is>
          <t>Anne Mller Perfectia Super Serum Antidark Spots 30ml Skin Serum Against Dark Spots</t>
        </is>
      </c>
      <c r="C25489" t="inlineStr">
        <is>
          <t>Glow Serum</t>
        </is>
      </c>
      <c r="D25489" t="inlineStr">
        <is>
          <t>Anne Moller</t>
        </is>
      </c>
      <c r="E25489" t="n">
        <v>36.01</v>
      </c>
      <c r="F25489" t="n">
        <v>1</v>
      </c>
      <c r="G25489" t="n">
        <v>3</v>
      </c>
      <c r="H25489" s="5">
        <f>HYPERLINK("https://api.qogita.com/variants/link/8058045438762/", "View Product")</f>
        <v/>
      </c>
    </row>
    <row r="25490">
      <c r="A25490" t="inlineStr">
        <is>
          <t>8059082001841</t>
        </is>
      </c>
      <c r="B25490" t="inlineStr">
        <is>
          <t>Laura Biagiotti Laura B Aqve Rom Uva Dulcis Et 100 Vap - Fragrance</t>
        </is>
      </c>
      <c r="C25490" t="inlineStr">
        <is>
          <t>Eau De Parfum</t>
        </is>
      </c>
      <c r="D25490" t="inlineStr">
        <is>
          <t>Laura Biagiotti</t>
        </is>
      </c>
      <c r="E25490" t="n">
        <v>23.97</v>
      </c>
      <c r="F25490" t="n">
        <v>1</v>
      </c>
      <c r="G25490" t="n">
        <v>12</v>
      </c>
      <c r="H25490" s="5">
        <f>HYPERLINK("https://api.qogita.com/variants/link/8059082001841/", "View Product")</f>
        <v/>
      </c>
    </row>
    <row r="25491">
      <c r="A25491" t="inlineStr">
        <is>
          <t>8059083001857</t>
        </is>
      </c>
      <c r="B25491" t="inlineStr">
        <is>
          <t>Laura Biagiotti Aqve Romane Ambrosia Aurea Eau De Toilette 100 Ml</t>
        </is>
      </c>
      <c r="C25491" t="inlineStr">
        <is>
          <t>Eau De Toilette</t>
        </is>
      </c>
      <c r="D25491" t="inlineStr">
        <is>
          <t>Laura Biagiotti</t>
        </is>
      </c>
      <c r="E25491" t="n">
        <v>24.48</v>
      </c>
      <c r="F25491" t="n">
        <v>1</v>
      </c>
      <c r="G25491" t="n">
        <v>14</v>
      </c>
      <c r="H25491" s="5">
        <f>HYPERLINK("https://api.qogita.com/variants/link/8059083001857/", "View Product")</f>
        <v/>
      </c>
    </row>
    <row r="25492">
      <c r="A25492" t="inlineStr">
        <is>
          <t>8059118002200</t>
        </is>
      </c>
      <c r="B25492" t="inlineStr">
        <is>
          <t>Trussardi Primo Eau De Parfum 100 Ml</t>
        </is>
      </c>
      <c r="C25492" t="inlineStr">
        <is>
          <t>Eau De Parfum</t>
        </is>
      </c>
      <c r="D25492" t="inlineStr">
        <is>
          <t>Trussardi</t>
        </is>
      </c>
      <c r="E25492" t="n">
        <v>46.74</v>
      </c>
      <c r="F25492" t="n">
        <v>1</v>
      </c>
      <c r="G25492" t="n">
        <v>10</v>
      </c>
      <c r="H25492" s="5">
        <f>HYPERLINK("https://api.qogita.com/variants/link/8059118002200/", "View Product")</f>
        <v/>
      </c>
    </row>
    <row r="25493">
      <c r="A25493" t="inlineStr">
        <is>
          <t>8059265192489</t>
        </is>
      </c>
      <c r="B25493" t="inlineStr">
        <is>
          <t>Millefiori Fragrance Oil, Glass, Black, 15ml Nero</t>
        </is>
      </c>
      <c r="C25493" t="inlineStr">
        <is>
          <t>Diffusers</t>
        </is>
      </c>
      <c r="D25493" t="inlineStr">
        <is>
          <t>Millefiori</t>
        </is>
      </c>
      <c r="E25493" t="n">
        <v>7.86</v>
      </c>
      <c r="F25493" t="n">
        <v>1</v>
      </c>
      <c r="G25493" t="n">
        <v>10</v>
      </c>
      <c r="H25493" s="5">
        <f>HYPERLINK("https://api.qogita.com/variants/link/8059265192489/", "View Product")</f>
        <v/>
      </c>
    </row>
    <row r="25494">
      <c r="A25494" t="inlineStr">
        <is>
          <t>8059602242884</t>
        </is>
      </c>
      <c r="B25494" t="inlineStr">
        <is>
          <t>Sweet Home Collection Tiar And Gardenia Luxury Diffuser 150 Ml</t>
        </is>
      </c>
      <c r="C25494" t="inlineStr">
        <is>
          <t>Diffusers</t>
        </is>
      </c>
      <c r="D25494" t="inlineStr">
        <is>
          <t>Sweet Home Collection</t>
        </is>
      </c>
      <c r="E25494" t="n">
        <v>12.56</v>
      </c>
      <c r="F25494" t="n">
        <v>1</v>
      </c>
      <c r="G25494" t="n">
        <v>2</v>
      </c>
      <c r="H25494" s="5">
        <f>HYPERLINK("https://api.qogita.com/variants/link/8059602242884/", "View Product")</f>
        <v/>
      </c>
    </row>
    <row r="25495">
      <c r="A25495" t="inlineStr">
        <is>
          <t>8410190297685</t>
        </is>
      </c>
      <c r="B25495" t="inlineStr">
        <is>
          <t>Maja Eau De Toilette Spray 100ml By Maja</t>
        </is>
      </c>
      <c r="C25495" t="inlineStr">
        <is>
          <t>Eau De Toilette</t>
        </is>
      </c>
      <c r="D25495" t="inlineStr">
        <is>
          <t>Maja</t>
        </is>
      </c>
      <c r="E25495" t="n">
        <v>20.22</v>
      </c>
      <c r="F25495" t="n">
        <v>1</v>
      </c>
      <c r="G25495" t="n">
        <v>14</v>
      </c>
      <c r="H25495" s="5">
        <f>HYPERLINK("https://api.qogita.com/variants/link/8410190297685/", "View Product")</f>
        <v/>
      </c>
    </row>
    <row r="25496">
      <c r="A25496" t="inlineStr">
        <is>
          <t>8410190612778</t>
        </is>
      </c>
      <c r="B25496" t="inlineStr">
        <is>
          <t>Adolfo Dominguez Fresh Water Of White Roses Eau De Toilette Spray 60ml</t>
        </is>
      </c>
      <c r="C25496" t="inlineStr">
        <is>
          <t>Eau De Toilette</t>
        </is>
      </c>
      <c r="D25496" t="inlineStr">
        <is>
          <t>Adolfo Dominguez</t>
        </is>
      </c>
      <c r="E25496" t="n">
        <v>21.02</v>
      </c>
      <c r="F25496" t="n">
        <v>1</v>
      </c>
      <c r="G25496" t="n">
        <v>5</v>
      </c>
      <c r="H25496" s="5">
        <f>HYPERLINK("https://api.qogita.com/variants/link/8410190612778/", "View Product")</f>
        <v/>
      </c>
    </row>
    <row r="25497">
      <c r="A25497" t="inlineStr">
        <is>
          <t>8410190626362</t>
        </is>
      </c>
      <c r="B25497" t="inlineStr">
        <is>
          <t>Adolfo Dominguez Agua Fresca Lima Tonka EDT 120ml</t>
        </is>
      </c>
      <c r="C25497" t="inlineStr">
        <is>
          <t>Eau De Toilette</t>
        </is>
      </c>
      <c r="D25497" t="inlineStr">
        <is>
          <t>Adolfo Dominguez</t>
        </is>
      </c>
      <c r="E25497" t="n">
        <v>25.19</v>
      </c>
      <c r="F25497" t="n">
        <v>1</v>
      </c>
      <c r="G25497" t="n">
        <v>5</v>
      </c>
      <c r="H25497" s="5">
        <f>HYPERLINK("https://api.qogita.com/variants/link/8410190626362/", "View Product")</f>
        <v/>
      </c>
    </row>
    <row r="25498">
      <c r="A25498" t="inlineStr">
        <is>
          <t>8410190627185</t>
        </is>
      </c>
      <c r="B25498" t="inlineStr">
        <is>
          <t>Vetiver Terra Vaporizer</t>
        </is>
      </c>
      <c r="C25498" t="inlineStr">
        <is>
          <t>Diffusers</t>
        </is>
      </c>
      <c r="D25498" t="inlineStr">
        <is>
          <t>Adolfo Dominguez</t>
        </is>
      </c>
      <c r="E25498" t="n">
        <v>27.64</v>
      </c>
      <c r="F25498" t="n">
        <v>1</v>
      </c>
      <c r="G25498" t="n">
        <v>2</v>
      </c>
      <c r="H25498" s="5">
        <f>HYPERLINK("https://api.qogita.com/variants/link/8410190627185/", "View Product")</f>
        <v/>
      </c>
    </row>
    <row r="25499">
      <c r="A25499" t="inlineStr">
        <is>
          <t>8410190627888</t>
        </is>
      </c>
      <c r="B25499" t="inlineStr">
        <is>
          <t>Adolfo Dominguez Terracota Musk Eau De Parfum Spray 120ml</t>
        </is>
      </c>
      <c r="C25499" t="inlineStr">
        <is>
          <t>Eau De Parfum</t>
        </is>
      </c>
      <c r="D25499" t="inlineStr">
        <is>
          <t>Adolfo Dominguez</t>
        </is>
      </c>
      <c r="E25499" t="n">
        <v>22.92</v>
      </c>
      <c r="F25499" t="n">
        <v>1</v>
      </c>
      <c r="G25499" t="n">
        <v>8</v>
      </c>
      <c r="H25499" s="5">
        <f>HYPERLINK("https://api.qogita.com/variants/link/8410190627888/", "View Product")</f>
        <v/>
      </c>
    </row>
    <row r="25500">
      <c r="A25500" t="inlineStr">
        <is>
          <t>8410190631199</t>
        </is>
      </c>
      <c r="B25500" t="inlineStr">
        <is>
          <t>Adolfo Dominguez Agua Fresca Eau De Toilette Spray 200ml</t>
        </is>
      </c>
      <c r="C25500" t="inlineStr">
        <is>
          <t>Eau De Toilette</t>
        </is>
      </c>
      <c r="D25500" t="inlineStr">
        <is>
          <t>Adolfo Dominguez</t>
        </is>
      </c>
      <c r="E25500" t="n">
        <v>38.87</v>
      </c>
      <c r="F25500" t="n">
        <v>1</v>
      </c>
      <c r="G25500" t="n">
        <v>8</v>
      </c>
      <c r="H25500" s="5">
        <f>HYPERLINK("https://api.qogita.com/variants/link/8410190631199/", "View Product")</f>
        <v/>
      </c>
    </row>
    <row r="25501">
      <c r="A25501" t="inlineStr">
        <is>
          <t>8410436331524</t>
        </is>
      </c>
      <c r="B25501" t="inlineStr">
        <is>
          <t>Diadermine Anti-Wrinkle with Hyaluronic Activator 12 Patches</t>
        </is>
      </c>
      <c r="C25501" t="inlineStr">
        <is>
          <t>Eye Masks &amp; Eye Pads</t>
        </is>
      </c>
      <c r="D25501" t="inlineStr">
        <is>
          <t>Diadermine</t>
        </is>
      </c>
      <c r="E25501" t="n">
        <v>6.43</v>
      </c>
      <c r="F25501" t="n">
        <v>1</v>
      </c>
      <c r="G25501" t="n">
        <v>3</v>
      </c>
      <c r="H25501" s="5">
        <f>HYPERLINK("https://api.qogita.com/variants/link/8410436331524/", "View Product")</f>
        <v/>
      </c>
    </row>
    <row r="25502">
      <c r="A25502" t="inlineStr">
        <is>
          <t>8411047136065</t>
        </is>
      </c>
      <c r="B25502" t="inlineStr">
        <is>
          <t>Instituto Espaol Aire De Sevilla Si Quiero Eau De Toilette Spray 150ml</t>
        </is>
      </c>
      <c r="C25502" t="inlineStr">
        <is>
          <t>Eau De Toilette</t>
        </is>
      </c>
      <c r="D25502" t="inlineStr">
        <is>
          <t>Instituto Español</t>
        </is>
      </c>
      <c r="E25502" t="n">
        <v>10.14</v>
      </c>
      <c r="F25502" t="n">
        <v>1</v>
      </c>
      <c r="G25502" t="n">
        <v>2</v>
      </c>
      <c r="H25502" s="5">
        <f>HYPERLINK("https://api.qogita.com/variants/link/8411047136065/", "View Product")</f>
        <v/>
      </c>
    </row>
    <row r="25503">
      <c r="A25503" t="inlineStr">
        <is>
          <t>8411047136324</t>
        </is>
      </c>
      <c r="B25503" t="inlineStr">
        <is>
          <t>Instituto Espaol Aire De Sevilla Le Sublime Eau De Toilette Spray 150 Ml</t>
        </is>
      </c>
      <c r="C25503" t="inlineStr">
        <is>
          <t>Eau De Toilette</t>
        </is>
      </c>
      <c r="D25503" t="inlineStr">
        <is>
          <t>Instituto Español</t>
        </is>
      </c>
      <c r="E25503" t="n">
        <v>9.279999999999999</v>
      </c>
      <c r="F25503" t="n">
        <v>1</v>
      </c>
      <c r="G25503" t="n">
        <v>2</v>
      </c>
      <c r="H25503" s="5">
        <f>HYPERLINK("https://api.qogita.com/variants/link/8411047136324/", "View Product")</f>
        <v/>
      </c>
    </row>
    <row r="25504">
      <c r="A25504" t="inlineStr">
        <is>
          <t>8411047143186</t>
        </is>
      </c>
      <c r="B25504" t="inlineStr">
        <is>
          <t>Instituto Espanol Aloe Vera Body Cream 400ml</t>
        </is>
      </c>
      <c r="C25504" t="inlineStr">
        <is>
          <t>Body Lotion</t>
        </is>
      </c>
      <c r="D25504" t="inlineStr">
        <is>
          <t>Instituto Español</t>
        </is>
      </c>
      <c r="E25504" t="n">
        <v>3.8</v>
      </c>
      <c r="F25504" t="n">
        <v>1</v>
      </c>
      <c r="G25504" t="n">
        <v>114</v>
      </c>
      <c r="H25504" s="5">
        <f>HYPERLINK("https://api.qogita.com/variants/link/8411047143186/", "View Product")</f>
        <v/>
      </c>
    </row>
    <row r="25505">
      <c r="A25505" t="inlineStr">
        <is>
          <t>8411061002865</t>
        </is>
      </c>
      <c r="B25505" t="inlineStr">
        <is>
          <t>Carolina Herrera Bad Boy Le Parfum Spray 150ml Men's Eau De Parfum</t>
        </is>
      </c>
      <c r="C25505" t="inlineStr">
        <is>
          <t>Eau De Parfum</t>
        </is>
      </c>
      <c r="D25505" t="inlineStr">
        <is>
          <t>Carolina Herrera</t>
        </is>
      </c>
      <c r="E25505" t="n">
        <v>81.53</v>
      </c>
      <c r="F25505" t="n">
        <v>1</v>
      </c>
      <c r="G25505" t="n">
        <v>64</v>
      </c>
      <c r="H25505" s="5">
        <f>HYPERLINK("https://api.qogita.com/variants/link/8411061002865/", "View Product")</f>
        <v/>
      </c>
    </row>
    <row r="25506">
      <c r="A25506" t="inlineStr">
        <is>
          <t>8411061026250</t>
        </is>
      </c>
      <c r="B25506" t="inlineStr">
        <is>
          <t>Carolina Herrera Good Girl Eau De Parfum Spray 50ml</t>
        </is>
      </c>
      <c r="C25506" t="inlineStr">
        <is>
          <t>Eau De Parfum</t>
        </is>
      </c>
      <c r="D25506" t="inlineStr">
        <is>
          <t>Carolina Herrera</t>
        </is>
      </c>
      <c r="E25506" t="n">
        <v>68.40000000000001</v>
      </c>
      <c r="F25506" t="n">
        <v>1</v>
      </c>
      <c r="G25506" t="n">
        <v>5</v>
      </c>
      <c r="H25506" s="5">
        <f>HYPERLINK("https://api.qogita.com/variants/link/8411061026250/", "View Product")</f>
        <v/>
      </c>
    </row>
    <row r="25507">
      <c r="A25507" t="inlineStr">
        <is>
          <t>8411061026298</t>
        </is>
      </c>
      <c r="B25507" t="inlineStr">
        <is>
          <t>Carolina Herrera Good Girl Eau De Parfum Legere 50ml</t>
        </is>
      </c>
      <c r="C25507" t="inlineStr">
        <is>
          <t>Eau De Parfum</t>
        </is>
      </c>
      <c r="D25507" t="inlineStr">
        <is>
          <t>Carolina Herrera</t>
        </is>
      </c>
      <c r="E25507" t="n">
        <v>74.14</v>
      </c>
      <c r="F25507" t="n">
        <v>1</v>
      </c>
      <c r="G25507" t="n">
        <v>4</v>
      </c>
      <c r="H25507" s="5">
        <f>HYPERLINK("https://api.qogita.com/variants/link/8411061026298/", "View Product")</f>
        <v/>
      </c>
    </row>
    <row r="25508">
      <c r="A25508" t="inlineStr">
        <is>
          <t>8411061027820</t>
        </is>
      </c>
      <c r="B25508" t="inlineStr">
        <is>
          <t>Carolina Herrera Bad Boy Cobalt Eau De Parfum 150ml</t>
        </is>
      </c>
      <c r="C25508" t="inlineStr">
        <is>
          <t>Eau De Parfum</t>
        </is>
      </c>
      <c r="D25508" t="inlineStr">
        <is>
          <t>Carolina Herrera</t>
        </is>
      </c>
      <c r="E25508" t="n">
        <v>101.03</v>
      </c>
      <c r="F25508" t="n">
        <v>1</v>
      </c>
      <c r="G25508" t="n">
        <v>2</v>
      </c>
      <c r="H25508" s="5">
        <f>HYPERLINK("https://api.qogita.com/variants/link/8411061027820/", "View Product")</f>
        <v/>
      </c>
    </row>
    <row r="25509">
      <c r="A25509" t="inlineStr">
        <is>
          <t>8411061043875</t>
        </is>
      </c>
      <c r="B25509" t="inlineStr">
        <is>
          <t>Carolina Herrera Very Good Girl Eau De Parfum 50ml</t>
        </is>
      </c>
      <c r="C25509" t="inlineStr">
        <is>
          <t>Eau De Parfum</t>
        </is>
      </c>
      <c r="D25509" t="inlineStr">
        <is>
          <t>Carolina Herrera</t>
        </is>
      </c>
      <c r="E25509" t="n">
        <v>74.91</v>
      </c>
      <c r="F25509" t="n">
        <v>1</v>
      </c>
      <c r="G25509" t="n">
        <v>11</v>
      </c>
      <c r="H25509" s="5">
        <f>HYPERLINK("https://api.qogita.com/variants/link/8411061043875/", "View Product")</f>
        <v/>
      </c>
    </row>
    <row r="25510">
      <c r="A25510" t="inlineStr">
        <is>
          <t>8411061055182</t>
        </is>
      </c>
      <c r="B25510" t="inlineStr">
        <is>
          <t>Carolina Herrera Ch Men Pasion Eau De Parfum Spray 100ml</t>
        </is>
      </c>
      <c r="C25510" t="inlineStr">
        <is>
          <t>Eau De Parfum</t>
        </is>
      </c>
      <c r="D25510" t="inlineStr">
        <is>
          <t>Carolina Herrera</t>
        </is>
      </c>
      <c r="E25510" t="n">
        <v>54.83</v>
      </c>
      <c r="F25510" t="n">
        <v>1</v>
      </c>
      <c r="G25510" t="n">
        <v>8</v>
      </c>
      <c r="H25510" s="5">
        <f>HYPERLINK("https://api.qogita.com/variants/link/8411061055182/", "View Product")</f>
        <v/>
      </c>
    </row>
    <row r="25511">
      <c r="A25511" t="inlineStr">
        <is>
          <t>8411061056769</t>
        </is>
      </c>
      <c r="B25511" t="inlineStr">
        <is>
          <t>Carolina Herrera Good Girl Blush Eau De Parfum Spray 50ml</t>
        </is>
      </c>
      <c r="C25511" t="inlineStr">
        <is>
          <t>Eau De Parfum</t>
        </is>
      </c>
      <c r="D25511" t="inlineStr">
        <is>
          <t>Carolina Herrera</t>
        </is>
      </c>
      <c r="E25511" t="n">
        <v>76.69</v>
      </c>
      <c r="F25511" t="n">
        <v>1</v>
      </c>
      <c r="G25511" t="n">
        <v>22</v>
      </c>
      <c r="H25511" s="5">
        <f>HYPERLINK("https://api.qogita.com/variants/link/8411061056769/", "View Product")</f>
        <v/>
      </c>
    </row>
    <row r="25512">
      <c r="A25512" t="inlineStr">
        <is>
          <t>8411061057056</t>
        </is>
      </c>
      <c r="B25512" t="inlineStr">
        <is>
          <t>Carolina Herrera Bad Boy Extreme Eau De Parfum Spray 100ml</t>
        </is>
      </c>
      <c r="C25512" t="inlineStr">
        <is>
          <t>Eau De Parfum</t>
        </is>
      </c>
      <c r="D25512" t="inlineStr">
        <is>
          <t>Carolina Herrera</t>
        </is>
      </c>
      <c r="E25512" t="n">
        <v>69.2</v>
      </c>
      <c r="F25512" t="n">
        <v>1</v>
      </c>
      <c r="G25512" t="n">
        <v>22</v>
      </c>
      <c r="H25512" s="5">
        <f>HYPERLINK("https://api.qogita.com/variants/link/8411061057056/", "View Product")</f>
        <v/>
      </c>
    </row>
    <row r="25513">
      <c r="A25513" t="inlineStr">
        <is>
          <t>8411061057193</t>
        </is>
      </c>
      <c r="B25513" t="inlineStr">
        <is>
          <t>Carolina Herrera Bad Boy Extreme Eau De Parfum Spray 50ml</t>
        </is>
      </c>
      <c r="C25513" t="inlineStr">
        <is>
          <t>Eau De Parfum</t>
        </is>
      </c>
      <c r="D25513" t="inlineStr">
        <is>
          <t>Carolina Herrera</t>
        </is>
      </c>
      <c r="E25513" t="n">
        <v>57.73</v>
      </c>
      <c r="F25513" t="n">
        <v>1</v>
      </c>
      <c r="G25513" t="n">
        <v>6</v>
      </c>
      <c r="H25513" s="5">
        <f>HYPERLINK("https://api.qogita.com/variants/link/8411061057193/", "View Product")</f>
        <v/>
      </c>
    </row>
    <row r="25514">
      <c r="A25514" t="inlineStr">
        <is>
          <t>8411061071601</t>
        </is>
      </c>
      <c r="B25514" t="inlineStr">
        <is>
          <t>Carolina Herrera Chic Eau De Parfum 80ml For Women</t>
        </is>
      </c>
      <c r="C25514" t="inlineStr">
        <is>
          <t>Eau De Parfum</t>
        </is>
      </c>
      <c r="D25514" t="inlineStr">
        <is>
          <t>Carolina Herrera</t>
        </is>
      </c>
      <c r="E25514" t="n">
        <v>38.37</v>
      </c>
      <c r="F25514" t="n">
        <v>1</v>
      </c>
      <c r="G25514" t="n">
        <v>14</v>
      </c>
      <c r="H25514" s="5">
        <f>HYPERLINK("https://api.qogita.com/variants/link/8411061071601/", "View Product")</f>
        <v/>
      </c>
    </row>
    <row r="25515">
      <c r="A25515" t="inlineStr">
        <is>
          <t>8411061079959</t>
        </is>
      </c>
      <c r="B25515" t="inlineStr">
        <is>
          <t>Antonio Banderas The Icon The Perfume Edp Spray 100ml</t>
        </is>
      </c>
      <c r="C25515" t="inlineStr">
        <is>
          <t>Eau De Parfum</t>
        </is>
      </c>
      <c r="D25515" t="inlineStr">
        <is>
          <t>Antonio Banderas</t>
        </is>
      </c>
      <c r="E25515" t="n">
        <v>16.05</v>
      </c>
      <c r="F25515" t="n">
        <v>1</v>
      </c>
      <c r="G25515" t="n">
        <v>7</v>
      </c>
      <c r="H25515" s="5">
        <f>HYPERLINK("https://api.qogita.com/variants/link/8411061079959/", "View Product")</f>
        <v/>
      </c>
    </row>
    <row r="25516">
      <c r="A25516" t="inlineStr">
        <is>
          <t>8411061081266</t>
        </is>
      </c>
      <c r="B25516" t="inlineStr">
        <is>
          <t>Antonio Banderas Black Seduction For Men Eau De Toilette Spray 100ml</t>
        </is>
      </c>
      <c r="C25516" t="inlineStr">
        <is>
          <t>Eau De Toilette</t>
        </is>
      </c>
      <c r="D25516" t="inlineStr">
        <is>
          <t>Antonio Banderas</t>
        </is>
      </c>
      <c r="E25516" t="n">
        <v>14.42</v>
      </c>
      <c r="F25516" t="n">
        <v>1</v>
      </c>
      <c r="G25516" t="n">
        <v>43</v>
      </c>
      <c r="H25516" s="5">
        <f>HYPERLINK("https://api.qogita.com/variants/link/8411061081266/", "View Product")</f>
        <v/>
      </c>
    </row>
    <row r="25517">
      <c r="A25517" t="inlineStr">
        <is>
          <t>8411061081341</t>
        </is>
      </c>
      <c r="B25517" t="inlineStr">
        <is>
          <t>Antonio Banderas King Of Seduction Absolute Eau De Toilette Spray 100ml</t>
        </is>
      </c>
      <c r="C25517" t="inlineStr">
        <is>
          <t>Eau De Toilette</t>
        </is>
      </c>
      <c r="D25517" t="inlineStr">
        <is>
          <t>Antonio Banderas</t>
        </is>
      </c>
      <c r="E25517" t="n">
        <v>13.87</v>
      </c>
      <c r="F25517" t="n">
        <v>1</v>
      </c>
      <c r="G25517" t="n">
        <v>4</v>
      </c>
      <c r="H25517" s="5">
        <f>HYPERLINK("https://api.qogita.com/variants/link/8411061081341/", "View Product")</f>
        <v/>
      </c>
    </row>
    <row r="25518">
      <c r="A25518" t="inlineStr">
        <is>
          <t>8411061081587</t>
        </is>
      </c>
      <c r="B25518" t="inlineStr">
        <is>
          <t>Antonio Banderas Blue Seduction For Woman Eau De Toilette Spray 200ml</t>
        </is>
      </c>
      <c r="C25518" t="inlineStr">
        <is>
          <t>Eau De Toilette</t>
        </is>
      </c>
      <c r="D25518" t="inlineStr">
        <is>
          <t>Antonio Banderas</t>
        </is>
      </c>
      <c r="E25518" t="n">
        <v>17.39</v>
      </c>
      <c r="F25518" t="n">
        <v>1</v>
      </c>
      <c r="G25518" t="n">
        <v>7</v>
      </c>
      <c r="H25518" s="5">
        <f>HYPERLINK("https://api.qogita.com/variants/link/8411061081587/", "View Product")</f>
        <v/>
      </c>
    </row>
    <row r="25519">
      <c r="A25519" t="inlineStr">
        <is>
          <t>8411061081761</t>
        </is>
      </c>
      <c r="B25519" t="inlineStr">
        <is>
          <t>Antonio Banderas King Of Seduction Eau De Toilette 50ml</t>
        </is>
      </c>
      <c r="C25519" t="inlineStr">
        <is>
          <t>Eau De Toilette</t>
        </is>
      </c>
      <c r="D25519" t="inlineStr">
        <is>
          <t>Antonio Banderas</t>
        </is>
      </c>
      <c r="E25519" t="n">
        <v>12.48</v>
      </c>
      <c r="F25519" t="n">
        <v>1</v>
      </c>
      <c r="G25519" t="n">
        <v>6</v>
      </c>
      <c r="H25519" s="5">
        <f>HYPERLINK("https://api.qogita.com/variants/link/8411061081761/", "View Product")</f>
        <v/>
      </c>
    </row>
    <row r="25520">
      <c r="A25520" t="inlineStr">
        <is>
          <t>8411061081846</t>
        </is>
      </c>
      <c r="B25520" t="inlineStr">
        <is>
          <t>Antonio Banderas Queen Of Seduction For Woman Eau De Toilette Spray 80 Ml</t>
        </is>
      </c>
      <c r="C25520" t="inlineStr">
        <is>
          <t>Eau De Toilette</t>
        </is>
      </c>
      <c r="D25520" t="inlineStr">
        <is>
          <t>Antonio Banderas</t>
        </is>
      </c>
      <c r="E25520" t="n">
        <v>14.55</v>
      </c>
      <c r="F25520" t="n">
        <v>1</v>
      </c>
      <c r="G25520" t="n">
        <v>51</v>
      </c>
      <c r="H25520" s="5">
        <f>HYPERLINK("https://api.qogita.com/variants/link/8411061081846/", "View Product")</f>
        <v/>
      </c>
    </row>
    <row r="25521">
      <c r="A25521" t="inlineStr">
        <is>
          <t>8411061082935</t>
        </is>
      </c>
      <c r="B25521" t="inlineStr">
        <is>
          <t>Puig A Banderas King Of Seduction Man Eau De Toilette Spray 100ml</t>
        </is>
      </c>
      <c r="C25521" t="inlineStr">
        <is>
          <t>Eau De Toilette</t>
        </is>
      </c>
      <c r="D25521" t="inlineStr">
        <is>
          <t>Puig</t>
        </is>
      </c>
      <c r="E25521" t="n">
        <v>13.28</v>
      </c>
      <c r="F25521" t="n">
        <v>1</v>
      </c>
      <c r="G25521" t="n">
        <v>21</v>
      </c>
      <c r="H25521" s="5">
        <f>HYPERLINK("https://api.qogita.com/variants/link/8411061082935/", "View Product")</f>
        <v/>
      </c>
    </row>
    <row r="25522">
      <c r="A25522" t="inlineStr">
        <is>
          <t>8411061083482</t>
        </is>
      </c>
      <c r="B25522" t="inlineStr">
        <is>
          <t>Carolina Herrera Vip Rose Elixir Eau De Parfum 80ml</t>
        </is>
      </c>
      <c r="C25522" t="inlineStr">
        <is>
          <t>Eau De Parfum</t>
        </is>
      </c>
      <c r="D25522" t="inlineStr">
        <is>
          <t>Carolina Herrera</t>
        </is>
      </c>
      <c r="E25522" t="n">
        <v>85.90000000000001</v>
      </c>
      <c r="F25522" t="n">
        <v>1</v>
      </c>
      <c r="G25522" t="n">
        <v>5</v>
      </c>
      <c r="H25522" s="5">
        <f>HYPERLINK("https://api.qogita.com/variants/link/8411061083482/", "View Product")</f>
        <v/>
      </c>
    </row>
    <row r="25523">
      <c r="A25523" t="inlineStr">
        <is>
          <t>8411061083659</t>
        </is>
      </c>
      <c r="B25523" t="inlineStr">
        <is>
          <t>Carolina Herrera Good Girl Blush Elixir Eau De Parfum Spray 80ml</t>
        </is>
      </c>
      <c r="C25523" t="inlineStr">
        <is>
          <t>Eau De Parfum</t>
        </is>
      </c>
      <c r="D25523" t="inlineStr">
        <is>
          <t>Carolina Herrera</t>
        </is>
      </c>
      <c r="E25523" t="n">
        <v>94.86</v>
      </c>
      <c r="F25523" t="n">
        <v>1</v>
      </c>
      <c r="G25523" t="n">
        <v>10</v>
      </c>
      <c r="H25523" s="5">
        <f>HYPERLINK("https://api.qogita.com/variants/link/8411061083659/", "View Product")</f>
        <v/>
      </c>
    </row>
    <row r="25524">
      <c r="A25524" t="inlineStr">
        <is>
          <t>8411061088166</t>
        </is>
      </c>
      <c r="B25524" t="inlineStr">
        <is>
          <t>Carolina Herrera 212 Vip Men Eau De Toilette Spray 100ml</t>
        </is>
      </c>
      <c r="C25524" t="inlineStr">
        <is>
          <t>Eau De Toilette</t>
        </is>
      </c>
      <c r="D25524" t="inlineStr">
        <is>
          <t>Carolina Herrera</t>
        </is>
      </c>
      <c r="E25524" t="n">
        <v>51.8</v>
      </c>
      <c r="F25524" t="n">
        <v>1</v>
      </c>
      <c r="G25524" t="n">
        <v>119</v>
      </c>
      <c r="H25524" s="5">
        <f>HYPERLINK("https://api.qogita.com/variants/link/8411061088166/", "View Product")</f>
        <v/>
      </c>
    </row>
    <row r="25525">
      <c r="A25525" t="inlineStr">
        <is>
          <t>8411061101995</t>
        </is>
      </c>
      <c r="B25525" t="inlineStr">
        <is>
          <t>Carolina Herrera Bad Boy Eau De Toilette Gift Set - 100ml</t>
        </is>
      </c>
      <c r="C25525" t="inlineStr">
        <is>
          <t>Fragrance Sets</t>
        </is>
      </c>
      <c r="D25525" t="inlineStr">
        <is>
          <t>Carolina Herrera</t>
        </is>
      </c>
      <c r="E25525" t="n">
        <v>90.04000000000001</v>
      </c>
      <c r="F25525" t="n">
        <v>1</v>
      </c>
      <c r="G25525" t="n">
        <v>6</v>
      </c>
      <c r="H25525" s="5">
        <f>HYPERLINK("https://api.qogita.com/variants/link/8411061101995/", "View Product")</f>
        <v/>
      </c>
    </row>
    <row r="25526">
      <c r="A25526" t="inlineStr">
        <is>
          <t>8411061607275</t>
        </is>
      </c>
      <c r="B25526" t="inlineStr">
        <is>
          <t>Carolina Herrera Herrera For Men Eau De Toilette Spray 200ml</t>
        </is>
      </c>
      <c r="C25526" t="inlineStr">
        <is>
          <t>Eau De Toilette</t>
        </is>
      </c>
      <c r="D25526" t="inlineStr">
        <is>
          <t>Carolina Herrera</t>
        </is>
      </c>
      <c r="E25526" t="n">
        <v>62.09</v>
      </c>
      <c r="F25526" t="n">
        <v>1</v>
      </c>
      <c r="G25526" t="n">
        <v>64</v>
      </c>
      <c r="H25526" s="5">
        <f>HYPERLINK("https://api.qogita.com/variants/link/8411061607275/", "View Product")</f>
        <v/>
      </c>
    </row>
    <row r="25527">
      <c r="A25527" t="inlineStr">
        <is>
          <t>8411061711767</t>
        </is>
      </c>
      <c r="B25527" t="inlineStr">
        <is>
          <t>Carolina Herrera 212 Vip Eau De Parfum 80ml For Women</t>
        </is>
      </c>
      <c r="C25527" t="inlineStr">
        <is>
          <t>Eau De Parfum</t>
        </is>
      </c>
      <c r="D25527" t="inlineStr">
        <is>
          <t>Carolina Herrera</t>
        </is>
      </c>
      <c r="E25527" t="n">
        <v>55.5</v>
      </c>
      <c r="F25527" t="n">
        <v>1</v>
      </c>
      <c r="G25527" t="n">
        <v>99</v>
      </c>
      <c r="H25527" s="5">
        <f>HYPERLINK("https://api.qogita.com/variants/link/8411061711767/", "View Product")</f>
        <v/>
      </c>
    </row>
    <row r="25528">
      <c r="A25528" t="inlineStr">
        <is>
          <t>8411061711774</t>
        </is>
      </c>
      <c r="B25528" t="inlineStr">
        <is>
          <t>Carolina Herrera 212 VIP Eau De Parfum 30ml</t>
        </is>
      </c>
      <c r="C25528" t="inlineStr">
        <is>
          <t>Eau De Parfum</t>
        </is>
      </c>
      <c r="D25528" t="inlineStr">
        <is>
          <t>Carolina Herrera</t>
        </is>
      </c>
      <c r="E25528" t="n">
        <v>29.26</v>
      </c>
      <c r="F25528" t="n">
        <v>1</v>
      </c>
      <c r="G25528" t="n">
        <v>11</v>
      </c>
      <c r="H25528" s="5">
        <f>HYPERLINK("https://api.qogita.com/variants/link/8411061711774/", "View Product")</f>
        <v/>
      </c>
    </row>
    <row r="25529">
      <c r="A25529" t="inlineStr">
        <is>
          <t>8411061789162</t>
        </is>
      </c>
      <c r="B25529" t="inlineStr">
        <is>
          <t>Carolina Herrera Tuberose Eau de Parfum Spray 100ml</t>
        </is>
      </c>
      <c r="C25529" t="inlineStr">
        <is>
          <t>Eau De Parfum</t>
        </is>
      </c>
      <c r="D25529" t="inlineStr">
        <is>
          <t>Carolina Herrera</t>
        </is>
      </c>
      <c r="E25529" t="n">
        <v>160.68</v>
      </c>
      <c r="F25529" t="n">
        <v>1</v>
      </c>
      <c r="G25529" t="n">
        <v>4</v>
      </c>
      <c r="H25529" s="5">
        <f>HYPERLINK("https://api.qogita.com/variants/link/8411061789162/", "View Product")</f>
        <v/>
      </c>
    </row>
    <row r="25530">
      <c r="A25530" t="inlineStr">
        <is>
          <t>8411061805879</t>
        </is>
      </c>
      <c r="B25530" t="inlineStr">
        <is>
          <t>Carolina Herrera Ch Men Deodorant Spray 150ml</t>
        </is>
      </c>
      <c r="C25530" t="inlineStr">
        <is>
          <t>Deodorant &amp; Anti-Perspirant</t>
        </is>
      </c>
      <c r="D25530" t="inlineStr">
        <is>
          <t>Carolina Herrera</t>
        </is>
      </c>
      <c r="E25530" t="n">
        <v>17.14</v>
      </c>
      <c r="F25530" t="n">
        <v>1</v>
      </c>
      <c r="G25530" t="n">
        <v>13</v>
      </c>
      <c r="H25530" s="5">
        <f>HYPERLINK("https://api.qogita.com/variants/link/8411061805879/", "View Product")</f>
        <v/>
      </c>
    </row>
    <row r="25531">
      <c r="A25531" t="inlineStr">
        <is>
          <t>8411061853160</t>
        </is>
      </c>
      <c r="B25531" t="inlineStr">
        <is>
          <t>Carolina Herrera 212 Men Eau De Toilette Spray 100ml</t>
        </is>
      </c>
      <c r="C25531" t="inlineStr">
        <is>
          <t>Eau De Toilette</t>
        </is>
      </c>
      <c r="D25531" t="inlineStr">
        <is>
          <t>Carolina Herrera</t>
        </is>
      </c>
      <c r="E25531" t="n">
        <v>56.01</v>
      </c>
      <c r="F25531" t="n">
        <v>1</v>
      </c>
      <c r="G25531" t="n">
        <v>23</v>
      </c>
      <c r="H25531" s="5">
        <f>HYPERLINK("https://api.qogita.com/variants/link/8411061853160/", "View Product")</f>
        <v/>
      </c>
    </row>
    <row r="25532">
      <c r="A25532" t="inlineStr">
        <is>
          <t>8411061860502</t>
        </is>
      </c>
      <c r="B25532" t="inlineStr">
        <is>
          <t>Antonio Banderas The Secret Temptation Eau De Toilette 100ml For Men</t>
        </is>
      </c>
      <c r="C25532" t="inlineStr">
        <is>
          <t>Eau De Toilette</t>
        </is>
      </c>
      <c r="D25532" t="inlineStr">
        <is>
          <t>Antonio Banderas</t>
        </is>
      </c>
      <c r="E25532" t="n">
        <v>16.28</v>
      </c>
      <c r="F25532" t="n">
        <v>1</v>
      </c>
      <c r="G25532" t="n">
        <v>8</v>
      </c>
      <c r="H25532" s="5">
        <f>HYPERLINK("https://api.qogita.com/variants/link/8411061860502/", "View Product")</f>
        <v/>
      </c>
    </row>
    <row r="25533">
      <c r="A25533" t="inlineStr">
        <is>
          <t>8411061865583</t>
        </is>
      </c>
      <c r="B25533" t="inlineStr">
        <is>
          <t>Carolina Herrera 212 Sexy Men Eau De Toilette 100ml</t>
        </is>
      </c>
      <c r="C25533" t="inlineStr">
        <is>
          <t>Eau De Toilette</t>
        </is>
      </c>
      <c r="D25533" t="inlineStr">
        <is>
          <t>Carolina Herrera</t>
        </is>
      </c>
      <c r="E25533" t="n">
        <v>48.84</v>
      </c>
      <c r="F25533" t="n">
        <v>1</v>
      </c>
      <c r="G25533" t="n">
        <v>84</v>
      </c>
      <c r="H25533" s="5">
        <f>HYPERLINK("https://api.qogita.com/variants/link/8411061865583/", "View Product")</f>
        <v/>
      </c>
    </row>
    <row r="25534">
      <c r="A25534" t="inlineStr">
        <is>
          <t>8411061869406</t>
        </is>
      </c>
      <c r="B25534" t="inlineStr">
        <is>
          <t>Carolina Herrera 212 Vip Black Eau De Parfum 50ml For Men</t>
        </is>
      </c>
      <c r="C25534" t="inlineStr">
        <is>
          <t>Eau De Parfum</t>
        </is>
      </c>
      <c r="D25534" t="inlineStr">
        <is>
          <t>Carolina Herrera</t>
        </is>
      </c>
      <c r="E25534" t="n">
        <v>49.06</v>
      </c>
      <c r="F25534" t="n">
        <v>1</v>
      </c>
      <c r="G25534" t="n">
        <v>38</v>
      </c>
      <c r="H25534" s="5">
        <f>HYPERLINK("https://api.qogita.com/variants/link/8411061869406/", "View Product")</f>
        <v/>
      </c>
    </row>
    <row r="25535">
      <c r="A25535" t="inlineStr">
        <is>
          <t>8411061878668</t>
        </is>
      </c>
      <c r="B25535" t="inlineStr">
        <is>
          <t>Carolina Herrera 212 Vip Eau De Parfum Spray 125ml</t>
        </is>
      </c>
      <c r="C25535" t="inlineStr">
        <is>
          <t>Eau De Parfum</t>
        </is>
      </c>
      <c r="D25535" t="inlineStr">
        <is>
          <t>Carolina Herrera</t>
        </is>
      </c>
      <c r="E25535" t="n">
        <v>77.38</v>
      </c>
      <c r="F25535" t="n">
        <v>1</v>
      </c>
      <c r="G25535" t="n">
        <v>39</v>
      </c>
      <c r="H25535" s="5">
        <f>HYPERLINK("https://api.qogita.com/variants/link/8411061878668/", "View Product")</f>
        <v/>
      </c>
    </row>
    <row r="25536">
      <c r="A25536" t="inlineStr">
        <is>
          <t>8411061944684</t>
        </is>
      </c>
      <c r="B25536" t="inlineStr">
        <is>
          <t>Antonio Banderas Perfumes Her Secret Desire Eau de Toilette Spray for Women 50ml</t>
        </is>
      </c>
      <c r="C25536" t="inlineStr">
        <is>
          <t>Eau De Toilette</t>
        </is>
      </c>
      <c r="D25536" t="inlineStr">
        <is>
          <t>Antonio Banderas</t>
        </is>
      </c>
      <c r="E25536" t="n">
        <v>13.24</v>
      </c>
      <c r="F25536" t="n">
        <v>1</v>
      </c>
      <c r="G25536" t="n">
        <v>6</v>
      </c>
      <c r="H25536" s="5">
        <f>HYPERLINK("https://api.qogita.com/variants/link/8411061944684/", "View Product")</f>
        <v/>
      </c>
    </row>
    <row r="25537">
      <c r="A25537" t="inlineStr">
        <is>
          <t>8411061996539</t>
        </is>
      </c>
      <c r="B25537" t="inlineStr">
        <is>
          <t>Carolina Herrera 212 Heroes Forever Young Woman Eau De Parfum Spray 30ml</t>
        </is>
      </c>
      <c r="C25537" t="inlineStr">
        <is>
          <t>Eau De Parfum</t>
        </is>
      </c>
      <c r="D25537" t="inlineStr">
        <is>
          <t>Carolina Herrera</t>
        </is>
      </c>
      <c r="E25537" t="n">
        <v>30.01</v>
      </c>
      <c r="F25537" t="n">
        <v>1</v>
      </c>
      <c r="G25537" t="n">
        <v>5</v>
      </c>
      <c r="H25537" s="5">
        <f>HYPERLINK("https://api.qogita.com/variants/link/8411061996539/", "View Product")</f>
        <v/>
      </c>
    </row>
    <row r="25538">
      <c r="A25538" t="inlineStr">
        <is>
          <t>8411114084589</t>
        </is>
      </c>
      <c r="B25538" t="inlineStr">
        <is>
          <t>Unicorn Children Eau De Toilette Natural Perfume Spray Vegan</t>
        </is>
      </c>
      <c r="C25538" t="inlineStr">
        <is>
          <t>Eau De Toilette</t>
        </is>
      </c>
      <c r="D25538" t="inlineStr">
        <is>
          <t>Air Val</t>
        </is>
      </c>
      <c r="E25538" t="n">
        <v>6.6</v>
      </c>
      <c r="F25538" t="n">
        <v>1</v>
      </c>
      <c r="G25538" t="n">
        <v>32</v>
      </c>
      <c r="H25538" s="5">
        <f>HYPERLINK("https://api.qogita.com/variants/link/8411114084589/", "View Product")</f>
        <v/>
      </c>
    </row>
    <row r="25539">
      <c r="A25539" t="inlineStr">
        <is>
          <t>8411114085883</t>
        </is>
      </c>
      <c r="B25539" t="inlineStr">
        <is>
          <t>Frozen II 100ml EDT Plus Lip Gloss Zip Bag Gift Set</t>
        </is>
      </c>
      <c r="C25539" t="inlineStr">
        <is>
          <t>Lip Sets</t>
        </is>
      </c>
      <c r="D25539" t="inlineStr">
        <is>
          <t>Frozen Ii</t>
        </is>
      </c>
      <c r="E25539" t="n">
        <v>26.56</v>
      </c>
      <c r="F25539" t="n">
        <v>1</v>
      </c>
      <c r="G25539" t="n">
        <v>8</v>
      </c>
      <c r="H25539" s="5">
        <f>HYPERLINK("https://api.qogita.com/variants/link/8411114085883/", "View Product")</f>
        <v/>
      </c>
    </row>
    <row r="25540">
      <c r="A25540" t="inlineStr">
        <is>
          <t>8411114089751</t>
        </is>
      </c>
      <c r="B25540" t="inlineStr">
        <is>
          <t>Ep Line Disney Minnie Eau De Toilette Spray Set 50ml Edt 100ml Shower Gel And Bag</t>
        </is>
      </c>
      <c r="C25540" t="inlineStr">
        <is>
          <t>Fragrance Sets</t>
        </is>
      </c>
      <c r="D25540" t="inlineStr">
        <is>
          <t>Epiline</t>
        </is>
      </c>
      <c r="E25540" t="n">
        <v>14.48</v>
      </c>
      <c r="F25540" t="n">
        <v>1</v>
      </c>
      <c r="G25540" t="n">
        <v>2</v>
      </c>
      <c r="H25540" s="5">
        <f>HYPERLINK("https://api.qogita.com/variants/link/8411114089751/", "View Product")</f>
        <v/>
      </c>
    </row>
    <row r="25541">
      <c r="A25541" t="inlineStr">
        <is>
          <t>8411114092287</t>
        </is>
      </c>
      <c r="B25541" t="inlineStr">
        <is>
          <t>Ep Line Eau My Unicorn Eau De Toilette 50 Ml Set With Lip Balm Lip Gloss Nail Polish And Nail Stickers</t>
        </is>
      </c>
      <c r="C25541" t="inlineStr">
        <is>
          <t>Lip Sets</t>
        </is>
      </c>
      <c r="D25541" t="inlineStr">
        <is>
          <t>Ep Line</t>
        </is>
      </c>
      <c r="E25541" t="n">
        <v>21.39</v>
      </c>
      <c r="F25541" t="n">
        <v>1</v>
      </c>
      <c r="G25541" t="n">
        <v>2</v>
      </c>
      <c r="H25541" s="5">
        <f>HYPERLINK("https://api.qogita.com/variants/link/8411114092287/", "View Product")</f>
        <v/>
      </c>
    </row>
    <row r="25542">
      <c r="A25542" t="inlineStr">
        <is>
          <t>8411114094106</t>
        </is>
      </c>
      <c r="B25542" t="inlineStr">
        <is>
          <t>Eau My Unicorn Gift Set for Kids Eau De Toilette Figurine and Paint Pack Natural Vegan Dermatologically Tested</t>
        </is>
      </c>
      <c r="C25542" t="inlineStr">
        <is>
          <t>Fragrance Sets</t>
        </is>
      </c>
      <c r="D25542" t="inlineStr">
        <is>
          <t>Air Val</t>
        </is>
      </c>
      <c r="E25542" t="n">
        <v>15.87</v>
      </c>
      <c r="F25542" t="n">
        <v>1</v>
      </c>
      <c r="G25542" t="n">
        <v>36</v>
      </c>
      <c r="H25542" s="5">
        <f>HYPERLINK("https://api.qogita.com/variants/link/8411114094106/", "View Product")</f>
        <v/>
      </c>
    </row>
    <row r="25543">
      <c r="A25543" t="inlineStr">
        <is>
          <t>8411114094281</t>
        </is>
      </c>
      <c r="B25543" t="inlineStr">
        <is>
          <t>Marvel Spiderman Gift Set for Kids Eau de Toilette Metallic Box Vegan and FSC Approved 30ml</t>
        </is>
      </c>
      <c r="C25543" t="inlineStr">
        <is>
          <t>Fragrance Sets</t>
        </is>
      </c>
      <c r="D25543" t="inlineStr">
        <is>
          <t>Air Val</t>
        </is>
      </c>
      <c r="E25543" t="n">
        <v>15.53</v>
      </c>
      <c r="F25543" t="n">
        <v>1</v>
      </c>
      <c r="G25543" t="n">
        <v>2</v>
      </c>
      <c r="H25543" s="5">
        <f>HYPERLINK("https://api.qogita.com/variants/link/8411114094281/", "View Product")</f>
        <v/>
      </c>
    </row>
    <row r="25544">
      <c r="A25544" t="inlineStr">
        <is>
          <t>8411114097039</t>
        </is>
      </c>
      <c r="B25544" t="inlineStr">
        <is>
          <t>Air Val Captain America Kids Eau de Toilette 30ml</t>
        </is>
      </c>
      <c r="C25544" t="inlineStr">
        <is>
          <t>Eau De Toilette</t>
        </is>
      </c>
      <c r="D25544" t="inlineStr">
        <is>
          <t>Air-Val</t>
        </is>
      </c>
      <c r="E25544" t="n">
        <v>6.6</v>
      </c>
      <c r="F25544" t="n">
        <v>1</v>
      </c>
      <c r="G25544" t="n">
        <v>22</v>
      </c>
      <c r="H25544" s="5">
        <f>HYPERLINK("https://api.qogita.com/variants/link/8411114097039/", "View Product")</f>
        <v/>
      </c>
    </row>
    <row r="25545">
      <c r="A25545" t="inlineStr">
        <is>
          <t>8411114097350</t>
        </is>
      </c>
      <c r="B25545" t="inlineStr">
        <is>
          <t>Eau My Unicorn Daypack Cologne 100ml and Lip Gloss Set with Charm</t>
        </is>
      </c>
      <c r="C25545" t="inlineStr">
        <is>
          <t>Fragrance Sets</t>
        </is>
      </c>
      <c r="D25545" t="inlineStr">
        <is>
          <t>Air Val</t>
        </is>
      </c>
      <c r="E25545" t="n">
        <v>26.56</v>
      </c>
      <c r="F25545" t="n">
        <v>1</v>
      </c>
      <c r="G25545" t="n">
        <v>11</v>
      </c>
      <c r="H25545" s="5">
        <f>HYPERLINK("https://api.qogita.com/variants/link/8411114097350/", "View Product")</f>
        <v/>
      </c>
    </row>
    <row r="25546">
      <c r="A25546" t="inlineStr">
        <is>
          <t>8411135003705</t>
        </is>
      </c>
      <c r="B25546" t="inlineStr">
        <is>
          <t>Lactovit Lactourea Moisturizing Face and Body Cream for Dry and Very Dry Skin 250ml</t>
        </is>
      </c>
      <c r="C25546" t="inlineStr">
        <is>
          <t>Face Cream</t>
        </is>
      </c>
      <c r="D25546" t="inlineStr">
        <is>
          <t>Lactovit</t>
        </is>
      </c>
      <c r="E25546" t="n">
        <v>6.16</v>
      </c>
      <c r="F25546" t="n">
        <v>1</v>
      </c>
      <c r="G25546" t="n">
        <v>5</v>
      </c>
      <c r="H25546" s="5">
        <f>HYPERLINK("https://api.qogita.com/variants/link/8411135003705/", "View Product")</f>
        <v/>
      </c>
    </row>
    <row r="25547">
      <c r="A25547" t="inlineStr">
        <is>
          <t>8411135351820</t>
        </is>
      </c>
      <c r="B25547" t="inlineStr">
        <is>
          <t>Lactovit Lactooil Shower Gel With Almond Oil 300 Ml</t>
        </is>
      </c>
      <c r="C25547" t="inlineStr">
        <is>
          <t>Shower Gel</t>
        </is>
      </c>
      <c r="D25547" t="inlineStr">
        <is>
          <t>Lactovit</t>
        </is>
      </c>
      <c r="E25547" t="n">
        <v>4.78</v>
      </c>
      <c r="F25547" t="n">
        <v>1</v>
      </c>
      <c r="G25547" t="n">
        <v>7</v>
      </c>
      <c r="H25547" s="5">
        <f>HYPERLINK("https://api.qogita.com/variants/link/8411135351820/", "View Product")</f>
        <v/>
      </c>
    </row>
    <row r="25548">
      <c r="A25548" t="inlineStr">
        <is>
          <t>8411135484016</t>
        </is>
      </c>
      <c r="B25548" t="inlineStr">
        <is>
          <t>ECRAN SUNNIQUE Facial Sunscreen SPF50+ 50ml</t>
        </is>
      </c>
      <c r="C25548" t="inlineStr">
        <is>
          <t>Face Sun Protection</t>
        </is>
      </c>
      <c r="D25548" t="inlineStr">
        <is>
          <t>Ecran</t>
        </is>
      </c>
      <c r="E25548" t="n">
        <v>11.14</v>
      </c>
      <c r="F25548" t="n">
        <v>1</v>
      </c>
      <c r="G25548" t="n">
        <v>5</v>
      </c>
      <c r="H25548" s="5">
        <f>HYPERLINK("https://api.qogita.com/variants/link/8411135484016/", "View Product")</f>
        <v/>
      </c>
    </row>
    <row r="25549">
      <c r="A25549" t="inlineStr">
        <is>
          <t>8411660421890</t>
        </is>
      </c>
      <c r="B25549" t="inlineStr">
        <is>
          <t>Lactovit Lactooil Shower Gel With Almond Oil 300 Ml</t>
        </is>
      </c>
      <c r="C25549" t="inlineStr">
        <is>
          <t>Shower Gel</t>
        </is>
      </c>
      <c r="D25549" t="inlineStr">
        <is>
          <t>Lactovit</t>
        </is>
      </c>
      <c r="E25549" t="n">
        <v>3.74</v>
      </c>
      <c r="F25549" t="n">
        <v>1</v>
      </c>
      <c r="G25549" t="n">
        <v>7</v>
      </c>
      <c r="H25549" s="5">
        <f>HYPERLINK("https://api.qogita.com/variants/link/8411660421890/", "View Product")</f>
        <v/>
      </c>
    </row>
    <row r="25550">
      <c r="A25550" t="inlineStr">
        <is>
          <t>8411660650023</t>
        </is>
      </c>
      <c r="B25550" t="inlineStr">
        <is>
          <t>Lactovit Nourishing Body Milk Original</t>
        </is>
      </c>
      <c r="C25550" t="inlineStr">
        <is>
          <t>Body Lotion</t>
        </is>
      </c>
      <c r="D25550" t="inlineStr">
        <is>
          <t>Lactovit</t>
        </is>
      </c>
      <c r="E25550" t="n">
        <v>6.7</v>
      </c>
      <c r="F25550" t="n">
        <v>1</v>
      </c>
      <c r="G25550" t="n">
        <v>5</v>
      </c>
      <c r="H25550" s="5">
        <f>HYPERLINK("https://api.qogita.com/variants/link/8411660650023/", "View Product")</f>
        <v/>
      </c>
    </row>
    <row r="25551">
      <c r="A25551" t="inlineStr">
        <is>
          <t>8412428017645</t>
        </is>
      </c>
      <c r="B25551" t="inlineStr">
        <is>
          <t>Lorenay Batman Edt Spray 90ml Neceser Includes 90 Ml Edt And 300 Ml 2in1 Shower Gel And Shampoo</t>
        </is>
      </c>
      <c r="C25551" t="inlineStr">
        <is>
          <t>Fragrance Sets</t>
        </is>
      </c>
      <c r="D25551" t="inlineStr">
        <is>
          <t>Lorenay</t>
        </is>
      </c>
      <c r="E25551" t="n">
        <v>16.66</v>
      </c>
      <c r="F25551" t="n">
        <v>1</v>
      </c>
      <c r="G25551" t="n">
        <v>7</v>
      </c>
      <c r="H25551" s="5">
        <f>HYPERLINK("https://api.qogita.com/variants/link/8412428017645/", "View Product")</f>
        <v/>
      </c>
    </row>
    <row r="25552">
      <c r="A25552" t="inlineStr">
        <is>
          <t>8412428017874</t>
        </is>
      </c>
      <c r="B25552" t="inlineStr">
        <is>
          <t>Ep Line Eau My Unicorn Gift Set 50 Ml Eau De Toilette And Makeup Palette</t>
        </is>
      </c>
      <c r="C25552" t="inlineStr">
        <is>
          <t>Body Makeup</t>
        </is>
      </c>
      <c r="D25552" t="inlineStr">
        <is>
          <t>Eau My Unicorn</t>
        </is>
      </c>
      <c r="E25552" t="n">
        <v>16.22</v>
      </c>
      <c r="F25552" t="n">
        <v>1</v>
      </c>
      <c r="G25552" t="n">
        <v>16</v>
      </c>
      <c r="H25552" s="5">
        <f>HYPERLINK("https://api.qogita.com/variants/link/8412428017874/", "View Product")</f>
        <v/>
      </c>
    </row>
    <row r="25553">
      <c r="A25553" t="inlineStr">
        <is>
          <t>8413144520488</t>
        </is>
      </c>
      <c r="B25553" t="inlineStr">
        <is>
          <t>Women'secret Eau It's Fresh Perfume for Women Eau De Toilette 100ml</t>
        </is>
      </c>
      <c r="C25553" t="inlineStr">
        <is>
          <t>Eau De Toilette</t>
        </is>
      </c>
      <c r="D25553" t="inlineStr">
        <is>
          <t>Women's Secret</t>
        </is>
      </c>
      <c r="E25553" t="n">
        <v>11.59</v>
      </c>
      <c r="F25553" t="n">
        <v>1</v>
      </c>
      <c r="G25553" t="n">
        <v>2</v>
      </c>
      <c r="H25553" s="5">
        <f>HYPERLINK("https://api.qogita.com/variants/link/8413144520488/", "View Product")</f>
        <v/>
      </c>
    </row>
    <row r="25554">
      <c r="A25554" t="inlineStr">
        <is>
          <t>8413144541117</t>
        </is>
      </c>
      <c r="B25554" t="inlineStr">
        <is>
          <t>Women'secret Eau My Delice Eau De Toilette Spray 100ml</t>
        </is>
      </c>
      <c r="C25554" t="inlineStr">
        <is>
          <t>Eau De Toilette</t>
        </is>
      </c>
      <c r="D25554" t="inlineStr">
        <is>
          <t>Women'secret</t>
        </is>
      </c>
      <c r="E25554" t="n">
        <v>10.93</v>
      </c>
      <c r="F25554" t="n">
        <v>1</v>
      </c>
      <c r="G25554" t="n">
        <v>4</v>
      </c>
      <c r="H25554" s="5">
        <f>HYPERLINK("https://api.qogita.com/variants/link/8413144541117/", "View Product")</f>
        <v/>
      </c>
    </row>
    <row r="25555">
      <c r="A25555" t="inlineStr">
        <is>
          <t>8414135002303</t>
        </is>
      </c>
      <c r="B25555" t="inlineStr">
        <is>
          <t>Nike Ultra Pink Deodorant for Women 50ml - Anti-Stain</t>
        </is>
      </c>
      <c r="C25555" t="inlineStr">
        <is>
          <t>Deodorant &amp; Anti-Perspirant</t>
        </is>
      </c>
      <c r="D25555" t="inlineStr">
        <is>
          <t>Nike</t>
        </is>
      </c>
      <c r="E25555" t="n">
        <v>2.38</v>
      </c>
      <c r="F25555" t="n">
        <v>1</v>
      </c>
      <c r="G25555" t="n">
        <v>7</v>
      </c>
      <c r="H25555" s="5">
        <f>HYPERLINK("https://api.qogita.com/variants/link/8414135002303/", "View Product")</f>
        <v/>
      </c>
    </row>
    <row r="25556">
      <c r="A25556" t="inlineStr">
        <is>
          <t>8414135036025</t>
        </is>
      </c>
      <c r="B25556" t="inlineStr">
        <is>
          <t>Nike Woman Trendy Pink Eau De Toilette 150ml</t>
        </is>
      </c>
      <c r="C25556" t="inlineStr">
        <is>
          <t>Eau De Toilette</t>
        </is>
      </c>
      <c r="D25556" t="inlineStr">
        <is>
          <t>Nike</t>
        </is>
      </c>
      <c r="E25556" t="n">
        <v>10.56</v>
      </c>
      <c r="F25556" t="n">
        <v>1</v>
      </c>
      <c r="G25556" t="n">
        <v>5</v>
      </c>
      <c r="H25556" s="5">
        <f>HYPERLINK("https://api.qogita.com/variants/link/8414135036025/", "View Product")</f>
        <v/>
      </c>
    </row>
    <row r="25557">
      <c r="A25557" t="inlineStr">
        <is>
          <t>8414135036230</t>
        </is>
      </c>
      <c r="B25557" t="inlineStr">
        <is>
          <t>Nike Woman Coral Crush Eau De Toilette 150ml</t>
        </is>
      </c>
      <c r="C25557" t="inlineStr">
        <is>
          <t>Eau De Toilette</t>
        </is>
      </c>
      <c r="D25557" t="inlineStr">
        <is>
          <t>Nike</t>
        </is>
      </c>
      <c r="E25557" t="n">
        <v>10.56</v>
      </c>
      <c r="F25557" t="n">
        <v>1</v>
      </c>
      <c r="G25557" t="n">
        <v>5</v>
      </c>
      <c r="H25557" s="5">
        <f>HYPERLINK("https://api.qogita.com/variants/link/8414135036230/", "View Product")</f>
        <v/>
      </c>
    </row>
    <row r="25558">
      <c r="A25558" t="inlineStr">
        <is>
          <t>8414135863300</t>
        </is>
      </c>
      <c r="B25558" t="inlineStr">
        <is>
          <t>Nike Fragrances Nike The Perfume Woman Deodorant Spray 200ml</t>
        </is>
      </c>
      <c r="C25558" t="inlineStr">
        <is>
          <t>Deodorant &amp; Anti-Perspirant</t>
        </is>
      </c>
      <c r="D25558" t="inlineStr">
        <is>
          <t>Nike</t>
        </is>
      </c>
      <c r="E25558" t="n">
        <v>2.25</v>
      </c>
      <c r="F25558" t="n">
        <v>1</v>
      </c>
      <c r="G25558" t="n">
        <v>7</v>
      </c>
      <c r="H25558" s="5">
        <f>HYPERLINK("https://api.qogita.com/variants/link/8414135863300/", "View Product")</f>
        <v/>
      </c>
    </row>
    <row r="25559">
      <c r="A25559" t="inlineStr">
        <is>
          <t>8414135877437</t>
        </is>
      </c>
      <c r="B25559" t="inlineStr">
        <is>
          <t>Antonio Puig Zinnia Eau De Toilette Spray 100ml</t>
        </is>
      </c>
      <c r="C25559" t="inlineStr">
        <is>
          <t>Eau De Toilette</t>
        </is>
      </c>
      <c r="D25559" t="inlineStr">
        <is>
          <t>Antonio Puig</t>
        </is>
      </c>
      <c r="E25559" t="n">
        <v>12.91</v>
      </c>
      <c r="F25559" t="n">
        <v>1</v>
      </c>
      <c r="G25559" t="n">
        <v>5</v>
      </c>
      <c r="H25559" s="5">
        <f>HYPERLINK("https://api.qogita.com/variants/link/8414135877437/", "View Product")</f>
        <v/>
      </c>
    </row>
    <row r="25560">
      <c r="A25560" t="inlineStr">
        <is>
          <t>8422385300018</t>
        </is>
      </c>
      <c r="B25560" t="inlineStr">
        <is>
          <t>Alvarez Gomez Zafiro Women's EDP Perfume 150ml</t>
        </is>
      </c>
      <c r="C25560" t="inlineStr">
        <is>
          <t>Eau De Parfum</t>
        </is>
      </c>
      <c r="D25560" t="inlineStr">
        <is>
          <t>Alvarez Gómez</t>
        </is>
      </c>
      <c r="E25560" t="n">
        <v>5.93</v>
      </c>
      <c r="F25560" t="n">
        <v>1</v>
      </c>
      <c r="G25560" t="n">
        <v>11</v>
      </c>
      <c r="H25560" s="5">
        <f>HYPERLINK("https://api.qogita.com/variants/link/8422385300018/", "View Product")</f>
        <v/>
      </c>
    </row>
    <row r="25561">
      <c r="A25561" t="inlineStr">
        <is>
          <t>8424405007419</t>
        </is>
      </c>
      <c r="B25561" t="inlineStr">
        <is>
          <t>Cereria Molla Tea Lemongrass Gift Set</t>
        </is>
      </c>
      <c r="C25561" t="inlineStr">
        <is>
          <t>Candles</t>
        </is>
      </c>
      <c r="D25561" t="inlineStr">
        <is>
          <t>Cereria Molla</t>
        </is>
      </c>
      <c r="E25561" t="n">
        <v>35.09</v>
      </c>
      <c r="F25561" t="n">
        <v>1</v>
      </c>
      <c r="G25561" t="n">
        <v>5</v>
      </c>
      <c r="H25561" s="5">
        <f>HYPERLINK("https://api.qogita.com/variants/link/8424405007419/", "View Product")</f>
        <v/>
      </c>
    </row>
    <row r="25562">
      <c r="A25562" t="inlineStr">
        <is>
          <t>8424405007457</t>
        </is>
      </c>
      <c r="B25562" t="inlineStr">
        <is>
          <t>Cereria Mollá 1899 Room Fragrance Gift Set Bulgarian Rose &amp; Oud</t>
        </is>
      </c>
      <c r="C25562" t="inlineStr">
        <is>
          <t>Diffusers</t>
        </is>
      </c>
      <c r="D25562" t="inlineStr">
        <is>
          <t>Cererie Mollá 1899</t>
        </is>
      </c>
      <c r="E25562" t="n">
        <v>35.09</v>
      </c>
      <c r="F25562" t="n">
        <v>1</v>
      </c>
      <c r="G25562" t="n">
        <v>3</v>
      </c>
      <c r="H25562" s="5">
        <f>HYPERLINK("https://api.qogita.com/variants/link/8424405007457/", "View Product")</f>
        <v/>
      </c>
    </row>
    <row r="25563">
      <c r="A25563" t="inlineStr">
        <is>
          <t>8424405009451</t>
        </is>
      </c>
      <c r="B25563" t="inlineStr">
        <is>
          <t>Cereria Moll Car Fragrance Tuberose &amp; Jasmine</t>
        </is>
      </c>
      <c r="C25563" t="inlineStr">
        <is>
          <t>Diffusers</t>
        </is>
      </c>
      <c r="D25563" t="inlineStr">
        <is>
          <t>Cereria Molla</t>
        </is>
      </c>
      <c r="E25563" t="n">
        <v>13.1</v>
      </c>
      <c r="F25563" t="n">
        <v>1</v>
      </c>
      <c r="G25563" t="n">
        <v>22</v>
      </c>
      <c r="H25563" s="5">
        <f>HYPERLINK("https://api.qogita.com/variants/link/8424405009451/", "View Product")</f>
        <v/>
      </c>
    </row>
    <row r="25564">
      <c r="A25564" t="inlineStr">
        <is>
          <t>8424405011225</t>
        </is>
      </c>
      <c r="B25564" t="inlineStr">
        <is>
          <t>Cereria Molla Bergamotto Di Calabria Scented Bar Soap</t>
        </is>
      </c>
      <c r="C25564" t="inlineStr">
        <is>
          <t>Soap</t>
        </is>
      </c>
      <c r="D25564" t="inlineStr">
        <is>
          <t>Cereria Molla</t>
        </is>
      </c>
      <c r="E25564" t="n">
        <v>8.19</v>
      </c>
      <c r="F25564" t="n">
        <v>1</v>
      </c>
      <c r="G25564" t="n">
        <v>24</v>
      </c>
      <c r="H25564" s="5">
        <f>HYPERLINK("https://api.qogita.com/variants/link/8424405011225/", "View Product")</f>
        <v/>
      </c>
    </row>
    <row r="25565">
      <c r="A25565" t="inlineStr">
        <is>
          <t>8424405011256</t>
        </is>
      </c>
      <c r="B25565" t="inlineStr">
        <is>
          <t>Cereria Moll Verbena Di Sicilia Scented Bar Soap 100 G</t>
        </is>
      </c>
      <c r="C25565" t="inlineStr">
        <is>
          <t>Soap</t>
        </is>
      </c>
      <c r="D25565" t="inlineStr">
        <is>
          <t>Cereria Molla</t>
        </is>
      </c>
      <c r="E25565" t="n">
        <v>8.19</v>
      </c>
      <c r="F25565" t="n">
        <v>1</v>
      </c>
      <c r="G25565" t="n">
        <v>11</v>
      </c>
      <c r="H25565" s="5">
        <f>HYPERLINK("https://api.qogita.com/variants/link/8424405011256/", "View Product")</f>
        <v/>
      </c>
    </row>
    <row r="25566">
      <c r="A25566" t="inlineStr">
        <is>
          <t>8424405011263</t>
        </is>
      </c>
      <c r="B25566" t="inlineStr">
        <is>
          <t>Cereria Molla Black Orchid Lily Scented Bar Soap</t>
        </is>
      </c>
      <c r="C25566" t="inlineStr">
        <is>
          <t>Soap</t>
        </is>
      </c>
      <c r="D25566" t="inlineStr">
        <is>
          <t>Cereria Molla</t>
        </is>
      </c>
      <c r="E25566" t="n">
        <v>7.53</v>
      </c>
      <c r="F25566" t="n">
        <v>1</v>
      </c>
      <c r="G25566" t="n">
        <v>26</v>
      </c>
      <c r="H25566" s="5">
        <f>HYPERLINK("https://api.qogita.com/variants/link/8424405011263/", "View Product")</f>
        <v/>
      </c>
    </row>
    <row r="25567">
      <c r="A25567" t="inlineStr">
        <is>
          <t>8424405011270</t>
        </is>
      </c>
      <c r="B25567" t="inlineStr">
        <is>
          <t>Cereria Molla Scented Bar Soap</t>
        </is>
      </c>
      <c r="C25567" t="inlineStr">
        <is>
          <t>Soap</t>
        </is>
      </c>
      <c r="D25567" t="inlineStr">
        <is>
          <t>Cereria Molla</t>
        </is>
      </c>
      <c r="E25567" t="n">
        <v>8.19</v>
      </c>
      <c r="F25567" t="n">
        <v>1</v>
      </c>
      <c r="G25567" t="n">
        <v>13</v>
      </c>
      <c r="H25567" s="5">
        <f>HYPERLINK("https://api.qogita.com/variants/link/8424405011270/", "View Product")</f>
        <v/>
      </c>
    </row>
    <row r="25568">
      <c r="A25568" t="inlineStr">
        <is>
          <t>8427395650108</t>
        </is>
      </c>
      <c r="B25568" t="inlineStr">
        <is>
          <t>Angel Schlesser Femme Eau De Toilette Spray 50ml</t>
        </is>
      </c>
      <c r="C25568" t="inlineStr">
        <is>
          <t>Eau De Toilette</t>
        </is>
      </c>
      <c r="D25568" t="inlineStr">
        <is>
          <t>Angel Schlesser</t>
        </is>
      </c>
      <c r="E25568" t="n">
        <v>18.53</v>
      </c>
      <c r="F25568" t="n">
        <v>1</v>
      </c>
      <c r="G25568" t="n">
        <v>13</v>
      </c>
      <c r="H25568" s="5">
        <f>HYPERLINK("https://api.qogita.com/variants/link/8427395650108/", "View Product")</f>
        <v/>
      </c>
    </row>
    <row r="25569">
      <c r="A25569" t="inlineStr">
        <is>
          <t>8427395680105</t>
        </is>
      </c>
      <c r="B25569" t="inlineStr">
        <is>
          <t>Angel Schlesser Essential For Men Eau De Toilette 50ml Vaporizer</t>
        </is>
      </c>
      <c r="C25569" t="inlineStr">
        <is>
          <t>Eau De Toilette</t>
        </is>
      </c>
      <c r="D25569" t="inlineStr">
        <is>
          <t>Angel Schlesser</t>
        </is>
      </c>
      <c r="E25569" t="n">
        <v>15.11</v>
      </c>
      <c r="F25569" t="n">
        <v>1</v>
      </c>
      <c r="G25569" t="n">
        <v>2</v>
      </c>
      <c r="H25569" s="5">
        <f>HYPERLINK("https://api.qogita.com/variants/link/8427395680105/", "View Product")</f>
        <v/>
      </c>
    </row>
    <row r="25570">
      <c r="A25570" t="inlineStr">
        <is>
          <t>8427395900197</t>
        </is>
      </c>
      <c r="B25570" t="inlineStr">
        <is>
          <t>Armand Basi L'Eau Pour Homme Eau De Toilette Spray 75ml</t>
        </is>
      </c>
      <c r="C25570" t="inlineStr">
        <is>
          <t>Eau De Toilette</t>
        </is>
      </c>
      <c r="D25570" t="inlineStr">
        <is>
          <t>Armand Basi</t>
        </is>
      </c>
      <c r="E25570" t="n">
        <v>17.86</v>
      </c>
      <c r="F25570" t="n">
        <v>1</v>
      </c>
      <c r="G25570" t="n">
        <v>3</v>
      </c>
      <c r="H25570" s="5">
        <f>HYPERLINK("https://api.qogita.com/variants/link/8427395900197/", "View Product")</f>
        <v/>
      </c>
    </row>
    <row r="25571">
      <c r="A25571" t="inlineStr">
        <is>
          <t>8427395900296</t>
        </is>
      </c>
      <c r="B25571" t="inlineStr">
        <is>
          <t>Armand Basi L'Eau Pour Homme Eau De Toilette Spray 125ml</t>
        </is>
      </c>
      <c r="C25571" t="inlineStr">
        <is>
          <t>Eau De Toilette</t>
        </is>
      </c>
      <c r="D25571" t="inlineStr">
        <is>
          <t>Armand Basi</t>
        </is>
      </c>
      <c r="E25571" t="n">
        <v>19.41</v>
      </c>
      <c r="F25571" t="n">
        <v>1</v>
      </c>
      <c r="G25571" t="n">
        <v>4</v>
      </c>
      <c r="H25571" s="5">
        <f>HYPERLINK("https://api.qogita.com/variants/link/8427395900296/", "View Product")</f>
        <v/>
      </c>
    </row>
    <row r="25572">
      <c r="A25572" t="inlineStr">
        <is>
          <t>8428749000549</t>
        </is>
      </c>
      <c r="B25572" t="inlineStr">
        <is>
          <t>Sensilis Photocorrection Makeup Spf50 01 Natural Rose 10g</t>
        </is>
      </c>
      <c r="C25572" t="inlineStr">
        <is>
          <t>Foundation</t>
        </is>
      </c>
      <c r="D25572" t="inlineStr">
        <is>
          <t>Sensilis</t>
        </is>
      </c>
      <c r="E25572" t="n">
        <v>15.27</v>
      </c>
      <c r="F25572" t="n">
        <v>1</v>
      </c>
      <c r="G25572" t="n">
        <v>2</v>
      </c>
      <c r="H25572" s="5">
        <f>HYPERLINK("https://api.qogita.com/variants/link/8428749000549/", "View Product")</f>
        <v/>
      </c>
    </row>
    <row r="25573">
      <c r="A25573" t="inlineStr">
        <is>
          <t>8429421434423</t>
        </is>
      </c>
      <c r="B25573" t="inlineStr">
        <is>
          <t>K. Therapy Repair Nourishing Mask - 250ml</t>
        </is>
      </c>
      <c r="C25573" t="inlineStr">
        <is>
          <t>Hair Masks</t>
        </is>
      </c>
      <c r="D25573" t="inlineStr">
        <is>
          <t>Kérastase</t>
        </is>
      </c>
      <c r="E25573" t="n">
        <v>10.2</v>
      </c>
      <c r="F25573" t="n">
        <v>1</v>
      </c>
      <c r="G25573" t="n">
        <v>13</v>
      </c>
      <c r="H25573" s="5">
        <f>HYPERLINK("https://api.qogita.com/variants/link/8429421434423/", "View Product")</f>
        <v/>
      </c>
    </row>
    <row r="25574">
      <c r="A25574" t="inlineStr">
        <is>
          <t>8429421441315</t>
        </is>
      </c>
      <c r="B25574" t="inlineStr">
        <is>
          <t>TKN Organic Balance Treatment 1000ml</t>
        </is>
      </c>
      <c r="C25574" t="inlineStr">
        <is>
          <t>Hair Masks</t>
        </is>
      </c>
      <c r="D25574" t="inlineStr">
        <is>
          <t>Lakmé</t>
        </is>
      </c>
      <c r="E25574" t="n">
        <v>32.87</v>
      </c>
      <c r="F25574" t="n">
        <v>1</v>
      </c>
      <c r="G25574" t="n">
        <v>11</v>
      </c>
      <c r="H25574" s="5">
        <f>HYPERLINK("https://api.qogita.com/variants/link/8429421441315/", "View Product")</f>
        <v/>
      </c>
    </row>
    <row r="25575">
      <c r="A25575" t="inlineStr">
        <is>
          <t>8429421443036</t>
        </is>
      </c>
      <c r="B25575" t="inlineStr">
        <is>
          <t>Lakme Teknia Relief Soothing Serum 5.1oz</t>
        </is>
      </c>
      <c r="C25575" t="inlineStr">
        <is>
          <t>Hydrating Serum</t>
        </is>
      </c>
      <c r="D25575" t="inlineStr">
        <is>
          <t>Lakmé</t>
        </is>
      </c>
      <c r="E25575" t="n">
        <v>10.3</v>
      </c>
      <c r="F25575" t="n">
        <v>1</v>
      </c>
      <c r="G25575" t="n">
        <v>40</v>
      </c>
      <c r="H25575" s="5">
        <f>HYPERLINK("https://api.qogita.com/variants/link/8429421443036/", "View Product")</f>
        <v/>
      </c>
    </row>
    <row r="25576">
      <c r="A25576" t="inlineStr">
        <is>
          <t>8429421443128</t>
        </is>
      </c>
      <c r="B25576" t="inlineStr">
        <is>
          <t>Lakme Teknia Refresh Cleanse Shampoo 300ml</t>
        </is>
      </c>
      <c r="C25576" t="inlineStr">
        <is>
          <t>Shampoo</t>
        </is>
      </c>
      <c r="D25576" t="inlineStr">
        <is>
          <t>Lakmé</t>
        </is>
      </c>
      <c r="E25576" t="n">
        <v>8.470000000000001</v>
      </c>
      <c r="F25576" t="n">
        <v>1</v>
      </c>
      <c r="G25576" t="n">
        <v>10</v>
      </c>
      <c r="H25576" s="5">
        <f>HYPERLINK("https://api.qogita.com/variants/link/8429421443128/", "View Product")</f>
        <v/>
      </c>
    </row>
    <row r="25577">
      <c r="A25577" t="inlineStr">
        <is>
          <t>8429421443425</t>
        </is>
      </c>
      <c r="B25577" t="inlineStr">
        <is>
          <t>Lakme Teknia Purify Clay Mask 8.5oz</t>
        </is>
      </c>
      <c r="C25577" t="inlineStr">
        <is>
          <t>Clay Mask</t>
        </is>
      </c>
      <c r="D25577" t="inlineStr">
        <is>
          <t>Lakmé</t>
        </is>
      </c>
      <c r="E25577" t="n">
        <v>11.97</v>
      </c>
      <c r="F25577" t="n">
        <v>1</v>
      </c>
      <c r="G25577" t="n">
        <v>14</v>
      </c>
      <c r="H25577" s="5">
        <f>HYPERLINK("https://api.qogita.com/variants/link/8429421443425/", "View Product")</f>
        <v/>
      </c>
    </row>
    <row r="25578">
      <c r="A25578" t="inlineStr">
        <is>
          <t>8429421443937</t>
        </is>
      </c>
      <c r="B25578" t="inlineStr">
        <is>
          <t>Lakme Teknia Relief Hydra Cream-Gel Mask 8.5oz</t>
        </is>
      </c>
      <c r="C25578" t="inlineStr">
        <is>
          <t>Hydrating Mask</t>
        </is>
      </c>
      <c r="D25578" t="inlineStr">
        <is>
          <t>Lakmé</t>
        </is>
      </c>
      <c r="E25578" t="n">
        <v>11.63</v>
      </c>
      <c r="F25578" t="n">
        <v>1</v>
      </c>
      <c r="G25578" t="n">
        <v>34</v>
      </c>
      <c r="H25578" s="5">
        <f>HYPERLINK("https://api.qogita.com/variants/link/8429421443937/", "View Product")</f>
        <v/>
      </c>
    </row>
    <row r="25579">
      <c r="A25579" t="inlineStr">
        <is>
          <t>8429421445115</t>
        </is>
      </c>
      <c r="B25579" t="inlineStr">
        <is>
          <t>TKN Color Stay Shampoo 1000ml</t>
        </is>
      </c>
      <c r="C25579" t="inlineStr">
        <is>
          <t>Shampoo</t>
        </is>
      </c>
      <c r="D25579" t="inlineStr">
        <is>
          <t>Tekená</t>
        </is>
      </c>
      <c r="E25579" t="n">
        <v>21.6</v>
      </c>
      <c r="F25579" t="n">
        <v>1</v>
      </c>
      <c r="G25579" t="n">
        <v>2</v>
      </c>
      <c r="H25579" s="5">
        <f>HYPERLINK("https://api.qogita.com/variants/link/8429421445115/", "View Product")</f>
        <v/>
      </c>
    </row>
    <row r="25580">
      <c r="A25580" t="inlineStr">
        <is>
          <t>8429421445597</t>
        </is>
      </c>
      <c r="B25580" t="inlineStr">
        <is>
          <t>Lakmé Teknia Hair Care Color Stay Refill Shampoo 600ml</t>
        </is>
      </c>
      <c r="C25580" t="inlineStr">
        <is>
          <t>Shampoo</t>
        </is>
      </c>
      <c r="D25580" t="inlineStr">
        <is>
          <t>Lakmé</t>
        </is>
      </c>
      <c r="E25580" t="n">
        <v>14.2</v>
      </c>
      <c r="F25580" t="n">
        <v>1</v>
      </c>
      <c r="G25580" t="n">
        <v>3</v>
      </c>
      <c r="H25580" s="5">
        <f>HYPERLINK("https://api.qogita.com/variants/link/8429421445597/", "View Product")</f>
        <v/>
      </c>
    </row>
    <row r="25581">
      <c r="A25581" t="inlineStr">
        <is>
          <t>8429421449311</t>
        </is>
      </c>
      <c r="B25581" t="inlineStr">
        <is>
          <t>Lakme Teknia Full Defence Treatment 1000ml</t>
        </is>
      </c>
      <c r="C25581" t="inlineStr">
        <is>
          <t>Uv Protection</t>
        </is>
      </c>
      <c r="D25581" t="inlineStr">
        <is>
          <t>Lakme Teknia</t>
        </is>
      </c>
      <c r="E25581" t="n">
        <v>31.83</v>
      </c>
      <c r="F25581" t="n">
        <v>1</v>
      </c>
      <c r="G25581" t="n">
        <v>2</v>
      </c>
      <c r="H25581" s="5">
        <f>HYPERLINK("https://api.qogita.com/variants/link/8429421449311/", "View Product")</f>
        <v/>
      </c>
    </row>
    <row r="25582">
      <c r="A25582" t="inlineStr">
        <is>
          <t>8429421449328</t>
        </is>
      </c>
      <c r="B25582" t="inlineStr">
        <is>
          <t>Lakme Teknia Full Defense Treatment Mask for Stressed Hair 250ml</t>
        </is>
      </c>
      <c r="C25582" t="inlineStr">
        <is>
          <t>Hair Masks</t>
        </is>
      </c>
      <c r="D25582" t="inlineStr">
        <is>
          <t>Lakmé</t>
        </is>
      </c>
      <c r="E25582" t="n">
        <v>13.49</v>
      </c>
      <c r="F25582" t="n">
        <v>1</v>
      </c>
      <c r="G25582" t="n">
        <v>18</v>
      </c>
      <c r="H25582" s="5">
        <f>HYPERLINK("https://api.qogita.com/variants/link/8429421449328/", "View Product")</f>
        <v/>
      </c>
    </row>
    <row r="25583">
      <c r="A25583" t="inlineStr">
        <is>
          <t>8429421467414</t>
        </is>
      </c>
      <c r="B25583" t="inlineStr">
        <is>
          <t>Lakme Kbeauty Body Thickening Spray - Sprej Na Vlasy Pro Objem</t>
        </is>
      </c>
      <c r="C25583" t="inlineStr">
        <is>
          <t>Styling Sprays</t>
        </is>
      </c>
      <c r="D25583" t="inlineStr">
        <is>
          <t>Lakmé</t>
        </is>
      </c>
      <c r="E25583" t="n">
        <v>10.44</v>
      </c>
      <c r="F25583" t="n">
        <v>1</v>
      </c>
      <c r="G25583" t="n">
        <v>14</v>
      </c>
      <c r="H25583" s="5">
        <f>HYPERLINK("https://api.qogita.com/variants/link/8429421467414/", "View Product")</f>
        <v/>
      </c>
    </row>
    <row r="25584">
      <c r="A25584" t="inlineStr">
        <is>
          <t>8429421469012</t>
        </is>
      </c>
      <c r="B25584" t="inlineStr">
        <is>
          <t>Lakme K. Styling Tamer Gel 150ml</t>
        </is>
      </c>
      <c r="C25584" t="inlineStr">
        <is>
          <t>Gel</t>
        </is>
      </c>
      <c r="D25584" t="inlineStr">
        <is>
          <t>Lakmé</t>
        </is>
      </c>
      <c r="E25584" t="n">
        <v>7.15</v>
      </c>
      <c r="F25584" t="n">
        <v>1</v>
      </c>
      <c r="G25584" t="n">
        <v>30</v>
      </c>
      <c r="H25584" s="5">
        <f>HYPERLINK("https://api.qogita.com/variants/link/8429421469012/", "View Product")</f>
        <v/>
      </c>
    </row>
    <row r="25585">
      <c r="A25585" t="inlineStr">
        <is>
          <t>8429449104353</t>
        </is>
      </c>
      <c r="B25585" t="inlineStr">
        <is>
          <t>Atashi K-Bioferment Therapy Cream Skin Booster Anti-Aging Multi-Corrective Revitalization 50ml</t>
        </is>
      </c>
      <c r="C25585" t="inlineStr">
        <is>
          <t>Anti-Aging Facial Care</t>
        </is>
      </c>
      <c r="D25585" t="inlineStr">
        <is>
          <t>Atashi</t>
        </is>
      </c>
      <c r="E25585" t="n">
        <v>23</v>
      </c>
      <c r="F25585" t="n">
        <v>1</v>
      </c>
      <c r="G25585" t="n">
        <v>2</v>
      </c>
      <c r="H25585" s="5">
        <f>HYPERLINK("https://api.qogita.com/variants/link/8429449104353/", "View Product")</f>
        <v/>
      </c>
    </row>
    <row r="25586">
      <c r="A25586" t="inlineStr">
        <is>
          <t>8429979252180</t>
        </is>
      </c>
      <c r="B25586" t="inlineStr">
        <is>
          <t>Sesderma Reactivating Sesgen 32 Cell Activating Serum 30 Ml</t>
        </is>
      </c>
      <c r="C25586" t="inlineStr">
        <is>
          <t>Anti-Aging Serum</t>
        </is>
      </c>
      <c r="D25586" t="inlineStr">
        <is>
          <t>Sesderma</t>
        </is>
      </c>
      <c r="E25586" t="n">
        <v>53.81</v>
      </c>
      <c r="F25586" t="n">
        <v>1</v>
      </c>
      <c r="G25586" t="n">
        <v>2</v>
      </c>
      <c r="H25586" s="5">
        <f>HYPERLINK("https://api.qogita.com/variants/link/8429979252180/", "View Product")</f>
        <v/>
      </c>
    </row>
    <row r="25587">
      <c r="A25587" t="inlineStr">
        <is>
          <t>8429979417541</t>
        </is>
      </c>
      <c r="B25587" t="inlineStr">
        <is>
          <t>Sesderma Factor G Renew Anti-Aging Face Serum 30ml</t>
        </is>
      </c>
      <c r="C25587" t="inlineStr">
        <is>
          <t>Anti-Aging Serum</t>
        </is>
      </c>
      <c r="D25587" t="inlineStr">
        <is>
          <t>Sesderma</t>
        </is>
      </c>
      <c r="E25587" t="n">
        <v>53.81</v>
      </c>
      <c r="F25587" t="n">
        <v>1</v>
      </c>
      <c r="G25587" t="n">
        <v>2</v>
      </c>
      <c r="H25587" s="5">
        <f>HYPERLINK("https://api.qogita.com/variants/link/8429979417541/", "View Product")</f>
        <v/>
      </c>
    </row>
    <row r="25588">
      <c r="A25588" t="inlineStr">
        <is>
          <t>8429979419491</t>
        </is>
      </c>
      <c r="B25588" t="inlineStr">
        <is>
          <t>Sesderma Seslash Eyelash And Eyebrow Growth Activator 5ml</t>
        </is>
      </c>
      <c r="C25588" t="inlineStr">
        <is>
          <t>Eyelash Serum &amp; Eyebrow Serum</t>
        </is>
      </c>
      <c r="D25588" t="inlineStr">
        <is>
          <t>Sesderma</t>
        </is>
      </c>
      <c r="E25588" t="n">
        <v>22.53</v>
      </c>
      <c r="F25588" t="n">
        <v>1</v>
      </c>
      <c r="G25588" t="n">
        <v>2</v>
      </c>
      <c r="H25588" s="5">
        <f>HYPERLINK("https://api.qogita.com/variants/link/8429979419491/", "View Product")</f>
        <v/>
      </c>
    </row>
    <row r="25589">
      <c r="A25589" t="inlineStr">
        <is>
          <t>8429979446954</t>
        </is>
      </c>
      <c r="B25589" t="inlineStr">
        <is>
          <t>Sesderma Samay Antiaging Cream 50 Ml For Women</t>
        </is>
      </c>
      <c r="C25589" t="inlineStr">
        <is>
          <t>Anti-Aging Facial Care</t>
        </is>
      </c>
      <c r="D25589" t="inlineStr">
        <is>
          <t>Sesderma</t>
        </is>
      </c>
      <c r="E25589" t="n">
        <v>31.66</v>
      </c>
      <c r="F25589" t="n">
        <v>1</v>
      </c>
      <c r="G25589" t="n">
        <v>2</v>
      </c>
      <c r="H25589" s="5">
        <f>HYPERLINK("https://api.qogita.com/variants/link/8429979446954/", "View Product")</f>
        <v/>
      </c>
    </row>
    <row r="25590">
      <c r="A25590" t="inlineStr">
        <is>
          <t>8429979481993</t>
        </is>
      </c>
      <c r="B25590" t="inlineStr">
        <is>
          <t>Sesderma Repaskin Facial Spf50 Silk Touch 50ml High Protection Sunscreen</t>
        </is>
      </c>
      <c r="C25590" t="inlineStr">
        <is>
          <t>Face Sun Protection</t>
        </is>
      </c>
      <c r="D25590" t="inlineStr">
        <is>
          <t>Sesderma</t>
        </is>
      </c>
      <c r="E25590" t="n">
        <v>29.07</v>
      </c>
      <c r="F25590" t="n">
        <v>1</v>
      </c>
      <c r="G25590" t="n">
        <v>2</v>
      </c>
      <c r="H25590" s="5">
        <f>HYPERLINK("https://api.qogita.com/variants/link/8429979481993/", "View Product")</f>
        <v/>
      </c>
    </row>
    <row r="25591">
      <c r="A25591" t="inlineStr">
        <is>
          <t>8431754007274</t>
        </is>
      </c>
      <c r="B25591" t="inlineStr">
        <is>
          <t>Halloween Jesus Del Pozo Halloween Man Hero Eau De Toilette 50ml</t>
        </is>
      </c>
      <c r="C25591" t="inlineStr">
        <is>
          <t>Eau De Toilette</t>
        </is>
      </c>
      <c r="D25591" t="inlineStr">
        <is>
          <t>Jesus Del Pozo</t>
        </is>
      </c>
      <c r="E25591" t="n">
        <v>27.25</v>
      </c>
      <c r="F25591" t="n">
        <v>1</v>
      </c>
      <c r="G25591" t="n">
        <v>3</v>
      </c>
      <c r="H25591" s="5">
        <f>HYPERLINK("https://api.qogita.com/variants/link/8431754007274/", "View Product")</f>
        <v/>
      </c>
    </row>
    <row r="25592">
      <c r="A25592" t="inlineStr">
        <is>
          <t>8431754347059</t>
        </is>
      </c>
      <c r="B25592" t="inlineStr">
        <is>
          <t>J. Del Pozo Halloween Kiss Sexy for Women 3.4 Oz EDT Spray 100ml</t>
        </is>
      </c>
      <c r="C25592" t="inlineStr">
        <is>
          <t>Eau De Toilette</t>
        </is>
      </c>
      <c r="D25592" t="inlineStr">
        <is>
          <t>Jesus Del Pozo</t>
        </is>
      </c>
      <c r="E25592" t="n">
        <v>18.08</v>
      </c>
      <c r="F25592" t="n">
        <v>1</v>
      </c>
      <c r="G25592" t="n">
        <v>7</v>
      </c>
      <c r="H25592" s="5">
        <f>HYPERLINK("https://api.qogita.com/variants/link/8431754347059/", "View Product")</f>
        <v/>
      </c>
    </row>
    <row r="25593">
      <c r="A25593" t="inlineStr">
        <is>
          <t>8432225091518</t>
        </is>
      </c>
      <c r="B25593" t="inlineStr">
        <is>
          <t>Revlon Revlonissimo 45 Days Conditioning Shampoo And Color Maintenance Conditioner Brave Reds 275ml</t>
        </is>
      </c>
      <c r="C25593" t="inlineStr">
        <is>
          <t>Shampoo</t>
        </is>
      </c>
      <c r="D25593" t="inlineStr">
        <is>
          <t>Revlon</t>
        </is>
      </c>
      <c r="E25593" t="n">
        <v>9.130000000000001</v>
      </c>
      <c r="F25593" t="n">
        <v>1</v>
      </c>
      <c r="G25593" t="n">
        <v>2</v>
      </c>
      <c r="H25593" s="5">
        <f>HYPERLINK("https://api.qogita.com/variants/link/8432225091518/", "View Product")</f>
        <v/>
      </c>
    </row>
    <row r="25594">
      <c r="A25594" t="inlineStr">
        <is>
          <t>8432225096810</t>
        </is>
      </c>
      <c r="B25594" t="inlineStr">
        <is>
          <t>Revlon Style Master Glamourama Shine Spray 300ml Spray For Natural Hair Shine And Fixation</t>
        </is>
      </c>
      <c r="C25594" t="inlineStr">
        <is>
          <t>Hairspray</t>
        </is>
      </c>
      <c r="D25594" t="inlineStr">
        <is>
          <t>Revlon</t>
        </is>
      </c>
      <c r="E25594" t="n">
        <v>6.34</v>
      </c>
      <c r="F25594" t="n">
        <v>1</v>
      </c>
      <c r="G25594" t="n">
        <v>2</v>
      </c>
      <c r="H25594" s="5">
        <f>HYPERLINK("https://api.qogita.com/variants/link/8432225096810/", "View Product")</f>
        <v/>
      </c>
    </row>
    <row r="25595">
      <c r="A25595" t="inlineStr">
        <is>
          <t>8432225096827</t>
        </is>
      </c>
      <c r="B25595" t="inlineStr">
        <is>
          <t>Revlon Professional Style Masters Smooth Iron Guard Straightening Balm For Hair 150ml</t>
        </is>
      </c>
      <c r="C25595" t="inlineStr">
        <is>
          <t>Heat Protection</t>
        </is>
      </c>
      <c r="D25595" t="inlineStr">
        <is>
          <t>Revlon Professional</t>
        </is>
      </c>
      <c r="E25595" t="n">
        <v>7.61</v>
      </c>
      <c r="F25595" t="n">
        <v>1</v>
      </c>
      <c r="G25595" t="n">
        <v>3</v>
      </c>
      <c r="H25595" s="5">
        <f>HYPERLINK("https://api.qogita.com/variants/link/8432225096827/", "View Product")</f>
        <v/>
      </c>
    </row>
    <row r="25596">
      <c r="A25596" t="inlineStr">
        <is>
          <t>8432225113302</t>
        </is>
      </c>
      <c r="B25596" t="inlineStr">
        <is>
          <t>Revlon Equave Kids Shampoo Apple 300ml 2 In 1 Shampoo For Children</t>
        </is>
      </c>
      <c r="C25596" t="inlineStr">
        <is>
          <t>Children's Hair Cleaning</t>
        </is>
      </c>
      <c r="D25596" t="inlineStr">
        <is>
          <t>Revlon</t>
        </is>
      </c>
      <c r="E25596" t="n">
        <v>7.91</v>
      </c>
      <c r="F25596" t="n">
        <v>1</v>
      </c>
      <c r="G25596" t="n">
        <v>12</v>
      </c>
      <c r="H25596" s="5">
        <f>HYPERLINK("https://api.qogita.com/variants/link/8432225113302/", "View Product")</f>
        <v/>
      </c>
    </row>
    <row r="25597">
      <c r="A25597" t="inlineStr">
        <is>
          <t>8432225113616</t>
        </is>
      </c>
      <c r="B25597" t="inlineStr">
        <is>
          <t>Revlon Pro You The Moisturizer Hydrating Hair Mask 500ml</t>
        </is>
      </c>
      <c r="C25597" t="inlineStr">
        <is>
          <t>Hair Masks</t>
        </is>
      </c>
      <c r="D25597" t="inlineStr">
        <is>
          <t>Revlon Professional</t>
        </is>
      </c>
      <c r="E25597" t="n">
        <v>7.54</v>
      </c>
      <c r="F25597" t="n">
        <v>1</v>
      </c>
      <c r="G25597" t="n">
        <v>22</v>
      </c>
      <c r="H25597" s="5">
        <f>HYPERLINK("https://api.qogita.com/variants/link/8432225113616/", "View Product")</f>
        <v/>
      </c>
    </row>
    <row r="25598">
      <c r="A25598" t="inlineStr">
        <is>
          <t>8432225113760</t>
        </is>
      </c>
      <c r="B25598" t="inlineStr">
        <is>
          <t>Revlon Professional Frizz Smoothing Shampoo Pro You The Tamer 350ml</t>
        </is>
      </c>
      <c r="C25598" t="inlineStr">
        <is>
          <t>Shampoo</t>
        </is>
      </c>
      <c r="D25598" t="inlineStr">
        <is>
          <t>Revlon Professional</t>
        </is>
      </c>
      <c r="E25598" t="n">
        <v>4.34</v>
      </c>
      <c r="F25598" t="n">
        <v>1</v>
      </c>
      <c r="G25598" t="n">
        <v>3</v>
      </c>
      <c r="H25598" s="5">
        <f>HYPERLINK("https://api.qogita.com/variants/link/8432225113760/", "View Product")</f>
        <v/>
      </c>
    </row>
    <row r="25599">
      <c r="A25599" t="inlineStr">
        <is>
          <t>8432225113937</t>
        </is>
      </c>
      <c r="B25599" t="inlineStr">
        <is>
          <t>Revlon Professional Pro You The Twister Curl Moisturizing Shampoo 1000ml</t>
        </is>
      </c>
      <c r="C25599" t="inlineStr">
        <is>
          <t>Shampoo</t>
        </is>
      </c>
      <c r="D25599" t="inlineStr">
        <is>
          <t>Revlon Professional</t>
        </is>
      </c>
      <c r="E25599" t="n">
        <v>10.53</v>
      </c>
      <c r="F25599" t="n">
        <v>1</v>
      </c>
      <c r="G25599" t="n">
        <v>4</v>
      </c>
      <c r="H25599" s="5">
        <f>HYPERLINK("https://api.qogita.com/variants/link/8432225113937/", "View Product")</f>
        <v/>
      </c>
    </row>
    <row r="25600">
      <c r="A25600" t="inlineStr">
        <is>
          <t>8432225113944</t>
        </is>
      </c>
      <c r="B25600" t="inlineStr">
        <is>
          <t>Revlon Professional Pro You The Twister Curl Moisturizing Conditioner 350ml</t>
        </is>
      </c>
      <c r="C25600" t="inlineStr">
        <is>
          <t>Conditioner</t>
        </is>
      </c>
      <c r="D25600" t="inlineStr">
        <is>
          <t>Revlon Professional</t>
        </is>
      </c>
      <c r="E25600" t="n">
        <v>4.7</v>
      </c>
      <c r="F25600" t="n">
        <v>1</v>
      </c>
      <c r="G25600" t="n">
        <v>8</v>
      </c>
      <c r="H25600" s="5">
        <f>HYPERLINK("https://api.qogita.com/variants/link/8432225113944/", "View Product")</f>
        <v/>
      </c>
    </row>
    <row r="25601">
      <c r="A25601" t="inlineStr">
        <is>
          <t>8432225114446</t>
        </is>
      </c>
      <c r="B25601" t="inlineStr">
        <is>
          <t>Revlon Restart Balance Anti Dandruff Micellar Shampoo 250ml</t>
        </is>
      </c>
      <c r="C25601" t="inlineStr">
        <is>
          <t>Shampoo</t>
        </is>
      </c>
      <c r="D25601" t="inlineStr">
        <is>
          <t>Revlon</t>
        </is>
      </c>
      <c r="E25601" t="n">
        <v>6.01</v>
      </c>
      <c r="F25601" t="n">
        <v>1</v>
      </c>
      <c r="G25601" t="n">
        <v>17</v>
      </c>
      <c r="H25601" s="5">
        <f>HYPERLINK("https://api.qogita.com/variants/link/8432225114446/", "View Product")</f>
        <v/>
      </c>
    </row>
    <row r="25602">
      <c r="A25602" t="inlineStr">
        <is>
          <t>8432225114460</t>
        </is>
      </c>
      <c r="B25602" t="inlineStr">
        <is>
          <t>Revlon Restart Balance Scalp Soothing Cleanser 250ml Soothing Shampoo For Sensitive Scalp</t>
        </is>
      </c>
      <c r="C25602" t="inlineStr">
        <is>
          <t>Shampoo</t>
        </is>
      </c>
      <c r="D25602" t="inlineStr">
        <is>
          <t>Revlon</t>
        </is>
      </c>
      <c r="E25602" t="n">
        <v>10.06</v>
      </c>
      <c r="F25602" t="n">
        <v>1</v>
      </c>
      <c r="G25602" t="n">
        <v>3</v>
      </c>
      <c r="H25602" s="5">
        <f>HYPERLINK("https://api.qogita.com/variants/link/8432225114460/", "View Product")</f>
        <v/>
      </c>
    </row>
    <row r="25603">
      <c r="A25603" t="inlineStr">
        <is>
          <t>8432225114521</t>
        </is>
      </c>
      <c r="B25603" t="inlineStr">
        <is>
          <t>Revlon Restart Hydration Shampoo 250ml Hydrating Micellar Shampoo</t>
        </is>
      </c>
      <c r="C25603" t="inlineStr">
        <is>
          <t>Shampoo</t>
        </is>
      </c>
      <c r="D25603" t="inlineStr">
        <is>
          <t>Revlon</t>
        </is>
      </c>
      <c r="E25603" t="n">
        <v>10.06</v>
      </c>
      <c r="F25603" t="n">
        <v>1</v>
      </c>
      <c r="G25603" t="n">
        <v>2</v>
      </c>
      <c r="H25603" s="5">
        <f>HYPERLINK("https://api.qogita.com/variants/link/8432225114521/", "View Product")</f>
        <v/>
      </c>
    </row>
    <row r="25604">
      <c r="A25604" t="inlineStr">
        <is>
          <t>8432225114545</t>
        </is>
      </c>
      <c r="B25604" t="inlineStr">
        <is>
          <t>Revlon Restart Hydration Melting Conditioner 200ml Moisture Melting Conditioner</t>
        </is>
      </c>
      <c r="C25604" t="inlineStr">
        <is>
          <t>Conditioner</t>
        </is>
      </c>
      <c r="D25604" t="inlineStr">
        <is>
          <t>Revlon</t>
        </is>
      </c>
      <c r="E25604" t="n">
        <v>10.06</v>
      </c>
      <c r="F25604" t="n">
        <v>1</v>
      </c>
      <c r="G25604" t="n">
        <v>3</v>
      </c>
      <c r="H25604" s="5">
        <f>HYPERLINK("https://api.qogita.com/variants/link/8432225114545/", "View Product")</f>
        <v/>
      </c>
    </row>
    <row r="25605">
      <c r="A25605" t="inlineStr">
        <is>
          <t>8432225114552</t>
        </is>
      </c>
      <c r="B25605" t="inlineStr">
        <is>
          <t>Revlon Restart Hydration Conditioner 750ml Moisture Melting Conditioner</t>
        </is>
      </c>
      <c r="C25605" t="inlineStr">
        <is>
          <t>Conditioner</t>
        </is>
      </c>
      <c r="D25605" t="inlineStr">
        <is>
          <t>Revlon</t>
        </is>
      </c>
      <c r="E25605" t="n">
        <v>24.27</v>
      </c>
      <c r="F25605" t="n">
        <v>1</v>
      </c>
      <c r="G25605" t="n">
        <v>3</v>
      </c>
      <c r="H25605" s="5">
        <f>HYPERLINK("https://api.qogita.com/variants/link/8432225114552/", "View Product")</f>
        <v/>
      </c>
    </row>
    <row r="25606">
      <c r="A25606" t="inlineStr">
        <is>
          <t>8432225114613</t>
        </is>
      </c>
      <c r="B25606" t="inlineStr">
        <is>
          <t>Revlon Restart Volume Liftup Body Foam 165ml Hair Volume Foam</t>
        </is>
      </c>
      <c r="C25606" t="inlineStr">
        <is>
          <t>Mousse</t>
        </is>
      </c>
      <c r="D25606" t="inlineStr">
        <is>
          <t>Revlon</t>
        </is>
      </c>
      <c r="E25606" t="n">
        <v>14.71</v>
      </c>
      <c r="F25606" t="n">
        <v>1</v>
      </c>
      <c r="G25606" t="n">
        <v>6</v>
      </c>
      <c r="H25606" s="5">
        <f>HYPERLINK("https://api.qogita.com/variants/link/8432225114613/", "View Product")</f>
        <v/>
      </c>
    </row>
    <row r="25607">
      <c r="A25607" t="inlineStr">
        <is>
          <t>8432225125770</t>
        </is>
      </c>
      <c r="B25607" t="inlineStr">
        <is>
          <t>Intercosmo Il Magnifico 10 Multibenefits Intensive Hair Mask Spray 150 Ml</t>
        </is>
      </c>
      <c r="C25607" t="inlineStr">
        <is>
          <t>Hair Masks</t>
        </is>
      </c>
      <c r="D25607" t="inlineStr">
        <is>
          <t>Intercosmo</t>
        </is>
      </c>
      <c r="E25607" t="n">
        <v>4.98</v>
      </c>
      <c r="F25607" t="n">
        <v>1</v>
      </c>
      <c r="G25607" t="n">
        <v>127</v>
      </c>
      <c r="H25607" s="5">
        <f>HYPERLINK("https://api.qogita.com/variants/link/8432225125770/", "View Product")</f>
        <v/>
      </c>
    </row>
    <row r="25608">
      <c r="A25608" t="inlineStr">
        <is>
          <t>8432225127491</t>
        </is>
      </c>
      <c r="B25608" t="inlineStr">
        <is>
          <t>Revlon Restart Hydration Rich Mask 250ml</t>
        </is>
      </c>
      <c r="C25608" t="inlineStr">
        <is>
          <t>Hydrating Mask</t>
        </is>
      </c>
      <c r="D25608" t="inlineStr">
        <is>
          <t>Revlon</t>
        </is>
      </c>
      <c r="E25608" t="n">
        <v>10.45</v>
      </c>
      <c r="F25608" t="n">
        <v>1</v>
      </c>
      <c r="G25608" t="n">
        <v>5</v>
      </c>
      <c r="H25608" s="5">
        <f>HYPERLINK("https://api.qogita.com/variants/link/8432225127491/", "View Product")</f>
        <v/>
      </c>
    </row>
    <row r="25609">
      <c r="A25609" t="inlineStr">
        <is>
          <t>8432225129822</t>
        </is>
      </c>
      <c r="B25609" t="inlineStr">
        <is>
          <t>Revlon Uniq One All In One Hair Mask 300 Ml Intensive Moisturizing Super Hair Mask</t>
        </is>
      </c>
      <c r="C25609" t="inlineStr">
        <is>
          <t>Hair Masks</t>
        </is>
      </c>
      <c r="D25609" t="inlineStr">
        <is>
          <t>Revlon</t>
        </is>
      </c>
      <c r="E25609" t="n">
        <v>9.66</v>
      </c>
      <c r="F25609" t="n">
        <v>1</v>
      </c>
      <c r="G25609" t="n">
        <v>40</v>
      </c>
      <c r="H25609" s="5">
        <f>HYPERLINK("https://api.qogita.com/variants/link/8432225129822/", "View Product")</f>
        <v/>
      </c>
    </row>
    <row r="25610">
      <c r="A25610" t="inlineStr">
        <is>
          <t>8432225131238</t>
        </is>
      </c>
      <c r="B25610" t="inlineStr">
        <is>
          <t>American Crew Antihairloss Leavein Treatment 100ml Norinse Scalp Lotion</t>
        </is>
      </c>
      <c r="C25610" t="inlineStr">
        <is>
          <t>Scalp Care</t>
        </is>
      </c>
      <c r="D25610" t="inlineStr">
        <is>
          <t>American Crew</t>
        </is>
      </c>
      <c r="E25610" t="n">
        <v>18.24</v>
      </c>
      <c r="F25610" t="n">
        <v>1</v>
      </c>
      <c r="G25610" t="n">
        <v>3</v>
      </c>
      <c r="H25610" s="5">
        <f>HYPERLINK("https://api.qogita.com/variants/link/8432225131238/", "View Product")</f>
        <v/>
      </c>
    </row>
    <row r="25611">
      <c r="A25611" t="inlineStr">
        <is>
          <t>8432225132785</t>
        </is>
      </c>
      <c r="B25611" t="inlineStr">
        <is>
          <t>Revlon Restart Curls Nourishing Cleanser 250ml Nourishing Shampoo For Curly And Wavy Hair</t>
        </is>
      </c>
      <c r="C25611" t="inlineStr">
        <is>
          <t>Shampoo</t>
        </is>
      </c>
      <c r="D25611" t="inlineStr">
        <is>
          <t>Revlon</t>
        </is>
      </c>
      <c r="E25611" t="n">
        <v>11.18</v>
      </c>
      <c r="F25611" t="n">
        <v>1</v>
      </c>
      <c r="G25611" t="n">
        <v>10</v>
      </c>
      <c r="H25611" s="5">
        <f>HYPERLINK("https://api.qogita.com/variants/link/8432225132785/", "View Product")</f>
        <v/>
      </c>
    </row>
    <row r="25612">
      <c r="A25612" t="inlineStr">
        <is>
          <t>8432225132822</t>
        </is>
      </c>
      <c r="B25612" t="inlineStr">
        <is>
          <t>Revlon Professional Restart Curls Nourishing Buttery Mask For Curly And Wavy Hair 250ml</t>
        </is>
      </c>
      <c r="C25612" t="inlineStr">
        <is>
          <t>Hair Masks</t>
        </is>
      </c>
      <c r="D25612" t="inlineStr">
        <is>
          <t>Revlon Professional</t>
        </is>
      </c>
      <c r="E25612" t="n">
        <v>10.44</v>
      </c>
      <c r="F25612" t="n">
        <v>1</v>
      </c>
      <c r="G25612" t="n">
        <v>3</v>
      </c>
      <c r="H25612" s="5">
        <f>HYPERLINK("https://api.qogita.com/variants/link/8432225132822/", "View Product")</f>
        <v/>
      </c>
    </row>
    <row r="25613">
      <c r="A25613" t="inlineStr">
        <is>
          <t>8432225132853</t>
        </is>
      </c>
      <c r="B25613" t="inlineStr">
        <is>
          <t>Revlon Professional Restart Curls Nextday Refreshing Tonic 200 Ml</t>
        </is>
      </c>
      <c r="C25613" t="inlineStr">
        <is>
          <t>Hair Tonic</t>
        </is>
      </c>
      <c r="D25613" t="inlineStr">
        <is>
          <t>Revlon Professional</t>
        </is>
      </c>
      <c r="E25613" t="n">
        <v>18.57</v>
      </c>
      <c r="F25613" t="n">
        <v>1</v>
      </c>
      <c r="G25613" t="n">
        <v>4</v>
      </c>
      <c r="H25613" s="5">
        <f>HYPERLINK("https://api.qogita.com/variants/link/8432225132853/", "View Product")</f>
        <v/>
      </c>
    </row>
    <row r="25614">
      <c r="A25614" t="inlineStr">
        <is>
          <t>8432225135700</t>
        </is>
      </c>
      <c r="B25614" t="inlineStr">
        <is>
          <t>Revlon Style Masters Hairspray Photo Finisher 500ml</t>
        </is>
      </c>
      <c r="C25614" t="inlineStr">
        <is>
          <t>Hairspray</t>
        </is>
      </c>
      <c r="D25614" t="inlineStr">
        <is>
          <t>Revlon</t>
        </is>
      </c>
      <c r="E25614" t="n">
        <v>7.52</v>
      </c>
      <c r="F25614" t="n">
        <v>1</v>
      </c>
      <c r="G25614" t="n">
        <v>23</v>
      </c>
      <c r="H25614" s="5">
        <f>HYPERLINK("https://api.qogita.com/variants/link/8432225135700/", "View Product")</f>
        <v/>
      </c>
    </row>
    <row r="25615">
      <c r="A25615" t="inlineStr">
        <is>
          <t>8432225137049</t>
        </is>
      </c>
      <c r="B25615" t="inlineStr">
        <is>
          <t>Revlon Professional Equave Curls Definition Instant Detangling Conditioner 200ml</t>
        </is>
      </c>
      <c r="C25615" t="inlineStr">
        <is>
          <t>Leave-In Conditioner</t>
        </is>
      </c>
      <c r="D25615" t="inlineStr">
        <is>
          <t>Revlon Professional</t>
        </is>
      </c>
      <c r="E25615" t="n">
        <v>7.1</v>
      </c>
      <c r="F25615" t="n">
        <v>1</v>
      </c>
      <c r="G25615" t="n">
        <v>14</v>
      </c>
      <c r="H25615" s="5">
        <f>HYPERLINK("https://api.qogita.com/variants/link/8432225137049/", "View Product")</f>
        <v/>
      </c>
    </row>
    <row r="25616">
      <c r="A25616" t="inlineStr">
        <is>
          <t>8432225137131</t>
        </is>
      </c>
      <c r="B25616" t="inlineStr">
        <is>
          <t>Revlon Professional Equave Instant Beauty Sun Protection Detangling Conditioner 100ml</t>
        </is>
      </c>
      <c r="C25616" t="inlineStr">
        <is>
          <t>Conditioner</t>
        </is>
      </c>
      <c r="D25616" t="inlineStr">
        <is>
          <t>Revlon Professional</t>
        </is>
      </c>
      <c r="E25616" t="n">
        <v>5.23</v>
      </c>
      <c r="F25616" t="n">
        <v>1</v>
      </c>
      <c r="G25616" t="n">
        <v>22</v>
      </c>
      <c r="H25616" s="5">
        <f>HYPERLINK("https://api.qogita.com/variants/link/8432225137131/", "View Product")</f>
        <v/>
      </c>
    </row>
    <row r="25617">
      <c r="A25617" t="inlineStr">
        <is>
          <t>8432225143545</t>
        </is>
      </c>
      <c r="B25617" t="inlineStr">
        <is>
          <t>Revlon Professional Uniqone Gift Set Includes Uniq One Hair Treatment 150ml And Shampoo 230ml Duo Pack</t>
        </is>
      </c>
      <c r="C25617" t="inlineStr">
        <is>
          <t>Hair Care Sets</t>
        </is>
      </c>
      <c r="D25617" t="inlineStr">
        <is>
          <t>Revlon Professional</t>
        </is>
      </c>
      <c r="E25617" t="n">
        <v>12.2</v>
      </c>
      <c r="F25617" t="n">
        <v>1</v>
      </c>
      <c r="G25617" t="n">
        <v>8</v>
      </c>
      <c r="H25617" s="5">
        <f>HYPERLINK("https://api.qogita.com/variants/link/8432225143545/", "View Product")</f>
        <v/>
      </c>
    </row>
    <row r="25618">
      <c r="A25618" t="inlineStr">
        <is>
          <t>8433982003837</t>
        </is>
      </c>
      <c r="B25618" t="inlineStr">
        <is>
          <t>Benetton Pink Her Eau de Toilette Spray 50ml for Women</t>
        </is>
      </c>
      <c r="C25618" t="inlineStr">
        <is>
          <t>Eau De Toilette</t>
        </is>
      </c>
      <c r="D25618" t="inlineStr">
        <is>
          <t>Benetton</t>
        </is>
      </c>
      <c r="E25618" t="n">
        <v>9.58</v>
      </c>
      <c r="F25618" t="n">
        <v>1</v>
      </c>
      <c r="G25618" t="n">
        <v>3</v>
      </c>
      <c r="H25618" s="5">
        <f>HYPERLINK("https://api.qogita.com/variants/link/8433982003837/", "View Product")</f>
        <v/>
      </c>
    </row>
    <row r="25619">
      <c r="A25619" t="inlineStr">
        <is>
          <t>8433982018756</t>
        </is>
      </c>
      <c r="B25619" t="inlineStr">
        <is>
          <t>Benetton Sisterland Pink Raspberry Eau de Toilette for Women Long Lasting Fresh Young and Modern Fragrance Floral Neroli and Musk Notes Ideal for Day Wear 80ml</t>
        </is>
      </c>
      <c r="C25619" t="inlineStr">
        <is>
          <t>Eau De Toilette</t>
        </is>
      </c>
      <c r="D25619" t="inlineStr">
        <is>
          <t>Benetton</t>
        </is>
      </c>
      <c r="E25619" t="n">
        <v>15.43</v>
      </c>
      <c r="F25619" t="n">
        <v>1</v>
      </c>
      <c r="G25619" t="n">
        <v>9</v>
      </c>
      <c r="H25619" s="5">
        <f>HYPERLINK("https://api.qogita.com/variants/link/8433982018756/", "View Product")</f>
        <v/>
      </c>
    </row>
    <row r="25620">
      <c r="A25620" t="inlineStr">
        <is>
          <t>8434853000689</t>
        </is>
      </c>
      <c r="B25620" t="inlineStr">
        <is>
          <t>El Ganso Limoncello Season EDT 125ml Natural Spray</t>
        </is>
      </c>
      <c r="C25620" t="inlineStr">
        <is>
          <t>Eau De Toilette</t>
        </is>
      </c>
      <c r="D25620" t="inlineStr">
        <is>
          <t>El Ganso</t>
        </is>
      </c>
      <c r="E25620" t="n">
        <v>32.1</v>
      </c>
      <c r="F25620" t="n">
        <v>1</v>
      </c>
      <c r="G25620" t="n">
        <v>22</v>
      </c>
      <c r="H25620" s="5">
        <f>HYPERLINK("https://api.qogita.com/variants/link/8434853000689/", "View Product")</f>
        <v/>
      </c>
    </row>
    <row r="25621">
      <c r="A25621" t="inlineStr">
        <is>
          <t>8434853002249</t>
        </is>
      </c>
      <c r="B25621" t="inlineStr">
        <is>
          <t>El Ganso Sunday Mood Eau De Toilette 125 Ml</t>
        </is>
      </c>
      <c r="C25621" t="inlineStr">
        <is>
          <t>Eau De Toilette</t>
        </is>
      </c>
      <c r="D25621" t="inlineStr">
        <is>
          <t>El Ganso</t>
        </is>
      </c>
      <c r="E25621" t="n">
        <v>32.41</v>
      </c>
      <c r="F25621" t="n">
        <v>1</v>
      </c>
      <c r="G25621" t="n">
        <v>6</v>
      </c>
      <c r="H25621" s="5">
        <f>HYPERLINK("https://api.qogita.com/variants/link/8434853002249/", "View Product")</f>
        <v/>
      </c>
    </row>
    <row r="25622">
      <c r="A25622" t="inlineStr">
        <is>
          <t>8435137727087</t>
        </is>
      </c>
      <c r="B25622" t="inlineStr">
        <is>
          <t>Prada Candy Eau De Parfum Spray 80ml</t>
        </is>
      </c>
      <c r="C25622" t="inlineStr">
        <is>
          <t>Eau De Parfum</t>
        </is>
      </c>
      <c r="D25622" t="inlineStr">
        <is>
          <t>Prada</t>
        </is>
      </c>
      <c r="E25622" t="n">
        <v>77.87</v>
      </c>
      <c r="F25622" t="n">
        <v>1</v>
      </c>
      <c r="G25622" t="n">
        <v>28</v>
      </c>
      <c r="H25622" s="5">
        <f>HYPERLINK("https://api.qogita.com/variants/link/8435137727087/", "View Product")</f>
        <v/>
      </c>
    </row>
    <row r="25623">
      <c r="A25623" t="inlineStr">
        <is>
          <t>8435137742226</t>
        </is>
      </c>
      <c r="B25623" t="inlineStr">
        <is>
          <t>Prada Les Infusions Fleur D'Oranger Eau De Parfum 100ml</t>
        </is>
      </c>
      <c r="C25623" t="inlineStr">
        <is>
          <t>Eau De Parfum</t>
        </is>
      </c>
      <c r="D25623" t="inlineStr">
        <is>
          <t>Prada</t>
        </is>
      </c>
      <c r="E25623" t="n">
        <v>72.01000000000001</v>
      </c>
      <c r="F25623" t="n">
        <v>1</v>
      </c>
      <c r="G25623" t="n">
        <v>11</v>
      </c>
      <c r="H25623" s="5">
        <f>HYPERLINK("https://api.qogita.com/variants/link/8435137742226/", "View Product")</f>
        <v/>
      </c>
    </row>
    <row r="25624">
      <c r="A25624" t="inlineStr">
        <is>
          <t>8435137749294</t>
        </is>
      </c>
      <c r="B25624" t="inlineStr">
        <is>
          <t>Prada La Femme Eau De Parfum 50ml By Prada</t>
        </is>
      </c>
      <c r="C25624" t="inlineStr">
        <is>
          <t>Eau De Parfum</t>
        </is>
      </c>
      <c r="D25624" t="inlineStr">
        <is>
          <t>Prada</t>
        </is>
      </c>
      <c r="E25624" t="n">
        <v>75.67</v>
      </c>
      <c r="F25624" t="n">
        <v>1</v>
      </c>
      <c r="G25624" t="n">
        <v>3</v>
      </c>
      <c r="H25624" s="5">
        <f>HYPERLINK("https://api.qogita.com/variants/link/8435137749294/", "View Product")</f>
        <v/>
      </c>
    </row>
    <row r="25625">
      <c r="A25625" t="inlineStr">
        <is>
          <t>8435137749591</t>
        </is>
      </c>
      <c r="B25625" t="inlineStr">
        <is>
          <t>Prada L'Homme Eau De Toilette Spray 50ml</t>
        </is>
      </c>
      <c r="C25625" t="inlineStr">
        <is>
          <t>Eau De Toilette</t>
        </is>
      </c>
      <c r="D25625" t="inlineStr">
        <is>
          <t>Prada</t>
        </is>
      </c>
      <c r="E25625" t="n">
        <v>51.12</v>
      </c>
      <c r="F25625" t="n">
        <v>1</v>
      </c>
      <c r="G25625" t="n">
        <v>35</v>
      </c>
      <c r="H25625" s="5">
        <f>HYPERLINK("https://api.qogita.com/variants/link/8435137749591/", "View Product")</f>
        <v/>
      </c>
    </row>
    <row r="25626">
      <c r="A25626" t="inlineStr">
        <is>
          <t>8435137765393</t>
        </is>
      </c>
      <c r="B25626" t="inlineStr">
        <is>
          <t>L'Homme L'Eau by Prada Eau de Toilette Spray 50ml Cedar Citrus Fresh 1.69 Fl Oz</t>
        </is>
      </c>
      <c r="C25626" t="inlineStr">
        <is>
          <t>Eau De Toilette</t>
        </is>
      </c>
      <c r="D25626" t="inlineStr">
        <is>
          <t>Prada</t>
        </is>
      </c>
      <c r="E25626" t="n">
        <v>62.07</v>
      </c>
      <c r="F25626" t="n">
        <v>1</v>
      </c>
      <c r="G25626" t="n">
        <v>5</v>
      </c>
      <c r="H25626" s="5">
        <f>HYPERLINK("https://api.qogita.com/variants/link/8435137765393/", "View Product")</f>
        <v/>
      </c>
    </row>
    <row r="25627">
      <c r="A25627" t="inlineStr">
        <is>
          <t>8435415007573</t>
        </is>
      </c>
      <c r="B25627" t="inlineStr">
        <is>
          <t>Jean Paul Gaultier Scandal Shower Gel 200ml</t>
        </is>
      </c>
      <c r="C25627" t="inlineStr">
        <is>
          <t>Shower Gel</t>
        </is>
      </c>
      <c r="D25627" t="inlineStr">
        <is>
          <t>Jean-Paul Gaultier</t>
        </is>
      </c>
      <c r="E25627" t="n">
        <v>19.93</v>
      </c>
      <c r="F25627" t="n">
        <v>1</v>
      </c>
      <c r="G25627" t="n">
        <v>8</v>
      </c>
      <c r="H25627" s="5">
        <f>HYPERLINK("https://api.qogita.com/variants/link/8435415007573/", "View Product")</f>
        <v/>
      </c>
    </row>
    <row r="25628">
      <c r="A25628" t="inlineStr">
        <is>
          <t>8435415011280</t>
        </is>
      </c>
      <c r="B25628" t="inlineStr">
        <is>
          <t>Jean Paul Gaultier Classique Eau de Toilette Vaporizer 30ml Floral Amber Ginger Orange Blossom Vanilla</t>
        </is>
      </c>
      <c r="C25628" t="inlineStr">
        <is>
          <t>Eau De Toilette</t>
        </is>
      </c>
      <c r="D25628" t="inlineStr">
        <is>
          <t>Jean Paul Gaultier</t>
        </is>
      </c>
      <c r="E25628" t="n">
        <v>47.23</v>
      </c>
      <c r="F25628" t="n">
        <v>1</v>
      </c>
      <c r="G25628" t="n">
        <v>10</v>
      </c>
      <c r="H25628" s="5">
        <f>HYPERLINK("https://api.qogita.com/variants/link/8435415011280/", "View Product")</f>
        <v/>
      </c>
    </row>
    <row r="25629">
      <c r="A25629" t="inlineStr">
        <is>
          <t>8435415011341</t>
        </is>
      </c>
      <c r="B25629" t="inlineStr">
        <is>
          <t>Jean Paul Gaultier Classique Eau De Toilette Spray 100ml For Women</t>
        </is>
      </c>
      <c r="C25629" t="inlineStr">
        <is>
          <t>Eau De Toilette</t>
        </is>
      </c>
      <c r="D25629" t="inlineStr">
        <is>
          <t>Jean Paul Gaultier</t>
        </is>
      </c>
      <c r="E25629" t="n">
        <v>72.54000000000001</v>
      </c>
      <c r="F25629" t="n">
        <v>1</v>
      </c>
      <c r="G25629" t="n">
        <v>16</v>
      </c>
      <c r="H25629" s="5">
        <f>HYPERLINK("https://api.qogita.com/variants/link/8435415011341/", "View Product")</f>
        <v/>
      </c>
    </row>
    <row r="25630">
      <c r="A25630" t="inlineStr">
        <is>
          <t>8435415011754</t>
        </is>
      </c>
      <c r="B25630" t="inlineStr">
        <is>
          <t>Jean Paul Gaultier Le Male Eau De Toilette Spray 125ml - Product Without Packaging</t>
        </is>
      </c>
      <c r="C25630" t="inlineStr">
        <is>
          <t>Eau De Toilette</t>
        </is>
      </c>
      <c r="D25630" t="inlineStr">
        <is>
          <t>Jean-Paul Gaultier</t>
        </is>
      </c>
      <c r="E25630" t="n">
        <v>47.7</v>
      </c>
      <c r="F25630" t="n">
        <v>1</v>
      </c>
      <c r="G25630" t="n">
        <v>19</v>
      </c>
      <c r="H25630" s="5">
        <f>HYPERLINK("https://api.qogita.com/variants/link/8435415011754/", "View Product")</f>
        <v/>
      </c>
    </row>
    <row r="25631">
      <c r="A25631" t="inlineStr">
        <is>
          <t>8435415012669</t>
        </is>
      </c>
      <c r="B25631" t="inlineStr">
        <is>
          <t>Jean Paul Gaultier Le Male Eau De Toilette Spray 125ml</t>
        </is>
      </c>
      <c r="C25631" t="inlineStr">
        <is>
          <t>Eau De Toilette</t>
        </is>
      </c>
      <c r="D25631" t="inlineStr">
        <is>
          <t>Jean-Paul Gaultier</t>
        </is>
      </c>
      <c r="E25631" t="n">
        <v>72.38</v>
      </c>
      <c r="F25631" t="n">
        <v>1</v>
      </c>
      <c r="G25631" t="n">
        <v>66</v>
      </c>
      <c r="H25631" s="5">
        <f>HYPERLINK("https://api.qogita.com/variants/link/8435415012669/", "View Product")</f>
        <v/>
      </c>
    </row>
    <row r="25632">
      <c r="A25632" t="inlineStr">
        <is>
          <t>8435415012751</t>
        </is>
      </c>
      <c r="B25632" t="inlineStr">
        <is>
          <t>Jean Paul Gaultier Le Male Shower Gel 200ml</t>
        </is>
      </c>
      <c r="C25632" t="inlineStr">
        <is>
          <t>Shower Gel</t>
        </is>
      </c>
      <c r="D25632" t="inlineStr">
        <is>
          <t>Jean-Paul Gaultier</t>
        </is>
      </c>
      <c r="E25632" t="n">
        <v>26.64</v>
      </c>
      <c r="F25632" t="n">
        <v>1</v>
      </c>
      <c r="G25632" t="n">
        <v>5</v>
      </c>
      <c r="H25632" s="5">
        <f>HYPERLINK("https://api.qogita.com/variants/link/8435415012751/", "View Product")</f>
        <v/>
      </c>
    </row>
    <row r="25633">
      <c r="A25633" t="inlineStr">
        <is>
          <t>8435415014328</t>
        </is>
      </c>
      <c r="B25633" t="inlineStr">
        <is>
          <t>Jean Paul Gaultier Ultra Male Eau De Toilette Spray 200ml For Men</t>
        </is>
      </c>
      <c r="C25633" t="inlineStr">
        <is>
          <t>Eau De Toilette</t>
        </is>
      </c>
      <c r="D25633" t="inlineStr">
        <is>
          <t>Jean Paul Gaultier</t>
        </is>
      </c>
      <c r="E25633" t="n">
        <v>97.04000000000001</v>
      </c>
      <c r="F25633" t="n">
        <v>1</v>
      </c>
      <c r="G25633" t="n">
        <v>2</v>
      </c>
      <c r="H25633" s="5">
        <f>HYPERLINK("https://api.qogita.com/variants/link/8435415014328/", "View Product")</f>
        <v/>
      </c>
    </row>
    <row r="25634">
      <c r="A25634" t="inlineStr">
        <is>
          <t>8435415017244</t>
        </is>
      </c>
      <c r="B25634" t="inlineStr">
        <is>
          <t>Jean Paul Gaultier La Belle Eau De Parfum Spray 100ml</t>
        </is>
      </c>
      <c r="C25634" t="inlineStr">
        <is>
          <t>Eau De Parfum</t>
        </is>
      </c>
      <c r="D25634" t="inlineStr">
        <is>
          <t>Jean Paul Gaultier</t>
        </is>
      </c>
      <c r="E25634" t="n">
        <v>87.01000000000001</v>
      </c>
      <c r="F25634" t="n">
        <v>1</v>
      </c>
      <c r="G25634" t="n">
        <v>10</v>
      </c>
      <c r="H25634" s="5">
        <f>HYPERLINK("https://api.qogita.com/variants/link/8435415017244/", "View Product")</f>
        <v/>
      </c>
    </row>
    <row r="25635">
      <c r="A25635" t="inlineStr">
        <is>
          <t>8435415030885</t>
        </is>
      </c>
      <c r="B25635" t="inlineStr">
        <is>
          <t>Jean Paul Gaultier Scandal Pour Homme Eau De Toilette Spray 100ml</t>
        </is>
      </c>
      <c r="C25635" t="inlineStr">
        <is>
          <t>Eau De Toilette</t>
        </is>
      </c>
      <c r="D25635" t="inlineStr">
        <is>
          <t>Jean Paul Gaultier</t>
        </is>
      </c>
      <c r="E25635" t="n">
        <v>93.59</v>
      </c>
      <c r="F25635" t="n">
        <v>1</v>
      </c>
      <c r="G25635" t="n">
        <v>38</v>
      </c>
      <c r="H25635" s="5">
        <f>HYPERLINK("https://api.qogita.com/variants/link/8435415030885/", "View Product")</f>
        <v/>
      </c>
    </row>
    <row r="25636">
      <c r="A25636" t="inlineStr">
        <is>
          <t>8435415032278</t>
        </is>
      </c>
      <c r="B25636" t="inlineStr">
        <is>
          <t>Jean Paul Gaultier Le Male Le Parfum Eau De Parfum Spray 75ml</t>
        </is>
      </c>
      <c r="C25636" t="inlineStr">
        <is>
          <t>Eau De Parfum</t>
        </is>
      </c>
      <c r="D25636" t="inlineStr">
        <is>
          <t>Jean-Paul Gaultier</t>
        </is>
      </c>
      <c r="E25636" t="n">
        <v>58.47</v>
      </c>
      <c r="F25636" t="n">
        <v>1</v>
      </c>
      <c r="G25636" t="n">
        <v>4</v>
      </c>
      <c r="H25636" s="5">
        <f>HYPERLINK("https://api.qogita.com/variants/link/8435415032278/", "View Product")</f>
        <v/>
      </c>
    </row>
    <row r="25637">
      <c r="A25637" t="inlineStr">
        <is>
          <t>8435415050777</t>
        </is>
      </c>
      <c r="B25637" t="inlineStr">
        <is>
          <t>Jean Paul Gaultier Scandal Le Parfum Eau De Parfum Spray 30ml</t>
        </is>
      </c>
      <c r="C25637" t="inlineStr">
        <is>
          <t>Eau De Parfum</t>
        </is>
      </c>
      <c r="D25637" t="inlineStr">
        <is>
          <t>Jean-Paul Gaultier</t>
        </is>
      </c>
      <c r="E25637" t="n">
        <v>53.96</v>
      </c>
      <c r="F25637" t="n">
        <v>1</v>
      </c>
      <c r="G25637" t="n">
        <v>5</v>
      </c>
      <c r="H25637" s="5">
        <f>HYPERLINK("https://api.qogita.com/variants/link/8435415050777/", "View Product")</f>
        <v/>
      </c>
    </row>
    <row r="25638">
      <c r="A25638" t="inlineStr">
        <is>
          <t>8435415059084</t>
        </is>
      </c>
      <c r="B25638" t="inlineStr">
        <is>
          <t>Jean Paul Gaultier Scandal Eau De Parfum 30ml For Women</t>
        </is>
      </c>
      <c r="C25638" t="inlineStr">
        <is>
          <t>Eau De Parfum</t>
        </is>
      </c>
      <c r="D25638" t="inlineStr">
        <is>
          <t>Jean Paul Gaultier</t>
        </is>
      </c>
      <c r="E25638" t="n">
        <v>44.12</v>
      </c>
      <c r="F25638" t="n">
        <v>1</v>
      </c>
      <c r="G25638" t="n">
        <v>5</v>
      </c>
      <c r="H25638" s="5">
        <f>HYPERLINK("https://api.qogita.com/variants/link/8435415059084/", "View Product")</f>
        <v/>
      </c>
    </row>
    <row r="25639">
      <c r="A25639" t="inlineStr">
        <is>
          <t>8435415060400</t>
        </is>
      </c>
      <c r="B25639" t="inlineStr">
        <is>
          <t>Jean Paul Gaultier Le Male Deodorant Stick 75 Grams</t>
        </is>
      </c>
      <c r="C25639" t="inlineStr">
        <is>
          <t>Deodorant &amp; Anti-Perspirant</t>
        </is>
      </c>
      <c r="D25639" t="inlineStr">
        <is>
          <t>Jean-Paul Gaultier</t>
        </is>
      </c>
      <c r="E25639" t="n">
        <v>26.69</v>
      </c>
      <c r="F25639" t="n">
        <v>1</v>
      </c>
      <c r="G25639" t="n">
        <v>5</v>
      </c>
      <c r="H25639" s="5">
        <f>HYPERLINK("https://api.qogita.com/variants/link/8435415060400/", "View Product")</f>
        <v/>
      </c>
    </row>
    <row r="25640">
      <c r="A25640" t="inlineStr">
        <is>
          <t>8435415062190</t>
        </is>
      </c>
      <c r="B25640" t="inlineStr">
        <is>
          <t>Jean Paul Gaultier Le Beau Le Parfum Eau De Parfum Spray 125ml</t>
        </is>
      </c>
      <c r="C25640" t="inlineStr">
        <is>
          <t>Eau De Parfum</t>
        </is>
      </c>
      <c r="D25640" t="inlineStr">
        <is>
          <t>Jean Paul Gaultier</t>
        </is>
      </c>
      <c r="E25640" t="n">
        <v>87.56999999999999</v>
      </c>
      <c r="F25640" t="n">
        <v>1</v>
      </c>
      <c r="G25640" t="n">
        <v>30</v>
      </c>
      <c r="H25640" s="5">
        <f>HYPERLINK("https://api.qogita.com/variants/link/8435415062190/", "View Product")</f>
        <v/>
      </c>
    </row>
    <row r="25641">
      <c r="A25641" t="inlineStr">
        <is>
          <t>8435415065191</t>
        </is>
      </c>
      <c r="B25641" t="inlineStr">
        <is>
          <t>Jean Paul Gaultier Scandal Le Parfum Eau De Parfum Intense Spray 100ml</t>
        </is>
      </c>
      <c r="C25641" t="inlineStr">
        <is>
          <t>Eau De Parfum</t>
        </is>
      </c>
      <c r="D25641" t="inlineStr">
        <is>
          <t>Jean Paul Gaultier</t>
        </is>
      </c>
      <c r="E25641" t="n">
        <v>87.75</v>
      </c>
      <c r="F25641" t="n">
        <v>1</v>
      </c>
      <c r="G25641" t="n">
        <v>45</v>
      </c>
      <c r="H25641" s="5">
        <f>HYPERLINK("https://api.qogita.com/variants/link/8435415065191/", "View Product")</f>
        <v/>
      </c>
    </row>
    <row r="25642">
      <c r="A25642" t="inlineStr">
        <is>
          <t>8435415076814</t>
        </is>
      </c>
      <c r="B25642" t="inlineStr">
        <is>
          <t>Jean Paul Gaultier Divine Eau De Parfum Spray 30ml</t>
        </is>
      </c>
      <c r="C25642" t="inlineStr">
        <is>
          <t>Eau De Parfum</t>
        </is>
      </c>
      <c r="D25642" t="inlineStr">
        <is>
          <t>Jean-Paul Gaultier</t>
        </is>
      </c>
      <c r="E25642" t="n">
        <v>49.98</v>
      </c>
      <c r="F25642" t="n">
        <v>1</v>
      </c>
      <c r="G25642" t="n">
        <v>43</v>
      </c>
      <c r="H25642" s="5">
        <f>HYPERLINK("https://api.qogita.com/variants/link/8435415076814/", "View Product")</f>
        <v/>
      </c>
    </row>
    <row r="25643">
      <c r="A25643" t="inlineStr">
        <is>
          <t>8435415080378</t>
        </is>
      </c>
      <c r="B25643" t="inlineStr">
        <is>
          <t>Jean Paul Gaultier Scandal Absolu Eau De Parfum For Him 50ml</t>
        </is>
      </c>
      <c r="C25643" t="inlineStr">
        <is>
          <t>Eau De Parfum</t>
        </is>
      </c>
      <c r="D25643" t="inlineStr">
        <is>
          <t>Jean Paul Gaultier</t>
        </is>
      </c>
      <c r="E25643" t="n">
        <v>74.06999999999999</v>
      </c>
      <c r="F25643" t="n">
        <v>1</v>
      </c>
      <c r="G25643" t="n">
        <v>34</v>
      </c>
      <c r="H25643" s="5">
        <f>HYPERLINK("https://api.qogita.com/variants/link/8435415080378/", "View Product")</f>
        <v/>
      </c>
    </row>
    <row r="25644">
      <c r="A25644" t="inlineStr">
        <is>
          <t>8435415082921</t>
        </is>
      </c>
      <c r="B25644" t="inlineStr">
        <is>
          <t>Jean Paul Gaultier Divine Shower Gel 300ml</t>
        </is>
      </c>
      <c r="C25644" t="inlineStr">
        <is>
          <t>Shower Gel</t>
        </is>
      </c>
      <c r="D25644" t="inlineStr">
        <is>
          <t>Jean-Paul Gaultier</t>
        </is>
      </c>
      <c r="E25644" t="n">
        <v>28.59</v>
      </c>
      <c r="F25644" t="n">
        <v>1</v>
      </c>
      <c r="G25644" t="n">
        <v>2</v>
      </c>
      <c r="H25644" s="5">
        <f>HYPERLINK("https://api.qogita.com/variants/link/8435415082921/", "View Product")</f>
        <v/>
      </c>
    </row>
    <row r="25645">
      <c r="A25645" t="inlineStr">
        <is>
          <t>8435415091251</t>
        </is>
      </c>
      <c r="B25645" t="inlineStr">
        <is>
          <t>Jean Paul Gaultier La Belle Paradise Garden Eau De Parfum Spray 100ml</t>
        </is>
      </c>
      <c r="C25645" t="inlineStr">
        <is>
          <t>Eau De Parfum</t>
        </is>
      </c>
      <c r="D25645" t="inlineStr">
        <is>
          <t>Jean-Paul Gaultier</t>
        </is>
      </c>
      <c r="E25645" t="n">
        <v>96.48</v>
      </c>
      <c r="F25645" t="n">
        <v>1</v>
      </c>
      <c r="G25645" t="n">
        <v>87</v>
      </c>
      <c r="H25645" s="5">
        <f>HYPERLINK("https://api.qogita.com/variants/link/8435415091251/", "View Product")</f>
        <v/>
      </c>
    </row>
    <row r="25646">
      <c r="A25646" t="inlineStr">
        <is>
          <t>8435415091657</t>
        </is>
      </c>
      <c r="B25646" t="inlineStr">
        <is>
          <t>Jean Paul Gaultier Classique Pride Edition Eau De Toilette Spray 100ml</t>
        </is>
      </c>
      <c r="C25646" t="inlineStr">
        <is>
          <t>Eau De Toilette</t>
        </is>
      </c>
      <c r="D25646" t="inlineStr">
        <is>
          <t>Jean Paul Gaultier</t>
        </is>
      </c>
      <c r="E25646" t="n">
        <v>55.87</v>
      </c>
      <c r="F25646" t="n">
        <v>1</v>
      </c>
      <c r="G25646" t="n">
        <v>52</v>
      </c>
      <c r="H25646" s="5">
        <f>HYPERLINK("https://api.qogita.com/variants/link/8435415091657/", "View Product")</f>
        <v/>
      </c>
    </row>
    <row r="25647">
      <c r="A25647" t="inlineStr">
        <is>
          <t>8435415092081</t>
        </is>
      </c>
      <c r="B25647" t="inlineStr">
        <is>
          <t>Jean Paul Gaultier Le Male Eau De Toilette Spray 125 Ml</t>
        </is>
      </c>
      <c r="C25647" t="inlineStr">
        <is>
          <t>Eau De Toilette</t>
        </is>
      </c>
      <c r="D25647" t="inlineStr">
        <is>
          <t>Jean-Paul Gaultier</t>
        </is>
      </c>
      <c r="E25647" t="n">
        <v>80.43000000000001</v>
      </c>
      <c r="F25647" t="n">
        <v>1</v>
      </c>
      <c r="G25647" t="n">
        <v>4</v>
      </c>
      <c r="H25647" s="5">
        <f>HYPERLINK("https://api.qogita.com/variants/link/8435415092081/", "View Product")</f>
        <v/>
      </c>
    </row>
    <row r="25648">
      <c r="A25648" t="inlineStr">
        <is>
          <t>8435415102339</t>
        </is>
      </c>
      <c r="B25648" t="inlineStr">
        <is>
          <t>Jean Paul Gaultier Le Male Elixir Absolu Parfum Intense Eau De Parfum Vaporizer 75 Ml</t>
        </is>
      </c>
      <c r="C25648" t="inlineStr">
        <is>
          <t>Eau De Parfum</t>
        </is>
      </c>
      <c r="D25648" t="inlineStr">
        <is>
          <t>Jean-Paul Gaultier</t>
        </is>
      </c>
      <c r="E25648" t="n">
        <v>75.18000000000001</v>
      </c>
      <c r="F25648" t="n">
        <v>1</v>
      </c>
      <c r="G25648" t="n">
        <v>10</v>
      </c>
      <c r="H25648" s="5">
        <f>HYPERLINK("https://api.qogita.com/variants/link/8435415102339/", "View Product")</f>
        <v/>
      </c>
    </row>
    <row r="25649">
      <c r="A25649" t="inlineStr">
        <is>
          <t>8435415102353</t>
        </is>
      </c>
      <c r="B25649" t="inlineStr">
        <is>
          <t>Jean Paul Gaultier Le Male Elixir Absolu Parfum Intense 200 Ml</t>
        </is>
      </c>
      <c r="C25649" t="inlineStr">
        <is>
          <t>Eau De Parfum</t>
        </is>
      </c>
      <c r="D25649" t="inlineStr">
        <is>
          <t>Jean-Paul Gaultier</t>
        </is>
      </c>
      <c r="E25649" t="n">
        <v>133.78</v>
      </c>
      <c r="F25649" t="n">
        <v>1</v>
      </c>
      <c r="G25649" t="n">
        <v>4</v>
      </c>
      <c r="H25649" s="5">
        <f>HYPERLINK("https://api.qogita.com/variants/link/8435415102353/", "View Product")</f>
        <v/>
      </c>
    </row>
    <row r="25650">
      <c r="A25650" t="inlineStr">
        <is>
          <t>8435484042864</t>
        </is>
      </c>
      <c r="B25650" t="inlineStr">
        <is>
          <t>Cecotec Bamba InstantCare 800 Travel Brush Hair Straightener 26W with Tourmaline Ceramic Coating and LED Display</t>
        </is>
      </c>
      <c r="C25650" t="inlineStr">
        <is>
          <t>Hair Straighteners</t>
        </is>
      </c>
      <c r="D25650" t="inlineStr">
        <is>
          <t>Cecotec</t>
        </is>
      </c>
      <c r="E25650" t="n">
        <v>53.45</v>
      </c>
      <c r="F25650" t="n">
        <v>1</v>
      </c>
      <c r="G25650" t="n">
        <v>2</v>
      </c>
      <c r="H25650" s="5">
        <f>HYPERLINK("https://api.qogita.com/variants/link/8435484042864/", "View Product")</f>
        <v/>
      </c>
    </row>
    <row r="25651">
      <c r="A25651" t="inlineStr">
        <is>
          <t>8435590603171</t>
        </is>
      </c>
      <c r="B25651" t="inlineStr">
        <is>
          <t>Miriam Quevedo Platinum &amp; Diamonds Volume Luxurious Drops Hair Spray 150 Ml</t>
        </is>
      </c>
      <c r="C25651" t="inlineStr">
        <is>
          <t>Hairspray</t>
        </is>
      </c>
      <c r="D25651" t="inlineStr">
        <is>
          <t>Miriam Quevedo</t>
        </is>
      </c>
      <c r="E25651" t="n">
        <v>49.43</v>
      </c>
      <c r="F25651" t="n">
        <v>1</v>
      </c>
      <c r="G25651" t="n">
        <v>4</v>
      </c>
      <c r="H25651" s="5">
        <f>HYPERLINK("https://api.qogita.com/variants/link/8435590603171/", "View Product")</f>
        <v/>
      </c>
    </row>
    <row r="25652">
      <c r="A25652" t="inlineStr">
        <is>
          <t>8435624502838</t>
        </is>
      </c>
      <c r="B25652" t="inlineStr">
        <is>
          <t>Natura Biss Cc Vitamin 20 Antioxidant Solution Firming Serum 30ml</t>
        </is>
      </c>
      <c r="C25652" t="inlineStr">
        <is>
          <t>Vitamin Serum</t>
        </is>
      </c>
      <c r="D25652" t="inlineStr">
        <is>
          <t>Natura Bissé</t>
        </is>
      </c>
      <c r="E25652" t="n">
        <v>112.09</v>
      </c>
      <c r="F25652" t="n">
        <v>1</v>
      </c>
      <c r="G25652" t="n">
        <v>5</v>
      </c>
      <c r="H25652" s="5">
        <f>HYPERLINK("https://api.qogita.com/variants/link/8435624502838/", "View Product")</f>
        <v/>
      </c>
    </row>
    <row r="25653">
      <c r="A25653" t="inlineStr">
        <is>
          <t>8435624503163</t>
        </is>
      </c>
      <c r="B25653" t="inlineStr">
        <is>
          <t>Natura Biss Diamond Extreme Cream Light Texture 50ml</t>
        </is>
      </c>
      <c r="C25653" t="inlineStr">
        <is>
          <t>Anti-Aging Facial Care</t>
        </is>
      </c>
      <c r="D25653" t="inlineStr">
        <is>
          <t>Natura Bissé</t>
        </is>
      </c>
      <c r="E25653" t="n">
        <v>225.39</v>
      </c>
      <c r="F25653" t="n">
        <v>1</v>
      </c>
      <c r="G25653" t="n">
        <v>2</v>
      </c>
      <c r="H25653" s="5">
        <f>HYPERLINK("https://api.qogita.com/variants/link/8435624503163/", "View Product")</f>
        <v/>
      </c>
    </row>
    <row r="25654">
      <c r="A25654" t="inlineStr">
        <is>
          <t>8436002999721</t>
        </is>
      </c>
      <c r="B25654" t="inlineStr">
        <is>
          <t>Natura Bissé Tolerance Toner 200ml</t>
        </is>
      </c>
      <c r="C25654" t="inlineStr">
        <is>
          <t>Facial Spray</t>
        </is>
      </c>
      <c r="D25654" t="inlineStr">
        <is>
          <t>Natura Bissé</t>
        </is>
      </c>
      <c r="E25654" t="n">
        <v>38.84</v>
      </c>
      <c r="F25654" t="n">
        <v>1</v>
      </c>
      <c r="G25654" t="n">
        <v>5</v>
      </c>
      <c r="H25654" s="5">
        <f>HYPERLINK("https://api.qogita.com/variants/link/8436002999721/", "View Product")</f>
        <v/>
      </c>
    </row>
    <row r="25655">
      <c r="A25655" t="inlineStr">
        <is>
          <t>8436038834423</t>
        </is>
      </c>
      <c r="B25655" t="inlineStr">
        <is>
          <t>Tous Tous Man Sport Eau De Toilette Spray 50ml</t>
        </is>
      </c>
      <c r="C25655" t="inlineStr">
        <is>
          <t>Eau De Toilette</t>
        </is>
      </c>
      <c r="D25655" t="inlineStr">
        <is>
          <t>Tous</t>
        </is>
      </c>
      <c r="E25655" t="n">
        <v>25.24</v>
      </c>
      <c r="F25655" t="n">
        <v>1</v>
      </c>
      <c r="G25655" t="n">
        <v>3</v>
      </c>
      <c r="H25655" s="5">
        <f>HYPERLINK("https://api.qogita.com/variants/link/8436038834423/", "View Product")</f>
        <v/>
      </c>
    </row>
    <row r="25656">
      <c r="A25656" t="inlineStr">
        <is>
          <t>8436534719828</t>
        </is>
      </c>
      <c r="B25656" t="inlineStr">
        <is>
          <t>Natura Bissé C+C Vitamin Summer Lotion 200ml</t>
        </is>
      </c>
      <c r="C25656" t="inlineStr">
        <is>
          <t>Body Sun Protection</t>
        </is>
      </c>
      <c r="D25656" t="inlineStr">
        <is>
          <t>Natura Bissé</t>
        </is>
      </c>
      <c r="E25656" t="n">
        <v>42.41</v>
      </c>
      <c r="F25656" t="n">
        <v>1</v>
      </c>
      <c r="G25656" t="n">
        <v>3</v>
      </c>
      <c r="H25656" s="5">
        <f>HYPERLINK("https://api.qogita.com/variants/link/8436534719828/", "View Product")</f>
        <v/>
      </c>
    </row>
    <row r="25657">
      <c r="A25657" t="inlineStr">
        <is>
          <t>8436550509564</t>
        </is>
      </c>
      <c r="B25657" t="inlineStr">
        <is>
          <t>Tous Your Powers Eau De Toilette 30ml</t>
        </is>
      </c>
      <c r="C25657" t="inlineStr">
        <is>
          <t>Eau De Toilette</t>
        </is>
      </c>
      <c r="D25657" t="inlineStr">
        <is>
          <t>Tous</t>
        </is>
      </c>
      <c r="E25657" t="n">
        <v>19.57</v>
      </c>
      <c r="F25657" t="n">
        <v>1</v>
      </c>
      <c r="G25657" t="n">
        <v>6</v>
      </c>
      <c r="H25657" s="5">
        <f>HYPERLINK("https://api.qogita.com/variants/link/8436550509564/", "View Product")</f>
        <v/>
      </c>
    </row>
    <row r="25658">
      <c r="A25658" t="inlineStr">
        <is>
          <t>8436551807454</t>
        </is>
      </c>
      <c r="B25658" t="inlineStr">
        <is>
          <t>Black Baccara Hair Repairing and Multiplying Serum by Miriam Quevedo for Unisex 3.4 oz</t>
        </is>
      </c>
      <c r="C25658" t="inlineStr">
        <is>
          <t>Hair Oil &amp; Hair Serum</t>
        </is>
      </c>
      <c r="D25658" t="inlineStr">
        <is>
          <t>Miriam Quevedo</t>
        </is>
      </c>
      <c r="E25658" t="n">
        <v>41.82</v>
      </c>
      <c r="F25658" t="n">
        <v>1</v>
      </c>
      <c r="G25658" t="n">
        <v>3</v>
      </c>
      <c r="H25658" s="5">
        <f>HYPERLINK("https://api.qogita.com/variants/link/8436551807454/", "View Product")</f>
        <v/>
      </c>
    </row>
    <row r="25659">
      <c r="A25659" t="inlineStr">
        <is>
          <t>8436551809243</t>
        </is>
      </c>
      <c r="B25659" t="inlineStr">
        <is>
          <t>MQ Extreme Caviar Conditioner Balm 8.45 fl oz</t>
        </is>
      </c>
      <c r="C25659" t="inlineStr">
        <is>
          <t>Conditioner</t>
        </is>
      </c>
      <c r="D25659" t="inlineStr">
        <is>
          <t>Miriam Quevedo</t>
        </is>
      </c>
      <c r="E25659" t="n">
        <v>37.69</v>
      </c>
      <c r="F25659" t="n">
        <v>1</v>
      </c>
      <c r="G25659" t="n">
        <v>5</v>
      </c>
      <c r="H25659" s="5">
        <f>HYPERLINK("https://api.qogita.com/variants/link/8436551809243/", "View Product")</f>
        <v/>
      </c>
    </row>
    <row r="25660">
      <c r="A25660" t="inlineStr">
        <is>
          <t>8436551809809</t>
        </is>
      </c>
      <c r="B25660" t="inlineStr">
        <is>
          <t>Miriam Quevedo Sublime Gold Opulent Transforming Mask 200 Ml For Dry And Damaged Hair</t>
        </is>
      </c>
      <c r="C25660" t="inlineStr">
        <is>
          <t>Hair Masks</t>
        </is>
      </c>
      <c r="D25660" t="inlineStr">
        <is>
          <t>Miriam Quevedo</t>
        </is>
      </c>
      <c r="E25660" t="n">
        <v>169.03</v>
      </c>
      <c r="F25660" t="n">
        <v>1</v>
      </c>
      <c r="G25660" t="n">
        <v>3</v>
      </c>
      <c r="H25660" s="5">
        <f>HYPERLINK("https://api.qogita.com/variants/link/8436551809809/", "View Product")</f>
        <v/>
      </c>
    </row>
    <row r="25661">
      <c r="A25661" t="inlineStr">
        <is>
          <t>8436559343022</t>
        </is>
      </c>
      <c r="B25661" t="inlineStr">
        <is>
          <t>Micellar Water Chamomile Complex 7%</t>
        </is>
      </c>
      <c r="C25661" t="inlineStr">
        <is>
          <t>Micellar Water</t>
        </is>
      </c>
      <c r="D25661" t="inlineStr">
        <is>
          <t>Skin Generics</t>
        </is>
      </c>
      <c r="E25661" t="n">
        <v>8.539999999999999</v>
      </c>
      <c r="F25661" t="n">
        <v>1</v>
      </c>
      <c r="G25661" t="n">
        <v>5</v>
      </c>
      <c r="H25661" s="5">
        <f>HYPERLINK("https://api.qogita.com/variants/link/8436559343022/", "View Product")</f>
        <v/>
      </c>
    </row>
    <row r="25662">
      <c r="A25662" t="inlineStr">
        <is>
          <t>8436568074597</t>
        </is>
      </c>
      <c r="B25662" t="inlineStr">
        <is>
          <t>Natura Biss Diamond Wellliving Soothing Dry Body Oil 100ml</t>
        </is>
      </c>
      <c r="C25662" t="inlineStr">
        <is>
          <t>Body Oil</t>
        </is>
      </c>
      <c r="D25662" t="inlineStr">
        <is>
          <t>Natura Bissé</t>
        </is>
      </c>
      <c r="E25662" t="n">
        <v>41.59</v>
      </c>
      <c r="F25662" t="n">
        <v>1</v>
      </c>
      <c r="G25662" t="n">
        <v>2</v>
      </c>
      <c r="H25662" s="5">
        <f>HYPERLINK("https://api.qogita.com/variants/link/8436568074597/", "View Product")</f>
        <v/>
      </c>
    </row>
    <row r="25663">
      <c r="A25663" t="inlineStr">
        <is>
          <t>8436581942637</t>
        </is>
      </c>
      <c r="B25663" t="inlineStr">
        <is>
          <t>Women'secret Intimate Eau De Parfum for Women 30ml</t>
        </is>
      </c>
      <c r="C25663" t="inlineStr">
        <is>
          <t>Eau De Parfum</t>
        </is>
      </c>
      <c r="D25663" t="inlineStr">
        <is>
          <t>Women'secret</t>
        </is>
      </c>
      <c r="E25663" t="n">
        <v>8.82</v>
      </c>
      <c r="F25663" t="n">
        <v>1</v>
      </c>
      <c r="G25663" t="n">
        <v>3</v>
      </c>
      <c r="H25663" s="5">
        <f>HYPERLINK("https://api.qogita.com/variants/link/8436581942637/", "View Product")</f>
        <v/>
      </c>
    </row>
    <row r="25664">
      <c r="A25664" t="inlineStr">
        <is>
          <t>8436581943894</t>
        </is>
      </c>
      <c r="B25664" t="inlineStr">
        <is>
          <t>Pepe Jeans London Cocktail EDT for Women 30ml</t>
        </is>
      </c>
      <c r="C25664" t="inlineStr">
        <is>
          <t>Eau De Toilette</t>
        </is>
      </c>
      <c r="D25664" t="inlineStr">
        <is>
          <t>Pepe Jeans</t>
        </is>
      </c>
      <c r="E25664" t="n">
        <v>17.21</v>
      </c>
      <c r="F25664" t="n">
        <v>1</v>
      </c>
      <c r="G25664" t="n">
        <v>13</v>
      </c>
      <c r="H25664" s="5">
        <f>HYPERLINK("https://api.qogita.com/variants/link/8436581943894/", "View Product")</f>
        <v/>
      </c>
    </row>
    <row r="25665">
      <c r="A25665" t="inlineStr">
        <is>
          <t>8436581945904</t>
        </is>
      </c>
      <c r="B25665" t="inlineStr">
        <is>
          <t>Reebok Move Your Spirit Eau De Toilette</t>
        </is>
      </c>
      <c r="C25665" t="inlineStr">
        <is>
          <t>Eau De Toilette</t>
        </is>
      </c>
      <c r="D25665" t="inlineStr">
        <is>
          <t>Reebok</t>
        </is>
      </c>
      <c r="E25665" t="n">
        <v>7.52</v>
      </c>
      <c r="F25665" t="n">
        <v>1</v>
      </c>
      <c r="G25665" t="n">
        <v>3</v>
      </c>
      <c r="H25665" s="5">
        <f>HYPERLINK("https://api.qogita.com/variants/link/8436581945904/", "View Product")</f>
        <v/>
      </c>
    </row>
    <row r="25666">
      <c r="A25666" t="inlineStr">
        <is>
          <t>8436581945966</t>
        </is>
      </c>
      <c r="B25666" t="inlineStr">
        <is>
          <t>Reebok Move Your Spirit Edt</t>
        </is>
      </c>
      <c r="C25666" t="inlineStr">
        <is>
          <t>Eau De Toilette</t>
        </is>
      </c>
      <c r="D25666" t="inlineStr">
        <is>
          <t>Reebok</t>
        </is>
      </c>
      <c r="E25666" t="n">
        <v>6.59</v>
      </c>
      <c r="F25666" t="n">
        <v>1</v>
      </c>
      <c r="G25666" t="n">
        <v>23</v>
      </c>
      <c r="H25666" s="5">
        <f>HYPERLINK("https://api.qogita.com/variants/link/8436581945966/", "View Product")</f>
        <v/>
      </c>
    </row>
    <row r="25667">
      <c r="A25667" t="inlineStr">
        <is>
          <t>8436581945973</t>
        </is>
      </c>
      <c r="B25667" t="inlineStr">
        <is>
          <t>Reebok Cool Your Body Edt</t>
        </is>
      </c>
      <c r="C25667" t="inlineStr">
        <is>
          <t>Eau De Toilette</t>
        </is>
      </c>
      <c r="D25667" t="inlineStr">
        <is>
          <t>Reebok</t>
        </is>
      </c>
      <c r="E25667" t="n">
        <v>6.85</v>
      </c>
      <c r="F25667" t="n">
        <v>1</v>
      </c>
      <c r="G25667" t="n">
        <v>4</v>
      </c>
      <c r="H25667" s="5">
        <f>HYPERLINK("https://api.qogita.com/variants/link/8436581945973/", "View Product")</f>
        <v/>
      </c>
    </row>
    <row r="25668">
      <c r="A25668" t="inlineStr">
        <is>
          <t>8436581946246</t>
        </is>
      </c>
      <c r="B25668" t="inlineStr">
        <is>
          <t>Cool Your Body Women's Set Eau De Toilette Spray 100ml + Deodorant Spray 150ml</t>
        </is>
      </c>
      <c r="C25668" t="inlineStr">
        <is>
          <t>Fragrance Sets</t>
        </is>
      </c>
      <c r="D25668" t="inlineStr">
        <is>
          <t>Cool Your Body</t>
        </is>
      </c>
      <c r="E25668" t="n">
        <v>10.78</v>
      </c>
      <c r="F25668" t="n">
        <v>1</v>
      </c>
      <c r="G25668" t="n">
        <v>4</v>
      </c>
      <c r="H25668" s="5">
        <f>HYPERLINK("https://api.qogita.com/variants/link/8436581946246/", "View Product")</f>
        <v/>
      </c>
    </row>
    <row r="25669">
      <c r="A25669" t="inlineStr">
        <is>
          <t>8436581948080</t>
        </is>
      </c>
      <c r="B25669" t="inlineStr">
        <is>
          <t>Women'secret Pure Charm Body Mist Perfume 250ml</t>
        </is>
      </c>
      <c r="C25669" t="inlineStr">
        <is>
          <t>Eau De Parfum</t>
        </is>
      </c>
      <c r="D25669" t="inlineStr">
        <is>
          <t>Women'secret</t>
        </is>
      </c>
      <c r="E25669" t="n">
        <v>10.29</v>
      </c>
      <c r="F25669" t="n">
        <v>1</v>
      </c>
      <c r="G25669" t="n">
        <v>5</v>
      </c>
      <c r="H25669" s="5">
        <f>HYPERLINK("https://api.qogita.com/variants/link/8436581948080/", "View Product")</f>
        <v/>
      </c>
    </row>
    <row r="25670">
      <c r="A25670" t="inlineStr">
        <is>
          <t>8436581949056</t>
        </is>
      </c>
      <c r="B25670" t="inlineStr">
        <is>
          <t>Women'secret Rouge Seduction Eau De Parfum Spray 100ml</t>
        </is>
      </c>
      <c r="C25670" t="inlineStr">
        <is>
          <t>Eau De Parfum</t>
        </is>
      </c>
      <c r="D25670" t="inlineStr">
        <is>
          <t>Women'secret</t>
        </is>
      </c>
      <c r="E25670" t="n">
        <v>16.02</v>
      </c>
      <c r="F25670" t="n">
        <v>1</v>
      </c>
      <c r="G25670" t="n">
        <v>6</v>
      </c>
      <c r="H25670" s="5">
        <f>HYPERLINK("https://api.qogita.com/variants/link/8436581949056/", "View Product")</f>
        <v/>
      </c>
    </row>
    <row r="25671">
      <c r="A25671" t="inlineStr">
        <is>
          <t>8436603331296</t>
        </is>
      </c>
      <c r="B25671" t="inlineStr">
        <is>
          <t>Tous More More Pink Eau De Toilette 50ml</t>
        </is>
      </c>
      <c r="C25671" t="inlineStr">
        <is>
          <t>Eau De Toilette</t>
        </is>
      </c>
      <c r="D25671" t="inlineStr">
        <is>
          <t>Tous</t>
        </is>
      </c>
      <c r="E25671" t="n">
        <v>31.23</v>
      </c>
      <c r="F25671" t="n">
        <v>1</v>
      </c>
      <c r="G25671" t="n">
        <v>5</v>
      </c>
      <c r="H25671" s="5">
        <f>HYPERLINK("https://api.qogita.com/variants/link/8436603331296/", "View Product")</f>
        <v/>
      </c>
    </row>
    <row r="25672">
      <c r="A25672" t="inlineStr">
        <is>
          <t>8437002997427</t>
        </is>
      </c>
      <c r="B25672" t="inlineStr">
        <is>
          <t>Tous Man Eau De Toilette Spray 100ml By Tous</t>
        </is>
      </c>
      <c r="C25672" t="inlineStr">
        <is>
          <t>Eau De Toilette</t>
        </is>
      </c>
      <c r="D25672" t="inlineStr">
        <is>
          <t>Tous</t>
        </is>
      </c>
      <c r="E25672" t="n">
        <v>38.74</v>
      </c>
      <c r="F25672" t="n">
        <v>1</v>
      </c>
      <c r="G25672" t="n">
        <v>19</v>
      </c>
      <c r="H25672" s="5">
        <f>HYPERLINK("https://api.qogita.com/variants/link/8437002997427/", "View Product")</f>
        <v/>
      </c>
    </row>
    <row r="25673">
      <c r="A25673" t="inlineStr">
        <is>
          <t>8437011481016</t>
        </is>
      </c>
      <c r="B25673" t="inlineStr">
        <is>
          <t>Carner Barcelona Tardes Eau de Parfum for Men 50ml</t>
        </is>
      </c>
      <c r="C25673" t="inlineStr">
        <is>
          <t>Eau De Parfum</t>
        </is>
      </c>
      <c r="D25673" t="inlineStr">
        <is>
          <t>Carner Barcelona</t>
        </is>
      </c>
      <c r="E25673" t="n">
        <v>64.02</v>
      </c>
      <c r="F25673" t="n">
        <v>1</v>
      </c>
      <c r="G25673" t="n">
        <v>2</v>
      </c>
      <c r="H25673" s="5">
        <f>HYPERLINK("https://api.qogita.com/variants/link/8437011481016/", "View Product")</f>
        <v/>
      </c>
    </row>
    <row r="25674">
      <c r="A25674" t="inlineStr">
        <is>
          <t>8437011481290</t>
        </is>
      </c>
      <c r="B25674" t="inlineStr">
        <is>
          <t>Carner Barcelona Costarela Unisex Spray 50ml</t>
        </is>
      </c>
      <c r="C25674" t="inlineStr">
        <is>
          <t>Eau De Parfum</t>
        </is>
      </c>
      <c r="D25674" t="inlineStr">
        <is>
          <t>Carner Barcelona</t>
        </is>
      </c>
      <c r="E25674" t="n">
        <v>49.35</v>
      </c>
      <c r="F25674" t="n">
        <v>1</v>
      </c>
      <c r="G25674" t="n">
        <v>9</v>
      </c>
      <c r="H25674" s="5">
        <f>HYPERLINK("https://api.qogita.com/variants/link/8437011481290/", "View Product")</f>
        <v/>
      </c>
    </row>
    <row r="25675">
      <c r="A25675" t="inlineStr">
        <is>
          <t>8437011481306</t>
        </is>
      </c>
      <c r="B25675" t="inlineStr">
        <is>
          <t>Carner Barcelona Costarela Unisex Eau de Parfum 100ml</t>
        </is>
      </c>
      <c r="C25675" t="inlineStr">
        <is>
          <t>Eau De Parfum</t>
        </is>
      </c>
      <c r="D25675" t="inlineStr">
        <is>
          <t>Carner Barcelona</t>
        </is>
      </c>
      <c r="E25675" t="n">
        <v>81.73999999999999</v>
      </c>
      <c r="F25675" t="n">
        <v>1</v>
      </c>
      <c r="G25675" t="n">
        <v>2</v>
      </c>
      <c r="H25675" s="5">
        <f>HYPERLINK("https://api.qogita.com/variants/link/8437011481306/", "View Product")</f>
        <v/>
      </c>
    </row>
    <row r="25676">
      <c r="A25676" t="inlineStr">
        <is>
          <t>8437011481696</t>
        </is>
      </c>
      <c r="B25676" t="inlineStr">
        <is>
          <t>Carner Barcelona Latin Lover Eau de Parfum 50ml</t>
        </is>
      </c>
      <c r="C25676" t="inlineStr">
        <is>
          <t>Eau De Parfum</t>
        </is>
      </c>
      <c r="D25676" t="inlineStr">
        <is>
          <t>Carner Barcelona</t>
        </is>
      </c>
      <c r="E25676" t="n">
        <v>51.81</v>
      </c>
      <c r="F25676" t="n">
        <v>1</v>
      </c>
      <c r="G25676" t="n">
        <v>6</v>
      </c>
      <c r="H25676" s="5">
        <f>HYPERLINK("https://api.qogita.com/variants/link/8437011481696/", "View Product")</f>
        <v/>
      </c>
    </row>
    <row r="25677">
      <c r="A25677" t="inlineStr">
        <is>
          <t>8437016160138</t>
        </is>
      </c>
      <c r="B25677" t="inlineStr">
        <is>
          <t>Meisani Rice and Shine Essence Toner 150ml</t>
        </is>
      </c>
      <c r="C25677" t="inlineStr">
        <is>
          <t>Facial Spray</t>
        </is>
      </c>
      <c r="D25677" t="inlineStr">
        <is>
          <t>Meisani</t>
        </is>
      </c>
      <c r="E25677" t="n">
        <v>15.09</v>
      </c>
      <c r="F25677" t="n">
        <v>1</v>
      </c>
      <c r="G25677" t="n">
        <v>2</v>
      </c>
      <c r="H25677" s="5">
        <f>HYPERLINK("https://api.qogita.com/variants/link/8437016160138/", "View Product")</f>
        <v/>
      </c>
    </row>
    <row r="25678">
      <c r="A25678" t="inlineStr">
        <is>
          <t>8437017668152</t>
        </is>
      </c>
      <c r="B25678" t="inlineStr">
        <is>
          <t>Carner Barcelona Salado Eau De Parfum Spray 50ml</t>
        </is>
      </c>
      <c r="C25678" t="inlineStr">
        <is>
          <t>Eau De Parfum</t>
        </is>
      </c>
      <c r="D25678" t="inlineStr">
        <is>
          <t>Carner Barcelona</t>
        </is>
      </c>
      <c r="E25678" t="n">
        <v>59.2</v>
      </c>
      <c r="F25678" t="n">
        <v>1</v>
      </c>
      <c r="G25678" t="n">
        <v>3</v>
      </c>
      <c r="H25678" s="5">
        <f>HYPERLINK("https://api.qogita.com/variants/link/8437017668152/", "View Product")</f>
        <v/>
      </c>
    </row>
    <row r="25679">
      <c r="A25679" t="inlineStr">
        <is>
          <t>8437017668183</t>
        </is>
      </c>
      <c r="B25679" t="inlineStr">
        <is>
          <t>Carner Barcelona Salado Unisex Eau de Parfum 50ml 3.4oz</t>
        </is>
      </c>
      <c r="C25679" t="inlineStr">
        <is>
          <t>Eau De Parfum</t>
        </is>
      </c>
      <c r="D25679" t="inlineStr">
        <is>
          <t>Carner Barcelona</t>
        </is>
      </c>
      <c r="E25679" t="n">
        <v>78.01000000000001</v>
      </c>
      <c r="F25679" t="n">
        <v>1</v>
      </c>
      <c r="G25679" t="n">
        <v>5</v>
      </c>
      <c r="H25679" s="5">
        <f>HYPERLINK("https://api.qogita.com/variants/link/8437017668183/", "View Product")</f>
        <v/>
      </c>
    </row>
    <row r="25680">
      <c r="A25680" t="inlineStr">
        <is>
          <t>8437017668558</t>
        </is>
      </c>
      <c r="B25680" t="inlineStr">
        <is>
          <t>Felino EDP Vaporizer 50ml</t>
        </is>
      </c>
      <c r="C25680" t="inlineStr">
        <is>
          <t>Eau De Parfum</t>
        </is>
      </c>
      <c r="D25680" t="inlineStr">
        <is>
          <t>Carner Barcelona</t>
        </is>
      </c>
      <c r="E25680" t="n">
        <v>98.89</v>
      </c>
      <c r="F25680" t="n">
        <v>1</v>
      </c>
      <c r="G25680" t="n">
        <v>14</v>
      </c>
      <c r="H25680" s="5">
        <f>HYPERLINK("https://api.qogita.com/variants/link/8437017668558/", "View Product")</f>
        <v/>
      </c>
    </row>
    <row r="25681">
      <c r="A25681" t="inlineStr">
        <is>
          <t>8437018498451</t>
        </is>
      </c>
      <c r="B25681" t="inlineStr">
        <is>
          <t>Women'secret Exotic Love Body Spray</t>
        </is>
      </c>
      <c r="C25681" t="inlineStr">
        <is>
          <t>Eau De Toilette</t>
        </is>
      </c>
      <c r="D25681" t="inlineStr">
        <is>
          <t>Women'secret</t>
        </is>
      </c>
      <c r="E25681" t="n">
        <v>7.38</v>
      </c>
      <c r="F25681" t="n">
        <v>1</v>
      </c>
      <c r="G25681" t="n">
        <v>6</v>
      </c>
      <c r="H25681" s="5">
        <f>HYPERLINK("https://api.qogita.com/variants/link/8437018498451/", "View Product")</f>
        <v/>
      </c>
    </row>
    <row r="25682">
      <c r="A25682" t="inlineStr">
        <is>
          <t>8437020930093</t>
        </is>
      </c>
      <c r="B25682" t="inlineStr">
        <is>
          <t>Fauni Extrait De Parfum 3.3oz</t>
        </is>
      </c>
      <c r="C25682" t="inlineStr">
        <is>
          <t>Extrait De Parfum</t>
        </is>
      </c>
      <c r="D25682" t="inlineStr">
        <is>
          <t>Angela Ciampagna</t>
        </is>
      </c>
      <c r="E25682" t="n">
        <v>154.49</v>
      </c>
      <c r="F25682" t="n">
        <v>1</v>
      </c>
      <c r="G25682" t="n">
        <v>17</v>
      </c>
      <c r="H25682" s="5">
        <f>HYPERLINK("https://api.qogita.com/variants/link/8437020930093/", "View Product")</f>
        <v/>
      </c>
    </row>
    <row r="25683">
      <c r="A25683" t="inlineStr">
        <is>
          <t>8437020930130</t>
        </is>
      </c>
      <c r="B25683" t="inlineStr">
        <is>
          <t>Materia Extrait De Parfum 3.3oz</t>
        </is>
      </c>
      <c r="C25683" t="inlineStr">
        <is>
          <t>Extrait De Parfum</t>
        </is>
      </c>
      <c r="D25683" t="inlineStr">
        <is>
          <t>Angela Ciampagna</t>
        </is>
      </c>
      <c r="E25683" t="n">
        <v>116.83</v>
      </c>
      <c r="F25683" t="n">
        <v>1</v>
      </c>
      <c r="G25683" t="n">
        <v>12</v>
      </c>
      <c r="H25683" s="5">
        <f>HYPERLINK("https://api.qogita.com/variants/link/8437020930130/", "View Product")</f>
        <v/>
      </c>
    </row>
    <row r="25684">
      <c r="A25684" t="inlineStr">
        <is>
          <t>8437020930147</t>
        </is>
      </c>
      <c r="B25684" t="inlineStr">
        <is>
          <t>Angela Ciampagna De Vita Collection Miracula Extrait De Parfum 100ml</t>
        </is>
      </c>
      <c r="C25684" t="inlineStr">
        <is>
          <t>Extrait De Parfum</t>
        </is>
      </c>
      <c r="D25684" t="inlineStr">
        <is>
          <t>Angela Ciampagna</t>
        </is>
      </c>
      <c r="E25684" t="n">
        <v>229.9</v>
      </c>
      <c r="F25684" t="n">
        <v>1</v>
      </c>
      <c r="G25684" t="n">
        <v>22</v>
      </c>
      <c r="H25684" s="5">
        <f>HYPERLINK("https://api.qogita.com/variants/link/8437020930147/", "View Product")</f>
        <v/>
      </c>
    </row>
    <row r="25685">
      <c r="A25685" t="inlineStr">
        <is>
          <t>8437020930192</t>
        </is>
      </c>
      <c r="B25685" t="inlineStr">
        <is>
          <t>Label Juniper Wood EdP Eau de Parfum 50ml</t>
        </is>
      </c>
      <c r="C25685" t="inlineStr">
        <is>
          <t>Eau De Parfum</t>
        </is>
      </c>
      <c r="D25685" t="inlineStr">
        <is>
          <t>L'Occitane</t>
        </is>
      </c>
      <c r="E25685" t="n">
        <v>38.07</v>
      </c>
      <c r="F25685" t="n">
        <v>1</v>
      </c>
      <c r="G25685" t="n">
        <v>10</v>
      </c>
      <c r="H25685" s="5">
        <f>HYPERLINK("https://api.qogita.com/variants/link/8437020930192/", "View Product")</f>
        <v/>
      </c>
    </row>
    <row r="25686">
      <c r="A25686" t="inlineStr">
        <is>
          <t>8437020930215</t>
        </is>
      </c>
      <c r="B25686" t="inlineStr">
        <is>
          <t>Label Maltol &amp; Cinnamon EdP Eau de Parfum 50ml</t>
        </is>
      </c>
      <c r="C25686" t="inlineStr">
        <is>
          <t>Eau De Parfum</t>
        </is>
      </c>
      <c r="D25686" t="inlineStr">
        <is>
          <t>L'Occitane</t>
        </is>
      </c>
      <c r="E25686" t="n">
        <v>35.16</v>
      </c>
      <c r="F25686" t="n">
        <v>1</v>
      </c>
      <c r="G25686" t="n">
        <v>37</v>
      </c>
      <c r="H25686" s="5">
        <f>HYPERLINK("https://api.qogita.com/variants/link/8437020930215/", "View Product")</f>
        <v/>
      </c>
    </row>
    <row r="25687">
      <c r="A25687" t="inlineStr">
        <is>
          <t>8437020930260</t>
        </is>
      </c>
      <c r="B25687" t="inlineStr">
        <is>
          <t>Label Oud Musk Eau De Parfum</t>
        </is>
      </c>
      <c r="C25687" t="inlineStr">
        <is>
          <t>Eau De Parfum</t>
        </is>
      </c>
      <c r="D25687" t="inlineStr">
        <is>
          <t>L'Occitane</t>
        </is>
      </c>
      <c r="E25687" t="n">
        <v>51.31</v>
      </c>
      <c r="F25687" t="n">
        <v>1</v>
      </c>
      <c r="G25687" t="n">
        <v>14</v>
      </c>
      <c r="H25687" s="5">
        <f>HYPERLINK("https://api.qogita.com/variants/link/8437020930260/", "View Product")</f>
        <v/>
      </c>
    </row>
    <row r="25688">
      <c r="A25688" t="inlineStr">
        <is>
          <t>8437020930413</t>
        </is>
      </c>
      <c r="B25688" t="inlineStr">
        <is>
          <t>Vis Extrait De Parfum Spray 3.3 Oz</t>
        </is>
      </c>
      <c r="C25688" t="inlineStr">
        <is>
          <t>Extrait De Parfum</t>
        </is>
      </c>
      <c r="D25688" t="inlineStr">
        <is>
          <t>Angela Ciampagna</t>
        </is>
      </c>
      <c r="E25688" t="n">
        <v>230.56</v>
      </c>
      <c r="F25688" t="n">
        <v>1</v>
      </c>
      <c r="G25688" t="n">
        <v>2</v>
      </c>
      <c r="H25688" s="5">
        <f>HYPERLINK("https://api.qogita.com/variants/link/8437020930413/", "View Product")</f>
        <v/>
      </c>
    </row>
    <row r="25689">
      <c r="A25689" t="inlineStr">
        <is>
          <t>8437024160144</t>
        </is>
      </c>
      <c r="B25689" t="inlineStr">
        <is>
          <t>Sun Cream Luminous Moisturizing SPF15+ 50ml</t>
        </is>
      </c>
      <c r="C25689" t="inlineStr">
        <is>
          <t>Body Sun Protection</t>
        </is>
      </c>
      <c r="D25689" t="inlineStr">
        <is>
          <t>Vanessium</t>
        </is>
      </c>
      <c r="E25689" t="n">
        <v>25.29</v>
      </c>
      <c r="F25689" t="n">
        <v>1</v>
      </c>
      <c r="G25689" t="n">
        <v>8</v>
      </c>
      <c r="H25689" s="5">
        <f>HYPERLINK("https://api.qogita.com/variants/link/8437024160144/", "View Product")</f>
        <v/>
      </c>
    </row>
    <row r="25690">
      <c r="A25690" t="inlineStr">
        <is>
          <t>8470002568594</t>
        </is>
      </c>
      <c r="B25690" t="inlineStr">
        <is>
          <t>Sesderma Acglicolic Classic Antiwrinkle Gel Cream 50 Ml</t>
        </is>
      </c>
      <c r="C25690" t="inlineStr">
        <is>
          <t>Anti-Aging Facial Care</t>
        </is>
      </c>
      <c r="D25690" t="inlineStr">
        <is>
          <t>Sesderma</t>
        </is>
      </c>
      <c r="E25690" t="n">
        <v>41.42</v>
      </c>
      <c r="F25690" t="n">
        <v>1</v>
      </c>
      <c r="G25690" t="n">
        <v>2</v>
      </c>
      <c r="H25690" s="5">
        <f>HYPERLINK("https://api.qogita.com/variants/link/8470002568594/", "View Product")</f>
        <v/>
      </c>
    </row>
    <row r="25691">
      <c r="A25691" t="inlineStr">
        <is>
          <t>8588007068411</t>
        </is>
      </c>
      <c r="B25691" t="inlineStr">
        <is>
          <t>Two Cosmetics Solid Shampoo For Problematic Scalp Honey 85 G</t>
        </is>
      </c>
      <c r="C25691" t="inlineStr">
        <is>
          <t>Shampoo</t>
        </is>
      </c>
      <c r="D25691" t="inlineStr">
        <is>
          <t>Two Cosmetics</t>
        </is>
      </c>
      <c r="E25691" t="n">
        <v>7.8</v>
      </c>
      <c r="F25691" t="n">
        <v>1</v>
      </c>
      <c r="G25691" t="n">
        <v>3</v>
      </c>
      <c r="H25691" s="5">
        <f>HYPERLINK("https://api.qogita.com/variants/link/8588007068411/", "View Product")</f>
        <v/>
      </c>
    </row>
    <row r="25692">
      <c r="A25692" t="inlineStr">
        <is>
          <t>8590031099811</t>
        </is>
      </c>
      <c r="B25692" t="inlineStr">
        <is>
          <t>Dermacol Magnolia &amp; Passion Fruit Eau De Parfum 50 Ml</t>
        </is>
      </c>
      <c r="C25692" t="inlineStr">
        <is>
          <t>Eau De Parfum</t>
        </is>
      </c>
      <c r="D25692" t="inlineStr">
        <is>
          <t>Dermacol</t>
        </is>
      </c>
      <c r="E25692" t="n">
        <v>14.67</v>
      </c>
      <c r="F25692" t="n">
        <v>1</v>
      </c>
      <c r="G25692" t="n">
        <v>54</v>
      </c>
      <c r="H25692" s="5">
        <f>HYPERLINK("https://api.qogita.com/variants/link/8590031099811/", "View Product")</f>
        <v/>
      </c>
    </row>
    <row r="25693">
      <c r="A25693" t="inlineStr">
        <is>
          <t>8590031101903</t>
        </is>
      </c>
      <c r="B25693" t="inlineStr">
        <is>
          <t>Dermacol Lily of The Valley and Fresh Citrus EDP 50ml</t>
        </is>
      </c>
      <c r="C25693" t="inlineStr">
        <is>
          <t>Eau De Parfum</t>
        </is>
      </c>
      <c r="D25693" t="inlineStr">
        <is>
          <t>Dermacol</t>
        </is>
      </c>
      <c r="E25693" t="n">
        <v>14.75</v>
      </c>
      <c r="F25693" t="n">
        <v>1</v>
      </c>
      <c r="G25693" t="n">
        <v>7</v>
      </c>
      <c r="H25693" s="5">
        <f>HYPERLINK("https://api.qogita.com/variants/link/8590031101903/", "View Product")</f>
        <v/>
      </c>
    </row>
    <row r="25694">
      <c r="A25694" t="inlineStr">
        <is>
          <t>8590031102740</t>
        </is>
      </c>
      <c r="B25694" t="inlineStr">
        <is>
          <t>Dermacol Sensitive Cleansing Milk with Extract</t>
        </is>
      </c>
      <c r="C25694" t="inlineStr">
        <is>
          <t>Cleansing Milk</t>
        </is>
      </c>
      <c r="D25694" t="inlineStr">
        <is>
          <t>Dermacol</t>
        </is>
      </c>
      <c r="E25694" t="n">
        <v>5.44</v>
      </c>
      <c r="F25694" t="n">
        <v>1</v>
      </c>
      <c r="G25694" t="n">
        <v>3</v>
      </c>
      <c r="H25694" s="5">
        <f>HYPERLINK("https://api.qogita.com/variants/link/8590031102740/", "View Product")</f>
        <v/>
      </c>
    </row>
    <row r="25695">
      <c r="A25695" t="inlineStr">
        <is>
          <t>8590031103297</t>
        </is>
      </c>
      <c r="B25695" t="inlineStr">
        <is>
          <t>Dermacol Sensitive Micellar Lotion</t>
        </is>
      </c>
      <c r="C25695" t="inlineStr">
        <is>
          <t>Micellar Water</t>
        </is>
      </c>
      <c r="D25695" t="inlineStr">
        <is>
          <t>Dermacol</t>
        </is>
      </c>
      <c r="E25695" t="n">
        <v>5.5</v>
      </c>
      <c r="F25695" t="n">
        <v>1</v>
      </c>
      <c r="G25695" t="n">
        <v>2</v>
      </c>
      <c r="H25695" s="5">
        <f>HYPERLINK("https://api.qogita.com/variants/link/8590031103297/", "View Product")</f>
        <v/>
      </c>
    </row>
    <row r="25696">
      <c r="A25696" t="inlineStr">
        <is>
          <t>8590129008190</t>
        </is>
      </c>
      <c r="B25696" t="inlineStr">
        <is>
          <t>Weleda Skin Care Gift Set For Men 2 Pieces</t>
        </is>
      </c>
      <c r="C25696" t="inlineStr">
        <is>
          <t>Travel Sets</t>
        </is>
      </c>
      <c r="D25696" t="inlineStr">
        <is>
          <t>Weleda</t>
        </is>
      </c>
      <c r="E25696" t="n">
        <v>17.06</v>
      </c>
      <c r="F25696" t="n">
        <v>1</v>
      </c>
      <c r="G25696" t="n">
        <v>5</v>
      </c>
      <c r="H25696" s="5">
        <f>HYPERLINK("https://api.qogita.com/variants/link/8590129008190/", "View Product")</f>
        <v/>
      </c>
    </row>
    <row r="25697">
      <c r="A25697" t="inlineStr">
        <is>
          <t>8590232000227</t>
        </is>
      </c>
      <c r="B25697" t="inlineStr">
        <is>
          <t>Elmex Toothpaste For Sensitive Teeth 3 X 75 Ml</t>
        </is>
      </c>
      <c r="C25697" t="inlineStr">
        <is>
          <t>Toothpaste</t>
        </is>
      </c>
      <c r="D25697" t="inlineStr">
        <is>
          <t>Elmex</t>
        </is>
      </c>
      <c r="E25697" t="n">
        <v>11.65</v>
      </c>
      <c r="F25697" t="n">
        <v>1</v>
      </c>
      <c r="G25697" t="n">
        <v>7</v>
      </c>
      <c r="H25697" s="5">
        <f>HYPERLINK("https://api.qogita.com/variants/link/8590232000227/", "View Product")</f>
        <v/>
      </c>
    </row>
    <row r="25698">
      <c r="A25698" t="inlineStr">
        <is>
          <t>8590232000418</t>
        </is>
      </c>
      <c r="B25698" t="inlineStr">
        <is>
          <t>Junior Trio Toothpaste 3 Pack for Kids</t>
        </is>
      </c>
      <c r="C25698" t="inlineStr">
        <is>
          <t>Dental Care For Children</t>
        </is>
      </c>
      <c r="D25698" t="inlineStr">
        <is>
          <t>Elmex</t>
        </is>
      </c>
      <c r="E25698" t="n">
        <v>10.17</v>
      </c>
      <c r="F25698" t="n">
        <v>1</v>
      </c>
      <c r="G25698" t="n">
        <v>9</v>
      </c>
      <c r="H25698" s="5">
        <f>HYPERLINK("https://api.qogita.com/variants/link/8590232000418/", "View Product")</f>
        <v/>
      </c>
    </row>
    <row r="25699">
      <c r="A25699" t="inlineStr">
        <is>
          <t>8590232000753</t>
        </is>
      </c>
      <c r="B25699" t="inlineStr">
        <is>
          <t>Colgate Max White Luminous Toothpaste Set Whitening Toothpaste 3 X 75 Ml</t>
        </is>
      </c>
      <c r="C25699" t="inlineStr">
        <is>
          <t>Toothpaste</t>
        </is>
      </c>
      <c r="D25699" t="inlineStr">
        <is>
          <t>Colgate</t>
        </is>
      </c>
      <c r="E25699" t="n">
        <v>9.970000000000001</v>
      </c>
      <c r="F25699" t="n">
        <v>1</v>
      </c>
      <c r="G25699" t="n">
        <v>6</v>
      </c>
      <c r="H25699" s="5">
        <f>HYPERLINK("https://api.qogita.com/variants/link/8590232000753/", "View Product")</f>
        <v/>
      </c>
    </row>
    <row r="25700">
      <c r="A25700" t="inlineStr">
        <is>
          <t>8590232001125</t>
        </is>
      </c>
      <c r="B25700" t="inlineStr">
        <is>
          <t>Elmex Sensitive Plus Complete Protection Tripack Toothpaste 3 X 75 Ml</t>
        </is>
      </c>
      <c r="C25700" t="inlineStr">
        <is>
          <t>Toothpaste</t>
        </is>
      </c>
      <c r="D25700" t="inlineStr">
        <is>
          <t>Elmex</t>
        </is>
      </c>
      <c r="E25700" t="n">
        <v>16.07</v>
      </c>
      <c r="F25700" t="n">
        <v>1</v>
      </c>
      <c r="G25700" t="n">
        <v>12</v>
      </c>
      <c r="H25700" s="5">
        <f>HYPERLINK("https://api.qogita.com/variants/link/8590232001125/", "View Product")</f>
        <v/>
      </c>
    </row>
    <row r="25701">
      <c r="A25701" t="inlineStr">
        <is>
          <t>8590393260928</t>
        </is>
      </c>
      <c r="B25701" t="inlineStr">
        <is>
          <t>ETA Rotations Warm Air Brush Fenité with Ion Function 1000W</t>
        </is>
      </c>
      <c r="C25701" t="inlineStr">
        <is>
          <t>Hot Air Brushes</t>
        </is>
      </c>
      <c r="D25701" t="inlineStr">
        <is>
          <t>Eta</t>
        </is>
      </c>
      <c r="E25701" t="n">
        <v>32.61</v>
      </c>
      <c r="F25701" t="n">
        <v>1</v>
      </c>
      <c r="G25701" t="n">
        <v>4</v>
      </c>
      <c r="H25701" s="5">
        <f>HYPERLINK("https://api.qogita.com/variants/link/8590393260928/", "View Product")</f>
        <v/>
      </c>
    </row>
    <row r="25702">
      <c r="A25702" t="inlineStr">
        <is>
          <t>8590393292912</t>
        </is>
      </c>
      <c r="B25702" t="inlineStr">
        <is>
          <t>ETA Rosalia Hair Straightener with Spring-Loaded Ceramic Plates and PTC Heating for Fast Warm-Up</t>
        </is>
      </c>
      <c r="C25702" t="inlineStr">
        <is>
          <t>Hair Straighteners</t>
        </is>
      </c>
      <c r="D25702" t="inlineStr">
        <is>
          <t>Eta</t>
        </is>
      </c>
      <c r="E25702" t="n">
        <v>13.1</v>
      </c>
      <c r="F25702" t="n">
        <v>1</v>
      </c>
      <c r="G25702" t="n">
        <v>2</v>
      </c>
      <c r="H25702" s="5">
        <f>HYPERLINK("https://api.qogita.com/variants/link/8590393292912/", "View Product")</f>
        <v/>
      </c>
    </row>
    <row r="25703">
      <c r="A25703" t="inlineStr">
        <is>
          <t>8590393320981</t>
        </is>
      </c>
      <c r="B25703" t="inlineStr">
        <is>
          <t>ETA Jake Nose Hair Trimmer - Rotating Cutting System, 40min Runtime, USB-C Charging, Grey</t>
        </is>
      </c>
      <c r="C25703" t="inlineStr">
        <is>
          <t>Ear Care</t>
        </is>
      </c>
      <c r="D25703" t="inlineStr">
        <is>
          <t>Eta</t>
        </is>
      </c>
      <c r="E25703" t="n">
        <v>19.65</v>
      </c>
      <c r="F25703" t="n">
        <v>1</v>
      </c>
      <c r="G25703" t="n">
        <v>5</v>
      </c>
      <c r="H25703" s="5">
        <f>HYPERLINK("https://api.qogita.com/variants/link/8590393320981/", "View Product")</f>
        <v/>
      </c>
    </row>
    <row r="25704">
      <c r="A25704" t="inlineStr">
        <is>
          <t>8590669090839</t>
        </is>
      </c>
      <c r="B25704" t="inlineStr">
        <is>
          <t>SENCOR SHD 6600W Hair Dryer White</t>
        </is>
      </c>
      <c r="C25704" t="inlineStr">
        <is>
          <t>Hair Dryers</t>
        </is>
      </c>
      <c r="D25704" t="inlineStr">
        <is>
          <t>Sencor</t>
        </is>
      </c>
      <c r="E25704" t="n">
        <v>15.4</v>
      </c>
      <c r="F25704" t="n">
        <v>1</v>
      </c>
      <c r="G25704" t="n">
        <v>2</v>
      </c>
      <c r="H25704" s="5">
        <f>HYPERLINK("https://api.qogita.com/variants/link/8590669090839/", "View Product")</f>
        <v/>
      </c>
    </row>
    <row r="25705">
      <c r="A25705" t="inlineStr">
        <is>
          <t>8590669128143</t>
        </is>
      </c>
      <c r="B25705" t="inlineStr">
        <is>
          <t>SENCOR SNC 101BL Nose and Ear Hair Trimmer</t>
        </is>
      </c>
      <c r="C25705" t="inlineStr">
        <is>
          <t>Ear Care</t>
        </is>
      </c>
      <c r="D25705" t="inlineStr">
        <is>
          <t>Sencor</t>
        </is>
      </c>
      <c r="E25705" t="n">
        <v>6.94</v>
      </c>
      <c r="F25705" t="n">
        <v>1</v>
      </c>
      <c r="G25705" t="n">
        <v>14</v>
      </c>
      <c r="H25705" s="5">
        <f>HYPERLINK("https://api.qogita.com/variants/link/8590669128143/", "View Product")</f>
        <v/>
      </c>
    </row>
    <row r="25706">
      <c r="A25706" t="inlineStr">
        <is>
          <t>8590669227235</t>
        </is>
      </c>
      <c r="B25706" t="inlineStr">
        <is>
          <t>Sencor Men's Shaver Sms 5013rd</t>
        </is>
      </c>
      <c r="C25706" t="inlineStr">
        <is>
          <t>Shaving</t>
        </is>
      </c>
      <c r="D25706" t="inlineStr">
        <is>
          <t>Sencor</t>
        </is>
      </c>
      <c r="E25706" t="n">
        <v>30.83</v>
      </c>
      <c r="F25706" t="n">
        <v>1</v>
      </c>
      <c r="G25706" t="n">
        <v>3</v>
      </c>
      <c r="H25706" s="5">
        <f>HYPERLINK("https://api.qogita.com/variants/link/8590669227235/", "View Product")</f>
        <v/>
      </c>
    </row>
    <row r="25707">
      <c r="A25707" t="inlineStr">
        <is>
          <t>8590669231843</t>
        </is>
      </c>
      <c r="B25707" t="inlineStr">
        <is>
          <t>SENCOR SHP 4501BK Hair Trimmer 40 Minutes Battery Life Black</t>
        </is>
      </c>
      <c r="C25707" t="inlineStr">
        <is>
          <t>Hair Clippers</t>
        </is>
      </c>
      <c r="D25707" t="inlineStr">
        <is>
          <t>Sencor</t>
        </is>
      </c>
      <c r="E25707" t="n">
        <v>17.32</v>
      </c>
      <c r="F25707" t="n">
        <v>1</v>
      </c>
      <c r="G25707" t="n">
        <v>3</v>
      </c>
      <c r="H25707" s="5">
        <f>HYPERLINK("https://api.qogita.com/variants/link/8590669231843/", "View Product")</f>
        <v/>
      </c>
    </row>
    <row r="25708">
      <c r="A25708" t="inlineStr">
        <is>
          <t>8590669251766</t>
        </is>
      </c>
      <c r="B25708" t="inlineStr">
        <is>
          <t>SHP 8305BK Men's Electric Clipper Set</t>
        </is>
      </c>
      <c r="C25708" t="inlineStr">
        <is>
          <t>Hair Clippers</t>
        </is>
      </c>
      <c r="D25708" t="inlineStr">
        <is>
          <t>Sencor</t>
        </is>
      </c>
      <c r="E25708" t="n">
        <v>46.27</v>
      </c>
      <c r="F25708" t="n">
        <v>1</v>
      </c>
      <c r="G25708" t="n">
        <v>3</v>
      </c>
      <c r="H25708" s="5">
        <f>HYPERLINK("https://api.qogita.com/variants/link/8590669251766/", "View Product")</f>
        <v/>
      </c>
    </row>
    <row r="25709">
      <c r="A25709" t="inlineStr">
        <is>
          <t>8590669254828</t>
        </is>
      </c>
      <c r="B25709" t="inlineStr">
        <is>
          <t>Sencor Soi 1100sl Oral Shower</t>
        </is>
      </c>
      <c r="C25709" t="inlineStr">
        <is>
          <t>Mouth &amp; Gum Care</t>
        </is>
      </c>
      <c r="D25709" t="inlineStr">
        <is>
          <t>Sencor</t>
        </is>
      </c>
      <c r="E25709" t="n">
        <v>38.54</v>
      </c>
      <c r="F25709" t="n">
        <v>1</v>
      </c>
      <c r="G25709" t="n">
        <v>5</v>
      </c>
      <c r="H25709" s="5">
        <f>HYPERLINK("https://api.qogita.com/variants/link/8590669254828/", "View Product")</f>
        <v/>
      </c>
    </row>
    <row r="25710">
      <c r="A25710" t="inlineStr">
        <is>
          <t>8590669265619</t>
        </is>
      </c>
      <c r="B25710" t="inlineStr">
        <is>
          <t>60W Hair Straightener with 110mm x 35mm Ironing Zone</t>
        </is>
      </c>
      <c r="C25710" t="inlineStr">
        <is>
          <t>Hair Straighteners</t>
        </is>
      </c>
      <c r="D25710" t="inlineStr">
        <is>
          <t>Sencor</t>
        </is>
      </c>
      <c r="E25710" t="n">
        <v>36.61</v>
      </c>
      <c r="F25710" t="n">
        <v>1</v>
      </c>
      <c r="G25710" t="n">
        <v>2</v>
      </c>
      <c r="H25710" s="5">
        <f>HYPERLINK("https://api.qogita.com/variants/link/8590669265619/", "View Product")</f>
        <v/>
      </c>
    </row>
    <row r="25711">
      <c r="A25711" t="inlineStr">
        <is>
          <t>8590669284047</t>
        </is>
      </c>
      <c r="B25711" t="inlineStr">
        <is>
          <t>Automatic Curling Iron 45W Gold</t>
        </is>
      </c>
      <c r="C25711" t="inlineStr">
        <is>
          <t>Curling Irons</t>
        </is>
      </c>
      <c r="D25711" t="inlineStr">
        <is>
          <t>Sencor</t>
        </is>
      </c>
      <c r="E25711" t="n">
        <v>38.54</v>
      </c>
      <c r="F25711" t="n">
        <v>1</v>
      </c>
      <c r="G25711" t="n">
        <v>5</v>
      </c>
      <c r="H25711" s="5">
        <f>HYPERLINK("https://api.qogita.com/variants/link/8590669284047/", "View Product")</f>
        <v/>
      </c>
    </row>
    <row r="25712">
      <c r="A25712" t="inlineStr">
        <is>
          <t>8590669291366</t>
        </is>
      </c>
      <c r="B25712" t="inlineStr">
        <is>
          <t>Sencor Hair Dryer for Women</t>
        </is>
      </c>
      <c r="C25712" t="inlineStr">
        <is>
          <t>Hair Dryers</t>
        </is>
      </c>
      <c r="D25712" t="inlineStr">
        <is>
          <t>Sencor</t>
        </is>
      </c>
      <c r="E25712" t="n">
        <v>38.54</v>
      </c>
      <c r="F25712" t="n">
        <v>1</v>
      </c>
      <c r="G25712" t="n">
        <v>4</v>
      </c>
      <c r="H25712" s="5">
        <f>HYPERLINK("https://api.qogita.com/variants/link/8590669291366/", "View Product")</f>
        <v/>
      </c>
    </row>
    <row r="25713">
      <c r="A25713" t="inlineStr">
        <is>
          <t>8590669307265</t>
        </is>
      </c>
      <c r="B25713" t="inlineStr">
        <is>
          <t>Shaver SMS 7000BK</t>
        </is>
      </c>
      <c r="C25713" t="inlineStr">
        <is>
          <t>Razors &amp; Hair Removal Tools</t>
        </is>
      </c>
      <c r="D25713" t="inlineStr">
        <is>
          <t>Sencor</t>
        </is>
      </c>
      <c r="E25713" t="n">
        <v>65.56999999999999</v>
      </c>
      <c r="F25713" t="n">
        <v>1</v>
      </c>
      <c r="G25713" t="n">
        <v>3</v>
      </c>
      <c r="H25713" s="5">
        <f>HYPERLINK("https://api.qogita.com/variants/link/8590669307265/", "View Product")</f>
        <v/>
      </c>
    </row>
    <row r="25714">
      <c r="A25714" t="inlineStr">
        <is>
          <t>8590669308705</t>
        </is>
      </c>
      <c r="B25714" t="inlineStr">
        <is>
          <t>Classique Bigoudi 42W Black</t>
        </is>
      </c>
      <c r="C25714" t="inlineStr">
        <is>
          <t>Curling Irons</t>
        </is>
      </c>
      <c r="D25714" t="inlineStr">
        <is>
          <t>Sencor</t>
        </is>
      </c>
      <c r="E25714" t="n">
        <v>19.25</v>
      </c>
      <c r="F25714" t="n">
        <v>1</v>
      </c>
      <c r="G25714" t="n">
        <v>2</v>
      </c>
      <c r="H25714" s="5">
        <f>HYPERLINK("https://api.qogita.com/variants/link/8590669308705/", "View Product")</f>
        <v/>
      </c>
    </row>
    <row r="25715">
      <c r="A25715" t="inlineStr">
        <is>
          <t>8590669310135</t>
        </is>
      </c>
      <c r="B25715" t="inlineStr">
        <is>
          <t>Multifunctional Hair and Beard Trimmer SHP 0450BK</t>
        </is>
      </c>
      <c r="C25715" t="inlineStr">
        <is>
          <t>Beard Care Accessories</t>
        </is>
      </c>
      <c r="D25715" t="inlineStr">
        <is>
          <t>Sencor</t>
        </is>
      </c>
      <c r="E25715" t="n">
        <v>23.11</v>
      </c>
      <c r="F25715" t="n">
        <v>1</v>
      </c>
      <c r="G25715" t="n">
        <v>4</v>
      </c>
      <c r="H25715" s="5">
        <f>HYPERLINK("https://api.qogita.com/variants/link/8590669310135/", "View Product")</f>
        <v/>
      </c>
    </row>
    <row r="25716">
      <c r="A25716" t="inlineStr">
        <is>
          <t>8590669320875</t>
        </is>
      </c>
      <c r="B25716" t="inlineStr">
        <is>
          <t>Hair Curler SHS 0920BK</t>
        </is>
      </c>
      <c r="C25716" t="inlineStr">
        <is>
          <t>Curling Irons</t>
        </is>
      </c>
      <c r="D25716" t="inlineStr">
        <is>
          <t>Sencor</t>
        </is>
      </c>
      <c r="E25716" t="n">
        <v>25.03</v>
      </c>
      <c r="F25716" t="n">
        <v>1</v>
      </c>
      <c r="G25716" t="n">
        <v>4</v>
      </c>
      <c r="H25716" s="5">
        <f>HYPERLINK("https://api.qogita.com/variants/link/8590669320875/", "View Product")</f>
        <v/>
      </c>
    </row>
    <row r="25717">
      <c r="A25717" t="inlineStr">
        <is>
          <t>8590669371631</t>
        </is>
      </c>
      <c r="B25717" t="inlineStr">
        <is>
          <t>Sencor SOC 5010BL Electric Toothbrush</t>
        </is>
      </c>
      <c r="C25717" t="inlineStr">
        <is>
          <t>Electric Toothbrushes</t>
        </is>
      </c>
      <c r="D25717" t="inlineStr">
        <is>
          <t>Sencor</t>
        </is>
      </c>
      <c r="E25717" t="n">
        <v>81.98</v>
      </c>
      <c r="F25717" t="n">
        <v>1</v>
      </c>
      <c r="G25717" t="n">
        <v>5</v>
      </c>
      <c r="H25717" s="5">
        <f>HYPERLINK("https://api.qogita.com/variants/link/8590669371631/", "View Product")</f>
        <v/>
      </c>
    </row>
    <row r="25718">
      <c r="A25718" t="inlineStr">
        <is>
          <t>8592297000181</t>
        </is>
      </c>
      <c r="B25718" t="inlineStr">
        <is>
          <t>Astrid Fresh Skin Refreshing Cleansing Lotion For Normal And Combination Skin 200 Ml</t>
        </is>
      </c>
      <c r="C25718" t="inlineStr">
        <is>
          <t>Cleansing Milk</t>
        </is>
      </c>
      <c r="D25718" t="inlineStr">
        <is>
          <t>Astrid</t>
        </is>
      </c>
      <c r="E25718" t="n">
        <v>4.37</v>
      </c>
      <c r="F25718" t="n">
        <v>1</v>
      </c>
      <c r="G25718" t="n">
        <v>5</v>
      </c>
      <c r="H25718" s="5">
        <f>HYPERLINK("https://api.qogita.com/variants/link/8592297000181/", "View Product")</f>
        <v/>
      </c>
    </row>
    <row r="25719">
      <c r="A25719" t="inlineStr">
        <is>
          <t>8592297002604</t>
        </is>
      </c>
      <c r="B25719" t="inlineStr">
        <is>
          <t>Astrid Peo Cracked Heel Foot Cream 100 Ml</t>
        </is>
      </c>
      <c r="C25719" t="inlineStr">
        <is>
          <t>Foot Cream</t>
        </is>
      </c>
      <c r="D25719" t="inlineStr">
        <is>
          <t>Astrid</t>
        </is>
      </c>
      <c r="E25719" t="n">
        <v>4.38</v>
      </c>
      <c r="F25719" t="n">
        <v>1</v>
      </c>
      <c r="G25719" t="n">
        <v>5</v>
      </c>
      <c r="H25719" s="5">
        <f>HYPERLINK("https://api.qogita.com/variants/link/8592297002604/", "View Product")</f>
        <v/>
      </c>
    </row>
    <row r="25720">
      <c r="A25720" t="inlineStr">
        <is>
          <t>8592297007630</t>
        </is>
      </c>
      <c r="B25720" t="inlineStr">
        <is>
          <t>Q10 Miracle Day Cream 50 ml</t>
        </is>
      </c>
      <c r="C25720" t="inlineStr">
        <is>
          <t>Day Cream</t>
        </is>
      </c>
      <c r="D25720" t="inlineStr">
        <is>
          <t>Astrid</t>
        </is>
      </c>
      <c r="E25720" t="n">
        <v>6.15</v>
      </c>
      <c r="F25720" t="n">
        <v>1</v>
      </c>
      <c r="G25720" t="n">
        <v>4</v>
      </c>
      <c r="H25720" s="5">
        <f>HYPERLINK("https://api.qogita.com/variants/link/8592297007630/", "View Product")</f>
        <v/>
      </c>
    </row>
    <row r="25721">
      <c r="A25721" t="inlineStr">
        <is>
          <t>8592297008286</t>
        </is>
      </c>
      <c r="B25721" t="inlineStr">
        <is>
          <t>Cream for Calloused Skin PEO 75 ml</t>
        </is>
      </c>
      <c r="C25721" t="inlineStr">
        <is>
          <t>Callus Remover</t>
        </is>
      </c>
      <c r="D25721" t="inlineStr">
        <is>
          <t>Ultimate Ears</t>
        </is>
      </c>
      <c r="E25721" t="n">
        <v>4.13</v>
      </c>
      <c r="F25721" t="n">
        <v>1</v>
      </c>
      <c r="G25721" t="n">
        <v>4</v>
      </c>
      <c r="H25721" s="5">
        <f>HYPERLINK("https://api.qogita.com/variants/link/8592297008286/", "View Product")</f>
        <v/>
      </c>
    </row>
    <row r="25722">
      <c r="A25722" t="inlineStr">
        <is>
          <t>8592297009009</t>
        </is>
      </c>
      <c r="B25722" t="inlineStr">
        <is>
          <t>Bioretinol Duo Set - Anti-Aging Skincare Set</t>
        </is>
      </c>
      <c r="C25722" t="inlineStr">
        <is>
          <t>Facial Care Sets</t>
        </is>
      </c>
      <c r="D25722" t="inlineStr">
        <is>
          <t>Popeye</t>
        </is>
      </c>
      <c r="E25722" t="n">
        <v>11.25</v>
      </c>
      <c r="F25722" t="n">
        <v>1</v>
      </c>
      <c r="G25722" t="n">
        <v>5</v>
      </c>
      <c r="H25722" s="5">
        <f>HYPERLINK("https://api.qogita.com/variants/link/8592297009009/", "View Product")</f>
        <v/>
      </c>
    </row>
    <row r="25723">
      <c r="A25723" t="inlineStr">
        <is>
          <t>8592297009085</t>
        </is>
      </c>
      <c r="B25723" t="inlineStr">
        <is>
          <t>Astrid Hyaluron Micellar Cleansing Gel</t>
        </is>
      </c>
      <c r="C25723" t="inlineStr">
        <is>
          <t>Cleansing Gel</t>
        </is>
      </c>
      <c r="D25723" t="inlineStr">
        <is>
          <t>Astrid</t>
        </is>
      </c>
      <c r="E25723" t="n">
        <v>4.3</v>
      </c>
      <c r="F25723" t="n">
        <v>1</v>
      </c>
      <c r="G25723" t="n">
        <v>5</v>
      </c>
      <c r="H25723" s="5">
        <f>HYPERLINK("https://api.qogita.com/variants/link/8592297009085/", "View Product")</f>
        <v/>
      </c>
    </row>
    <row r="25724">
      <c r="A25724" t="inlineStr">
        <is>
          <t>8592297010234</t>
        </is>
      </c>
      <c r="B25724" t="inlineStr">
        <is>
          <t>Astrid Hydro X-Cell</t>
        </is>
      </c>
      <c r="C25724" t="inlineStr">
        <is>
          <t>Face Serum</t>
        </is>
      </c>
      <c r="D25724" t="inlineStr">
        <is>
          <t>Astrid</t>
        </is>
      </c>
      <c r="E25724" t="n">
        <v>4.74</v>
      </c>
      <c r="F25724" t="n">
        <v>1</v>
      </c>
      <c r="G25724" t="n">
        <v>5</v>
      </c>
      <c r="H25724" s="5">
        <f>HYPERLINK("https://api.qogita.com/variants/link/8592297010234/", "View Product")</f>
        <v/>
      </c>
    </row>
    <row r="25725">
      <c r="A25725" t="inlineStr">
        <is>
          <t>8592297010616</t>
        </is>
      </c>
      <c r="B25725" t="inlineStr">
        <is>
          <t>Str8 Game Gift Set Aftershave 50 Ml, Deodorant 150 Ml, And Shower Gel 250 Ml</t>
        </is>
      </c>
      <c r="C25725" t="inlineStr">
        <is>
          <t>Fragrance</t>
        </is>
      </c>
      <c r="D25725" t="inlineStr">
        <is>
          <t>Str8</t>
        </is>
      </c>
      <c r="E25725" t="n">
        <v>12.43</v>
      </c>
      <c r="F25725" t="n">
        <v>1</v>
      </c>
      <c r="G25725" t="n">
        <v>12</v>
      </c>
      <c r="H25725" s="5">
        <f>HYPERLINK("https://api.qogita.com/variants/link/8592297010616/", "View Product")</f>
        <v/>
      </c>
    </row>
    <row r="25726">
      <c r="A25726" t="inlineStr">
        <is>
          <t>8592297010685</t>
        </is>
      </c>
      <c r="B25726" t="inlineStr">
        <is>
          <t>65+ Rose Premium Duopack Skin Care Gift Set</t>
        </is>
      </c>
      <c r="C25726" t="inlineStr">
        <is>
          <t>Facial Care Sets</t>
        </is>
      </c>
      <c r="D25726" t="inlineStr">
        <is>
          <t>Astrid</t>
        </is>
      </c>
      <c r="E25726" t="n">
        <v>16.07</v>
      </c>
      <c r="F25726" t="n">
        <v>1</v>
      </c>
      <c r="G25726" t="n">
        <v>21</v>
      </c>
      <c r="H25726" s="5">
        <f>HYPERLINK("https://api.qogita.com/variants/link/8592297010685/", "View Product")</f>
        <v/>
      </c>
    </row>
    <row r="25727">
      <c r="A25727" t="inlineStr">
        <is>
          <t>8592297010791</t>
        </is>
      </c>
      <c r="B25727" t="inlineStr">
        <is>
          <t>Tanning Milk SPF 20 Sun 200 ml</t>
        </is>
      </c>
      <c r="C25727" t="inlineStr">
        <is>
          <t>Body Sun Protection</t>
        </is>
      </c>
      <c r="D25727" t="inlineStr">
        <is>
          <t>Astrid</t>
        </is>
      </c>
      <c r="E25727" t="n">
        <v>7.17</v>
      </c>
      <c r="F25727" t="n">
        <v>1</v>
      </c>
      <c r="G25727" t="n">
        <v>15</v>
      </c>
      <c r="H25727" s="5">
        <f>HYPERLINK("https://api.qogita.com/variants/link/8592297010791/", "View Product")</f>
        <v/>
      </c>
    </row>
    <row r="25728">
      <c r="A25728" t="inlineStr">
        <is>
          <t>8592297010999</t>
        </is>
      </c>
      <c r="B25728" t="inlineStr">
        <is>
          <t>Children's Spray Lotion for Sensitive Skin SPF 50+ Sun 150 ml</t>
        </is>
      </c>
      <c r="C25728" t="inlineStr">
        <is>
          <t>Sun Protection For Children</t>
        </is>
      </c>
      <c r="D25728" t="inlineStr">
        <is>
          <t>Astrid</t>
        </is>
      </c>
      <c r="E25728" t="n">
        <v>9.609999999999999</v>
      </c>
      <c r="F25728" t="n">
        <v>1</v>
      </c>
      <c r="G25728" t="n">
        <v>14</v>
      </c>
      <c r="H25728" s="5">
        <f>HYPERLINK("https://api.qogita.com/variants/link/8592297010999/", "View Product")</f>
        <v/>
      </c>
    </row>
    <row r="25729">
      <c r="A25729" t="inlineStr">
        <is>
          <t>8592297012047</t>
        </is>
      </c>
      <c r="B25729" t="inlineStr">
        <is>
          <t>Astrid Hyaluronic Gold Anti-Wrinkle Filling Pearl Serum 30 Ml</t>
        </is>
      </c>
      <c r="C25729" t="inlineStr">
        <is>
          <t>Anti-Aging Serum</t>
        </is>
      </c>
      <c r="D25729" t="inlineStr">
        <is>
          <t>Astrid</t>
        </is>
      </c>
      <c r="E25729" t="n">
        <v>8.970000000000001</v>
      </c>
      <c r="F25729" t="n">
        <v>1</v>
      </c>
      <c r="G25729" t="n">
        <v>4</v>
      </c>
      <c r="H25729" s="5">
        <f>HYPERLINK("https://api.qogita.com/variants/link/8592297012047/", "View Product")</f>
        <v/>
      </c>
    </row>
    <row r="25730">
      <c r="A25730" t="inlineStr">
        <is>
          <t>8592297012436</t>
        </is>
      </c>
      <c r="B25730" t="inlineStr">
        <is>
          <t>Astrid Sunscreen Oil Spf 30 - 70 Ml</t>
        </is>
      </c>
      <c r="C25730" t="inlineStr">
        <is>
          <t>Body Sun Protection</t>
        </is>
      </c>
      <c r="D25730" t="inlineStr">
        <is>
          <t>Astrid</t>
        </is>
      </c>
      <c r="E25730" t="n">
        <v>6.76</v>
      </c>
      <c r="F25730" t="n">
        <v>1</v>
      </c>
      <c r="G25730" t="n">
        <v>5</v>
      </c>
      <c r="H25730" s="5">
        <f>HYPERLINK("https://api.qogita.com/variants/link/8592297012436/", "View Product")</f>
        <v/>
      </c>
    </row>
    <row r="25731">
      <c r="A25731" t="inlineStr">
        <is>
          <t>8592297012566</t>
        </is>
      </c>
      <c r="B25731" t="inlineStr">
        <is>
          <t>Astrid Family Sunscreen Spray Sensitive Spf 50+ 270 Ml</t>
        </is>
      </c>
      <c r="C25731" t="inlineStr">
        <is>
          <t>Body Sun Protection</t>
        </is>
      </c>
      <c r="D25731" t="inlineStr">
        <is>
          <t>Astrid</t>
        </is>
      </c>
      <c r="E25731" t="n">
        <v>16.45</v>
      </c>
      <c r="F25731" t="n">
        <v>1</v>
      </c>
      <c r="G25731" t="n">
        <v>6</v>
      </c>
      <c r="H25731" s="5">
        <f>HYPERLINK("https://api.qogita.com/variants/link/8592297012566/", "View Product")</f>
        <v/>
      </c>
    </row>
    <row r="25732">
      <c r="A25732" t="inlineStr">
        <is>
          <t>8592297013150</t>
        </is>
      </c>
      <c r="B25732" t="inlineStr">
        <is>
          <t>Astrid Sunscreen Spf 50 Anti Age I Spot 50 Ml</t>
        </is>
      </c>
      <c r="C25732" t="inlineStr">
        <is>
          <t>Face Sun Protection</t>
        </is>
      </c>
      <c r="D25732" t="inlineStr">
        <is>
          <t>Astrid</t>
        </is>
      </c>
      <c r="E25732" t="n">
        <v>7.57</v>
      </c>
      <c r="F25732" t="n">
        <v>1</v>
      </c>
      <c r="G25732" t="n">
        <v>15</v>
      </c>
      <c r="H25732" s="5">
        <f>HYPERLINK("https://api.qogita.com/variants/link/8592297013150/", "View Product")</f>
        <v/>
      </c>
    </row>
    <row r="25733">
      <c r="A25733" t="inlineStr">
        <is>
          <t>8592807075999</t>
        </is>
      </c>
      <c r="B25733" t="inlineStr">
        <is>
          <t>Redken Cerafill Maximize Intensive Treatment - 40 X 6 Ml</t>
        </is>
      </c>
      <c r="C25733" t="inlineStr">
        <is>
          <t>Scalp Care</t>
        </is>
      </c>
      <c r="D25733" t="inlineStr">
        <is>
          <t>Redken</t>
        </is>
      </c>
      <c r="E25733" t="n">
        <v>179.75</v>
      </c>
      <c r="F25733" t="n">
        <v>1</v>
      </c>
      <c r="G25733" t="n">
        <v>3</v>
      </c>
      <c r="H25733" s="5">
        <f>HYPERLINK("https://api.qogita.com/variants/link/8592807075999/", "View Product")</f>
        <v/>
      </c>
    </row>
    <row r="25734">
      <c r="A25734" t="inlineStr">
        <is>
          <t>8592807611920</t>
        </is>
      </c>
      <c r="B25734" t="inlineStr">
        <is>
          <t>Hyalurogel Duo Moisturizing Skin Care Gift Set</t>
        </is>
      </c>
      <c r="C25734" t="inlineStr">
        <is>
          <t>Facial Care Sets</t>
        </is>
      </c>
      <c r="D25734" t="inlineStr">
        <is>
          <t>Mixa</t>
        </is>
      </c>
      <c r="E25734" t="n">
        <v>17.21</v>
      </c>
      <c r="F25734" t="n">
        <v>1</v>
      </c>
      <c r="G25734" t="n">
        <v>5</v>
      </c>
      <c r="H25734" s="5">
        <f>HYPERLINK("https://api.qogita.com/variants/link/8592807611920/", "View Product")</f>
        <v/>
      </c>
    </row>
    <row r="25735">
      <c r="A25735" t="inlineStr">
        <is>
          <t>8594001779628</t>
        </is>
      </c>
      <c r="B25735" t="inlineStr">
        <is>
          <t>ALPA Cannabis Hemp Salve 250ml</t>
        </is>
      </c>
      <c r="C25735" t="inlineStr">
        <is>
          <t>Body Care Sets</t>
        </is>
      </c>
      <c r="D25735" t="inlineStr">
        <is>
          <t>Unknown</t>
        </is>
      </c>
      <c r="E25735" t="n">
        <v>4.57</v>
      </c>
      <c r="F25735" t="n">
        <v>1</v>
      </c>
      <c r="G25735" t="n">
        <v>29</v>
      </c>
      <c r="H25735" s="5">
        <f>HYPERLINK("https://api.qogita.com/variants/link/8594001779628/", "View Product")</f>
        <v/>
      </c>
    </row>
    <row r="25736">
      <c r="A25736" t="inlineStr">
        <is>
          <t>8594007970852</t>
        </is>
      </c>
      <c r="B25736" t="inlineStr">
        <is>
          <t>Ryor Lavender Care Gift Box</t>
        </is>
      </c>
      <c r="C25736" t="inlineStr">
        <is>
          <t>Body Care Sets</t>
        </is>
      </c>
      <c r="D25736" t="inlineStr">
        <is>
          <t>Ryor</t>
        </is>
      </c>
      <c r="E25736" t="n">
        <v>12.28</v>
      </c>
      <c r="F25736" t="n">
        <v>1</v>
      </c>
      <c r="G25736" t="n">
        <v>3</v>
      </c>
      <c r="H25736" s="5">
        <f>HYPERLINK("https://api.qogita.com/variants/link/8594007970852/", "View Product")</f>
        <v/>
      </c>
    </row>
    <row r="25737">
      <c r="A25737" t="inlineStr">
        <is>
          <t>8594007972047</t>
        </is>
      </c>
      <c r="B25737" t="inlineStr">
        <is>
          <t>Ryamar Day Cream with Amaranth Oil and Silk Protein 50ml</t>
        </is>
      </c>
      <c r="C25737" t="inlineStr">
        <is>
          <t>Day Cream</t>
        </is>
      </c>
      <c r="D25737" t="inlineStr">
        <is>
          <t>Ryor</t>
        </is>
      </c>
      <c r="E25737" t="n">
        <v>6.16</v>
      </c>
      <c r="F25737" t="n">
        <v>1</v>
      </c>
      <c r="G25737" t="n">
        <v>8</v>
      </c>
      <c r="H25737" s="5">
        <f>HYPERLINK("https://api.qogita.com/variants/link/8594007972047/", "View Product")</f>
        <v/>
      </c>
    </row>
    <row r="25738">
      <c r="A25738" t="inlineStr">
        <is>
          <t>8594007972412</t>
        </is>
      </c>
      <c r="B25738" t="inlineStr">
        <is>
          <t>Ryor Kaviderm Cream For Reducing Circles And Bags Under The Eyes</t>
        </is>
      </c>
      <c r="C25738" t="inlineStr">
        <is>
          <t>Eye Cream</t>
        </is>
      </c>
      <c r="D25738" t="inlineStr">
        <is>
          <t>Ryor</t>
        </is>
      </c>
      <c r="E25738" t="n">
        <v>8.98</v>
      </c>
      <c r="F25738" t="n">
        <v>1</v>
      </c>
      <c r="G25738" t="n">
        <v>6</v>
      </c>
      <c r="H25738" s="5">
        <f>HYPERLINK("https://api.qogita.com/variants/link/8594007972412/", "View Product")</f>
        <v/>
      </c>
    </row>
    <row r="25739">
      <c r="A25739" t="inlineStr">
        <is>
          <t>8594007972740</t>
        </is>
      </c>
      <c r="B25739" t="inlineStr">
        <is>
          <t>Ryor Hair Growth Stimulator 3-Month Treatment 250ml</t>
        </is>
      </c>
      <c r="C25739" t="inlineStr">
        <is>
          <t>Hair Tonic</t>
        </is>
      </c>
      <c r="D25739" t="inlineStr">
        <is>
          <t>Ryor</t>
        </is>
      </c>
      <c r="E25739" t="n">
        <v>16.51</v>
      </c>
      <c r="F25739" t="n">
        <v>1</v>
      </c>
      <c r="G25739" t="n">
        <v>5</v>
      </c>
      <c r="H25739" s="5">
        <f>HYPERLINK("https://api.qogita.com/variants/link/8594007972740/", "View Product")</f>
        <v/>
      </c>
    </row>
    <row r="25740">
      <c r="A25740" t="inlineStr">
        <is>
          <t>8594007972825</t>
        </is>
      </c>
      <c r="B25740" t="inlineStr">
        <is>
          <t>Ryor Hydroperfekt Moisturizing Facial Tonic 200ml</t>
        </is>
      </c>
      <c r="C25740" t="inlineStr">
        <is>
          <t>Facial Spray</t>
        </is>
      </c>
      <c r="D25740" t="inlineStr">
        <is>
          <t>Ryor</t>
        </is>
      </c>
      <c r="E25740" t="n">
        <v>5.13</v>
      </c>
      <c r="F25740" t="n">
        <v>1</v>
      </c>
      <c r="G25740" t="n">
        <v>6</v>
      </c>
      <c r="H25740" s="5">
        <f>HYPERLINK("https://api.qogita.com/variants/link/8594007972825/", "View Product")</f>
        <v/>
      </c>
    </row>
    <row r="25741">
      <c r="A25741" t="inlineStr">
        <is>
          <t>8594007977295</t>
        </is>
      </c>
      <c r="B25741" t="inlineStr">
        <is>
          <t>Ryor Night Cream</t>
        </is>
      </c>
      <c r="C25741" t="inlineStr">
        <is>
          <t>Night Cream</t>
        </is>
      </c>
      <c r="D25741" t="inlineStr">
        <is>
          <t>Ryor</t>
        </is>
      </c>
      <c r="E25741" t="n">
        <v>6.33</v>
      </c>
      <c r="F25741" t="n">
        <v>1</v>
      </c>
      <c r="G25741" t="n">
        <v>9</v>
      </c>
      <c r="H25741" s="5">
        <f>HYPERLINK("https://api.qogita.com/variants/link/8594007977295/", "View Product")</f>
        <v/>
      </c>
    </row>
    <row r="25742">
      <c r="A25742" t="inlineStr">
        <is>
          <t>8594007977790</t>
        </is>
      </c>
      <c r="B25742" t="inlineStr">
        <is>
          <t>Revitalizing Serum with Hyaluronic Acid and Argan Oil</t>
        </is>
      </c>
      <c r="C25742" t="inlineStr">
        <is>
          <t>Hyaluronic Acid Serum</t>
        </is>
      </c>
      <c r="D25742" t="inlineStr">
        <is>
          <t>Ryor</t>
        </is>
      </c>
      <c r="E25742" t="n">
        <v>10.48</v>
      </c>
      <c r="F25742" t="n">
        <v>1</v>
      </c>
      <c r="G25742" t="n">
        <v>9</v>
      </c>
      <c r="H25742" s="5">
        <f>HYPERLINK("https://api.qogita.com/variants/link/8594007977790/", "View Product")</f>
        <v/>
      </c>
    </row>
    <row r="25743">
      <c r="A25743" t="inlineStr">
        <is>
          <t>8594007977868</t>
        </is>
      </c>
      <c r="B25743" t="inlineStr">
        <is>
          <t>Ryor Nourishing Gel for Galvanic Spa</t>
        </is>
      </c>
      <c r="C25743" t="inlineStr">
        <is>
          <t>Facial Massage</t>
        </is>
      </c>
      <c r="D25743" t="inlineStr">
        <is>
          <t>Ryor</t>
        </is>
      </c>
      <c r="E25743" t="n">
        <v>19.75</v>
      </c>
      <c r="F25743" t="n">
        <v>1</v>
      </c>
      <c r="G25743" t="n">
        <v>3</v>
      </c>
      <c r="H25743" s="5">
        <f>HYPERLINK("https://api.qogita.com/variants/link/8594007977868/", "View Product")</f>
        <v/>
      </c>
    </row>
    <row r="25744">
      <c r="A25744" t="inlineStr">
        <is>
          <t>8594007978001</t>
        </is>
      </c>
      <c r="B25744" t="inlineStr">
        <is>
          <t>Ryor Intensive Care Brightening Eye Cream with Peptides 30ml</t>
        </is>
      </c>
      <c r="C25744" t="inlineStr">
        <is>
          <t>Eye Cream</t>
        </is>
      </c>
      <c r="D25744" t="inlineStr">
        <is>
          <t>Ryor</t>
        </is>
      </c>
      <c r="E25744" t="n">
        <v>8.289999999999999</v>
      </c>
      <c r="F25744" t="n">
        <v>1</v>
      </c>
      <c r="G25744" t="n">
        <v>10</v>
      </c>
      <c r="H25744" s="5">
        <f>HYPERLINK("https://api.qogita.com/variants/link/8594007978001/", "View Product")</f>
        <v/>
      </c>
    </row>
    <row r="25745">
      <c r="A25745" t="inlineStr">
        <is>
          <t>8594040041151</t>
        </is>
      </c>
      <c r="B25745" t="inlineStr">
        <is>
          <t>Oranjito Light Vanilla Superbronzer Face Cream Solarium Cosmetics 50g</t>
        </is>
      </c>
      <c r="C25745" t="inlineStr">
        <is>
          <t>Face Cream</t>
        </is>
      </c>
      <c r="D25745" t="inlineStr">
        <is>
          <t>Oranjito</t>
        </is>
      </c>
      <c r="E25745" t="n">
        <v>9.130000000000001</v>
      </c>
      <c r="F25745" t="n">
        <v>1</v>
      </c>
      <c r="G25745" t="n">
        <v>3</v>
      </c>
      <c r="H25745" s="5">
        <f>HYPERLINK("https://api.qogita.com/variants/link/8594040041151/", "View Product")</f>
        <v/>
      </c>
    </row>
    <row r="25746">
      <c r="A25746" t="inlineStr">
        <is>
          <t>8594040043780</t>
        </is>
      </c>
      <c r="B25746" t="inlineStr">
        <is>
          <t>Oranjito Party Bronze Accelerator - 200 Ml</t>
        </is>
      </c>
      <c r="C25746" t="inlineStr">
        <is>
          <t>Body Self-Tanner</t>
        </is>
      </c>
      <c r="D25746" t="inlineStr">
        <is>
          <t>Oranjito</t>
        </is>
      </c>
      <c r="E25746" t="n">
        <v>7.69</v>
      </c>
      <c r="F25746" t="n">
        <v>1</v>
      </c>
      <c r="G25746" t="n">
        <v>3</v>
      </c>
      <c r="H25746" s="5">
        <f>HYPERLINK("https://api.qogita.com/variants/link/8594040043780/", "View Product")</f>
        <v/>
      </c>
    </row>
    <row r="25747">
      <c r="A25747" t="inlineStr">
        <is>
          <t>8594040043803</t>
        </is>
      </c>
      <c r="B25747" t="inlineStr">
        <is>
          <t>Oranjito Chocolate Tanning Lotion - 200 Ml</t>
        </is>
      </c>
      <c r="C25747" t="inlineStr">
        <is>
          <t>Body Self-Tanner</t>
        </is>
      </c>
      <c r="D25747" t="inlineStr">
        <is>
          <t>Oranjito</t>
        </is>
      </c>
      <c r="E25747" t="n">
        <v>7.69</v>
      </c>
      <c r="F25747" t="n">
        <v>1</v>
      </c>
      <c r="G25747" t="n">
        <v>11</v>
      </c>
      <c r="H25747" s="5">
        <f>HYPERLINK("https://api.qogita.com/variants/link/8594040043803/", "View Product")</f>
        <v/>
      </c>
    </row>
    <row r="25748">
      <c r="A25748" t="inlineStr">
        <is>
          <t>8594040043827</t>
        </is>
      </c>
      <c r="B25748" t="inlineStr">
        <is>
          <t>Oranjito Dark Brazil Superbronzer</t>
        </is>
      </c>
      <c r="C25748" t="inlineStr">
        <is>
          <t>Bronzer</t>
        </is>
      </c>
      <c r="D25748" t="inlineStr">
        <is>
          <t>Oranjito</t>
        </is>
      </c>
      <c r="E25748" t="n">
        <v>11.31</v>
      </c>
      <c r="F25748" t="n">
        <v>1</v>
      </c>
      <c r="G25748" t="n">
        <v>5</v>
      </c>
      <c r="H25748" s="5">
        <f>HYPERLINK("https://api.qogita.com/variants/link/8594040043827/", "View Product")</f>
        <v/>
      </c>
    </row>
    <row r="25749">
      <c r="A25749" t="inlineStr">
        <is>
          <t>8594040048433</t>
        </is>
      </c>
      <c r="B25749" t="inlineStr">
        <is>
          <t>Oranjito Velvet Caramel After Tan Lotion 200g</t>
        </is>
      </c>
      <c r="C25749" t="inlineStr">
        <is>
          <t>Aftersun</t>
        </is>
      </c>
      <c r="D25749" t="inlineStr">
        <is>
          <t>Oranjito</t>
        </is>
      </c>
      <c r="E25749" t="n">
        <v>7.69</v>
      </c>
      <c r="F25749" t="n">
        <v>1</v>
      </c>
      <c r="G25749" t="n">
        <v>5</v>
      </c>
      <c r="H25749" s="5">
        <f>HYPERLINK("https://api.qogita.com/variants/link/8594040048433/", "View Product")</f>
        <v/>
      </c>
    </row>
    <row r="25750">
      <c r="A25750" t="inlineStr">
        <is>
          <t>8594040048617</t>
        </is>
      </c>
      <c r="B25750" t="inlineStr">
        <is>
          <t>Malibu Accelerator Sun Care Tanning</t>
        </is>
      </c>
      <c r="C25750" t="inlineStr">
        <is>
          <t>Body Self-Tanner</t>
        </is>
      </c>
      <c r="D25750" t="inlineStr">
        <is>
          <t>Malibu</t>
        </is>
      </c>
      <c r="E25750" t="n">
        <v>7.69</v>
      </c>
      <c r="F25750" t="n">
        <v>1</v>
      </c>
      <c r="G25750" t="n">
        <v>9</v>
      </c>
      <c r="H25750" s="5">
        <f>HYPERLINK("https://api.qogita.com/variants/link/8594040048617/", "View Product")</f>
        <v/>
      </c>
    </row>
    <row r="25751">
      <c r="A25751" t="inlineStr">
        <is>
          <t>8594040048624</t>
        </is>
      </c>
      <c r="B25751" t="inlineStr">
        <is>
          <t>Oranjito Hemp Accelerator</t>
        </is>
      </c>
      <c r="C25751" t="inlineStr">
        <is>
          <t>Alternative Medicine</t>
        </is>
      </c>
      <c r="D25751" t="inlineStr">
        <is>
          <t>Oranjito</t>
        </is>
      </c>
      <c r="E25751" t="n">
        <v>11.67</v>
      </c>
      <c r="F25751" t="n">
        <v>1</v>
      </c>
      <c r="G25751" t="n">
        <v>4</v>
      </c>
      <c r="H25751" s="5">
        <f>HYPERLINK("https://api.qogita.com/variants/link/8594040048624/", "View Product")</f>
        <v/>
      </c>
    </row>
    <row r="25752">
      <c r="A25752" t="inlineStr">
        <is>
          <t>8594049738533</t>
        </is>
      </c>
      <c r="B25752" t="inlineStr">
        <is>
          <t>CONCEPT KF-1310mo Hot Air Brush with 2 Attachments 20mm and 10mm Blue</t>
        </is>
      </c>
      <c r="C25752" t="inlineStr">
        <is>
          <t>Hot Air Brushes</t>
        </is>
      </c>
      <c r="D25752" t="inlineStr">
        <is>
          <t>Concept</t>
        </is>
      </c>
      <c r="E25752" t="n">
        <v>16.15</v>
      </c>
      <c r="F25752" t="n">
        <v>1</v>
      </c>
      <c r="G25752" t="n">
        <v>4</v>
      </c>
      <c r="H25752" s="5">
        <f>HYPERLINK("https://api.qogita.com/variants/link/8594049738533/", "View Product")</f>
        <v/>
      </c>
    </row>
    <row r="25753">
      <c r="A25753" t="inlineStr">
        <is>
          <t>8594057392895</t>
        </is>
      </c>
      <c r="B25753" t="inlineStr">
        <is>
          <t>Sefiros Makesha M5 - Cosmetic Brush</t>
        </is>
      </c>
      <c r="C25753" t="inlineStr">
        <is>
          <t>Brush Sets</t>
        </is>
      </c>
      <c r="D25753" t="inlineStr">
        <is>
          <t>Sefiros</t>
        </is>
      </c>
      <c r="E25753" t="n">
        <v>3.16</v>
      </c>
      <c r="F25753" t="n">
        <v>1</v>
      </c>
      <c r="G25753" t="n">
        <v>64</v>
      </c>
      <c r="H25753" s="5">
        <f>HYPERLINK("https://api.qogita.com/variants/link/8594057392895/", "View Product")</f>
        <v/>
      </c>
    </row>
    <row r="25754">
      <c r="A25754" t="inlineStr">
        <is>
          <t>8594057392956</t>
        </is>
      </c>
      <c r="B25754" t="inlineStr">
        <is>
          <t>Sefiros Makesha M11 - Cosmetic Brush</t>
        </is>
      </c>
      <c r="C25754" t="inlineStr">
        <is>
          <t>Brush Sets</t>
        </is>
      </c>
      <c r="D25754" t="inlineStr">
        <is>
          <t>Sefiros</t>
        </is>
      </c>
      <c r="E25754" t="n">
        <v>3.16</v>
      </c>
      <c r="F25754" t="n">
        <v>1</v>
      </c>
      <c r="G25754" t="n">
        <v>51</v>
      </c>
      <c r="H25754" s="5">
        <f>HYPERLINK("https://api.qogita.com/variants/link/8594057392956/", "View Product")</f>
        <v/>
      </c>
    </row>
    <row r="25755">
      <c r="A25755" t="inlineStr">
        <is>
          <t>8594057393519</t>
        </is>
      </c>
      <c r="B25755" t="inlineStr">
        <is>
          <t>Sefiros Argan Oil Night Cream - 50 Ml</t>
        </is>
      </c>
      <c r="C25755" t="inlineStr">
        <is>
          <t>Night Cream</t>
        </is>
      </c>
      <c r="D25755" t="inlineStr">
        <is>
          <t>Sefiros</t>
        </is>
      </c>
      <c r="E25755" t="n">
        <v>8.130000000000001</v>
      </c>
      <c r="F25755" t="n">
        <v>1</v>
      </c>
      <c r="G25755" t="n">
        <v>115</v>
      </c>
      <c r="H25755" s="5">
        <f>HYPERLINK("https://api.qogita.com/variants/link/8594057393519/", "View Product")</f>
        <v/>
      </c>
    </row>
    <row r="25756">
      <c r="A25756" t="inlineStr">
        <is>
          <t>8594057393984</t>
        </is>
      </c>
      <c r="B25756" t="inlineStr">
        <is>
          <t>Sefiros Oily Skin Serum Oilserum - 20 Ml</t>
        </is>
      </c>
      <c r="C25756" t="inlineStr">
        <is>
          <t>Hydrating Serum</t>
        </is>
      </c>
      <c r="D25756" t="inlineStr">
        <is>
          <t>Sefiros</t>
        </is>
      </c>
      <c r="E25756" t="n">
        <v>7.16</v>
      </c>
      <c r="F25756" t="n">
        <v>1</v>
      </c>
      <c r="G25756" t="n">
        <v>862</v>
      </c>
      <c r="H25756" s="5">
        <f>HYPERLINK("https://api.qogita.com/variants/link/8594057393984/", "View Product")</f>
        <v/>
      </c>
    </row>
    <row r="25757">
      <c r="A25757" t="inlineStr">
        <is>
          <t>8594057393991</t>
        </is>
      </c>
      <c r="B25757" t="inlineStr">
        <is>
          <t>Sefiros Pigment Serum - 60 Ml For Treating Pigment Spots</t>
        </is>
      </c>
      <c r="C25757" t="inlineStr">
        <is>
          <t>Glow Serum</t>
        </is>
      </c>
      <c r="D25757" t="inlineStr">
        <is>
          <t>Sefiros</t>
        </is>
      </c>
      <c r="E25757" t="n">
        <v>5.04</v>
      </c>
      <c r="F25757" t="n">
        <v>1</v>
      </c>
      <c r="G25757" t="n">
        <v>36</v>
      </c>
      <c r="H25757" s="5">
        <f>HYPERLINK("https://api.qogita.com/variants/link/8594057393991/", "View Product")</f>
        <v/>
      </c>
    </row>
    <row r="25758">
      <c r="A25758" t="inlineStr">
        <is>
          <t>8594069331660</t>
        </is>
      </c>
      <c r="B25758" t="inlineStr">
        <is>
          <t>White Pearl Whitening Toothpaste with Real Silver 100g</t>
        </is>
      </c>
      <c r="C25758" t="inlineStr">
        <is>
          <t>Toothpaste</t>
        </is>
      </c>
      <c r="D25758" t="inlineStr">
        <is>
          <t>Vitalcare</t>
        </is>
      </c>
      <c r="E25758" t="n">
        <v>6.81</v>
      </c>
      <c r="F25758" t="n">
        <v>1</v>
      </c>
      <c r="G25758" t="n">
        <v>4</v>
      </c>
      <c r="H25758" s="5">
        <f>HYPERLINK("https://api.qogita.com/variants/link/8594069331660/", "View Product")</f>
        <v/>
      </c>
    </row>
    <row r="25759">
      <c r="A25759" t="inlineStr">
        <is>
          <t>8594069332070</t>
        </is>
      </c>
      <c r="B25759" t="inlineStr">
        <is>
          <t>Vitalcare Hello Kitty Strawberry Flavor Gel Toothpaste 75 Ml</t>
        </is>
      </c>
      <c r="C25759" t="inlineStr">
        <is>
          <t>Dental Care For Children</t>
        </is>
      </c>
      <c r="D25759" t="inlineStr">
        <is>
          <t>Vitalcare</t>
        </is>
      </c>
      <c r="E25759" t="n">
        <v>3.39</v>
      </c>
      <c r="F25759" t="n">
        <v>1</v>
      </c>
      <c r="G25759" t="n">
        <v>14</v>
      </c>
      <c r="H25759" s="5">
        <f>HYPERLINK("https://api.qogita.com/variants/link/8594069332070/", "View Product")</f>
        <v/>
      </c>
    </row>
    <row r="25760">
      <c r="A25760" t="inlineStr">
        <is>
          <t>8594069332568</t>
        </is>
      </c>
      <c r="B25760" t="inlineStr">
        <is>
          <t>Batman Children's Toothbrush - 60 Second Blinking</t>
        </is>
      </c>
      <c r="C25760" t="inlineStr">
        <is>
          <t>Dental Care For Children</t>
        </is>
      </c>
      <c r="D25760" t="inlineStr">
        <is>
          <t>Vitalcare</t>
        </is>
      </c>
      <c r="E25760" t="n">
        <v>4.47</v>
      </c>
      <c r="F25760" t="n">
        <v>1</v>
      </c>
      <c r="G25760" t="n">
        <v>8</v>
      </c>
      <c r="H25760" s="5">
        <f>HYPERLINK("https://api.qogita.com/variants/link/8594069332568/", "View Product")</f>
        <v/>
      </c>
    </row>
    <row r="25761">
      <c r="A25761" t="inlineStr">
        <is>
          <t>8594069333084</t>
        </is>
      </c>
      <c r="B25761" t="inlineStr">
        <is>
          <t>Vitalcare White Pearl Teeth Whitening Strips</t>
        </is>
      </c>
      <c r="C25761" t="inlineStr">
        <is>
          <t>Teeth Whiteners</t>
        </is>
      </c>
      <c r="D25761" t="inlineStr">
        <is>
          <t>Vitalcare</t>
        </is>
      </c>
      <c r="E25761" t="n">
        <v>14.06</v>
      </c>
      <c r="F25761" t="n">
        <v>1</v>
      </c>
      <c r="G25761" t="n">
        <v>14</v>
      </c>
      <c r="H25761" s="5">
        <f>HYPERLINK("https://api.qogita.com/variants/link/8594069333084/", "View Product")</f>
        <v/>
      </c>
    </row>
    <row r="25762">
      <c r="A25762" t="inlineStr">
        <is>
          <t>8594069333251</t>
        </is>
      </c>
      <c r="B25762" t="inlineStr">
        <is>
          <t>White Pearl Whitening Pen 2.2 ml</t>
        </is>
      </c>
      <c r="C25762" t="inlineStr">
        <is>
          <t>Teeth Whiteners</t>
        </is>
      </c>
      <c r="D25762" t="inlineStr">
        <is>
          <t>Vitalcare</t>
        </is>
      </c>
      <c r="E25762" t="n">
        <v>8.609999999999999</v>
      </c>
      <c r="F25762" t="n">
        <v>1</v>
      </c>
      <c r="G25762" t="n">
        <v>2</v>
      </c>
      <c r="H25762" s="5">
        <f>HYPERLINK("https://api.qogita.com/variants/link/8594069333251/", "View Product")</f>
        <v/>
      </c>
    </row>
    <row r="25763">
      <c r="A25763" t="inlineStr">
        <is>
          <t>8594069333299</t>
        </is>
      </c>
      <c r="B25763" t="inlineStr">
        <is>
          <t>PAP Coconut Whitening Toothpaste</t>
        </is>
      </c>
      <c r="C25763" t="inlineStr">
        <is>
          <t>Toothpaste</t>
        </is>
      </c>
      <c r="D25763" t="inlineStr">
        <is>
          <t>Pap</t>
        </is>
      </c>
      <c r="E25763" t="n">
        <v>8.039999999999999</v>
      </c>
      <c r="F25763" t="n">
        <v>1</v>
      </c>
      <c r="G25763" t="n">
        <v>6</v>
      </c>
      <c r="H25763" s="5">
        <f>HYPERLINK("https://api.qogita.com/variants/link/8594069333299/", "View Product")</f>
        <v/>
      </c>
    </row>
    <row r="25764">
      <c r="A25764" t="inlineStr">
        <is>
          <t>8594069333336</t>
        </is>
      </c>
      <c r="B25764" t="inlineStr">
        <is>
          <t>CBD Charcoal Whitening Toothpaste - Bělicí zubní pasta s konopným olejem a aktivním uhlím</t>
        </is>
      </c>
      <c r="C25764" t="inlineStr">
        <is>
          <t>Toothpaste</t>
        </is>
      </c>
      <c r="D25764" t="inlineStr">
        <is>
          <t>White Pearl</t>
        </is>
      </c>
      <c r="E25764" t="n">
        <v>8.039999999999999</v>
      </c>
      <c r="F25764" t="n">
        <v>1</v>
      </c>
      <c r="G25764" t="n">
        <v>5</v>
      </c>
      <c r="H25764" s="5">
        <f>HYPERLINK("https://api.qogita.com/variants/link/8594069333336/", "View Product")</f>
        <v/>
      </c>
    </row>
    <row r="25765">
      <c r="A25765" t="inlineStr">
        <is>
          <t>8594162059058</t>
        </is>
      </c>
      <c r="B25765" t="inlineStr">
        <is>
          <t>Aloe Vera Gel 97% Cooling and Regenerating Gel After Sunbathing Small Wounds After Bite Sting Healer Burning After Shave</t>
        </is>
      </c>
      <c r="C25765" t="inlineStr">
        <is>
          <t>Antiseptics &amp; Cleaning Supplies</t>
        </is>
      </c>
      <c r="D25765" t="inlineStr">
        <is>
          <t>Aloe Vera</t>
        </is>
      </c>
      <c r="E25765" t="n">
        <v>3.29</v>
      </c>
      <c r="F25765" t="n">
        <v>1</v>
      </c>
      <c r="G25765" t="n">
        <v>3</v>
      </c>
      <c r="H25765" s="5">
        <f>HYPERLINK("https://api.qogita.com/variants/link/8594162059058/", "View Product")</f>
        <v/>
      </c>
    </row>
    <row r="25766">
      <c r="A25766" t="inlineStr">
        <is>
          <t>8594166103764</t>
        </is>
      </c>
      <c r="B25766" t="inlineStr">
        <is>
          <t>Beautyrelax Br1150w Ultrasound Cosmetic Device With 5in1 Photon Therapy And 4in1 Galvanic Skin Iron</t>
        </is>
      </c>
      <c r="C25766" t="inlineStr">
        <is>
          <t>Facial Massage</t>
        </is>
      </c>
      <c r="D25766" t="inlineStr">
        <is>
          <t>Beautyrelax</t>
        </is>
      </c>
      <c r="E25766" t="n">
        <v>109.94</v>
      </c>
      <c r="F25766" t="n">
        <v>1</v>
      </c>
      <c r="G25766" t="n">
        <v>7</v>
      </c>
      <c r="H25766" s="5">
        <f>HYPERLINK("https://api.qogita.com/variants/link/8594166103764/", "View Product")</f>
        <v/>
      </c>
    </row>
    <row r="25767">
      <c r="A25767" t="inlineStr">
        <is>
          <t>8594166114265</t>
        </is>
      </c>
      <c r="B25767" t="inlineStr">
        <is>
          <t>Beautyrelax Peelmax Cosmetic Device For Skin Abrasion</t>
        </is>
      </c>
      <c r="C25767" t="inlineStr">
        <is>
          <t>Facial Cleansing Tools</t>
        </is>
      </c>
      <c r="D25767" t="inlineStr">
        <is>
          <t>Beautyrelax</t>
        </is>
      </c>
      <c r="E25767" t="n">
        <v>52.68</v>
      </c>
      <c r="F25767" t="n">
        <v>1</v>
      </c>
      <c r="G25767" t="n">
        <v>3</v>
      </c>
      <c r="H25767" s="5">
        <f>HYPERLINK("https://api.qogita.com/variants/link/8594166114265/", "View Product")</f>
        <v/>
      </c>
    </row>
    <row r="25768">
      <c r="A25768" t="inlineStr">
        <is>
          <t>8594166114920</t>
        </is>
      </c>
      <c r="B25768" t="inlineStr">
        <is>
          <t>Beautyrelax Celluform Lite Br1220l Aesthetic Device For Shaping Problem Areas</t>
        </is>
      </c>
      <c r="C25768" t="inlineStr">
        <is>
          <t>Anti-Cellulite</t>
        </is>
      </c>
      <c r="D25768" t="inlineStr">
        <is>
          <t>Beautyrelax</t>
        </is>
      </c>
      <c r="E25768" t="n">
        <v>113.79</v>
      </c>
      <c r="F25768" t="n">
        <v>1</v>
      </c>
      <c r="G25768" t="n">
        <v>2</v>
      </c>
      <c r="H25768" s="5">
        <f>HYPERLINK("https://api.qogita.com/variants/link/8594166114920/", "View Product")</f>
        <v/>
      </c>
    </row>
    <row r="25769">
      <c r="A25769" t="inlineStr">
        <is>
          <t>8594172392046</t>
        </is>
      </c>
      <c r="B25769" t="inlineStr">
        <is>
          <t>Francesco's Goods Shea Butter 180ml</t>
        </is>
      </c>
      <c r="C25769" t="inlineStr">
        <is>
          <t>Body Butter</t>
        </is>
      </c>
      <c r="D25769" t="inlineStr">
        <is>
          <t>Francesco's</t>
        </is>
      </c>
      <c r="E25769" t="n">
        <v>22.87</v>
      </c>
      <c r="F25769" t="n">
        <v>1</v>
      </c>
      <c r="G25769" t="n">
        <v>30</v>
      </c>
      <c r="H25769" s="5">
        <f>HYPERLINK("https://api.qogita.com/variants/link/8594172392046/", "View Product")</f>
        <v/>
      </c>
    </row>
    <row r="25770">
      <c r="A25770" t="inlineStr">
        <is>
          <t>8594177062548</t>
        </is>
      </c>
      <c r="B25770" t="inlineStr">
        <is>
          <t>Pure Bioactive Marine Collagen and Hyaluronic Acid Hand Cream Moisturizing Lotion for Hands Fingers Cuticles Nails Anti-Aging to Soothe Rejuvenate Dry Cracked Skin 75ml</t>
        </is>
      </c>
      <c r="C25770" t="inlineStr">
        <is>
          <t>Hand Cream</t>
        </is>
      </c>
      <c r="D25770" t="inlineStr">
        <is>
          <t>Collamedic</t>
        </is>
      </c>
      <c r="E25770" t="n">
        <v>6.33</v>
      </c>
      <c r="F25770" t="n">
        <v>1</v>
      </c>
      <c r="G25770" t="n">
        <v>7</v>
      </c>
      <c r="H25770" s="5">
        <f>HYPERLINK("https://api.qogita.com/variants/link/8594177062548/", "View Product")</f>
        <v/>
      </c>
    </row>
    <row r="25771">
      <c r="A25771" t="inlineStr">
        <is>
          <t>8594177062616</t>
        </is>
      </c>
      <c r="B25771" t="inlineStr">
        <is>
          <t>Hair vitamins Hair Care 30 capsules</t>
        </is>
      </c>
      <c r="C25771" t="inlineStr">
        <is>
          <t>Vitamin</t>
        </is>
      </c>
      <c r="D25771" t="inlineStr">
        <is>
          <t>Collamedic</t>
        </is>
      </c>
      <c r="E25771" t="n">
        <v>19.58</v>
      </c>
      <c r="F25771" t="n">
        <v>1</v>
      </c>
      <c r="G25771" t="n">
        <v>9</v>
      </c>
      <c r="H25771" s="5">
        <f>HYPERLINK("https://api.qogita.com/variants/link/8594177062616/", "View Product")</f>
        <v/>
      </c>
    </row>
    <row r="25772">
      <c r="A25772" t="inlineStr">
        <is>
          <t>8594180030794</t>
        </is>
      </c>
      <c r="B25772" t="inlineStr">
        <is>
          <t>Tea Tree Oil 100ml with Dropper Renovality - Made in Czech Republic</t>
        </is>
      </c>
      <c r="C25772" t="inlineStr">
        <is>
          <t>Aromatherapy &amp; Essential Oils</t>
        </is>
      </c>
      <c r="D25772" t="inlineStr">
        <is>
          <t>Renovality</t>
        </is>
      </c>
      <c r="E25772" t="n">
        <v>15.32</v>
      </c>
      <c r="F25772" t="n">
        <v>1</v>
      </c>
      <c r="G25772" t="n">
        <v>9</v>
      </c>
      <c r="H25772" s="5">
        <f>HYPERLINK("https://api.qogita.com/variants/link/8594180030794/", "View Product")</f>
        <v/>
      </c>
    </row>
    <row r="25773">
      <c r="A25773" t="inlineStr">
        <is>
          <t>8594187810047</t>
        </is>
      </c>
      <c r="B25773" t="inlineStr">
        <is>
          <t>Rosehip Oil Cold Pressed 100ml with Pipette Renovality - Made in Czech Republic</t>
        </is>
      </c>
      <c r="C25773" t="inlineStr">
        <is>
          <t>Facial Oil</t>
        </is>
      </c>
      <c r="D25773" t="inlineStr">
        <is>
          <t>Renovality</t>
        </is>
      </c>
      <c r="E25773" t="n">
        <v>15.06</v>
      </c>
      <c r="F25773" t="n">
        <v>1</v>
      </c>
      <c r="G25773" t="n">
        <v>9</v>
      </c>
      <c r="H25773" s="5">
        <f>HYPERLINK("https://api.qogita.com/variants/link/8594187810047/", "View Product")</f>
        <v/>
      </c>
    </row>
    <row r="25774">
      <c r="A25774" t="inlineStr">
        <is>
          <t>8594187810146</t>
        </is>
      </c>
      <c r="B25774" t="inlineStr">
        <is>
          <t>Original Series Hyaluron Skin Serum 50ml</t>
        </is>
      </c>
      <c r="C25774" t="inlineStr">
        <is>
          <t>Hyaluronic Acid Serum</t>
        </is>
      </c>
      <c r="D25774" t="inlineStr">
        <is>
          <t>Renovality</t>
        </is>
      </c>
      <c r="E25774" t="n">
        <v>14.65</v>
      </c>
      <c r="F25774" t="n">
        <v>1</v>
      </c>
      <c r="G25774" t="n">
        <v>8</v>
      </c>
      <c r="H25774" s="5">
        <f>HYPERLINK("https://api.qogita.com/variants/link/8594187810146/", "View Product")</f>
        <v/>
      </c>
    </row>
    <row r="25775">
      <c r="A25775" t="inlineStr">
        <is>
          <t>8594187810894</t>
        </is>
      </c>
      <c r="B25775" t="inlineStr">
        <is>
          <t>Renovality Lavender Water 100ml Made in Czech Republic</t>
        </is>
      </c>
      <c r="C25775" t="inlineStr">
        <is>
          <t>Incense</t>
        </is>
      </c>
      <c r="D25775" t="inlineStr">
        <is>
          <t>Renovality</t>
        </is>
      </c>
      <c r="E25775" t="n">
        <v>5.74</v>
      </c>
      <c r="F25775" t="n">
        <v>1</v>
      </c>
      <c r="G25775" t="n">
        <v>8</v>
      </c>
      <c r="H25775" s="5">
        <f>HYPERLINK("https://api.qogita.com/variants/link/8594187810894/", "View Product")</f>
        <v/>
      </c>
    </row>
    <row r="25776">
      <c r="A25776" t="inlineStr">
        <is>
          <t>8594187813260</t>
        </is>
      </c>
      <c r="B25776" t="inlineStr">
        <is>
          <t>Renovality Original Series SPF 30 Mineral Cream with UV Protection</t>
        </is>
      </c>
      <c r="C25776" t="inlineStr">
        <is>
          <t>Body Sun Protection</t>
        </is>
      </c>
      <c r="D25776" t="inlineStr">
        <is>
          <t>Renovality</t>
        </is>
      </c>
      <c r="E25776" t="n">
        <v>8.99</v>
      </c>
      <c r="F25776" t="n">
        <v>1</v>
      </c>
      <c r="G25776" t="n">
        <v>5</v>
      </c>
      <c r="H25776" s="5">
        <f>HYPERLINK("https://api.qogita.com/variants/link/8594187813260/", "View Product")</f>
        <v/>
      </c>
    </row>
    <row r="25777">
      <c r="A25777" t="inlineStr">
        <is>
          <t>8594187813338</t>
        </is>
      </c>
      <c r="B25777" t="inlineStr">
        <is>
          <t>Renovality Original Series Acne Cream 30 ml</t>
        </is>
      </c>
      <c r="C25777" t="inlineStr">
        <is>
          <t>Pimple &amp; Blackhead Treatments</t>
        </is>
      </c>
      <c r="D25777" t="inlineStr">
        <is>
          <t>Renovality</t>
        </is>
      </c>
      <c r="E25777" t="n">
        <v>11.69</v>
      </c>
      <c r="F25777" t="n">
        <v>1</v>
      </c>
      <c r="G25777" t="n">
        <v>12</v>
      </c>
      <c r="H25777" s="5">
        <f>HYPERLINK("https://api.qogita.com/variants/link/8594187813338/", "View Product")</f>
        <v/>
      </c>
    </row>
    <row r="25778">
      <c r="A25778" t="inlineStr">
        <is>
          <t>8594191206317</t>
        </is>
      </c>
      <c r="B25778" t="inlineStr">
        <is>
          <t>Steve's No Bullt Nuts &amp; Thighs Sports Lubricant 100 Ml</t>
        </is>
      </c>
      <c r="C25778" t="inlineStr">
        <is>
          <t>Intimate Lubricants</t>
        </is>
      </c>
      <c r="D25778" t="inlineStr">
        <is>
          <t>Steve's No Bull</t>
        </is>
      </c>
      <c r="E25778" t="n">
        <v>8.789999999999999</v>
      </c>
      <c r="F25778" t="n">
        <v>1</v>
      </c>
      <c r="G25778" t="n">
        <v>5</v>
      </c>
      <c r="H25778" s="5">
        <f>HYPERLINK("https://api.qogita.com/variants/link/8594191206317/", "View Product")</f>
        <v/>
      </c>
    </row>
    <row r="25779">
      <c r="A25779" t="inlineStr">
        <is>
          <t>8594199040265</t>
        </is>
      </c>
      <c r="B25779" t="inlineStr">
        <is>
          <t>Bonfire Rinse Off Conditioner</t>
        </is>
      </c>
      <c r="C25779" t="inlineStr">
        <is>
          <t>Conditioner</t>
        </is>
      </c>
      <c r="D25779" t="inlineStr">
        <is>
          <t>Bonfire</t>
        </is>
      </c>
      <c r="E25779" t="n">
        <v>25.92</v>
      </c>
      <c r="F25779" t="n">
        <v>1</v>
      </c>
      <c r="G25779" t="n">
        <v>5</v>
      </c>
      <c r="H25779" s="5">
        <f>HYPERLINK("https://api.qogita.com/variants/link/8594199040265/", "View Product")</f>
        <v/>
      </c>
    </row>
    <row r="25780">
      <c r="A25780" t="inlineStr">
        <is>
          <t>8594199040296</t>
        </is>
      </c>
      <c r="B25780" t="inlineStr">
        <is>
          <t>Calming Face Tonic Relief (Calming Face Toner) 100 ml</t>
        </is>
      </c>
      <c r="C25780" t="inlineStr">
        <is>
          <t>Facial Spray</t>
        </is>
      </c>
      <c r="D25780" t="inlineStr">
        <is>
          <t>Tomas Arsov</t>
        </is>
      </c>
      <c r="E25780" t="n">
        <v>11.44</v>
      </c>
      <c r="F25780" t="n">
        <v>1</v>
      </c>
      <c r="G25780" t="n">
        <v>3</v>
      </c>
      <c r="H25780" s="5">
        <f>HYPERLINK("https://api.qogita.com/variants/link/8594199040296/", "View Product")</f>
        <v/>
      </c>
    </row>
    <row r="25781">
      <c r="A25781" t="inlineStr">
        <is>
          <t>8594199040517</t>
        </is>
      </c>
      <c r="B25781" t="inlineStr">
        <is>
          <t>Loopy Shampoo 250 ml</t>
        </is>
      </c>
      <c r="C25781" t="inlineStr">
        <is>
          <t>Shampoo</t>
        </is>
      </c>
      <c r="D25781" t="inlineStr">
        <is>
          <t>Tomas Arsov</t>
        </is>
      </c>
      <c r="E25781" t="n">
        <v>13.1</v>
      </c>
      <c r="F25781" t="n">
        <v>1</v>
      </c>
      <c r="G25781" t="n">
        <v>8</v>
      </c>
      <c r="H25781" s="5">
        <f>HYPERLINK("https://api.qogita.com/variants/link/8594199040517/", "View Product")</f>
        <v/>
      </c>
    </row>
    <row r="25782">
      <c r="A25782" t="inlineStr">
        <is>
          <t>8594199040548</t>
        </is>
      </c>
      <c r="B25782" t="inlineStr">
        <is>
          <t>Tomas Arsov Fig Caviar Wood Eau De Parfum 50 Ml</t>
        </is>
      </c>
      <c r="C25782" t="inlineStr">
        <is>
          <t>Eau De Parfum</t>
        </is>
      </c>
      <c r="D25782" t="inlineStr">
        <is>
          <t>Tomas Arsov</t>
        </is>
      </c>
      <c r="E25782" t="n">
        <v>48.86</v>
      </c>
      <c r="F25782" t="n">
        <v>1</v>
      </c>
      <c r="G25782" t="n">
        <v>5</v>
      </c>
      <c r="H25782" s="5">
        <f>HYPERLINK("https://api.qogita.com/variants/link/8594199040548/", "View Product")</f>
        <v/>
      </c>
    </row>
    <row r="25783">
      <c r="A25783" t="inlineStr">
        <is>
          <t>8594199040555</t>
        </is>
      </c>
      <c r="B25783" t="inlineStr">
        <is>
          <t>Tomas Arsov Fig Caviar Wood Shower Gel 200 Ml</t>
        </is>
      </c>
      <c r="C25783" t="inlineStr">
        <is>
          <t>Shower Gel</t>
        </is>
      </c>
      <c r="D25783" t="inlineStr">
        <is>
          <t>Tomas Arsov</t>
        </is>
      </c>
      <c r="E25783" t="n">
        <v>6.75</v>
      </c>
      <c r="F25783" t="n">
        <v>1</v>
      </c>
      <c r="G25783" t="n">
        <v>5</v>
      </c>
      <c r="H25783" s="5">
        <f>HYPERLINK("https://api.qogita.com/variants/link/8594199040555/", "View Product")</f>
        <v/>
      </c>
    </row>
    <row r="25784">
      <c r="A25784" t="inlineStr">
        <is>
          <t>8594199040661</t>
        </is>
      </c>
      <c r="B25784" t="inlineStr">
        <is>
          <t>Hydrating Skin Cream Re-Barrier (Moisturizer) 50 ml</t>
        </is>
      </c>
      <c r="C25784" t="inlineStr">
        <is>
          <t>Face Cream</t>
        </is>
      </c>
      <c r="D25784" t="inlineStr">
        <is>
          <t>Tomas Arsov</t>
        </is>
      </c>
      <c r="E25784" t="n">
        <v>14.73</v>
      </c>
      <c r="F25784" t="n">
        <v>1</v>
      </c>
      <c r="G25784" t="n">
        <v>2</v>
      </c>
      <c r="H25784" s="5">
        <f>HYPERLINK("https://api.qogita.com/variants/link/8594199040661/", "View Product")</f>
        <v/>
      </c>
    </row>
    <row r="25785">
      <c r="A25785" t="inlineStr">
        <is>
          <t>8594199040760</t>
        </is>
      </c>
      <c r="B25785" t="inlineStr">
        <is>
          <t>Tomas Arsov Sandalwood Violet Leather Eau De Parfum</t>
        </is>
      </c>
      <c r="C25785" t="inlineStr">
        <is>
          <t>Eau De Parfum</t>
        </is>
      </c>
      <c r="D25785" t="inlineStr">
        <is>
          <t>Tomas Arsov</t>
        </is>
      </c>
      <c r="E25785" t="n">
        <v>48.86</v>
      </c>
      <c r="F25785" t="n">
        <v>1</v>
      </c>
      <c r="G25785" t="n">
        <v>4</v>
      </c>
      <c r="H25785" s="5">
        <f>HYPERLINK("https://api.qogita.com/variants/link/8594199040760/", "View Product")</f>
        <v/>
      </c>
    </row>
    <row r="25786">
      <c r="A25786" t="inlineStr">
        <is>
          <t>8594209100019</t>
        </is>
      </c>
      <c r="B25786" t="inlineStr">
        <is>
          <t>Palsar 7 Led Face Treatment Mask 7 Colors White</t>
        </is>
      </c>
      <c r="C25786" t="inlineStr">
        <is>
          <t>Glow Mask</t>
        </is>
      </c>
      <c r="D25786" t="inlineStr">
        <is>
          <t>Palisade</t>
        </is>
      </c>
      <c r="E25786" t="n">
        <v>184.33</v>
      </c>
      <c r="F25786" t="n">
        <v>1</v>
      </c>
      <c r="G25786" t="n">
        <v>9</v>
      </c>
      <c r="H25786" s="5">
        <f>HYPERLINK("https://api.qogita.com/variants/link/8594209100019/", "View Product")</f>
        <v/>
      </c>
    </row>
    <row r="25787">
      <c r="A25787" t="inlineStr">
        <is>
          <t>8594209100026</t>
        </is>
      </c>
      <c r="B25787" t="inlineStr">
        <is>
          <t>Palsar 7 Led Face And Neck Treatment Mask White</t>
        </is>
      </c>
      <c r="C25787" t="inlineStr">
        <is>
          <t>Sheet Mask</t>
        </is>
      </c>
      <c r="D25787" t="inlineStr">
        <is>
          <t>Palisade</t>
        </is>
      </c>
      <c r="E25787" t="n">
        <v>206.3</v>
      </c>
      <c r="F25787" t="n">
        <v>1</v>
      </c>
      <c r="G25787" t="n">
        <v>5</v>
      </c>
      <c r="H25787" s="5">
        <f>HYPERLINK("https://api.qogita.com/variants/link/8594209100026/", "View Product")</f>
        <v/>
      </c>
    </row>
    <row r="25788">
      <c r="A25788" t="inlineStr">
        <is>
          <t>8594209100033</t>
        </is>
      </c>
      <c r="B25788" t="inlineStr">
        <is>
          <t>Gold LED Mask</t>
        </is>
      </c>
      <c r="C25788" t="inlineStr">
        <is>
          <t>Glow Mask</t>
        </is>
      </c>
      <c r="D25788" t="inlineStr">
        <is>
          <t>Gold</t>
        </is>
      </c>
      <c r="E25788" t="n">
        <v>141.57</v>
      </c>
      <c r="F25788" t="n">
        <v>1</v>
      </c>
      <c r="G25788" t="n">
        <v>4</v>
      </c>
      <c r="H25788" s="5">
        <f>HYPERLINK("https://api.qogita.com/variants/link/8594209100033/", "View Product")</f>
        <v/>
      </c>
    </row>
    <row r="25789">
      <c r="A25789" t="inlineStr">
        <is>
          <t>8594209100200</t>
        </is>
      </c>
      <c r="B25789" t="inlineStr">
        <is>
          <t>Palsar 7 Massage Plate Guasha White Jadeite</t>
        </is>
      </c>
      <c r="C25789" t="inlineStr">
        <is>
          <t>Massage</t>
        </is>
      </c>
      <c r="D25789" t="inlineStr">
        <is>
          <t>Palsar 7</t>
        </is>
      </c>
      <c r="E25789" t="n">
        <v>14.43</v>
      </c>
      <c r="F25789" t="n">
        <v>1</v>
      </c>
      <c r="G25789" t="n">
        <v>4</v>
      </c>
      <c r="H25789" s="5">
        <f>HYPERLINK("https://api.qogita.com/variants/link/8594209100200/", "View Product")</f>
        <v/>
      </c>
    </row>
    <row r="25790">
      <c r="A25790" t="inlineStr">
        <is>
          <t>8594209100217</t>
        </is>
      </c>
      <c r="B25790" t="inlineStr">
        <is>
          <t>White Jade Face Roller</t>
        </is>
      </c>
      <c r="C25790" t="inlineStr">
        <is>
          <t>Facial Massage</t>
        </is>
      </c>
      <c r="D25790" t="inlineStr">
        <is>
          <t>Palsar 7</t>
        </is>
      </c>
      <c r="E25790" t="n">
        <v>18.35</v>
      </c>
      <c r="F25790" t="n">
        <v>1</v>
      </c>
      <c r="G25790" t="n">
        <v>3</v>
      </c>
      <c r="H25790" s="5">
        <f>HYPERLINK("https://api.qogita.com/variants/link/8594209100217/", "View Product")</f>
        <v/>
      </c>
    </row>
    <row r="25791">
      <c r="A25791" t="inlineStr">
        <is>
          <t>8594209100248</t>
        </is>
      </c>
      <c r="B25791" t="inlineStr">
        <is>
          <t>Palsar 7 Light Green Xiuyan Jade Roller Massager</t>
        </is>
      </c>
      <c r="C25791" t="inlineStr">
        <is>
          <t>Facial Massage</t>
        </is>
      </c>
      <c r="D25791" t="inlineStr">
        <is>
          <t>Palisade</t>
        </is>
      </c>
      <c r="E25791" t="n">
        <v>11.75</v>
      </c>
      <c r="F25791" t="n">
        <v>1</v>
      </c>
      <c r="G25791" t="n">
        <v>8</v>
      </c>
      <c r="H25791" s="5">
        <f>HYPERLINK("https://api.qogita.com/variants/link/8594209100248/", "View Product")</f>
        <v/>
      </c>
    </row>
    <row r="25792">
      <c r="A25792" t="inlineStr">
        <is>
          <t>8594209100262</t>
        </is>
      </c>
      <c r="B25792" t="inlineStr">
        <is>
          <t>Palsar 7 Light Green Xiuyan Jade Roller &amp; Gua Sha Set</t>
        </is>
      </c>
      <c r="C25792" t="inlineStr">
        <is>
          <t>Facial Massage</t>
        </is>
      </c>
      <c r="D25792" t="inlineStr">
        <is>
          <t>Palisade</t>
        </is>
      </c>
      <c r="E25792" t="n">
        <v>22.44</v>
      </c>
      <c r="F25792" t="n">
        <v>1</v>
      </c>
      <c r="G25792" t="n">
        <v>6</v>
      </c>
      <c r="H25792" s="5">
        <f>HYPERLINK("https://api.qogita.com/variants/link/8594209100262/", "View Product")</f>
        <v/>
      </c>
    </row>
    <row r="25793">
      <c r="A25793" t="inlineStr">
        <is>
          <t>8595003108782</t>
        </is>
      </c>
      <c r="B25793" t="inlineStr">
        <is>
          <t>Dermacol Aroma Ritual Refreshing Body Scrub Fresh Watermelon 200g</t>
        </is>
      </c>
      <c r="C25793" t="inlineStr">
        <is>
          <t>Body Scrub &amp; Peeling</t>
        </is>
      </c>
      <c r="D25793" t="inlineStr">
        <is>
          <t>Dermacol</t>
        </is>
      </c>
      <c r="E25793" t="n">
        <v>6.92</v>
      </c>
      <c r="F25793" t="n">
        <v>1</v>
      </c>
      <c r="G25793" t="n">
        <v>5</v>
      </c>
      <c r="H25793" s="5">
        <f>HYPERLINK("https://api.qogita.com/variants/link/8595003108782/", "View Product")</f>
        <v/>
      </c>
    </row>
    <row r="25794">
      <c r="A25794" t="inlineStr">
        <is>
          <t>8595003113342</t>
        </is>
      </c>
      <c r="B25794" t="inlineStr">
        <is>
          <t>Dermacol Perfume Water Black Amber &amp; Patchouli Eau De Parfum 50 Ml</t>
        </is>
      </c>
      <c r="C25794" t="inlineStr">
        <is>
          <t>Eau De Parfum</t>
        </is>
      </c>
      <c r="D25794" t="inlineStr">
        <is>
          <t>Dermacol</t>
        </is>
      </c>
      <c r="E25794" t="n">
        <v>14.67</v>
      </c>
      <c r="F25794" t="n">
        <v>1</v>
      </c>
      <c r="G25794" t="n">
        <v>21</v>
      </c>
      <c r="H25794" s="5">
        <f>HYPERLINK("https://api.qogita.com/variants/link/8595003113342/", "View Product")</f>
        <v/>
      </c>
    </row>
    <row r="25795">
      <c r="A25795" t="inlineStr">
        <is>
          <t>8595003113793</t>
        </is>
      </c>
      <c r="B25795" t="inlineStr">
        <is>
          <t>Dermacol Fitness My Body Extra Firming Body Balm 150 Ml</t>
        </is>
      </c>
      <c r="C25795" t="inlineStr">
        <is>
          <t>Body Butter</t>
        </is>
      </c>
      <c r="D25795" t="inlineStr">
        <is>
          <t>Dermacol</t>
        </is>
      </c>
      <c r="E25795" t="n">
        <v>7.8</v>
      </c>
      <c r="F25795" t="n">
        <v>1</v>
      </c>
      <c r="G25795" t="n">
        <v>6</v>
      </c>
      <c r="H25795" s="5">
        <f>HYPERLINK("https://api.qogita.com/variants/link/8595003113793/", "View Product")</f>
        <v/>
      </c>
    </row>
    <row r="25796">
      <c r="A25796" t="inlineStr">
        <is>
          <t>8595003115414</t>
        </is>
      </c>
      <c r="B25796" t="inlineStr">
        <is>
          <t>Dermacol Perfume Diffuser Sweet Orange And Honeysuckle 100 Ml</t>
        </is>
      </c>
      <c r="C25796" t="inlineStr">
        <is>
          <t>Diffusers</t>
        </is>
      </c>
      <c r="D25796" t="inlineStr">
        <is>
          <t>Dermacol</t>
        </is>
      </c>
      <c r="E25796" t="n">
        <v>25.28</v>
      </c>
      <c r="F25796" t="n">
        <v>1</v>
      </c>
      <c r="G25796" t="n">
        <v>9</v>
      </c>
      <c r="H25796" s="5">
        <f>HYPERLINK("https://api.qogita.com/variants/link/8595003115414/", "View Product")</f>
        <v/>
      </c>
    </row>
    <row r="25797">
      <c r="A25797" t="inlineStr">
        <is>
          <t>8595003117135</t>
        </is>
      </c>
      <c r="B25797" t="inlineStr">
        <is>
          <t>Dermacol Fresh Pine And Pepper Eau De Parfum 50 Ml</t>
        </is>
      </c>
      <c r="C25797" t="inlineStr">
        <is>
          <t>Eau De Parfum</t>
        </is>
      </c>
      <c r="D25797" t="inlineStr">
        <is>
          <t>Dermacol</t>
        </is>
      </c>
      <c r="E25797" t="n">
        <v>14.67</v>
      </c>
      <c r="F25797" t="n">
        <v>1</v>
      </c>
      <c r="G25797" t="n">
        <v>6</v>
      </c>
      <c r="H25797" s="5">
        <f>HYPERLINK("https://api.qogita.com/variants/link/8595003117135/", "View Product")</f>
        <v/>
      </c>
    </row>
    <row r="25798">
      <c r="A25798" t="inlineStr">
        <is>
          <t>8595003117456</t>
        </is>
      </c>
      <c r="B25798" t="inlineStr">
        <is>
          <t>Dermacol Solar Bronze Body Accelerator</t>
        </is>
      </c>
      <c r="C25798" t="inlineStr">
        <is>
          <t>Body Sun Protection</t>
        </is>
      </c>
      <c r="D25798" t="inlineStr">
        <is>
          <t>Dermacol</t>
        </is>
      </c>
      <c r="E25798" t="n">
        <v>10.12</v>
      </c>
      <c r="F25798" t="n">
        <v>1</v>
      </c>
      <c r="G25798" t="n">
        <v>18</v>
      </c>
      <c r="H25798" s="5">
        <f>HYPERLINK("https://api.qogita.com/variants/link/8595003117456/", "View Product")</f>
        <v/>
      </c>
    </row>
    <row r="25799">
      <c r="A25799" t="inlineStr">
        <is>
          <t>8595003117470</t>
        </is>
      </c>
      <c r="B25799" t="inlineStr">
        <is>
          <t>Dermacol Betacarotene Body Milk Body Lotion With Betacarotene 200 Ml</t>
        </is>
      </c>
      <c r="C25799" t="inlineStr">
        <is>
          <t>Body Lotion</t>
        </is>
      </c>
      <c r="D25799" t="inlineStr">
        <is>
          <t>Dermacol</t>
        </is>
      </c>
      <c r="E25799" t="n">
        <v>6.33</v>
      </c>
      <c r="F25799" t="n">
        <v>1</v>
      </c>
      <c r="G25799" t="n">
        <v>22</v>
      </c>
      <c r="H25799" s="5">
        <f>HYPERLINK("https://api.qogita.com/variants/link/8595003117470/", "View Product")</f>
        <v/>
      </c>
    </row>
    <row r="25800">
      <c r="A25800" t="inlineStr">
        <is>
          <t>8595003117753</t>
        </is>
      </c>
      <c r="B25800" t="inlineStr">
        <is>
          <t>Dermacol After Sun Care &amp; Relief Shower Gel 250ml</t>
        </is>
      </c>
      <c r="C25800" t="inlineStr">
        <is>
          <t>Aftersun</t>
        </is>
      </c>
      <c r="D25800" t="inlineStr">
        <is>
          <t>Dermacol</t>
        </is>
      </c>
      <c r="E25800" t="n">
        <v>4.85</v>
      </c>
      <c r="F25800" t="n">
        <v>1</v>
      </c>
      <c r="G25800" t="n">
        <v>3</v>
      </c>
      <c r="H25800" s="5">
        <f>HYPERLINK("https://api.qogita.com/variants/link/8595003117753/", "View Product")</f>
        <v/>
      </c>
    </row>
    <row r="25801">
      <c r="A25801" t="inlineStr">
        <is>
          <t>8595003118040</t>
        </is>
      </c>
      <c r="B25801" t="inlineStr">
        <is>
          <t>Dermacol Aroma Ritual Brazilian Coconut Shower Gel 250ml</t>
        </is>
      </c>
      <c r="C25801" t="inlineStr">
        <is>
          <t>Shower Gel</t>
        </is>
      </c>
      <c r="D25801" t="inlineStr">
        <is>
          <t>Dermacol</t>
        </is>
      </c>
      <c r="E25801" t="n">
        <v>3.26</v>
      </c>
      <c r="F25801" t="n">
        <v>1</v>
      </c>
      <c r="G25801" t="n">
        <v>9</v>
      </c>
      <c r="H25801" s="5">
        <f>HYPERLINK("https://api.qogita.com/variants/link/8595003118040/", "View Product")</f>
        <v/>
      </c>
    </row>
    <row r="25802">
      <c r="A25802" t="inlineStr">
        <is>
          <t>8595003120548</t>
        </is>
      </c>
      <c r="B25802" t="inlineStr">
        <is>
          <t>Dermacol Hand and Nail Cream for Women</t>
        </is>
      </c>
      <c r="C25802" t="inlineStr">
        <is>
          <t>Hand Cream</t>
        </is>
      </c>
      <c r="D25802" t="inlineStr">
        <is>
          <t>Dermacol</t>
        </is>
      </c>
      <c r="E25802" t="n">
        <v>3.5</v>
      </c>
      <c r="F25802" t="n">
        <v>1</v>
      </c>
      <c r="G25802" t="n">
        <v>8</v>
      </c>
      <c r="H25802" s="5">
        <f>HYPERLINK("https://api.qogita.com/variants/link/8595003120548/", "View Product")</f>
        <v/>
      </c>
    </row>
    <row r="25803">
      <c r="A25803" t="inlineStr">
        <is>
          <t>8595003120739</t>
        </is>
      </c>
      <c r="B25803" t="inlineStr">
        <is>
          <t>Dermacol Soothing Body Lotion With Hemp Oil 200 Ml</t>
        </is>
      </c>
      <c r="C25803" t="inlineStr">
        <is>
          <t>Body Lotion</t>
        </is>
      </c>
      <c r="D25803" t="inlineStr">
        <is>
          <t>Dermacol</t>
        </is>
      </c>
      <c r="E25803" t="n">
        <v>6.33</v>
      </c>
      <c r="F25803" t="n">
        <v>1</v>
      </c>
      <c r="G25803" t="n">
        <v>5</v>
      </c>
      <c r="H25803" s="5">
        <f>HYPERLINK("https://api.qogita.com/variants/link/8595003120739/", "View Product")</f>
        <v/>
      </c>
    </row>
    <row r="25804">
      <c r="A25804" t="inlineStr">
        <is>
          <t>8595003120999</t>
        </is>
      </c>
      <c r="B25804" t="inlineStr">
        <is>
          <t>Dermacol Hand and Nail Cream for Women</t>
        </is>
      </c>
      <c r="C25804" t="inlineStr">
        <is>
          <t>Hand Cream</t>
        </is>
      </c>
      <c r="D25804" t="inlineStr">
        <is>
          <t>Dermacol</t>
        </is>
      </c>
      <c r="E25804" t="n">
        <v>2.78</v>
      </c>
      <c r="F25804" t="n">
        <v>1</v>
      </c>
      <c r="G25804" t="n">
        <v>5</v>
      </c>
      <c r="H25804" s="5">
        <f>HYPERLINK("https://api.qogita.com/variants/link/8595003120999/", "View Product")</f>
        <v/>
      </c>
    </row>
    <row r="25805">
      <c r="A25805" t="inlineStr">
        <is>
          <t>8595003122672</t>
        </is>
      </c>
      <c r="B25805" t="inlineStr">
        <is>
          <t>Dermacol Regenerating Shampoo For Hair Volume Hair Boost Grow &amp; Volume Shampoo 250 Ml</t>
        </is>
      </c>
      <c r="C25805" t="inlineStr">
        <is>
          <t>Shampoo</t>
        </is>
      </c>
      <c r="D25805" t="inlineStr">
        <is>
          <t>Dermacol</t>
        </is>
      </c>
      <c r="E25805" t="n">
        <v>4.8</v>
      </c>
      <c r="F25805" t="n">
        <v>1</v>
      </c>
      <c r="G25805" t="n">
        <v>5</v>
      </c>
      <c r="H25805" s="5">
        <f>HYPERLINK("https://api.qogita.com/variants/link/8595003122672/", "View Product")</f>
        <v/>
      </c>
    </row>
    <row r="25806">
      <c r="A25806" t="inlineStr">
        <is>
          <t>8595003122870</t>
        </is>
      </c>
      <c r="B25806" t="inlineStr">
        <is>
          <t>Dermacol Hair Ritual Brunette Conditioner - 200ml</t>
        </is>
      </c>
      <c r="C25806" t="inlineStr">
        <is>
          <t>Conditioner</t>
        </is>
      </c>
      <c r="D25806" t="inlineStr">
        <is>
          <t>Dermacol</t>
        </is>
      </c>
      <c r="E25806" t="n">
        <v>6.79</v>
      </c>
      <c r="F25806" t="n">
        <v>1</v>
      </c>
      <c r="G25806" t="n">
        <v>2</v>
      </c>
      <c r="H25806" s="5">
        <f>HYPERLINK("https://api.qogita.com/variants/link/8595003122870/", "View Product")</f>
        <v/>
      </c>
    </row>
    <row r="25807">
      <c r="A25807" t="inlineStr">
        <is>
          <t>8595003123266</t>
        </is>
      </c>
      <c r="B25807" t="inlineStr">
        <is>
          <t>Caviar Energy Eye and Lip Cream</t>
        </is>
      </c>
      <c r="C25807" t="inlineStr">
        <is>
          <t>Eye Cream</t>
        </is>
      </c>
      <c r="D25807" t="inlineStr">
        <is>
          <t>Dermacol</t>
        </is>
      </c>
      <c r="E25807" t="n">
        <v>5.33</v>
      </c>
      <c r="F25807" t="n">
        <v>1</v>
      </c>
      <c r="G25807" t="n">
        <v>8</v>
      </c>
      <c r="H25807" s="5">
        <f>HYPERLINK("https://api.qogita.com/variants/link/8595003123266/", "View Product")</f>
        <v/>
      </c>
    </row>
    <row r="25808">
      <c r="A25808" t="inlineStr">
        <is>
          <t>8595003123440</t>
        </is>
      </c>
      <c r="B25808" t="inlineStr">
        <is>
          <t>Dermacol Cannabis Garden Eau De Parfum 50 Ml</t>
        </is>
      </c>
      <c r="C25808" t="inlineStr">
        <is>
          <t>Eau De Parfum</t>
        </is>
      </c>
      <c r="D25808" t="inlineStr">
        <is>
          <t>Dermacol</t>
        </is>
      </c>
      <c r="E25808" t="n">
        <v>14.67</v>
      </c>
      <c r="F25808" t="n">
        <v>1</v>
      </c>
      <c r="G25808" t="n">
        <v>6</v>
      </c>
      <c r="H25808" s="5">
        <f>HYPERLINK("https://api.qogita.com/variants/link/8595003123440/", "View Product")</f>
        <v/>
      </c>
    </row>
    <row r="25809">
      <c r="A25809" t="inlineStr">
        <is>
          <t>8595003126373</t>
        </is>
      </c>
      <c r="B25809" t="inlineStr">
        <is>
          <t>Women's Flower Care Gift Set - Lilac</t>
        </is>
      </c>
      <c r="C25809" t="inlineStr">
        <is>
          <t>Candles</t>
        </is>
      </c>
      <c r="D25809" t="inlineStr">
        <is>
          <t>Dermacol</t>
        </is>
      </c>
      <c r="E25809" t="n">
        <v>14.43</v>
      </c>
      <c r="F25809" t="n">
        <v>1</v>
      </c>
      <c r="G25809" t="n">
        <v>11</v>
      </c>
      <c r="H25809" s="5">
        <f>HYPERLINK("https://api.qogita.com/variants/link/8595003126373/", "View Product")</f>
        <v/>
      </c>
    </row>
    <row r="25810">
      <c r="A25810" t="inlineStr">
        <is>
          <t>8595003126434</t>
        </is>
      </c>
      <c r="B25810" t="inlineStr">
        <is>
          <t>Collagen Plus Skin Care Gift Set</t>
        </is>
      </c>
      <c r="C25810" t="inlineStr">
        <is>
          <t>Facial Care Sets</t>
        </is>
      </c>
      <c r="D25810" t="inlineStr">
        <is>
          <t>Dermacol</t>
        </is>
      </c>
      <c r="E25810" t="n">
        <v>10.87</v>
      </c>
      <c r="F25810" t="n">
        <v>1</v>
      </c>
      <c r="G25810" t="n">
        <v>14</v>
      </c>
      <c r="H25810" s="5">
        <f>HYPERLINK("https://api.qogita.com/variants/link/8595003126434/", "View Product")</f>
        <v/>
      </c>
    </row>
    <row r="25811">
      <c r="A25811" t="inlineStr">
        <is>
          <t>8595003126977</t>
        </is>
      </c>
      <c r="B25811" t="inlineStr">
        <is>
          <t>Dermacol Master Brush Make-Up D51 1ml</t>
        </is>
      </c>
      <c r="C25811" t="inlineStr">
        <is>
          <t>Brush Sets</t>
        </is>
      </c>
      <c r="D25811" t="inlineStr">
        <is>
          <t>Dermacol</t>
        </is>
      </c>
      <c r="E25811" t="n">
        <v>6.66</v>
      </c>
      <c r="F25811" t="n">
        <v>1</v>
      </c>
      <c r="G25811" t="n">
        <v>2</v>
      </c>
      <c r="H25811" s="5">
        <f>HYPERLINK("https://api.qogita.com/variants/link/8595003126977/", "View Product")</f>
        <v/>
      </c>
    </row>
    <row r="25812">
      <c r="A25812" t="inlineStr">
        <is>
          <t>8595003127035</t>
        </is>
      </c>
      <c r="B25812" t="inlineStr">
        <is>
          <t>Dermacol Blush And Bronzer Cosmetic Brush With Case Rose Gold D54</t>
        </is>
      </c>
      <c r="C25812" t="inlineStr">
        <is>
          <t>Blush Brushes</t>
        </is>
      </c>
      <c r="D25812" t="inlineStr">
        <is>
          <t>Dermacol</t>
        </is>
      </c>
      <c r="E25812" t="n">
        <v>10.87</v>
      </c>
      <c r="F25812" t="n">
        <v>1</v>
      </c>
      <c r="G25812" t="n">
        <v>4</v>
      </c>
      <c r="H25812" s="5">
        <f>HYPERLINK("https://api.qogita.com/variants/link/8595003127035/", "View Product")</f>
        <v/>
      </c>
    </row>
    <row r="25813">
      <c r="A25813" t="inlineStr">
        <is>
          <t>8595003127134</t>
        </is>
      </c>
      <c r="B25813" t="inlineStr">
        <is>
          <t>Rose Gold D62 Concealer Cosmetic Brush</t>
        </is>
      </c>
      <c r="C25813" t="inlineStr">
        <is>
          <t>Concealer Brushes</t>
        </is>
      </c>
      <c r="D25813" t="inlineStr">
        <is>
          <t>Dermacol</t>
        </is>
      </c>
      <c r="E25813" t="n">
        <v>4.43</v>
      </c>
      <c r="F25813" t="n">
        <v>1</v>
      </c>
      <c r="G25813" t="n">
        <v>4</v>
      </c>
      <c r="H25813" s="5">
        <f>HYPERLINK("https://api.qogita.com/variants/link/8595003127134/", "View Product")</f>
        <v/>
      </c>
    </row>
    <row r="25814">
      <c r="A25814" t="inlineStr">
        <is>
          <t>8595003127233</t>
        </is>
      </c>
      <c r="B25814" t="inlineStr">
        <is>
          <t>Cosmetic Eye Brush Rose Gold D83</t>
        </is>
      </c>
      <c r="C25814" t="inlineStr">
        <is>
          <t>Eyeshadow Brushes</t>
        </is>
      </c>
      <c r="D25814" t="inlineStr">
        <is>
          <t>Dermacol</t>
        </is>
      </c>
      <c r="E25814" t="n">
        <v>5</v>
      </c>
      <c r="F25814" t="n">
        <v>1</v>
      </c>
      <c r="G25814" t="n">
        <v>2</v>
      </c>
      <c r="H25814" s="5">
        <f>HYPERLINK("https://api.qogita.com/variants/link/8595003127233/", "View Product")</f>
        <v/>
      </c>
    </row>
    <row r="25815">
      <c r="A25815" t="inlineStr">
        <is>
          <t>8595003127257</t>
        </is>
      </c>
      <c r="B25815" t="inlineStr">
        <is>
          <t>Dermacol Cosmetic Brush For Eyebrows And Lines Rose Gold D84 Made Of Synthetic Fibers</t>
        </is>
      </c>
      <c r="C25815" t="inlineStr">
        <is>
          <t>Eyebrow Brushes</t>
        </is>
      </c>
      <c r="D25815" t="inlineStr">
        <is>
          <t>Dermacol</t>
        </is>
      </c>
      <c r="E25815" t="n">
        <v>3.96</v>
      </c>
      <c r="F25815" t="n">
        <v>1</v>
      </c>
      <c r="G25815" t="n">
        <v>6</v>
      </c>
      <c r="H25815" s="5">
        <f>HYPERLINK("https://api.qogita.com/variants/link/8595003127257/", "View Product")</f>
        <v/>
      </c>
    </row>
    <row r="25816">
      <c r="A25816" t="inlineStr">
        <is>
          <t>8595003128520</t>
        </is>
      </c>
      <c r="B25816" t="inlineStr">
        <is>
          <t>Regenerating Cream after Tanning 200 ml</t>
        </is>
      </c>
      <c r="C25816" t="inlineStr">
        <is>
          <t>Aftersun</t>
        </is>
      </c>
      <c r="D25816" t="inlineStr">
        <is>
          <t>Dermacol</t>
        </is>
      </c>
      <c r="E25816" t="n">
        <v>8.460000000000001</v>
      </c>
      <c r="F25816" t="n">
        <v>1</v>
      </c>
      <c r="G25816" t="n">
        <v>4</v>
      </c>
      <c r="H25816" s="5">
        <f>HYPERLINK("https://api.qogita.com/variants/link/8595003128520/", "View Product")</f>
        <v/>
      </c>
    </row>
    <row r="25817">
      <c r="A25817" t="inlineStr">
        <is>
          <t>8595003128773</t>
        </is>
      </c>
      <c r="B25817" t="inlineStr">
        <is>
          <t>Hydra Cream Aqua Aqua Moisturizing Cream 50 ml</t>
        </is>
      </c>
      <c r="C25817" t="inlineStr">
        <is>
          <t>Face Cream</t>
        </is>
      </c>
      <c r="D25817" t="inlineStr">
        <is>
          <t>Dermacol</t>
        </is>
      </c>
      <c r="E25817" t="n">
        <v>5.18</v>
      </c>
      <c r="F25817" t="n">
        <v>1</v>
      </c>
      <c r="G25817" t="n">
        <v>13</v>
      </c>
      <c r="H25817" s="5">
        <f>HYPERLINK("https://api.qogita.com/variants/link/8595003128773/", "View Product")</f>
        <v/>
      </c>
    </row>
    <row r="25818">
      <c r="A25818" t="inlineStr">
        <is>
          <t>8595003130035</t>
        </is>
      </c>
      <c r="B25818" t="inlineStr">
        <is>
          <t>Eternal Victory Eau de Parfum 50 ml</t>
        </is>
      </c>
      <c r="C25818" t="inlineStr">
        <is>
          <t>Eau De Parfum</t>
        </is>
      </c>
      <c r="D25818" t="inlineStr">
        <is>
          <t>Dermacol</t>
        </is>
      </c>
      <c r="E25818" t="n">
        <v>26.61</v>
      </c>
      <c r="F25818" t="n">
        <v>1</v>
      </c>
      <c r="G25818" t="n">
        <v>4</v>
      </c>
      <c r="H25818" s="5">
        <f>HYPERLINK("https://api.qogita.com/variants/link/8595003130035/", "View Product")</f>
        <v/>
      </c>
    </row>
    <row r="25819">
      <c r="A25819" t="inlineStr">
        <is>
          <t>8595003130158</t>
        </is>
      </c>
      <c r="B25819" t="inlineStr">
        <is>
          <t>Men's Peel-Off Face Mask Agent (Peel-Off Face Mask) 2 x 7.5 ml</t>
        </is>
      </c>
      <c r="C25819" t="inlineStr">
        <is>
          <t>Purifying Mask</t>
        </is>
      </c>
      <c r="D25819" t="inlineStr">
        <is>
          <t>Dermacol</t>
        </is>
      </c>
      <c r="E25819" t="n">
        <v>4.26</v>
      </c>
      <c r="F25819" t="n">
        <v>1</v>
      </c>
      <c r="G25819" t="n">
        <v>12</v>
      </c>
      <c r="H25819" s="5">
        <f>HYPERLINK("https://api.qogita.com/variants/link/8595003130158/", "View Product")</f>
        <v/>
      </c>
    </row>
    <row r="25820">
      <c r="A25820" t="inlineStr">
        <is>
          <t>8595003130349</t>
        </is>
      </c>
      <c r="B25820" t="inlineStr">
        <is>
          <t>Dermacol Gold Elixir - Skin Care Set For Mature Skin</t>
        </is>
      </c>
      <c r="C25820" t="inlineStr">
        <is>
          <t>Anti-Aging Facial Care</t>
        </is>
      </c>
      <c r="D25820" t="inlineStr">
        <is>
          <t>Dermacol</t>
        </is>
      </c>
      <c r="E25820" t="n">
        <v>18.03</v>
      </c>
      <c r="F25820" t="n">
        <v>1</v>
      </c>
      <c r="G25820" t="n">
        <v>23</v>
      </c>
      <c r="H25820" s="5">
        <f>HYPERLINK("https://api.qogita.com/variants/link/8595003130349/", "View Product")</f>
        <v/>
      </c>
    </row>
    <row r="25821">
      <c r="A25821" t="inlineStr">
        <is>
          <t>8595003131735</t>
        </is>
      </c>
      <c r="B25821" t="inlineStr">
        <is>
          <t>Dermacol Night Treatments Moisturizing for Women</t>
        </is>
      </c>
      <c r="C25821" t="inlineStr">
        <is>
          <t>Night Cream</t>
        </is>
      </c>
      <c r="D25821" t="inlineStr">
        <is>
          <t>Dermacol</t>
        </is>
      </c>
      <c r="E25821" t="n">
        <v>8.640000000000001</v>
      </c>
      <c r="F25821" t="n">
        <v>1</v>
      </c>
      <c r="G25821" t="n">
        <v>127</v>
      </c>
      <c r="H25821" s="5">
        <f>HYPERLINK("https://api.qogita.com/variants/link/8595003131735/", "View Product")</f>
        <v/>
      </c>
    </row>
    <row r="25822">
      <c r="A25822" t="inlineStr">
        <is>
          <t>8595003131759</t>
        </is>
      </c>
      <c r="B25822" t="inlineStr">
        <is>
          <t>Dermacol Brand Eye Cream for Women</t>
        </is>
      </c>
      <c r="C25822" t="inlineStr">
        <is>
          <t>Eye Cream</t>
        </is>
      </c>
      <c r="D25822" t="inlineStr">
        <is>
          <t>Dermacol</t>
        </is>
      </c>
      <c r="E25822" t="n">
        <v>6.16</v>
      </c>
      <c r="F25822" t="n">
        <v>1</v>
      </c>
      <c r="G25822" t="n">
        <v>2</v>
      </c>
      <c r="H25822" s="5">
        <f>HYPERLINK("https://api.qogita.com/variants/link/8595003131759/", "View Product")</f>
        <v/>
      </c>
    </row>
    <row r="25823">
      <c r="A25823" t="inlineStr">
        <is>
          <t>8595003132466</t>
        </is>
      </c>
      <c r="B25823" t="inlineStr">
        <is>
          <t>Dermacol Sun Water Resistant Body Spray Spf30 200ml</t>
        </is>
      </c>
      <c r="C25823" t="inlineStr">
        <is>
          <t>Body Sun Protection</t>
        </is>
      </c>
      <c r="D25823" t="inlineStr">
        <is>
          <t>Dermacol</t>
        </is>
      </c>
      <c r="E25823" t="n">
        <v>9.85</v>
      </c>
      <c r="F25823" t="n">
        <v>1</v>
      </c>
      <c r="G25823" t="n">
        <v>5</v>
      </c>
      <c r="H25823" s="5">
        <f>HYPERLINK("https://api.qogita.com/variants/link/8595003132466/", "View Product")</f>
        <v/>
      </c>
    </row>
    <row r="25824">
      <c r="A25824" t="inlineStr">
        <is>
          <t>8595003132480</t>
        </is>
      </c>
      <c r="B25824" t="inlineStr">
        <is>
          <t>Dermacol Sun Water Resistant Body Milk Spf30 200ml</t>
        </is>
      </c>
      <c r="C25824" t="inlineStr">
        <is>
          <t>Body Sun Protection</t>
        </is>
      </c>
      <c r="D25824" t="inlineStr">
        <is>
          <t>Dermacol</t>
        </is>
      </c>
      <c r="E25824" t="n">
        <v>8.470000000000001</v>
      </c>
      <c r="F25824" t="n">
        <v>1</v>
      </c>
      <c r="G25824" t="n">
        <v>5</v>
      </c>
      <c r="H25824" s="5">
        <f>HYPERLINK("https://api.qogita.com/variants/link/8595003132480/", "View Product")</f>
        <v/>
      </c>
    </row>
    <row r="25825">
      <c r="A25825" t="inlineStr">
        <is>
          <t>8595003132565</t>
        </is>
      </c>
      <c r="B25825" t="inlineStr">
        <is>
          <t>Sun Milk SPF 30 - Voděodolné opalovací mléko</t>
        </is>
      </c>
      <c r="C25825" t="inlineStr">
        <is>
          <t>Body Sun Protection</t>
        </is>
      </c>
      <c r="D25825" t="inlineStr">
        <is>
          <t>‎- Unknown</t>
        </is>
      </c>
      <c r="E25825" t="n">
        <v>3.02</v>
      </c>
      <c r="F25825" t="n">
        <v>1</v>
      </c>
      <c r="G25825" t="n">
        <v>5</v>
      </c>
      <c r="H25825" s="5">
        <f>HYPERLINK("https://api.qogita.com/variants/link/8595003132565/", "View Product")</f>
        <v/>
      </c>
    </row>
    <row r="25826">
      <c r="A25826" t="inlineStr">
        <is>
          <t>8595003132626</t>
        </is>
      </c>
      <c r="B25826" t="inlineStr">
        <is>
          <t>Dermacol After Sun Sos Mask Face Mask After Tanning 2 X 8 Ml</t>
        </is>
      </c>
      <c r="C25826" t="inlineStr">
        <is>
          <t>Face Mask</t>
        </is>
      </c>
      <c r="D25826" t="inlineStr">
        <is>
          <t>Dermacol</t>
        </is>
      </c>
      <c r="E25826" t="n">
        <v>2.89</v>
      </c>
      <c r="F25826" t="n">
        <v>1</v>
      </c>
      <c r="G25826" t="n">
        <v>8</v>
      </c>
      <c r="H25826" s="5">
        <f>HYPERLINK("https://api.qogita.com/variants/link/8595003132626/", "View Product")</f>
        <v/>
      </c>
    </row>
    <row r="25827">
      <c r="A25827" t="inlineStr">
        <is>
          <t>8595003133463</t>
        </is>
      </c>
      <c r="B25827" t="inlineStr">
        <is>
          <t>Dermacol Bahamian Banana Aroma Moment Exotic Body Scrub 200 Ml</t>
        </is>
      </c>
      <c r="C25827" t="inlineStr">
        <is>
          <t>Body Scrub &amp; Peeling</t>
        </is>
      </c>
      <c r="D25827" t="inlineStr">
        <is>
          <t>Dermacol</t>
        </is>
      </c>
      <c r="E25827" t="n">
        <v>6.87</v>
      </c>
      <c r="F25827" t="n">
        <v>1</v>
      </c>
      <c r="G25827" t="n">
        <v>2</v>
      </c>
      <c r="H25827" s="5">
        <f>HYPERLINK("https://api.qogita.com/variants/link/8595003133463/", "View Product")</f>
        <v/>
      </c>
    </row>
    <row r="25828">
      <c r="A25828" t="inlineStr">
        <is>
          <t>8595003133869</t>
        </is>
      </c>
      <c r="B25828" t="inlineStr">
        <is>
          <t>Dermacol Bio Retinol Skin Care Gift Set</t>
        </is>
      </c>
      <c r="C25828" t="inlineStr">
        <is>
          <t>Facial Care Sets</t>
        </is>
      </c>
      <c r="D25828" t="inlineStr">
        <is>
          <t>Dermacol</t>
        </is>
      </c>
      <c r="E25828" t="n">
        <v>25.27</v>
      </c>
      <c r="F25828" t="n">
        <v>1</v>
      </c>
      <c r="G25828" t="n">
        <v>14</v>
      </c>
      <c r="H25828" s="5">
        <f>HYPERLINK("https://api.qogita.com/variants/link/8595003133869/", "View Product")</f>
        <v/>
      </c>
    </row>
    <row r="25829">
      <c r="A25829" t="inlineStr">
        <is>
          <t>8595003134002</t>
        </is>
      </c>
      <c r="B25829" t="inlineStr">
        <is>
          <t>Dermacol Gift Set Of Shower Creams</t>
        </is>
      </c>
      <c r="C25829" t="inlineStr">
        <is>
          <t>Shower &amp; Bath Sets</t>
        </is>
      </c>
      <c r="D25829" t="inlineStr">
        <is>
          <t>Dermacol</t>
        </is>
      </c>
      <c r="E25829" t="n">
        <v>9.31</v>
      </c>
      <c r="F25829" t="n">
        <v>1</v>
      </c>
      <c r="G25829" t="n">
        <v>50</v>
      </c>
      <c r="H25829" s="5">
        <f>HYPERLINK("https://api.qogita.com/variants/link/8595003134002/", "View Product")</f>
        <v/>
      </c>
    </row>
    <row r="25830">
      <c r="A25830" t="inlineStr">
        <is>
          <t>8595003134187</t>
        </is>
      </c>
      <c r="B25830" t="inlineStr">
        <is>
          <t>Dermacol Magnum Decorative Cosmetics Gift Set</t>
        </is>
      </c>
      <c r="C25830" t="inlineStr">
        <is>
          <t>Body Makeup</t>
        </is>
      </c>
      <c r="D25830" t="inlineStr">
        <is>
          <t>Dermacol</t>
        </is>
      </c>
      <c r="E25830" t="n">
        <v>19.08</v>
      </c>
      <c r="F25830" t="n">
        <v>1</v>
      </c>
      <c r="G25830" t="n">
        <v>2</v>
      </c>
      <c r="H25830" s="5">
        <f>HYPERLINK("https://api.qogita.com/variants/link/8595003134187/", "View Product")</f>
        <v/>
      </c>
    </row>
    <row r="25831">
      <c r="A25831" t="inlineStr">
        <is>
          <t>8595003134262</t>
        </is>
      </c>
      <c r="B25831" t="inlineStr">
        <is>
          <t>Dermacol Must Have Decorative Cosmetics Gift Set</t>
        </is>
      </c>
      <c r="C25831" t="inlineStr">
        <is>
          <t>Body Makeup</t>
        </is>
      </c>
      <c r="D25831" t="inlineStr">
        <is>
          <t>Dermacol</t>
        </is>
      </c>
      <c r="E25831" t="n">
        <v>25.28</v>
      </c>
      <c r="F25831" t="n">
        <v>1</v>
      </c>
      <c r="G25831" t="n">
        <v>15</v>
      </c>
      <c r="H25831" s="5">
        <f>HYPERLINK("https://api.qogita.com/variants/link/8595003134262/", "View Product")</f>
        <v/>
      </c>
    </row>
    <row r="25832">
      <c r="A25832" t="inlineStr">
        <is>
          <t>8595003135559</t>
        </is>
      </c>
      <c r="B25832" t="inlineStr">
        <is>
          <t>Dermacol Regenerating Night Skin Serum Retinol Sos Supreme Repair Serum - 30 Ml</t>
        </is>
      </c>
      <c r="C25832" t="inlineStr">
        <is>
          <t>Anti-Aging Serum</t>
        </is>
      </c>
      <c r="D25832" t="inlineStr">
        <is>
          <t>Dermacol</t>
        </is>
      </c>
      <c r="E25832" t="n">
        <v>8.130000000000001</v>
      </c>
      <c r="F25832" t="n">
        <v>1</v>
      </c>
      <c r="G25832" t="n">
        <v>16</v>
      </c>
      <c r="H25832" s="5">
        <f>HYPERLINK("https://api.qogita.com/variants/link/8595003135559/", "View Product")</f>
        <v/>
      </c>
    </row>
    <row r="25833">
      <c r="A25833" t="inlineStr">
        <is>
          <t>8595003135849</t>
        </is>
      </c>
      <c r="B25833" t="inlineStr">
        <is>
          <t>Dermacol Paradiso Eau De Parfum 50 Ml</t>
        </is>
      </c>
      <c r="C25833" t="inlineStr">
        <is>
          <t>Eau De Parfum</t>
        </is>
      </c>
      <c r="D25833" t="inlineStr">
        <is>
          <t>Dermacol</t>
        </is>
      </c>
      <c r="E25833" t="n">
        <v>14.67</v>
      </c>
      <c r="F25833" t="n">
        <v>1</v>
      </c>
      <c r="G25833" t="n">
        <v>5</v>
      </c>
      <c r="H25833" s="5">
        <f>HYPERLINK("https://api.qogita.com/variants/link/8595003135849/", "View Product")</f>
        <v/>
      </c>
    </row>
    <row r="25834">
      <c r="A25834" t="inlineStr">
        <is>
          <t>8595003915878</t>
        </is>
      </c>
      <c r="B25834" t="inlineStr">
        <is>
          <t>Dermacol Gommage Cleanser With Tea Tree Oil 100 Ml Facial Cleansing Gel</t>
        </is>
      </c>
      <c r="C25834" t="inlineStr">
        <is>
          <t>Cleansing Gel</t>
        </is>
      </c>
      <c r="D25834" t="inlineStr">
        <is>
          <t>Dermacol</t>
        </is>
      </c>
      <c r="E25834" t="n">
        <v>5.44</v>
      </c>
      <c r="F25834" t="n">
        <v>1</v>
      </c>
      <c r="G25834" t="n">
        <v>3</v>
      </c>
      <c r="H25834" s="5">
        <f>HYPERLINK("https://api.qogita.com/variants/link/8595003915878/", "View Product")</f>
        <v/>
      </c>
    </row>
    <row r="25835">
      <c r="A25835" t="inlineStr">
        <is>
          <t>8595003929103</t>
        </is>
      </c>
      <c r="B25835" t="inlineStr">
        <is>
          <t>Dermacol Gold Elixir Day Cream Mature Skin Caviar Rejuvenating Day Cream Spf 10 50 Ml</t>
        </is>
      </c>
      <c r="C25835" t="inlineStr">
        <is>
          <t>Day Cream</t>
        </is>
      </c>
      <c r="D25835" t="inlineStr">
        <is>
          <t>Dermacol</t>
        </is>
      </c>
      <c r="E25835" t="n">
        <v>9.130000000000001</v>
      </c>
      <c r="F25835" t="n">
        <v>1</v>
      </c>
      <c r="G25835" t="n">
        <v>11</v>
      </c>
      <c r="H25835" s="5">
        <f>HYPERLINK("https://api.qogita.com/variants/link/8595003929103/", "View Product")</f>
        <v/>
      </c>
    </row>
    <row r="25836">
      <c r="A25836" t="inlineStr">
        <is>
          <t>8595003931519</t>
        </is>
      </c>
      <c r="B25836" t="inlineStr">
        <is>
          <t>Dermacol Gold Elixir Caviar Face Mask - 2x8g</t>
        </is>
      </c>
      <c r="C25836" t="inlineStr">
        <is>
          <t>Anti-Aging Mask</t>
        </is>
      </c>
      <c r="D25836" t="inlineStr">
        <is>
          <t>Dermacol</t>
        </is>
      </c>
      <c r="E25836" t="n">
        <v>3.28</v>
      </c>
      <c r="F25836" t="n">
        <v>1</v>
      </c>
      <c r="G25836" t="n">
        <v>8</v>
      </c>
      <c r="H25836" s="5">
        <f>HYPERLINK("https://api.qogita.com/variants/link/8595003931519/", "View Product")</f>
        <v/>
      </c>
    </row>
    <row r="25837">
      <c r="A25837" t="inlineStr">
        <is>
          <t>8595003933742</t>
        </is>
      </c>
      <c r="B25837" t="inlineStr">
        <is>
          <t>Dermacol Acnecover Matte Powder For Problematic Skin 11 G</t>
        </is>
      </c>
      <c r="C25837" t="inlineStr">
        <is>
          <t>Powder</t>
        </is>
      </c>
      <c r="D25837" t="inlineStr">
        <is>
          <t>Dermacol</t>
        </is>
      </c>
      <c r="E25837" t="n">
        <v>4.43</v>
      </c>
      <c r="F25837" t="n">
        <v>1</v>
      </c>
      <c r="G25837" t="n">
        <v>43</v>
      </c>
      <c r="H25837" s="5">
        <f>HYPERLINK("https://api.qogita.com/variants/link/8595003933742/", "View Product")</f>
        <v/>
      </c>
    </row>
    <row r="25838">
      <c r="A25838" t="inlineStr">
        <is>
          <t>8595017900433</t>
        </is>
      </c>
      <c r="B25838" t="inlineStr">
        <is>
          <t>Gabriella Salvete for Women</t>
        </is>
      </c>
      <c r="C25838" t="inlineStr">
        <is>
          <t>Eau De Parfum</t>
        </is>
      </c>
      <c r="D25838" t="inlineStr">
        <is>
          <t>Gabriella Salvete</t>
        </is>
      </c>
      <c r="E25838" t="n">
        <v>2.39</v>
      </c>
      <c r="F25838" t="n">
        <v>1</v>
      </c>
      <c r="G25838" t="n">
        <v>16</v>
      </c>
      <c r="H25838" s="5">
        <f>HYPERLINK("https://api.qogita.com/variants/link/8595017900433/", "View Product")</f>
        <v/>
      </c>
    </row>
    <row r="25839">
      <c r="A25839" t="inlineStr">
        <is>
          <t>8595017959837</t>
        </is>
      </c>
      <c r="B25839" t="inlineStr">
        <is>
          <t>Gabriella Salvete Makeup Sponges</t>
        </is>
      </c>
      <c r="C25839" t="inlineStr">
        <is>
          <t>Makeup Sponges</t>
        </is>
      </c>
      <c r="D25839" t="inlineStr">
        <is>
          <t>Gabriella Salvete</t>
        </is>
      </c>
      <c r="E25839" t="n">
        <v>3.53</v>
      </c>
      <c r="F25839" t="n">
        <v>1</v>
      </c>
      <c r="G25839" t="n">
        <v>4</v>
      </c>
      <c r="H25839" s="5">
        <f>HYPERLINK("https://api.qogita.com/variants/link/8595017959837/", "View Product")</f>
        <v/>
      </c>
    </row>
    <row r="25840">
      <c r="A25840" t="inlineStr">
        <is>
          <t>8595017992858</t>
        </is>
      </c>
      <c r="B25840" t="inlineStr">
        <is>
          <t>Gabriella Salvete Sunkissed Longlasting Nail Polish 67 Twilight 11ml</t>
        </is>
      </c>
      <c r="C25840" t="inlineStr">
        <is>
          <t>Nail Polish</t>
        </is>
      </c>
      <c r="D25840" t="inlineStr">
        <is>
          <t>Gabriella Salvete</t>
        </is>
      </c>
      <c r="E25840" t="n">
        <v>4.03</v>
      </c>
      <c r="F25840" t="n">
        <v>1</v>
      </c>
      <c r="G25840" t="n">
        <v>2</v>
      </c>
      <c r="H25840" s="5">
        <f>HYPERLINK("https://api.qogita.com/variants/link/8595017992858/", "View Product")</f>
        <v/>
      </c>
    </row>
    <row r="25841">
      <c r="A25841" t="inlineStr">
        <is>
          <t>8595017994951</t>
        </is>
      </c>
      <c r="B25841" t="inlineStr">
        <is>
          <t>Gabriella Salvete Liquid Lipstick 106 Red Moon - 4 Ml</t>
        </is>
      </c>
      <c r="C25841" t="inlineStr">
        <is>
          <t>Lipstick</t>
        </is>
      </c>
      <c r="D25841" t="inlineStr">
        <is>
          <t>Gabriella Salvete</t>
        </is>
      </c>
      <c r="E25841" t="n">
        <v>4.72</v>
      </c>
      <c r="F25841" t="n">
        <v>1</v>
      </c>
      <c r="G25841" t="n">
        <v>4</v>
      </c>
      <c r="H25841" s="5">
        <f>HYPERLINK("https://api.qogita.com/variants/link/8595017994951/", "View Product")</f>
        <v/>
      </c>
    </row>
    <row r="25842">
      <c r="A25842" t="inlineStr">
        <is>
          <t>8595017995576</t>
        </is>
      </c>
      <c r="B25842" t="inlineStr">
        <is>
          <t>Gabriella Salvete False Eyelashes for Women</t>
        </is>
      </c>
      <c r="C25842" t="inlineStr">
        <is>
          <t>False Eyelashes</t>
        </is>
      </c>
      <c r="D25842" t="inlineStr">
        <is>
          <t>Gabriella Salvete</t>
        </is>
      </c>
      <c r="E25842" t="n">
        <v>3.43</v>
      </c>
      <c r="F25842" t="n">
        <v>1</v>
      </c>
      <c r="G25842" t="n">
        <v>2</v>
      </c>
      <c r="H25842" s="5">
        <f>HYPERLINK("https://api.qogita.com/variants/link/8595017995576/", "View Product")</f>
        <v/>
      </c>
    </row>
    <row r="25843">
      <c r="A25843" t="inlineStr">
        <is>
          <t>8595017998263</t>
        </is>
      </c>
      <c r="B25843" t="inlineStr">
        <is>
          <t>Gabriella Salvete Uv Led Nail Polish 8 Ml 18 Single</t>
        </is>
      </c>
      <c r="C25843" t="inlineStr">
        <is>
          <t>Nail Polish</t>
        </is>
      </c>
      <c r="D25843" t="inlineStr">
        <is>
          <t>Gabriella Salvete</t>
        </is>
      </c>
      <c r="E25843" t="n">
        <v>9.56</v>
      </c>
      <c r="F25843" t="n">
        <v>1</v>
      </c>
      <c r="G25843" t="n">
        <v>16</v>
      </c>
      <c r="H25843" s="5">
        <f>HYPERLINK("https://api.qogita.com/variants/link/8595017998263/", "View Product")</f>
        <v/>
      </c>
    </row>
    <row r="25844">
      <c r="A25844" t="inlineStr">
        <is>
          <t>8595017998805</t>
        </is>
      </c>
      <c r="B25844" t="inlineStr">
        <is>
          <t>Gabriella Salvete Party Calling Party Crystals 1ml Perfume</t>
        </is>
      </c>
      <c r="C25844" t="inlineStr">
        <is>
          <t>Eau De Parfum</t>
        </is>
      </c>
      <c r="D25844" t="inlineStr">
        <is>
          <t>Gabriella Salvete</t>
        </is>
      </c>
      <c r="E25844" t="n">
        <v>3.43</v>
      </c>
      <c r="F25844" t="n">
        <v>1</v>
      </c>
      <c r="G25844" t="n">
        <v>4</v>
      </c>
      <c r="H25844" s="5">
        <f>HYPERLINK("https://api.qogita.com/variants/link/8595017998805/", "View Product")</f>
        <v/>
      </c>
    </row>
    <row r="25845">
      <c r="A25845" t="inlineStr">
        <is>
          <t>8595018000057</t>
        </is>
      </c>
      <c r="B25845" t="inlineStr">
        <is>
          <t>Gabriella Salvete GeLove UV LED 8ml Nail Polish</t>
        </is>
      </c>
      <c r="C25845" t="inlineStr">
        <is>
          <t>Gel Polish</t>
        </is>
      </c>
      <c r="D25845" t="inlineStr">
        <is>
          <t>Gabriella Salvete</t>
        </is>
      </c>
      <c r="E25845" t="n">
        <v>10.63</v>
      </c>
      <c r="F25845" t="n">
        <v>1</v>
      </c>
      <c r="G25845" t="n">
        <v>2</v>
      </c>
      <c r="H25845" s="5">
        <f>HYPERLINK("https://api.qogita.com/variants/link/8595018000057/", "View Product")</f>
        <v/>
      </c>
    </row>
    <row r="25846">
      <c r="A25846" t="inlineStr">
        <is>
          <t>8595059740301</t>
        </is>
      </c>
      <c r="B25846" t="inlineStr">
        <is>
          <t>Lactovit Regenerative Shower Gel With Milk Proteins Lactourea</t>
        </is>
      </c>
      <c r="C25846" t="inlineStr">
        <is>
          <t>Shower Gel</t>
        </is>
      </c>
      <c r="D25846" t="inlineStr">
        <is>
          <t>Lactovit</t>
        </is>
      </c>
      <c r="E25846" t="n">
        <v>4.78</v>
      </c>
      <c r="F25846" t="n">
        <v>1</v>
      </c>
      <c r="G25846" t="n">
        <v>7</v>
      </c>
      <c r="H25846" s="5">
        <f>HYPERLINK("https://api.qogita.com/variants/link/8595059740301/", "View Product")</f>
        <v/>
      </c>
    </row>
    <row r="25847">
      <c r="A25847" t="inlineStr">
        <is>
          <t>8595111839103</t>
        </is>
      </c>
      <c r="B25847" t="inlineStr">
        <is>
          <t>Le Chaton Sensitive Soothing Lotion 200g</t>
        </is>
      </c>
      <c r="C25847" t="inlineStr">
        <is>
          <t>Neurodermatitis</t>
        </is>
      </c>
      <c r="D25847" t="inlineStr">
        <is>
          <t>Le Chaton</t>
        </is>
      </c>
      <c r="E25847" t="n">
        <v>14.43</v>
      </c>
      <c r="F25847" t="n">
        <v>1</v>
      </c>
      <c r="G25847" t="n">
        <v>4</v>
      </c>
      <c r="H25847" s="5">
        <f>HYPERLINK("https://api.qogita.com/variants/link/8595111839103/", "View Product")</f>
        <v/>
      </c>
    </row>
    <row r="25848">
      <c r="A25848" t="inlineStr">
        <is>
          <t>8595111880907</t>
        </is>
      </c>
      <c r="B25848" t="inlineStr">
        <is>
          <t>Le Chaton Serum With Argireline - 15 Grams</t>
        </is>
      </c>
      <c r="C25848" t="inlineStr">
        <is>
          <t>Anti-Aging Serum</t>
        </is>
      </c>
      <c r="D25848" t="inlineStr">
        <is>
          <t>Le Chaton</t>
        </is>
      </c>
      <c r="E25848" t="n">
        <v>25.15</v>
      </c>
      <c r="F25848" t="n">
        <v>1</v>
      </c>
      <c r="G25848" t="n">
        <v>5</v>
      </c>
      <c r="H25848" s="5">
        <f>HYPERLINK("https://api.qogita.com/variants/link/8595111880907/", "View Product")</f>
        <v/>
      </c>
    </row>
    <row r="25849">
      <c r="A25849" t="inlineStr">
        <is>
          <t>8595111881263</t>
        </is>
      </c>
      <c r="B25849" t="inlineStr">
        <is>
          <t>Night Cream With Argan Oil 50g</t>
        </is>
      </c>
      <c r="C25849" t="inlineStr">
        <is>
          <t>Night Cream</t>
        </is>
      </c>
      <c r="D25849" t="inlineStr">
        <is>
          <t>La Chévre</t>
        </is>
      </c>
      <c r="E25849" t="n">
        <v>17.59</v>
      </c>
      <c r="F25849" t="n">
        <v>1</v>
      </c>
      <c r="G25849" t="n">
        <v>4</v>
      </c>
      <c r="H25849" s="5">
        <f>HYPERLINK("https://api.qogita.com/variants/link/8595111881263/", "View Product")</f>
        <v/>
      </c>
    </row>
    <row r="25850">
      <c r="A25850" t="inlineStr">
        <is>
          <t>8595162104274</t>
        </is>
      </c>
      <c r="B25850" t="inlineStr">
        <is>
          <t>Dukas Womens 6-Piece Manicure Set Pl 126cnp</t>
        </is>
      </c>
      <c r="C25850" t="inlineStr">
        <is>
          <t>Manicure Sets</t>
        </is>
      </c>
      <c r="D25850" t="inlineStr">
        <is>
          <t>Ducal</t>
        </is>
      </c>
      <c r="E25850" t="n">
        <v>37.77</v>
      </c>
      <c r="F25850" t="n">
        <v>1</v>
      </c>
      <c r="G25850" t="n">
        <v>5</v>
      </c>
      <c r="H25850" s="5">
        <f>HYPERLINK("https://api.qogita.com/variants/link/8595162104274/", "View Product")</f>
        <v/>
      </c>
    </row>
    <row r="25851">
      <c r="A25851" t="inlineStr">
        <is>
          <t>8595228012796</t>
        </is>
      </c>
      <c r="B25851" t="inlineStr">
        <is>
          <t>Cereria Molla Natural Rattan Sticks For Diffuser - 70 Cm, 15 Pieces</t>
        </is>
      </c>
      <c r="C25851" t="inlineStr">
        <is>
          <t>Diffusers</t>
        </is>
      </c>
      <c r="D25851" t="inlineStr">
        <is>
          <t>Cereria Molla</t>
        </is>
      </c>
      <c r="E25851" t="n">
        <v>19.57</v>
      </c>
      <c r="F25851" t="n">
        <v>1</v>
      </c>
      <c r="G25851" t="n">
        <v>2</v>
      </c>
      <c r="H25851" s="5">
        <f>HYPERLINK("https://api.qogita.com/variants/link/8595228012796/", "View Product")</f>
        <v/>
      </c>
    </row>
    <row r="25852">
      <c r="A25852" t="inlineStr">
        <is>
          <t>8595572900633</t>
        </is>
      </c>
      <c r="B25852" t="inlineStr">
        <is>
          <t>Organic Shea Butter Volume 350 ml</t>
        </is>
      </c>
      <c r="C25852" t="inlineStr">
        <is>
          <t>Body Butter</t>
        </is>
      </c>
      <c r="D25852" t="inlineStr">
        <is>
          <t>Purity Vision</t>
        </is>
      </c>
      <c r="E25852" t="n">
        <v>16.48</v>
      </c>
      <c r="F25852" t="n">
        <v>1</v>
      </c>
      <c r="G25852" t="n">
        <v>14</v>
      </c>
      <c r="H25852" s="5">
        <f>HYPERLINK("https://api.qogita.com/variants/link/8595572900633/", "View Product")</f>
        <v/>
      </c>
    </row>
    <row r="25853">
      <c r="A25853" t="inlineStr">
        <is>
          <t>8595572900831</t>
        </is>
      </c>
      <c r="B25853" t="inlineStr">
        <is>
          <t>BIO Children's Body Butter PURITY VISION Volume 100 ml</t>
        </is>
      </c>
      <c r="C25853" t="inlineStr">
        <is>
          <t>Baby Cream &amp; Oil</t>
        </is>
      </c>
      <c r="D25853" t="inlineStr">
        <is>
          <t>Purity Vision</t>
        </is>
      </c>
      <c r="E25853" t="n">
        <v>8.4</v>
      </c>
      <c r="F25853" t="n">
        <v>1</v>
      </c>
      <c r="G25853" t="n">
        <v>3</v>
      </c>
      <c r="H25853" s="5">
        <f>HYPERLINK("https://api.qogita.com/variants/link/8595572900831/", "View Product")</f>
        <v/>
      </c>
    </row>
    <row r="25854">
      <c r="A25854" t="inlineStr">
        <is>
          <t>8595572901746</t>
        </is>
      </c>
      <c r="B25854" t="inlineStr">
        <is>
          <t>Reinheit Vision Bio-Rosenbutter 120ml</t>
        </is>
      </c>
      <c r="C25854" t="inlineStr">
        <is>
          <t>Body Butter</t>
        </is>
      </c>
      <c r="D25854" t="inlineStr">
        <is>
          <t>Purity Vision</t>
        </is>
      </c>
      <c r="E25854" t="n">
        <v>11.17</v>
      </c>
      <c r="F25854" t="n">
        <v>1</v>
      </c>
      <c r="G25854" t="n">
        <v>8</v>
      </c>
      <c r="H25854" s="5">
        <f>HYPERLINK("https://api.qogita.com/variants/link/8595572901746/", "View Product")</f>
        <v/>
      </c>
    </row>
    <row r="25855">
      <c r="A25855" t="inlineStr">
        <is>
          <t>8595572901753</t>
        </is>
      </c>
      <c r="B25855" t="inlineStr">
        <is>
          <t>Reinheit Vision Bio-Vanille-Butter 120ml</t>
        </is>
      </c>
      <c r="C25855" t="inlineStr">
        <is>
          <t>Body Butter</t>
        </is>
      </c>
      <c r="D25855" t="inlineStr">
        <is>
          <t>Purity Vision</t>
        </is>
      </c>
      <c r="E25855" t="n">
        <v>14.63</v>
      </c>
      <c r="F25855" t="n">
        <v>1</v>
      </c>
      <c r="G25855" t="n">
        <v>5</v>
      </c>
      <c r="H25855" s="5">
        <f>HYPERLINK("https://api.qogita.com/variants/link/8595572901753/", "View Product")</f>
        <v/>
      </c>
    </row>
    <row r="25856">
      <c r="A25856" t="inlineStr">
        <is>
          <t>8595572901975</t>
        </is>
      </c>
      <c r="B25856" t="inlineStr">
        <is>
          <t>Reinheit Vision Bio Vanilla Oil 100ml</t>
        </is>
      </c>
      <c r="C25856" t="inlineStr">
        <is>
          <t>Body Oil</t>
        </is>
      </c>
      <c r="D25856" t="inlineStr">
        <is>
          <t>Purity Vision</t>
        </is>
      </c>
      <c r="E25856" t="n">
        <v>11.21</v>
      </c>
      <c r="F25856" t="n">
        <v>1</v>
      </c>
      <c r="G25856" t="n">
        <v>4</v>
      </c>
      <c r="H25856" s="5">
        <f>HYPERLINK("https://api.qogita.com/variants/link/8595572901975/", "View Product")</f>
        <v/>
      </c>
    </row>
    <row r="25857">
      <c r="A25857" t="inlineStr">
        <is>
          <t>8595572902088</t>
        </is>
      </c>
      <c r="B25857" t="inlineStr">
        <is>
          <t>Reinheit Vision Raw Organic Opuntia Oil Roll-On 5ml</t>
        </is>
      </c>
      <c r="C25857" t="inlineStr">
        <is>
          <t>Body Oil</t>
        </is>
      </c>
      <c r="D25857" t="inlineStr">
        <is>
          <t>Purity Vision</t>
        </is>
      </c>
      <c r="E25857" t="n">
        <v>10.55</v>
      </c>
      <c r="F25857" t="n">
        <v>1</v>
      </c>
      <c r="G25857" t="n">
        <v>2</v>
      </c>
      <c r="H25857" s="5">
        <f>HYPERLINK("https://api.qogita.com/variants/link/8595572902088/", "View Product")</f>
        <v/>
      </c>
    </row>
    <row r="25858">
      <c r="A25858" t="inlineStr">
        <is>
          <t>8595572902279</t>
        </is>
      </c>
      <c r="B25858" t="inlineStr">
        <is>
          <t>Organic Calendula Butter for Sensitive Skin Volume 20 ml</t>
        </is>
      </c>
      <c r="C25858" t="inlineStr">
        <is>
          <t>Body Butter</t>
        </is>
      </c>
      <c r="D25858" t="inlineStr">
        <is>
          <t>Purity Vision</t>
        </is>
      </c>
      <c r="E25858" t="n">
        <v>4.66</v>
      </c>
      <c r="F25858" t="n">
        <v>1</v>
      </c>
      <c r="G25858" t="n">
        <v>14</v>
      </c>
      <c r="H25858" s="5">
        <f>HYPERLINK("https://api.qogita.com/variants/link/8595572902279/", "View Product")</f>
        <v/>
      </c>
    </row>
    <row r="25859">
      <c r="A25859" t="inlineStr">
        <is>
          <t>8595572902309</t>
        </is>
      </c>
      <c r="B25859" t="inlineStr">
        <is>
          <t>Organic Vanilla Butter for Dry and Mature Skin Volume 20 ml</t>
        </is>
      </c>
      <c r="C25859" t="inlineStr">
        <is>
          <t>Body Butter</t>
        </is>
      </c>
      <c r="D25859" t="inlineStr">
        <is>
          <t>Purity Vision</t>
        </is>
      </c>
      <c r="E25859" t="n">
        <v>4.92</v>
      </c>
      <c r="F25859" t="n">
        <v>1</v>
      </c>
      <c r="G25859" t="n">
        <v>5</v>
      </c>
      <c r="H25859" s="5">
        <f>HYPERLINK("https://api.qogita.com/variants/link/8595572902309/", "View Product")</f>
        <v/>
      </c>
    </row>
    <row r="25860">
      <c r="A25860" t="inlineStr">
        <is>
          <t>8595572902453</t>
        </is>
      </c>
      <c r="B25860" t="inlineStr">
        <is>
          <t>Caring Set with Lavender Medical</t>
        </is>
      </c>
      <c r="C25860" t="inlineStr">
        <is>
          <t>Aromatherapy &amp; Essential Oils</t>
        </is>
      </c>
      <c r="D25860" t="inlineStr">
        <is>
          <t>Purity Vision</t>
        </is>
      </c>
      <c r="E25860" t="n">
        <v>17.51</v>
      </c>
      <c r="F25860" t="n">
        <v>1</v>
      </c>
      <c r="G25860" t="n">
        <v>5</v>
      </c>
      <c r="H25860" s="5">
        <f>HYPERLINK("https://api.qogita.com/variants/link/8595572902453/", "View Product")</f>
        <v/>
      </c>
    </row>
    <row r="25861">
      <c r="A25861" t="inlineStr">
        <is>
          <t>8595572902521</t>
        </is>
      </c>
      <c r="B25861" t="inlineStr">
        <is>
          <t>Organic Vanilla Butter for Dry and Mature Skin Volume 70 ml</t>
        </is>
      </c>
      <c r="C25861" t="inlineStr">
        <is>
          <t>Body Butter</t>
        </is>
      </c>
      <c r="D25861" t="inlineStr">
        <is>
          <t>Purity Vision</t>
        </is>
      </c>
      <c r="E25861" t="n">
        <v>9.34</v>
      </c>
      <c r="F25861" t="n">
        <v>1</v>
      </c>
      <c r="G25861" t="n">
        <v>2</v>
      </c>
      <c r="H25861" s="5">
        <f>HYPERLINK("https://api.qogita.com/variants/link/8595572902521/", "View Product")</f>
        <v/>
      </c>
    </row>
    <row r="25862">
      <c r="A25862" t="inlineStr">
        <is>
          <t>8595572902590</t>
        </is>
      </c>
      <c r="B25862" t="inlineStr">
        <is>
          <t>Purity Vision Organic Vanilla Lip Oil 10 Ml</t>
        </is>
      </c>
      <c r="C25862" t="inlineStr">
        <is>
          <t>Lip Oil</t>
        </is>
      </c>
      <c r="D25862" t="inlineStr">
        <is>
          <t>Purity Vision</t>
        </is>
      </c>
      <c r="E25862" t="n">
        <v>5.48</v>
      </c>
      <c r="F25862" t="n">
        <v>1</v>
      </c>
      <c r="G25862" t="n">
        <v>5</v>
      </c>
      <c r="H25862" s="5">
        <f>HYPERLINK("https://api.qogita.com/variants/link/8595572902590/", "View Product")</f>
        <v/>
      </c>
    </row>
    <row r="25863">
      <c r="A25863" t="inlineStr">
        <is>
          <t>8595572903269</t>
        </is>
      </c>
      <c r="B25863" t="inlineStr">
        <is>
          <t>Organic Chamomile Oil 100 ml</t>
        </is>
      </c>
      <c r="C25863" t="inlineStr">
        <is>
          <t>Aromatherapy &amp; Essential Oils</t>
        </is>
      </c>
      <c r="D25863" t="inlineStr">
        <is>
          <t>Purity Vision</t>
        </is>
      </c>
      <c r="E25863" t="n">
        <v>10.53</v>
      </c>
      <c r="F25863" t="n">
        <v>1</v>
      </c>
      <c r="G25863" t="n">
        <v>5</v>
      </c>
      <c r="H25863" s="5">
        <f>HYPERLINK("https://api.qogita.com/variants/link/8595572903269/", "View Product")</f>
        <v/>
      </c>
    </row>
    <row r="25864">
      <c r="A25864" t="inlineStr">
        <is>
          <t>8595572903474</t>
        </is>
      </c>
      <c r="B25864" t="inlineStr">
        <is>
          <t>Purity Vision Bio Rose Cleansing Oil with Argan, Jojoba, and Vit. E 100ml</t>
        </is>
      </c>
      <c r="C25864" t="inlineStr">
        <is>
          <t>Cleansing Oil</t>
        </is>
      </c>
      <c r="D25864" t="inlineStr">
        <is>
          <t>Purity Vision</t>
        </is>
      </c>
      <c r="E25864" t="n">
        <v>12.11</v>
      </c>
      <c r="F25864" t="n">
        <v>1</v>
      </c>
      <c r="G25864" t="n">
        <v>13</v>
      </c>
      <c r="H25864" s="5">
        <f>HYPERLINK("https://api.qogita.com/variants/link/8595572903474/", "View Product")</f>
        <v/>
      </c>
    </row>
    <row r="25865">
      <c r="A25865" t="inlineStr">
        <is>
          <t>8595572905553</t>
        </is>
      </c>
      <c r="B25865" t="inlineStr">
        <is>
          <t>Purity Vision Bio Power Serum For Problematic Skin 30 Ml</t>
        </is>
      </c>
      <c r="C25865" t="inlineStr">
        <is>
          <t>Hydrating Serum</t>
        </is>
      </c>
      <c r="D25865" t="inlineStr">
        <is>
          <t>Purity Vision</t>
        </is>
      </c>
      <c r="E25865" t="n">
        <v>10.36</v>
      </c>
      <c r="F25865" t="n">
        <v>1</v>
      </c>
      <c r="G25865" t="n">
        <v>8</v>
      </c>
      <c r="H25865" s="5">
        <f>HYPERLINK("https://api.qogita.com/variants/link/8595572905553/", "View Product")</f>
        <v/>
      </c>
    </row>
    <row r="25866">
      <c r="A25866" t="inlineStr">
        <is>
          <t>8595572907977</t>
        </is>
      </c>
      <c r="B25866" t="inlineStr">
        <is>
          <t>PURITY VISION Bio Lavender Hyaluronic Serum 50ml</t>
        </is>
      </c>
      <c r="C25866" t="inlineStr">
        <is>
          <t>Hyaluronic Acid Serum</t>
        </is>
      </c>
      <c r="D25866" t="inlineStr">
        <is>
          <t>Purity Vision</t>
        </is>
      </c>
      <c r="E25866" t="n">
        <v>12.09</v>
      </c>
      <c r="F25866" t="n">
        <v>1</v>
      </c>
      <c r="G25866" t="n">
        <v>13</v>
      </c>
      <c r="H25866" s="5">
        <f>HYPERLINK("https://api.qogita.com/variants/link/8595572907977/", "View Product")</f>
        <v/>
      </c>
    </row>
    <row r="25867">
      <c r="A25867" t="inlineStr">
        <is>
          <t>8595572907991</t>
        </is>
      </c>
      <c r="B25867" t="inlineStr">
        <is>
          <t>Organic Lavender Tonic 100 ml</t>
        </is>
      </c>
      <c r="C25867" t="inlineStr">
        <is>
          <t>Aromatherapy &amp; Essential Oils</t>
        </is>
      </c>
      <c r="D25867" t="inlineStr">
        <is>
          <t>Purity Vision</t>
        </is>
      </c>
      <c r="E25867" t="n">
        <v>9.01</v>
      </c>
      <c r="F25867" t="n">
        <v>1</v>
      </c>
      <c r="G25867" t="n">
        <v>9</v>
      </c>
      <c r="H25867" s="5">
        <f>HYPERLINK("https://api.qogita.com/variants/link/8595572907991/", "View Product")</f>
        <v/>
      </c>
    </row>
    <row r="25868">
      <c r="A25868" t="inlineStr">
        <is>
          <t>8595572908011</t>
        </is>
      </c>
      <c r="B25868" t="inlineStr">
        <is>
          <t>PURITY VISION Bio Vanilla Regenerating Cream Universal 70 ml</t>
        </is>
      </c>
      <c r="C25868" t="inlineStr">
        <is>
          <t>Face Cream</t>
        </is>
      </c>
      <c r="D25868" t="inlineStr">
        <is>
          <t>Purity Vision</t>
        </is>
      </c>
      <c r="E25868" t="n">
        <v>8.67</v>
      </c>
      <c r="F25868" t="n">
        <v>1</v>
      </c>
      <c r="G25868" t="n">
        <v>5</v>
      </c>
      <c r="H25868" s="5">
        <f>HYPERLINK("https://api.qogita.com/variants/link/8595572908011/", "View Product")</f>
        <v/>
      </c>
    </row>
    <row r="25869">
      <c r="A25869" t="inlineStr">
        <is>
          <t>8595572908097</t>
        </is>
      </c>
      <c r="B25869" t="inlineStr">
        <is>
          <t>Purity Vision Bio Pine Water</t>
        </is>
      </c>
      <c r="C25869" t="inlineStr">
        <is>
          <t>Body Mist</t>
        </is>
      </c>
      <c r="D25869" t="inlineStr">
        <is>
          <t>Purity Vision</t>
        </is>
      </c>
      <c r="E25869" t="n">
        <v>8.289999999999999</v>
      </c>
      <c r="F25869" t="n">
        <v>1</v>
      </c>
      <c r="G25869" t="n">
        <v>4</v>
      </c>
      <c r="H25869" s="5">
        <f>HYPERLINK("https://api.qogita.com/variants/link/8595572908097/", "View Product")</f>
        <v/>
      </c>
    </row>
    <row r="25870">
      <c r="A25870" t="inlineStr">
        <is>
          <t>8595572908158</t>
        </is>
      </c>
      <c r="B25870" t="inlineStr">
        <is>
          <t>Bio Caring Calendula Peeling Volume 120 ml</t>
        </is>
      </c>
      <c r="C25870" t="inlineStr">
        <is>
          <t>Facial Scrub &amp; Peeling</t>
        </is>
      </c>
      <c r="D25870" t="inlineStr">
        <is>
          <t>Purity Vision</t>
        </is>
      </c>
      <c r="E25870" t="n">
        <v>8.619999999999999</v>
      </c>
      <c r="F25870" t="n">
        <v>1</v>
      </c>
      <c r="G25870" t="n">
        <v>6</v>
      </c>
      <c r="H25870" s="5">
        <f>HYPERLINK("https://api.qogita.com/variants/link/8595572908158/", "View Product")</f>
        <v/>
      </c>
    </row>
    <row r="25871">
      <c r="A25871" t="inlineStr">
        <is>
          <t>8595572908172</t>
        </is>
      </c>
      <c r="B25871" t="inlineStr">
        <is>
          <t>Bio Soothing Lavender Cream Universal 100 ml</t>
        </is>
      </c>
      <c r="C25871" t="inlineStr">
        <is>
          <t>Body Lotion</t>
        </is>
      </c>
      <c r="D25871" t="inlineStr">
        <is>
          <t>Purity Vision</t>
        </is>
      </c>
      <c r="E25871" t="n">
        <v>9.800000000000001</v>
      </c>
      <c r="F25871" t="n">
        <v>1</v>
      </c>
      <c r="G25871" t="n">
        <v>4</v>
      </c>
      <c r="H25871" s="5">
        <f>HYPERLINK("https://api.qogita.com/variants/link/8595572908172/", "View Product")</f>
        <v/>
      </c>
    </row>
    <row r="25872">
      <c r="A25872" t="inlineStr">
        <is>
          <t>8595572908233</t>
        </is>
      </c>
      <c r="B25872" t="inlineStr">
        <is>
          <t>Night Skin Serum Bio (Retinol Serum) 30 ml</t>
        </is>
      </c>
      <c r="C25872" t="inlineStr">
        <is>
          <t>Anti-Aging Serum</t>
        </is>
      </c>
      <c r="D25872" t="inlineStr">
        <is>
          <t>Purity Vision</t>
        </is>
      </c>
      <c r="E25872" t="n">
        <v>11.89</v>
      </c>
      <c r="F25872" t="n">
        <v>1</v>
      </c>
      <c r="G25872" t="n">
        <v>6</v>
      </c>
      <c r="H25872" s="5">
        <f>HYPERLINK("https://api.qogita.com/variants/link/8595572908233/", "View Product")</f>
        <v/>
      </c>
    </row>
    <row r="25873">
      <c r="A25873" t="inlineStr">
        <is>
          <t>8595605200822</t>
        </is>
      </c>
      <c r="B25873" t="inlineStr">
        <is>
          <t>Alpa Warming Massage Oil Before Performance Alpa</t>
        </is>
      </c>
      <c r="C25873" t="inlineStr">
        <is>
          <t>Body Oil</t>
        </is>
      </c>
      <c r="D25873" t="inlineStr">
        <is>
          <t>Alpa</t>
        </is>
      </c>
      <c r="E25873" t="n">
        <v>6.74</v>
      </c>
      <c r="F25873" t="n">
        <v>1</v>
      </c>
      <c r="G25873" t="n">
        <v>19</v>
      </c>
      <c r="H25873" s="5">
        <f>HYPERLINK("https://api.qogita.com/variants/link/8595605200822/", "View Product")</f>
        <v/>
      </c>
    </row>
    <row r="25874">
      <c r="A25874" t="inlineStr">
        <is>
          <t>8595605201355</t>
        </is>
      </c>
      <c r="B25874" t="inlineStr">
        <is>
          <t>ALPA HEMATO Skin Rehabilitation Cream 75ml</t>
        </is>
      </c>
      <c r="C25874" t="inlineStr">
        <is>
          <t>Neurodermatitis</t>
        </is>
      </c>
      <c r="D25874" t="inlineStr">
        <is>
          <t>Wader</t>
        </is>
      </c>
      <c r="E25874" t="n">
        <v>3.15</v>
      </c>
      <c r="F25874" t="n">
        <v>1</v>
      </c>
      <c r="G25874" t="n">
        <v>21</v>
      </c>
      <c r="H25874" s="5">
        <f>HYPERLINK("https://api.qogita.com/variants/link/8595605201355/", "View Product")</f>
        <v/>
      </c>
    </row>
    <row r="25875">
      <c r="A25875" t="inlineStr">
        <is>
          <t>8595615780215</t>
        </is>
      </c>
      <c r="B25875" t="inlineStr">
        <is>
          <t>Dtangler Ladies Comb</t>
        </is>
      </c>
      <c r="C25875" t="inlineStr">
        <is>
          <t>Combs</t>
        </is>
      </c>
      <c r="D25875" t="inlineStr">
        <is>
          <t>Dtangler</t>
        </is>
      </c>
      <c r="E25875" t="n">
        <v>6.33</v>
      </c>
      <c r="F25875" t="n">
        <v>1</v>
      </c>
      <c r="G25875" t="n">
        <v>5</v>
      </c>
      <c r="H25875" s="5">
        <f>HYPERLINK("https://api.qogita.com/variants/link/8595615780215/", "View Product")</f>
        <v/>
      </c>
    </row>
    <row r="25876">
      <c r="A25876" t="inlineStr">
        <is>
          <t>8595615780277</t>
        </is>
      </c>
      <c r="B25876" t="inlineStr">
        <is>
          <t>Hair Brush Bird</t>
        </is>
      </c>
      <c r="C25876" t="inlineStr">
        <is>
          <t>Wooden Brushes</t>
        </is>
      </c>
      <c r="D25876" t="inlineStr">
        <is>
          <t>Dtangler</t>
        </is>
      </c>
      <c r="E25876" t="n">
        <v>6.33</v>
      </c>
      <c r="F25876" t="n">
        <v>1</v>
      </c>
      <c r="G25876" t="n">
        <v>2</v>
      </c>
      <c r="H25876" s="5">
        <f>HYPERLINK("https://api.qogita.com/variants/link/8595615780277/", "View Product")</f>
        <v/>
      </c>
    </row>
    <row r="25877">
      <c r="A25877" t="inlineStr">
        <is>
          <t>8595615780314</t>
        </is>
      </c>
      <c r="B25877" t="inlineStr">
        <is>
          <t>Miraculous Gift Set of Hair Brushes</t>
        </is>
      </c>
      <c r="C25877" t="inlineStr">
        <is>
          <t>Flat &amp; Paddle Brushes</t>
        </is>
      </c>
      <c r="D25877" t="inlineStr">
        <is>
          <t>Miraculous</t>
        </is>
      </c>
      <c r="E25877" t="n">
        <v>10.31</v>
      </c>
      <c r="F25877" t="n">
        <v>1</v>
      </c>
      <c r="G25877" t="n">
        <v>6</v>
      </c>
      <c r="H25877" s="5">
        <f>HYPERLINK("https://api.qogita.com/variants/link/8595615780314/", "View Product")</f>
        <v/>
      </c>
    </row>
    <row r="25878">
      <c r="A25878" t="inlineStr">
        <is>
          <t>8595615780338</t>
        </is>
      </c>
      <c r="B25878" t="inlineStr">
        <is>
          <t>Miraculous Purple Set - Gift set of hair brushes</t>
        </is>
      </c>
      <c r="C25878" t="inlineStr">
        <is>
          <t>Round Brushes</t>
        </is>
      </c>
      <c r="D25878" t="inlineStr">
        <is>
          <t>Miraculous</t>
        </is>
      </c>
      <c r="E25878" t="n">
        <v>10.31</v>
      </c>
      <c r="F25878" t="n">
        <v>1</v>
      </c>
      <c r="G25878" t="n">
        <v>9</v>
      </c>
      <c r="H25878" s="5">
        <f>HYPERLINK("https://api.qogita.com/variants/link/8595615780338/", "View Product")</f>
        <v/>
      </c>
    </row>
    <row r="25879">
      <c r="A25879" t="inlineStr">
        <is>
          <t>8595615780475</t>
        </is>
      </c>
      <c r="B25879" t="inlineStr">
        <is>
          <t>Dtangler Kids hairbrush</t>
        </is>
      </c>
      <c r="C25879" t="inlineStr">
        <is>
          <t>Detanglers</t>
        </is>
      </c>
      <c r="D25879" t="inlineStr">
        <is>
          <t>Dtangler</t>
        </is>
      </c>
      <c r="E25879" t="n">
        <v>6.33</v>
      </c>
      <c r="F25879" t="n">
        <v>1</v>
      </c>
      <c r="G25879" t="n">
        <v>10</v>
      </c>
      <c r="H25879" s="5">
        <f>HYPERLINK("https://api.qogita.com/variants/link/8595615780475/", "View Product")</f>
        <v/>
      </c>
    </row>
    <row r="25880">
      <c r="A25880" t="inlineStr">
        <is>
          <t>8595631005590</t>
        </is>
      </c>
      <c r="B25880" t="inlineStr">
        <is>
          <t>Concept Household Beautiful VV5741 Hair Dryer 1500W with Folding Handle Blue</t>
        </is>
      </c>
      <c r="C25880" t="inlineStr">
        <is>
          <t>Hair Dryers</t>
        </is>
      </c>
      <c r="D25880" t="inlineStr">
        <is>
          <t>Concept</t>
        </is>
      </c>
      <c r="E25880" t="n">
        <v>14.37</v>
      </c>
      <c r="F25880" t="n">
        <v>1</v>
      </c>
      <c r="G25880" t="n">
        <v>2</v>
      </c>
      <c r="H25880" s="5">
        <f>HYPERLINK("https://api.qogita.com/variants/link/8595631005590/", "View Product")</f>
        <v/>
      </c>
    </row>
    <row r="25881">
      <c r="A25881" t="inlineStr">
        <is>
          <t>8595631007723</t>
        </is>
      </c>
      <c r="B25881" t="inlineStr">
        <is>
          <t>Concept Titan Care VV5750 Hair Dryer with Ionizer 3 Temperature Settings and 2 Airflow Speeds 1600W Matte Gray</t>
        </is>
      </c>
      <c r="C25881" t="inlineStr">
        <is>
          <t>Hair Dryers</t>
        </is>
      </c>
      <c r="D25881" t="inlineStr">
        <is>
          <t>Concept</t>
        </is>
      </c>
      <c r="E25881" t="n">
        <v>21.48</v>
      </c>
      <c r="F25881" t="n">
        <v>1</v>
      </c>
      <c r="G25881" t="n">
        <v>3</v>
      </c>
      <c r="H25881" s="5">
        <f>HYPERLINK("https://api.qogita.com/variants/link/8595631007723/", "View Product")</f>
        <v/>
      </c>
    </row>
    <row r="25882">
      <c r="A25882" t="inlineStr">
        <is>
          <t>8595631008805</t>
        </is>
      </c>
      <c r="B25882" t="inlineStr">
        <is>
          <t>CONCEPT Household Titan Care KF1325 Curling Iron with 4 Attachments 600W Overheat Protection Click-In-System 2 Temperature Settings + COOL SHOT Function Matte Gray</t>
        </is>
      </c>
      <c r="C25882" t="inlineStr">
        <is>
          <t>Curling Irons</t>
        </is>
      </c>
      <c r="D25882" t="inlineStr">
        <is>
          <t>Concept</t>
        </is>
      </c>
      <c r="E25882" t="n">
        <v>21.48</v>
      </c>
      <c r="F25882" t="n">
        <v>1</v>
      </c>
      <c r="G25882" t="n">
        <v>2</v>
      </c>
      <c r="H25882" s="5">
        <f>HYPERLINK("https://api.qogita.com/variants/link/8595631008805/", "View Product")</f>
        <v/>
      </c>
    </row>
    <row r="25883">
      <c r="A25883" t="inlineStr">
        <is>
          <t>8595631010594</t>
        </is>
      </c>
      <c r="B25883" t="inlineStr">
        <is>
          <t>Concept Sonic Electric Toothbrush ZK4010 with Travel Case</t>
        </is>
      </c>
      <c r="C25883" t="inlineStr">
        <is>
          <t>Electric Toothbrushes</t>
        </is>
      </c>
      <c r="D25883" t="inlineStr">
        <is>
          <t>Concept</t>
        </is>
      </c>
      <c r="E25883" t="n">
        <v>34.11</v>
      </c>
      <c r="F25883" t="n">
        <v>1</v>
      </c>
      <c r="G25883" t="n">
        <v>2</v>
      </c>
      <c r="H25883" s="5">
        <f>HYPERLINK("https://api.qogita.com/variants/link/8595631010594/", "View Product")</f>
        <v/>
      </c>
    </row>
    <row r="25884">
      <c r="A25884" t="inlineStr">
        <is>
          <t>8595631011195</t>
        </is>
      </c>
      <c r="B25884" t="inlineStr">
        <is>
          <t>CONCEPT Household Appliances IL3000 IPL Hair Removal Device with 2 Modes and 5 Levels - 300,000 Pulse Lamp Life with Storage Bag</t>
        </is>
      </c>
      <c r="C25884" t="inlineStr">
        <is>
          <t>Razors &amp; Hair Removal Tools</t>
        </is>
      </c>
      <c r="D25884" t="inlineStr">
        <is>
          <t>Concept</t>
        </is>
      </c>
      <c r="E25884" t="n">
        <v>107.02</v>
      </c>
      <c r="F25884" t="n">
        <v>1</v>
      </c>
      <c r="G25884" t="n">
        <v>3</v>
      </c>
      <c r="H25884" s="5">
        <f>HYPERLINK("https://api.qogita.com/variants/link/8595631011195/", "View Product")</f>
        <v/>
      </c>
    </row>
    <row r="25885">
      <c r="A25885" t="inlineStr">
        <is>
          <t>8595631015896</t>
        </is>
      </c>
      <c r="B25885" t="inlineStr">
        <is>
          <t>Concept Hausgerate Zk0052 Brush Head For Sensitive Teeth And Gums</t>
        </is>
      </c>
      <c r="C25885" t="inlineStr">
        <is>
          <t>Electric Toothbrushes</t>
        </is>
      </c>
      <c r="D25885" t="inlineStr">
        <is>
          <t>Concept</t>
        </is>
      </c>
      <c r="E25885" t="n">
        <v>17.29</v>
      </c>
      <c r="F25885" t="n">
        <v>1</v>
      </c>
      <c r="G25885" t="n">
        <v>2</v>
      </c>
      <c r="H25885" s="5">
        <f>HYPERLINK("https://api.qogita.com/variants/link/8595631015896/", "View Product")</f>
        <v/>
      </c>
    </row>
    <row r="25886">
      <c r="A25886" t="inlineStr">
        <is>
          <t>8595631019832</t>
        </is>
      </c>
      <c r="B25886" t="inlineStr">
        <is>
          <t>Concept Daily Clean ZK0006 Replacement Brush Head for ZK40xx - 4 pieces</t>
        </is>
      </c>
      <c r="C25886" t="inlineStr">
        <is>
          <t>Electric Toothbrushes</t>
        </is>
      </c>
      <c r="D25886" t="inlineStr">
        <is>
          <t>Concept</t>
        </is>
      </c>
      <c r="E25886" t="n">
        <v>13.84</v>
      </c>
      <c r="F25886" t="n">
        <v>1</v>
      </c>
      <c r="G25886" t="n">
        <v>4</v>
      </c>
      <c r="H25886" s="5">
        <f>HYPERLINK("https://api.qogita.com/variants/link/8595631019832/", "View Product")</f>
        <v/>
      </c>
    </row>
    <row r="25887">
      <c r="A25887" t="inlineStr">
        <is>
          <t>8595631020500</t>
        </is>
      </c>
      <c r="B25887" t="inlineStr">
        <is>
          <t>Concept Cosmetic Ultrasonic Spatula Perfect Skin Po2060</t>
        </is>
      </c>
      <c r="C25887" t="inlineStr">
        <is>
          <t>Facial Cleansing Tools</t>
        </is>
      </c>
      <c r="D25887" t="inlineStr">
        <is>
          <t>Concept</t>
        </is>
      </c>
      <c r="E25887" t="n">
        <v>73.81</v>
      </c>
      <c r="F25887" t="n">
        <v>1</v>
      </c>
      <c r="G25887" t="n">
        <v>8</v>
      </c>
      <c r="H25887" s="5">
        <f>HYPERLINK("https://api.qogita.com/variants/link/8595631020500/", "View Product")</f>
        <v/>
      </c>
    </row>
    <row r="25888">
      <c r="A25888" t="inlineStr">
        <is>
          <t>8595631065419</t>
        </is>
      </c>
      <c r="B25888" t="inlineStr">
        <is>
          <t>Concept Sonivibe Sonic Skin Cleansing Brush</t>
        </is>
      </c>
      <c r="C25888" t="inlineStr">
        <is>
          <t>Facial Cleansing Brushes</t>
        </is>
      </c>
      <c r="D25888" t="inlineStr">
        <is>
          <t>Concept</t>
        </is>
      </c>
      <c r="E25888" t="n">
        <v>22.2</v>
      </c>
      <c r="F25888" t="n">
        <v>1</v>
      </c>
      <c r="G25888" t="n">
        <v>7</v>
      </c>
      <c r="H25888" s="5">
        <f>HYPERLINK("https://api.qogita.com/variants/link/8595631065419/", "View Product")</f>
        <v/>
      </c>
    </row>
    <row r="25889">
      <c r="A25889" t="inlineStr">
        <is>
          <t>8595631065426</t>
        </is>
      </c>
      <c r="B25889" t="inlineStr">
        <is>
          <t>Concept Sonivibe Sonic Skin Cleansing Brush</t>
        </is>
      </c>
      <c r="C25889" t="inlineStr">
        <is>
          <t>Facial Cleansing Brushes</t>
        </is>
      </c>
      <c r="D25889" t="inlineStr">
        <is>
          <t>Concept</t>
        </is>
      </c>
      <c r="E25889" t="n">
        <v>24.43</v>
      </c>
      <c r="F25889" t="n">
        <v>1</v>
      </c>
      <c r="G25889" t="n">
        <v>4</v>
      </c>
      <c r="H25889" s="5">
        <f>HYPERLINK("https://api.qogita.com/variants/link/8595631065426/", "View Product")</f>
        <v/>
      </c>
    </row>
    <row r="25890">
      <c r="A25890" t="inlineStr">
        <is>
          <t>8595631074602</t>
        </is>
      </c>
      <c r="B25890" t="inlineStr">
        <is>
          <t>Concept Sonic Children's Toothbrush 1-5 Years Blue Zk3020</t>
        </is>
      </c>
      <c r="C25890" t="inlineStr">
        <is>
          <t>Dental Care For Children</t>
        </is>
      </c>
      <c r="D25890" t="inlineStr">
        <is>
          <t>Concept</t>
        </is>
      </c>
      <c r="E25890" t="n">
        <v>18.67</v>
      </c>
      <c r="F25890" t="n">
        <v>1</v>
      </c>
      <c r="G25890" t="n">
        <v>7</v>
      </c>
      <c r="H25890" s="5">
        <f>HYPERLINK("https://api.qogita.com/variants/link/8595631074602/", "View Product")</f>
        <v/>
      </c>
    </row>
    <row r="25891">
      <c r="A25891" t="inlineStr">
        <is>
          <t>8595631074886</t>
        </is>
      </c>
      <c r="B25891" t="inlineStr">
        <is>
          <t>Concept Sonic Children's Toothbrush 1-5 Years Pink Zk3010</t>
        </is>
      </c>
      <c r="C25891" t="inlineStr">
        <is>
          <t>Dental Care For Children</t>
        </is>
      </c>
      <c r="D25891" t="inlineStr">
        <is>
          <t>Concept</t>
        </is>
      </c>
      <c r="E25891" t="n">
        <v>18.67</v>
      </c>
      <c r="F25891" t="n">
        <v>1</v>
      </c>
      <c r="G25891" t="n">
        <v>5</v>
      </c>
      <c r="H25891" s="5">
        <f>HYPERLINK("https://api.qogita.com/variants/link/8595631074886/", "View Product")</f>
        <v/>
      </c>
    </row>
    <row r="25892">
      <c r="A25892" t="inlineStr">
        <is>
          <t>8595635200526</t>
        </is>
      </c>
      <c r="B25892" t="inlineStr">
        <is>
          <t>Vivapharm Aloe Vera 97 Cooling Gel After Sunbathing</t>
        </is>
      </c>
      <c r="C25892" t="inlineStr">
        <is>
          <t>Aftersun</t>
        </is>
      </c>
      <c r="D25892" t="inlineStr">
        <is>
          <t>Vivapharm®</t>
        </is>
      </c>
      <c r="E25892" t="n">
        <v>3.68</v>
      </c>
      <c r="F25892" t="n">
        <v>1</v>
      </c>
      <c r="G25892" t="n">
        <v>4</v>
      </c>
      <c r="H25892" s="5">
        <f>HYPERLINK("https://api.qogita.com/variants/link/8595635200526/", "View Product")</f>
        <v/>
      </c>
    </row>
    <row r="25893">
      <c r="A25893" t="inlineStr">
        <is>
          <t>8595673310089</t>
        </is>
      </c>
      <c r="B25893" t="inlineStr">
        <is>
          <t>Pola Cosmetics Tender Kiss Lipstick 38 G</t>
        </is>
      </c>
      <c r="C25893" t="inlineStr">
        <is>
          <t>Lipstick</t>
        </is>
      </c>
      <c r="D25893" t="inlineStr">
        <is>
          <t>Pola Cosmetics</t>
        </is>
      </c>
      <c r="E25893" t="n">
        <v>13.53</v>
      </c>
      <c r="F25893" t="n">
        <v>1</v>
      </c>
      <c r="G25893" t="n">
        <v>4</v>
      </c>
      <c r="H25893" s="5">
        <f>HYPERLINK("https://api.qogita.com/variants/link/8595673310089/", "View Product")</f>
        <v/>
      </c>
    </row>
    <row r="25894">
      <c r="A25894" t="inlineStr">
        <is>
          <t>8595673310614</t>
        </is>
      </c>
      <c r="B25894" t="inlineStr">
        <is>
          <t>10 pieces of Cotton Swabs</t>
        </is>
      </c>
      <c r="C25894" t="inlineStr">
        <is>
          <t>Ear Care</t>
        </is>
      </c>
      <c r="D25894" t="inlineStr">
        <is>
          <t>Pola Cosmetics</t>
        </is>
      </c>
      <c r="E25894" t="n">
        <v>15.55</v>
      </c>
      <c r="F25894" t="n">
        <v>1</v>
      </c>
      <c r="G25894" t="n">
        <v>5</v>
      </c>
      <c r="H25894" s="5">
        <f>HYPERLINK("https://api.qogita.com/variants/link/8595673310614/", "View Product")</f>
        <v/>
      </c>
    </row>
    <row r="25895">
      <c r="A25895" t="inlineStr">
        <is>
          <t>8595673310690</t>
        </is>
      </c>
      <c r="B25895" t="inlineStr">
        <is>
          <t>Smooth Camouflage 5 milliliter concealer Shade P1</t>
        </is>
      </c>
      <c r="C25895" t="inlineStr">
        <is>
          <t>Concealer</t>
        </is>
      </c>
      <c r="D25895" t="inlineStr">
        <is>
          <t>Pola Cosmetics</t>
        </is>
      </c>
      <c r="E25895" t="n">
        <v>13.21</v>
      </c>
      <c r="F25895" t="n">
        <v>1</v>
      </c>
      <c r="G25895" t="n">
        <v>2</v>
      </c>
      <c r="H25895" s="5">
        <f>HYPERLINK("https://api.qogita.com/variants/link/8595673310690/", "View Product")</f>
        <v/>
      </c>
    </row>
    <row r="25896">
      <c r="A25896" t="inlineStr">
        <is>
          <t>8595673310737</t>
        </is>
      </c>
      <c r="B25896" t="inlineStr">
        <is>
          <t>Set of Cosmetic Brushes</t>
        </is>
      </c>
      <c r="C25896" t="inlineStr">
        <is>
          <t>Brush Sets</t>
        </is>
      </c>
      <c r="D25896" t="inlineStr">
        <is>
          <t>Pola Cosmetics</t>
        </is>
      </c>
      <c r="E25896" t="n">
        <v>53.29</v>
      </c>
      <c r="F25896" t="n">
        <v>1</v>
      </c>
      <c r="G25896" t="n">
        <v>3</v>
      </c>
      <c r="H25896" s="5">
        <f>HYPERLINK("https://api.qogita.com/variants/link/8595673310737/", "View Product")</f>
        <v/>
      </c>
    </row>
    <row r="25897">
      <c r="A25897" t="inlineStr">
        <is>
          <t>8595673310942</t>
        </is>
      </c>
      <c r="B25897" t="inlineStr">
        <is>
          <t>Pola Cosmetics Bronzing Powder Hawaiian Tan 58 G</t>
        </is>
      </c>
      <c r="C25897" t="inlineStr">
        <is>
          <t>Bronzer</t>
        </is>
      </c>
      <c r="D25897" t="inlineStr">
        <is>
          <t>Pola Cosmetics</t>
        </is>
      </c>
      <c r="E25897" t="n">
        <v>17.59</v>
      </c>
      <c r="F25897" t="n">
        <v>1</v>
      </c>
      <c r="G25897" t="n">
        <v>3</v>
      </c>
      <c r="H25897" s="5">
        <f>HYPERLINK("https://api.qogita.com/variants/link/8595673310942/", "View Product")</f>
        <v/>
      </c>
    </row>
    <row r="25898">
      <c r="A25898" t="inlineStr">
        <is>
          <t>8595693501146</t>
        </is>
      </c>
      <c r="B25898" t="inlineStr">
        <is>
          <t>Smili Refill For Tooth Whiteners</t>
        </is>
      </c>
      <c r="C25898" t="inlineStr">
        <is>
          <t>Teeth Whiteners</t>
        </is>
      </c>
      <c r="D25898" t="inlineStr">
        <is>
          <t>Smiley</t>
        </is>
      </c>
      <c r="E25898" t="n">
        <v>39.8</v>
      </c>
      <c r="F25898" t="n">
        <v>1</v>
      </c>
      <c r="G25898" t="n">
        <v>5</v>
      </c>
      <c r="H25898" s="5">
        <f>HYPERLINK("https://api.qogita.com/variants/link/8595693501146/", "View Product")</f>
        <v/>
      </c>
    </row>
    <row r="25899">
      <c r="A25899" t="inlineStr">
        <is>
          <t>8595713600071</t>
        </is>
      </c>
      <c r="B25899" t="inlineStr">
        <is>
          <t>Hair Care Trio Box Gift Set</t>
        </is>
      </c>
      <c r="C25899" t="inlineStr">
        <is>
          <t>Hair Care Sets</t>
        </is>
      </c>
      <c r="D25899" t="inlineStr">
        <is>
          <t>Steve´S</t>
        </is>
      </c>
      <c r="E25899" t="n">
        <v>32.77</v>
      </c>
      <c r="F25899" t="n">
        <v>1</v>
      </c>
      <c r="G25899" t="n">
        <v>2</v>
      </c>
      <c r="H25899" s="5">
        <f>HYPERLINK("https://api.qogita.com/variants/link/8595713600071/", "View Product")</f>
        <v/>
      </c>
    </row>
    <row r="25900">
      <c r="A25900" t="inlineStr">
        <is>
          <t>8595713601122</t>
        </is>
      </c>
      <c r="B25900" t="inlineStr">
        <is>
          <t>Steve's No Bull***T Hair And Beard Shampoo Shampoo For Everything - 100 Ml</t>
        </is>
      </c>
      <c r="C25900" t="inlineStr">
        <is>
          <t>Shampoo</t>
        </is>
      </c>
      <c r="D25900" t="inlineStr">
        <is>
          <t>Steve's</t>
        </is>
      </c>
      <c r="E25900" t="n">
        <v>6.64</v>
      </c>
      <c r="F25900" t="n">
        <v>1</v>
      </c>
      <c r="G25900" t="n">
        <v>4</v>
      </c>
      <c r="H25900" s="5">
        <f>HYPERLINK("https://api.qogita.com/variants/link/8595713601122/", "View Product")</f>
        <v/>
      </c>
    </row>
    <row r="25901">
      <c r="A25901" t="inlineStr">
        <is>
          <t>8595713602044</t>
        </is>
      </c>
      <c r="B25901" t="inlineStr">
        <is>
          <t>Steve's Sandalwood Shaving Cream 100 ml</t>
        </is>
      </c>
      <c r="C25901" t="inlineStr">
        <is>
          <t>Aftershave</t>
        </is>
      </c>
      <c r="D25901" t="inlineStr">
        <is>
          <t>Steve´S</t>
        </is>
      </c>
      <c r="E25901" t="n">
        <v>9.199999999999999</v>
      </c>
      <c r="F25901" t="n">
        <v>1</v>
      </c>
      <c r="G25901" t="n">
        <v>2</v>
      </c>
      <c r="H25901" s="5">
        <f>HYPERLINK("https://api.qogita.com/variants/link/8595713602044/", "View Product")</f>
        <v/>
      </c>
    </row>
    <row r="25902">
      <c r="A25902" t="inlineStr">
        <is>
          <t>8595713605045</t>
        </is>
      </c>
      <c r="B25902" t="inlineStr">
        <is>
          <t>Perfumed Blue Velvet Eau de Parfum 50 milliliters</t>
        </is>
      </c>
      <c r="C25902" t="inlineStr">
        <is>
          <t>Eau De Parfum</t>
        </is>
      </c>
      <c r="D25902" t="inlineStr">
        <is>
          <t>Steve´S</t>
        </is>
      </c>
      <c r="E25902" t="n">
        <v>61.06</v>
      </c>
      <c r="F25902" t="n">
        <v>1</v>
      </c>
      <c r="G25902" t="n">
        <v>3</v>
      </c>
      <c r="H25902" s="5">
        <f>HYPERLINK("https://api.qogita.com/variants/link/8595713605045/", "View Product")</f>
        <v/>
      </c>
    </row>
    <row r="25903">
      <c r="A25903" t="inlineStr">
        <is>
          <t>8681008055074</t>
        </is>
      </c>
      <c r="B25903" t="inlineStr">
        <is>
          <t>Nishane Ani Parfum Extract Unisex 100ml</t>
        </is>
      </c>
      <c r="C25903" t="inlineStr">
        <is>
          <t>Extrait De Parfum</t>
        </is>
      </c>
      <c r="D25903" t="inlineStr">
        <is>
          <t>Nishane</t>
        </is>
      </c>
      <c r="E25903" t="n">
        <v>129.01</v>
      </c>
      <c r="F25903" t="n">
        <v>1</v>
      </c>
      <c r="G25903" t="n">
        <v>10</v>
      </c>
      <c r="H25903" s="5">
        <f>HYPERLINK("https://api.qogita.com/variants/link/8681008055074/", "View Product")</f>
        <v/>
      </c>
    </row>
    <row r="25904">
      <c r="A25904" t="inlineStr">
        <is>
          <t>8681008055203</t>
        </is>
      </c>
      <c r="B25904" t="inlineStr">
        <is>
          <t>Nishane Koln Colognise Extrait De Cologne 100ml</t>
        </is>
      </c>
      <c r="C25904" t="inlineStr">
        <is>
          <t>Eau De Cologne</t>
        </is>
      </c>
      <c r="D25904" t="inlineStr">
        <is>
          <t>Nishane</t>
        </is>
      </c>
      <c r="E25904" t="n">
        <v>75.91</v>
      </c>
      <c r="F25904" t="n">
        <v>1</v>
      </c>
      <c r="G25904" t="n">
        <v>7</v>
      </c>
      <c r="H25904" s="5">
        <f>HYPERLINK("https://api.qogita.com/variants/link/8681008055203/", "View Product")</f>
        <v/>
      </c>
    </row>
    <row r="25905">
      <c r="A25905" t="inlineStr">
        <is>
          <t>8681008055296</t>
        </is>
      </c>
      <c r="B25905" t="inlineStr">
        <is>
          <t>Nishane Nanshe Extrait De Parfum Spray 50ml</t>
        </is>
      </c>
      <c r="C25905" t="inlineStr">
        <is>
          <t>Extrait De Parfum</t>
        </is>
      </c>
      <c r="D25905" t="inlineStr">
        <is>
          <t>Nishane</t>
        </is>
      </c>
      <c r="E25905" t="n">
        <v>103.69</v>
      </c>
      <c r="F25905" t="n">
        <v>1</v>
      </c>
      <c r="G25905" t="n">
        <v>9</v>
      </c>
      <c r="H25905" s="5">
        <f>HYPERLINK("https://api.qogita.com/variants/link/8681008055296/", "View Product")</f>
        <v/>
      </c>
    </row>
    <row r="25906">
      <c r="A25906" t="inlineStr">
        <is>
          <t>8681008055548</t>
        </is>
      </c>
      <c r="B25906" t="inlineStr">
        <is>
          <t>Nishane Pachuli Kozha Extrait De Parfum Spray 50ml</t>
        </is>
      </c>
      <c r="C25906" t="inlineStr">
        <is>
          <t>Extrait De Parfum</t>
        </is>
      </c>
      <c r="D25906" t="inlineStr">
        <is>
          <t>Nishane</t>
        </is>
      </c>
      <c r="E25906" t="n">
        <v>110.78</v>
      </c>
      <c r="F25906" t="n">
        <v>1</v>
      </c>
      <c r="G25906" t="n">
        <v>4</v>
      </c>
      <c r="H25906" s="5">
        <f>HYPERLINK("https://api.qogita.com/variants/link/8681008055548/", "View Product")</f>
        <v/>
      </c>
    </row>
    <row r="25907">
      <c r="A25907" t="inlineStr">
        <is>
          <t>8681008055579</t>
        </is>
      </c>
      <c r="B25907" t="inlineStr">
        <is>
          <t>Nishane Fan Your Flames Extrait De Parfum Spray 50ml</t>
        </is>
      </c>
      <c r="C25907" t="inlineStr">
        <is>
          <t>Extrait De Parfum</t>
        </is>
      </c>
      <c r="D25907" t="inlineStr">
        <is>
          <t>Nishane</t>
        </is>
      </c>
      <c r="E25907" t="n">
        <v>80.14</v>
      </c>
      <c r="F25907" t="n">
        <v>1</v>
      </c>
      <c r="G25907" t="n">
        <v>29</v>
      </c>
      <c r="H25907" s="5">
        <f>HYPERLINK("https://api.qogita.com/variants/link/8681008055579/", "View Product")</f>
        <v/>
      </c>
    </row>
    <row r="25908">
      <c r="A25908" t="inlineStr">
        <is>
          <t>8681619761012</t>
        </is>
      </c>
      <c r="B25908" t="inlineStr">
        <is>
          <t>Alghabra Poem of Damas Extract De Parfum 50ml Unisex</t>
        </is>
      </c>
      <c r="C25908" t="inlineStr">
        <is>
          <t>Eau De Parfum</t>
        </is>
      </c>
      <c r="D25908" t="inlineStr">
        <is>
          <t>Alghabra</t>
        </is>
      </c>
      <c r="E25908" t="n">
        <v>70.76000000000001</v>
      </c>
      <c r="F25908" t="n">
        <v>1</v>
      </c>
      <c r="G25908" t="n">
        <v>5</v>
      </c>
      <c r="H25908" s="5">
        <f>HYPERLINK("https://api.qogita.com/variants/link/8681619761012/", "View Product")</f>
        <v/>
      </c>
    </row>
    <row r="25909">
      <c r="A25909" t="inlineStr">
        <is>
          <t>8681619761029</t>
        </is>
      </c>
      <c r="B25909" t="inlineStr">
        <is>
          <t>Alghabra Scent of Paradise Extract De Parfum 50ml Unisex</t>
        </is>
      </c>
      <c r="C25909" t="inlineStr">
        <is>
          <t>Eau De Parfum</t>
        </is>
      </c>
      <c r="D25909" t="inlineStr">
        <is>
          <t>Alghabra</t>
        </is>
      </c>
      <c r="E25909" t="n">
        <v>68.92</v>
      </c>
      <c r="F25909" t="n">
        <v>1</v>
      </c>
      <c r="G25909" t="n">
        <v>5</v>
      </c>
      <c r="H25909" s="5">
        <f>HYPERLINK("https://api.qogita.com/variants/link/8681619761029/", "View Product")</f>
        <v/>
      </c>
    </row>
    <row r="25910">
      <c r="A25910" t="inlineStr">
        <is>
          <t>8681619761043</t>
        </is>
      </c>
      <c r="B25910" t="inlineStr">
        <is>
          <t>Alghabra City of Jasmine Perfume Extract 50ml Unisex</t>
        </is>
      </c>
      <c r="C25910" t="inlineStr">
        <is>
          <t>Extrait De Parfum</t>
        </is>
      </c>
      <c r="D25910" t="inlineStr">
        <is>
          <t>Alghabra</t>
        </is>
      </c>
      <c r="E25910" t="n">
        <v>72.06</v>
      </c>
      <c r="F25910" t="n">
        <v>1</v>
      </c>
      <c r="G25910" t="n">
        <v>6</v>
      </c>
      <c r="H25910" s="5">
        <f>HYPERLINK("https://api.qogita.com/variants/link/8681619761043/", "View Product")</f>
        <v/>
      </c>
    </row>
    <row r="25911">
      <c r="A25911" t="inlineStr">
        <is>
          <t>8681619761173</t>
        </is>
      </c>
      <c r="B25911" t="inlineStr">
        <is>
          <t>Alghabra Bosphorus Pearl Extract De Parfum 50ml Unisex</t>
        </is>
      </c>
      <c r="C25911" t="inlineStr">
        <is>
          <t>Eau De Parfum</t>
        </is>
      </c>
      <c r="D25911" t="inlineStr">
        <is>
          <t>Alghabra</t>
        </is>
      </c>
      <c r="E25911" t="n">
        <v>79.48</v>
      </c>
      <c r="F25911" t="n">
        <v>1</v>
      </c>
      <c r="G25911" t="n">
        <v>3</v>
      </c>
      <c r="H25911" s="5">
        <f>HYPERLINK("https://api.qogita.com/variants/link/8681619761173/", "View Product")</f>
        <v/>
      </c>
    </row>
    <row r="25912">
      <c r="A25912" t="inlineStr">
        <is>
          <t>8681619761234</t>
        </is>
      </c>
      <c r="B25912" t="inlineStr">
        <is>
          <t>Alghabra Istanbul Soul Extract De Parfum 50ml Unisex</t>
        </is>
      </c>
      <c r="C25912" t="inlineStr">
        <is>
          <t>Eau De Parfum</t>
        </is>
      </c>
      <c r="D25912" t="inlineStr">
        <is>
          <t>Alghabra</t>
        </is>
      </c>
      <c r="E25912" t="n">
        <v>82.59</v>
      </c>
      <c r="F25912" t="n">
        <v>1</v>
      </c>
      <c r="G25912" t="n">
        <v>2</v>
      </c>
      <c r="H25912" s="5">
        <f>HYPERLINK("https://api.qogita.com/variants/link/8681619761234/", "View Product")</f>
        <v/>
      </c>
    </row>
    <row r="25913">
      <c r="A25913" t="inlineStr">
        <is>
          <t>8683608071010</t>
        </is>
      </c>
      <c r="B25913" t="inlineStr">
        <is>
          <t>Nishane Fan Your Flames Fragrance Inspired by a Phrase</t>
        </is>
      </c>
      <c r="C25913" t="inlineStr">
        <is>
          <t>Eau De Parfum</t>
        </is>
      </c>
      <c r="D25913" t="inlineStr">
        <is>
          <t>Nishane</t>
        </is>
      </c>
      <c r="E25913" t="n">
        <v>95.53</v>
      </c>
      <c r="F25913" t="n">
        <v>1</v>
      </c>
      <c r="G25913" t="n">
        <v>2</v>
      </c>
      <c r="H25913" s="5">
        <f>HYPERLINK("https://api.qogita.com/variants/link/8683608071010/", "View Product")</f>
        <v/>
      </c>
    </row>
    <row r="25914">
      <c r="A25914" t="inlineStr">
        <is>
          <t>8683608071294</t>
        </is>
      </c>
      <c r="B25914" t="inlineStr">
        <is>
          <t>Nishane Hesperide Colognise Extract 100 Milliliters</t>
        </is>
      </c>
      <c r="C25914" t="inlineStr">
        <is>
          <t>Extrait De Parfum</t>
        </is>
      </c>
      <c r="D25914" t="inlineStr">
        <is>
          <t>Nishane</t>
        </is>
      </c>
      <c r="E25914" t="n">
        <v>71.65000000000001</v>
      </c>
      <c r="F25914" t="n">
        <v>1</v>
      </c>
      <c r="G25914" t="n">
        <v>13</v>
      </c>
      <c r="H25914" s="5">
        <f>HYPERLINK("https://api.qogita.com/variants/link/8683608071294/", "View Product")</f>
        <v/>
      </c>
    </row>
    <row r="25915">
      <c r="A25915" t="inlineStr">
        <is>
          <t>8700216148092</t>
        </is>
      </c>
      <c r="B25915" t="inlineStr">
        <is>
          <t>Gillette Blue 3 Comfort Disposable Razors 12 Pieces</t>
        </is>
      </c>
      <c r="C25915" t="inlineStr">
        <is>
          <t>Razors &amp; Hair Removal Tools</t>
        </is>
      </c>
      <c r="D25915" t="inlineStr">
        <is>
          <t>Gillette</t>
        </is>
      </c>
      <c r="E25915" t="n">
        <v>11.39</v>
      </c>
      <c r="F25915" t="n">
        <v>1</v>
      </c>
      <c r="G25915" t="n">
        <v>10</v>
      </c>
      <c r="H25915" s="5">
        <f>HYPERLINK("https://api.qogita.com/variants/link/8700216148092/", "View Product")</f>
        <v/>
      </c>
    </row>
    <row r="25916">
      <c r="A25916" t="inlineStr">
        <is>
          <t>8700216156134</t>
        </is>
      </c>
      <c r="B25916" t="inlineStr">
        <is>
          <t>Head &amp; Shoulders Classic Clean Shampoo 800 ml - Anti-dandruff</t>
        </is>
      </c>
      <c r="C25916" t="inlineStr">
        <is>
          <t>Shampoo</t>
        </is>
      </c>
      <c r="D25916" t="inlineStr">
        <is>
          <t>Head And Shoulders</t>
        </is>
      </c>
      <c r="E25916" t="n">
        <v>10.78</v>
      </c>
      <c r="F25916" t="n">
        <v>1</v>
      </c>
      <c r="G25916" t="n">
        <v>3</v>
      </c>
      <c r="H25916" s="5">
        <f>HYPERLINK("https://api.qogita.com/variants/link/8700216156134/", "View Product")</f>
        <v/>
      </c>
    </row>
    <row r="25917">
      <c r="A25917" t="inlineStr">
        <is>
          <t>8700216156196</t>
        </is>
      </c>
      <c r="B25917" t="inlineStr">
        <is>
          <t>Head &amp; Shoulders Menthol Fresh Shampoo 800 ml - Anti-dandruff</t>
        </is>
      </c>
      <c r="C25917" t="inlineStr">
        <is>
          <t>Shampoo</t>
        </is>
      </c>
      <c r="D25917" t="inlineStr">
        <is>
          <t>Head And Shoulders</t>
        </is>
      </c>
      <c r="E25917" t="n">
        <v>10.78</v>
      </c>
      <c r="F25917" t="n">
        <v>1</v>
      </c>
      <c r="G25917" t="n">
        <v>3</v>
      </c>
      <c r="H25917" s="5">
        <f>HYPERLINK("https://api.qogita.com/variants/link/8700216156196/", "View Product")</f>
        <v/>
      </c>
    </row>
    <row r="25918">
      <c r="A25918" t="inlineStr">
        <is>
          <t>8700216156882</t>
        </is>
      </c>
      <c r="B25918" t="inlineStr">
        <is>
          <t>Head &amp; Shoulders Proexpert 7 Tea Tree Oil Shampoo With Maximum Effect Against Dandruff</t>
        </is>
      </c>
      <c r="C25918" t="inlineStr">
        <is>
          <t>Shampoo</t>
        </is>
      </c>
      <c r="D25918" t="inlineStr">
        <is>
          <t>Head And Shoulders</t>
        </is>
      </c>
      <c r="E25918" t="n">
        <v>6.4</v>
      </c>
      <c r="F25918" t="n">
        <v>1</v>
      </c>
      <c r="G25918" t="n">
        <v>4</v>
      </c>
      <c r="H25918" s="5">
        <f>HYPERLINK("https://api.qogita.com/variants/link/8700216156882/", "View Product")</f>
        <v/>
      </c>
    </row>
    <row r="25919">
      <c r="A25919" t="inlineStr">
        <is>
          <t>8700216156936</t>
        </is>
      </c>
      <c r="B25919" t="inlineStr">
        <is>
          <t>Pro-Expert 7 Caffeine Shampoo - Šampon s kofeinem proti lupům a vypadávání vlasů</t>
        </is>
      </c>
      <c r="C25919" t="inlineStr">
        <is>
          <t>Shampoo</t>
        </is>
      </c>
      <c r="D25919" t="inlineStr">
        <is>
          <t>Pro-Expert</t>
        </is>
      </c>
      <c r="E25919" t="n">
        <v>6.4</v>
      </c>
      <c r="F25919" t="n">
        <v>1</v>
      </c>
      <c r="G25919" t="n">
        <v>5</v>
      </c>
      <c r="H25919" s="5">
        <f>HYPERLINK("https://api.qogita.com/variants/link/8700216156936/", "View Product")</f>
        <v/>
      </c>
    </row>
    <row r="25920">
      <c r="A25920" t="inlineStr">
        <is>
          <t>8700216158022</t>
        </is>
      </c>
      <c r="B25920" t="inlineStr">
        <is>
          <t>Citrus Fresh 2in1 Shampoo and Conditioner for Oily Hair and Dandruff</t>
        </is>
      </c>
      <c r="C25920" t="inlineStr">
        <is>
          <t>Shampoo</t>
        </is>
      </c>
      <c r="D25920" t="inlineStr">
        <is>
          <t>‎- Unknown</t>
        </is>
      </c>
      <c r="E25920" t="n">
        <v>10.78</v>
      </c>
      <c r="F25920" t="n">
        <v>1</v>
      </c>
      <c r="G25920" t="n">
        <v>4</v>
      </c>
      <c r="H25920" s="5">
        <f>HYPERLINK("https://api.qogita.com/variants/link/8700216158022/", "View Product")</f>
        <v/>
      </c>
    </row>
    <row r="25921">
      <c r="A25921" t="inlineStr">
        <is>
          <t>8700216199346</t>
        </is>
      </c>
      <c r="B25921" t="inlineStr">
        <is>
          <t>Oral B Io Gentle Care Black Brush Heads - 4 Pieces</t>
        </is>
      </c>
      <c r="C25921" t="inlineStr">
        <is>
          <t>Electric Toothbrushes</t>
        </is>
      </c>
      <c r="D25921" t="inlineStr">
        <is>
          <t>Oral-B</t>
        </is>
      </c>
      <c r="E25921" t="n">
        <v>34.6</v>
      </c>
      <c r="F25921" t="n">
        <v>1</v>
      </c>
      <c r="G25921" t="n">
        <v>4</v>
      </c>
      <c r="H25921" s="5">
        <f>HYPERLINK("https://api.qogita.com/variants/link/8700216199346/", "View Product")</f>
        <v/>
      </c>
    </row>
    <row r="25922">
      <c r="A25922" t="inlineStr">
        <is>
          <t>8700216232746</t>
        </is>
      </c>
      <c r="B25922" t="inlineStr">
        <is>
          <t>Old Spice Tomorrowland Rockstar 3 In 1 Bodyhairface Wash</t>
        </is>
      </c>
      <c r="C25922" t="inlineStr">
        <is>
          <t>Shower Gel</t>
        </is>
      </c>
      <c r="D25922" t="inlineStr">
        <is>
          <t>Old Spice</t>
        </is>
      </c>
      <c r="E25922" t="n">
        <v>6</v>
      </c>
      <c r="F25922" t="n">
        <v>1</v>
      </c>
      <c r="G25922" t="n">
        <v>37</v>
      </c>
      <c r="H25922" s="5">
        <f>HYPERLINK("https://api.qogita.com/variants/link/8700216232746/", "View Product")</f>
        <v/>
      </c>
    </row>
    <row r="25923">
      <c r="A25923" t="inlineStr">
        <is>
          <t>8700216275781</t>
        </is>
      </c>
      <c r="B25923" t="inlineStr">
        <is>
          <t>Old Spice Deep Sea Deodorant Body Spray 250 Ml</t>
        </is>
      </c>
      <c r="C25923" t="inlineStr">
        <is>
          <t>Deodorant &amp; Anti-Perspirant</t>
        </is>
      </c>
      <c r="D25923" t="inlineStr">
        <is>
          <t>Old Spice</t>
        </is>
      </c>
      <c r="E25923" t="n">
        <v>7.93</v>
      </c>
      <c r="F25923" t="n">
        <v>1</v>
      </c>
      <c r="G25923" t="n">
        <v>3</v>
      </c>
      <c r="H25923" s="5">
        <f>HYPERLINK("https://api.qogita.com/variants/link/8700216275781/", "View Product")</f>
        <v/>
      </c>
    </row>
    <row r="25924">
      <c r="A25924" t="inlineStr">
        <is>
          <t>8700216375399</t>
        </is>
      </c>
      <c r="B25924" t="inlineStr">
        <is>
          <t>Oral B Replacement Brush Heads Io Interdental Clean - 2 Pieces</t>
        </is>
      </c>
      <c r="C25924" t="inlineStr">
        <is>
          <t>Electric Toothbrushes</t>
        </is>
      </c>
      <c r="D25924" t="inlineStr">
        <is>
          <t>Oral-B</t>
        </is>
      </c>
      <c r="E25924" t="n">
        <v>19.01</v>
      </c>
      <c r="F25924" t="n">
        <v>1</v>
      </c>
      <c r="G25924" t="n">
        <v>4</v>
      </c>
      <c r="H25924" s="5">
        <f>HYPERLINK("https://api.qogita.com/variants/link/8700216375399/", "View Product")</f>
        <v/>
      </c>
    </row>
    <row r="25925">
      <c r="A25925" t="inlineStr">
        <is>
          <t>8700216452670</t>
        </is>
      </c>
      <c r="B25925" t="inlineStr">
        <is>
          <t>Old Spice Nightpanther Shower Gel Body Hair And Face Wash For Men</t>
        </is>
      </c>
      <c r="C25925" t="inlineStr">
        <is>
          <t>Shower Gel</t>
        </is>
      </c>
      <c r="D25925" t="inlineStr">
        <is>
          <t>Old Spice</t>
        </is>
      </c>
      <c r="E25925" t="n">
        <v>11.75</v>
      </c>
      <c r="F25925" t="n">
        <v>1</v>
      </c>
      <c r="G25925" t="n">
        <v>23</v>
      </c>
      <c r="H25925" s="5">
        <f>HYPERLINK("https://api.qogita.com/variants/link/8700216452670/", "View Product")</f>
        <v/>
      </c>
    </row>
    <row r="25926">
      <c r="A25926" t="inlineStr">
        <is>
          <t>8700216452755</t>
        </is>
      </c>
      <c r="B25926" t="inlineStr">
        <is>
          <t>Old Spice Deep Sea Shower Gel 1000ml</t>
        </is>
      </c>
      <c r="C25926" t="inlineStr">
        <is>
          <t>Shower Gel</t>
        </is>
      </c>
      <c r="D25926" t="inlineStr">
        <is>
          <t>Old Spice</t>
        </is>
      </c>
      <c r="E25926" t="n">
        <v>11.39</v>
      </c>
      <c r="F25926" t="n">
        <v>1</v>
      </c>
      <c r="G25926" t="n">
        <v>11</v>
      </c>
      <c r="H25926" s="5">
        <f>HYPERLINK("https://api.qogita.com/variants/link/8700216452755/", "View Product")</f>
        <v/>
      </c>
    </row>
    <row r="25927">
      <c r="A25927" t="inlineStr">
        <is>
          <t>8700216534048</t>
        </is>
      </c>
      <c r="B25927" t="inlineStr">
        <is>
          <t>Gillette Fusion5 Men's Razors And Blades</t>
        </is>
      </c>
      <c r="C25927" t="inlineStr">
        <is>
          <t>Razors &amp; Hair Removal Tools</t>
        </is>
      </c>
      <c r="D25927" t="inlineStr">
        <is>
          <t>Gillette</t>
        </is>
      </c>
      <c r="E25927" t="n">
        <v>12.94</v>
      </c>
      <c r="F25927" t="n">
        <v>1</v>
      </c>
      <c r="G25927" t="n">
        <v>16</v>
      </c>
      <c r="H25927" s="5">
        <f>HYPERLINK("https://api.qogita.com/variants/link/8700216534048/", "View Product")</f>
        <v/>
      </c>
    </row>
    <row r="25928">
      <c r="A25928" t="inlineStr">
        <is>
          <t>8700216534284</t>
        </is>
      </c>
      <c r="B25928" t="inlineStr">
        <is>
          <t>Gillette King C Perfect Beard Regimen Kit</t>
        </is>
      </c>
      <c r="C25928" t="inlineStr">
        <is>
          <t>Beard Care Sets</t>
        </is>
      </c>
      <c r="D25928" t="inlineStr">
        <is>
          <t>Gillette</t>
        </is>
      </c>
      <c r="E25928" t="n">
        <v>18.79</v>
      </c>
      <c r="F25928" t="n">
        <v>1</v>
      </c>
      <c r="G25928" t="n">
        <v>19</v>
      </c>
      <c r="H25928" s="5">
        <f>HYPERLINK("https://api.qogita.com/variants/link/8700216534284/", "View Product")</f>
        <v/>
      </c>
    </row>
    <row r="25929">
      <c r="A25929" t="inlineStr">
        <is>
          <t>8700216534338</t>
        </is>
      </c>
      <c r="B25929" t="inlineStr">
        <is>
          <t>Gillette Mach3 Charcoal Set - Gift Set</t>
        </is>
      </c>
      <c r="C25929" t="inlineStr">
        <is>
          <t>Beard Care Sets</t>
        </is>
      </c>
      <c r="D25929" t="inlineStr">
        <is>
          <t>Gillette</t>
        </is>
      </c>
      <c r="E25929" t="n">
        <v>17.74</v>
      </c>
      <c r="F25929" t="n">
        <v>1</v>
      </c>
      <c r="G25929" t="n">
        <v>17</v>
      </c>
      <c r="H25929" s="5">
        <f>HYPERLINK("https://api.qogita.com/variants/link/8700216534338/", "View Product")</f>
        <v/>
      </c>
    </row>
    <row r="25930">
      <c r="A25930" t="inlineStr">
        <is>
          <t>8700216534383</t>
        </is>
      </c>
      <c r="B25930" t="inlineStr">
        <is>
          <t>Gillette Venus Comfortglide Sugarberry Scent Gift Set For Women</t>
        </is>
      </c>
      <c r="C25930" t="inlineStr">
        <is>
          <t>Shaving Kits</t>
        </is>
      </c>
      <c r="D25930" t="inlineStr">
        <is>
          <t>Gillette</t>
        </is>
      </c>
      <c r="E25930" t="n">
        <v>17.18</v>
      </c>
      <c r="F25930" t="n">
        <v>1</v>
      </c>
      <c r="G25930" t="n">
        <v>29</v>
      </c>
      <c r="H25930" s="5">
        <f>HYPERLINK("https://api.qogita.com/variants/link/8700216534383/", "View Product")</f>
        <v/>
      </c>
    </row>
    <row r="25931">
      <c r="A25931" t="inlineStr">
        <is>
          <t>8700216579889</t>
        </is>
      </c>
      <c r="B25931" t="inlineStr">
        <is>
          <t>Gillette Gift Set Of Soothing Shaving Foams 2 X 200 Ml</t>
        </is>
      </c>
      <c r="C25931" t="inlineStr">
        <is>
          <t>Shaving Sets</t>
        </is>
      </c>
      <c r="D25931" t="inlineStr">
        <is>
          <t>Gillette</t>
        </is>
      </c>
      <c r="E25931" t="n">
        <v>6.36</v>
      </c>
      <c r="F25931" t="n">
        <v>1</v>
      </c>
      <c r="G25931" t="n">
        <v>9</v>
      </c>
      <c r="H25931" s="5">
        <f>HYPERLINK("https://api.qogita.com/variants/link/8700216579889/", "View Product")</f>
        <v/>
      </c>
    </row>
    <row r="25932">
      <c r="A25932" t="inlineStr">
        <is>
          <t>8700216600132</t>
        </is>
      </c>
      <c r="B25932" t="inlineStr">
        <is>
          <t>Gillette Body &amp; Intimate Shave Cream + Cleanser 2in1 - 177 Ml</t>
        </is>
      </c>
      <c r="C25932" t="inlineStr">
        <is>
          <t>Intimate Care</t>
        </is>
      </c>
      <c r="D25932" t="inlineStr">
        <is>
          <t>Gillette</t>
        </is>
      </c>
      <c r="E25932" t="n">
        <v>10.14</v>
      </c>
      <c r="F25932" t="n">
        <v>1</v>
      </c>
      <c r="G25932" t="n">
        <v>10</v>
      </c>
      <c r="H25932" s="5">
        <f>HYPERLINK("https://api.qogita.com/variants/link/8700216600132/", "View Product")</f>
        <v/>
      </c>
    </row>
    <row r="25933">
      <c r="A25933" t="inlineStr">
        <is>
          <t>8700216611046</t>
        </is>
      </c>
      <c r="B25933" t="inlineStr">
        <is>
          <t>Old Spice Epic Legend Shower Gel &amp; Shampoo For Men - 400 Ml</t>
        </is>
      </c>
      <c r="C25933" t="inlineStr">
        <is>
          <t>Shower Gel</t>
        </is>
      </c>
      <c r="D25933" t="inlineStr">
        <is>
          <t>Old Spice</t>
        </is>
      </c>
      <c r="E25933" t="n">
        <v>6</v>
      </c>
      <c r="F25933" t="n">
        <v>1</v>
      </c>
      <c r="G25933" t="n">
        <v>5</v>
      </c>
      <c r="H25933" s="5">
        <f>HYPERLINK("https://api.qogita.com/variants/link/8700216611046/", "View Product")</f>
        <v/>
      </c>
    </row>
    <row r="25934">
      <c r="A25934" t="inlineStr">
        <is>
          <t>8700216617086</t>
        </is>
      </c>
      <c r="B25934" t="inlineStr">
        <is>
          <t>Gillette Cosmetic Set Series</t>
        </is>
      </c>
      <c r="C25934" t="inlineStr">
        <is>
          <t>Shaving Sets</t>
        </is>
      </c>
      <c r="D25934" t="inlineStr">
        <is>
          <t>Gillette</t>
        </is>
      </c>
      <c r="E25934" t="n">
        <v>12.06</v>
      </c>
      <c r="F25934" t="n">
        <v>1</v>
      </c>
      <c r="G25934" t="n">
        <v>23</v>
      </c>
      <c r="H25934" s="5">
        <f>HYPERLINK("https://api.qogita.com/variants/link/8700216617086/", "View Product")</f>
        <v/>
      </c>
    </row>
    <row r="25935">
      <c r="A25935" t="inlineStr">
        <is>
          <t>8700216639309</t>
        </is>
      </c>
      <c r="B25935" t="inlineStr">
        <is>
          <t>Old Spice Night Power Antiperspirant Spray 150 Ml</t>
        </is>
      </c>
      <c r="C25935" t="inlineStr">
        <is>
          <t>Deodorant &amp; Anti-Perspirant</t>
        </is>
      </c>
      <c r="D25935" t="inlineStr">
        <is>
          <t>Old Spice</t>
        </is>
      </c>
      <c r="E25935" t="n">
        <v>6.58</v>
      </c>
      <c r="F25935" t="n">
        <v>1</v>
      </c>
      <c r="G25935" t="n">
        <v>9</v>
      </c>
      <c r="H25935" s="5">
        <f>HYPERLINK("https://api.qogita.com/variants/link/8700216639309/", "View Product")</f>
        <v/>
      </c>
    </row>
    <row r="25936">
      <c r="A25936" t="inlineStr">
        <is>
          <t>8700216658966</t>
        </is>
      </c>
      <c r="B25936" t="inlineStr">
        <is>
          <t>Old Spice Solid Antiperspirant Power Start Antiperspirant Stick 50 Ml</t>
        </is>
      </c>
      <c r="C25936" t="inlineStr">
        <is>
          <t>Deodorant &amp; Anti-Perspirant</t>
        </is>
      </c>
      <c r="D25936" t="inlineStr">
        <is>
          <t>Old Spice</t>
        </is>
      </c>
      <c r="E25936" t="n">
        <v>6.58</v>
      </c>
      <c r="F25936" t="n">
        <v>1</v>
      </c>
      <c r="G25936" t="n">
        <v>11</v>
      </c>
      <c r="H25936" s="5">
        <f>HYPERLINK("https://api.qogita.com/variants/link/8700216658966/", "View Product")</f>
        <v/>
      </c>
    </row>
    <row r="25937">
      <c r="A25937" t="inlineStr">
        <is>
          <t>8700216659093</t>
        </is>
      </c>
      <c r="B25937" t="inlineStr">
        <is>
          <t>Old Spice Solid Antiperspirant Night Power Antiperspirant Stick 50 Ml</t>
        </is>
      </c>
      <c r="C25937" t="inlineStr">
        <is>
          <t>Deodorant &amp; Anti-Perspirant</t>
        </is>
      </c>
      <c r="D25937" t="inlineStr">
        <is>
          <t>Old Spice</t>
        </is>
      </c>
      <c r="E25937" t="n">
        <v>6.58</v>
      </c>
      <c r="F25937" t="n">
        <v>1</v>
      </c>
      <c r="G25937" t="n">
        <v>14</v>
      </c>
      <c r="H25937" s="5">
        <f>HYPERLINK("https://api.qogita.com/variants/link/8700216659093/", "View Product")</f>
        <v/>
      </c>
    </row>
    <row r="25938">
      <c r="A25938" t="inlineStr">
        <is>
          <t>8700216752459</t>
        </is>
      </c>
      <c r="B25938" t="inlineStr">
        <is>
          <t>Old Spice Nightpanther Deodorant Body Spray 250 Ml</t>
        </is>
      </c>
      <c r="C25938" t="inlineStr">
        <is>
          <t>Deodorant &amp; Anti-Perspirant</t>
        </is>
      </c>
      <c r="D25938" t="inlineStr">
        <is>
          <t>Old Spice</t>
        </is>
      </c>
      <c r="E25938" t="n">
        <v>8.25</v>
      </c>
      <c r="F25938" t="n">
        <v>1</v>
      </c>
      <c r="G25938" t="n">
        <v>5</v>
      </c>
      <c r="H25938" s="5">
        <f>HYPERLINK("https://api.qogita.com/variants/link/8700216752459/", "View Product")</f>
        <v/>
      </c>
    </row>
    <row r="25939">
      <c r="A25939" t="inlineStr">
        <is>
          <t>8710847940781</t>
        </is>
      </c>
      <c r="B25939" t="inlineStr">
        <is>
          <t>TRESemmé Day 2 Dry Shampoo 250ml</t>
        </is>
      </c>
      <c r="C25939" t="inlineStr">
        <is>
          <t>Dry Shampoo</t>
        </is>
      </c>
      <c r="D25939" t="inlineStr">
        <is>
          <t>TRESemmé</t>
        </is>
      </c>
      <c r="E25939" t="n">
        <v>6.11</v>
      </c>
      <c r="F25939" t="n">
        <v>1</v>
      </c>
      <c r="G25939" t="n">
        <v>5</v>
      </c>
      <c r="H25939" s="5">
        <f>HYPERLINK("https://api.qogita.com/variants/link/8710847940781/", "View Product")</f>
        <v/>
      </c>
    </row>
    <row r="25940">
      <c r="A25940" t="inlineStr">
        <is>
          <t>8710908352188</t>
        </is>
      </c>
      <c r="B25940" t="inlineStr">
        <is>
          <t>Dove Mencare Fresh Clean Fortifying Shampoo Conditioner</t>
        </is>
      </c>
      <c r="C25940" t="inlineStr">
        <is>
          <t>Shampoo</t>
        </is>
      </c>
      <c r="D25940" t="inlineStr">
        <is>
          <t>Dove</t>
        </is>
      </c>
      <c r="E25940" t="n">
        <v>3.77</v>
      </c>
      <c r="F25940" t="n">
        <v>1</v>
      </c>
      <c r="G25940" t="n">
        <v>5</v>
      </c>
      <c r="H25940" s="5">
        <f>HYPERLINK("https://api.qogita.com/variants/link/8710908352188/", "View Product")</f>
        <v/>
      </c>
    </row>
    <row r="25941">
      <c r="A25941" t="inlineStr">
        <is>
          <t>8710908694134</t>
        </is>
      </c>
      <c r="B25941" t="inlineStr">
        <is>
          <t>TRESemmé Keratin Smooth Heat Protect Spray 200ml</t>
        </is>
      </c>
      <c r="C25941" t="inlineStr">
        <is>
          <t>Heat Protection</t>
        </is>
      </c>
      <c r="D25941" t="inlineStr">
        <is>
          <t>TRESemmé</t>
        </is>
      </c>
      <c r="E25941" t="n">
        <v>6.32</v>
      </c>
      <c r="F25941" t="n">
        <v>1</v>
      </c>
      <c r="G25941" t="n">
        <v>5</v>
      </c>
      <c r="H25941" s="5">
        <f>HYPERLINK("https://api.qogita.com/variants/link/8710908694134/", "View Product")</f>
        <v/>
      </c>
    </row>
    <row r="25942">
      <c r="A25942" t="inlineStr">
        <is>
          <t>8710908778230</t>
        </is>
      </c>
      <c r="B25942" t="inlineStr">
        <is>
          <t>Dove Nourishing Secrets Body Lotion</t>
        </is>
      </c>
      <c r="C25942" t="inlineStr">
        <is>
          <t>Body Lotion</t>
        </is>
      </c>
      <c r="D25942" t="inlineStr">
        <is>
          <t>Dove</t>
        </is>
      </c>
      <c r="E25942" t="n">
        <v>6.17</v>
      </c>
      <c r="F25942" t="n">
        <v>1</v>
      </c>
      <c r="G25942" t="n">
        <v>11</v>
      </c>
      <c r="H25942" s="5">
        <f>HYPERLINK("https://api.qogita.com/variants/link/8710908778230/", "View Product")</f>
        <v/>
      </c>
    </row>
    <row r="25943">
      <c r="A25943" t="inlineStr">
        <is>
          <t>8712561316965</t>
        </is>
      </c>
      <c r="B25943" t="inlineStr">
        <is>
          <t>Rexona Motionsense Invisible Aqua Antiperspirant Antiperspirant In Spray</t>
        </is>
      </c>
      <c r="C25943" t="inlineStr">
        <is>
          <t>Deodorant &amp; Anti-Perspirant</t>
        </is>
      </c>
      <c r="D25943" t="inlineStr">
        <is>
          <t>Rexona</t>
        </is>
      </c>
      <c r="E25943" t="n">
        <v>3.95</v>
      </c>
      <c r="F25943" t="n">
        <v>1</v>
      </c>
      <c r="G25943" t="n">
        <v>5</v>
      </c>
      <c r="H25943" s="5">
        <f>HYPERLINK("https://api.qogita.com/variants/link/8712561316965/", "View Product")</f>
        <v/>
      </c>
    </row>
    <row r="25944">
      <c r="A25944" t="inlineStr">
        <is>
          <t>8712561319171</t>
        </is>
      </c>
      <c r="B25944" t="inlineStr">
        <is>
          <t>Rexona Motionsense Invisible Pure Antiperspirant Spray</t>
        </is>
      </c>
      <c r="C25944" t="inlineStr">
        <is>
          <t>Deodorant &amp; Anti-Perspirant</t>
        </is>
      </c>
      <c r="D25944" t="inlineStr">
        <is>
          <t>Rexona</t>
        </is>
      </c>
      <c r="E25944" t="n">
        <v>3.95</v>
      </c>
      <c r="F25944" t="n">
        <v>1</v>
      </c>
      <c r="G25944" t="n">
        <v>5</v>
      </c>
      <c r="H25944" s="5">
        <f>HYPERLINK("https://api.qogita.com/variants/link/8712561319171/", "View Product")</f>
        <v/>
      </c>
    </row>
    <row r="25945">
      <c r="A25945" t="inlineStr">
        <is>
          <t>8712856050420</t>
        </is>
      </c>
      <c r="B25945" t="inlineStr">
        <is>
          <t>Silk'n Replacement Soft Brushes For The Pure Face Cleanser</t>
        </is>
      </c>
      <c r="C25945" t="inlineStr">
        <is>
          <t>Facial Cleansing Brushes</t>
        </is>
      </c>
      <c r="D25945" t="inlineStr">
        <is>
          <t>Silk'n</t>
        </is>
      </c>
      <c r="E25945" t="n">
        <v>11.12</v>
      </c>
      <c r="F25945" t="n">
        <v>1</v>
      </c>
      <c r="G25945" t="n">
        <v>5</v>
      </c>
      <c r="H25945" s="5">
        <f>HYPERLINK("https://api.qogita.com/variants/link/8712856050420/", "View Product")</f>
        <v/>
      </c>
    </row>
    <row r="25946">
      <c r="A25946" t="inlineStr">
        <is>
          <t>8712856061082</t>
        </is>
      </c>
      <c r="B25946" t="inlineStr">
        <is>
          <t>Silk'n Bright Ultrahygienic Face Brush Red</t>
        </is>
      </c>
      <c r="C25946" t="inlineStr">
        <is>
          <t>Facial Cleansing Brushes</t>
        </is>
      </c>
      <c r="D25946" t="inlineStr">
        <is>
          <t>Silk'n</t>
        </is>
      </c>
      <c r="E25946" t="n">
        <v>55.66</v>
      </c>
      <c r="F25946" t="n">
        <v>1</v>
      </c>
      <c r="G25946" t="n">
        <v>2</v>
      </c>
      <c r="H25946" s="5">
        <f>HYPERLINK("https://api.qogita.com/variants/link/8712856061082/", "View Product")</f>
        <v/>
      </c>
    </row>
    <row r="25947">
      <c r="A25947" t="inlineStr">
        <is>
          <t>8714789966526</t>
        </is>
      </c>
      <c r="B25947" t="inlineStr">
        <is>
          <t>Elmex Kids Duopack Toothpaste 2 X 50 Ml</t>
        </is>
      </c>
      <c r="C25947" t="inlineStr">
        <is>
          <t>Dental Care For Children</t>
        </is>
      </c>
      <c r="D25947" t="inlineStr">
        <is>
          <t>Elmex</t>
        </is>
      </c>
      <c r="E25947" t="n">
        <v>6.9</v>
      </c>
      <c r="F25947" t="n">
        <v>1</v>
      </c>
      <c r="G25947" t="n">
        <v>19</v>
      </c>
      <c r="H25947" s="5">
        <f>HYPERLINK("https://api.qogita.com/variants/link/8714789966526/", "View Product")</f>
        <v/>
      </c>
    </row>
    <row r="25948">
      <c r="A25948" t="inlineStr">
        <is>
          <t>8714789985077</t>
        </is>
      </c>
      <c r="B25948" t="inlineStr">
        <is>
          <t>Elmex Sensitive Whitening Toothpaste Duopack 2x 75 Ml</t>
        </is>
      </c>
      <c r="C25948" t="inlineStr">
        <is>
          <t>Toothpaste</t>
        </is>
      </c>
      <c r="D25948" t="inlineStr">
        <is>
          <t>Elmex</t>
        </is>
      </c>
      <c r="E25948" t="n">
        <v>8.19</v>
      </c>
      <c r="F25948" t="n">
        <v>1</v>
      </c>
      <c r="G25948" t="n">
        <v>2</v>
      </c>
      <c r="H25948" s="5">
        <f>HYPERLINK("https://api.qogita.com/variants/link/8714789985077/", "View Product")</f>
        <v/>
      </c>
    </row>
    <row r="25949">
      <c r="A25949" t="inlineStr">
        <is>
          <t>8714789992204</t>
        </is>
      </c>
      <c r="B25949" t="inlineStr">
        <is>
          <t>Elmex Toothpaste Anti Caries Protection Duopack 2 X 75 Ml</t>
        </is>
      </c>
      <c r="C25949" t="inlineStr">
        <is>
          <t>Toothpaste</t>
        </is>
      </c>
      <c r="D25949" t="inlineStr">
        <is>
          <t>Elmex</t>
        </is>
      </c>
      <c r="E25949" t="n">
        <v>8.19</v>
      </c>
      <c r="F25949" t="n">
        <v>1</v>
      </c>
      <c r="G25949" t="n">
        <v>19</v>
      </c>
      <c r="H25949" s="5">
        <f>HYPERLINK("https://api.qogita.com/variants/link/8714789992204/", "View Product")</f>
        <v/>
      </c>
    </row>
    <row r="25950">
      <c r="A25950" t="inlineStr">
        <is>
          <t>8717163639573</t>
        </is>
      </c>
      <c r="B25950" t="inlineStr">
        <is>
          <t>Tresemme Botanique Nourish Hair Mousse 200ml</t>
        </is>
      </c>
      <c r="C25950" t="inlineStr">
        <is>
          <t>Mousse</t>
        </is>
      </c>
      <c r="D25950" t="inlineStr">
        <is>
          <t>TRESemmé</t>
        </is>
      </c>
      <c r="E25950" t="n">
        <v>6.64</v>
      </c>
      <c r="F25950" t="n">
        <v>1</v>
      </c>
      <c r="G25950" t="n">
        <v>3</v>
      </c>
      <c r="H25950" s="5">
        <f>HYPERLINK("https://api.qogita.com/variants/link/8717163639573/", "View Product")</f>
        <v/>
      </c>
    </row>
    <row r="25951">
      <c r="A25951" t="inlineStr">
        <is>
          <t>8717524072421</t>
        </is>
      </c>
      <c r="B25951" t="inlineStr">
        <is>
          <t>Purol Hand Cream 100ml</t>
        </is>
      </c>
      <c r="C25951" t="inlineStr">
        <is>
          <t>Hand Cream</t>
        </is>
      </c>
      <c r="D25951" t="inlineStr">
        <is>
          <t>Purol</t>
        </is>
      </c>
      <c r="E25951" t="n">
        <v>2.93</v>
      </c>
      <c r="F25951" t="n">
        <v>1</v>
      </c>
      <c r="G25951" t="n">
        <v>21</v>
      </c>
      <c r="H25951" s="5">
        <f>HYPERLINK("https://api.qogita.com/variants/link/8717524072421/", "View Product")</f>
        <v/>
      </c>
    </row>
    <row r="25952">
      <c r="A25952" t="inlineStr">
        <is>
          <t>8717524072445</t>
        </is>
      </c>
      <c r="B25952" t="inlineStr">
        <is>
          <t>PurOl Lipstick 4.8g</t>
        </is>
      </c>
      <c r="C25952" t="inlineStr">
        <is>
          <t>Lipstick</t>
        </is>
      </c>
      <c r="D25952" t="inlineStr">
        <is>
          <t>Purol</t>
        </is>
      </c>
      <c r="E25952" t="n">
        <v>2.44</v>
      </c>
      <c r="F25952" t="n">
        <v>1</v>
      </c>
      <c r="G25952" t="n">
        <v>48</v>
      </c>
      <c r="H25952" s="5">
        <f>HYPERLINK("https://api.qogita.com/variants/link/8717524072445/", "View Product")</f>
        <v/>
      </c>
    </row>
    <row r="25953">
      <c r="A25953" t="inlineStr">
        <is>
          <t>8717524074760</t>
        </is>
      </c>
      <c r="B25953" t="inlineStr">
        <is>
          <t>Hattric After Shave Classic 200ml</t>
        </is>
      </c>
      <c r="C25953" t="inlineStr">
        <is>
          <t>Aftershave</t>
        </is>
      </c>
      <c r="D25953" t="inlineStr">
        <is>
          <t>Hattric</t>
        </is>
      </c>
      <c r="E25953" t="n">
        <v>5.83</v>
      </c>
      <c r="F25953" t="n">
        <v>1</v>
      </c>
      <c r="G25953" t="n">
        <v>563</v>
      </c>
      <c r="H25953" s="5">
        <f>HYPERLINK("https://api.qogita.com/variants/link/8717524074760/", "View Product")</f>
        <v/>
      </c>
    </row>
    <row r="25954">
      <c r="A25954" t="inlineStr">
        <is>
          <t>8717524074890</t>
        </is>
      </c>
      <c r="B25954" t="inlineStr">
        <is>
          <t>Hattric Hattric After Shave 100ml Classic After Shave For Men</t>
        </is>
      </c>
      <c r="C25954" t="inlineStr">
        <is>
          <t>Aftershave</t>
        </is>
      </c>
      <c r="D25954" t="inlineStr">
        <is>
          <t>Hattric</t>
        </is>
      </c>
      <c r="E25954" t="n">
        <v>3.99</v>
      </c>
      <c r="F25954" t="n">
        <v>1</v>
      </c>
      <c r="G25954" t="n">
        <v>247</v>
      </c>
      <c r="H25954" s="5">
        <f>HYPERLINK("https://api.qogita.com/variants/link/8717524074890/", "View Product")</f>
        <v/>
      </c>
    </row>
    <row r="25955">
      <c r="A25955" t="inlineStr">
        <is>
          <t>8717524074920</t>
        </is>
      </c>
      <c r="B25955" t="inlineStr">
        <is>
          <t>Hattric For Men 200ml</t>
        </is>
      </c>
      <c r="C25955" t="inlineStr">
        <is>
          <t>Eau De Toilette</t>
        </is>
      </c>
      <c r="D25955" t="inlineStr">
        <is>
          <t>Hattric</t>
        </is>
      </c>
      <c r="E25955" t="n">
        <v>5.83</v>
      </c>
      <c r="F25955" t="n">
        <v>1</v>
      </c>
      <c r="G25955" t="n">
        <v>144</v>
      </c>
      <c r="H25955" s="5">
        <f>HYPERLINK("https://api.qogita.com/variants/link/8717524074920/", "View Product")</f>
        <v/>
      </c>
    </row>
    <row r="25956">
      <c r="A25956" t="inlineStr">
        <is>
          <t>8717524075231</t>
        </is>
      </c>
      <c r="B25956" t="inlineStr">
        <is>
          <t>Aok Sea Sand Peeling for Mixed and Impure Skin 100ml</t>
        </is>
      </c>
      <c r="C25956" t="inlineStr">
        <is>
          <t>Facial Scrub &amp; Peeling</t>
        </is>
      </c>
      <c r="D25956" t="inlineStr">
        <is>
          <t>Aok</t>
        </is>
      </c>
      <c r="E25956" t="n">
        <v>3.56</v>
      </c>
      <c r="F25956" t="n">
        <v>1</v>
      </c>
      <c r="G25956" t="n">
        <v>68</v>
      </c>
      <c r="H25956" s="5">
        <f>HYPERLINK("https://api.qogita.com/variants/link/8717524075231/", "View Product")</f>
        <v/>
      </c>
    </row>
    <row r="25957">
      <c r="A25957" t="inlineStr">
        <is>
          <t>8717524075279</t>
        </is>
      </c>
      <c r="B25957" t="inlineStr">
        <is>
          <t>Aok White Tea Night Cream for Combination-Oily Skin - New Formula</t>
        </is>
      </c>
      <c r="C25957" t="inlineStr">
        <is>
          <t>Night Cream</t>
        </is>
      </c>
      <c r="D25957" t="inlineStr">
        <is>
          <t>Aok</t>
        </is>
      </c>
      <c r="E25957" t="n">
        <v>3.56</v>
      </c>
      <c r="F25957" t="n">
        <v>1</v>
      </c>
      <c r="G25957" t="n">
        <v>22</v>
      </c>
      <c r="H25957" s="5">
        <f>HYPERLINK("https://api.qogita.com/variants/link/8717524075279/", "View Product")</f>
        <v/>
      </c>
    </row>
    <row r="25958">
      <c r="A25958" t="inlineStr">
        <is>
          <t>8717774840023</t>
        </is>
      </c>
      <c r="B25958" t="inlineStr">
        <is>
          <t>Nasomatto Silver Musk Extrait De Parfum Spray 30ml</t>
        </is>
      </c>
      <c r="C25958" t="inlineStr">
        <is>
          <t>Extrait De Parfum</t>
        </is>
      </c>
      <c r="D25958" t="inlineStr">
        <is>
          <t>Nasomatto</t>
        </is>
      </c>
      <c r="E25958" t="n">
        <v>103.16</v>
      </c>
      <c r="F25958" t="n">
        <v>1</v>
      </c>
      <c r="G25958" t="n">
        <v>8</v>
      </c>
      <c r="H25958" s="5">
        <f>HYPERLINK("https://api.qogita.com/variants/link/8717774840023/", "View Product")</f>
        <v/>
      </c>
    </row>
    <row r="25959">
      <c r="A25959" t="inlineStr">
        <is>
          <t>8717774840818</t>
        </is>
      </c>
      <c r="B25959" t="inlineStr">
        <is>
          <t>Orto Parisi Stercus Unisex Eau De Parfum Spray 50ml</t>
        </is>
      </c>
      <c r="C25959" t="inlineStr">
        <is>
          <t>Eau De Parfum</t>
        </is>
      </c>
      <c r="D25959" t="inlineStr">
        <is>
          <t>Orto Parisi</t>
        </is>
      </c>
      <c r="E25959" t="n">
        <v>124.07</v>
      </c>
      <c r="F25959" t="n">
        <v>1</v>
      </c>
      <c r="G25959" t="n">
        <v>5</v>
      </c>
      <c r="H25959" s="5">
        <f>HYPERLINK("https://api.qogita.com/variants/link/8717774840818/", "View Product")</f>
        <v/>
      </c>
    </row>
    <row r="25960">
      <c r="A25960" t="inlineStr">
        <is>
          <t>8718114202402</t>
        </is>
      </c>
      <c r="B25960" t="inlineStr">
        <is>
          <t>Rexona Men Deostick Max Pro Clean Scent 45ml</t>
        </is>
      </c>
      <c r="C25960" t="inlineStr">
        <is>
          <t>Deodorant &amp; Anti-Perspirant</t>
        </is>
      </c>
      <c r="D25960" t="inlineStr">
        <is>
          <t>Rexona</t>
        </is>
      </c>
      <c r="E25960" t="n">
        <v>5.92</v>
      </c>
      <c r="F25960" t="n">
        <v>1</v>
      </c>
      <c r="G25960" t="n">
        <v>3</v>
      </c>
      <c r="H25960" s="5">
        <f>HYPERLINK("https://api.qogita.com/variants/link/8718114202402/", "View Product")</f>
        <v/>
      </c>
    </row>
    <row r="25961">
      <c r="A25961" t="inlineStr">
        <is>
          <t>8718719850060</t>
        </is>
      </c>
      <c r="B25961" t="inlineStr">
        <is>
          <t>Beverly Hills Polo Club Sport Men Eight Eau De Toilette 100ml Spray</t>
        </is>
      </c>
      <c r="C25961" t="inlineStr">
        <is>
          <t>Eau De Toilette</t>
        </is>
      </c>
      <c r="D25961" t="inlineStr">
        <is>
          <t>Beverly Hills Polo Club</t>
        </is>
      </c>
      <c r="E25961" t="n">
        <v>11.25</v>
      </c>
      <c r="F25961" t="n">
        <v>1</v>
      </c>
      <c r="G25961" t="n">
        <v>5</v>
      </c>
      <c r="H25961" s="5">
        <f>HYPERLINK("https://api.qogita.com/variants/link/8718719850060/", "View Product")</f>
        <v/>
      </c>
    </row>
    <row r="25962">
      <c r="A25962" t="inlineStr">
        <is>
          <t>8718951035027</t>
        </is>
      </c>
      <c r="B25962" t="inlineStr">
        <is>
          <t>Elmex Sensitive Professional Toothpaste 20 Ml</t>
        </is>
      </c>
      <c r="C25962" t="inlineStr">
        <is>
          <t>Toothpaste</t>
        </is>
      </c>
      <c r="D25962" t="inlineStr">
        <is>
          <t>Elmex</t>
        </is>
      </c>
      <c r="E25962" t="n">
        <v>3.94</v>
      </c>
      <c r="F25962" t="n">
        <v>1</v>
      </c>
      <c r="G25962" t="n">
        <v>30</v>
      </c>
      <c r="H25962" s="5">
        <f>HYPERLINK("https://api.qogita.com/variants/link/8718951035027/", "View Product")</f>
        <v/>
      </c>
    </row>
    <row r="25963">
      <c r="A25963" t="inlineStr">
        <is>
          <t>8718951159617</t>
        </is>
      </c>
      <c r="B25963" t="inlineStr">
        <is>
          <t>Elmex Very Soft Toothbrush Sensitive 3 Pieces</t>
        </is>
      </c>
      <c r="C25963" t="inlineStr">
        <is>
          <t>Toothbrushes &amp; Tongue Cleaners</t>
        </is>
      </c>
      <c r="D25963" t="inlineStr">
        <is>
          <t>Elmex</t>
        </is>
      </c>
      <c r="E25963" t="n">
        <v>9.32</v>
      </c>
      <c r="F25963" t="n">
        <v>1</v>
      </c>
      <c r="G25963" t="n">
        <v>9</v>
      </c>
      <c r="H25963" s="5">
        <f>HYPERLINK("https://api.qogita.com/variants/link/8718951159617/", "View Product")</f>
        <v/>
      </c>
    </row>
    <row r="25964">
      <c r="A25964" t="inlineStr">
        <is>
          <t>8718951594470</t>
        </is>
      </c>
      <c r="B25964" t="inlineStr">
        <is>
          <t>Colgate Max White Ultimate Whitening Pen - 25 Ml</t>
        </is>
      </c>
      <c r="C25964" t="inlineStr">
        <is>
          <t>Teeth Whiteners</t>
        </is>
      </c>
      <c r="D25964" t="inlineStr">
        <is>
          <t>Colgate</t>
        </is>
      </c>
      <c r="E25964" t="n">
        <v>12.19</v>
      </c>
      <c r="F25964" t="n">
        <v>1</v>
      </c>
      <c r="G25964" t="n">
        <v>9</v>
      </c>
      <c r="H25964" s="5">
        <f>HYPERLINK("https://api.qogita.com/variants/link/8718951594470/", "View Product")</f>
        <v/>
      </c>
    </row>
    <row r="25965">
      <c r="A25965" t="inlineStr">
        <is>
          <t>8718951679603</t>
        </is>
      </c>
      <c r="B25965" t="inlineStr">
        <is>
          <t>Elmex Sensitive Plus Sensitivity + Gum Care Toothpaste, 75 Ml</t>
        </is>
      </c>
      <c r="C25965" t="inlineStr">
        <is>
          <t>Toothpaste</t>
        </is>
      </c>
      <c r="D25965" t="inlineStr">
        <is>
          <t>Elmex</t>
        </is>
      </c>
      <c r="E25965" t="n">
        <v>6.57</v>
      </c>
      <c r="F25965" t="n">
        <v>1</v>
      </c>
      <c r="G25965" t="n">
        <v>5</v>
      </c>
      <c r="H25965" s="5">
        <f>HYPERLINK("https://api.qogita.com/variants/link/8718951679603/", "View Product")</f>
        <v/>
      </c>
    </row>
    <row r="25966">
      <c r="A25966" t="inlineStr">
        <is>
          <t>8719134149586</t>
        </is>
      </c>
      <c r="B25966" t="inlineStr">
        <is>
          <t>Rituals The Ritual Of Ayurveda Body Cream 220ml</t>
        </is>
      </c>
      <c r="C25966" t="inlineStr">
        <is>
          <t>Body Butter</t>
        </is>
      </c>
      <c r="D25966" t="inlineStr">
        <is>
          <t>Rituals</t>
        </is>
      </c>
      <c r="E25966" t="n">
        <v>16.02</v>
      </c>
      <c r="F25966" t="n">
        <v>1</v>
      </c>
      <c r="G25966" t="n">
        <v>92</v>
      </c>
      <c r="H25966" s="5">
        <f>HYPERLINK("https://api.qogita.com/variants/link/8719134149586/", "View Product")</f>
        <v/>
      </c>
    </row>
    <row r="25967">
      <c r="A25967" t="inlineStr">
        <is>
          <t>8719134152432</t>
        </is>
      </c>
      <c r="B25967" t="inlineStr">
        <is>
          <t>Rituals The Ritual Of Karma Hydrating Body Cream 220ml</t>
        </is>
      </c>
      <c r="C25967" t="inlineStr">
        <is>
          <t>Body Lotion</t>
        </is>
      </c>
      <c r="D25967" t="inlineStr">
        <is>
          <t>Rituals</t>
        </is>
      </c>
      <c r="E25967" t="n">
        <v>15.05</v>
      </c>
      <c r="F25967" t="n">
        <v>1</v>
      </c>
      <c r="G25967" t="n">
        <v>29</v>
      </c>
      <c r="H25967" s="5">
        <f>HYPERLINK("https://api.qogita.com/variants/link/8719134152432/", "View Product")</f>
        <v/>
      </c>
    </row>
    <row r="25968">
      <c r="A25968" t="inlineStr">
        <is>
          <t>8719134152470</t>
        </is>
      </c>
      <c r="B25968" t="inlineStr">
        <is>
          <t>Rituals The Ritual Of Karma Sun Protection Milky Spray Spf 30 200ml</t>
        </is>
      </c>
      <c r="C25968" t="inlineStr">
        <is>
          <t>Body Sun Protection</t>
        </is>
      </c>
      <c r="D25968" t="inlineStr">
        <is>
          <t>Rituals</t>
        </is>
      </c>
      <c r="E25968" t="n">
        <v>12.7</v>
      </c>
      <c r="F25968" t="n">
        <v>1</v>
      </c>
      <c r="G25968" t="n">
        <v>33</v>
      </c>
      <c r="H25968" s="5">
        <f>HYPERLINK("https://api.qogita.com/variants/link/8719134152470/", "View Product")</f>
        <v/>
      </c>
    </row>
    <row r="25969">
      <c r="A25969" t="inlineStr">
        <is>
          <t>8719134160802</t>
        </is>
      </c>
      <c r="B25969" t="inlineStr">
        <is>
          <t>Rituals The Ritual Of Ayurveda Body Scrub 300g</t>
        </is>
      </c>
      <c r="C25969" t="inlineStr">
        <is>
          <t>Body Scrub &amp; Peeling</t>
        </is>
      </c>
      <c r="D25969" t="inlineStr">
        <is>
          <t>Rituals</t>
        </is>
      </c>
      <c r="E25969" t="n">
        <v>11.33</v>
      </c>
      <c r="F25969" t="n">
        <v>1</v>
      </c>
      <c r="G25969" t="n">
        <v>28</v>
      </c>
      <c r="H25969" s="5">
        <f>HYPERLINK("https://api.qogita.com/variants/link/8719134160802/", "View Product")</f>
        <v/>
      </c>
    </row>
    <row r="25970">
      <c r="A25970" t="inlineStr">
        <is>
          <t>8719134161168</t>
        </is>
      </c>
      <c r="B25970" t="inlineStr">
        <is>
          <t>Rituals The Ritual Of Jing Relaxing Body Scrub 300ml</t>
        </is>
      </c>
      <c r="C25970" t="inlineStr">
        <is>
          <t>Body Scrub &amp; Peeling</t>
        </is>
      </c>
      <c r="D25970" t="inlineStr">
        <is>
          <t>Rituals</t>
        </is>
      </c>
      <c r="E25970" t="n">
        <v>13.34</v>
      </c>
      <c r="F25970" t="n">
        <v>1</v>
      </c>
      <c r="G25970" t="n">
        <v>40</v>
      </c>
      <c r="H25970" s="5">
        <f>HYPERLINK("https://api.qogita.com/variants/link/8719134161168/", "View Product")</f>
        <v/>
      </c>
    </row>
    <row r="25971">
      <c r="A25971" t="inlineStr">
        <is>
          <t>8719134162394</t>
        </is>
      </c>
      <c r="B25971" t="inlineStr">
        <is>
          <t>Rituals The Ritual Of Ayurveda Dry Oil 100ml Body &amp; Hair Dry Oil</t>
        </is>
      </c>
      <c r="C25971" t="inlineStr">
        <is>
          <t>Body Oil</t>
        </is>
      </c>
      <c r="D25971" t="inlineStr">
        <is>
          <t>Rituals</t>
        </is>
      </c>
      <c r="E25971" t="n">
        <v>17.05</v>
      </c>
      <c r="F25971" t="n">
        <v>1</v>
      </c>
      <c r="G25971" t="n">
        <v>73</v>
      </c>
      <c r="H25971" s="5">
        <f>HYPERLINK("https://api.qogita.com/variants/link/8719134162394/", "View Product")</f>
        <v/>
      </c>
    </row>
    <row r="25972">
      <c r="A25972" t="inlineStr">
        <is>
          <t>8719134162936</t>
        </is>
      </c>
      <c r="B25972" t="inlineStr">
        <is>
          <t>Rituals The Ritual Of Homme Face Hydrating Cream 24h Hydrating Face Cream For Men 50ml</t>
        </is>
      </c>
      <c r="C25972" t="inlineStr">
        <is>
          <t>Face Cream</t>
        </is>
      </c>
      <c r="D25972" t="inlineStr">
        <is>
          <t>Rituals</t>
        </is>
      </c>
      <c r="E25972" t="n">
        <v>25.16</v>
      </c>
      <c r="F25972" t="n">
        <v>1</v>
      </c>
      <c r="G25972" t="n">
        <v>4</v>
      </c>
      <c r="H25972" s="5">
        <f>HYPERLINK("https://api.qogita.com/variants/link/8719134162936/", "View Product")</f>
        <v/>
      </c>
    </row>
    <row r="25973">
      <c r="A25973" t="inlineStr">
        <is>
          <t>8719134163827</t>
        </is>
      </c>
      <c r="B25973" t="inlineStr">
        <is>
          <t>Rituals The Ritual Of Namaste Firming Night Cream 50ml</t>
        </is>
      </c>
      <c r="C25973" t="inlineStr">
        <is>
          <t>Night Cream</t>
        </is>
      </c>
      <c r="D25973" t="inlineStr">
        <is>
          <t>Rituals</t>
        </is>
      </c>
      <c r="E25973" t="n">
        <v>32.25</v>
      </c>
      <c r="F25973" t="n">
        <v>1</v>
      </c>
      <c r="G25973" t="n">
        <v>6</v>
      </c>
      <c r="H25973" s="5">
        <f>HYPERLINK("https://api.qogita.com/variants/link/8719134163827/", "View Product")</f>
        <v/>
      </c>
    </row>
    <row r="25974">
      <c r="A25974" t="inlineStr">
        <is>
          <t>8719134184587</t>
        </is>
      </c>
      <c r="B25974" t="inlineStr">
        <is>
          <t>Rituals The Ritual Of Jing Large 2024 Gift Set</t>
        </is>
      </c>
      <c r="C25974" t="inlineStr">
        <is>
          <t>Body Care Sets</t>
        </is>
      </c>
      <c r="D25974" t="inlineStr">
        <is>
          <t>Rituals</t>
        </is>
      </c>
      <c r="E25974" t="n">
        <v>37.6</v>
      </c>
      <c r="F25974" t="n">
        <v>1</v>
      </c>
      <c r="G25974" t="n">
        <v>5</v>
      </c>
      <c r="H25974" s="5">
        <f>HYPERLINK("https://api.qogita.com/variants/link/8719134184587/", "View Product")</f>
        <v/>
      </c>
    </row>
    <row r="25975">
      <c r="A25975" t="inlineStr">
        <is>
          <t>8719134185232</t>
        </is>
      </c>
      <c r="B25975" t="inlineStr">
        <is>
          <t>Rituals The Ritual Of Ayurveda Trail 2024 Gift Set</t>
        </is>
      </c>
      <c r="C25975" t="inlineStr">
        <is>
          <t>Body Care Sets</t>
        </is>
      </c>
      <c r="D25975" t="inlineStr">
        <is>
          <t>Rituals</t>
        </is>
      </c>
      <c r="E25975" t="n">
        <v>18.05</v>
      </c>
      <c r="F25975" t="n">
        <v>1</v>
      </c>
      <c r="G25975" t="n">
        <v>10</v>
      </c>
      <c r="H25975" s="5">
        <f>HYPERLINK("https://api.qogita.com/variants/link/8719134185232/", "View Product")</f>
        <v/>
      </c>
    </row>
    <row r="25976">
      <c r="A25976" t="inlineStr">
        <is>
          <t>8719134185522</t>
        </is>
      </c>
      <c r="B25976" t="inlineStr">
        <is>
          <t>Rituals The Ritual Of Karma Gift Set</t>
        </is>
      </c>
      <c r="C25976" t="inlineStr">
        <is>
          <t>Body Care Sets</t>
        </is>
      </c>
      <c r="D25976" t="inlineStr">
        <is>
          <t>Rituals</t>
        </is>
      </c>
      <c r="E25976" t="n">
        <v>25.38</v>
      </c>
      <c r="F25976" t="n">
        <v>1</v>
      </c>
      <c r="G25976" t="n">
        <v>3</v>
      </c>
      <c r="H25976" s="5">
        <f>HYPERLINK("https://api.qogita.com/variants/link/8719134185522/", "View Product")</f>
        <v/>
      </c>
    </row>
    <row r="25977">
      <c r="A25977" t="inlineStr">
        <is>
          <t>8719325317145</t>
        </is>
      </c>
      <c r="B25977" t="inlineStr">
        <is>
          <t>Naif Baby &amp; Kids Styling Hair Lotion 150 Ml Spray For Nourishment And Easy Combing Of Hair</t>
        </is>
      </c>
      <c r="C25977" t="inlineStr">
        <is>
          <t>Hair Care Sets</t>
        </is>
      </c>
      <c r="D25977" t="inlineStr">
        <is>
          <t>Naïf</t>
        </is>
      </c>
      <c r="E25977" t="n">
        <v>14.16</v>
      </c>
      <c r="F25977" t="n">
        <v>1</v>
      </c>
      <c r="G25977" t="n">
        <v>5</v>
      </c>
      <c r="H25977" s="5">
        <f>HYPERLINK("https://api.qogita.com/variants/link/8719325317145/", "View Product")</f>
        <v/>
      </c>
    </row>
    <row r="25978">
      <c r="A25978" t="inlineStr">
        <is>
          <t>8719325317206</t>
        </is>
      </c>
      <c r="B25978" t="inlineStr">
        <is>
          <t>Naïf Mini Set for Baby &amp; Child 4 Products in Convenient Travel Size - Perfect Gift for New Mothers</t>
        </is>
      </c>
      <c r="C25978" t="inlineStr">
        <is>
          <t>Baby &amp; Child Accessories</t>
        </is>
      </c>
      <c r="D25978" t="inlineStr">
        <is>
          <t>Naïf</t>
        </is>
      </c>
      <c r="E25978" t="n">
        <v>8.609999999999999</v>
      </c>
      <c r="F25978" t="n">
        <v>1</v>
      </c>
      <c r="G25978" t="n">
        <v>2</v>
      </c>
      <c r="H25978" s="5">
        <f>HYPERLINK("https://api.qogita.com/variants/link/8719325317206/", "View Product")</f>
        <v/>
      </c>
    </row>
    <row r="25979">
      <c r="A25979" t="inlineStr">
        <is>
          <t>8719327731765</t>
        </is>
      </c>
      <c r="B25979" t="inlineStr">
        <is>
          <t>Francesca Bianchi Sticky Fingers Extrait De Parfum 3.38 Oz</t>
        </is>
      </c>
      <c r="C25979" t="inlineStr">
        <is>
          <t>Extrait De Parfum</t>
        </is>
      </c>
      <c r="D25979" t="inlineStr">
        <is>
          <t>Francesca Bianchi</t>
        </is>
      </c>
      <c r="E25979" t="n">
        <v>127.2</v>
      </c>
      <c r="F25979" t="n">
        <v>1</v>
      </c>
      <c r="G25979" t="n">
        <v>4</v>
      </c>
      <c r="H25979" s="5">
        <f>HYPERLINK("https://api.qogita.com/variants/link/8719327731765/", "View Product")</f>
        <v/>
      </c>
    </row>
    <row r="25980">
      <c r="A25980" t="inlineStr">
        <is>
          <t>8720181195662</t>
        </is>
      </c>
      <c r="B25980" t="inlineStr">
        <is>
          <t>Vaseline Expert Care Sensitive Skin Relief Dermatologically Tested Moisturiser Body Lotion 400ml</t>
        </is>
      </c>
      <c r="C25980" t="inlineStr">
        <is>
          <t>Body Lotion</t>
        </is>
      </c>
      <c r="D25980" t="inlineStr">
        <is>
          <t>Vaseline</t>
        </is>
      </c>
      <c r="E25980" t="n">
        <v>6.52</v>
      </c>
      <c r="F25980" t="n">
        <v>1</v>
      </c>
      <c r="G25980" t="n">
        <v>5</v>
      </c>
      <c r="H25980" s="5">
        <f>HYPERLINK("https://api.qogita.com/variants/link/8720181195662/", "View Product")</f>
        <v/>
      </c>
    </row>
    <row r="25981">
      <c r="A25981" t="inlineStr">
        <is>
          <t>8720181277771</t>
        </is>
      </c>
      <c r="B25981" t="inlineStr">
        <is>
          <t>Dove Rose Scent Deodorant Spray with Nourishing Zinc Complex 0% Aluminum 150ml</t>
        </is>
      </c>
      <c r="C25981" t="inlineStr">
        <is>
          <t>Deodorant &amp; Anti-Perspirant</t>
        </is>
      </c>
      <c r="D25981" t="inlineStr">
        <is>
          <t>Dove</t>
        </is>
      </c>
      <c r="E25981" t="n">
        <v>4.33</v>
      </c>
      <c r="F25981" t="n">
        <v>1</v>
      </c>
      <c r="G25981" t="n">
        <v>11</v>
      </c>
      <c r="H25981" s="5">
        <f>HYPERLINK("https://api.qogita.com/variants/link/8720181277771/", "View Product")</f>
        <v/>
      </c>
    </row>
    <row r="25982">
      <c r="A25982" t="inlineStr">
        <is>
          <t>8720181284922</t>
        </is>
      </c>
      <c r="B25982" t="inlineStr">
        <is>
          <t>Dove Men Care Advanced Invisible Fresh 72h Antiperspirant</t>
        </is>
      </c>
      <c r="C25982" t="inlineStr">
        <is>
          <t>Deodorant &amp; Anti-Perspirant</t>
        </is>
      </c>
      <c r="D25982" t="inlineStr">
        <is>
          <t>Dove</t>
        </is>
      </c>
      <c r="E25982" t="n">
        <v>4.33</v>
      </c>
      <c r="F25982" t="n">
        <v>1</v>
      </c>
      <c r="G25982" t="n">
        <v>9</v>
      </c>
      <c r="H25982" s="5">
        <f>HYPERLINK("https://api.qogita.com/variants/link/8720181284922/", "View Product")</f>
        <v/>
      </c>
    </row>
    <row r="25983">
      <c r="A25983" t="inlineStr">
        <is>
          <t>8720181291449</t>
        </is>
      </c>
      <c r="B25983" t="inlineStr">
        <is>
          <t>Dove Calming Blossom Antiperspirant Spray 150 Ml</t>
        </is>
      </c>
      <c r="C25983" t="inlineStr">
        <is>
          <t>Deodorant &amp; Anti-Perspirant</t>
        </is>
      </c>
      <c r="D25983" t="inlineStr">
        <is>
          <t>Dove</t>
        </is>
      </c>
      <c r="E25983" t="n">
        <v>4.33</v>
      </c>
      <c r="F25983" t="n">
        <v>1</v>
      </c>
      <c r="G25983" t="n">
        <v>14</v>
      </c>
      <c r="H25983" s="5">
        <f>HYPERLINK("https://api.qogita.com/variants/link/8720181291449/", "View Product")</f>
        <v/>
      </c>
    </row>
    <row r="25984">
      <c r="A25984" t="inlineStr">
        <is>
          <t>8720181291852</t>
        </is>
      </c>
      <c r="B25984" t="inlineStr">
        <is>
          <t>Dove Advanced Care Soft Feel Antiperspirant Spray 150 Ml</t>
        </is>
      </c>
      <c r="C25984" t="inlineStr">
        <is>
          <t>Deodorant &amp; Anti-Perspirant</t>
        </is>
      </c>
      <c r="D25984" t="inlineStr">
        <is>
          <t>Dove</t>
        </is>
      </c>
      <c r="E25984" t="n">
        <v>4.33</v>
      </c>
      <c r="F25984" t="n">
        <v>1</v>
      </c>
      <c r="G25984" t="n">
        <v>48</v>
      </c>
      <c r="H25984" s="5">
        <f>HYPERLINK("https://api.qogita.com/variants/link/8720181291852/", "View Product")</f>
        <v/>
      </c>
    </row>
    <row r="25985">
      <c r="A25985" t="inlineStr">
        <is>
          <t>8720181291876</t>
        </is>
      </c>
      <c r="B25985" t="inlineStr">
        <is>
          <t>Dove Advanced Care Talco Deodorant Spray 150 Ml</t>
        </is>
      </c>
      <c r="C25985" t="inlineStr">
        <is>
          <t>Deodorant &amp; Anti-Perspirant</t>
        </is>
      </c>
      <c r="D25985" t="inlineStr">
        <is>
          <t>Dove</t>
        </is>
      </c>
      <c r="E25985" t="n">
        <v>4.33</v>
      </c>
      <c r="F25985" t="n">
        <v>1</v>
      </c>
      <c r="G25985" t="n">
        <v>3</v>
      </c>
      <c r="H25985" s="5">
        <f>HYPERLINK("https://api.qogita.com/variants/link/8720181291876/", "View Product")</f>
        <v/>
      </c>
    </row>
    <row r="25986">
      <c r="A25986" t="inlineStr">
        <is>
          <t>8720181313424</t>
        </is>
      </c>
      <c r="B25986" t="inlineStr">
        <is>
          <t>Dove Mencare Extra Fresh Body And Face Wash</t>
        </is>
      </c>
      <c r="C25986" t="inlineStr">
        <is>
          <t>Shower Gel</t>
        </is>
      </c>
      <c r="D25986" t="inlineStr">
        <is>
          <t>Dove</t>
        </is>
      </c>
      <c r="E25986" t="n">
        <v>4.3</v>
      </c>
      <c r="F25986" t="n">
        <v>1</v>
      </c>
      <c r="G25986" t="n">
        <v>10</v>
      </c>
      <c r="H25986" s="5">
        <f>HYPERLINK("https://api.qogita.com/variants/link/8720181313424/", "View Product")</f>
        <v/>
      </c>
    </row>
    <row r="25987">
      <c r="A25987" t="inlineStr">
        <is>
          <t>8720181402326</t>
        </is>
      </c>
      <c r="B25987" t="inlineStr">
        <is>
          <t>Dove Ultra Care Long &amp; Radiant Shampoo 400 Ml</t>
        </is>
      </c>
      <c r="C25987" t="inlineStr">
        <is>
          <t>Shampoo</t>
        </is>
      </c>
      <c r="D25987" t="inlineStr">
        <is>
          <t>Dove</t>
        </is>
      </c>
      <c r="E25987" t="n">
        <v>4.84</v>
      </c>
      <c r="F25987" t="n">
        <v>1</v>
      </c>
      <c r="G25987" t="n">
        <v>2</v>
      </c>
      <c r="H25987" s="5">
        <f>HYPERLINK("https://api.qogita.com/variants/link/8720181402326/", "View Product")</f>
        <v/>
      </c>
    </row>
    <row r="25988">
      <c r="A25988" t="inlineStr">
        <is>
          <t>8720181457425</t>
        </is>
      </c>
      <c r="B25988" t="inlineStr">
        <is>
          <t>Dove Deeply Nourishing Shower Gel - 400 Ml</t>
        </is>
      </c>
      <c r="C25988" t="inlineStr">
        <is>
          <t>Shower Gel</t>
        </is>
      </c>
      <c r="D25988" t="inlineStr">
        <is>
          <t>Dove</t>
        </is>
      </c>
      <c r="E25988" t="n">
        <v>5.54</v>
      </c>
      <c r="F25988" t="n">
        <v>1</v>
      </c>
      <c r="G25988" t="n">
        <v>7</v>
      </c>
      <c r="H25988" s="5">
        <f>HYPERLINK("https://api.qogita.com/variants/link/8720181457425/", "View Product")</f>
        <v/>
      </c>
    </row>
    <row r="25989">
      <c r="A25989" t="inlineStr">
        <is>
          <t>8720181566851</t>
        </is>
      </c>
      <c r="B25989" t="inlineStr">
        <is>
          <t>Dove Floral Fresh Antiperspirant Spray - 150 Ml</t>
        </is>
      </c>
      <c r="C25989" t="inlineStr">
        <is>
          <t>Deodorant &amp; Anti-Perspirant</t>
        </is>
      </c>
      <c r="D25989" t="inlineStr">
        <is>
          <t>Dove</t>
        </is>
      </c>
      <c r="E25989" t="n">
        <v>4.14</v>
      </c>
      <c r="F25989" t="n">
        <v>1</v>
      </c>
      <c r="G25989" t="n">
        <v>7</v>
      </c>
      <c r="H25989" s="5">
        <f>HYPERLINK("https://api.qogita.com/variants/link/8720181566851/", "View Product")</f>
        <v/>
      </c>
    </row>
    <row r="25990">
      <c r="A25990" t="inlineStr">
        <is>
          <t>8720181572326</t>
        </is>
      </c>
      <c r="B25990" t="inlineStr">
        <is>
          <t>Dove Men Care Energizing Antiperspirant Spray 150 Ml</t>
        </is>
      </c>
      <c r="C25990" t="inlineStr">
        <is>
          <t>Deodorant &amp; Anti-Perspirant</t>
        </is>
      </c>
      <c r="D25990" t="inlineStr">
        <is>
          <t>Dove</t>
        </is>
      </c>
      <c r="E25990" t="n">
        <v>4.14</v>
      </c>
      <c r="F25990" t="n">
        <v>1</v>
      </c>
      <c r="G25990" t="n">
        <v>8</v>
      </c>
      <c r="H25990" s="5">
        <f>HYPERLINK("https://api.qogita.com/variants/link/8720181572326/", "View Product")</f>
        <v/>
      </c>
    </row>
    <row r="25991">
      <c r="A25991" t="inlineStr">
        <is>
          <t>8720181573576</t>
        </is>
      </c>
      <c r="B25991" t="inlineStr">
        <is>
          <t>Dove Men + Care Shower Gel Sandalwood &amp; Vanilla - Refreshing Body Wash For Men</t>
        </is>
      </c>
      <c r="C25991" t="inlineStr">
        <is>
          <t>Shower Gel</t>
        </is>
      </c>
      <c r="D25991" t="inlineStr">
        <is>
          <t>Dove</t>
        </is>
      </c>
      <c r="E25991" t="n">
        <v>4.3</v>
      </c>
      <c r="F25991" t="n">
        <v>1</v>
      </c>
      <c r="G25991" t="n">
        <v>2</v>
      </c>
      <c r="H25991" s="5">
        <f>HYPERLINK("https://api.qogita.com/variants/link/8720181573576/", "View Product")</f>
        <v/>
      </c>
    </row>
    <row r="25992">
      <c r="A25992" t="inlineStr">
        <is>
          <t>8720181608391</t>
        </is>
      </c>
      <c r="B25992" t="inlineStr">
        <is>
          <t>Dove Creamy Indulge Shower Gel</t>
        </is>
      </c>
      <c r="C25992" t="inlineStr">
        <is>
          <t>Shower Gel</t>
        </is>
      </c>
      <c r="D25992" t="inlineStr">
        <is>
          <t>Dove</t>
        </is>
      </c>
      <c r="E25992" t="n">
        <v>4.61</v>
      </c>
      <c r="F25992" t="n">
        <v>1</v>
      </c>
      <c r="G25992" t="n">
        <v>18</v>
      </c>
      <c r="H25992" s="5">
        <f>HYPERLINK("https://api.qogita.com/variants/link/8720181608391/", "View Product")</f>
        <v/>
      </c>
    </row>
    <row r="25993">
      <c r="A25993" t="inlineStr">
        <is>
          <t>8720182260437</t>
        </is>
      </c>
      <c r="B25993" t="inlineStr">
        <is>
          <t>Dove Glow &amp; Shine Body Lotion 250 Ml</t>
        </is>
      </c>
      <c r="C25993" t="inlineStr">
        <is>
          <t>Body Lotion</t>
        </is>
      </c>
      <c r="D25993" t="inlineStr">
        <is>
          <t>Dove</t>
        </is>
      </c>
      <c r="E25993" t="n">
        <v>5.93</v>
      </c>
      <c r="F25993" t="n">
        <v>1</v>
      </c>
      <c r="G25993" t="n">
        <v>2</v>
      </c>
      <c r="H25993" s="5">
        <f>HYPERLINK("https://api.qogita.com/variants/link/8720182260437/", "View Product")</f>
        <v/>
      </c>
    </row>
    <row r="25994">
      <c r="A25994" t="inlineStr">
        <is>
          <t>8720182264664</t>
        </is>
      </c>
      <c r="B25994" t="inlineStr">
        <is>
          <t>Dove Cream Bar Soap 90g</t>
        </is>
      </c>
      <c r="C25994" t="inlineStr">
        <is>
          <t>Soap</t>
        </is>
      </c>
      <c r="D25994" t="inlineStr">
        <is>
          <t>Dove</t>
        </is>
      </c>
      <c r="E25994" t="n">
        <v>2.95</v>
      </c>
      <c r="F25994" t="n">
        <v>1</v>
      </c>
      <c r="G25994" t="n">
        <v>19</v>
      </c>
      <c r="H25994" s="5">
        <f>HYPERLINK("https://api.qogita.com/variants/link/8720182264664/", "View Product")</f>
        <v/>
      </c>
    </row>
    <row r="25995">
      <c r="A25995" t="inlineStr">
        <is>
          <t>8720182834676</t>
        </is>
      </c>
      <c r="B25995" t="inlineStr">
        <is>
          <t>Dove Awaken Body Care Gift Set</t>
        </is>
      </c>
      <c r="C25995" t="inlineStr">
        <is>
          <t>Body Care Sets</t>
        </is>
      </c>
      <c r="D25995" t="inlineStr">
        <is>
          <t>Dove</t>
        </is>
      </c>
      <c r="E25995" t="n">
        <v>10.46</v>
      </c>
      <c r="F25995" t="n">
        <v>1</v>
      </c>
      <c r="G25995" t="n">
        <v>18</v>
      </c>
      <c r="H25995" s="5">
        <f>HYPERLINK("https://api.qogita.com/variants/link/8720182834676/", "View Product")</f>
        <v/>
      </c>
    </row>
    <row r="25996">
      <c r="A25996" t="inlineStr">
        <is>
          <t>8720182834775</t>
        </is>
      </c>
      <c r="B25996" t="inlineStr">
        <is>
          <t>Dove Nourish Complete Collection Body Care Gift Set</t>
        </is>
      </c>
      <c r="C25996" t="inlineStr">
        <is>
          <t>Body Care Sets</t>
        </is>
      </c>
      <c r="D25996" t="inlineStr">
        <is>
          <t>Dove</t>
        </is>
      </c>
      <c r="E25996" t="n">
        <v>15.88</v>
      </c>
      <c r="F25996" t="n">
        <v>1</v>
      </c>
      <c r="G25996" t="n">
        <v>10</v>
      </c>
      <c r="H25996" s="5">
        <f>HYPERLINK("https://api.qogita.com/variants/link/8720182834775/", "View Product")</f>
        <v/>
      </c>
    </row>
    <row r="25997">
      <c r="A25997" t="inlineStr">
        <is>
          <t>8720254710570</t>
        </is>
      </c>
      <c r="B25997" t="inlineStr">
        <is>
          <t>Naif Baby &amp; Kids Wash Gel Pump Cleansing Wash Gel For Children And Infants</t>
        </is>
      </c>
      <c r="C25997" t="inlineStr">
        <is>
          <t>Baby Shower Gel &amp; Soap</t>
        </is>
      </c>
      <c r="D25997" t="inlineStr">
        <is>
          <t>Naïf</t>
        </is>
      </c>
      <c r="E25997" t="n">
        <v>21.37</v>
      </c>
      <c r="F25997" t="n">
        <v>1</v>
      </c>
      <c r="G25997" t="n">
        <v>6</v>
      </c>
      <c r="H25997" s="5">
        <f>HYPERLINK("https://api.qogita.com/variants/link/8720254710570/", "View Product")</f>
        <v/>
      </c>
    </row>
    <row r="25998">
      <c r="A25998" t="inlineStr">
        <is>
          <t>8720689031875</t>
        </is>
      </c>
      <c r="B25998" t="inlineStr">
        <is>
          <t>Philips Original OneBlade 360 Authentic Replacement Blades for Face and Body Kit</t>
        </is>
      </c>
      <c r="C25998" t="inlineStr">
        <is>
          <t>Beard Care Accessories</t>
        </is>
      </c>
      <c r="D25998" t="inlineStr">
        <is>
          <t>Philips</t>
        </is>
      </c>
      <c r="E25998" t="n">
        <v>26.45</v>
      </c>
      <c r="F25998" t="n">
        <v>1</v>
      </c>
      <c r="G25998" t="n">
        <v>5</v>
      </c>
      <c r="H25998" s="5">
        <f>HYPERLINK("https://api.qogita.com/variants/link/8720689031875/", "View Product")</f>
        <v/>
      </c>
    </row>
    <row r="25999">
      <c r="A25999" t="inlineStr">
        <is>
          <t>8721008611235</t>
        </is>
      </c>
      <c r="B25999" t="inlineStr">
        <is>
          <t>Naïf Cooling Aftersun Spray for Baby &amp; Child Soothes, Cools, and Hydrates Vegan Fragrance-Free 175ml</t>
        </is>
      </c>
      <c r="C25999" t="inlineStr">
        <is>
          <t>Aftersun</t>
        </is>
      </c>
      <c r="D25999" t="inlineStr">
        <is>
          <t>Naïf</t>
        </is>
      </c>
      <c r="E25999" t="n">
        <v>17.09</v>
      </c>
      <c r="F25999" t="n">
        <v>1</v>
      </c>
      <c r="G25999" t="n">
        <v>10</v>
      </c>
      <c r="H25999" s="5">
        <f>HYPERLINK("https://api.qogita.com/variants/link/8721008611235/", "View Product")</f>
        <v/>
      </c>
    </row>
    <row r="26000">
      <c r="A26000" t="inlineStr">
        <is>
          <t>8721082818278</t>
        </is>
      </c>
      <c r="B26000" t="inlineStr">
        <is>
          <t>Naif Mom Belly &amp; Beyond Pregnancy Cosmetics Gift Set</t>
        </is>
      </c>
      <c r="C26000" t="inlineStr">
        <is>
          <t>Pregnancy</t>
        </is>
      </c>
      <c r="D26000" t="inlineStr">
        <is>
          <t>Naïf</t>
        </is>
      </c>
      <c r="E26000" t="n">
        <v>26.72</v>
      </c>
      <c r="F26000" t="n">
        <v>1</v>
      </c>
      <c r="G26000" t="n">
        <v>4</v>
      </c>
      <c r="H26000" s="5">
        <f>HYPERLINK("https://api.qogita.com/variants/link/8721082818278/", "View Product")</f>
        <v/>
      </c>
    </row>
    <row r="26001">
      <c r="A26001" t="inlineStr">
        <is>
          <t>8800240567354</t>
        </is>
      </c>
      <c r="B26001" t="inlineStr">
        <is>
          <t>Medicube Pore One-Day Cream - 50ml</t>
        </is>
      </c>
      <c r="C26001" t="inlineStr">
        <is>
          <t>Day Cream</t>
        </is>
      </c>
      <c r="D26001" t="inlineStr">
        <is>
          <t>Medicube</t>
        </is>
      </c>
      <c r="E26001" t="n">
        <v>18.7</v>
      </c>
      <c r="F26001" t="n">
        <v>1</v>
      </c>
      <c r="G26001" t="n">
        <v>10</v>
      </c>
      <c r="H26001" s="5">
        <f>HYPERLINK("https://api.qogita.com/variants/link/8800240567354/", "View Product")</f>
        <v/>
      </c>
    </row>
    <row r="26002">
      <c r="A26002" t="inlineStr">
        <is>
          <t>8800256113217</t>
        </is>
      </c>
      <c r="B26002" t="inlineStr">
        <is>
          <t>Medicube Collagen Overnight Wrapping Peel Off Facial Mask - Elasticity</t>
        </is>
      </c>
      <c r="C26002" t="inlineStr">
        <is>
          <t>Hydrating Mask</t>
        </is>
      </c>
      <c r="D26002" t="inlineStr">
        <is>
          <t>Medicube</t>
        </is>
      </c>
      <c r="E26002" t="n">
        <v>19.85</v>
      </c>
      <c r="F26002" t="n">
        <v>1</v>
      </c>
      <c r="G26002" t="n">
        <v>86</v>
      </c>
      <c r="H26002" s="5">
        <f>HYPERLINK("https://api.qogita.com/variants/link/8800256113217/", "View Product")</f>
        <v/>
      </c>
    </row>
    <row r="26003">
      <c r="A26003" t="inlineStr">
        <is>
          <t>8803463003487</t>
        </is>
      </c>
      <c r="B26003" t="inlineStr">
        <is>
          <t>Vt Cosmetics Vita-Light All In One 3step Mask - A Complete Skincare Solution</t>
        </is>
      </c>
      <c r="C26003" t="inlineStr">
        <is>
          <t>Sheet Mask</t>
        </is>
      </c>
      <c r="D26003" t="inlineStr">
        <is>
          <t>Vt Cosmetics</t>
        </is>
      </c>
      <c r="E26003" t="n">
        <v>4.55</v>
      </c>
      <c r="F26003" t="n">
        <v>1</v>
      </c>
      <c r="G26003" t="n">
        <v>11</v>
      </c>
      <c r="H26003" s="5">
        <f>HYPERLINK("https://api.qogita.com/variants/link/8803463003487/", "View Product")</f>
        <v/>
      </c>
    </row>
    <row r="26004">
      <c r="A26004" t="inlineStr">
        <is>
          <t>8803463006037</t>
        </is>
      </c>
      <c r="B26004" t="inlineStr">
        <is>
          <t>[Vt] Reedle Shot 100 2-Stage Mask</t>
        </is>
      </c>
      <c r="C26004" t="inlineStr">
        <is>
          <t>Purifying Mask</t>
        </is>
      </c>
      <c r="D26004" t="inlineStr">
        <is>
          <t>Vt</t>
        </is>
      </c>
      <c r="E26004" t="n">
        <v>3.12</v>
      </c>
      <c r="F26004" t="n">
        <v>1</v>
      </c>
      <c r="G26004" t="n">
        <v>13</v>
      </c>
      <c r="H26004" s="5">
        <f>HYPERLINK("https://api.qogita.com/variants/link/8803463006037/", "View Product")</f>
        <v/>
      </c>
    </row>
    <row r="26005">
      <c r="A26005" t="inlineStr">
        <is>
          <t>8803623780968</t>
        </is>
      </c>
      <c r="B26005" t="inlineStr">
        <is>
          <t>Killer Oud Midnight Ecstasy Eau De Parfum Spray 100ml</t>
        </is>
      </c>
      <c r="C26005" t="inlineStr">
        <is>
          <t>Eau De Parfum</t>
        </is>
      </c>
      <c r="D26005" t="inlineStr">
        <is>
          <t>Killer Oud</t>
        </is>
      </c>
      <c r="E26005" t="n">
        <v>20.76</v>
      </c>
      <c r="F26005" t="n">
        <v>1</v>
      </c>
      <c r="G26005" t="n">
        <v>3</v>
      </c>
      <c r="H26005" s="5">
        <f>HYPERLINK("https://api.qogita.com/variants/link/8803623780968/", "View Product")</f>
        <v/>
      </c>
    </row>
    <row r="26006">
      <c r="A26006" t="inlineStr">
        <is>
          <t>8806133613573</t>
        </is>
      </c>
      <c r="B26006" t="inlineStr">
        <is>
          <t>Dr.Ceuracle Local Led Device For Problematic Skin Ac Deese Spot Healer</t>
        </is>
      </c>
      <c r="C26006" t="inlineStr">
        <is>
          <t>Pimple &amp; Blackhead Treatments</t>
        </is>
      </c>
      <c r="D26006" t="inlineStr">
        <is>
          <t>Dr.Ceuracle</t>
        </is>
      </c>
      <c r="E26006" t="n">
        <v>29.54</v>
      </c>
      <c r="F26006" t="n">
        <v>1</v>
      </c>
      <c r="G26006" t="n">
        <v>3</v>
      </c>
      <c r="H26006" s="5">
        <f>HYPERLINK("https://api.qogita.com/variants/link/8806133613573/", "View Product")</f>
        <v/>
      </c>
    </row>
    <row r="26007">
      <c r="A26007" t="inlineStr">
        <is>
          <t>8806133613665</t>
        </is>
      </c>
      <c r="B26007" t="inlineStr">
        <is>
          <t>Drceuracle 5a Control Clearing Toner 120 Ml For Oily And Problematic Skin</t>
        </is>
      </c>
      <c r="C26007" t="inlineStr">
        <is>
          <t>Cleansing Foam</t>
        </is>
      </c>
      <c r="D26007" t="inlineStr">
        <is>
          <t>Dr.Ceuracle</t>
        </is>
      </c>
      <c r="E26007" t="n">
        <v>26.7</v>
      </c>
      <c r="F26007" t="n">
        <v>1</v>
      </c>
      <c r="G26007" t="n">
        <v>4</v>
      </c>
      <c r="H26007" s="5">
        <f>HYPERLINK("https://api.qogita.com/variants/link/8806133613665/", "View Product")</f>
        <v/>
      </c>
    </row>
    <row r="26008">
      <c r="A26008" t="inlineStr">
        <is>
          <t>8806133613740</t>
        </is>
      </c>
      <c r="B26008" t="inlineStr">
        <is>
          <t>Drceuracle Tea Tree Purifine 30 Cleansing Foam 150 Ml For Problematic Skin</t>
        </is>
      </c>
      <c r="C26008" t="inlineStr">
        <is>
          <t>Cleansing Foam</t>
        </is>
      </c>
      <c r="D26008" t="inlineStr">
        <is>
          <t>Dr.Ceuracle</t>
        </is>
      </c>
      <c r="E26008" t="n">
        <v>22.8</v>
      </c>
      <c r="F26008" t="n">
        <v>1</v>
      </c>
      <c r="G26008" t="n">
        <v>7</v>
      </c>
      <c r="H26008" s="5">
        <f>HYPERLINK("https://api.qogita.com/variants/link/8806133613740/", "View Product")</f>
        <v/>
      </c>
    </row>
    <row r="26009">
      <c r="A26009" t="inlineStr">
        <is>
          <t>8806133614143</t>
        </is>
      </c>
      <c r="B26009" t="inlineStr">
        <is>
          <t>Dr.Ceuracle Hydrating Skin Tonic Hyal Reyouth Toner 120 Ml</t>
        </is>
      </c>
      <c r="C26009" t="inlineStr">
        <is>
          <t>Facial Spray</t>
        </is>
      </c>
      <c r="D26009" t="inlineStr">
        <is>
          <t>Dr.Ceuracle</t>
        </is>
      </c>
      <c r="E26009" t="n">
        <v>21.43</v>
      </c>
      <c r="F26009" t="n">
        <v>1</v>
      </c>
      <c r="G26009" t="n">
        <v>5</v>
      </c>
      <c r="H26009" s="5">
        <f>HYPERLINK("https://api.qogita.com/variants/link/8806133614143/", "View Product")</f>
        <v/>
      </c>
    </row>
    <row r="26010">
      <c r="A26010" t="inlineStr">
        <is>
          <t>8806133614808</t>
        </is>
      </c>
      <c r="B26010" t="inlineStr">
        <is>
          <t>Drceuracle 5a Control Clearing Cream For Oily And Problematic Skin 50 Ml</t>
        </is>
      </c>
      <c r="C26010" t="inlineStr">
        <is>
          <t>Pimple &amp; Blackhead Treatments</t>
        </is>
      </c>
      <c r="D26010" t="inlineStr">
        <is>
          <t>Dr.Ceuracle</t>
        </is>
      </c>
      <c r="E26010" t="n">
        <v>32.61</v>
      </c>
      <c r="F26010" t="n">
        <v>1</v>
      </c>
      <c r="G26010" t="n">
        <v>3</v>
      </c>
      <c r="H26010" s="5">
        <f>HYPERLINK("https://api.qogita.com/variants/link/8806133614808/", "View Product")</f>
        <v/>
      </c>
    </row>
    <row r="26011">
      <c r="A26011" t="inlineStr">
        <is>
          <t>8806133615195</t>
        </is>
      </c>
      <c r="B26011" t="inlineStr">
        <is>
          <t>Drceuracle Vegan Kombucha Tea Special Set</t>
        </is>
      </c>
      <c r="C26011" t="inlineStr">
        <is>
          <t>Tea &amp; Honey</t>
        </is>
      </c>
      <c r="D26011" t="inlineStr">
        <is>
          <t>Dr.Ceuracle</t>
        </is>
      </c>
      <c r="E26011" t="n">
        <v>54.65</v>
      </c>
      <c r="F26011" t="n">
        <v>1</v>
      </c>
      <c r="G26011" t="n">
        <v>5</v>
      </c>
      <c r="H26011" s="5">
        <f>HYPERLINK("https://api.qogita.com/variants/link/8806133615195/", "View Product")</f>
        <v/>
      </c>
    </row>
    <row r="26012">
      <c r="A26012" t="inlineStr">
        <is>
          <t>8806133615676</t>
        </is>
      </c>
      <c r="B26012" t="inlineStr">
        <is>
          <t>Drceuracle Tinted Skin Sun Cream Spf 50 Tea Tree Purifine Green Up Sun 50 Ml</t>
        </is>
      </c>
      <c r="C26012" t="inlineStr">
        <is>
          <t>Face Sun Protection</t>
        </is>
      </c>
      <c r="D26012" t="inlineStr">
        <is>
          <t>Dr.Ceuracle</t>
        </is>
      </c>
      <c r="E26012" t="n">
        <v>21.98</v>
      </c>
      <c r="F26012" t="n">
        <v>1</v>
      </c>
      <c r="G26012" t="n">
        <v>3</v>
      </c>
      <c r="H26012" s="5">
        <f>HYPERLINK("https://api.qogita.com/variants/link/8806133615676/", "View Product")</f>
        <v/>
      </c>
    </row>
    <row r="26013">
      <c r="A26013" t="inlineStr">
        <is>
          <t>8806133615843</t>
        </is>
      </c>
      <c r="B26013" t="inlineStr">
        <is>
          <t>Dr.Ceuracle Bb Cream Spf 30 Vegan Kombucha Tea - 30 Ml</t>
        </is>
      </c>
      <c r="C26013" t="inlineStr">
        <is>
          <t>Face Sun Protection</t>
        </is>
      </c>
      <c r="D26013" t="inlineStr">
        <is>
          <t>Dr.Ceuracle</t>
        </is>
      </c>
      <c r="E26013" t="n">
        <v>18.19</v>
      </c>
      <c r="F26013" t="n">
        <v>1</v>
      </c>
      <c r="G26013" t="n">
        <v>8</v>
      </c>
      <c r="H26013" s="5">
        <f>HYPERLINK("https://api.qogita.com/variants/link/8806133615843/", "View Product")</f>
        <v/>
      </c>
    </row>
    <row r="26014">
      <c r="A26014" t="inlineStr">
        <is>
          <t>8806194035895</t>
        </is>
      </c>
      <c r="B26014" t="inlineStr">
        <is>
          <t>Tony Moly Skin Emulsion Premium Rx Swallow Nest Essence 55 Ml</t>
        </is>
      </c>
      <c r="C26014" t="inlineStr">
        <is>
          <t>Hydrating Serum</t>
        </is>
      </c>
      <c r="D26014" t="inlineStr">
        <is>
          <t>Tony Moly</t>
        </is>
      </c>
      <c r="E26014" t="n">
        <v>43.9</v>
      </c>
      <c r="F26014" t="n">
        <v>1</v>
      </c>
      <c r="G26014" t="n">
        <v>2</v>
      </c>
      <c r="H26014" s="5">
        <f>HYPERLINK("https://api.qogita.com/variants/link/8806194035895/", "View Product")</f>
        <v/>
      </c>
    </row>
    <row r="26015">
      <c r="A26015" t="inlineStr">
        <is>
          <t>8806194057873</t>
        </is>
      </c>
      <c r="B26015" t="inlineStr">
        <is>
          <t>Tony Moly Brightening Skin Cream Spf 50 With 2x Vitamin C - 50 Ml</t>
        </is>
      </c>
      <c r="C26015" t="inlineStr">
        <is>
          <t>Day Cream</t>
        </is>
      </c>
      <c r="D26015" t="inlineStr">
        <is>
          <t>Tony Moly</t>
        </is>
      </c>
      <c r="E26015" t="n">
        <v>25.62</v>
      </c>
      <c r="F26015" t="n">
        <v>1</v>
      </c>
      <c r="G26015" t="n">
        <v>3</v>
      </c>
      <c r="H26015" s="5">
        <f>HYPERLINK("https://api.qogita.com/variants/link/8806194057873/", "View Product")</f>
        <v/>
      </c>
    </row>
    <row r="26016">
      <c r="A26016" t="inlineStr">
        <is>
          <t>8806194059457</t>
        </is>
      </c>
      <c r="B26016" t="inlineStr">
        <is>
          <t>Tony Moly Intense Care Homme Gold 24k Snail Emulsion 130 Ml</t>
        </is>
      </c>
      <c r="C26016" t="inlineStr">
        <is>
          <t>Anti-Aging Facial Care</t>
        </is>
      </c>
      <c r="D26016" t="inlineStr">
        <is>
          <t>Tony Moly</t>
        </is>
      </c>
      <c r="E26016" t="n">
        <v>25.62</v>
      </c>
      <c r="F26016" t="n">
        <v>1</v>
      </c>
      <c r="G26016" t="n">
        <v>7</v>
      </c>
      <c r="H26016" s="5">
        <f>HYPERLINK("https://api.qogita.com/variants/link/8806194059457/", "View Product")</f>
        <v/>
      </c>
    </row>
    <row r="26017">
      <c r="A26017" t="inlineStr">
        <is>
          <t>8806194063201</t>
        </is>
      </c>
      <c r="B26017" t="inlineStr">
        <is>
          <t>Tony Moly Intense Care Gold 24k Snail Peeling Gel 150 Ml</t>
        </is>
      </c>
      <c r="C26017" t="inlineStr">
        <is>
          <t>Facial Scrub &amp; Peeling</t>
        </is>
      </c>
      <c r="D26017" t="inlineStr">
        <is>
          <t>Tony Moly</t>
        </is>
      </c>
      <c r="E26017" t="n">
        <v>16.29</v>
      </c>
      <c r="F26017" t="n">
        <v>1</v>
      </c>
      <c r="G26017" t="n">
        <v>3</v>
      </c>
      <c r="H26017" s="5">
        <f>HYPERLINK("https://api.qogita.com/variants/link/8806194063201/", "View Product")</f>
        <v/>
      </c>
    </row>
    <row r="26018">
      <c r="A26018" t="inlineStr">
        <is>
          <t>8806194065304</t>
        </is>
      </c>
      <c r="B26018" t="inlineStr">
        <is>
          <t>Tony Moly Spf 50 Uv Master Perfecting Sun Stick - 22 Grams</t>
        </is>
      </c>
      <c r="C26018" t="inlineStr">
        <is>
          <t>Body Sun Protection</t>
        </is>
      </c>
      <c r="D26018" t="inlineStr">
        <is>
          <t>Tony Moly</t>
        </is>
      </c>
      <c r="E26018" t="n">
        <v>17.71</v>
      </c>
      <c r="F26018" t="n">
        <v>1</v>
      </c>
      <c r="G26018" t="n">
        <v>2</v>
      </c>
      <c r="H26018" s="5">
        <f>HYPERLINK("https://api.qogita.com/variants/link/8806194065304/", "View Product")</f>
        <v/>
      </c>
    </row>
    <row r="26019">
      <c r="A26019" t="inlineStr">
        <is>
          <t>8807779078177</t>
        </is>
      </c>
      <c r="B26019" t="inlineStr">
        <is>
          <t>Daeng Gi Meo Ri KI Gold Premium Treatment 500mL</t>
        </is>
      </c>
      <c r="C26019" t="inlineStr">
        <is>
          <t>Conditioner</t>
        </is>
      </c>
      <c r="D26019" t="inlineStr">
        <is>
          <t>Daeng Gi Meo Ri</t>
        </is>
      </c>
      <c r="E26019" t="n">
        <v>16.37</v>
      </c>
      <c r="F26019" t="n">
        <v>1</v>
      </c>
      <c r="G26019" t="n">
        <v>2</v>
      </c>
      <c r="H26019" s="5">
        <f>HYPERLINK("https://api.qogita.com/variants/link/8807779078177/", "View Product")</f>
        <v/>
      </c>
    </row>
    <row r="26020">
      <c r="A26020" t="inlineStr">
        <is>
          <t>8809079202498</t>
        </is>
      </c>
      <c r="B26020" t="inlineStr">
        <is>
          <t>ACCOJE Hydrating Aqua Toner 130ml Made in Korea</t>
        </is>
      </c>
      <c r="C26020" t="inlineStr">
        <is>
          <t>Facial Spray</t>
        </is>
      </c>
      <c r="D26020" t="inlineStr">
        <is>
          <t>Accoje</t>
        </is>
      </c>
      <c r="E26020" t="n">
        <v>12.98</v>
      </c>
      <c r="F26020" t="n">
        <v>1</v>
      </c>
      <c r="G26020" t="n">
        <v>13</v>
      </c>
      <c r="H26020" s="5">
        <f>HYPERLINK("https://api.qogita.com/variants/link/8809079202498/", "View Product")</f>
        <v/>
      </c>
    </row>
    <row r="26021">
      <c r="A26021" t="inlineStr">
        <is>
          <t>8809080826225</t>
        </is>
      </c>
      <c r="B26021" t="inlineStr">
        <is>
          <t>[Coxir] Ultra Hyaluronic Emulsion 100ml/3.38 fl.oz Korean Daily Face Moisturizer for Dry Dehydrated Skin Long-Lasting Hydration with Hyaluronic Acid Collagen and Plant Complex 19 Lightweight</t>
        </is>
      </c>
      <c r="C26021" t="inlineStr">
        <is>
          <t>Face Cream</t>
        </is>
      </c>
      <c r="D26021" t="inlineStr">
        <is>
          <t>Coxir</t>
        </is>
      </c>
      <c r="E26021" t="n">
        <v>10.92</v>
      </c>
      <c r="F26021" t="n">
        <v>1</v>
      </c>
      <c r="G26021" t="n">
        <v>5</v>
      </c>
      <c r="H26021" s="5">
        <f>HYPERLINK("https://api.qogita.com/variants/link/8809080826225/", "View Product")</f>
        <v/>
      </c>
    </row>
    <row r="26022">
      <c r="A26022" t="inlineStr">
        <is>
          <t>8809083997106</t>
        </is>
      </c>
      <c r="B26022" t="inlineStr">
        <is>
          <t>Sioris Deep In A Barrier Cream</t>
        </is>
      </c>
      <c r="C26022" t="inlineStr">
        <is>
          <t>Face Cream</t>
        </is>
      </c>
      <c r="D26022" t="inlineStr">
        <is>
          <t>Sioris</t>
        </is>
      </c>
      <c r="E26022" t="n">
        <v>25.5</v>
      </c>
      <c r="F26022" t="n">
        <v>1</v>
      </c>
      <c r="G26022" t="n">
        <v>3</v>
      </c>
      <c r="H26022" s="5">
        <f>HYPERLINK("https://api.qogita.com/variants/link/8809083997106/", "View Product")</f>
        <v/>
      </c>
    </row>
    <row r="26023">
      <c r="A26023" t="inlineStr">
        <is>
          <t>8809115023681</t>
        </is>
      </c>
      <c r="B26023" t="inlineStr">
        <is>
          <t>[DearKlairs] Midnight Blue Youth Activating Drop 0.67 fl oz Dual EGF Peptides Guaiazulene Adenosine Night Serum</t>
        </is>
      </c>
      <c r="C26023" t="inlineStr">
        <is>
          <t>Anti-Aging Serum</t>
        </is>
      </c>
      <c r="D26023" t="inlineStr">
        <is>
          <t>Dear Klairs</t>
        </is>
      </c>
      <c r="E26023" t="n">
        <v>22.24</v>
      </c>
      <c r="F26023" t="n">
        <v>1</v>
      </c>
      <c r="G26023" t="n">
        <v>3</v>
      </c>
      <c r="H26023" s="5">
        <f>HYPERLINK("https://api.qogita.com/variants/link/8809115023681/", "View Product")</f>
        <v/>
      </c>
    </row>
    <row r="26024">
      <c r="A26024" t="inlineStr">
        <is>
          <t>8809132968958</t>
        </is>
      </c>
      <c r="B26024" t="inlineStr">
        <is>
          <t>Mizon Peach My Relaxing Time Body Wash 800 Ml</t>
        </is>
      </c>
      <c r="C26024" t="inlineStr">
        <is>
          <t>Shower Gel</t>
        </is>
      </c>
      <c r="D26024" t="inlineStr">
        <is>
          <t>Mizon</t>
        </is>
      </c>
      <c r="E26024" t="n">
        <v>11.84</v>
      </c>
      <c r="F26024" t="n">
        <v>1</v>
      </c>
      <c r="G26024" t="n">
        <v>9</v>
      </c>
      <c r="H26024" s="5">
        <f>HYPERLINK("https://api.qogita.com/variants/link/8809132968958/", "View Product")</f>
        <v/>
      </c>
    </row>
    <row r="26025">
      <c r="A26025" t="inlineStr">
        <is>
          <t>8809211653294</t>
        </is>
      </c>
      <c r="B26025" t="inlineStr">
        <is>
          <t>G9skin It Clean Blackhead Cleansing Stick 15g</t>
        </is>
      </c>
      <c r="C26025" t="inlineStr">
        <is>
          <t>Facial Scrub &amp; Peeling</t>
        </is>
      </c>
      <c r="D26025" t="inlineStr">
        <is>
          <t>G9skin</t>
        </is>
      </c>
      <c r="E26025" t="n">
        <v>17.63</v>
      </c>
      <c r="F26025" t="n">
        <v>1</v>
      </c>
      <c r="G26025" t="n">
        <v>4</v>
      </c>
      <c r="H26025" s="5">
        <f>HYPERLINK("https://api.qogita.com/variants/link/8809211653294/", "View Product")</f>
        <v/>
      </c>
    </row>
    <row r="26026">
      <c r="A26026" t="inlineStr">
        <is>
          <t>8809240317853</t>
        </is>
      </c>
      <c r="B26026" t="inlineStr">
        <is>
          <t>Cos De Baha Niacinamide 10% Serum 30ml - Tightens Pores and Reduces Wrinkles</t>
        </is>
      </c>
      <c r="C26026" t="inlineStr">
        <is>
          <t>Anti-Aging Serum</t>
        </is>
      </c>
      <c r="D26026" t="inlineStr">
        <is>
          <t>Cos De Baha</t>
        </is>
      </c>
      <c r="E26026" t="n">
        <v>15.32</v>
      </c>
      <c r="F26026" t="n">
        <v>1</v>
      </c>
      <c r="G26026" t="n">
        <v>7</v>
      </c>
      <c r="H26026" s="5">
        <f>HYPERLINK("https://api.qogita.com/variants/link/8809240317853/", "View Product")</f>
        <v/>
      </c>
    </row>
    <row r="26027">
      <c r="A26027" t="inlineStr">
        <is>
          <t>8809255785524</t>
        </is>
      </c>
      <c r="B26027" t="inlineStr">
        <is>
          <t>Erborian Yuza Sorbet Vitamin Featherweight Emulsion 50ml Antioxidant Day Cream</t>
        </is>
      </c>
      <c r="C26027" t="inlineStr">
        <is>
          <t>Day Cream</t>
        </is>
      </c>
      <c r="D26027" t="inlineStr">
        <is>
          <t>Erborian</t>
        </is>
      </c>
      <c r="E26027" t="n">
        <v>33.53</v>
      </c>
      <c r="F26027" t="n">
        <v>1</v>
      </c>
      <c r="G26027" t="n">
        <v>12</v>
      </c>
      <c r="H26027" s="5">
        <f>HYPERLINK("https://api.qogita.com/variants/link/8809255785524/", "View Product")</f>
        <v/>
      </c>
    </row>
    <row r="26028">
      <c r="A26028" t="inlineStr">
        <is>
          <t>8809255786392</t>
        </is>
      </c>
      <c r="B26028" t="inlineStr">
        <is>
          <t>Erborian Bb Cream Makeup Care Face Cream Spf 20 40 Ml</t>
        </is>
      </c>
      <c r="C26028" t="inlineStr">
        <is>
          <t>Tinted Day Cream</t>
        </is>
      </c>
      <c r="D26028" t="inlineStr">
        <is>
          <t>Erborian</t>
        </is>
      </c>
      <c r="E26028" t="n">
        <v>32.77</v>
      </c>
      <c r="F26028" t="n">
        <v>1</v>
      </c>
      <c r="G26028" t="n">
        <v>5</v>
      </c>
      <c r="H26028" s="5">
        <f>HYPERLINK("https://api.qogita.com/variants/link/8809255786392/", "View Product")</f>
        <v/>
      </c>
    </row>
    <row r="26029">
      <c r="A26029" t="inlineStr">
        <is>
          <t>8809255787078</t>
        </is>
      </c>
      <c r="B26029" t="inlineStr">
        <is>
          <t>Erborian Super Bb Covering Carecream Spf 20 Clair 40 Ml</t>
        </is>
      </c>
      <c r="C26029" t="inlineStr">
        <is>
          <t>Tinted Day Cream</t>
        </is>
      </c>
      <c r="D26029" t="inlineStr">
        <is>
          <t>Erborian</t>
        </is>
      </c>
      <c r="E26029" t="n">
        <v>30.06</v>
      </c>
      <c r="F26029" t="n">
        <v>1</v>
      </c>
      <c r="G26029" t="n">
        <v>72</v>
      </c>
      <c r="H26029" s="5">
        <f>HYPERLINK("https://api.qogita.com/variants/link/8809255787078/", "View Product")</f>
        <v/>
      </c>
    </row>
    <row r="26030">
      <c r="A26030" t="inlineStr">
        <is>
          <t>8809255787191</t>
        </is>
      </c>
      <c r="B26030" t="inlineStr">
        <is>
          <t>Erborian Super Bb Covering Carecream Spf 20 40ml Caramel</t>
        </is>
      </c>
      <c r="C26030" t="inlineStr">
        <is>
          <t>Tinted Day Cream</t>
        </is>
      </c>
      <c r="D26030" t="inlineStr">
        <is>
          <t>Erborian</t>
        </is>
      </c>
      <c r="E26030" t="n">
        <v>26.79</v>
      </c>
      <c r="F26030" t="n">
        <v>1</v>
      </c>
      <c r="G26030" t="n">
        <v>2</v>
      </c>
      <c r="H26030" s="5">
        <f>HYPERLINK("https://api.qogita.com/variants/link/8809255787191/", "View Product")</f>
        <v/>
      </c>
    </row>
    <row r="26031">
      <c r="A26031" t="inlineStr">
        <is>
          <t>8809255787245</t>
        </is>
      </c>
      <c r="B26031" t="inlineStr">
        <is>
          <t>Erborian Super Bb Covering Carecream Spf 20 15 Ml Chocolat</t>
        </is>
      </c>
      <c r="C26031" t="inlineStr">
        <is>
          <t>Tinted Day Cream</t>
        </is>
      </c>
      <c r="D26031" t="inlineStr">
        <is>
          <t>Erborian</t>
        </is>
      </c>
      <c r="E26031" t="n">
        <v>10.47</v>
      </c>
      <c r="F26031" t="n">
        <v>1</v>
      </c>
      <c r="G26031" t="n">
        <v>5</v>
      </c>
      <c r="H26031" s="5">
        <f>HYPERLINK("https://api.qogita.com/variants/link/8809255787245/", "View Product")</f>
        <v/>
      </c>
    </row>
    <row r="26032">
      <c r="A26032" t="inlineStr">
        <is>
          <t>8809255787450</t>
        </is>
      </c>
      <c r="B26032" t="inlineStr">
        <is>
          <t>Erborian CC Water with Centella Asiatica</t>
        </is>
      </c>
      <c r="C26032" t="inlineStr">
        <is>
          <t>Tinted Day Cream</t>
        </is>
      </c>
      <c r="D26032" t="inlineStr">
        <is>
          <t>Erborian</t>
        </is>
      </c>
      <c r="E26032" t="n">
        <v>16.92</v>
      </c>
      <c r="F26032" t="n">
        <v>1</v>
      </c>
      <c r="G26032" t="n">
        <v>11</v>
      </c>
      <c r="H26032" s="5">
        <f>HYPERLINK("https://api.qogita.com/variants/link/8809255787450/", "View Product")</f>
        <v/>
      </c>
    </row>
    <row r="26033">
      <c r="A26033" t="inlineStr">
        <is>
          <t>8809255787924</t>
        </is>
      </c>
      <c r="B26033" t="inlineStr">
        <is>
          <t>Erborian Centella Cream with Centella Asiatica and Hyaluronic Acid Soothing Moisturizer Korean Skincare Anti-Redness 20ml</t>
        </is>
      </c>
      <c r="C26033" t="inlineStr">
        <is>
          <t>Face Cream</t>
        </is>
      </c>
      <c r="D26033" t="inlineStr">
        <is>
          <t>Erborian</t>
        </is>
      </c>
      <c r="E26033" t="n">
        <v>10.7</v>
      </c>
      <c r="F26033" t="n">
        <v>1</v>
      </c>
      <c r="G26033" t="n">
        <v>15</v>
      </c>
      <c r="H26033" s="5">
        <f>HYPERLINK("https://api.qogita.com/variants/link/8809255787924/", "View Product")</f>
        <v/>
      </c>
    </row>
    <row r="26034">
      <c r="A26034" t="inlineStr">
        <is>
          <t>8809255788198</t>
        </is>
      </c>
      <c r="B26034" t="inlineStr">
        <is>
          <t>Erborian Super Bb Concealer Chocolat 10ml</t>
        </is>
      </c>
      <c r="C26034" t="inlineStr">
        <is>
          <t>Concealer</t>
        </is>
      </c>
      <c r="D26034" t="inlineStr">
        <is>
          <t>Erborian</t>
        </is>
      </c>
      <c r="E26034" t="n">
        <v>21.89</v>
      </c>
      <c r="F26034" t="n">
        <v>1</v>
      </c>
      <c r="G26034" t="n">
        <v>14</v>
      </c>
      <c r="H26034" s="5">
        <f>HYPERLINK("https://api.qogita.com/variants/link/8809255788198/", "View Product")</f>
        <v/>
      </c>
    </row>
    <row r="26035">
      <c r="A26035" t="inlineStr">
        <is>
          <t>8809315713191</t>
        </is>
      </c>
      <c r="B26035" t="inlineStr">
        <is>
          <t>Mizon Collagen Curling Fix Mascara</t>
        </is>
      </c>
      <c r="C26035" t="inlineStr">
        <is>
          <t>Mascara</t>
        </is>
      </c>
      <c r="D26035" t="inlineStr">
        <is>
          <t>Mizon</t>
        </is>
      </c>
      <c r="E26035" t="n">
        <v>10.48</v>
      </c>
      <c r="F26035" t="n">
        <v>1</v>
      </c>
      <c r="G26035" t="n">
        <v>37</v>
      </c>
      <c r="H26035" s="5">
        <f>HYPERLINK("https://api.qogita.com/variants/link/8809315713191/", "View Product")</f>
        <v/>
      </c>
    </row>
    <row r="26036">
      <c r="A26036" t="inlineStr">
        <is>
          <t>8809326333661</t>
        </is>
      </c>
      <c r="B26036" t="inlineStr">
        <is>
          <t>Some By Mi Aha.Bha.Pha 30 Days Miracle Toner - 150ml</t>
        </is>
      </c>
      <c r="C26036" t="inlineStr">
        <is>
          <t>Facial Scrub &amp; Peeling</t>
        </is>
      </c>
      <c r="D26036" t="inlineStr">
        <is>
          <t>Some By Mi</t>
        </is>
      </c>
      <c r="E26036" t="n">
        <v>12.24</v>
      </c>
      <c r="F26036" t="n">
        <v>1</v>
      </c>
      <c r="G26036" t="n">
        <v>9</v>
      </c>
      <c r="H26036" s="5">
        <f>HYPERLINK("https://api.qogita.com/variants/link/8809326333661/", "View Product")</f>
        <v/>
      </c>
    </row>
    <row r="26037">
      <c r="A26037" t="inlineStr">
        <is>
          <t>8809393400044</t>
        </is>
      </c>
      <c r="B26037" t="inlineStr">
        <is>
          <t>Skin79 Hydrating Facial Mask Animal Mask Mono 23g</t>
        </is>
      </c>
      <c r="C26037" t="inlineStr">
        <is>
          <t>Hydrating Mask</t>
        </is>
      </c>
      <c r="D26037" t="inlineStr">
        <is>
          <t>Skin79</t>
        </is>
      </c>
      <c r="E26037" t="n">
        <v>11.21</v>
      </c>
      <c r="F26037" t="n">
        <v>1</v>
      </c>
      <c r="G26037" t="n">
        <v>5</v>
      </c>
      <c r="H26037" s="5">
        <f>HYPERLINK("https://api.qogita.com/variants/link/8809393400044/", "View Product")</f>
        <v/>
      </c>
    </row>
    <row r="26038">
      <c r="A26038" t="inlineStr">
        <is>
          <t>8809393405186</t>
        </is>
      </c>
      <c r="B26038" t="inlineStr">
        <is>
          <t>Skin79 Water Biome Hydra Foam Cleanser Mild Facial Cleansing Foam for Sensitive Skin</t>
        </is>
      </c>
      <c r="C26038" t="inlineStr">
        <is>
          <t>Cleansing Foam</t>
        </is>
      </c>
      <c r="D26038" t="inlineStr">
        <is>
          <t>Skin79</t>
        </is>
      </c>
      <c r="E26038" t="n">
        <v>9.1</v>
      </c>
      <c r="F26038" t="n">
        <v>1</v>
      </c>
      <c r="G26038" t="n">
        <v>2</v>
      </c>
      <c r="H26038" s="5">
        <f>HYPERLINK("https://api.qogita.com/variants/link/8809393405186/", "View Product")</f>
        <v/>
      </c>
    </row>
    <row r="26039">
      <c r="A26039" t="inlineStr">
        <is>
          <t>8809393405476</t>
        </is>
      </c>
      <c r="B26039" t="inlineStr">
        <is>
          <t>Skin79 Brightening Skin Tonic Shine Yuja Toner - 200 Ml</t>
        </is>
      </c>
      <c r="C26039" t="inlineStr">
        <is>
          <t>Facial Spray</t>
        </is>
      </c>
      <c r="D26039" t="inlineStr">
        <is>
          <t>Skin79</t>
        </is>
      </c>
      <c r="E26039" t="n">
        <v>11.22</v>
      </c>
      <c r="F26039" t="n">
        <v>1</v>
      </c>
      <c r="G26039" t="n">
        <v>11</v>
      </c>
      <c r="H26039" s="5">
        <f>HYPERLINK("https://api.qogita.com/variants/link/8809393405476/", "View Product")</f>
        <v/>
      </c>
    </row>
    <row r="26040">
      <c r="A26040" t="inlineStr">
        <is>
          <t>8809393405483</t>
        </is>
      </c>
      <c r="B26040" t="inlineStr">
        <is>
          <t>Skin79 Brightening Skin Serum Shine Yuja Ampoule 50 Ml</t>
        </is>
      </c>
      <c r="C26040" t="inlineStr">
        <is>
          <t>Glow Serum</t>
        </is>
      </c>
      <c r="D26040" t="inlineStr">
        <is>
          <t>Skin79</t>
        </is>
      </c>
      <c r="E26040" t="n">
        <v>12.22</v>
      </c>
      <c r="F26040" t="n">
        <v>1</v>
      </c>
      <c r="G26040" t="n">
        <v>37</v>
      </c>
      <c r="H26040" s="5">
        <f>HYPERLINK("https://api.qogita.com/variants/link/8809393405483/", "View Product")</f>
        <v/>
      </c>
    </row>
    <row r="26041">
      <c r="A26041" t="inlineStr">
        <is>
          <t>8809416470016</t>
        </is>
      </c>
      <c r="B26041" t="inlineStr">
        <is>
          <t>Cosrx Advanced Snail 92 All In One Cream 100 Ml Regenerating Skin Cream</t>
        </is>
      </c>
      <c r="C26041" t="inlineStr">
        <is>
          <t>Face Cream</t>
        </is>
      </c>
      <c r="D26041" t="inlineStr">
        <is>
          <t>Cosrx</t>
        </is>
      </c>
      <c r="E26041" t="n">
        <v>13.37</v>
      </c>
      <c r="F26041" t="n">
        <v>1</v>
      </c>
      <c r="G26041" t="n">
        <v>56</v>
      </c>
      <c r="H26041" s="5">
        <f>HYPERLINK("https://api.qogita.com/variants/link/8809416470016/", "View Product")</f>
        <v/>
      </c>
    </row>
    <row r="26042">
      <c r="A26042" t="inlineStr">
        <is>
          <t>8809416470054</t>
        </is>
      </c>
      <c r="B26042" t="inlineStr">
        <is>
          <t>Cosrx Bha Blackhead Power Liquid 100 Ml Exfoliating Skin Tonic</t>
        </is>
      </c>
      <c r="C26042" t="inlineStr">
        <is>
          <t>Facial Scrub &amp; Peeling</t>
        </is>
      </c>
      <c r="D26042" t="inlineStr">
        <is>
          <t>Cosrx</t>
        </is>
      </c>
      <c r="E26042" t="n">
        <v>14.12</v>
      </c>
      <c r="F26042" t="n">
        <v>1</v>
      </c>
      <c r="G26042" t="n">
        <v>194</v>
      </c>
      <c r="H26042" s="5">
        <f>HYPERLINK("https://api.qogita.com/variants/link/8809416470054/", "View Product")</f>
        <v/>
      </c>
    </row>
    <row r="26043">
      <c r="A26043" t="inlineStr">
        <is>
          <t>8809416470559</t>
        </is>
      </c>
      <c r="B26043" t="inlineStr">
        <is>
          <t>Cosrx Oil Free Ultra Moisturizing Lotion With Birch Sap 100ml</t>
        </is>
      </c>
      <c r="C26043" t="inlineStr">
        <is>
          <t>Face Cream</t>
        </is>
      </c>
      <c r="D26043" t="inlineStr">
        <is>
          <t>Cosrx</t>
        </is>
      </c>
      <c r="E26043" t="n">
        <v>15.11</v>
      </c>
      <c r="F26043" t="n">
        <v>1</v>
      </c>
      <c r="G26043" t="n">
        <v>46</v>
      </c>
      <c r="H26043" s="5">
        <f>HYPERLINK("https://api.qogita.com/variants/link/8809416470559/", "View Product")</f>
        <v/>
      </c>
    </row>
    <row r="26044">
      <c r="A26044" t="inlineStr">
        <is>
          <t>8809420800441</t>
        </is>
      </c>
      <c r="B26044" t="inlineStr">
        <is>
          <t>Korean Skin Care Vegan Facial Mask Sheets Signature Piece Mask Pack Essence Moisturizer Face K Beauty</t>
        </is>
      </c>
      <c r="C26044" t="inlineStr">
        <is>
          <t>Sheet Mask</t>
        </is>
      </c>
      <c r="D26044" t="inlineStr">
        <is>
          <t>Barulab</t>
        </is>
      </c>
      <c r="E26044" t="n">
        <v>2.16</v>
      </c>
      <c r="F26044" t="n">
        <v>1</v>
      </c>
      <c r="G26044" t="n">
        <v>13</v>
      </c>
      <c r="H26044" s="5">
        <f>HYPERLINK("https://api.qogita.com/variants/link/8809420800441/", "View Product")</f>
        <v/>
      </c>
    </row>
    <row r="26045">
      <c r="A26045" t="inlineStr">
        <is>
          <t>8809448638408</t>
        </is>
      </c>
      <c r="B26045" t="inlineStr">
        <is>
          <t>Hanskin Real Complexion Hyaluronic Moisturizer with Hyaluronic Acid</t>
        </is>
      </c>
      <c r="C26045" t="inlineStr">
        <is>
          <t>Face Cream</t>
        </is>
      </c>
      <c r="D26045" t="inlineStr">
        <is>
          <t>Hanskin</t>
        </is>
      </c>
      <c r="E26045" t="n">
        <v>23.97</v>
      </c>
      <c r="F26045" t="n">
        <v>1</v>
      </c>
      <c r="G26045" t="n">
        <v>3</v>
      </c>
      <c r="H26045" s="5">
        <f>HYPERLINK("https://api.qogita.com/variants/link/8809448638408/", "View Product")</f>
        <v/>
      </c>
    </row>
    <row r="26046">
      <c r="A26046" t="inlineStr">
        <is>
          <t>8809455420935</t>
        </is>
      </c>
      <c r="B26046" t="inlineStr">
        <is>
          <t>NEEDLY Sleeping Lip Mask Enhancing Moisture Barrier Revitalizing Overnight Treatment</t>
        </is>
      </c>
      <c r="C26046" t="inlineStr">
        <is>
          <t>Lip Mask</t>
        </is>
      </c>
      <c r="D26046" t="inlineStr">
        <is>
          <t>Needly</t>
        </is>
      </c>
      <c r="E26046" t="n">
        <v>10.74</v>
      </c>
      <c r="F26046" t="n">
        <v>1</v>
      </c>
      <c r="G26046" t="n">
        <v>43</v>
      </c>
      <c r="H26046" s="5">
        <f>HYPERLINK("https://api.qogita.com/variants/link/8809455420935/", "View Product")</f>
        <v/>
      </c>
    </row>
    <row r="26047">
      <c r="A26047" t="inlineStr">
        <is>
          <t>8809455421062</t>
        </is>
      </c>
      <c r="B26047" t="inlineStr">
        <is>
          <t>NEEDLY Tint Lip Balm Boosts up the Natural Lip Color</t>
        </is>
      </c>
      <c r="C26047" t="inlineStr">
        <is>
          <t>Lip Balm</t>
        </is>
      </c>
      <c r="D26047" t="inlineStr">
        <is>
          <t>Needly</t>
        </is>
      </c>
      <c r="E26047" t="n">
        <v>11.21</v>
      </c>
      <c r="F26047" t="n">
        <v>1</v>
      </c>
      <c r="G26047" t="n">
        <v>26</v>
      </c>
      <c r="H26047" s="5">
        <f>HYPERLINK("https://api.qogita.com/variants/link/8809455421062/", "View Product")</f>
        <v/>
      </c>
    </row>
    <row r="26048">
      <c r="A26048" t="inlineStr">
        <is>
          <t>8809455421697</t>
        </is>
      </c>
      <c r="B26048" t="inlineStr">
        <is>
          <t>Needly Cicachid Relaxing Mist Facial Water</t>
        </is>
      </c>
      <c r="C26048" t="inlineStr">
        <is>
          <t>Facial Spray</t>
        </is>
      </c>
      <c r="D26048" t="inlineStr">
        <is>
          <t>Needly</t>
        </is>
      </c>
      <c r="E26048" t="n">
        <v>15.73</v>
      </c>
      <c r="F26048" t="n">
        <v>1</v>
      </c>
      <c r="G26048" t="n">
        <v>34</v>
      </c>
      <c r="H26048" s="5">
        <f>HYPERLINK("https://api.qogita.com/variants/link/8809455421697/", "View Product")</f>
        <v/>
      </c>
    </row>
    <row r="26049">
      <c r="A26049" t="inlineStr">
        <is>
          <t>8809455421765</t>
        </is>
      </c>
      <c r="B26049" t="inlineStr">
        <is>
          <t>NEEDLY Hand Cream Heavenly Musk 30 ml - Regenerating hand cream</t>
        </is>
      </c>
      <c r="C26049" t="inlineStr">
        <is>
          <t>Hand Cream</t>
        </is>
      </c>
      <c r="D26049" t="inlineStr">
        <is>
          <t>Needly</t>
        </is>
      </c>
      <c r="E26049" t="n">
        <v>9.26</v>
      </c>
      <c r="F26049" t="n">
        <v>1</v>
      </c>
      <c r="G26049" t="n">
        <v>6</v>
      </c>
      <c r="H26049" s="5">
        <f>HYPERLINK("https://api.qogita.com/variants/link/8809455421765/", "View Product")</f>
        <v/>
      </c>
    </row>
    <row r="26050">
      <c r="A26050" t="inlineStr">
        <is>
          <t>8809455422236</t>
        </is>
      </c>
      <c r="B26050" t="inlineStr">
        <is>
          <t>Needly Skin Peeling Tampons Daily Toner Pad 60 Pieces</t>
        </is>
      </c>
      <c r="C26050" t="inlineStr">
        <is>
          <t>Feminine Sanitary Supplies</t>
        </is>
      </c>
      <c r="D26050" t="inlineStr">
        <is>
          <t>Needly</t>
        </is>
      </c>
      <c r="E26050" t="n">
        <v>22.28</v>
      </c>
      <c r="F26050" t="n">
        <v>1</v>
      </c>
      <c r="G26050" t="n">
        <v>144</v>
      </c>
      <c r="H26050" s="5">
        <f>HYPERLINK("https://api.qogita.com/variants/link/8809455422236/", "View Product")</f>
        <v/>
      </c>
    </row>
    <row r="26051">
      <c r="A26051" t="inlineStr">
        <is>
          <t>8809479166451</t>
        </is>
      </c>
      <c r="B26051" t="inlineStr">
        <is>
          <t>MIZON Joyful Strawberry Sheet Mask - Expired 03-2023</t>
        </is>
      </c>
      <c r="C26051" t="inlineStr">
        <is>
          <t>Sheet Mask</t>
        </is>
      </c>
      <c r="D26051" t="inlineStr">
        <is>
          <t>Mizon</t>
        </is>
      </c>
      <c r="E26051" t="n">
        <v>3.13</v>
      </c>
      <c r="F26051" t="n">
        <v>1</v>
      </c>
      <c r="G26051" t="n">
        <v>4</v>
      </c>
      <c r="H26051" s="5">
        <f>HYPERLINK("https://api.qogita.com/variants/link/8809479166451/", "View Product")</f>
        <v/>
      </c>
    </row>
    <row r="26052">
      <c r="A26052" t="inlineStr">
        <is>
          <t>8809479166475</t>
        </is>
      </c>
      <c r="B26052" t="inlineStr">
        <is>
          <t>Joyful Time Essence Sheet Mask Vitamin</t>
        </is>
      </c>
      <c r="C26052" t="inlineStr">
        <is>
          <t>Sheet Mask</t>
        </is>
      </c>
      <c r="D26052" t="inlineStr">
        <is>
          <t>Mizon</t>
        </is>
      </c>
      <c r="E26052" t="n">
        <v>3.13</v>
      </c>
      <c r="F26052" t="n">
        <v>1</v>
      </c>
      <c r="G26052" t="n">
        <v>5</v>
      </c>
      <c r="H26052" s="5">
        <f>HYPERLINK("https://api.qogita.com/variants/link/8809479166475/", "View Product")</f>
        <v/>
      </c>
    </row>
    <row r="26053">
      <c r="A26053" t="inlineStr">
        <is>
          <t>8809479166529</t>
        </is>
      </c>
      <c r="B26053" t="inlineStr">
        <is>
          <t>Mizon Joyful Time Essence Mask Acai Berry</t>
        </is>
      </c>
      <c r="C26053" t="inlineStr">
        <is>
          <t>Sheet Mask</t>
        </is>
      </c>
      <c r="D26053" t="inlineStr">
        <is>
          <t>Mizon</t>
        </is>
      </c>
      <c r="E26053" t="n">
        <v>3.13</v>
      </c>
      <c r="F26053" t="n">
        <v>1</v>
      </c>
      <c r="G26053" t="n">
        <v>9</v>
      </c>
      <c r="H26053" s="5">
        <f>HYPERLINK("https://api.qogita.com/variants/link/8809479166529/", "View Product")</f>
        <v/>
      </c>
    </row>
    <row r="26054">
      <c r="A26054" t="inlineStr">
        <is>
          <t>8809486680049</t>
        </is>
      </c>
      <c r="B26054" t="inlineStr">
        <is>
          <t>Pyunkang Yul Face Moisture Cream Korean Skin Care Facial Moisturizer for Dry and Combination Skin Types 3.4 Fl oz</t>
        </is>
      </c>
      <c r="C26054" t="inlineStr">
        <is>
          <t>Face Cream</t>
        </is>
      </c>
      <c r="D26054" t="inlineStr">
        <is>
          <t>Pyunkang Yul</t>
        </is>
      </c>
      <c r="E26054" t="n">
        <v>21.21</v>
      </c>
      <c r="F26054" t="n">
        <v>1</v>
      </c>
      <c r="G26054" t="n">
        <v>21</v>
      </c>
      <c r="H26054" s="5">
        <f>HYPERLINK("https://api.qogita.com/variants/link/8809486680049/", "View Product")</f>
        <v/>
      </c>
    </row>
    <row r="26055">
      <c r="A26055" t="inlineStr">
        <is>
          <t>8809486680087</t>
        </is>
      </c>
      <c r="B26055" t="inlineStr">
        <is>
          <t>Pyunkang Yul Moisture Cream Korean Face Moisturizer for Dry Skin</t>
        </is>
      </c>
      <c r="C26055" t="inlineStr">
        <is>
          <t>Face Cream</t>
        </is>
      </c>
      <c r="D26055" t="inlineStr">
        <is>
          <t>Pyunkang Yul</t>
        </is>
      </c>
      <c r="E26055" t="n">
        <v>23.4</v>
      </c>
      <c r="F26055" t="n">
        <v>1</v>
      </c>
      <c r="G26055" t="n">
        <v>59</v>
      </c>
      <c r="H26055" s="5">
        <f>HYPERLINK("https://api.qogita.com/variants/link/8809486680087/", "View Product")</f>
        <v/>
      </c>
    </row>
    <row r="26056">
      <c r="A26056" t="inlineStr">
        <is>
          <t>8809486680360</t>
        </is>
      </c>
      <c r="B26056" t="inlineStr">
        <is>
          <t>Pyunkang Yul Cotton Pads 160 Pieces</t>
        </is>
      </c>
      <c r="C26056" t="inlineStr">
        <is>
          <t>Facial Cleansing Tools</t>
        </is>
      </c>
      <c r="D26056" t="inlineStr">
        <is>
          <t>Pyunkang Yul</t>
        </is>
      </c>
      <c r="E26056" t="n">
        <v>4.32</v>
      </c>
      <c r="F26056" t="n">
        <v>1</v>
      </c>
      <c r="G26056" t="n">
        <v>3</v>
      </c>
      <c r="H26056" s="5">
        <f>HYPERLINK("https://api.qogita.com/variants/link/8809486680360/", "View Product")</f>
        <v/>
      </c>
    </row>
    <row r="26057">
      <c r="A26057" t="inlineStr">
        <is>
          <t>8809486680698</t>
        </is>
      </c>
      <c r="B26057" t="inlineStr">
        <is>
          <t>Pyunkang Yul Cleansing Foam Korean Facial Wash for All Skin Types</t>
        </is>
      </c>
      <c r="C26057" t="inlineStr">
        <is>
          <t>Cleansing Foam</t>
        </is>
      </c>
      <c r="D26057" t="inlineStr">
        <is>
          <t>Pyunkang Yul</t>
        </is>
      </c>
      <c r="E26057" t="n">
        <v>10.64</v>
      </c>
      <c r="F26057" t="n">
        <v>1</v>
      </c>
      <c r="G26057" t="n">
        <v>5</v>
      </c>
      <c r="H26057" s="5">
        <f>HYPERLINK("https://api.qogita.com/variants/link/8809486680698/", "View Product")</f>
        <v/>
      </c>
    </row>
    <row r="26058">
      <c r="A26058" t="inlineStr">
        <is>
          <t>8809503310379</t>
        </is>
      </c>
      <c r="B26058" t="inlineStr">
        <is>
          <t>Reclar Galvanic Iron With Re-Merge Led Therapy</t>
        </is>
      </c>
      <c r="C26058" t="inlineStr">
        <is>
          <t>Facial Massage</t>
        </is>
      </c>
      <c r="D26058" t="inlineStr">
        <is>
          <t>Reclar</t>
        </is>
      </c>
      <c r="E26058" t="n">
        <v>494.29</v>
      </c>
      <c r="F26058" t="n">
        <v>1</v>
      </c>
      <c r="G26058" t="n">
        <v>4</v>
      </c>
      <c r="H26058" s="5">
        <f>HYPERLINK("https://api.qogita.com/variants/link/8809503310379/", "View Product")</f>
        <v/>
      </c>
    </row>
    <row r="26059">
      <c r="A26059" t="inlineStr">
        <is>
          <t>8809505030626</t>
        </is>
      </c>
      <c r="B26059" t="inlineStr">
        <is>
          <t>[Abib] Protective Lip Balm Block Stick 3.3g</t>
        </is>
      </c>
      <c r="C26059" t="inlineStr">
        <is>
          <t>Medicated Treatments</t>
        </is>
      </c>
      <c r="D26059" t="inlineStr">
        <is>
          <t>Abib</t>
        </is>
      </c>
      <c r="E26059" t="n">
        <v>6.56</v>
      </c>
      <c r="F26059" t="n">
        <v>1</v>
      </c>
      <c r="G26059" t="n">
        <v>2</v>
      </c>
      <c r="H26059" s="5">
        <f>HYPERLINK("https://api.qogita.com/variants/link/8809505030626/", "View Product")</f>
        <v/>
      </c>
    </row>
    <row r="26060">
      <c r="A26060" t="inlineStr">
        <is>
          <t>8809525242764</t>
        </is>
      </c>
      <c r="B26060" t="inlineStr">
        <is>
          <t>Some By Mi Aha.Bha.Pha 30 Days Miracle Serum - 50ml</t>
        </is>
      </c>
      <c r="C26060" t="inlineStr">
        <is>
          <t>Glow Serum</t>
        </is>
      </c>
      <c r="D26060" t="inlineStr">
        <is>
          <t>Some By Mi</t>
        </is>
      </c>
      <c r="E26060" t="n">
        <v>15.03</v>
      </c>
      <c r="F26060" t="n">
        <v>1</v>
      </c>
      <c r="G26060" t="n">
        <v>2</v>
      </c>
      <c r="H26060" s="5">
        <f>HYPERLINK("https://api.qogita.com/variants/link/8809525242764/", "View Product")</f>
        <v/>
      </c>
    </row>
    <row r="26061">
      <c r="A26061" t="inlineStr">
        <is>
          <t>8809525246014</t>
        </is>
      </c>
      <c r="B26061" t="inlineStr">
        <is>
          <t>Beauty Of Joseon Centella Asiatica Calming Mask Hydrating And Soothing Face Mask 25 Ml</t>
        </is>
      </c>
      <c r="C26061" t="inlineStr">
        <is>
          <t>Sheet Mask</t>
        </is>
      </c>
      <c r="D26061" t="inlineStr">
        <is>
          <t>Beauty Of Joseon</t>
        </is>
      </c>
      <c r="E26061" t="n">
        <v>2.31</v>
      </c>
      <c r="F26061" t="n">
        <v>1</v>
      </c>
      <c r="G26061" t="n">
        <v>16</v>
      </c>
      <c r="H26061" s="5">
        <f>HYPERLINK("https://api.qogita.com/variants/link/8809525246014/", "View Product")</f>
        <v/>
      </c>
    </row>
    <row r="26062">
      <c r="A26062" t="inlineStr">
        <is>
          <t>8809532220885</t>
        </is>
      </c>
      <c r="B26062" t="inlineStr">
        <is>
          <t>Haruharu Wonder Black Rice Hyaluronic Essence - 50ml</t>
        </is>
      </c>
      <c r="C26062" t="inlineStr">
        <is>
          <t>Hyaluronic Acid Serum</t>
        </is>
      </c>
      <c r="D26062" t="inlineStr">
        <is>
          <t>Haruharu Wonder</t>
        </is>
      </c>
      <c r="E26062" t="n">
        <v>11.34</v>
      </c>
      <c r="F26062" t="n">
        <v>1</v>
      </c>
      <c r="G26062" t="n">
        <v>4</v>
      </c>
      <c r="H26062" s="5">
        <f>HYPERLINK("https://api.qogita.com/variants/link/8809532220885/", "View Product")</f>
        <v/>
      </c>
    </row>
    <row r="26063">
      <c r="A26063" t="inlineStr">
        <is>
          <t>8809532221691</t>
        </is>
      </c>
      <c r="B26063" t="inlineStr">
        <is>
          <t>Haruharu Wonder Black Rice Pure Mineral Relief Daily Sunscreen 50ml - For All Skin Types Including Sensitive Skin</t>
        </is>
      </c>
      <c r="C26063" t="inlineStr">
        <is>
          <t>Face Sun Protection</t>
        </is>
      </c>
      <c r="D26063" t="inlineStr">
        <is>
          <t>Haruharu Wonder</t>
        </is>
      </c>
      <c r="E26063" t="n">
        <v>19.23</v>
      </c>
      <c r="F26063" t="n">
        <v>1</v>
      </c>
      <c r="G26063" t="n">
        <v>3</v>
      </c>
      <c r="H26063" s="5">
        <f>HYPERLINK("https://api.qogita.com/variants/link/8809532221691/", "View Product")</f>
        <v/>
      </c>
    </row>
    <row r="26064">
      <c r="A26064" t="inlineStr">
        <is>
          <t>8809541199844</t>
        </is>
      </c>
      <c r="B26064" t="inlineStr">
        <is>
          <t>MIZON Snail Silky Deep Cleansing Foam with Baking Powder Particles 5.29oz</t>
        </is>
      </c>
      <c r="C26064" t="inlineStr">
        <is>
          <t>Cleansing Foam</t>
        </is>
      </c>
      <c r="D26064" t="inlineStr">
        <is>
          <t>Mizon</t>
        </is>
      </c>
      <c r="E26064" t="n">
        <v>12.08</v>
      </c>
      <c r="F26064" t="n">
        <v>1</v>
      </c>
      <c r="G26064" t="n">
        <v>10</v>
      </c>
      <c r="H26064" s="5">
        <f>HYPERLINK("https://api.qogita.com/variants/link/8809541199844/", "View Product")</f>
        <v/>
      </c>
    </row>
    <row r="26065">
      <c r="A26065" t="inlineStr">
        <is>
          <t>8809559624031</t>
        </is>
      </c>
      <c r="B26065" t="inlineStr">
        <is>
          <t>Vt Cosmetics Cica Spot Patch Patches For Pimples - 48 Pieces</t>
        </is>
      </c>
      <c r="C26065" t="inlineStr">
        <is>
          <t>Pimple &amp; Blackhead Treatments</t>
        </is>
      </c>
      <c r="D26065" t="inlineStr">
        <is>
          <t>Vt Cosmetics</t>
        </is>
      </c>
      <c r="E26065" t="n">
        <v>6.22</v>
      </c>
      <c r="F26065" t="n">
        <v>1</v>
      </c>
      <c r="G26065" t="n">
        <v>20</v>
      </c>
      <c r="H26065" s="5">
        <f>HYPERLINK("https://api.qogita.com/variants/link/8809559624031/", "View Product")</f>
        <v/>
      </c>
    </row>
    <row r="26066">
      <c r="A26066" t="inlineStr">
        <is>
          <t>8809562558477</t>
        </is>
      </c>
      <c r="B26066" t="inlineStr">
        <is>
          <t>Abib Glutathiosome Dark Spot Pad Vita Touch 60 Pads 4.90 Fl Oz</t>
        </is>
      </c>
      <c r="C26066" t="inlineStr">
        <is>
          <t>Anti-Pigmentation Spot Cream</t>
        </is>
      </c>
      <c r="D26066" t="inlineStr">
        <is>
          <t>Abib</t>
        </is>
      </c>
      <c r="E26066" t="n">
        <v>18.44</v>
      </c>
      <c r="F26066" t="n">
        <v>1</v>
      </c>
      <c r="G26066" t="n">
        <v>6</v>
      </c>
      <c r="H26066" s="5">
        <f>HYPERLINK("https://api.qogita.com/variants/link/8809562558477/", "View Product")</f>
        <v/>
      </c>
    </row>
    <row r="26067">
      <c r="A26067" t="inlineStr">
        <is>
          <t>8809562558514</t>
        </is>
      </c>
      <c r="B26067" t="inlineStr">
        <is>
          <t>Abib Glutathiosome Dark Spot Serum Vita Drop 1.69 Fl.Oz - Korean Skincare</t>
        </is>
      </c>
      <c r="C26067" t="inlineStr">
        <is>
          <t>Vitamin Serum</t>
        </is>
      </c>
      <c r="D26067" t="inlineStr">
        <is>
          <t>Abib</t>
        </is>
      </c>
      <c r="E26067" t="n">
        <v>20.27</v>
      </c>
      <c r="F26067" t="n">
        <v>1</v>
      </c>
      <c r="G26067" t="n">
        <v>6</v>
      </c>
      <c r="H26067" s="5">
        <f>HYPERLINK("https://api.qogita.com/variants/link/8809562558514/", "View Product")</f>
        <v/>
      </c>
    </row>
    <row r="26068">
      <c r="A26068" t="inlineStr">
        <is>
          <t>8809562559313</t>
        </is>
      </c>
      <c r="B26068" t="inlineStr">
        <is>
          <t>Abib Collagen Gel Mask Heartleaf Jelly 4 Sheets Soothing Korean Vegan</t>
        </is>
      </c>
      <c r="C26068" t="inlineStr">
        <is>
          <t>Sheet Mask</t>
        </is>
      </c>
      <c r="D26068" t="inlineStr">
        <is>
          <t>Abib</t>
        </is>
      </c>
      <c r="E26068" t="n">
        <v>11.77</v>
      </c>
      <c r="F26068" t="n">
        <v>1</v>
      </c>
      <c r="G26068" t="n">
        <v>6</v>
      </c>
      <c r="H26068" s="5">
        <f>HYPERLINK("https://api.qogita.com/variants/link/8809562559313/", "View Product")</f>
        <v/>
      </c>
    </row>
    <row r="26069">
      <c r="A26069" t="inlineStr">
        <is>
          <t>8809563100149</t>
        </is>
      </c>
      <c r="B26069" t="inlineStr">
        <is>
          <t>Purito Centella Green Level Buffect Serum 60ml 2 Fl Oz for Face</t>
        </is>
      </c>
      <c r="C26069" t="inlineStr">
        <is>
          <t>Hydrating Serum</t>
        </is>
      </c>
      <c r="D26069" t="inlineStr">
        <is>
          <t>Purito</t>
        </is>
      </c>
      <c r="E26069" t="n">
        <v>19.21</v>
      </c>
      <c r="F26069" t="n">
        <v>1</v>
      </c>
      <c r="G26069" t="n">
        <v>6</v>
      </c>
      <c r="H26069" s="5">
        <f>HYPERLINK("https://api.qogita.com/variants/link/8809563100149/", "View Product")</f>
        <v/>
      </c>
    </row>
    <row r="26070">
      <c r="A26070" t="inlineStr">
        <is>
          <t>8809563100156</t>
        </is>
      </c>
      <c r="B26070" t="inlineStr">
        <is>
          <t>Purito Centella Green Level Eye Cream Nourishing Eye Cream 30ml</t>
        </is>
      </c>
      <c r="C26070" t="inlineStr">
        <is>
          <t>Eye Cream</t>
        </is>
      </c>
      <c r="D26070" t="inlineStr">
        <is>
          <t>Purito</t>
        </is>
      </c>
      <c r="E26070" t="n">
        <v>15.35</v>
      </c>
      <c r="F26070" t="n">
        <v>1</v>
      </c>
      <c r="G26070" t="n">
        <v>36</v>
      </c>
      <c r="H26070" s="5">
        <f>HYPERLINK("https://api.qogita.com/variants/link/8809563100156/", "View Product")</f>
        <v/>
      </c>
    </row>
    <row r="26071">
      <c r="A26071" t="inlineStr">
        <is>
          <t>8809563100316</t>
        </is>
      </c>
      <c r="B26071" t="inlineStr">
        <is>
          <t>Purito Centella Unscented Serum - 60ml</t>
        </is>
      </c>
      <c r="C26071" t="inlineStr">
        <is>
          <t>Hydrating Serum</t>
        </is>
      </c>
      <c r="D26071" t="inlineStr">
        <is>
          <t>Purito</t>
        </is>
      </c>
      <c r="E26071" t="n">
        <v>18.47</v>
      </c>
      <c r="F26071" t="n">
        <v>1</v>
      </c>
      <c r="G26071" t="n">
        <v>2</v>
      </c>
      <c r="H26071" s="5">
        <f>HYPERLINK("https://api.qogita.com/variants/link/8809563100316/", "View Product")</f>
        <v/>
      </c>
    </row>
    <row r="26072">
      <c r="A26072" t="inlineStr">
        <is>
          <t>8809563100828</t>
        </is>
      </c>
      <c r="B26072" t="inlineStr">
        <is>
          <t>PURITO Centella Unscented Mini Gift Set</t>
        </is>
      </c>
      <c r="C26072" t="inlineStr">
        <is>
          <t>Facial Care Sets</t>
        </is>
      </c>
      <c r="D26072" t="inlineStr">
        <is>
          <t>Purito</t>
        </is>
      </c>
      <c r="E26072" t="n">
        <v>17.07</v>
      </c>
      <c r="F26072" t="n">
        <v>1</v>
      </c>
      <c r="G26072" t="n">
        <v>5</v>
      </c>
      <c r="H26072" s="5">
        <f>HYPERLINK("https://api.qogita.com/variants/link/8809563100828/", "View Product")</f>
        <v/>
      </c>
    </row>
    <row r="26073">
      <c r="A26073" t="inlineStr">
        <is>
          <t>8809563101023</t>
        </is>
      </c>
      <c r="B26073" t="inlineStr">
        <is>
          <t>Purito Centella Unscented Eye Cream - 30ml</t>
        </is>
      </c>
      <c r="C26073" t="inlineStr">
        <is>
          <t>Eye Cream</t>
        </is>
      </c>
      <c r="D26073" t="inlineStr">
        <is>
          <t>Purito</t>
        </is>
      </c>
      <c r="E26073" t="n">
        <v>15.48</v>
      </c>
      <c r="F26073" t="n">
        <v>1</v>
      </c>
      <c r="G26073" t="n">
        <v>18</v>
      </c>
      <c r="H26073" s="5">
        <f>HYPERLINK("https://api.qogita.com/variants/link/8809563101023/", "View Product")</f>
        <v/>
      </c>
    </row>
    <row r="26074">
      <c r="A26074" t="inlineStr">
        <is>
          <t>8809563102129</t>
        </is>
      </c>
      <c r="B26074" t="inlineStr">
        <is>
          <t>Purito Seoul Dermide Relief Barrier Moisturizer 100ml</t>
        </is>
      </c>
      <c r="C26074" t="inlineStr">
        <is>
          <t>Face Cream</t>
        </is>
      </c>
      <c r="D26074" t="inlineStr">
        <is>
          <t>Purito</t>
        </is>
      </c>
      <c r="E26074" t="n">
        <v>18.03</v>
      </c>
      <c r="F26074" t="n">
        <v>1</v>
      </c>
      <c r="G26074" t="n">
        <v>7</v>
      </c>
      <c r="H26074" s="5">
        <f>HYPERLINK("https://api.qogita.com/variants/link/8809563102129/", "View Product")</f>
        <v/>
      </c>
    </row>
    <row r="26075">
      <c r="A26075" t="inlineStr">
        <is>
          <t>8809563102464</t>
        </is>
      </c>
      <c r="B26075" t="inlineStr">
        <is>
          <t>Purito Centella Green Level Recovery Cream 50ml 1.7 Fl.Oz Cica Face Cream</t>
        </is>
      </c>
      <c r="C26075" t="inlineStr">
        <is>
          <t>Face Cream</t>
        </is>
      </c>
      <c r="D26075" t="inlineStr">
        <is>
          <t>Purito</t>
        </is>
      </c>
      <c r="E26075" t="n">
        <v>18.77</v>
      </c>
      <c r="F26075" t="n">
        <v>1</v>
      </c>
      <c r="G26075" t="n">
        <v>23</v>
      </c>
      <c r="H26075" s="5">
        <f>HYPERLINK("https://api.qogita.com/variants/link/8809563102464/", "View Product")</f>
        <v/>
      </c>
    </row>
    <row r="26076">
      <c r="A26076" t="inlineStr">
        <is>
          <t>8809563102471</t>
        </is>
      </c>
      <c r="B26076" t="inlineStr">
        <is>
          <t>Purito Centella Unscented Recovery Cream - 50ml</t>
        </is>
      </c>
      <c r="C26076" t="inlineStr">
        <is>
          <t>Face Cream</t>
        </is>
      </c>
      <c r="D26076" t="inlineStr">
        <is>
          <t>Purito</t>
        </is>
      </c>
      <c r="E26076" t="n">
        <v>16.84</v>
      </c>
      <c r="F26076" t="n">
        <v>1</v>
      </c>
      <c r="G26076" t="n">
        <v>5</v>
      </c>
      <c r="H26076" s="5">
        <f>HYPERLINK("https://api.qogita.com/variants/link/8809563102471/", "View Product")</f>
        <v/>
      </c>
    </row>
    <row r="26077">
      <c r="A26077" t="inlineStr">
        <is>
          <t>8809563102792</t>
        </is>
      </c>
      <c r="B26077" t="inlineStr">
        <is>
          <t>PURITO SEOUL From Green Avocado Cleansing Balm 100ml</t>
        </is>
      </c>
      <c r="C26077" t="inlineStr">
        <is>
          <t>Cleansing Cream</t>
        </is>
      </c>
      <c r="D26077" t="inlineStr">
        <is>
          <t>Purito Seoul</t>
        </is>
      </c>
      <c r="E26077" t="n">
        <v>19.8</v>
      </c>
      <c r="F26077" t="n">
        <v>1</v>
      </c>
      <c r="G26077" t="n">
        <v>14</v>
      </c>
      <c r="H26077" s="5">
        <f>HYPERLINK("https://api.qogita.com/variants/link/8809563102792/", "View Product")</f>
        <v/>
      </c>
    </row>
    <row r="26078">
      <c r="A26078" t="inlineStr">
        <is>
          <t>8809563103072</t>
        </is>
      </c>
      <c r="B26078" t="inlineStr">
        <is>
          <t>PURITO SEOUL Wonder Releaf Centella Daily Sun Lotion 60ml SPF50 PA++++</t>
        </is>
      </c>
      <c r="C26078" t="inlineStr">
        <is>
          <t>Face Sun Protection</t>
        </is>
      </c>
      <c r="D26078" t="inlineStr">
        <is>
          <t>Purito Seoul</t>
        </is>
      </c>
      <c r="E26078" t="n">
        <v>22.64</v>
      </c>
      <c r="F26078" t="n">
        <v>1</v>
      </c>
      <c r="G26078" t="n">
        <v>9</v>
      </c>
      <c r="H26078" s="5">
        <f>HYPERLINK("https://api.qogita.com/variants/link/8809563103072/", "View Product")</f>
        <v/>
      </c>
    </row>
    <row r="26079">
      <c r="A26079" t="inlineStr">
        <is>
          <t>8809566990426</t>
        </is>
      </c>
      <c r="B26079" t="inlineStr">
        <is>
          <t>BENTON Goodbye Redness Centella Gel 46W * 46L * 164H (mm)</t>
        </is>
      </c>
      <c r="C26079" t="inlineStr">
        <is>
          <t>Facial Care Sets</t>
        </is>
      </c>
      <c r="D26079" t="inlineStr">
        <is>
          <t>Benton</t>
        </is>
      </c>
      <c r="E26079" t="n">
        <v>19.2</v>
      </c>
      <c r="F26079" t="n">
        <v>1</v>
      </c>
      <c r="G26079" t="n">
        <v>5</v>
      </c>
      <c r="H26079" s="5">
        <f>HYPERLINK("https://api.qogita.com/variants/link/8809566990426/", "View Product")</f>
        <v/>
      </c>
    </row>
    <row r="26080">
      <c r="A26080" t="inlineStr">
        <is>
          <t>8809566992949</t>
        </is>
      </c>
      <c r="B26080" t="inlineStr">
        <is>
          <t>Miin Cosmetics Benton Fermentation Starter Kit</t>
        </is>
      </c>
      <c r="C26080" t="inlineStr">
        <is>
          <t>Facial Care Sets</t>
        </is>
      </c>
      <c r="D26080" t="inlineStr">
        <is>
          <t>Miin Cosmetics</t>
        </is>
      </c>
      <c r="E26080" t="n">
        <v>16.61</v>
      </c>
      <c r="F26080" t="n">
        <v>1</v>
      </c>
      <c r="G26080" t="n">
        <v>5</v>
      </c>
      <c r="H26080" s="5">
        <f>HYPERLINK("https://api.qogita.com/variants/link/8809566992949/", "View Product")</f>
        <v/>
      </c>
    </row>
    <row r="26081">
      <c r="A26081" t="inlineStr">
        <is>
          <t>8809572890291</t>
        </is>
      </c>
      <c r="B26081" t="inlineStr">
        <is>
          <t>Dearklairs Midnight Blue Calming Cream for Oily, Troubled, and Sensitive Skin</t>
        </is>
      </c>
      <c r="C26081" t="inlineStr">
        <is>
          <t>Night Cream</t>
        </is>
      </c>
      <c r="D26081" t="inlineStr">
        <is>
          <t>Dear Klairs</t>
        </is>
      </c>
      <c r="E26081" t="n">
        <v>22.81</v>
      </c>
      <c r="F26081" t="n">
        <v>1</v>
      </c>
      <c r="G26081" t="n">
        <v>10</v>
      </c>
      <c r="H26081" s="5">
        <f>HYPERLINK("https://api.qogita.com/variants/link/8809572890291/", "View Product")</f>
        <v/>
      </c>
    </row>
    <row r="26082">
      <c r="A26082" t="inlineStr">
        <is>
          <t>8809572891359</t>
        </is>
      </c>
      <c r="B26082" t="inlineStr">
        <is>
          <t>DearKlairs Skincare Trial Kits 4 Minis Cleansing Oil Cleanser Toner Cream Travel Must Haves</t>
        </is>
      </c>
      <c r="C26082" t="inlineStr">
        <is>
          <t>Travel Sets</t>
        </is>
      </c>
      <c r="D26082" t="inlineStr">
        <is>
          <t>Dear Klairs</t>
        </is>
      </c>
      <c r="E26082" t="n">
        <v>20.59</v>
      </c>
      <c r="F26082" t="n">
        <v>1</v>
      </c>
      <c r="G26082" t="n">
        <v>3</v>
      </c>
      <c r="H26082" s="5">
        <f>HYPERLINK("https://api.qogita.com/variants/link/8809572891359/", "View Product")</f>
        <v/>
      </c>
    </row>
    <row r="26083">
      <c r="A26083" t="inlineStr">
        <is>
          <t>8809576261141</t>
        </is>
      </c>
      <c r="B26083" t="inlineStr">
        <is>
          <t>Skin1004 Madagascar Centella Toning Toner 210ml</t>
        </is>
      </c>
      <c r="C26083" t="inlineStr">
        <is>
          <t>Face Lotion</t>
        </is>
      </c>
      <c r="D26083" t="inlineStr">
        <is>
          <t>Skin1004</t>
        </is>
      </c>
      <c r="E26083" t="n">
        <v>11.41</v>
      </c>
      <c r="F26083" t="n">
        <v>1</v>
      </c>
      <c r="G26083" t="n">
        <v>29</v>
      </c>
      <c r="H26083" s="5">
        <f>HYPERLINK("https://api.qogita.com/variants/link/8809576261141/", "View Product")</f>
        <v/>
      </c>
    </row>
    <row r="26084">
      <c r="A26084" t="inlineStr">
        <is>
          <t>8809576261301</t>
        </is>
      </c>
      <c r="B26084" t="inlineStr">
        <is>
          <t>SKIN1004 Madagascar Centella Air-fit Suncream Plus 1.69 fl. oz (50ml)</t>
        </is>
      </c>
      <c r="C26084" t="inlineStr">
        <is>
          <t>Face Sun Protection</t>
        </is>
      </c>
      <c r="D26084" t="inlineStr">
        <is>
          <t>Skin1004</t>
        </is>
      </c>
      <c r="E26084" t="n">
        <v>14.11</v>
      </c>
      <c r="F26084" t="n">
        <v>1</v>
      </c>
      <c r="G26084" t="n">
        <v>44</v>
      </c>
      <c r="H26084" s="5">
        <f>HYPERLINK("https://api.qogita.com/variants/link/8809576261301/", "View Product")</f>
        <v/>
      </c>
    </row>
    <row r="26085">
      <c r="A26085" t="inlineStr">
        <is>
          <t>8809576261417</t>
        </is>
      </c>
      <c r="B26085" t="inlineStr">
        <is>
          <t>SKIN1004 Centella Tone Brightening Serum 30ml</t>
        </is>
      </c>
      <c r="C26085" t="inlineStr">
        <is>
          <t>Glow Serum</t>
        </is>
      </c>
      <c r="D26085" t="inlineStr">
        <is>
          <t>Skin1004</t>
        </is>
      </c>
      <c r="E26085" t="n">
        <v>8.19</v>
      </c>
      <c r="F26085" t="n">
        <v>1</v>
      </c>
      <c r="G26085" t="n">
        <v>40</v>
      </c>
      <c r="H26085" s="5">
        <f>HYPERLINK("https://api.qogita.com/variants/link/8809576261417/", "View Product")</f>
        <v/>
      </c>
    </row>
    <row r="26086">
      <c r="A26086" t="inlineStr">
        <is>
          <t>8809576261486</t>
        </is>
      </c>
      <c r="B26086" t="inlineStr">
        <is>
          <t>Skin1004 Madagascar Centella Hyalu-Cica First Ampoule 100ml</t>
        </is>
      </c>
      <c r="C26086" t="inlineStr">
        <is>
          <t>Ampoules</t>
        </is>
      </c>
      <c r="D26086" t="inlineStr">
        <is>
          <t>Skin1004</t>
        </is>
      </c>
      <c r="E26086" t="n">
        <v>17.39</v>
      </c>
      <c r="F26086" t="n">
        <v>1</v>
      </c>
      <c r="G26086" t="n">
        <v>6</v>
      </c>
      <c r="H26086" s="5">
        <f>HYPERLINK("https://api.qogita.com/variants/link/8809576261486/", "View Product")</f>
        <v/>
      </c>
    </row>
    <row r="26087">
      <c r="A26087" t="inlineStr">
        <is>
          <t>8809576261691</t>
        </is>
      </c>
      <c r="B26087" t="inlineStr">
        <is>
          <t>SKIN1004 Spot Cover Patch 22pcs</t>
        </is>
      </c>
      <c r="C26087" t="inlineStr">
        <is>
          <t>Pimple &amp; Blackhead Treatments</t>
        </is>
      </c>
      <c r="D26087" t="inlineStr">
        <is>
          <t>Skin1004</t>
        </is>
      </c>
      <c r="E26087" t="n">
        <v>4.45</v>
      </c>
      <c r="F26087" t="n">
        <v>1</v>
      </c>
      <c r="G26087" t="n">
        <v>191</v>
      </c>
      <c r="H26087" s="5">
        <f>HYPERLINK("https://api.qogita.com/variants/link/8809576261691/", "View Product")</f>
        <v/>
      </c>
    </row>
    <row r="26088">
      <c r="A26088" t="inlineStr">
        <is>
          <t>8809576261882</t>
        </is>
      </c>
      <c r="B26088" t="inlineStr">
        <is>
          <t>Skin1004 Madagascar Centella Tea-Trica Relief Ampoule - 30 Ml</t>
        </is>
      </c>
      <c r="C26088" t="inlineStr">
        <is>
          <t>Ampoules</t>
        </is>
      </c>
      <c r="D26088" t="inlineStr">
        <is>
          <t>Skin1004</t>
        </is>
      </c>
      <c r="E26088" t="n">
        <v>6.95</v>
      </c>
      <c r="F26088" t="n">
        <v>1</v>
      </c>
      <c r="G26088" t="n">
        <v>35</v>
      </c>
      <c r="H26088" s="5">
        <f>HYPERLINK("https://api.qogita.com/variants/link/8809576261882/", "View Product")</f>
        <v/>
      </c>
    </row>
    <row r="26089">
      <c r="A26089" t="inlineStr">
        <is>
          <t>8809581450936</t>
        </is>
      </c>
      <c r="B26089" t="inlineStr">
        <is>
          <t>Missha Bee Pollen Renew Cream 50ml</t>
        </is>
      </c>
      <c r="C26089" t="inlineStr">
        <is>
          <t>Face Cream</t>
        </is>
      </c>
      <c r="D26089" t="inlineStr">
        <is>
          <t>Missha</t>
        </is>
      </c>
      <c r="E26089" t="n">
        <v>23.32</v>
      </c>
      <c r="F26089" t="n">
        <v>1</v>
      </c>
      <c r="G26089" t="n">
        <v>2</v>
      </c>
      <c r="H26089" s="5">
        <f>HYPERLINK("https://api.qogita.com/variants/link/8809581450936/", "View Product")</f>
        <v/>
      </c>
    </row>
    <row r="26090">
      <c r="A26090" t="inlineStr">
        <is>
          <t>8809581452398</t>
        </is>
      </c>
      <c r="B26090" t="inlineStr">
        <is>
          <t>Missha All Around Safe Block Essence Sun SPF45 PA+++ 50ml Sun Screen</t>
        </is>
      </c>
      <c r="C26090" t="inlineStr">
        <is>
          <t>Face Sun Protection</t>
        </is>
      </c>
      <c r="D26090" t="inlineStr">
        <is>
          <t>Missha</t>
        </is>
      </c>
      <c r="E26090" t="n">
        <v>10.98</v>
      </c>
      <c r="F26090" t="n">
        <v>1</v>
      </c>
      <c r="G26090" t="n">
        <v>16</v>
      </c>
      <c r="H26090" s="5">
        <f>HYPERLINK("https://api.qogita.com/variants/link/8809581452398/", "View Product")</f>
        <v/>
      </c>
    </row>
    <row r="26091">
      <c r="A26091" t="inlineStr">
        <is>
          <t>8809581471368</t>
        </is>
      </c>
      <c r="B26091" t="inlineStr">
        <is>
          <t>Missha Dare Rouge Velvet Matte Lipstick - 3.5 G</t>
        </is>
      </c>
      <c r="C26091" t="inlineStr">
        <is>
          <t>Lipstick</t>
        </is>
      </c>
      <c r="D26091" t="inlineStr">
        <is>
          <t>Missha</t>
        </is>
      </c>
      <c r="E26091" t="n">
        <v>13.88</v>
      </c>
      <c r="F26091" t="n">
        <v>1</v>
      </c>
      <c r="G26091" t="n">
        <v>5</v>
      </c>
      <c r="H26091" s="5">
        <f>HYPERLINK("https://api.qogita.com/variants/link/8809581471368/", "View Product")</f>
        <v/>
      </c>
    </row>
    <row r="26092">
      <c r="A26092" t="inlineStr">
        <is>
          <t>8809581488465</t>
        </is>
      </c>
      <c r="B26092" t="inlineStr">
        <is>
          <t>Missha Dare Rouge Velvet Matte Lipstick - 3.5 G</t>
        </is>
      </c>
      <c r="C26092" t="inlineStr">
        <is>
          <t>Lipstick</t>
        </is>
      </c>
      <c r="D26092" t="inlineStr">
        <is>
          <t>Missha</t>
        </is>
      </c>
      <c r="E26092" t="n">
        <v>13.88</v>
      </c>
      <c r="F26092" t="n">
        <v>1</v>
      </c>
      <c r="G26092" t="n">
        <v>4</v>
      </c>
      <c r="H26092" s="5">
        <f>HYPERLINK("https://api.qogita.com/variants/link/8809581488465/", "View Product")</f>
        <v/>
      </c>
    </row>
    <row r="26093">
      <c r="A26093" t="inlineStr">
        <is>
          <t>8809587521098</t>
        </is>
      </c>
      <c r="B26093" t="inlineStr">
        <is>
          <t>Mizon Collagen Power Lifting Toner 120ml Facial Toner - Korean Import</t>
        </is>
      </c>
      <c r="C26093" t="inlineStr">
        <is>
          <t>Anti-Aging Facial Care</t>
        </is>
      </c>
      <c r="D26093" t="inlineStr">
        <is>
          <t>Mizon</t>
        </is>
      </c>
      <c r="E26093" t="n">
        <v>18.77</v>
      </c>
      <c r="F26093" t="n">
        <v>1</v>
      </c>
      <c r="G26093" t="n">
        <v>4</v>
      </c>
      <c r="H26093" s="5">
        <f>HYPERLINK("https://api.qogita.com/variants/link/8809587521098/", "View Product")</f>
        <v/>
      </c>
    </row>
    <row r="26094">
      <c r="A26094" t="inlineStr">
        <is>
          <t>8809595050610</t>
        </is>
      </c>
      <c r="B26094" t="inlineStr">
        <is>
          <t>[I'm From] Mugwort Essence 5.4 Fl Oz Soothing and Hydrating Toner for All Skin Types - PETA Approved</t>
        </is>
      </c>
      <c r="C26094" t="inlineStr">
        <is>
          <t>Facial Spray</t>
        </is>
      </c>
      <c r="D26094" t="inlineStr">
        <is>
          <t>I'M From</t>
        </is>
      </c>
      <c r="E26094" t="n">
        <v>33.08</v>
      </c>
      <c r="F26094" t="n">
        <v>1</v>
      </c>
      <c r="G26094" t="n">
        <v>4</v>
      </c>
      <c r="H26094" s="5">
        <f>HYPERLINK("https://api.qogita.com/variants/link/8809595050610/", "View Product")</f>
        <v/>
      </c>
    </row>
    <row r="26095">
      <c r="A26095" t="inlineStr">
        <is>
          <t>8809598450479</t>
        </is>
      </c>
      <c r="B26095" t="inlineStr">
        <is>
          <t>COSRX Green Hero Calming Pad 70 Sheets Korean Face Skin Care K-Beauty</t>
        </is>
      </c>
      <c r="C26095" t="inlineStr">
        <is>
          <t>Facial Care Sets</t>
        </is>
      </c>
      <c r="D26095" t="inlineStr">
        <is>
          <t>Cosrx</t>
        </is>
      </c>
      <c r="E26095" t="n">
        <v>12.83</v>
      </c>
      <c r="F26095" t="n">
        <v>1</v>
      </c>
      <c r="G26095" t="n">
        <v>23</v>
      </c>
      <c r="H26095" s="5">
        <f>HYPERLINK("https://api.qogita.com/variants/link/8809598450479/", "View Product")</f>
        <v/>
      </c>
    </row>
    <row r="26096">
      <c r="A26096" t="inlineStr">
        <is>
          <t>8809598450646</t>
        </is>
      </c>
      <c r="B26096" t="inlineStr">
        <is>
          <t>COSRX Rich Face Moisturizer with Pro Vitamin B5 Propolis Extract Ceramide and Hyaluronic Acid 50ml - 1.69 fl.oz</t>
        </is>
      </c>
      <c r="C26096" t="inlineStr">
        <is>
          <t>Face Cream</t>
        </is>
      </c>
      <c r="D26096" t="inlineStr">
        <is>
          <t>Cosrx</t>
        </is>
      </c>
      <c r="E26096" t="n">
        <v>17.05</v>
      </c>
      <c r="F26096" t="n">
        <v>1</v>
      </c>
      <c r="G26096" t="n">
        <v>4</v>
      </c>
      <c r="H26096" s="5">
        <f>HYPERLINK("https://api.qogita.com/variants/link/8809598450646/", "View Product")</f>
        <v/>
      </c>
    </row>
    <row r="26097">
      <c r="A26097" t="inlineStr">
        <is>
          <t>8809598451407</t>
        </is>
      </c>
      <c r="B26097" t="inlineStr">
        <is>
          <t>Cosrx Pure Fit Cica Calming Sheet Mask 21 Ml</t>
        </is>
      </c>
      <c r="C26097" t="inlineStr">
        <is>
          <t>Sheet Mask</t>
        </is>
      </c>
      <c r="D26097" t="inlineStr">
        <is>
          <t>Cosrx</t>
        </is>
      </c>
      <c r="E26097" t="n">
        <v>4.38</v>
      </c>
      <c r="F26097" t="n">
        <v>1</v>
      </c>
      <c r="G26097" t="n">
        <v>11</v>
      </c>
      <c r="H26097" s="5">
        <f>HYPERLINK("https://api.qogita.com/variants/link/8809598451407/", "View Product")</f>
        <v/>
      </c>
    </row>
    <row r="26098">
      <c r="A26098" t="inlineStr">
        <is>
          <t>8809598452060</t>
        </is>
      </c>
      <c r="B26098" t="inlineStr">
        <is>
          <t>Cosrx Comfort Ceramide Soft Cream Sheet Mask 26 Ml</t>
        </is>
      </c>
      <c r="C26098" t="inlineStr">
        <is>
          <t>Sheet Mask</t>
        </is>
      </c>
      <c r="D26098" t="inlineStr">
        <is>
          <t>Cosrx</t>
        </is>
      </c>
      <c r="E26098" t="n">
        <v>4.41</v>
      </c>
      <c r="F26098" t="n">
        <v>1</v>
      </c>
      <c r="G26098" t="n">
        <v>67</v>
      </c>
      <c r="H26098" s="5">
        <f>HYPERLINK("https://api.qogita.com/variants/link/8809598452060/", "View Product")</f>
        <v/>
      </c>
    </row>
    <row r="26099">
      <c r="A26099" t="inlineStr">
        <is>
          <t>8809598452305</t>
        </is>
      </c>
      <c r="B26099" t="inlineStr">
        <is>
          <t>Cosrx Advanced Snail Hydrogel Eye Patch - 60 Pieces</t>
        </is>
      </c>
      <c r="C26099" t="inlineStr">
        <is>
          <t>Eye Masks &amp; Eye Pads</t>
        </is>
      </c>
      <c r="D26099" t="inlineStr">
        <is>
          <t>Cosrx</t>
        </is>
      </c>
      <c r="E26099" t="n">
        <v>16.91</v>
      </c>
      <c r="F26099" t="n">
        <v>1</v>
      </c>
      <c r="G26099" t="n">
        <v>3</v>
      </c>
      <c r="H26099" s="5">
        <f>HYPERLINK("https://api.qogita.com/variants/link/8809598452305/", "View Product")</f>
        <v/>
      </c>
    </row>
    <row r="26100">
      <c r="A26100" t="inlineStr">
        <is>
          <t>8809598452435</t>
        </is>
      </c>
      <c r="B26100" t="inlineStr">
        <is>
          <t>Cosrx Pure Fit Cica Pad 90 Pads - Imperfect Box</t>
        </is>
      </c>
      <c r="C26100" t="inlineStr">
        <is>
          <t>Facial Care Sets</t>
        </is>
      </c>
      <c r="D26100" t="inlineStr">
        <is>
          <t>Cosrx</t>
        </is>
      </c>
      <c r="E26100" t="n">
        <v>17.54</v>
      </c>
      <c r="F26100" t="n">
        <v>1</v>
      </c>
      <c r="G26100" t="n">
        <v>55</v>
      </c>
      <c r="H26100" s="5">
        <f>HYPERLINK("https://api.qogita.com/variants/link/8809598452435/", "View Product")</f>
        <v/>
      </c>
    </row>
    <row r="26101">
      <c r="A26101" t="inlineStr">
        <is>
          <t>8809598452572</t>
        </is>
      </c>
      <c r="B26101" t="inlineStr">
        <is>
          <t>Cosrx Advanced Snail Mucin Power Sheet Mask - 10 Pieces</t>
        </is>
      </c>
      <c r="C26101" t="inlineStr">
        <is>
          <t>Sheet Mask</t>
        </is>
      </c>
      <c r="D26101" t="inlineStr">
        <is>
          <t>Cosrx</t>
        </is>
      </c>
      <c r="E26101" t="n">
        <v>22.64</v>
      </c>
      <c r="F26101" t="n">
        <v>1</v>
      </c>
      <c r="G26101" t="n">
        <v>116</v>
      </c>
      <c r="H26101" s="5">
        <f>HYPERLINK("https://api.qogita.com/variants/link/8809598452572/", "View Product")</f>
        <v/>
      </c>
    </row>
    <row r="26102">
      <c r="A26102" t="inlineStr">
        <is>
          <t>8809598452800</t>
        </is>
      </c>
      <c r="B26102" t="inlineStr">
        <is>
          <t>COSRX All About Snail Korean Skincare TSA Approved Travel Size Gift Set Cleanser Essence Cream Eye Cream Snail Mucin for Repairing Recovering Rejuvenating</t>
        </is>
      </c>
      <c r="C26102" t="inlineStr">
        <is>
          <t>Travel Sets</t>
        </is>
      </c>
      <c r="D26102" t="inlineStr">
        <is>
          <t>Cosrx</t>
        </is>
      </c>
      <c r="E26102" t="n">
        <v>16.99</v>
      </c>
      <c r="F26102" t="n">
        <v>1</v>
      </c>
      <c r="G26102" t="n">
        <v>12</v>
      </c>
      <c r="H26102" s="5">
        <f>HYPERLINK("https://api.qogita.com/variants/link/8809598452800/", "View Product")</f>
        <v/>
      </c>
    </row>
    <row r="26103">
      <c r="A26103" t="inlineStr">
        <is>
          <t>8809598453159</t>
        </is>
      </c>
      <c r="B26103" t="inlineStr">
        <is>
          <t>Cosrx Ac Collection Blemish Care Sheet Mask 26 Ml</t>
        </is>
      </c>
      <c r="C26103" t="inlineStr">
        <is>
          <t>Sheet Mask</t>
        </is>
      </c>
      <c r="D26103" t="inlineStr">
        <is>
          <t>Cosrx</t>
        </is>
      </c>
      <c r="E26103" t="n">
        <v>4.56</v>
      </c>
      <c r="F26103" t="n">
        <v>1</v>
      </c>
      <c r="G26103" t="n">
        <v>3</v>
      </c>
      <c r="H26103" s="5">
        <f>HYPERLINK("https://api.qogita.com/variants/link/8809598453159/", "View Product")</f>
        <v/>
      </c>
    </row>
    <row r="26104">
      <c r="A26104" t="inlineStr">
        <is>
          <t>8809598453258</t>
        </is>
      </c>
      <c r="B26104" t="inlineStr">
        <is>
          <t>Cosrx Full Fit Propolis Nourishing Magnet Sheet Mask 25 Ml</t>
        </is>
      </c>
      <c r="C26104" t="inlineStr">
        <is>
          <t>Sheet Mask</t>
        </is>
      </c>
      <c r="D26104" t="inlineStr">
        <is>
          <t>Cosrx</t>
        </is>
      </c>
      <c r="E26104" t="n">
        <v>4.41</v>
      </c>
      <c r="F26104" t="n">
        <v>1</v>
      </c>
      <c r="G26104" t="n">
        <v>56</v>
      </c>
      <c r="H26104" s="5">
        <f>HYPERLINK("https://api.qogita.com/variants/link/8809598453258/", "View Product")</f>
        <v/>
      </c>
    </row>
    <row r="26105">
      <c r="A26105" t="inlineStr">
        <is>
          <t>8809598453395</t>
        </is>
      </c>
      <c r="B26105" t="inlineStr">
        <is>
          <t>COSRX Full Fit Honey Sugar Lip Scrub 20g</t>
        </is>
      </c>
      <c r="C26105" t="inlineStr">
        <is>
          <t>Lip Scrub</t>
        </is>
      </c>
      <c r="D26105" t="inlineStr">
        <is>
          <t>Cosrx</t>
        </is>
      </c>
      <c r="E26105" t="n">
        <v>15.35</v>
      </c>
      <c r="F26105" t="n">
        <v>1</v>
      </c>
      <c r="G26105" t="n">
        <v>22</v>
      </c>
      <c r="H26105" s="5">
        <f>HYPERLINK("https://api.qogita.com/variants/link/8809598453395/", "View Product")</f>
        <v/>
      </c>
    </row>
    <row r="26106">
      <c r="A26106" t="inlineStr">
        <is>
          <t>8809598454095</t>
        </is>
      </c>
      <c r="B26106" t="inlineStr">
        <is>
          <t>Cosrx Balancium Comfort Cool Ceramide Soothing Gel Cream 85ml 2.87 Fl Oz</t>
        </is>
      </c>
      <c r="C26106" t="inlineStr">
        <is>
          <t>Face Cream</t>
        </is>
      </c>
      <c r="D26106" t="inlineStr">
        <is>
          <t>Cosrx</t>
        </is>
      </c>
      <c r="E26106" t="n">
        <v>15.71</v>
      </c>
      <c r="F26106" t="n">
        <v>1</v>
      </c>
      <c r="G26106" t="n">
        <v>90</v>
      </c>
      <c r="H26106" s="5">
        <f>HYPERLINK("https://api.qogita.com/variants/link/8809598454095/", "View Product")</f>
        <v/>
      </c>
    </row>
    <row r="26107">
      <c r="A26107" t="inlineStr">
        <is>
          <t>8809598454101</t>
        </is>
      </c>
      <c r="B26107" t="inlineStr">
        <is>
          <t>Cosrx Ac Collection Blemish Spot Drying Lotion 30 Ml</t>
        </is>
      </c>
      <c r="C26107" t="inlineStr">
        <is>
          <t>Pimple &amp; Blackhead Treatments</t>
        </is>
      </c>
      <c r="D26107" t="inlineStr">
        <is>
          <t>Cosrx</t>
        </is>
      </c>
      <c r="E26107" t="n">
        <v>13.1</v>
      </c>
      <c r="F26107" t="n">
        <v>1</v>
      </c>
      <c r="G26107" t="n">
        <v>2</v>
      </c>
      <c r="H26107" s="5">
        <f>HYPERLINK("https://api.qogita.com/variants/link/8809598454101/", "View Product")</f>
        <v/>
      </c>
    </row>
    <row r="26108">
      <c r="A26108" t="inlineStr">
        <is>
          <t>8809598454644</t>
        </is>
      </c>
      <c r="B26108" t="inlineStr">
        <is>
          <t>COSRX Retinol 0.5 Oil Anti-aging Serum with 0.5% Retinoid Treatment for Face - Gentle Skin Care for Day and Night</t>
        </is>
      </c>
      <c r="C26108" t="inlineStr">
        <is>
          <t>Anti-Aging Serum</t>
        </is>
      </c>
      <c r="D26108" t="inlineStr">
        <is>
          <t>Cosrx</t>
        </is>
      </c>
      <c r="E26108" t="n">
        <v>17.45</v>
      </c>
      <c r="F26108" t="n">
        <v>1</v>
      </c>
      <c r="G26108" t="n">
        <v>8</v>
      </c>
      <c r="H26108" s="5">
        <f>HYPERLINK("https://api.qogita.com/variants/link/8809598454644/", "View Product")</f>
        <v/>
      </c>
    </row>
    <row r="26109">
      <c r="A26109" t="inlineStr">
        <is>
          <t>8809598454651</t>
        </is>
      </c>
      <c r="B26109" t="inlineStr">
        <is>
          <t>COSRX Vitamin C 23% Serum with Vitamin E and Hyaluronic Acid Brightening and Hydrating Facial Serum 0.67 fl.oz / 20 ml</t>
        </is>
      </c>
      <c r="C26109" t="inlineStr">
        <is>
          <t>Vitamin Serum</t>
        </is>
      </c>
      <c r="D26109" t="inlineStr">
        <is>
          <t>Cosrx</t>
        </is>
      </c>
      <c r="E26109" t="n">
        <v>13.5</v>
      </c>
      <c r="F26109" t="n">
        <v>1</v>
      </c>
      <c r="G26109" t="n">
        <v>172</v>
      </c>
      <c r="H26109" s="5">
        <f>HYPERLINK("https://api.qogita.com/variants/link/8809598454651/", "View Product")</f>
        <v/>
      </c>
    </row>
    <row r="26110">
      <c r="A26110" t="inlineStr">
        <is>
          <t>8809598455412</t>
        </is>
      </c>
      <c r="B26110" t="inlineStr">
        <is>
          <t>Cosrx Advanced Snail Peptide Eye Cream</t>
        </is>
      </c>
      <c r="C26110" t="inlineStr">
        <is>
          <t>Eye Cream</t>
        </is>
      </c>
      <c r="D26110" t="inlineStr">
        <is>
          <t>Cosrx</t>
        </is>
      </c>
      <c r="E26110" t="n">
        <v>24.5</v>
      </c>
      <c r="F26110" t="n">
        <v>1</v>
      </c>
      <c r="G26110" t="n">
        <v>14</v>
      </c>
      <c r="H26110" s="5">
        <f>HYPERLINK("https://api.qogita.com/variants/link/8809598455412/", "View Product")</f>
        <v/>
      </c>
    </row>
    <row r="26111">
      <c r="A26111" t="inlineStr">
        <is>
          <t>8809598455726</t>
        </is>
      </c>
      <c r="B26111" t="inlineStr">
        <is>
          <t>Cosrx Master Patch Original Fit Patches 24 Pieces</t>
        </is>
      </c>
      <c r="C26111" t="inlineStr">
        <is>
          <t>Anti-Pimple Mask</t>
        </is>
      </c>
      <c r="D26111" t="inlineStr">
        <is>
          <t>Cosrx</t>
        </is>
      </c>
      <c r="E26111" t="n">
        <v>3.81</v>
      </c>
      <c r="F26111" t="n">
        <v>1</v>
      </c>
      <c r="G26111" t="n">
        <v>7</v>
      </c>
      <c r="H26111" s="5">
        <f>HYPERLINK("https://api.qogita.com/variants/link/8809598455726/", "View Product")</f>
        <v/>
      </c>
    </row>
    <row r="26112">
      <c r="A26112" t="inlineStr">
        <is>
          <t>8809611862159</t>
        </is>
      </c>
      <c r="B26112" t="inlineStr">
        <is>
          <t>Laka Love Silk Blush - 57 Grams In Shade 709 Dolce</t>
        </is>
      </c>
      <c r="C26112" t="inlineStr">
        <is>
          <t>Blush</t>
        </is>
      </c>
      <c r="D26112" t="inlineStr">
        <is>
          <t>L.A. Girl</t>
        </is>
      </c>
      <c r="E26112" t="n">
        <v>11.82</v>
      </c>
      <c r="F26112" t="n">
        <v>1</v>
      </c>
      <c r="G26112" t="n">
        <v>5</v>
      </c>
      <c r="H26112" s="5">
        <f>HYPERLINK("https://api.qogita.com/variants/link/8809611862159/", "View Product")</f>
        <v/>
      </c>
    </row>
    <row r="26113">
      <c r="A26113" t="inlineStr">
        <is>
          <t>8809625241131</t>
        </is>
      </c>
      <c r="B26113" t="inlineStr">
        <is>
          <t>Rom&amp;Nd Juicy Lasting Tint Highly Pigmented Lip Gloss 11 Pink Pumpkin 5.5g</t>
        </is>
      </c>
      <c r="C26113" t="inlineStr">
        <is>
          <t>Lip Gloss</t>
        </is>
      </c>
      <c r="D26113" t="inlineStr">
        <is>
          <t>Rom&amp;Nd</t>
        </is>
      </c>
      <c r="E26113" t="n">
        <v>7.41</v>
      </c>
      <c r="F26113" t="n">
        <v>1</v>
      </c>
      <c r="G26113" t="n">
        <v>7</v>
      </c>
      <c r="H26113" s="5">
        <f>HYPERLINK("https://api.qogita.com/variants/link/8809625241131/", "View Product")</f>
        <v/>
      </c>
    </row>
    <row r="26114">
      <c r="A26114" t="inlineStr">
        <is>
          <t>8809625241346</t>
        </is>
      </c>
      <c r="B26114" t="inlineStr">
        <is>
          <t>Rom&amp;Nd Glasting Water Tint Lip 03 Brick River - 4g</t>
        </is>
      </c>
      <c r="C26114" t="inlineStr">
        <is>
          <t>Lipstick</t>
        </is>
      </c>
      <c r="D26114" t="inlineStr">
        <is>
          <t>Rom&amp;Nd</t>
        </is>
      </c>
      <c r="E26114" t="n">
        <v>8.82</v>
      </c>
      <c r="F26114" t="n">
        <v>1</v>
      </c>
      <c r="G26114" t="n">
        <v>3</v>
      </c>
      <c r="H26114" s="5">
        <f>HYPERLINK("https://api.qogita.com/variants/link/8809625241346/", "View Product")</f>
        <v/>
      </c>
    </row>
    <row r="26115">
      <c r="A26115" t="inlineStr">
        <is>
          <t>8809625241353</t>
        </is>
      </c>
      <c r="B26115" t="inlineStr">
        <is>
          <t>Rom&amp;Nd Glasting Water Tint 5 Colors 4g - Vintage Ocean #04</t>
        </is>
      </c>
      <c r="C26115" t="inlineStr">
        <is>
          <t>Lip Gloss</t>
        </is>
      </c>
      <c r="D26115" t="inlineStr">
        <is>
          <t>Rom&amp;Nd</t>
        </is>
      </c>
      <c r="E26115" t="n">
        <v>8.82</v>
      </c>
      <c r="F26115" t="n">
        <v>1</v>
      </c>
      <c r="G26115" t="n">
        <v>3</v>
      </c>
      <c r="H26115" s="5">
        <f>HYPERLINK("https://api.qogita.com/variants/link/8809625241353/", "View Product")</f>
        <v/>
      </c>
    </row>
    <row r="26116">
      <c r="A26116" t="inlineStr">
        <is>
          <t>8809625241360</t>
        </is>
      </c>
      <c r="B26116" t="inlineStr">
        <is>
          <t>Rom&amp;Nd Glasting Water Tint For Lips 05 Rose Splash 4g</t>
        </is>
      </c>
      <c r="C26116" t="inlineStr">
        <is>
          <t>Lip Gloss</t>
        </is>
      </c>
      <c r="D26116" t="inlineStr">
        <is>
          <t>Rom&amp;Nd</t>
        </is>
      </c>
      <c r="E26116" t="n">
        <v>8.82</v>
      </c>
      <c r="F26116" t="n">
        <v>1</v>
      </c>
      <c r="G26116" t="n">
        <v>4</v>
      </c>
      <c r="H26116" s="5">
        <f>HYPERLINK("https://api.qogita.com/variants/link/8809625241360/", "View Product")</f>
        <v/>
      </c>
    </row>
    <row r="26117">
      <c r="A26117" t="inlineStr">
        <is>
          <t>8809625241629</t>
        </is>
      </c>
      <c r="B26117" t="inlineStr">
        <is>
          <t>Rom&amp;Nd Glasting Water Gloss 4.3g 2 Colors - Meteor Track</t>
        </is>
      </c>
      <c r="C26117" t="inlineStr">
        <is>
          <t>Lip Gloss</t>
        </is>
      </c>
      <c r="D26117" t="inlineStr">
        <is>
          <t>Rom&amp;Nd</t>
        </is>
      </c>
      <c r="E26117" t="n">
        <v>6.45</v>
      </c>
      <c r="F26117" t="n">
        <v>1</v>
      </c>
      <c r="G26117" t="n">
        <v>3</v>
      </c>
      <c r="H26117" s="5">
        <f>HYPERLINK("https://api.qogita.com/variants/link/8809625241629/", "View Product")</f>
        <v/>
      </c>
    </row>
    <row r="26118">
      <c r="A26118" t="inlineStr">
        <is>
          <t>8809625242077</t>
        </is>
      </c>
      <c r="B26118" t="inlineStr">
        <is>
          <t>Rom&amp;Nd Zero Matte Lipstick 02 All That Jazz 3g</t>
        </is>
      </c>
      <c r="C26118" t="inlineStr">
        <is>
          <t>Lipstick</t>
        </is>
      </c>
      <c r="D26118" t="inlineStr">
        <is>
          <t>Rom&amp;Nd</t>
        </is>
      </c>
      <c r="E26118" t="n">
        <v>8.08</v>
      </c>
      <c r="F26118" t="n">
        <v>1</v>
      </c>
      <c r="G26118" t="n">
        <v>4</v>
      </c>
      <c r="H26118" s="5">
        <f>HYPERLINK("https://api.qogita.com/variants/link/8809625242077/", "View Product")</f>
        <v/>
      </c>
    </row>
    <row r="26119">
      <c r="A26119" t="inlineStr">
        <is>
          <t>8809625242725</t>
        </is>
      </c>
      <c r="B26119" t="inlineStr">
        <is>
          <t>ROMAND Juicy Lasting Tint Ripe Fruit Colors 19 Almond Rose</t>
        </is>
      </c>
      <c r="C26119" t="inlineStr">
        <is>
          <t>Lipstick</t>
        </is>
      </c>
      <c r="D26119" t="inlineStr">
        <is>
          <t>Romand</t>
        </is>
      </c>
      <c r="E26119" t="n">
        <v>8.19</v>
      </c>
      <c r="F26119" t="n">
        <v>1</v>
      </c>
      <c r="G26119" t="n">
        <v>4</v>
      </c>
      <c r="H26119" s="5">
        <f>HYPERLINK("https://api.qogita.com/variants/link/8809625242725/", "View Product")</f>
        <v/>
      </c>
    </row>
    <row r="26120">
      <c r="A26120" t="inlineStr">
        <is>
          <t>8809625244460</t>
        </is>
      </c>
      <c r="B26120" t="inlineStr">
        <is>
          <t>Rom&amp;Nd Blur Fudge Tint Lip Tint 02 Rosiental 5g</t>
        </is>
      </c>
      <c r="C26120" t="inlineStr">
        <is>
          <t>Lipstick</t>
        </is>
      </c>
      <c r="D26120" t="inlineStr">
        <is>
          <t>Rom&amp;Nd</t>
        </is>
      </c>
      <c r="E26120" t="n">
        <v>8.19</v>
      </c>
      <c r="F26120" t="n">
        <v>1</v>
      </c>
      <c r="G26120" t="n">
        <v>3</v>
      </c>
      <c r="H26120" s="5">
        <f>HYPERLINK("https://api.qogita.com/variants/link/8809625244460/", "View Product")</f>
        <v/>
      </c>
    </row>
    <row r="26121">
      <c r="A26121" t="inlineStr">
        <is>
          <t>8809625244477</t>
        </is>
      </c>
      <c r="B26121" t="inlineStr">
        <is>
          <t>Rom&amp;Nd Blur Fudge Tint Lip Tint 03 Musky 5g</t>
        </is>
      </c>
      <c r="C26121" t="inlineStr">
        <is>
          <t>Lipstick</t>
        </is>
      </c>
      <c r="D26121" t="inlineStr">
        <is>
          <t>Rom&amp;Nd</t>
        </is>
      </c>
      <c r="E26121" t="n">
        <v>8.19</v>
      </c>
      <c r="F26121" t="n">
        <v>1</v>
      </c>
      <c r="G26121" t="n">
        <v>2</v>
      </c>
      <c r="H26121" s="5">
        <f>HYPERLINK("https://api.qogita.com/variants/link/8809625244477/", "View Product")</f>
        <v/>
      </c>
    </row>
    <row r="26122">
      <c r="A26122" t="inlineStr">
        <is>
          <t>8809625244798</t>
        </is>
      </c>
      <c r="B26122" t="inlineStr">
        <is>
          <t>Rom&amp;Nd Nu Zero Cushion Concealing Foundation In Cushion 03 Natural 21 15g</t>
        </is>
      </c>
      <c r="C26122" t="inlineStr">
        <is>
          <t>Foundation</t>
        </is>
      </c>
      <c r="D26122" t="inlineStr">
        <is>
          <t>Rom&amp;Nd</t>
        </is>
      </c>
      <c r="E26122" t="n">
        <v>16.37</v>
      </c>
      <c r="F26122" t="n">
        <v>1</v>
      </c>
      <c r="G26122" t="n">
        <v>3</v>
      </c>
      <c r="H26122" s="5">
        <f>HYPERLINK("https://api.qogita.com/variants/link/8809625244798/", "View Product")</f>
        <v/>
      </c>
    </row>
    <row r="26123">
      <c r="A26123" t="inlineStr">
        <is>
          <t>8809625247966</t>
        </is>
      </c>
      <c r="B26123" t="inlineStr">
        <is>
          <t>Rom&amp;Nd Glasting Water Tint Lip Tint 14 Mauve Moon - 4g</t>
        </is>
      </c>
      <c r="C26123" t="inlineStr">
        <is>
          <t>Lipstick</t>
        </is>
      </c>
      <c r="D26123" t="inlineStr">
        <is>
          <t>Rom&amp;Nd</t>
        </is>
      </c>
      <c r="E26123" t="n">
        <v>8.82</v>
      </c>
      <c r="F26123" t="n">
        <v>1</v>
      </c>
      <c r="G26123" t="n">
        <v>2</v>
      </c>
      <c r="H26123" s="5">
        <f>HYPERLINK("https://api.qogita.com/variants/link/8809625247966/", "View Product")</f>
        <v/>
      </c>
    </row>
    <row r="26124">
      <c r="A26124" t="inlineStr">
        <is>
          <t>8809640733055</t>
        </is>
      </c>
      <c r="B26124" t="inlineStr">
        <is>
          <t>Anua Green Lemon Vitamin C Serum with Vitamin E, Hyaluronic &amp; Ferulic Acid 0.67 fl.oz 20ml</t>
        </is>
      </c>
      <c r="C26124" t="inlineStr">
        <is>
          <t>Vitamin Serum</t>
        </is>
      </c>
      <c r="D26124" t="inlineStr">
        <is>
          <t>Anua</t>
        </is>
      </c>
      <c r="E26124" t="n">
        <v>22.56</v>
      </c>
      <c r="F26124" t="n">
        <v>1</v>
      </c>
      <c r="G26124" t="n">
        <v>7</v>
      </c>
      <c r="H26124" s="5">
        <f>HYPERLINK("https://api.qogita.com/variants/link/8809640733055/", "View Product")</f>
        <v/>
      </c>
    </row>
    <row r="26125">
      <c r="A26125" t="inlineStr">
        <is>
          <t>8809640734700</t>
        </is>
      </c>
      <c r="B26125" t="inlineStr">
        <is>
          <t>Anua Heartleaf 77 Soothing Toner - 500ml</t>
        </is>
      </c>
      <c r="C26125" t="inlineStr">
        <is>
          <t>Facial Spray</t>
        </is>
      </c>
      <c r="D26125" t="inlineStr">
        <is>
          <t>Anua</t>
        </is>
      </c>
      <c r="E26125" t="n">
        <v>30.01</v>
      </c>
      <c r="F26125" t="n">
        <v>1</v>
      </c>
      <c r="G26125" t="n">
        <v>3</v>
      </c>
      <c r="H26125" s="5">
        <f>HYPERLINK("https://api.qogita.com/variants/link/8809640734700/", "View Product")</f>
        <v/>
      </c>
    </row>
    <row r="26126">
      <c r="A26126" t="inlineStr">
        <is>
          <t>8809640734717</t>
        </is>
      </c>
      <c r="B26126" t="inlineStr">
        <is>
          <t>Anua Heartleaf 80% Moisture Soothing Ampoule - 30 Ml</t>
        </is>
      </c>
      <c r="C26126" t="inlineStr">
        <is>
          <t>Ampoules</t>
        </is>
      </c>
      <c r="D26126" t="inlineStr">
        <is>
          <t>Anua</t>
        </is>
      </c>
      <c r="E26126" t="n">
        <v>23.32</v>
      </c>
      <c r="F26126" t="n">
        <v>1</v>
      </c>
      <c r="G26126" t="n">
        <v>9</v>
      </c>
      <c r="H26126" s="5">
        <f>HYPERLINK("https://api.qogita.com/variants/link/8809640734717/", "View Product")</f>
        <v/>
      </c>
    </row>
    <row r="26127">
      <c r="A26127" t="inlineStr">
        <is>
          <t>8809640735639</t>
        </is>
      </c>
      <c r="B26127" t="inlineStr">
        <is>
          <t>Anua Peach 77 Niacin Essence Toner - 250 Ml</t>
        </is>
      </c>
      <c r="C26127" t="inlineStr">
        <is>
          <t>Facial Spray</t>
        </is>
      </c>
      <c r="D26127" t="inlineStr">
        <is>
          <t>Anua</t>
        </is>
      </c>
      <c r="E26127" t="n">
        <v>17.93</v>
      </c>
      <c r="F26127" t="n">
        <v>1</v>
      </c>
      <c r="G26127" t="n">
        <v>5</v>
      </c>
      <c r="H26127" s="5">
        <f>HYPERLINK("https://api.qogita.com/variants/link/8809640735639/", "View Product")</f>
        <v/>
      </c>
    </row>
    <row r="26128">
      <c r="A26128" t="inlineStr">
        <is>
          <t>8809640736124</t>
        </is>
      </c>
      <c r="B26128" t="inlineStr">
        <is>
          <t>Anua Rice 70 Illuminating Milky Tonic 250ml Anua</t>
        </is>
      </c>
      <c r="C26128" t="inlineStr">
        <is>
          <t>Facial Spray</t>
        </is>
      </c>
      <c r="D26128" t="inlineStr">
        <is>
          <t>Anua</t>
        </is>
      </c>
      <c r="E26128" t="n">
        <v>18.83</v>
      </c>
      <c r="F26128" t="n">
        <v>1</v>
      </c>
      <c r="G26128" t="n">
        <v>13</v>
      </c>
      <c r="H26128" s="5">
        <f>HYPERLINK("https://api.qogita.com/variants/link/8809640736124/", "View Product")</f>
        <v/>
      </c>
    </row>
    <row r="26129">
      <c r="A26129" t="inlineStr">
        <is>
          <t>8809642714502</t>
        </is>
      </c>
      <c r="B26129" t="inlineStr">
        <is>
          <t>Dr. Jart+ Cryo Rubber with Firming Collagen</t>
        </is>
      </c>
      <c r="C26129" t="inlineStr">
        <is>
          <t>Hydrating Mask</t>
        </is>
      </c>
      <c r="D26129" t="inlineStr">
        <is>
          <t>Dr. Jart</t>
        </is>
      </c>
      <c r="E26129" t="n">
        <v>12.56</v>
      </c>
      <c r="F26129" t="n">
        <v>1</v>
      </c>
      <c r="G26129" t="n">
        <v>19</v>
      </c>
      <c r="H26129" s="5">
        <f>HYPERLINK("https://api.qogita.com/variants/link/8809642714502/", "View Product")</f>
        <v/>
      </c>
    </row>
    <row r="26130">
      <c r="A26130" t="inlineStr">
        <is>
          <t>8809642714526</t>
        </is>
      </c>
      <c r="B26130" t="inlineStr">
        <is>
          <t>Dr Jart Cryo Rubber Soothing Mask</t>
        </is>
      </c>
      <c r="C26130" t="inlineStr">
        <is>
          <t>Sheet Mask</t>
        </is>
      </c>
      <c r="D26130" t="inlineStr">
        <is>
          <t>Dr. Jart</t>
        </is>
      </c>
      <c r="E26130" t="n">
        <v>12.81</v>
      </c>
      <c r="F26130" t="n">
        <v>1</v>
      </c>
      <c r="G26130" t="n">
        <v>21</v>
      </c>
      <c r="H26130" s="5">
        <f>HYPERLINK("https://api.qogita.com/variants/link/8809642714526/", "View Product")</f>
        <v/>
      </c>
    </row>
    <row r="26131">
      <c r="A26131" t="inlineStr">
        <is>
          <t>8809642714533</t>
        </is>
      </c>
      <c r="B26131" t="inlineStr">
        <is>
          <t>Dr. Jart+ Cryo Rubber with Moisturizing Hyaluronic Acid</t>
        </is>
      </c>
      <c r="C26131" t="inlineStr">
        <is>
          <t>Hydrating Mask</t>
        </is>
      </c>
      <c r="D26131" t="inlineStr">
        <is>
          <t>Dr. Jart</t>
        </is>
      </c>
      <c r="E26131" t="n">
        <v>12.51</v>
      </c>
      <c r="F26131" t="n">
        <v>1</v>
      </c>
      <c r="G26131" t="n">
        <v>15</v>
      </c>
      <c r="H26131" s="5">
        <f>HYPERLINK("https://api.qogita.com/variants/link/8809642714533/", "View Product")</f>
        <v/>
      </c>
    </row>
    <row r="26132">
      <c r="A26132" t="inlineStr">
        <is>
          <t>8809643526210</t>
        </is>
      </c>
      <c r="B26132" t="inlineStr">
        <is>
          <t>Missha Cicadin pH Bubble Foam Cleaner with pH Balanced Formula</t>
        </is>
      </c>
      <c r="C26132" t="inlineStr">
        <is>
          <t>Cleansing Foam</t>
        </is>
      </c>
      <c r="D26132" t="inlineStr">
        <is>
          <t>Missha</t>
        </is>
      </c>
      <c r="E26132" t="n">
        <v>13.88</v>
      </c>
      <c r="F26132" t="n">
        <v>1</v>
      </c>
      <c r="G26132" t="n">
        <v>4</v>
      </c>
      <c r="H26132" s="5">
        <f>HYPERLINK("https://api.qogita.com/variants/link/8809643526210/", "View Product")</f>
        <v/>
      </c>
    </row>
    <row r="26133">
      <c r="A26133" t="inlineStr">
        <is>
          <t>8809643533720</t>
        </is>
      </c>
      <c r="B26133" t="inlineStr">
        <is>
          <t>Talks Vegan Squeeze Sheet Mask Hydrating Sheet Mask For Tired Skin Hydro Booster 27g</t>
        </is>
      </c>
      <c r="C26133" t="inlineStr">
        <is>
          <t>Sheet Mask</t>
        </is>
      </c>
      <c r="D26133" t="inlineStr">
        <is>
          <t>Talks</t>
        </is>
      </c>
      <c r="E26133" t="n">
        <v>3.55</v>
      </c>
      <c r="F26133" t="n">
        <v>1</v>
      </c>
      <c r="G26133" t="n">
        <v>5</v>
      </c>
      <c r="H26133" s="5">
        <f>HYPERLINK("https://api.qogita.com/variants/link/8809643533720/", "View Product")</f>
        <v/>
      </c>
    </row>
    <row r="26134">
      <c r="A26134" t="inlineStr">
        <is>
          <t>8809643546553</t>
        </is>
      </c>
      <c r="B26134" t="inlineStr">
        <is>
          <t>Dare Body Hand Cream Santa Monica Beach</t>
        </is>
      </c>
      <c r="C26134" t="inlineStr">
        <is>
          <t>Hand Cream</t>
        </is>
      </c>
      <c r="D26134" t="inlineStr">
        <is>
          <t>Missha</t>
        </is>
      </c>
      <c r="E26134" t="n">
        <v>4.08</v>
      </c>
      <c r="F26134" t="n">
        <v>1</v>
      </c>
      <c r="G26134" t="n">
        <v>5</v>
      </c>
      <c r="H26134" s="5">
        <f>HYPERLINK("https://api.qogita.com/variants/link/8809643546553/", "View Product")</f>
        <v/>
      </c>
    </row>
    <row r="26135">
      <c r="A26135" t="inlineStr">
        <is>
          <t>8809643546584</t>
        </is>
      </c>
      <c r="B26135" t="inlineStr">
        <is>
          <t>Missha Moisturizing Hand Cream Dare Body Love Begins - 30 Ml</t>
        </is>
      </c>
      <c r="C26135" t="inlineStr">
        <is>
          <t>Hand Cream</t>
        </is>
      </c>
      <c r="D26135" t="inlineStr">
        <is>
          <t>Missha</t>
        </is>
      </c>
      <c r="E26135" t="n">
        <v>4.08</v>
      </c>
      <c r="F26135" t="n">
        <v>1</v>
      </c>
      <c r="G26135" t="n">
        <v>4</v>
      </c>
      <c r="H26135" s="5">
        <f>HYPERLINK("https://api.qogita.com/variants/link/8809643546584/", "View Product")</f>
        <v/>
      </c>
    </row>
    <row r="26136">
      <c r="A26136" t="inlineStr">
        <is>
          <t>8809647390114</t>
        </is>
      </c>
      <c r="B26136" t="inlineStr">
        <is>
          <t>Some By Mi Galactomyces Pure Vitamin C Glow Serum 30ml</t>
        </is>
      </c>
      <c r="C26136" t="inlineStr">
        <is>
          <t>Glow Serum</t>
        </is>
      </c>
      <c r="D26136" t="inlineStr">
        <is>
          <t>Some By Mi</t>
        </is>
      </c>
      <c r="E26136" t="n">
        <v>18.4</v>
      </c>
      <c r="F26136" t="n">
        <v>1</v>
      </c>
      <c r="G26136" t="n">
        <v>4</v>
      </c>
      <c r="H26136" s="5">
        <f>HYPERLINK("https://api.qogita.com/variants/link/8809647390114/", "View Product")</f>
        <v/>
      </c>
    </row>
    <row r="26137">
      <c r="A26137" t="inlineStr">
        <is>
          <t>8809647392750</t>
        </is>
      </c>
      <c r="B26137" t="inlineStr">
        <is>
          <t>SOME BY MI Beta-Panthenol Repair Toner 150ml</t>
        </is>
      </c>
      <c r="C26137" t="inlineStr">
        <is>
          <t>Facial Spray</t>
        </is>
      </c>
      <c r="D26137" t="inlineStr">
        <is>
          <t>Some By Mi</t>
        </is>
      </c>
      <c r="E26137" t="n">
        <v>15.71</v>
      </c>
      <c r="F26137" t="n">
        <v>1</v>
      </c>
      <c r="G26137" t="n">
        <v>5</v>
      </c>
      <c r="H26137" s="5">
        <f>HYPERLINK("https://api.qogita.com/variants/link/8809647392750/", "View Product")</f>
        <v/>
      </c>
    </row>
    <row r="26138">
      <c r="A26138" t="inlineStr">
        <is>
          <t>8809647393078</t>
        </is>
      </c>
      <c r="B26138" t="inlineStr">
        <is>
          <t>SOME BY MI Yuja Niacin Anti Blemish Serum 1.69oz 50ml - Advanced Skin Brightening and Blemish Care Serum for Dull-Looking Skin Korean Skin Care</t>
        </is>
      </c>
      <c r="C26138" t="inlineStr">
        <is>
          <t>Vitamin Serum</t>
        </is>
      </c>
      <c r="D26138" t="inlineStr">
        <is>
          <t>Some By Mi</t>
        </is>
      </c>
      <c r="E26138" t="n">
        <v>17.01</v>
      </c>
      <c r="F26138" t="n">
        <v>1</v>
      </c>
      <c r="G26138" t="n">
        <v>5</v>
      </c>
      <c r="H26138" s="5">
        <f>HYPERLINK("https://api.qogita.com/variants/link/8809647393078/", "View Product")</f>
        <v/>
      </c>
    </row>
    <row r="26139">
      <c r="A26139" t="inlineStr">
        <is>
          <t>8809647393085</t>
        </is>
      </c>
      <c r="B26139" t="inlineStr">
        <is>
          <t>SOME BY MI Yuja Niacin Anti Blemish Cream 2.02oz 60ml Daily Face Moisturizer with 5% Niacinamide Advanced Skin Brightening and Pigmentation Care for Dull-Looking Skin Korean Skin Care</t>
        </is>
      </c>
      <c r="C26139" t="inlineStr">
        <is>
          <t>Day Cream</t>
        </is>
      </c>
      <c r="D26139" t="inlineStr">
        <is>
          <t>Some By Mi</t>
        </is>
      </c>
      <c r="E26139" t="n">
        <v>16.24</v>
      </c>
      <c r="F26139" t="n">
        <v>1</v>
      </c>
      <c r="G26139" t="n">
        <v>2</v>
      </c>
      <c r="H26139" s="5">
        <f>HYPERLINK("https://api.qogita.com/variants/link/8809647393085/", "View Product")</f>
        <v/>
      </c>
    </row>
    <row r="26140">
      <c r="A26140" t="inlineStr">
        <is>
          <t>8809647393603</t>
        </is>
      </c>
      <c r="B26140" t="inlineStr">
        <is>
          <t>Some By Mi Lacto Soy Low Ph Morning Cleansing Bar - 90 Grams</t>
        </is>
      </c>
      <c r="C26140" t="inlineStr">
        <is>
          <t>Facial Soap</t>
        </is>
      </c>
      <c r="D26140" t="inlineStr">
        <is>
          <t>Some By Mi</t>
        </is>
      </c>
      <c r="E26140" t="n">
        <v>11.06</v>
      </c>
      <c r="F26140" t="n">
        <v>1</v>
      </c>
      <c r="G26140" t="n">
        <v>3</v>
      </c>
      <c r="H26140" s="5">
        <f>HYPERLINK("https://api.qogita.com/variants/link/8809647393603/", "View Product")</f>
        <v/>
      </c>
    </row>
    <row r="26141">
      <c r="A26141" t="inlineStr">
        <is>
          <t>8809663576820</t>
        </is>
      </c>
      <c r="B26141" t="inlineStr">
        <is>
          <t>It'S SKIN LI Soothing Gel Cream with Licorice Extract and Guaiazulene Redness Relief 1.86 fl.oz.</t>
        </is>
      </c>
      <c r="C26141" t="inlineStr">
        <is>
          <t>Face Cream</t>
        </is>
      </c>
      <c r="D26141" t="inlineStr">
        <is>
          <t>It's Skin</t>
        </is>
      </c>
      <c r="E26141" t="n">
        <v>18.59</v>
      </c>
      <c r="F26141" t="n">
        <v>1</v>
      </c>
      <c r="G26141" t="n">
        <v>3</v>
      </c>
      <c r="H26141" s="5">
        <f>HYPERLINK("https://api.qogita.com/variants/link/8809663576820/", "View Product")</f>
        <v/>
      </c>
    </row>
    <row r="26142">
      <c r="A26142" t="inlineStr">
        <is>
          <t>8809663751524</t>
        </is>
      </c>
      <c r="B26142" t="inlineStr">
        <is>
          <t>Mizon Collagen Power Firming Eye Cream 10ml</t>
        </is>
      </c>
      <c r="C26142" t="inlineStr">
        <is>
          <t>Eye Cream</t>
        </is>
      </c>
      <c r="D26142" t="inlineStr">
        <is>
          <t>Mizon</t>
        </is>
      </c>
      <c r="E26142" t="n">
        <v>11.39</v>
      </c>
      <c r="F26142" t="n">
        <v>1</v>
      </c>
      <c r="G26142" t="n">
        <v>7</v>
      </c>
      <c r="H26142" s="5">
        <f>HYPERLINK("https://api.qogita.com/variants/link/8809663751524/", "View Product")</f>
        <v/>
      </c>
    </row>
    <row r="26143">
      <c r="A26143" t="inlineStr">
        <is>
          <t>8809663751623</t>
        </is>
      </c>
      <c r="B26143" t="inlineStr">
        <is>
          <t>Mizon Snail Repair Intensive Ampoule Rejuvenating Facial Serum With 80 Snail Secretion Filtrate 30 Ml</t>
        </is>
      </c>
      <c r="C26143" t="inlineStr">
        <is>
          <t>Ampoules</t>
        </is>
      </c>
      <c r="D26143" t="inlineStr">
        <is>
          <t>Mizon</t>
        </is>
      </c>
      <c r="E26143" t="n">
        <v>20.75</v>
      </c>
      <c r="F26143" t="n">
        <v>1</v>
      </c>
      <c r="G26143" t="n">
        <v>14</v>
      </c>
      <c r="H26143" s="5">
        <f>HYPERLINK("https://api.qogita.com/variants/link/8809663751623/", "View Product")</f>
        <v/>
      </c>
    </row>
    <row r="26144">
      <c r="A26144" t="inlineStr">
        <is>
          <t>8809663751746</t>
        </is>
      </c>
      <c r="B26144" t="inlineStr">
        <is>
          <t>Mizon Moisturizing Body Lotion for Women</t>
        </is>
      </c>
      <c r="C26144" t="inlineStr">
        <is>
          <t>Body Lotion</t>
        </is>
      </c>
      <c r="D26144" t="inlineStr">
        <is>
          <t>Mizon</t>
        </is>
      </c>
      <c r="E26144" t="n">
        <v>16.24</v>
      </c>
      <c r="F26144" t="n">
        <v>1</v>
      </c>
      <c r="G26144" t="n">
        <v>10</v>
      </c>
      <c r="H26144" s="5">
        <f>HYPERLINK("https://api.qogita.com/variants/link/8809663751746/", "View Product")</f>
        <v/>
      </c>
    </row>
    <row r="26145">
      <c r="A26145" t="inlineStr">
        <is>
          <t>8809663752125</t>
        </is>
      </c>
      <c r="B26145" t="inlineStr">
        <is>
          <t>Mizon Snail Recovery Gel Cream 45 Ml Skin Gel With 80 Snail Secretion Filtrate For Problematic Skin</t>
        </is>
      </c>
      <c r="C26145" t="inlineStr">
        <is>
          <t>Face Cream</t>
        </is>
      </c>
      <c r="D26145" t="inlineStr">
        <is>
          <t>Mizon</t>
        </is>
      </c>
      <c r="E26145" t="n">
        <v>11.86</v>
      </c>
      <c r="F26145" t="n">
        <v>1</v>
      </c>
      <c r="G26145" t="n">
        <v>17</v>
      </c>
      <c r="H26145" s="5">
        <f>HYPERLINK("https://api.qogita.com/variants/link/8809663752125/", "View Product")</f>
        <v/>
      </c>
    </row>
    <row r="26146">
      <c r="A26146" t="inlineStr">
        <is>
          <t>8809663752880</t>
        </is>
      </c>
      <c r="B26146" t="inlineStr">
        <is>
          <t>Mizon Cicaluronic Serum For Dry And Sensitive Skin</t>
        </is>
      </c>
      <c r="C26146" t="inlineStr">
        <is>
          <t>Hyaluronic Acid Serum</t>
        </is>
      </c>
      <c r="D26146" t="inlineStr">
        <is>
          <t>Mizon</t>
        </is>
      </c>
      <c r="E26146" t="n">
        <v>14.88</v>
      </c>
      <c r="F26146" t="n">
        <v>1</v>
      </c>
      <c r="G26146" t="n">
        <v>4</v>
      </c>
      <c r="H26146" s="5">
        <f>HYPERLINK("https://api.qogita.com/variants/link/8809663752880/", "View Product")</f>
        <v/>
      </c>
    </row>
    <row r="26147">
      <c r="A26147" t="inlineStr">
        <is>
          <t>8809663753122</t>
        </is>
      </c>
      <c r="B26147" t="inlineStr">
        <is>
          <t>Mizon Good Bye Blemish Low Ph Cleanser 100 Ml For Acneprone Skin</t>
        </is>
      </c>
      <c r="C26147" t="inlineStr">
        <is>
          <t>Facial Cleansing</t>
        </is>
      </c>
      <c r="D26147" t="inlineStr">
        <is>
          <t>Mizon</t>
        </is>
      </c>
      <c r="E26147" t="n">
        <v>15.13</v>
      </c>
      <c r="F26147" t="n">
        <v>1</v>
      </c>
      <c r="G26147" t="n">
        <v>5</v>
      </c>
      <c r="H26147" s="5">
        <f>HYPERLINK("https://api.qogita.com/variants/link/8809663753122/", "View Product")</f>
        <v/>
      </c>
    </row>
    <row r="26148">
      <c r="A26148" t="inlineStr">
        <is>
          <t>8809663753153</t>
        </is>
      </c>
      <c r="B26148" t="inlineStr">
        <is>
          <t>Mizon Snail Repair Perfect Cream 50 Ml Face Cream With 60 Snail Secretion Filtrate For Problematic Skin</t>
        </is>
      </c>
      <c r="C26148" t="inlineStr">
        <is>
          <t>Face Cream</t>
        </is>
      </c>
      <c r="D26148" t="inlineStr">
        <is>
          <t>Mizon</t>
        </is>
      </c>
      <c r="E26148" t="n">
        <v>24.13</v>
      </c>
      <c r="F26148" t="n">
        <v>1</v>
      </c>
      <c r="G26148" t="n">
        <v>5</v>
      </c>
      <c r="H26148" s="5">
        <f>HYPERLINK("https://api.qogita.com/variants/link/8809663753153/", "View Product")</f>
        <v/>
      </c>
    </row>
    <row r="26149">
      <c r="A26149" t="inlineStr">
        <is>
          <t>8809663753801</t>
        </is>
      </c>
      <c r="B26149" t="inlineStr">
        <is>
          <t>MIZON Cicaluronic Toner with Centella Asiatica and Hyaluronic Acid 150ml/5.07fl oz</t>
        </is>
      </c>
      <c r="C26149" t="inlineStr">
        <is>
          <t>Facial Spray</t>
        </is>
      </c>
      <c r="D26149" t="inlineStr">
        <is>
          <t>Mizon</t>
        </is>
      </c>
      <c r="E26149" t="n">
        <v>20.59</v>
      </c>
      <c r="F26149" t="n">
        <v>1</v>
      </c>
      <c r="G26149" t="n">
        <v>4</v>
      </c>
      <c r="H26149" s="5">
        <f>HYPERLINK("https://api.qogita.com/variants/link/8809663753801/", "View Product")</f>
        <v/>
      </c>
    </row>
    <row r="26150">
      <c r="A26150" t="inlineStr">
        <is>
          <t>8809663754334</t>
        </is>
      </c>
      <c r="B26150" t="inlineStr">
        <is>
          <t>MIZON Retinol Youth 0.1% Retinol Serum with Wrinkle Care, Bakuchiol, Peptides, and Niacinamide 0.99 oz</t>
        </is>
      </c>
      <c r="C26150" t="inlineStr">
        <is>
          <t>Anti-Aging Serum</t>
        </is>
      </c>
      <c r="D26150" t="inlineStr">
        <is>
          <t>Mizon</t>
        </is>
      </c>
      <c r="E26150" t="n">
        <v>28.64</v>
      </c>
      <c r="F26150" t="n">
        <v>1</v>
      </c>
      <c r="G26150" t="n">
        <v>3</v>
      </c>
      <c r="H26150" s="5">
        <f>HYPERLINK("https://api.qogita.com/variants/link/8809663754334/", "View Product")</f>
        <v/>
      </c>
    </row>
    <row r="26151">
      <c r="A26151" t="inlineStr">
        <is>
          <t>8809670680824</t>
        </is>
      </c>
      <c r="B26151" t="inlineStr">
        <is>
          <t>Mary&amp;May 6 Peptide Complex Serum 30ml</t>
        </is>
      </c>
      <c r="C26151" t="inlineStr">
        <is>
          <t>Anti-Aging Serum</t>
        </is>
      </c>
      <c r="D26151" t="inlineStr">
        <is>
          <t>Mary&amp;May</t>
        </is>
      </c>
      <c r="E26151" t="n">
        <v>13.1</v>
      </c>
      <c r="F26151" t="n">
        <v>1</v>
      </c>
      <c r="G26151" t="n">
        <v>6</v>
      </c>
      <c r="H26151" s="5">
        <f>HYPERLINK("https://api.qogita.com/variants/link/8809670680824/", "View Product")</f>
        <v/>
      </c>
    </row>
    <row r="26152">
      <c r="A26152" t="inlineStr">
        <is>
          <t>8809670680831</t>
        </is>
      </c>
      <c r="B26152" t="inlineStr">
        <is>
          <t>Mary&amp;May Idebenone + Blackberry Complex Serum - Potent Anti-Aging Serum</t>
        </is>
      </c>
      <c r="C26152" t="inlineStr">
        <is>
          <t>Anti-Aging Serum</t>
        </is>
      </c>
      <c r="D26152" t="inlineStr">
        <is>
          <t>Mary&amp;May</t>
        </is>
      </c>
      <c r="E26152" t="n">
        <v>13.72</v>
      </c>
      <c r="F26152" t="n">
        <v>1</v>
      </c>
      <c r="G26152" t="n">
        <v>2</v>
      </c>
      <c r="H26152" s="5">
        <f>HYPERLINK("https://api.qogita.com/variants/link/8809670680831/", "View Product")</f>
        <v/>
      </c>
    </row>
    <row r="26153">
      <c r="A26153" t="inlineStr">
        <is>
          <t>8809670680848</t>
        </is>
      </c>
      <c r="B26153" t="inlineStr">
        <is>
          <t>Mary &amp; May Niacinamide Chaenomeles Sinensis Serum 30ml</t>
        </is>
      </c>
      <c r="C26153" t="inlineStr">
        <is>
          <t>Glow Serum</t>
        </is>
      </c>
      <c r="D26153" t="inlineStr">
        <is>
          <t>Mary&amp;May</t>
        </is>
      </c>
      <c r="E26153" t="n">
        <v>13.8</v>
      </c>
      <c r="F26153" t="n">
        <v>1</v>
      </c>
      <c r="G26153" t="n">
        <v>8</v>
      </c>
      <c r="H26153" s="5">
        <f>HYPERLINK("https://api.qogita.com/variants/link/8809670680848/", "View Product")</f>
        <v/>
      </c>
    </row>
    <row r="26154">
      <c r="A26154" t="inlineStr">
        <is>
          <t>8809670680855</t>
        </is>
      </c>
      <c r="B26154" t="inlineStr">
        <is>
          <t>Mary&amp;May Citrus Unshiu Fruit and Tremella Fuciformis Serum 1.01 Fl Oz 30ml</t>
        </is>
      </c>
      <c r="C26154" t="inlineStr">
        <is>
          <t>Glow Serum</t>
        </is>
      </c>
      <c r="D26154" t="inlineStr">
        <is>
          <t>Mary&amp;May</t>
        </is>
      </c>
      <c r="E26154" t="n">
        <v>12.51</v>
      </c>
      <c r="F26154" t="n">
        <v>1</v>
      </c>
      <c r="G26154" t="n">
        <v>11</v>
      </c>
      <c r="H26154" s="5">
        <f>HYPERLINK("https://api.qogita.com/variants/link/8809670680855/", "View Product")</f>
        <v/>
      </c>
    </row>
    <row r="26155">
      <c r="A26155" t="inlineStr">
        <is>
          <t>8809670680978</t>
        </is>
      </c>
      <c r="B26155" t="inlineStr">
        <is>
          <t>Mary&amp;May Houttuynia Cordata + Tea Tree Cleansing Foam 5.07 Fl Oz / 150 ml - Pore Care Cleanser for Trouble and Sensitive Skin</t>
        </is>
      </c>
      <c r="C26155" t="inlineStr">
        <is>
          <t>Cleansing Foam</t>
        </is>
      </c>
      <c r="D26155" t="inlineStr">
        <is>
          <t>Mary&amp;May</t>
        </is>
      </c>
      <c r="E26155" t="n">
        <v>9.4</v>
      </c>
      <c r="F26155" t="n">
        <v>1</v>
      </c>
      <c r="G26155" t="n">
        <v>5</v>
      </c>
      <c r="H26155" s="5">
        <f>HYPERLINK("https://api.qogita.com/variants/link/8809670680978/", "View Product")</f>
        <v/>
      </c>
    </row>
    <row r="26156">
      <c r="A26156" t="inlineStr">
        <is>
          <t>8809670681135</t>
        </is>
      </c>
      <c r="B26156" t="inlineStr">
        <is>
          <t>Mary &amp; May Vitamin B5 Bifida Toner 120 Ml</t>
        </is>
      </c>
      <c r="C26156" t="inlineStr">
        <is>
          <t>Facial Spray</t>
        </is>
      </c>
      <c r="D26156" t="inlineStr">
        <is>
          <t>Mary&amp;May</t>
        </is>
      </c>
      <c r="E26156" t="n">
        <v>13.18</v>
      </c>
      <c r="F26156" t="n">
        <v>1</v>
      </c>
      <c r="G26156" t="n">
        <v>2</v>
      </c>
      <c r="H26156" s="5">
        <f>HYPERLINK("https://api.qogita.com/variants/link/8809670681135/", "View Product")</f>
        <v/>
      </c>
    </row>
    <row r="26157">
      <c r="A26157" t="inlineStr">
        <is>
          <t>8809670681609</t>
        </is>
      </c>
      <c r="B26157" t="inlineStr">
        <is>
          <t>Mary&amp;May CICA Soothing Sun Cream SPF50+ PA++++ 50ml Korean Sunscreen Face Vegan Daily Care</t>
        </is>
      </c>
      <c r="C26157" t="inlineStr">
        <is>
          <t>Face Sun Protection</t>
        </is>
      </c>
      <c r="D26157" t="inlineStr">
        <is>
          <t>Mary&amp;May</t>
        </is>
      </c>
      <c r="E26157" t="n">
        <v>15.44</v>
      </c>
      <c r="F26157" t="n">
        <v>1</v>
      </c>
      <c r="G26157" t="n">
        <v>12</v>
      </c>
      <c r="H26157" s="5">
        <f>HYPERLINK("https://api.qogita.com/variants/link/8809670681609/", "View Product")</f>
        <v/>
      </c>
    </row>
    <row r="26158">
      <c r="A26158" t="inlineStr">
        <is>
          <t>8809670682040</t>
        </is>
      </c>
      <c r="B26158" t="inlineStr">
        <is>
          <t>Mary&amp;May Vegan Niacinamide Panthenol Sun Cushion SPF50+ PA++++ 0.88oz Cooling &amp; Soothing Moisturizing Big Size Korean Skincare Vegan</t>
        </is>
      </c>
      <c r="C26158" t="inlineStr">
        <is>
          <t>Face Sun Protection</t>
        </is>
      </c>
      <c r="D26158" t="inlineStr">
        <is>
          <t>Mary&amp;May</t>
        </is>
      </c>
      <c r="E26158" t="n">
        <v>23.46</v>
      </c>
      <c r="F26158" t="n">
        <v>1</v>
      </c>
      <c r="G26158" t="n">
        <v>6</v>
      </c>
      <c r="H26158" s="5">
        <f>HYPERLINK("https://api.qogita.com/variants/link/8809670682040/", "View Product")</f>
        <v/>
      </c>
    </row>
    <row r="26159">
      <c r="A26159" t="inlineStr">
        <is>
          <t>8809670682071</t>
        </is>
      </c>
      <c r="B26159" t="inlineStr">
        <is>
          <t>Mary &amp; May Blackberry Complex Glow Wash Off Pack 125 G</t>
        </is>
      </c>
      <c r="C26159" t="inlineStr">
        <is>
          <t>Glow Mask</t>
        </is>
      </c>
      <c r="D26159" t="inlineStr">
        <is>
          <t>Mary&amp;May</t>
        </is>
      </c>
      <c r="E26159" t="n">
        <v>17.91</v>
      </c>
      <c r="F26159" t="n">
        <v>1</v>
      </c>
      <c r="G26159" t="n">
        <v>6</v>
      </c>
      <c r="H26159" s="5">
        <f>HYPERLINK("https://api.qogita.com/variants/link/8809670682071/", "View Product")</f>
        <v/>
      </c>
    </row>
    <row r="26160">
      <c r="A26160" t="inlineStr">
        <is>
          <t>8809679696444</t>
        </is>
      </c>
      <c r="B26160" t="inlineStr">
        <is>
          <t>TIRTIR Mask Fit Red Cushion Foundation Japan's No.1 Choice for Glass Skin Lightweight Buildable Coverage Semi-Matte 0.63 Fl Oz 17C Porcelain</t>
        </is>
      </c>
      <c r="C26160" t="inlineStr">
        <is>
          <t>Foundation</t>
        </is>
      </c>
      <c r="D26160" t="inlineStr">
        <is>
          <t>Tirtir</t>
        </is>
      </c>
      <c r="E26160" t="n">
        <v>21.35</v>
      </c>
      <c r="F26160" t="n">
        <v>1</v>
      </c>
      <c r="G26160" t="n">
        <v>4</v>
      </c>
      <c r="H26160" s="5">
        <f>HYPERLINK("https://api.qogita.com/variants/link/8809679696444/", "View Product")</f>
        <v/>
      </c>
    </row>
    <row r="26161">
      <c r="A26161" t="inlineStr">
        <is>
          <t>8809679696468</t>
        </is>
      </c>
      <c r="B26161" t="inlineStr">
        <is>
          <t>Tirtir Mask Fit Red Cushion Long-Lasting Foundation In Cushion 23n Sand 18g</t>
        </is>
      </c>
      <c r="C26161" t="inlineStr">
        <is>
          <t>Foundation</t>
        </is>
      </c>
      <c r="D26161" t="inlineStr">
        <is>
          <t>Tirtir</t>
        </is>
      </c>
      <c r="E26161" t="n">
        <v>17.35</v>
      </c>
      <c r="F26161" t="n">
        <v>1</v>
      </c>
      <c r="G26161" t="n">
        <v>5</v>
      </c>
      <c r="H26161" s="5">
        <f>HYPERLINK("https://api.qogita.com/variants/link/8809679696468/", "View Product")</f>
        <v/>
      </c>
    </row>
    <row r="26162">
      <c r="A26162" t="inlineStr">
        <is>
          <t>8809689370204</t>
        </is>
      </c>
      <c r="B26162" t="inlineStr">
        <is>
          <t>Mizon Collagen Hand And Foot Cream 100 Ml With Sea Collagen</t>
        </is>
      </c>
      <c r="C26162" t="inlineStr">
        <is>
          <t>Hand &amp; Foot Care</t>
        </is>
      </c>
      <c r="D26162" t="inlineStr">
        <is>
          <t>Mizon</t>
        </is>
      </c>
      <c r="E26162" t="n">
        <v>6.37</v>
      </c>
      <c r="F26162" t="n">
        <v>1</v>
      </c>
      <c r="G26162" t="n">
        <v>13</v>
      </c>
      <c r="H26162" s="5">
        <f>HYPERLINK("https://api.qogita.com/variants/link/8809689370204/", "View Product")</f>
        <v/>
      </c>
    </row>
    <row r="26163">
      <c r="A26163" t="inlineStr">
        <is>
          <t>8809695678448</t>
        </is>
      </c>
      <c r="B26163" t="inlineStr">
        <is>
          <t>Vt Cosmetics Reedle Shot 700 30 Ml</t>
        </is>
      </c>
      <c r="C26163" t="inlineStr">
        <is>
          <t>Face Serum</t>
        </is>
      </c>
      <c r="D26163" t="inlineStr">
        <is>
          <t>Vt Cosmetics</t>
        </is>
      </c>
      <c r="E26163" t="n">
        <v>35.94</v>
      </c>
      <c r="F26163" t="n">
        <v>1</v>
      </c>
      <c r="G26163" t="n">
        <v>23</v>
      </c>
      <c r="H26163" s="5">
        <f>HYPERLINK("https://api.qogita.com/variants/link/8809695678448/", "View Product")</f>
        <v/>
      </c>
    </row>
    <row r="26164">
      <c r="A26164" t="inlineStr">
        <is>
          <t>8809704190206</t>
        </is>
      </c>
      <c r="B26164" t="inlineStr">
        <is>
          <t>ONE THING Hyaluronic Acid Complex Essence 5 fl. oz. Hydrating Moisturizing Vegan Toner for Sensitive Skin Korean Skin Care</t>
        </is>
      </c>
      <c r="C26164" t="inlineStr">
        <is>
          <t>Hyaluronic Acid Serum</t>
        </is>
      </c>
      <c r="D26164" t="inlineStr">
        <is>
          <t>One Thing</t>
        </is>
      </c>
      <c r="E26164" t="n">
        <v>13.23</v>
      </c>
      <c r="F26164" t="n">
        <v>1</v>
      </c>
      <c r="G26164" t="n">
        <v>4</v>
      </c>
      <c r="H26164" s="5">
        <f>HYPERLINK("https://api.qogita.com/variants/link/8809704190206/", "View Product")</f>
        <v/>
      </c>
    </row>
    <row r="26165">
      <c r="A26165" t="inlineStr">
        <is>
          <t>8809704190329</t>
        </is>
      </c>
      <c r="B26165" t="inlineStr">
        <is>
          <t>ONE THING Niacinamide 10% Toner Hydrating Facial Essence for Dull Skin 5.07 Fl Oz</t>
        </is>
      </c>
      <c r="C26165" t="inlineStr">
        <is>
          <t>Hydrating Serum</t>
        </is>
      </c>
      <c r="D26165" t="inlineStr">
        <is>
          <t>One Thing</t>
        </is>
      </c>
      <c r="E26165" t="n">
        <v>13.91</v>
      </c>
      <c r="F26165" t="n">
        <v>1</v>
      </c>
      <c r="G26165" t="n">
        <v>2</v>
      </c>
      <c r="H26165" s="5">
        <f>HYPERLINK("https://api.qogita.com/variants/link/8809704190329/", "View Product")</f>
        <v/>
      </c>
    </row>
    <row r="26166">
      <c r="A26166" t="inlineStr">
        <is>
          <t>8809704190343</t>
        </is>
      </c>
      <c r="B26166" t="inlineStr">
        <is>
          <t>Centella Soothing Cream</t>
        </is>
      </c>
      <c r="C26166" t="inlineStr">
        <is>
          <t>Face Cream</t>
        </is>
      </c>
      <c r="D26166" t="inlineStr">
        <is>
          <t>One Thing</t>
        </is>
      </c>
      <c r="E26166" t="n">
        <v>17.12</v>
      </c>
      <c r="F26166" t="n">
        <v>1</v>
      </c>
      <c r="G26166" t="n">
        <v>5</v>
      </c>
      <c r="H26166" s="5">
        <f>HYPERLINK("https://api.qogita.com/variants/link/8809704190343/", "View Product")</f>
        <v/>
      </c>
    </row>
    <row r="26167">
      <c r="A26167" t="inlineStr">
        <is>
          <t>8809704190626</t>
        </is>
      </c>
      <c r="B26167" t="inlineStr">
        <is>
          <t>One Thing Tangerine Serum 2.7 Fl Oz with Citrus Vitamin C and Hyaluronic Acid</t>
        </is>
      </c>
      <c r="C26167" t="inlineStr">
        <is>
          <t>Vitamin Serum</t>
        </is>
      </c>
      <c r="D26167" t="inlineStr">
        <is>
          <t>One Thing</t>
        </is>
      </c>
      <c r="E26167" t="n">
        <v>20.64</v>
      </c>
      <c r="F26167" t="n">
        <v>1</v>
      </c>
      <c r="G26167" t="n">
        <v>2</v>
      </c>
      <c r="H26167" s="5">
        <f>HYPERLINK("https://api.qogita.com/variants/link/8809704190626/", "View Product")</f>
        <v/>
      </c>
    </row>
    <row r="26168">
      <c r="A26168" t="inlineStr">
        <is>
          <t>8809724477271</t>
        </is>
      </c>
      <c r="B26168" t="inlineStr">
        <is>
          <t>Dr. Jart+ Pore Remedy PHA Exfoliating Serum 1oz 30ml</t>
        </is>
      </c>
      <c r="C26168" t="inlineStr">
        <is>
          <t>Hydrating Serum</t>
        </is>
      </c>
      <c r="D26168" t="inlineStr">
        <is>
          <t>Dr. Jart</t>
        </is>
      </c>
      <c r="E26168" t="n">
        <v>32.54</v>
      </c>
      <c r="F26168" t="n">
        <v>1</v>
      </c>
      <c r="G26168" t="n">
        <v>36</v>
      </c>
      <c r="H26168" s="5">
        <f>HYPERLINK("https://api.qogita.com/variants/link/8809724477271/", "View Product")</f>
        <v/>
      </c>
    </row>
    <row r="26169">
      <c r="A26169" t="inlineStr">
        <is>
          <t>8809738314678</t>
        </is>
      </c>
      <c r="B26169" t="inlineStr">
        <is>
          <t>Beauty Of Joseon Green Plum Refreshing Cleanser - 100ml</t>
        </is>
      </c>
      <c r="C26169" t="inlineStr">
        <is>
          <t>Cleansing Foam</t>
        </is>
      </c>
      <c r="D26169" t="inlineStr">
        <is>
          <t>Beauty Of Joseon</t>
        </is>
      </c>
      <c r="E26169" t="n">
        <v>9.01</v>
      </c>
      <c r="F26169" t="n">
        <v>1</v>
      </c>
      <c r="G26169" t="n">
        <v>85</v>
      </c>
      <c r="H26169" s="5">
        <f>HYPERLINK("https://api.qogita.com/variants/link/8809738314678/", "View Product")</f>
        <v/>
      </c>
    </row>
    <row r="26170">
      <c r="A26170" t="inlineStr">
        <is>
          <t>8809744060057</t>
        </is>
      </c>
      <c r="B26170" t="inlineStr">
        <is>
          <t>Masil Intensively Regenerating Hair Mask 8 Seconds Liquid Hair Mask</t>
        </is>
      </c>
      <c r="C26170" t="inlineStr">
        <is>
          <t>Hair Masks</t>
        </is>
      </c>
      <c r="D26170" t="inlineStr">
        <is>
          <t>Masil</t>
        </is>
      </c>
      <c r="E26170" t="n">
        <v>13.85</v>
      </c>
      <c r="F26170" t="n">
        <v>1</v>
      </c>
      <c r="G26170" t="n">
        <v>3</v>
      </c>
      <c r="H26170" s="5">
        <f>HYPERLINK("https://api.qogita.com/variants/link/8809744060057/", "View Product")</f>
        <v/>
      </c>
    </row>
    <row r="26171">
      <c r="A26171" t="inlineStr">
        <is>
          <t>8809744060163</t>
        </is>
      </c>
      <c r="B26171" t="inlineStr">
        <is>
          <t>Masil 8 Seconds Liquid Hair Mask - Intensively Regenerating Hair Mask</t>
        </is>
      </c>
      <c r="C26171" t="inlineStr">
        <is>
          <t>Hair Masks</t>
        </is>
      </c>
      <c r="D26171" t="inlineStr">
        <is>
          <t>Masil</t>
        </is>
      </c>
      <c r="E26171" t="n">
        <v>17.49</v>
      </c>
      <c r="F26171" t="n">
        <v>1</v>
      </c>
      <c r="G26171" t="n">
        <v>4</v>
      </c>
      <c r="H26171" s="5">
        <f>HYPERLINK("https://api.qogita.com/variants/link/8809744060163/", "View Product")</f>
        <v/>
      </c>
    </row>
    <row r="26172">
      <c r="A26172" t="inlineStr">
        <is>
          <t>8809744060521</t>
        </is>
      </c>
      <c r="B26172" t="inlineStr">
        <is>
          <t>Masil 5 Probiotics Apple Cider Vinegar Shampoo 5.1floz - Reduces Itchy Scalp Dandruff Frizz - Sulfate Free - Restores Shine - Clarifying - Vitamin E - Optimal pH Level</t>
        </is>
      </c>
      <c r="C26172" t="inlineStr">
        <is>
          <t>Shampoo</t>
        </is>
      </c>
      <c r="D26172" t="inlineStr">
        <is>
          <t>Masil</t>
        </is>
      </c>
      <c r="E26172" t="n">
        <v>8.77</v>
      </c>
      <c r="F26172" t="n">
        <v>1</v>
      </c>
      <c r="G26172" t="n">
        <v>2</v>
      </c>
      <c r="H26172" s="5">
        <f>HYPERLINK("https://api.qogita.com/variants/link/8809744060521/", "View Product")</f>
        <v/>
      </c>
    </row>
    <row r="26173">
      <c r="A26173" t="inlineStr">
        <is>
          <t>8809744060613</t>
        </is>
      </c>
      <c r="B26173" t="inlineStr">
        <is>
          <t>Masil 6 Salon Lactobacillus Hair Perfume Oil Light for Dry Damaged Curly Frizzy Hair 100ml</t>
        </is>
      </c>
      <c r="C26173" t="inlineStr">
        <is>
          <t>Hair Oil &amp; Hair Serum</t>
        </is>
      </c>
      <c r="D26173" t="inlineStr">
        <is>
          <t>Masil</t>
        </is>
      </c>
      <c r="E26173" t="n">
        <v>14.33</v>
      </c>
      <c r="F26173" t="n">
        <v>1</v>
      </c>
      <c r="G26173" t="n">
        <v>6</v>
      </c>
      <c r="H26173" s="5">
        <f>HYPERLINK("https://api.qogita.com/variants/link/8809744060613/", "View Product")</f>
        <v/>
      </c>
    </row>
    <row r="26174">
      <c r="A26174" t="inlineStr">
        <is>
          <t>8809744061191</t>
        </is>
      </c>
      <c r="B26174" t="inlineStr">
        <is>
          <t>Masil 5 Salon No Yellow Shampoo 500ml</t>
        </is>
      </c>
      <c r="C26174" t="inlineStr">
        <is>
          <t>Shampoo</t>
        </is>
      </c>
      <c r="D26174" t="inlineStr">
        <is>
          <t>Masil</t>
        </is>
      </c>
      <c r="E26174" t="n">
        <v>14.41</v>
      </c>
      <c r="F26174" t="n">
        <v>1</v>
      </c>
      <c r="G26174" t="n">
        <v>3</v>
      </c>
      <c r="H26174" s="5">
        <f>HYPERLINK("https://api.qogita.com/variants/link/8809744061191/", "View Product")</f>
        <v/>
      </c>
    </row>
    <row r="26175">
      <c r="A26175" t="inlineStr">
        <is>
          <t>8809744061412</t>
        </is>
      </c>
      <c r="B26175" t="inlineStr">
        <is>
          <t>Masil 8 Seconds Liquid Hair - 50 Ml</t>
        </is>
      </c>
      <c r="C26175" t="inlineStr">
        <is>
          <t>Hair Masks</t>
        </is>
      </c>
      <c r="D26175" t="inlineStr">
        <is>
          <t>Masil</t>
        </is>
      </c>
      <c r="E26175" t="n">
        <v>5.52</v>
      </c>
      <c r="F26175" t="n">
        <v>1</v>
      </c>
      <c r="G26175" t="n">
        <v>4</v>
      </c>
      <c r="H26175" s="5">
        <f>HYPERLINK("https://api.qogita.com/variants/link/8809744061412/", "View Product")</f>
        <v/>
      </c>
    </row>
    <row r="26176">
      <c r="A26176" t="inlineStr">
        <is>
          <t>8809744061528</t>
        </is>
      </c>
      <c r="B26176" t="inlineStr">
        <is>
          <t>MASIL Ceramide Baby Powder Shower Gel 300 ml</t>
        </is>
      </c>
      <c r="C26176" t="inlineStr">
        <is>
          <t>Baby Bath</t>
        </is>
      </c>
      <c r="D26176" t="inlineStr">
        <is>
          <t>Masil</t>
        </is>
      </c>
      <c r="E26176" t="n">
        <v>10.36</v>
      </c>
      <c r="F26176" t="n">
        <v>1</v>
      </c>
      <c r="G26176" t="n">
        <v>8</v>
      </c>
      <c r="H26176" s="5">
        <f>HYPERLINK("https://api.qogita.com/variants/link/8809744061528/", "View Product")</f>
        <v/>
      </c>
    </row>
    <row r="26177">
      <c r="A26177" t="inlineStr">
        <is>
          <t>8809747922017</t>
        </is>
      </c>
      <c r="B26177" t="inlineStr">
        <is>
          <t>MISSHA Time Revolution The First Essence 150ml</t>
        </is>
      </c>
      <c r="C26177" t="inlineStr">
        <is>
          <t>Hydrating Serum</t>
        </is>
      </c>
      <c r="D26177" t="inlineStr">
        <is>
          <t>Missha</t>
        </is>
      </c>
      <c r="E26177" t="n">
        <v>29.49</v>
      </c>
      <c r="F26177" t="n">
        <v>1</v>
      </c>
      <c r="G26177" t="n">
        <v>8</v>
      </c>
      <c r="H26177" s="5">
        <f>HYPERLINK("https://api.qogita.com/variants/link/8809747922017/", "View Product")</f>
        <v/>
      </c>
    </row>
    <row r="26178">
      <c r="A26178" t="inlineStr">
        <is>
          <t>8809747928743</t>
        </is>
      </c>
      <c r="B26178" t="inlineStr">
        <is>
          <t>Missha Super Aqua Ultra Hyalron Balm Cream 70ml</t>
        </is>
      </c>
      <c r="C26178" t="inlineStr">
        <is>
          <t>Face Cream</t>
        </is>
      </c>
      <c r="D26178" t="inlineStr">
        <is>
          <t>Missha</t>
        </is>
      </c>
      <c r="E26178" t="n">
        <v>17.74</v>
      </c>
      <c r="F26178" t="n">
        <v>1</v>
      </c>
      <c r="G26178" t="n">
        <v>2</v>
      </c>
      <c r="H26178" s="5">
        <f>HYPERLINK("https://api.qogita.com/variants/link/8809747928743/", "View Product")</f>
        <v/>
      </c>
    </row>
    <row r="26179">
      <c r="A26179" t="inlineStr">
        <is>
          <t>8809747932528</t>
        </is>
      </c>
      <c r="B26179" t="inlineStr">
        <is>
          <t>Missha Time Revolution Immortal Youth Antiaging Cream Cream 2x 50 Ml</t>
        </is>
      </c>
      <c r="C26179" t="inlineStr">
        <is>
          <t>Anti-Aging Facial Care</t>
        </is>
      </c>
      <c r="D26179" t="inlineStr">
        <is>
          <t>Missha</t>
        </is>
      </c>
      <c r="E26179" t="n">
        <v>33.11</v>
      </c>
      <c r="F26179" t="n">
        <v>1</v>
      </c>
      <c r="G26179" t="n">
        <v>13</v>
      </c>
      <c r="H26179" s="5">
        <f>HYPERLINK("https://api.qogita.com/variants/link/8809747932528/", "View Product")</f>
        <v/>
      </c>
    </row>
    <row r="26180">
      <c r="A26180" t="inlineStr">
        <is>
          <t>8809747940097</t>
        </is>
      </c>
      <c r="B26180" t="inlineStr">
        <is>
          <t>MISSHA Chogongjin Youngan Essence</t>
        </is>
      </c>
      <c r="C26180" t="inlineStr">
        <is>
          <t>Anti-Aging Serum</t>
        </is>
      </c>
      <c r="D26180" t="inlineStr">
        <is>
          <t>Missha</t>
        </is>
      </c>
      <c r="E26180" t="n">
        <v>34.83</v>
      </c>
      <c r="F26180" t="n">
        <v>1</v>
      </c>
      <c r="G26180" t="n">
        <v>5</v>
      </c>
      <c r="H26180" s="5">
        <f>HYPERLINK("https://api.qogita.com/variants/link/8809747940097/", "View Product")</f>
        <v/>
      </c>
    </row>
    <row r="26181">
      <c r="A26181" t="inlineStr">
        <is>
          <t>8809747940103</t>
        </is>
      </c>
      <c r="B26181" t="inlineStr">
        <is>
          <t>Missha Chogongjin Youngan Jin Cream 60ml Total Firming Brightening Anti-wrinkles</t>
        </is>
      </c>
      <c r="C26181" t="inlineStr">
        <is>
          <t>Anti-Aging Facial Care</t>
        </is>
      </c>
      <c r="D26181" t="inlineStr">
        <is>
          <t>Missha</t>
        </is>
      </c>
      <c r="E26181" t="n">
        <v>41.17</v>
      </c>
      <c r="F26181" t="n">
        <v>1</v>
      </c>
      <c r="G26181" t="n">
        <v>25</v>
      </c>
      <c r="H26181" s="5">
        <f>HYPERLINK("https://api.qogita.com/variants/link/8809747940103/", "View Product")</f>
        <v/>
      </c>
    </row>
    <row r="26182">
      <c r="A26182" t="inlineStr">
        <is>
          <t>8809747940448</t>
        </is>
      </c>
      <c r="B26182" t="inlineStr">
        <is>
          <t>Missha Chogongjin Sosaeng Boosting Essence 90ml</t>
        </is>
      </c>
      <c r="C26182" t="inlineStr">
        <is>
          <t>Ampoules</t>
        </is>
      </c>
      <c r="D26182" t="inlineStr">
        <is>
          <t>Missha</t>
        </is>
      </c>
      <c r="E26182" t="n">
        <v>34.83</v>
      </c>
      <c r="F26182" t="n">
        <v>1</v>
      </c>
      <c r="G26182" t="n">
        <v>4</v>
      </c>
      <c r="H26182" s="5">
        <f>HYPERLINK("https://api.qogita.com/variants/link/8809747940448/", "View Product")</f>
        <v/>
      </c>
    </row>
    <row r="26183">
      <c r="A26183" t="inlineStr">
        <is>
          <t>8809747941872</t>
        </is>
      </c>
      <c r="B26183" t="inlineStr">
        <is>
          <t>Missha Chogongjin Geumsul Jin Boosting Essence Strengthening Essence For Dry And Mature Skin</t>
        </is>
      </c>
      <c r="C26183" t="inlineStr">
        <is>
          <t>Anti-Aging Serum</t>
        </is>
      </c>
      <c r="D26183" t="inlineStr">
        <is>
          <t>Missha</t>
        </is>
      </c>
      <c r="E26183" t="n">
        <v>26.6</v>
      </c>
      <c r="F26183" t="n">
        <v>1</v>
      </c>
      <c r="G26183" t="n">
        <v>11</v>
      </c>
      <c r="H26183" s="5">
        <f>HYPERLINK("https://api.qogita.com/variants/link/8809747941872/", "View Product")</f>
        <v/>
      </c>
    </row>
    <row r="26184">
      <c r="A26184" t="inlineStr">
        <is>
          <t>8809747942121</t>
        </is>
      </c>
      <c r="B26184" t="inlineStr">
        <is>
          <t>Missha All Around Safe Block Aqua Sun SPF 50+/PA++++ 50ml</t>
        </is>
      </c>
      <c r="C26184" t="inlineStr">
        <is>
          <t>Face Sun Protection</t>
        </is>
      </c>
      <c r="D26184" t="inlineStr">
        <is>
          <t>Missha</t>
        </is>
      </c>
      <c r="E26184" t="n">
        <v>9.74</v>
      </c>
      <c r="F26184" t="n">
        <v>1</v>
      </c>
      <c r="G26184" t="n">
        <v>9</v>
      </c>
      <c r="H26184" s="5">
        <f>HYPERLINK("https://api.qogita.com/variants/link/8809747942121/", "View Product")</f>
        <v/>
      </c>
    </row>
    <row r="26185">
      <c r="A26185" t="inlineStr">
        <is>
          <t>8809747942138</t>
        </is>
      </c>
      <c r="B26185" t="inlineStr">
        <is>
          <t>Missha All Around Safe Block Cotton Sunscreen 50ml</t>
        </is>
      </c>
      <c r="C26185" t="inlineStr">
        <is>
          <t>Face Sun Protection</t>
        </is>
      </c>
      <c r="D26185" t="inlineStr">
        <is>
          <t>Missha</t>
        </is>
      </c>
      <c r="E26185" t="n">
        <v>9.869999999999999</v>
      </c>
      <c r="F26185" t="n">
        <v>1</v>
      </c>
      <c r="G26185" t="n">
        <v>5</v>
      </c>
      <c r="H26185" s="5">
        <f>HYPERLINK("https://api.qogita.com/variants/link/8809747942138/", "View Product")</f>
        <v/>
      </c>
    </row>
    <row r="26186">
      <c r="A26186" t="inlineStr">
        <is>
          <t>8809750463682</t>
        </is>
      </c>
      <c r="B26186" t="inlineStr">
        <is>
          <t>Abib Abib Gummy Sheet Mask Vita Sticker</t>
        </is>
      </c>
      <c r="C26186" t="inlineStr">
        <is>
          <t>Sheet Mask</t>
        </is>
      </c>
      <c r="D26186" t="inlineStr">
        <is>
          <t>Abib</t>
        </is>
      </c>
      <c r="E26186" t="n">
        <v>2.1</v>
      </c>
      <c r="F26186" t="n">
        <v>1</v>
      </c>
      <c r="G26186" t="n">
        <v>3</v>
      </c>
      <c r="H26186" s="5">
        <f>HYPERLINK("https://api.qogita.com/variants/link/8809750463682/", "View Product")</f>
        <v/>
      </c>
    </row>
    <row r="26187">
      <c r="A26187" t="inlineStr">
        <is>
          <t>8809759908429</t>
        </is>
      </c>
      <c r="B26187" t="inlineStr">
        <is>
          <t>Banila Co Clean It Zero Cleansing Balm Moisturizing For Face 100ml</t>
        </is>
      </c>
      <c r="C26187" t="inlineStr">
        <is>
          <t>Cleansing Cream</t>
        </is>
      </c>
      <c r="D26187" t="inlineStr">
        <is>
          <t>Banila Co</t>
        </is>
      </c>
      <c r="E26187" t="n">
        <v>17.83</v>
      </c>
      <c r="F26187" t="n">
        <v>1</v>
      </c>
      <c r="G26187" t="n">
        <v>5</v>
      </c>
      <c r="H26187" s="5">
        <f>HYPERLINK("https://api.qogita.com/variants/link/8809759908429/", "View Product")</f>
        <v/>
      </c>
    </row>
    <row r="26188">
      <c r="A26188" t="inlineStr">
        <is>
          <t>8809759908535</t>
        </is>
      </c>
      <c r="B26188" t="inlineStr">
        <is>
          <t>Banila Co Clean It Zero Original Makeup Remover Lotion 25ml</t>
        </is>
      </c>
      <c r="C26188" t="inlineStr">
        <is>
          <t>Makeup Remover</t>
        </is>
      </c>
      <c r="D26188" t="inlineStr">
        <is>
          <t>Banila Co</t>
        </is>
      </c>
      <c r="E26188" t="n">
        <v>5.74</v>
      </c>
      <c r="F26188" t="n">
        <v>1</v>
      </c>
      <c r="G26188" t="n">
        <v>6</v>
      </c>
      <c r="H26188" s="5">
        <f>HYPERLINK("https://api.qogita.com/variants/link/8809759908535/", "View Product")</f>
        <v/>
      </c>
    </row>
    <row r="26189">
      <c r="A26189" t="inlineStr">
        <is>
          <t>8809782555508</t>
        </is>
      </c>
      <c r="B26189" t="inlineStr">
        <is>
          <t>Beauty Of Joseon Relief Sun Rice + Probiotics Spf50 Sunscreen 50ml</t>
        </is>
      </c>
      <c r="C26189" t="inlineStr">
        <is>
          <t>Face Sun Protection</t>
        </is>
      </c>
      <c r="D26189" t="inlineStr">
        <is>
          <t>Beauty Of Joseon</t>
        </is>
      </c>
      <c r="E26189" t="n">
        <v>12.69</v>
      </c>
      <c r="F26189" t="n">
        <v>1</v>
      </c>
      <c r="G26189" t="n">
        <v>159</v>
      </c>
      <c r="H26189" s="5">
        <f>HYPERLINK("https://api.qogita.com/variants/link/8809782555508/", "View Product")</f>
        <v/>
      </c>
    </row>
    <row r="26190">
      <c r="A26190" t="inlineStr">
        <is>
          <t>8809789570566</t>
        </is>
      </c>
      <c r="B26190" t="inlineStr">
        <is>
          <t>Skybottle Unscented Blue Agave Hand Cream Extra Hydrating Lotion Vegan</t>
        </is>
      </c>
      <c r="C26190" t="inlineStr">
        <is>
          <t>Hand Cream</t>
        </is>
      </c>
      <c r="D26190" t="inlineStr">
        <is>
          <t>Skybottle</t>
        </is>
      </c>
      <c r="E26190" t="n">
        <v>11.56</v>
      </c>
      <c r="F26190" t="n">
        <v>1</v>
      </c>
      <c r="G26190" t="n">
        <v>5</v>
      </c>
      <c r="H26190" s="5">
        <f>HYPERLINK("https://api.qogita.com/variants/link/8809789570566/", "View Product")</f>
        <v/>
      </c>
    </row>
    <row r="26191">
      <c r="A26191" t="inlineStr">
        <is>
          <t>8809800940736</t>
        </is>
      </c>
      <c r="B26191" t="inlineStr">
        <is>
          <t>Isntree Onion Newpair Pimple Patch Basic 24 Patches</t>
        </is>
      </c>
      <c r="C26191" t="inlineStr">
        <is>
          <t>Pimple &amp; Blackhead Treatments</t>
        </is>
      </c>
      <c r="D26191" t="inlineStr">
        <is>
          <t>Isntree</t>
        </is>
      </c>
      <c r="E26191" t="n">
        <v>5.09</v>
      </c>
      <c r="F26191" t="n">
        <v>1</v>
      </c>
      <c r="G26191" t="n">
        <v>14</v>
      </c>
      <c r="H26191" s="5">
        <f>HYPERLINK("https://api.qogita.com/variants/link/8809800940736/", "View Product")</f>
        <v/>
      </c>
    </row>
    <row r="26192">
      <c r="A26192" t="inlineStr">
        <is>
          <t>8809844993095</t>
        </is>
      </c>
      <c r="B26192" t="inlineStr">
        <is>
          <t>Dr. Jart+ Ceramidin Skin Barrier Serum Toner 5.07oz/150ml</t>
        </is>
      </c>
      <c r="C26192" t="inlineStr">
        <is>
          <t>Hydrating Serum</t>
        </is>
      </c>
      <c r="D26192" t="inlineStr">
        <is>
          <t>Dr. Jart</t>
        </is>
      </c>
      <c r="E26192" t="n">
        <v>32</v>
      </c>
      <c r="F26192" t="n">
        <v>1</v>
      </c>
      <c r="G26192" t="n">
        <v>11</v>
      </c>
      <c r="H26192" s="5">
        <f>HYPERLINK("https://api.qogita.com/variants/link/8809844993095/", "View Product")</f>
        <v/>
      </c>
    </row>
    <row r="26193">
      <c r="A26193" t="inlineStr">
        <is>
          <t>8809844995075</t>
        </is>
      </c>
      <c r="B26193" t="inlineStr">
        <is>
          <t>Dr. Jart+ Dermask Porecting Solution Cleansing Mask - 28 g, with Activated Charcoal</t>
        </is>
      </c>
      <c r="C26193" t="inlineStr">
        <is>
          <t>Charcoal Mask</t>
        </is>
      </c>
      <c r="D26193" t="inlineStr">
        <is>
          <t>Dr. Jart</t>
        </is>
      </c>
      <c r="E26193" t="n">
        <v>5</v>
      </c>
      <c r="F26193" t="n">
        <v>1</v>
      </c>
      <c r="G26193" t="n">
        <v>4</v>
      </c>
      <c r="H26193" s="5">
        <f>HYPERLINK("https://api.qogita.com/variants/link/8809844995075/", "View Product")</f>
        <v/>
      </c>
    </row>
    <row r="26194">
      <c r="A26194" t="inlineStr">
        <is>
          <t>8809844996645</t>
        </is>
      </c>
      <c r="B26194" t="inlineStr">
        <is>
          <t>Dr. Jart+ Cicapair Sleepair Intensive Soothing Repair Mask - 75 ml, Intensive soothing and hydrating</t>
        </is>
      </c>
      <c r="C26194" t="inlineStr">
        <is>
          <t>Hydrating Mask</t>
        </is>
      </c>
      <c r="D26194" t="inlineStr">
        <is>
          <t>Dr. Jart</t>
        </is>
      </c>
      <c r="E26194" t="n">
        <v>30.32</v>
      </c>
      <c r="F26194" t="n">
        <v>1</v>
      </c>
      <c r="G26194" t="n">
        <v>3</v>
      </c>
      <c r="H26194" s="5">
        <f>HYPERLINK("https://api.qogita.com/variants/link/8809844996645/", "View Product")</f>
        <v/>
      </c>
    </row>
    <row r="26195">
      <c r="A26195" t="inlineStr">
        <is>
          <t>8809844996775</t>
        </is>
      </c>
      <c r="B26195" t="inlineStr">
        <is>
          <t>Dr. Jart+ Vital Hydra Solution Hydro Plump Treatment Essence - 150 ml, with Hyaluronic Acid</t>
        </is>
      </c>
      <c r="C26195" t="inlineStr">
        <is>
          <t>Hyaluronic Acid Serum</t>
        </is>
      </c>
      <c r="D26195" t="inlineStr">
        <is>
          <t>Dr. Jart</t>
        </is>
      </c>
      <c r="E26195" t="n">
        <v>26.34</v>
      </c>
      <c r="F26195" t="n">
        <v>1</v>
      </c>
      <c r="G26195" t="n">
        <v>4</v>
      </c>
      <c r="H26195" s="5">
        <f>HYPERLINK("https://api.qogita.com/variants/link/8809844996775/", "View Product")</f>
        <v/>
      </c>
    </row>
    <row r="26196">
      <c r="A26196" t="inlineStr">
        <is>
          <t>8809844997611</t>
        </is>
      </c>
      <c r="B26196" t="inlineStr">
        <is>
          <t>Dr.Jart+ Ceramidin Moisturizing Hand Cream for Dry Hands with Ceramides and Panthenol 3.38 fl oz</t>
        </is>
      </c>
      <c r="C26196" t="inlineStr">
        <is>
          <t>Hand Cream</t>
        </is>
      </c>
      <c r="D26196" t="inlineStr">
        <is>
          <t>Dr. Jart</t>
        </is>
      </c>
      <c r="E26196" t="n">
        <v>15.53</v>
      </c>
      <c r="F26196" t="n">
        <v>1</v>
      </c>
      <c r="G26196" t="n">
        <v>6</v>
      </c>
      <c r="H26196" s="5">
        <f>HYPERLINK("https://api.qogita.com/variants/link/8809844997611/", "View Product")</f>
        <v/>
      </c>
    </row>
    <row r="26197">
      <c r="A26197" t="inlineStr">
        <is>
          <t>8809844997628</t>
        </is>
      </c>
      <c r="B26197" t="inlineStr">
        <is>
          <t>Dr.Jart+ Ceramidin Jelly Lip Balm with Ceramides Korean Skin Care 0.24 fl oz</t>
        </is>
      </c>
      <c r="C26197" t="inlineStr">
        <is>
          <t>Lip Balm</t>
        </is>
      </c>
      <c r="D26197" t="inlineStr">
        <is>
          <t>Dr. Jart</t>
        </is>
      </c>
      <c r="E26197" t="n">
        <v>11.06</v>
      </c>
      <c r="F26197" t="n">
        <v>1</v>
      </c>
      <c r="G26197" t="n">
        <v>5</v>
      </c>
      <c r="H26197" s="5">
        <f>HYPERLINK("https://api.qogita.com/variants/link/8809844997628/", "View Product")</f>
        <v/>
      </c>
    </row>
    <row r="26198">
      <c r="A26198" t="inlineStr">
        <is>
          <t>8809864752689</t>
        </is>
      </c>
      <c r="B26198" t="inlineStr">
        <is>
          <t>Beauty Of Joseon Ginseng Sun Serum 50ml Spf 50 Protective Skin Serum</t>
        </is>
      </c>
      <c r="C26198" t="inlineStr">
        <is>
          <t>Face Dermacosmetics Sun Protection</t>
        </is>
      </c>
      <c r="D26198" t="inlineStr">
        <is>
          <t>Beauty Of Joseon</t>
        </is>
      </c>
      <c r="E26198" t="n">
        <v>13.72</v>
      </c>
      <c r="F26198" t="n">
        <v>1</v>
      </c>
      <c r="G26198" t="n">
        <v>31</v>
      </c>
      <c r="H26198" s="5">
        <f>HYPERLINK("https://api.qogita.com/variants/link/8809864752689/", "View Product")</f>
        <v/>
      </c>
    </row>
    <row r="26199">
      <c r="A26199" t="inlineStr">
        <is>
          <t>8809864766907</t>
        </is>
      </c>
      <c r="B26199" t="inlineStr">
        <is>
          <t>Heartleaf Sun Essence Calming Drop 50ml</t>
        </is>
      </c>
      <c r="C26199" t="inlineStr">
        <is>
          <t>Hydrating Serum</t>
        </is>
      </c>
      <c r="D26199" t="inlineStr">
        <is>
          <t>Abib</t>
        </is>
      </c>
      <c r="E26199" t="n">
        <v>14.72</v>
      </c>
      <c r="F26199" t="n">
        <v>1</v>
      </c>
      <c r="G26199" t="n">
        <v>5</v>
      </c>
      <c r="H26199" s="5">
        <f>HYPERLINK("https://api.qogita.com/variants/link/8809864766907/", "View Product")</f>
        <v/>
      </c>
    </row>
    <row r="26200">
      <c r="A26200" t="inlineStr">
        <is>
          <t>8809864768123</t>
        </is>
      </c>
      <c r="B26200" t="inlineStr">
        <is>
          <t>Abib Collagen Eye Patch Jericho Rose Jelly Vegan Collagen Transparent Hydrogel Under Eye Mask</t>
        </is>
      </c>
      <c r="C26200" t="inlineStr">
        <is>
          <t>Eye Masks &amp; Eye Pads</t>
        </is>
      </c>
      <c r="D26200" t="inlineStr">
        <is>
          <t>Abib</t>
        </is>
      </c>
      <c r="E26200" t="n">
        <v>14.86</v>
      </c>
      <c r="F26200" t="n">
        <v>1</v>
      </c>
      <c r="G26200" t="n">
        <v>5</v>
      </c>
      <c r="H26200" s="5">
        <f>HYPERLINK("https://api.qogita.com/variants/link/8809864768123/", "View Product")</f>
        <v/>
      </c>
    </row>
    <row r="26201">
      <c r="A26201" t="inlineStr">
        <is>
          <t>8809874683997</t>
        </is>
      </c>
      <c r="B26201" t="inlineStr">
        <is>
          <t>Aplb Glutathione Niacinamide Cleansing Balm Lipo Gluta Niac Oil 68.6% 2.71</t>
        </is>
      </c>
      <c r="C26201" t="inlineStr">
        <is>
          <t>Cleansing Cream</t>
        </is>
      </c>
      <c r="D26201" t="inlineStr">
        <is>
          <t>Aplb</t>
        </is>
      </c>
      <c r="E26201" t="n">
        <v>8.25</v>
      </c>
      <c r="F26201" t="n">
        <v>1</v>
      </c>
      <c r="G26201" t="n">
        <v>8</v>
      </c>
      <c r="H26201" s="5">
        <f>HYPERLINK("https://api.qogita.com/variants/link/8809874683997/", "View Product")</f>
        <v/>
      </c>
    </row>
    <row r="26202">
      <c r="A26202" t="inlineStr">
        <is>
          <t>8809874685083</t>
        </is>
      </c>
      <c r="B26202" t="inlineStr">
        <is>
          <t>Aplb Pdrn Vitamin C Ampoule Serum Pdrn Vita Centm 49.1% 1.35 Fl Oz</t>
        </is>
      </c>
      <c r="C26202" t="inlineStr">
        <is>
          <t>Vitamin Serum</t>
        </is>
      </c>
      <c r="D26202" t="inlineStr">
        <is>
          <t>Aplb</t>
        </is>
      </c>
      <c r="E26202" t="n">
        <v>7.92</v>
      </c>
      <c r="F26202" t="n">
        <v>1</v>
      </c>
      <c r="G26202" t="n">
        <v>10</v>
      </c>
      <c r="H26202" s="5">
        <f>HYPERLINK("https://api.qogita.com/variants/link/8809874685083/", "View Product")</f>
        <v/>
      </c>
    </row>
    <row r="26203">
      <c r="A26203" t="inlineStr">
        <is>
          <t>8809913830085</t>
        </is>
      </c>
      <c r="B26203" t="inlineStr">
        <is>
          <t>Skin1004 Madagascar Centella Poremizing Quick Clay Stick Mask - 27 Grams</t>
        </is>
      </c>
      <c r="C26203" t="inlineStr">
        <is>
          <t>Clay Mask</t>
        </is>
      </c>
      <c r="D26203" t="inlineStr">
        <is>
          <t>Skin1004</t>
        </is>
      </c>
      <c r="E26203" t="n">
        <v>14.84</v>
      </c>
      <c r="F26203" t="n">
        <v>1</v>
      </c>
      <c r="G26203" t="n">
        <v>14</v>
      </c>
      <c r="H26203" s="5">
        <f>HYPERLINK("https://api.qogita.com/variants/link/8809913830085/", "View Product")</f>
        <v/>
      </c>
    </row>
    <row r="26204">
      <c r="A26204" t="inlineStr">
        <is>
          <t>8809913831228</t>
        </is>
      </c>
      <c r="B26204" t="inlineStr">
        <is>
          <t>Skin1004 Madagascar Centella Tone Brightening Capsule Ampoule 100ml</t>
        </is>
      </c>
      <c r="C26204" t="inlineStr">
        <is>
          <t>Ampoules</t>
        </is>
      </c>
      <c r="D26204" t="inlineStr">
        <is>
          <t>Skin1004</t>
        </is>
      </c>
      <c r="E26204" t="n">
        <v>16.29</v>
      </c>
      <c r="F26204" t="n">
        <v>1</v>
      </c>
      <c r="G26204" t="n">
        <v>32</v>
      </c>
      <c r="H26204" s="5">
        <f>HYPERLINK("https://api.qogita.com/variants/link/8809913831228/", "View Product")</f>
        <v/>
      </c>
    </row>
    <row r="26205">
      <c r="A26205" t="inlineStr">
        <is>
          <t>8809928133874</t>
        </is>
      </c>
      <c r="B26205" t="inlineStr">
        <is>
          <t>TIRTIR Mask Fit Red Cushion Foundation Japan's No.1 Choice for Glass Skin Long-Lasting Lightweight Buildable Coverage Semi-Matte 0.63 Fl Oz 24W Soft Beige</t>
        </is>
      </c>
      <c r="C26205" t="inlineStr">
        <is>
          <t>Foundation</t>
        </is>
      </c>
      <c r="D26205" t="inlineStr">
        <is>
          <t>Tirtir</t>
        </is>
      </c>
      <c r="E26205" t="n">
        <v>21.35</v>
      </c>
      <c r="F26205" t="n">
        <v>1</v>
      </c>
      <c r="G26205" t="n">
        <v>5</v>
      </c>
      <c r="H26205" s="5">
        <f>HYPERLINK("https://api.qogita.com/variants/link/8809928133874/", "View Product")</f>
        <v/>
      </c>
    </row>
    <row r="26206">
      <c r="A26206" t="inlineStr">
        <is>
          <t>8809928135830</t>
        </is>
      </c>
      <c r="B26206" t="inlineStr">
        <is>
          <t>Tirtir Mask Fit Red Cushion Foundation - Full Coverage, Weightless, Skin Fit</t>
        </is>
      </c>
      <c r="C26206" t="inlineStr">
        <is>
          <t>Foundation</t>
        </is>
      </c>
      <c r="D26206" t="inlineStr">
        <is>
          <t>Tirtir</t>
        </is>
      </c>
      <c r="E26206" t="n">
        <v>18.4</v>
      </c>
      <c r="F26206" t="n">
        <v>1</v>
      </c>
      <c r="G26206" t="n">
        <v>2</v>
      </c>
      <c r="H26206" s="5">
        <f>HYPERLINK("https://api.qogita.com/variants/link/8809928135830/", "View Product")</f>
        <v/>
      </c>
    </row>
    <row r="26207">
      <c r="A26207" t="inlineStr">
        <is>
          <t>8809937361688</t>
        </is>
      </c>
      <c r="B26207" t="inlineStr">
        <is>
          <t>Biodance Hydro Cera-Nol Skin Serum Ampoule 50 Ml For Dry And Sensitive Skin</t>
        </is>
      </c>
      <c r="C26207" t="inlineStr">
        <is>
          <t>Ampoules</t>
        </is>
      </c>
      <c r="D26207" t="inlineStr">
        <is>
          <t>Biodance</t>
        </is>
      </c>
      <c r="E26207" t="n">
        <v>40.96</v>
      </c>
      <c r="F26207" t="n">
        <v>1</v>
      </c>
      <c r="G26207" t="n">
        <v>27</v>
      </c>
      <c r="H26207" s="5">
        <f>HYPERLINK("https://api.qogita.com/variants/link/8809937361688/", "View Product")</f>
        <v/>
      </c>
    </row>
    <row r="26208">
      <c r="A26208" t="inlineStr">
        <is>
          <t>8809937361794</t>
        </is>
      </c>
      <c r="B26208" t="inlineStr">
        <is>
          <t>Biodance Soothing Barrier Cleansing Foam - 120ml</t>
        </is>
      </c>
      <c r="C26208" t="inlineStr">
        <is>
          <t>Cleansing Foam</t>
        </is>
      </c>
      <c r="D26208" t="inlineStr">
        <is>
          <t>Biodance</t>
        </is>
      </c>
      <c r="E26208" t="n">
        <v>21.85</v>
      </c>
      <c r="F26208" t="n">
        <v>1</v>
      </c>
      <c r="G26208" t="n">
        <v>27</v>
      </c>
      <c r="H26208" s="5">
        <f>HYPERLINK("https://api.qogita.com/variants/link/8809937361794/", "View Product")</f>
        <v/>
      </c>
    </row>
    <row r="26209">
      <c r="A26209" t="inlineStr">
        <is>
          <t>8809982769903</t>
        </is>
      </c>
      <c r="B26209" t="inlineStr">
        <is>
          <t>Medicube Collagen Jelly Cream Firming Face Gel 110ml</t>
        </is>
      </c>
      <c r="C26209" t="inlineStr">
        <is>
          <t>Face Cream</t>
        </is>
      </c>
      <c r="D26209" t="inlineStr">
        <is>
          <t>Medicube</t>
        </is>
      </c>
      <c r="E26209" t="n">
        <v>19.92</v>
      </c>
      <c r="F26209" t="n">
        <v>1</v>
      </c>
      <c r="G26209" t="n">
        <v>7</v>
      </c>
      <c r="H26209" s="5">
        <f>HYPERLINK("https://api.qogita.com/variants/link/8809982769903/", "View Product")</f>
        <v/>
      </c>
    </row>
    <row r="26210">
      <c r="A26210" t="inlineStr">
        <is>
          <t>8809982769941</t>
        </is>
      </c>
      <c r="B26210" t="inlineStr">
        <is>
          <t>Medicube Deep Vita C Daily Quick Sheet Mask 30 Pieces</t>
        </is>
      </c>
      <c r="C26210" t="inlineStr">
        <is>
          <t>Sheet Mask</t>
        </is>
      </c>
      <c r="D26210" t="inlineStr">
        <is>
          <t>Medicube</t>
        </is>
      </c>
      <c r="E26210" t="n">
        <v>20.98</v>
      </c>
      <c r="F26210" t="n">
        <v>1</v>
      </c>
      <c r="G26210" t="n">
        <v>5</v>
      </c>
      <c r="H26210" s="5">
        <f>HYPERLINK("https://api.qogita.com/variants/link/8809982769941/", "View Product")</f>
        <v/>
      </c>
    </row>
    <row r="26211">
      <c r="A26211" t="inlineStr">
        <is>
          <t>9001498302400</t>
        </is>
      </c>
      <c r="B26211" t="inlineStr">
        <is>
          <t>Pitralon Pitrell Pre Shave</t>
        </is>
      </c>
      <c r="C26211" t="inlineStr">
        <is>
          <t>Aftershave</t>
        </is>
      </c>
      <c r="D26211" t="inlineStr">
        <is>
          <t>Pitralon</t>
        </is>
      </c>
      <c r="E26211" t="n">
        <v>3.99</v>
      </c>
      <c r="F26211" t="n">
        <v>1</v>
      </c>
      <c r="G26211" t="n">
        <v>219</v>
      </c>
      <c r="H26211" s="5">
        <f>HYPERLINK("https://api.qogita.com/variants/link/9001498302400/", "View Product")</f>
        <v/>
      </c>
    </row>
    <row r="26212">
      <c r="A26212" t="inlineStr">
        <is>
          <t>9003877901143</t>
        </is>
      </c>
      <c r="B26212" t="inlineStr">
        <is>
          <t>RefectoCil Tint Remover 150ml</t>
        </is>
      </c>
      <c r="C26212" t="inlineStr">
        <is>
          <t>Hair Dye</t>
        </is>
      </c>
      <c r="D26212" t="inlineStr">
        <is>
          <t>Refectocil</t>
        </is>
      </c>
      <c r="E26212" t="n">
        <v>9.9</v>
      </c>
      <c r="F26212" t="n">
        <v>1</v>
      </c>
      <c r="G26212" t="n">
        <v>3</v>
      </c>
      <c r="H26212" s="5">
        <f>HYPERLINK("https://api.qogita.com/variants/link/9003877901143/", "View Product")</f>
        <v/>
      </c>
    </row>
    <row r="26213">
      <c r="A26213" t="inlineStr">
        <is>
          <t>9003877901181</t>
        </is>
      </c>
      <c r="B26213" t="inlineStr">
        <is>
          <t>Refectocil Oxidant Cream Hydrogen Peroxide Cream 3% 100ml</t>
        </is>
      </c>
      <c r="C26213" t="inlineStr">
        <is>
          <t>Bleaching</t>
        </is>
      </c>
      <c r="D26213" t="inlineStr">
        <is>
          <t>Refectocil</t>
        </is>
      </c>
      <c r="E26213" t="n">
        <v>4.84</v>
      </c>
      <c r="F26213" t="n">
        <v>1</v>
      </c>
      <c r="G26213" t="n">
        <v>42</v>
      </c>
      <c r="H26213" s="5">
        <f>HYPERLINK("https://api.qogita.com/variants/link/9003877901181/", "View Product")</f>
        <v/>
      </c>
    </row>
    <row r="26214">
      <c r="A26214" t="inlineStr">
        <is>
          <t>9003877905448</t>
        </is>
      </c>
      <c r="B26214" t="inlineStr">
        <is>
          <t>Refectocil Brow &amp; Lash Foam 45ml</t>
        </is>
      </c>
      <c r="C26214" t="inlineStr">
        <is>
          <t>Cleansing Foam</t>
        </is>
      </c>
      <c r="D26214" t="inlineStr">
        <is>
          <t>Refectocil</t>
        </is>
      </c>
      <c r="E26214" t="n">
        <v>7.66</v>
      </c>
      <c r="F26214" t="n">
        <v>1</v>
      </c>
      <c r="G26214" t="n">
        <v>5</v>
      </c>
      <c r="H26214" s="5">
        <f>HYPERLINK("https://api.qogita.com/variants/link/9003877905448/", "View Product")</f>
        <v/>
      </c>
    </row>
    <row r="26215">
      <c r="A26215" t="inlineStr">
        <is>
          <t>9003877905493</t>
        </is>
      </c>
      <c r="B26215" t="inlineStr">
        <is>
          <t>Refectocil Full Brow Waterproof Liner 03 Dark Brown</t>
        </is>
      </c>
      <c r="C26215" t="inlineStr">
        <is>
          <t>Other</t>
        </is>
      </c>
      <c r="D26215" t="inlineStr">
        <is>
          <t>Refectocil</t>
        </is>
      </c>
      <c r="E26215" t="n">
        <v>16.65</v>
      </c>
      <c r="F26215" t="n">
        <v>1</v>
      </c>
      <c r="G26215" t="n">
        <v>2</v>
      </c>
      <c r="H26215" s="5">
        <f>HYPERLINK("https://api.qogita.com/variants/link/9003877905493/", "View Product")</f>
        <v/>
      </c>
    </row>
    <row r="26216">
      <c r="A26216" t="inlineStr">
        <is>
          <t>9004432010201</t>
        </is>
      </c>
      <c r="B26216" t="inlineStr">
        <is>
          <t>Styx Shea Butter Body Cream 200ml</t>
        </is>
      </c>
      <c r="C26216" t="inlineStr">
        <is>
          <t>Body Butter</t>
        </is>
      </c>
      <c r="D26216" t="inlineStr">
        <is>
          <t>Styx</t>
        </is>
      </c>
      <c r="E26216" t="n">
        <v>13.96</v>
      </c>
      <c r="F26216" t="n">
        <v>1</v>
      </c>
      <c r="G26216" t="n">
        <v>3</v>
      </c>
      <c r="H26216" s="5">
        <f>HYPERLINK("https://api.qogita.com/variants/link/9004432010201/", "View Product")</f>
        <v/>
      </c>
    </row>
    <row r="26217">
      <c r="A26217" t="inlineStr">
        <is>
          <t>9004432831332</t>
        </is>
      </c>
      <c r="B26217" t="inlineStr">
        <is>
          <t>Aroma Derm Firming Gel Forte 150ml</t>
        </is>
      </c>
      <c r="C26217" t="inlineStr">
        <is>
          <t>Anti-Cellulite</t>
        </is>
      </c>
      <c r="D26217" t="inlineStr">
        <is>
          <t>Styx</t>
        </is>
      </c>
      <c r="E26217" t="n">
        <v>17</v>
      </c>
      <c r="F26217" t="n">
        <v>1</v>
      </c>
      <c r="G26217" t="n">
        <v>6</v>
      </c>
      <c r="H26217" s="5">
        <f>HYPERLINK("https://api.qogita.com/variants/link/9004432831332/", "View Product")</f>
        <v/>
      </c>
    </row>
    <row r="26218">
      <c r="A26218" t="inlineStr">
        <is>
          <t>9005800217215</t>
        </is>
      </c>
      <c r="B26218" t="inlineStr">
        <is>
          <t>Nivea Diamond Gloss Care Hair Spray 250ml</t>
        </is>
      </c>
      <c r="C26218" t="inlineStr">
        <is>
          <t>Hairspray</t>
        </is>
      </c>
      <c r="D26218" t="inlineStr">
        <is>
          <t>Nivea</t>
        </is>
      </c>
      <c r="E26218" t="n">
        <v>5.9</v>
      </c>
      <c r="F26218" t="n">
        <v>1</v>
      </c>
      <c r="G26218" t="n">
        <v>10</v>
      </c>
      <c r="H26218" s="5">
        <f>HYPERLINK("https://api.qogita.com/variants/link/9005800217215/", "View Product")</f>
        <v/>
      </c>
    </row>
    <row r="26219">
      <c r="A26219" t="inlineStr">
        <is>
          <t>9005800222936</t>
        </is>
      </c>
      <c r="B26219" t="inlineStr">
        <is>
          <t>Nivea Care &amp; Roses Care Shower Gel</t>
        </is>
      </c>
      <c r="C26219" t="inlineStr">
        <is>
          <t>Shower Gel</t>
        </is>
      </c>
      <c r="D26219" t="inlineStr">
        <is>
          <t>Nivea</t>
        </is>
      </c>
      <c r="E26219" t="n">
        <v>2.89</v>
      </c>
      <c r="F26219" t="n">
        <v>1</v>
      </c>
      <c r="G26219" t="n">
        <v>5</v>
      </c>
      <c r="H26219" s="5">
        <f>HYPERLINK("https://api.qogita.com/variants/link/9005800222936/", "View Product")</f>
        <v/>
      </c>
    </row>
    <row r="26220">
      <c r="A26220" t="inlineStr">
        <is>
          <t>9005800223483</t>
        </is>
      </c>
      <c r="B26220" t="inlineStr">
        <is>
          <t>Nivea Color Protect Gentle Shampoo For Colored Hair 400ml</t>
        </is>
      </c>
      <c r="C26220" t="inlineStr">
        <is>
          <t>Shampoo</t>
        </is>
      </c>
      <c r="D26220" t="inlineStr">
        <is>
          <t>Nivea</t>
        </is>
      </c>
      <c r="E26220" t="n">
        <v>5.73</v>
      </c>
      <c r="F26220" t="n">
        <v>1</v>
      </c>
      <c r="G26220" t="n">
        <v>4</v>
      </c>
      <c r="H26220" s="5">
        <f>HYPERLINK("https://api.qogita.com/variants/link/9005800223483/", "View Product")</f>
        <v/>
      </c>
    </row>
    <row r="26221">
      <c r="A26221" t="inlineStr">
        <is>
          <t>9005800224459</t>
        </is>
      </c>
      <c r="B26221" t="inlineStr">
        <is>
          <t>Nivea Men Original Care Protect &amp; Care Shower Gel</t>
        </is>
      </c>
      <c r="C26221" t="inlineStr">
        <is>
          <t>Shower Gel</t>
        </is>
      </c>
      <c r="D26221" t="inlineStr">
        <is>
          <t>Nivea</t>
        </is>
      </c>
      <c r="E26221" t="n">
        <v>3.5</v>
      </c>
      <c r="F26221" t="n">
        <v>1</v>
      </c>
      <c r="G26221" t="n">
        <v>7</v>
      </c>
      <c r="H26221" s="5">
        <f>HYPERLINK("https://api.qogita.com/variants/link/9005800224459/", "View Product")</f>
        <v/>
      </c>
    </row>
    <row r="26222">
      <c r="A26222" t="inlineStr">
        <is>
          <t>9005800227047</t>
        </is>
      </c>
      <c r="B26222" t="inlineStr">
        <is>
          <t>Nivea Refreshing Toner For Normal To Combination Skin 200 Ml</t>
        </is>
      </c>
      <c r="C26222" t="inlineStr">
        <is>
          <t>Face Lotion</t>
        </is>
      </c>
      <c r="D26222" t="inlineStr">
        <is>
          <t>Nivea</t>
        </is>
      </c>
      <c r="E26222" t="n">
        <v>6.39</v>
      </c>
      <c r="F26222" t="n">
        <v>1</v>
      </c>
      <c r="G26222" t="n">
        <v>2</v>
      </c>
      <c r="H26222" s="5">
        <f>HYPERLINK("https://api.qogita.com/variants/link/9005800227047/", "View Product")</f>
        <v/>
      </c>
    </row>
    <row r="26223">
      <c r="A26223" t="inlineStr">
        <is>
          <t>9005800227221</t>
        </is>
      </c>
      <c r="B26223" t="inlineStr">
        <is>
          <t>Nivea Firming Antiwrinkle Day Cream Q10 Power 50 Ml With Spf 15</t>
        </is>
      </c>
      <c r="C26223" t="inlineStr">
        <is>
          <t>Day Cream</t>
        </is>
      </c>
      <c r="D26223" t="inlineStr">
        <is>
          <t>Nivea</t>
        </is>
      </c>
      <c r="E26223" t="n">
        <v>7.96</v>
      </c>
      <c r="F26223" t="n">
        <v>1</v>
      </c>
      <c r="G26223" t="n">
        <v>29</v>
      </c>
      <c r="H26223" s="5">
        <f>HYPERLINK("https://api.qogita.com/variants/link/9005800227221/", "View Product")</f>
        <v/>
      </c>
    </row>
    <row r="26224">
      <c r="A26224" t="inlineStr">
        <is>
          <t>9005800227252</t>
        </is>
      </c>
      <c r="B26224" t="inlineStr">
        <is>
          <t>Nivea Night Cream Antiwrinkle Q10 Plus 50 Ml</t>
        </is>
      </c>
      <c r="C26224" t="inlineStr">
        <is>
          <t>Night Cream</t>
        </is>
      </c>
      <c r="D26224" t="inlineStr">
        <is>
          <t>Nivea</t>
        </is>
      </c>
      <c r="E26224" t="n">
        <v>8.67</v>
      </c>
      <c r="F26224" t="n">
        <v>1</v>
      </c>
      <c r="G26224" t="n">
        <v>4</v>
      </c>
      <c r="H26224" s="5">
        <f>HYPERLINK("https://api.qogita.com/variants/link/9005800227252/", "View Product")</f>
        <v/>
      </c>
    </row>
    <row r="26225">
      <c r="A26225" t="inlineStr">
        <is>
          <t>9005800231020</t>
        </is>
      </c>
      <c r="B26225" t="inlineStr">
        <is>
          <t>Nivea Cleansing Milk For Dry And Sensitive Skin With Natural Almond Oil 200ml</t>
        </is>
      </c>
      <c r="C26225" t="inlineStr">
        <is>
          <t>Cleansing Milk</t>
        </is>
      </c>
      <c r="D26225" t="inlineStr">
        <is>
          <t>Nivea</t>
        </is>
      </c>
      <c r="E26225" t="n">
        <v>5.54</v>
      </c>
      <c r="F26225" t="n">
        <v>1</v>
      </c>
      <c r="G26225" t="n">
        <v>6</v>
      </c>
      <c r="H26225" s="5">
        <f>HYPERLINK("https://api.qogita.com/variants/link/9005800231020/", "View Product")</f>
        <v/>
      </c>
    </row>
    <row r="26226">
      <c r="A26226" t="inlineStr">
        <is>
          <t>9005800243283</t>
        </is>
      </c>
      <c r="B26226" t="inlineStr">
        <is>
          <t>Nivea Men Active Clean Shower Gel 250ml</t>
        </is>
      </c>
      <c r="C26226" t="inlineStr">
        <is>
          <t>Shower Gel</t>
        </is>
      </c>
      <c r="D26226" t="inlineStr">
        <is>
          <t>Nivea</t>
        </is>
      </c>
      <c r="E26226" t="n">
        <v>3.5</v>
      </c>
      <c r="F26226" t="n">
        <v>1</v>
      </c>
      <c r="G26226" t="n">
        <v>5</v>
      </c>
      <c r="H26226" s="5">
        <f>HYPERLINK("https://api.qogita.com/variants/link/9005800243283/", "View Product")</f>
        <v/>
      </c>
    </row>
    <row r="26227">
      <c r="A26227" t="inlineStr">
        <is>
          <t>9005800263601</t>
        </is>
      </c>
      <c r="B26227" t="inlineStr">
        <is>
          <t>Nivea Rose &amp; Almond Oil Care Shower Gel 500ml</t>
        </is>
      </c>
      <c r="C26227" t="inlineStr">
        <is>
          <t>Shower Gel</t>
        </is>
      </c>
      <c r="D26227" t="inlineStr">
        <is>
          <t>Nivea</t>
        </is>
      </c>
      <c r="E26227" t="n">
        <v>5.91</v>
      </c>
      <c r="F26227" t="n">
        <v>1</v>
      </c>
      <c r="G26227" t="n">
        <v>3</v>
      </c>
      <c r="H26227" s="5">
        <f>HYPERLINK("https://api.qogita.com/variants/link/9005800263601/", "View Product")</f>
        <v/>
      </c>
    </row>
    <row r="26228">
      <c r="A26228" t="inlineStr">
        <is>
          <t>9005800279589</t>
        </is>
      </c>
      <c r="B26228" t="inlineStr">
        <is>
          <t>Nivea Men Protect &amp; Care Aftershave Lotion 2 In 1 100ml</t>
        </is>
      </c>
      <c r="C26228" t="inlineStr">
        <is>
          <t>Aftershave</t>
        </is>
      </c>
      <c r="D26228" t="inlineStr">
        <is>
          <t>Nivea</t>
        </is>
      </c>
      <c r="E26228" t="n">
        <v>9.960000000000001</v>
      </c>
      <c r="F26228" t="n">
        <v>1</v>
      </c>
      <c r="G26228" t="n">
        <v>8</v>
      </c>
      <c r="H26228" s="5">
        <f>HYPERLINK("https://api.qogita.com/variants/link/9005800279589/", "View Product")</f>
        <v/>
      </c>
    </row>
    <row r="26229">
      <c r="A26229" t="inlineStr">
        <is>
          <t>9005800282497</t>
        </is>
      </c>
      <c r="B26229" t="inlineStr">
        <is>
          <t>Nivea Creme Care Creamy Shower Gel 500ml</t>
        </is>
      </c>
      <c r="C26229" t="inlineStr">
        <is>
          <t>Shower Gel</t>
        </is>
      </c>
      <c r="D26229" t="inlineStr">
        <is>
          <t>Nivea</t>
        </is>
      </c>
      <c r="E26229" t="n">
        <v>5.91</v>
      </c>
      <c r="F26229" t="n">
        <v>1</v>
      </c>
      <c r="G26229" t="n">
        <v>2</v>
      </c>
      <c r="H26229" s="5">
        <f>HYPERLINK("https://api.qogita.com/variants/link/9005800282497/", "View Product")</f>
        <v/>
      </c>
    </row>
    <row r="26230">
      <c r="A26230" t="inlineStr">
        <is>
          <t>9005800282688</t>
        </is>
      </c>
      <c r="B26230" t="inlineStr">
        <is>
          <t>Nivea Invisible For Black &amp; White Clear Antiperspirant Spray 200 Ml</t>
        </is>
      </c>
      <c r="C26230" t="inlineStr">
        <is>
          <t>Deodorant &amp; Anti-Perspirant</t>
        </is>
      </c>
      <c r="D26230" t="inlineStr">
        <is>
          <t>Nivea</t>
        </is>
      </c>
      <c r="E26230" t="n">
        <v>4.54</v>
      </c>
      <c r="F26230" t="n">
        <v>1</v>
      </c>
      <c r="G26230" t="n">
        <v>2</v>
      </c>
      <c r="H26230" s="5">
        <f>HYPERLINK("https://api.qogita.com/variants/link/9005800282688/", "View Product")</f>
        <v/>
      </c>
    </row>
    <row r="26231">
      <c r="A26231" t="inlineStr">
        <is>
          <t>9005800297354</t>
        </is>
      </c>
      <c r="B26231" t="inlineStr">
        <is>
          <t>Nivea Deep Antiperspirant Spray 150 Ml</t>
        </is>
      </c>
      <c r="C26231" t="inlineStr">
        <is>
          <t>Deodorant &amp; Anti-Perspirant</t>
        </is>
      </c>
      <c r="D26231" t="inlineStr">
        <is>
          <t>Nivea</t>
        </is>
      </c>
      <c r="E26231" t="n">
        <v>5.23</v>
      </c>
      <c r="F26231" t="n">
        <v>1</v>
      </c>
      <c r="G26231" t="n">
        <v>7</v>
      </c>
      <c r="H26231" s="5">
        <f>HYPERLINK("https://api.qogita.com/variants/link/9005800297354/", "View Product")</f>
        <v/>
      </c>
    </row>
    <row r="26232">
      <c r="A26232" t="inlineStr">
        <is>
          <t>9005800297408</t>
        </is>
      </c>
      <c r="B26232" t="inlineStr">
        <is>
          <t>Nivea Men Deep Revitalizing hair shampoo 250ml</t>
        </is>
      </c>
      <c r="C26232" t="inlineStr">
        <is>
          <t>Shampoo</t>
        </is>
      </c>
      <c r="D26232" t="inlineStr">
        <is>
          <t>Nivea</t>
        </is>
      </c>
      <c r="E26232" t="n">
        <v>3.86</v>
      </c>
      <c r="F26232" t="n">
        <v>1</v>
      </c>
      <c r="G26232" t="n">
        <v>5</v>
      </c>
      <c r="H26232" s="5">
        <f>HYPERLINK("https://api.qogita.com/variants/link/9005800297408/", "View Product")</f>
        <v/>
      </c>
    </row>
    <row r="26233">
      <c r="A26233" t="inlineStr">
        <is>
          <t>9005800298719</t>
        </is>
      </c>
      <c r="B26233" t="inlineStr">
        <is>
          <t>Nivea Male Rock Salt Shower Gel 250 Ml</t>
        </is>
      </c>
      <c r="C26233" t="inlineStr">
        <is>
          <t>Shower Gel</t>
        </is>
      </c>
      <c r="D26233" t="inlineStr">
        <is>
          <t>Nivea</t>
        </is>
      </c>
      <c r="E26233" t="n">
        <v>4.64</v>
      </c>
      <c r="F26233" t="n">
        <v>1</v>
      </c>
      <c r="G26233" t="n">
        <v>7</v>
      </c>
      <c r="H26233" s="5">
        <f>HYPERLINK("https://api.qogita.com/variants/link/9005800298719/", "View Product")</f>
        <v/>
      </c>
    </row>
    <row r="26234">
      <c r="A26234" t="inlineStr">
        <is>
          <t>9005800298764</t>
        </is>
      </c>
      <c r="B26234" t="inlineStr">
        <is>
          <t>Nivea Men Shower Gel Deep Clean 250ml</t>
        </is>
      </c>
      <c r="C26234" t="inlineStr">
        <is>
          <t>Shower Gel</t>
        </is>
      </c>
      <c r="D26234" t="inlineStr">
        <is>
          <t>Nivea</t>
        </is>
      </c>
      <c r="E26234" t="n">
        <v>3.18</v>
      </c>
      <c r="F26234" t="n">
        <v>1</v>
      </c>
      <c r="G26234" t="n">
        <v>3</v>
      </c>
      <c r="H26234" s="5">
        <f>HYPERLINK("https://api.qogita.com/variants/link/9005800298764/", "View Product")</f>
        <v/>
      </c>
    </row>
    <row r="26235">
      <c r="A26235" t="inlineStr">
        <is>
          <t>9005800301396</t>
        </is>
      </c>
      <c r="B26235" t="inlineStr">
        <is>
          <t>Nivea Black &amp; White Invisible Silk And Smooth Antiperspirant Spray 200 Ml</t>
        </is>
      </c>
      <c r="C26235" t="inlineStr">
        <is>
          <t>Deodorant &amp; Anti-Perspirant</t>
        </is>
      </c>
      <c r="D26235" t="inlineStr">
        <is>
          <t>Nivea</t>
        </is>
      </c>
      <c r="E26235" t="n">
        <v>5.69</v>
      </c>
      <c r="F26235" t="n">
        <v>1</v>
      </c>
      <c r="G26235" t="n">
        <v>12</v>
      </c>
      <c r="H26235" s="5">
        <f>HYPERLINK("https://api.qogita.com/variants/link/9005800301396/", "View Product")</f>
        <v/>
      </c>
    </row>
    <row r="26236">
      <c r="A26236" t="inlineStr">
        <is>
          <t>9005800305080</t>
        </is>
      </c>
      <c r="B26236" t="inlineStr">
        <is>
          <t>Nivea Cooling Shaving Gel 200 Ml</t>
        </is>
      </c>
      <c r="C26236" t="inlineStr">
        <is>
          <t>Shaving</t>
        </is>
      </c>
      <c r="D26236" t="inlineStr">
        <is>
          <t>Nivea</t>
        </is>
      </c>
      <c r="E26236" t="n">
        <v>3.68</v>
      </c>
      <c r="F26236" t="n">
        <v>1</v>
      </c>
      <c r="G26236" t="n">
        <v>11</v>
      </c>
      <c r="H26236" s="5">
        <f>HYPERLINK("https://api.qogita.com/variants/link/9005800305080/", "View Product")</f>
        <v/>
      </c>
    </row>
    <row r="26237">
      <c r="A26237" t="inlineStr">
        <is>
          <t>9005800313252</t>
        </is>
      </c>
      <c r="B26237" t="inlineStr">
        <is>
          <t>Nivea Men Sensitive Soothing After Shave Balm 100ml</t>
        </is>
      </c>
      <c r="C26237" t="inlineStr">
        <is>
          <t>Aftershave</t>
        </is>
      </c>
      <c r="D26237" t="inlineStr">
        <is>
          <t>Nivea</t>
        </is>
      </c>
      <c r="E26237" t="n">
        <v>6.71</v>
      </c>
      <c r="F26237" t="n">
        <v>1</v>
      </c>
      <c r="G26237" t="n">
        <v>10</v>
      </c>
      <c r="H26237" s="5">
        <f>HYPERLINK("https://api.qogita.com/variants/link/9005800313252/", "View Product")</f>
        <v/>
      </c>
    </row>
    <row r="26238">
      <c r="A26238" t="inlineStr">
        <is>
          <t>9005800318349</t>
        </is>
      </c>
      <c r="B26238" t="inlineStr">
        <is>
          <t>Nivea Men Craft Stylers Fixing Shine Hair Gel 150 Ml</t>
        </is>
      </c>
      <c r="C26238" t="inlineStr">
        <is>
          <t>Gel</t>
        </is>
      </c>
      <c r="D26238" t="inlineStr">
        <is>
          <t>Nivea</t>
        </is>
      </c>
      <c r="E26238" t="n">
        <v>6</v>
      </c>
      <c r="F26238" t="n">
        <v>1</v>
      </c>
      <c r="G26238" t="n">
        <v>8</v>
      </c>
      <c r="H26238" s="5">
        <f>HYPERLINK("https://api.qogita.com/variants/link/9005800318349/", "View Product")</f>
        <v/>
      </c>
    </row>
    <row r="26239">
      <c r="A26239" t="inlineStr">
        <is>
          <t>9005800321240</t>
        </is>
      </c>
      <c r="B26239" t="inlineStr">
        <is>
          <t>NIVEA Aloe Vera Kids 2 In 1 Shower and Shampoo Very Berry 500ml</t>
        </is>
      </c>
      <c r="C26239" t="inlineStr">
        <is>
          <t>Children's Hair Cleaning</t>
        </is>
      </c>
      <c r="D26239" t="inlineStr">
        <is>
          <t>Nivea</t>
        </is>
      </c>
      <c r="E26239" t="n">
        <v>4.7</v>
      </c>
      <c r="F26239" t="n">
        <v>1</v>
      </c>
      <c r="G26239" t="n">
        <v>11</v>
      </c>
      <c r="H26239" s="5">
        <f>HYPERLINK("https://api.qogita.com/variants/link/9005800321240/", "View Product")</f>
        <v/>
      </c>
    </row>
    <row r="26240">
      <c r="A26240" t="inlineStr">
        <is>
          <t>9005800329604</t>
        </is>
      </c>
      <c r="B26240" t="inlineStr">
        <is>
          <t>Nivea Men Invisible Black &amp; White Ultimate Impact Antiperspirant Spray 150 Ml</t>
        </is>
      </c>
      <c r="C26240" t="inlineStr">
        <is>
          <t>Deodorant &amp; Anti-Perspirant</t>
        </is>
      </c>
      <c r="D26240" t="inlineStr">
        <is>
          <t>Nivea</t>
        </is>
      </c>
      <c r="E26240" t="n">
        <v>5.23</v>
      </c>
      <c r="F26240" t="n">
        <v>1</v>
      </c>
      <c r="G26240" t="n">
        <v>9</v>
      </c>
      <c r="H26240" s="5">
        <f>HYPERLINK("https://api.qogita.com/variants/link/9005800329604/", "View Product")</f>
        <v/>
      </c>
    </row>
    <row r="26241">
      <c r="A26241" t="inlineStr">
        <is>
          <t>9005800341262</t>
        </is>
      </c>
      <c r="B26241" t="inlineStr">
        <is>
          <t>Nivea Fresh Rose Touch Antiperspirant Spray 150 Ml</t>
        </is>
      </c>
      <c r="C26241" t="inlineStr">
        <is>
          <t>Deodorant &amp; Anti-Perspirant</t>
        </is>
      </c>
      <c r="D26241" t="inlineStr">
        <is>
          <t>Nivea</t>
        </is>
      </c>
      <c r="E26241" t="n">
        <v>3.54</v>
      </c>
      <c r="F26241" t="n">
        <v>1</v>
      </c>
      <c r="G26241" t="n">
        <v>2</v>
      </c>
      <c r="H26241" s="5">
        <f>HYPERLINK("https://api.qogita.com/variants/link/9005800341262/", "View Product")</f>
        <v/>
      </c>
    </row>
    <row r="26242">
      <c r="A26242" t="inlineStr">
        <is>
          <t>9005800343143</t>
        </is>
      </c>
      <c r="B26242" t="inlineStr">
        <is>
          <t>Nivea Men Fresh Kick After Shave Lotion 100ml</t>
        </is>
      </c>
      <c r="C26242" t="inlineStr">
        <is>
          <t>Aftershave</t>
        </is>
      </c>
      <c r="D26242" t="inlineStr">
        <is>
          <t>Nivea</t>
        </is>
      </c>
      <c r="E26242" t="n">
        <v>9.07</v>
      </c>
      <c r="F26242" t="n">
        <v>1</v>
      </c>
      <c r="G26242" t="n">
        <v>4</v>
      </c>
      <c r="H26242" s="5">
        <f>HYPERLINK("https://api.qogita.com/variants/link/9005800343143/", "View Product")</f>
        <v/>
      </c>
    </row>
    <row r="26243">
      <c r="A26243" t="inlineStr">
        <is>
          <t>9005800343648</t>
        </is>
      </c>
      <c r="B26243" t="inlineStr">
        <is>
          <t>Nivea Shea Butter Soft Care Shower Gel 250 Ml</t>
        </is>
      </c>
      <c r="C26243" t="inlineStr">
        <is>
          <t>Shower Gel</t>
        </is>
      </c>
      <c r="D26243" t="inlineStr">
        <is>
          <t>Nivea</t>
        </is>
      </c>
      <c r="E26243" t="n">
        <v>3.58</v>
      </c>
      <c r="F26243" t="n">
        <v>1</v>
      </c>
      <c r="G26243" t="n">
        <v>2</v>
      </c>
      <c r="H26243" s="5">
        <f>HYPERLINK("https://api.qogita.com/variants/link/9005800343648/", "View Product")</f>
        <v/>
      </c>
    </row>
    <row r="26244">
      <c r="A26244" t="inlineStr">
        <is>
          <t>9005800352213</t>
        </is>
      </c>
      <c r="B26244" t="inlineStr">
        <is>
          <t>Nivea Cool Kick Deodorant Solid Deodorant 50 Ml</t>
        </is>
      </c>
      <c r="C26244" t="inlineStr">
        <is>
          <t>Deodorant &amp; Anti-Perspirant</t>
        </is>
      </c>
      <c r="D26244" t="inlineStr">
        <is>
          <t>Nivea</t>
        </is>
      </c>
      <c r="E26244" t="n">
        <v>5.23</v>
      </c>
      <c r="F26244" t="n">
        <v>1</v>
      </c>
      <c r="G26244" t="n">
        <v>20</v>
      </c>
      <c r="H26244" s="5">
        <f>HYPERLINK("https://api.qogita.com/variants/link/9005800352213/", "View Product")</f>
        <v/>
      </c>
    </row>
    <row r="26245">
      <c r="A26245" t="inlineStr">
        <is>
          <t>9005800352268</t>
        </is>
      </c>
      <c r="B26245" t="inlineStr">
        <is>
          <t>Nivea Deep Black Carbon Antiperspirant 50 Ml</t>
        </is>
      </c>
      <c r="C26245" t="inlineStr">
        <is>
          <t>Deodorant &amp; Anti-Perspirant</t>
        </is>
      </c>
      <c r="D26245" t="inlineStr">
        <is>
          <t>Nivea</t>
        </is>
      </c>
      <c r="E26245" t="n">
        <v>5.23</v>
      </c>
      <c r="F26245" t="n">
        <v>1</v>
      </c>
      <c r="G26245" t="n">
        <v>8</v>
      </c>
      <c r="H26245" s="5">
        <f>HYPERLINK("https://api.qogita.com/variants/link/9005800352268/", "View Product")</f>
        <v/>
      </c>
    </row>
    <row r="26246">
      <c r="A26246" t="inlineStr">
        <is>
          <t>9005800352312</t>
        </is>
      </c>
      <c r="B26246" t="inlineStr">
        <is>
          <t>Nivea Fresh Flower Antiperspirant Solid Antiperspirant 50 Ml</t>
        </is>
      </c>
      <c r="C26246" t="inlineStr">
        <is>
          <t>Deodorant &amp; Anti-Perspirant</t>
        </is>
      </c>
      <c r="D26246" t="inlineStr">
        <is>
          <t>Nivea</t>
        </is>
      </c>
      <c r="E26246" t="n">
        <v>5.23</v>
      </c>
      <c r="F26246" t="n">
        <v>1</v>
      </c>
      <c r="G26246" t="n">
        <v>8</v>
      </c>
      <c r="H26246" s="5">
        <f>HYPERLINK("https://api.qogita.com/variants/link/9005800352312/", "View Product")</f>
        <v/>
      </c>
    </row>
    <row r="26247">
      <c r="A26247" t="inlineStr">
        <is>
          <t>9005800358277</t>
        </is>
      </c>
      <c r="B26247" t="inlineStr">
        <is>
          <t>Nivea Creme Soft Shower Gel 2 X 500 Ml</t>
        </is>
      </c>
      <c r="C26247" t="inlineStr">
        <is>
          <t>Shower Gel</t>
        </is>
      </c>
      <c r="D26247" t="inlineStr">
        <is>
          <t>Nivea</t>
        </is>
      </c>
      <c r="E26247" t="n">
        <v>9.789999999999999</v>
      </c>
      <c r="F26247" t="n">
        <v>1</v>
      </c>
      <c r="G26247" t="n">
        <v>9</v>
      </c>
      <c r="H26247" s="5">
        <f>HYPERLINK("https://api.qogita.com/variants/link/9005800358277/", "View Product")</f>
        <v/>
      </c>
    </row>
    <row r="26248">
      <c r="A26248" t="inlineStr">
        <is>
          <t>9005800358284</t>
        </is>
      </c>
      <c r="B26248" t="inlineStr">
        <is>
          <t>Nivea Creme Care Shower Gel 2 X 500 Ml</t>
        </is>
      </c>
      <c r="C26248" t="inlineStr">
        <is>
          <t>Shower Gel</t>
        </is>
      </c>
      <c r="D26248" t="inlineStr">
        <is>
          <t>Nivea</t>
        </is>
      </c>
      <c r="E26248" t="n">
        <v>9.789999999999999</v>
      </c>
      <c r="F26248" t="n">
        <v>1</v>
      </c>
      <c r="G26248" t="n">
        <v>3</v>
      </c>
      <c r="H26248" s="5">
        <f>HYPERLINK("https://api.qogita.com/variants/link/9005800358284/", "View Product")</f>
        <v/>
      </c>
    </row>
    <row r="26249">
      <c r="A26249" t="inlineStr">
        <is>
          <t>9005800363455</t>
        </is>
      </c>
      <c r="B26249" t="inlineStr">
        <is>
          <t>Nivea Lemongrass Hydration Body Lotion</t>
        </is>
      </c>
      <c r="C26249" t="inlineStr">
        <is>
          <t>Body Lotion</t>
        </is>
      </c>
      <c r="D26249" t="inlineStr">
        <is>
          <t>Nivea</t>
        </is>
      </c>
      <c r="E26249" t="n">
        <v>8.34</v>
      </c>
      <c r="F26249" t="n">
        <v>1</v>
      </c>
      <c r="G26249" t="n">
        <v>9</v>
      </c>
      <c r="H26249" s="5">
        <f>HYPERLINK("https://api.qogita.com/variants/link/9005800363455/", "View Product")</f>
        <v/>
      </c>
    </row>
    <row r="26250">
      <c r="A26250" t="inlineStr">
        <is>
          <t>9005800365732</t>
        </is>
      </c>
      <c r="B26250" t="inlineStr">
        <is>
          <t>Nivea Men Sensation Fresh Antiperspirant 150 Ml</t>
        </is>
      </c>
      <c r="C26250" t="inlineStr">
        <is>
          <t>Deodorant &amp; Anti-Perspirant</t>
        </is>
      </c>
      <c r="D26250" t="inlineStr">
        <is>
          <t>Nivea</t>
        </is>
      </c>
      <c r="E26250" t="n">
        <v>3.71</v>
      </c>
      <c r="F26250" t="n">
        <v>1</v>
      </c>
      <c r="G26250" t="n">
        <v>6</v>
      </c>
      <c r="H26250" s="5">
        <f>HYPERLINK("https://api.qogita.com/variants/link/9005800365732/", "View Product")</f>
        <v/>
      </c>
    </row>
    <row r="26251">
      <c r="A26251" t="inlineStr">
        <is>
          <t>9005800369112</t>
        </is>
      </c>
      <c r="B26251" t="inlineStr">
        <is>
          <t>Nivea Baby Shower Gel 500 Ml For Body And Hair</t>
        </is>
      </c>
      <c r="C26251" t="inlineStr">
        <is>
          <t>Baby Shower Gel &amp; Soap</t>
        </is>
      </c>
      <c r="D26251" t="inlineStr">
        <is>
          <t>Nivea</t>
        </is>
      </c>
      <c r="E26251" t="n">
        <v>6.76</v>
      </c>
      <c r="F26251" t="n">
        <v>1</v>
      </c>
      <c r="G26251" t="n">
        <v>3</v>
      </c>
      <c r="H26251" s="5">
        <f>HYPERLINK("https://api.qogita.com/variants/link/9005800369112/", "View Product")</f>
        <v/>
      </c>
    </row>
    <row r="26252">
      <c r="A26252" t="inlineStr">
        <is>
          <t>9005800371320</t>
        </is>
      </c>
      <c r="B26252" t="inlineStr">
        <is>
          <t>Nivea Anti-Wrinkle Revitalizing 50ml</t>
        </is>
      </c>
      <c r="C26252" t="inlineStr">
        <is>
          <t>Anti-Aging Facial Care</t>
        </is>
      </c>
      <c r="D26252" t="inlineStr">
        <is>
          <t>Nivea</t>
        </is>
      </c>
      <c r="E26252" t="n">
        <v>5.88</v>
      </c>
      <c r="F26252" t="n">
        <v>1</v>
      </c>
      <c r="G26252" t="n">
        <v>5</v>
      </c>
      <c r="H26252" s="5">
        <f>HYPERLINK("https://api.qogita.com/variants/link/9005800371320/", "View Product")</f>
        <v/>
      </c>
    </row>
    <row r="26253">
      <c r="A26253" t="inlineStr">
        <is>
          <t>9005800374406</t>
        </is>
      </c>
      <c r="B26253" t="inlineStr">
        <is>
          <t>Nivea Baby Soft Cream Cleanse Care Wipes</t>
        </is>
      </c>
      <c r="C26253" t="inlineStr">
        <is>
          <t>Baby Wipes &amp; Diapers</t>
        </is>
      </c>
      <c r="D26253" t="inlineStr">
        <is>
          <t>Nivea</t>
        </is>
      </c>
      <c r="E26253" t="n">
        <v>0.95</v>
      </c>
      <c r="F26253" t="n">
        <v>1</v>
      </c>
      <c r="G26253" t="n">
        <v>4</v>
      </c>
      <c r="H26253" s="5">
        <f>HYPERLINK("https://api.qogita.com/variants/link/9005800374406/", "View Product")</f>
        <v/>
      </c>
    </row>
    <row r="26254">
      <c r="A26254" t="inlineStr">
        <is>
          <t>9005800374413</t>
        </is>
      </c>
      <c r="B26254" t="inlineStr">
        <is>
          <t>Nivea Baby Soft &amp; Cream Moisturizing Wipes 2x57 Pieces</t>
        </is>
      </c>
      <c r="C26254" t="inlineStr">
        <is>
          <t>Baby Wipes &amp; Diapers</t>
        </is>
      </c>
      <c r="D26254" t="inlineStr">
        <is>
          <t>Nivea</t>
        </is>
      </c>
      <c r="E26254" t="n">
        <v>5.02</v>
      </c>
      <c r="F26254" t="n">
        <v>1</v>
      </c>
      <c r="G26254" t="n">
        <v>4</v>
      </c>
      <c r="H26254" s="5">
        <f>HYPERLINK("https://api.qogita.com/variants/link/9005800374413/", "View Product")</f>
        <v/>
      </c>
    </row>
    <row r="26255">
      <c r="A26255" t="inlineStr">
        <is>
          <t>9005800378343</t>
        </is>
      </c>
      <c r="B26255" t="inlineStr">
        <is>
          <t>Nivea Cellular Filler Set Skin Care Cosmetic Set</t>
        </is>
      </c>
      <c r="C26255" t="inlineStr">
        <is>
          <t>Facial Care Sets</t>
        </is>
      </c>
      <c r="D26255" t="inlineStr">
        <is>
          <t>Nivea</t>
        </is>
      </c>
      <c r="E26255" t="n">
        <v>22.36</v>
      </c>
      <c r="F26255" t="n">
        <v>1</v>
      </c>
      <c r="G26255" t="n">
        <v>4</v>
      </c>
      <c r="H26255" s="5">
        <f>HYPERLINK("https://api.qogita.com/variants/link/9005800378343/", "View Product")</f>
        <v/>
      </c>
    </row>
    <row r="26256">
      <c r="A26256" t="inlineStr">
        <is>
          <t>9005800378794</t>
        </is>
      </c>
      <c r="B26256" t="inlineStr">
        <is>
          <t>Nivea Men Shower Gel Ultra Charge 250ml</t>
        </is>
      </c>
      <c r="C26256" t="inlineStr">
        <is>
          <t>Shower Gel</t>
        </is>
      </c>
      <c r="D26256" t="inlineStr">
        <is>
          <t>Nivea</t>
        </is>
      </c>
      <c r="E26256" t="n">
        <v>3.71</v>
      </c>
      <c r="F26256" t="n">
        <v>1</v>
      </c>
      <c r="G26256" t="n">
        <v>3</v>
      </c>
      <c r="H26256" s="5">
        <f>HYPERLINK("https://api.qogita.com/variants/link/9005800378794/", "View Product")</f>
        <v/>
      </c>
    </row>
    <row r="26257">
      <c r="A26257" t="inlineStr">
        <is>
          <t>9005800378817</t>
        </is>
      </c>
      <c r="B26257" t="inlineStr">
        <is>
          <t>Nivea Fresh Care Shower Gel Exotic Feeling 250ml</t>
        </is>
      </c>
      <c r="C26257" t="inlineStr">
        <is>
          <t>Shower Gel</t>
        </is>
      </c>
      <c r="D26257" t="inlineStr">
        <is>
          <t>Nivea</t>
        </is>
      </c>
      <c r="E26257" t="n">
        <v>4.62</v>
      </c>
      <c r="F26257" t="n">
        <v>1</v>
      </c>
      <c r="G26257" t="n">
        <v>12</v>
      </c>
      <c r="H26257" s="5">
        <f>HYPERLINK("https://api.qogita.com/variants/link/9005800378817/", "View Product")</f>
        <v/>
      </c>
    </row>
    <row r="26258">
      <c r="A26258" t="inlineStr">
        <is>
          <t>9005800378824</t>
        </is>
      </c>
      <c r="B26258" t="inlineStr">
        <is>
          <t>Nivea Orchard Breeze Refreshing Shower Gel 250ml</t>
        </is>
      </c>
      <c r="C26258" t="inlineStr">
        <is>
          <t>Shower Gel</t>
        </is>
      </c>
      <c r="D26258" t="inlineStr">
        <is>
          <t>Nivea</t>
        </is>
      </c>
      <c r="E26258" t="n">
        <v>4.62</v>
      </c>
      <c r="F26258" t="n">
        <v>1</v>
      </c>
      <c r="G26258" t="n">
        <v>6</v>
      </c>
      <c r="H26258" s="5">
        <f>HYPERLINK("https://api.qogita.com/variants/link/9005800378824/", "View Product")</f>
        <v/>
      </c>
    </row>
    <row r="26259">
      <c r="A26259" t="inlineStr">
        <is>
          <t>9005800379005</t>
        </is>
      </c>
      <c r="B26259" t="inlineStr">
        <is>
          <t>Nivea Antiperspirant Women's Spray Fruity Delight 150ml</t>
        </is>
      </c>
      <c r="C26259" t="inlineStr">
        <is>
          <t>Deodorant &amp; Anti-Perspirant</t>
        </is>
      </c>
      <c r="D26259" t="inlineStr">
        <is>
          <t>Nivea</t>
        </is>
      </c>
      <c r="E26259" t="n">
        <v>4.31</v>
      </c>
      <c r="F26259" t="n">
        <v>1</v>
      </c>
      <c r="G26259" t="n">
        <v>2</v>
      </c>
      <c r="H26259" s="5">
        <f>HYPERLINK("https://api.qogita.com/variants/link/9005800379005/", "View Product")</f>
        <v/>
      </c>
    </row>
    <row r="26260">
      <c r="A26260" t="inlineStr">
        <is>
          <t>9005800379401</t>
        </is>
      </c>
      <c r="B26260" t="inlineStr">
        <is>
          <t>Nivea Men Shower Gel Deep Sport 500ml</t>
        </is>
      </c>
      <c r="C26260" t="inlineStr">
        <is>
          <t>Shower Gel</t>
        </is>
      </c>
      <c r="D26260" t="inlineStr">
        <is>
          <t>Nivea</t>
        </is>
      </c>
      <c r="E26260" t="n">
        <v>6</v>
      </c>
      <c r="F26260" t="n">
        <v>1</v>
      </c>
      <c r="G26260" t="n">
        <v>3</v>
      </c>
      <c r="H26260" s="5">
        <f>HYPERLINK("https://api.qogita.com/variants/link/9005800379401/", "View Product")</f>
        <v/>
      </c>
    </row>
    <row r="26261">
      <c r="A26261" t="inlineStr">
        <is>
          <t>9005800379494</t>
        </is>
      </c>
      <c r="B26261" t="inlineStr">
        <is>
          <t>Nivea Men Deep Sport Antiperspirant - 50 Ml</t>
        </is>
      </c>
      <c r="C26261" t="inlineStr">
        <is>
          <t>Deodorant &amp; Anti-Perspirant</t>
        </is>
      </c>
      <c r="D26261" t="inlineStr">
        <is>
          <t>Nivea</t>
        </is>
      </c>
      <c r="E26261" t="n">
        <v>3.65</v>
      </c>
      <c r="F26261" t="n">
        <v>1</v>
      </c>
      <c r="G26261" t="n">
        <v>5</v>
      </c>
      <c r="H26261" s="5">
        <f>HYPERLINK("https://api.qogita.com/variants/link/9005800379494/", "View Product")</f>
        <v/>
      </c>
    </row>
    <row r="26262">
      <c r="A26262" t="inlineStr">
        <is>
          <t>9005800379739</t>
        </is>
      </c>
      <c r="B26262" t="inlineStr">
        <is>
          <t>Nivea Men Sensitive Soothing Moisturizing Cream For Face Spf15 75ml</t>
        </is>
      </c>
      <c r="C26262" t="inlineStr">
        <is>
          <t>Day Cream</t>
        </is>
      </c>
      <c r="D26262" t="inlineStr">
        <is>
          <t>Nivea</t>
        </is>
      </c>
      <c r="E26262" t="n">
        <v>9.27</v>
      </c>
      <c r="F26262" t="n">
        <v>1</v>
      </c>
      <c r="G26262" t="n">
        <v>5</v>
      </c>
      <c r="H26262" s="5">
        <f>HYPERLINK("https://api.qogita.com/variants/link/9005800379739/", "View Product")</f>
        <v/>
      </c>
    </row>
    <row r="26263">
      <c r="A26263" t="inlineStr">
        <is>
          <t>9005800382456</t>
        </is>
      </c>
      <c r="B26263" t="inlineStr">
        <is>
          <t>Nivea Set Feel Soft Original Care Antiperspirant Roll-On 50ml, Soft Moisturizing Cream 100ml, Creme Soft Shower Gel 250ml</t>
        </is>
      </c>
      <c r="C26263" t="inlineStr">
        <is>
          <t>Body Care Sets</t>
        </is>
      </c>
      <c r="D26263" t="inlineStr">
        <is>
          <t>Nivea</t>
        </is>
      </c>
      <c r="E26263" t="n">
        <v>12.81</v>
      </c>
      <c r="F26263" t="n">
        <v>1</v>
      </c>
      <c r="G26263" t="n">
        <v>16</v>
      </c>
      <c r="H26263" s="5">
        <f>HYPERLINK("https://api.qogita.com/variants/link/9005800382456/", "View Product")</f>
        <v/>
      </c>
    </row>
    <row r="26264">
      <c r="A26264" t="inlineStr">
        <is>
          <t>9005800382487</t>
        </is>
      </c>
      <c r="B26264" t="inlineStr">
        <is>
          <t>Nivea Fresh Sensitive Gift Set</t>
        </is>
      </c>
      <c r="C26264" t="inlineStr">
        <is>
          <t>Facial Care Sets</t>
        </is>
      </c>
      <c r="D26264" t="inlineStr">
        <is>
          <t>Nivea</t>
        </is>
      </c>
      <c r="E26264" t="n">
        <v>10.85</v>
      </c>
      <c r="F26264" t="n">
        <v>1</v>
      </c>
      <c r="G26264" t="n">
        <v>19</v>
      </c>
      <c r="H26264" s="5">
        <f>HYPERLINK("https://api.qogita.com/variants/link/9005800382487/", "View Product")</f>
        <v/>
      </c>
    </row>
    <row r="26265">
      <c r="A26265" t="inlineStr">
        <is>
          <t>9005800382586</t>
        </is>
      </c>
      <c r="B26265" t="inlineStr">
        <is>
          <t>Niveaset Sensitive Keep It Calm Face Cream 75ml, Cleansing Gel For Face 100ml, Shower Gel 250ml</t>
        </is>
      </c>
      <c r="C26265" t="inlineStr">
        <is>
          <t>Face Cream</t>
        </is>
      </c>
      <c r="D26265" t="inlineStr">
        <is>
          <t>Nivea</t>
        </is>
      </c>
      <c r="E26265" t="n">
        <v>13.62</v>
      </c>
      <c r="F26265" t="n">
        <v>1</v>
      </c>
      <c r="G26265" t="n">
        <v>5</v>
      </c>
      <c r="H26265" s="5">
        <f>HYPERLINK("https://api.qogita.com/variants/link/9005800382586/", "View Product")</f>
        <v/>
      </c>
    </row>
    <row r="26266">
      <c r="A26266" t="inlineStr">
        <is>
          <t>9005800383057</t>
        </is>
      </c>
      <c r="B26266" t="inlineStr">
        <is>
          <t>Nivea Set Deep Collection Universal Cream 75ml, Antiperspirant Roll-On 50ml, Shower Gel 250ml, Aftershave 100ml</t>
        </is>
      </c>
      <c r="C26266" t="inlineStr">
        <is>
          <t>Body Care Sets</t>
        </is>
      </c>
      <c r="D26266" t="inlineStr">
        <is>
          <t>Nivea</t>
        </is>
      </c>
      <c r="E26266" t="n">
        <v>23.26</v>
      </c>
      <c r="F26266" t="n">
        <v>1</v>
      </c>
      <c r="G26266" t="n">
        <v>37</v>
      </c>
      <c r="H26266" s="5">
        <f>HYPERLINK("https://api.qogita.com/variants/link/9005800383057/", "View Product")</f>
        <v/>
      </c>
    </row>
    <row r="26267">
      <c r="A26267" t="inlineStr">
        <is>
          <t>9005800383552</t>
        </is>
      </c>
      <c r="B26267" t="inlineStr">
        <is>
          <t>Nivea Creme Care Skincare Moments</t>
        </is>
      </c>
      <c r="C26267" t="inlineStr">
        <is>
          <t>Face Cream</t>
        </is>
      </c>
      <c r="D26267" t="inlineStr">
        <is>
          <t>Nivea</t>
        </is>
      </c>
      <c r="E26267" t="n">
        <v>20.26</v>
      </c>
      <c r="F26267" t="n">
        <v>1</v>
      </c>
      <c r="G26267" t="n">
        <v>9</v>
      </c>
      <c r="H26267" s="5">
        <f>HYPERLINK("https://api.qogita.com/variants/link/9005800383552/", "View Product")</f>
        <v/>
      </c>
    </row>
    <row r="26268">
      <c r="A26268" t="inlineStr">
        <is>
          <t>9005800387314</t>
        </is>
      </c>
      <c r="B26268" t="inlineStr">
        <is>
          <t>Nivea Cellular Luminous Day Cream 40 Ml</t>
        </is>
      </c>
      <c r="C26268" t="inlineStr">
        <is>
          <t>Day Cream</t>
        </is>
      </c>
      <c r="D26268" t="inlineStr">
        <is>
          <t>Nivea</t>
        </is>
      </c>
      <c r="E26268" t="n">
        <v>23.52</v>
      </c>
      <c r="F26268" t="n">
        <v>1</v>
      </c>
      <c r="G26268" t="n">
        <v>13</v>
      </c>
      <c r="H26268" s="5">
        <f>HYPERLINK("https://api.qogita.com/variants/link/9005800387314/", "View Product")</f>
        <v/>
      </c>
    </row>
    <row r="26269">
      <c r="A26269" t="inlineStr">
        <is>
          <t>9005800388359</t>
        </is>
      </c>
      <c r="B26269" t="inlineStr">
        <is>
          <t>Nivea Q10 Firming + Energizing Body Serum-Balm 200ml</t>
        </is>
      </c>
      <c r="C26269" t="inlineStr">
        <is>
          <t>Body Lotion</t>
        </is>
      </c>
      <c r="D26269" t="inlineStr">
        <is>
          <t>Nivea</t>
        </is>
      </c>
      <c r="E26269" t="n">
        <v>10.89</v>
      </c>
      <c r="F26269" t="n">
        <v>1</v>
      </c>
      <c r="G26269" t="n">
        <v>6</v>
      </c>
      <c r="H26269" s="5">
        <f>HYPERLINK("https://api.qogita.com/variants/link/9005800388359/", "View Product")</f>
        <v/>
      </c>
    </row>
    <row r="26270">
      <c r="A26270" t="inlineStr">
        <is>
          <t>9005800389554</t>
        </is>
      </c>
      <c r="B26270" t="inlineStr">
        <is>
          <t>Nivea Daily Facial Fluid Spf 50 Q10 Anti-Wrinkle Expert - 40 Ml</t>
        </is>
      </c>
      <c r="C26270" t="inlineStr">
        <is>
          <t>Face Sun Protection</t>
        </is>
      </c>
      <c r="D26270" t="inlineStr">
        <is>
          <t>Nivea</t>
        </is>
      </c>
      <c r="E26270" t="n">
        <v>13.76</v>
      </c>
      <c r="F26270" t="n">
        <v>1</v>
      </c>
      <c r="G26270" t="n">
        <v>9</v>
      </c>
      <c r="H26270" s="5">
        <f>HYPERLINK("https://api.qogita.com/variants/link/9005800389554/", "View Product")</f>
        <v/>
      </c>
    </row>
    <row r="26271">
      <c r="A26271" t="inlineStr">
        <is>
          <t>9005800389684</t>
        </is>
      </c>
      <c r="B26271" t="inlineStr">
        <is>
          <t>Nivea Moisturizing Day Cream Spf 30 Essential Refreshing Day Cream 50 Ml</t>
        </is>
      </c>
      <c r="C26271" t="inlineStr">
        <is>
          <t>Day Cream</t>
        </is>
      </c>
      <c r="D26271" t="inlineStr">
        <is>
          <t>Nivea</t>
        </is>
      </c>
      <c r="E26271" t="n">
        <v>7.92</v>
      </c>
      <c r="F26271" t="n">
        <v>1</v>
      </c>
      <c r="G26271" t="n">
        <v>5</v>
      </c>
      <c r="H26271" s="5">
        <f>HYPERLINK("https://api.qogita.com/variants/link/9005800389684/", "View Product")</f>
        <v/>
      </c>
    </row>
    <row r="26272">
      <c r="A26272" t="inlineStr">
        <is>
          <t>9005800389691</t>
        </is>
      </c>
      <c r="B26272" t="inlineStr">
        <is>
          <t>Nivea Nourishing Day Cream For Dry Skin Spf 30 - 50 Ml</t>
        </is>
      </c>
      <c r="C26272" t="inlineStr">
        <is>
          <t>Day Cream</t>
        </is>
      </c>
      <c r="D26272" t="inlineStr">
        <is>
          <t>Nivea</t>
        </is>
      </c>
      <c r="E26272" t="n">
        <v>7.92</v>
      </c>
      <c r="F26272" t="n">
        <v>1</v>
      </c>
      <c r="G26272" t="n">
        <v>10</v>
      </c>
      <c r="H26272" s="5">
        <f>HYPERLINK("https://api.qogita.com/variants/link/9005800389691/", "View Product")</f>
        <v/>
      </c>
    </row>
    <row r="26273">
      <c r="A26273" t="inlineStr">
        <is>
          <t>9005800389882</t>
        </is>
      </c>
      <c r="B26273" t="inlineStr">
        <is>
          <t>Nivea Ultra Light Tinted Fluid Spf 50+ Sun - 40 Ml</t>
        </is>
      </c>
      <c r="C26273" t="inlineStr">
        <is>
          <t>Face Sun Protection</t>
        </is>
      </c>
      <c r="D26273" t="inlineStr">
        <is>
          <t>Nivea</t>
        </is>
      </c>
      <c r="E26273" t="n">
        <v>12.41</v>
      </c>
      <c r="F26273" t="n">
        <v>1</v>
      </c>
      <c r="G26273" t="n">
        <v>13</v>
      </c>
      <c r="H26273" s="5">
        <f>HYPERLINK("https://api.qogita.com/variants/link/9005800389882/", "View Product")</f>
        <v/>
      </c>
    </row>
    <row r="26274">
      <c r="A26274" t="inlineStr">
        <is>
          <t>9007867004333</t>
        </is>
      </c>
      <c r="B26274" t="inlineStr">
        <is>
          <t>Declaré Vita Mineral Triple Action Eye Cream for Men 15ml</t>
        </is>
      </c>
      <c r="C26274" t="inlineStr">
        <is>
          <t>Eye Cream</t>
        </is>
      </c>
      <c r="D26274" t="inlineStr">
        <is>
          <t>Declar</t>
        </is>
      </c>
      <c r="E26274" t="n">
        <v>26.21</v>
      </c>
      <c r="F26274" t="n">
        <v>1</v>
      </c>
      <c r="G26274" t="n">
        <v>2</v>
      </c>
      <c r="H26274" s="5">
        <f>HYPERLINK("https://api.qogita.com/variants/link/9007867004333/", "View Product")</f>
        <v/>
      </c>
    </row>
    <row r="26275">
      <c r="A26275" t="inlineStr">
        <is>
          <t>9007867005033</t>
        </is>
      </c>
      <c r="B26275" t="inlineStr">
        <is>
          <t>Soft Cleansing Cleansing Milk 200ml</t>
        </is>
      </c>
      <c r="C26275" t="inlineStr">
        <is>
          <t>Cleansing Milk</t>
        </is>
      </c>
      <c r="D26275" t="inlineStr">
        <is>
          <t>Declare</t>
        </is>
      </c>
      <c r="E26275" t="n">
        <v>16.37</v>
      </c>
      <c r="F26275" t="n">
        <v>1</v>
      </c>
      <c r="G26275" t="n">
        <v>3</v>
      </c>
      <c r="H26275" s="5">
        <f>HYPERLINK("https://api.qogita.com/variants/link/9007867005033/", "View Product")</f>
        <v/>
      </c>
    </row>
    <row r="26276">
      <c r="A26276" t="inlineStr">
        <is>
          <t>9007867005439</t>
        </is>
      </c>
      <c r="B26276" t="inlineStr">
        <is>
          <t>Declaré Hydro Balance Moisture 24h Effect Ampoule 2.5ml</t>
        </is>
      </c>
      <c r="C26276" t="inlineStr">
        <is>
          <t>Ampoules</t>
        </is>
      </c>
      <c r="D26276" t="inlineStr">
        <is>
          <t>Declare</t>
        </is>
      </c>
      <c r="E26276" t="n">
        <v>15.47</v>
      </c>
      <c r="F26276" t="n">
        <v>1</v>
      </c>
      <c r="G26276" t="n">
        <v>5</v>
      </c>
      <c r="H26276" s="5">
        <f>HYPERLINK("https://api.qogita.com/variants/link/9007867005439/", "View Product")</f>
        <v/>
      </c>
    </row>
    <row r="26277">
      <c r="A26277" t="inlineStr">
        <is>
          <t>9007867005644</t>
        </is>
      </c>
      <c r="B26277" t="inlineStr">
        <is>
          <t>Declare Caviar Anti Wrinkle Cream 50ml</t>
        </is>
      </c>
      <c r="C26277" t="inlineStr">
        <is>
          <t>Anti-Aging Facial Care</t>
        </is>
      </c>
      <c r="D26277" t="inlineStr">
        <is>
          <t>Declare</t>
        </is>
      </c>
      <c r="E26277" t="n">
        <v>75.42</v>
      </c>
      <c r="F26277" t="n">
        <v>1</v>
      </c>
      <c r="G26277" t="n">
        <v>2</v>
      </c>
      <c r="H26277" s="5">
        <f>HYPERLINK("https://api.qogita.com/variants/link/9007867005644/", "View Product")</f>
        <v/>
      </c>
    </row>
    <row r="26278">
      <c r="A26278" t="inlineStr">
        <is>
          <t>9007867005873</t>
        </is>
      </c>
      <c r="B26278" t="inlineStr">
        <is>
          <t>Declare Anti-Stress Shaving Gel for Men 150ml</t>
        </is>
      </c>
      <c r="C26278" t="inlineStr">
        <is>
          <t>Shaving</t>
        </is>
      </c>
      <c r="D26278" t="inlineStr">
        <is>
          <t>Declare</t>
        </is>
      </c>
      <c r="E26278" t="n">
        <v>11.65</v>
      </c>
      <c r="F26278" t="n">
        <v>1</v>
      </c>
      <c r="G26278" t="n">
        <v>4</v>
      </c>
      <c r="H26278" s="5">
        <f>HYPERLINK("https://api.qogita.com/variants/link/9007867005873/", "View Product")</f>
        <v/>
      </c>
    </row>
    <row r="26279">
      <c r="A26279" t="inlineStr">
        <is>
          <t>9007867007525</t>
        </is>
      </c>
      <c r="B26279" t="inlineStr">
        <is>
          <t>Declaré Age Control Essential Eye Cream 15ml</t>
        </is>
      </c>
      <c r="C26279" t="inlineStr">
        <is>
          <t>Eye Cream</t>
        </is>
      </c>
      <c r="D26279" t="inlineStr">
        <is>
          <t>Declare</t>
        </is>
      </c>
      <c r="E26279" t="n">
        <v>26.21</v>
      </c>
      <c r="F26279" t="n">
        <v>1</v>
      </c>
      <c r="G26279" t="n">
        <v>3</v>
      </c>
      <c r="H26279" s="5">
        <f>HYPERLINK("https://api.qogita.com/variants/link/9007867007525/", "View Product")</f>
        <v/>
      </c>
    </row>
    <row r="26280">
      <c r="A26280" t="inlineStr">
        <is>
          <t>9007867728642</t>
        </is>
      </c>
      <c r="B26280" t="inlineStr">
        <is>
          <t>Juvena Master Cream 75 Ml Day And Night Cream For All Skin Types Comprehensive Antiwrinkle Care</t>
        </is>
      </c>
      <c r="C26280" t="inlineStr">
        <is>
          <t>Anti-Aging Facial Care</t>
        </is>
      </c>
      <c r="D26280" t="inlineStr">
        <is>
          <t>Juvena</t>
        </is>
      </c>
      <c r="E26280" t="n">
        <v>144.79</v>
      </c>
      <c r="F26280" t="n">
        <v>1</v>
      </c>
      <c r="G26280" t="n">
        <v>8</v>
      </c>
      <c r="H26280" s="5">
        <f>HYPERLINK("https://api.qogita.com/variants/link/9007867728642/", "View Product")</f>
        <v/>
      </c>
    </row>
    <row r="26281">
      <c r="A26281" t="inlineStr">
        <is>
          <t>9007867729823</t>
        </is>
      </c>
      <c r="B26281" t="inlineStr">
        <is>
          <t>Juvena Specialists Skin Nova Sc Serum 30ml Restorative Wrinkle Serum</t>
        </is>
      </c>
      <c r="C26281" t="inlineStr">
        <is>
          <t>Anti-Aging Serum</t>
        </is>
      </c>
      <c r="D26281" t="inlineStr">
        <is>
          <t>Juvena</t>
        </is>
      </c>
      <c r="E26281" t="n">
        <v>69.16</v>
      </c>
      <c r="F26281" t="n">
        <v>1</v>
      </c>
      <c r="G26281" t="n">
        <v>7</v>
      </c>
      <c r="H26281" s="5">
        <f>HYPERLINK("https://api.qogita.com/variants/link/9007867729823/", "View Product")</f>
        <v/>
      </c>
    </row>
    <row r="26282">
      <c r="A26282" t="inlineStr">
        <is>
          <t>9007867730133</t>
        </is>
      </c>
      <c r="B26282" t="inlineStr">
        <is>
          <t>Juvena Specialists Moisture Plus Gel Mask 75ml</t>
        </is>
      </c>
      <c r="C26282" t="inlineStr">
        <is>
          <t>Hydrating Mask</t>
        </is>
      </c>
      <c r="D26282" t="inlineStr">
        <is>
          <t>Juvena</t>
        </is>
      </c>
      <c r="E26282" t="n">
        <v>34.27</v>
      </c>
      <c r="F26282" t="n">
        <v>1</v>
      </c>
      <c r="G26282" t="n">
        <v>19</v>
      </c>
      <c r="H26282" s="5">
        <f>HYPERLINK("https://api.qogita.com/variants/link/9007867730133/", "View Product")</f>
        <v/>
      </c>
    </row>
    <row r="26283">
      <c r="A26283" t="inlineStr">
        <is>
          <t>9007867736890</t>
        </is>
      </c>
      <c r="B26283" t="inlineStr">
        <is>
          <t>Juvena Skin Rejuvenate Delining Tinted Fluid 50ml Anti-Aging</t>
        </is>
      </c>
      <c r="C26283" t="inlineStr">
        <is>
          <t>Tinted Day Cream</t>
        </is>
      </c>
      <c r="D26283" t="inlineStr">
        <is>
          <t>Juvena</t>
        </is>
      </c>
      <c r="E26283" t="n">
        <v>44.63</v>
      </c>
      <c r="F26283" t="n">
        <v>1</v>
      </c>
      <c r="G26283" t="n">
        <v>15</v>
      </c>
      <c r="H26283" s="5">
        <f>HYPERLINK("https://api.qogita.com/variants/link/9007867736890/", "View Product")</f>
        <v/>
      </c>
    </row>
    <row r="26284">
      <c r="A26284" t="inlineStr">
        <is>
          <t>9007867737989</t>
        </is>
      </c>
      <c r="B26284" t="inlineStr">
        <is>
          <t>Juvena Luxury Adoration Treating Body Cream 200ml</t>
        </is>
      </c>
      <c r="C26284" t="inlineStr">
        <is>
          <t>Body Butter</t>
        </is>
      </c>
      <c r="D26284" t="inlineStr">
        <is>
          <t>Juvena</t>
        </is>
      </c>
      <c r="E26284" t="n">
        <v>22.2</v>
      </c>
      <c r="F26284" t="n">
        <v>1</v>
      </c>
      <c r="G26284" t="n">
        <v>16</v>
      </c>
      <c r="H26284" s="5">
        <f>HYPERLINK("https://api.qogita.com/variants/link/9007867737989/", "View Product")</f>
        <v/>
      </c>
    </row>
    <row r="26285">
      <c r="A26285" t="inlineStr">
        <is>
          <t>9007867760024</t>
        </is>
      </c>
      <c r="B26285" t="inlineStr">
        <is>
          <t>Juvena Skin Energy Moisture Cream 50ml Fragrance Free</t>
        </is>
      </c>
      <c r="C26285" t="inlineStr">
        <is>
          <t>Face Cream</t>
        </is>
      </c>
      <c r="D26285" t="inlineStr">
        <is>
          <t>Juvena</t>
        </is>
      </c>
      <c r="E26285" t="n">
        <v>24.94</v>
      </c>
      <c r="F26285" t="n">
        <v>1</v>
      </c>
      <c r="G26285" t="n">
        <v>6</v>
      </c>
      <c r="H26285" s="5">
        <f>HYPERLINK("https://api.qogita.com/variants/link/9007867760024/", "View Product")</f>
        <v/>
      </c>
    </row>
    <row r="26286">
      <c r="A26286" t="inlineStr">
        <is>
          <t>9007867761182</t>
        </is>
      </c>
      <c r="B26286" t="inlineStr">
        <is>
          <t>Juvena Pure Cleansing Exfoliating Guarana Mousse 125ml by Juvena</t>
        </is>
      </c>
      <c r="C26286" t="inlineStr">
        <is>
          <t>Facial Scrub &amp; Peeling</t>
        </is>
      </c>
      <c r="D26286" t="inlineStr">
        <is>
          <t>Pure</t>
        </is>
      </c>
      <c r="E26286" t="n">
        <v>31.16</v>
      </c>
      <c r="F26286" t="n">
        <v>1</v>
      </c>
      <c r="G26286" t="n">
        <v>37</v>
      </c>
      <c r="H26286" s="5">
        <f>HYPERLINK("https://api.qogita.com/variants/link/9007867761182/", "View Product")</f>
        <v/>
      </c>
    </row>
    <row r="26287">
      <c r="A26287" t="inlineStr">
        <is>
          <t>9007867761236</t>
        </is>
      </c>
      <c r="B26287" t="inlineStr">
        <is>
          <t>Juvena Pure Cleansing 2 Phase Instant Eye Makeup Remover 100 Ml</t>
        </is>
      </c>
      <c r="C26287" t="inlineStr">
        <is>
          <t>Makeup Remover</t>
        </is>
      </c>
      <c r="D26287" t="inlineStr">
        <is>
          <t>Juvena</t>
        </is>
      </c>
      <c r="E26287" t="n">
        <v>18.2</v>
      </c>
      <c r="F26287" t="n">
        <v>1</v>
      </c>
      <c r="G26287" t="n">
        <v>35</v>
      </c>
      <c r="H26287" s="5">
        <f>HYPERLINK("https://api.qogita.com/variants/link/9007867761236/", "View Product")</f>
        <v/>
      </c>
    </row>
    <row r="26288">
      <c r="A26288" t="inlineStr">
        <is>
          <t>9007867762318</t>
        </is>
      </c>
      <c r="B26288" t="inlineStr">
        <is>
          <t>Juvena Fascianista SkinNova Body Cream 200ml</t>
        </is>
      </c>
      <c r="C26288" t="inlineStr">
        <is>
          <t>Body Lotion</t>
        </is>
      </c>
      <c r="D26288" t="inlineStr">
        <is>
          <t>Juvena</t>
        </is>
      </c>
      <c r="E26288" t="n">
        <v>53.48</v>
      </c>
      <c r="F26288" t="n">
        <v>1</v>
      </c>
      <c r="G26288" t="n">
        <v>19</v>
      </c>
      <c r="H26288" s="5">
        <f>HYPERLINK("https://api.qogita.com/variants/link/9007867762318/", "View Product")</f>
        <v/>
      </c>
    </row>
    <row r="26289">
      <c r="A26289" t="inlineStr">
        <is>
          <t>9007867762363</t>
        </is>
      </c>
      <c r="B26289" t="inlineStr">
        <is>
          <t>Juvena Body Deodorant Rollon 24h 50 Ml Aluminumfree And Alcoholfree</t>
        </is>
      </c>
      <c r="C26289" t="inlineStr">
        <is>
          <t>Deodorant &amp; Anti-Perspirant</t>
        </is>
      </c>
      <c r="D26289" t="inlineStr">
        <is>
          <t>Juvena</t>
        </is>
      </c>
      <c r="E26289" t="n">
        <v>14.44</v>
      </c>
      <c r="F26289" t="n">
        <v>1</v>
      </c>
      <c r="G26289" t="n">
        <v>14</v>
      </c>
      <c r="H26289" s="5">
        <f>HYPERLINK("https://api.qogita.com/variants/link/9007867762363/", "View Product")</f>
        <v/>
      </c>
    </row>
    <row r="26290">
      <c r="A26290" t="inlineStr">
        <is>
          <t>9007867765203</t>
        </is>
      </c>
      <c r="B26290" t="inlineStr">
        <is>
          <t>Juvena Radiance Eye Care Spray 15ml</t>
        </is>
      </c>
      <c r="C26290" t="inlineStr">
        <is>
          <t>Eye Serum</t>
        </is>
      </c>
      <c r="D26290" t="inlineStr">
        <is>
          <t>Juvena</t>
        </is>
      </c>
      <c r="E26290" t="n">
        <v>44.28</v>
      </c>
      <c r="F26290" t="n">
        <v>1</v>
      </c>
      <c r="G26290" t="n">
        <v>4</v>
      </c>
      <c r="H26290" s="5">
        <f>HYPERLINK("https://api.qogita.com/variants/link/9007867765203/", "View Product")</f>
        <v/>
      </c>
    </row>
    <row r="26291">
      <c r="A26291" t="inlineStr">
        <is>
          <t>9007867766859</t>
        </is>
      </c>
      <c r="B26291" t="inlineStr">
        <is>
          <t>Juvena Skin Rejuvenate Delining Eye Cream 15 Ml Restorative Eye Cream</t>
        </is>
      </c>
      <c r="C26291" t="inlineStr">
        <is>
          <t>Eye Cream</t>
        </is>
      </c>
      <c r="D26291" t="inlineStr">
        <is>
          <t>Juvena</t>
        </is>
      </c>
      <c r="E26291" t="n">
        <v>36.17</v>
      </c>
      <c r="F26291" t="n">
        <v>1</v>
      </c>
      <c r="G26291" t="n">
        <v>6</v>
      </c>
      <c r="H26291" s="5">
        <f>HYPERLINK("https://api.qogita.com/variants/link/9007867766859/", "View Product")</f>
        <v/>
      </c>
    </row>
    <row r="26292">
      <c r="A26292" t="inlineStr">
        <is>
          <t>9007867768617</t>
        </is>
      </c>
      <c r="B26292" t="inlineStr">
        <is>
          <t>Juvena Mastercream Rose 75ml Facial Cosmetics</t>
        </is>
      </c>
      <c r="C26292" t="inlineStr">
        <is>
          <t>Face Cream</t>
        </is>
      </c>
      <c r="D26292" t="inlineStr">
        <is>
          <t>Juvena</t>
        </is>
      </c>
      <c r="E26292" t="n">
        <v>129.59</v>
      </c>
      <c r="F26292" t="n">
        <v>1</v>
      </c>
      <c r="G26292" t="n">
        <v>10</v>
      </c>
      <c r="H26292" s="5">
        <f>HYPERLINK("https://api.qogita.com/variants/link/9007867768617/", "View Product")</f>
        <v/>
      </c>
    </row>
    <row r="26293">
      <c r="A26293" t="inlineStr">
        <is>
          <t>9120037353953</t>
        </is>
      </c>
      <c r="B26293" t="inlineStr">
        <is>
          <t>Susanne Kaufmann Nourishing Day Cream 50ml</t>
        </is>
      </c>
      <c r="C26293" t="inlineStr">
        <is>
          <t>Day Cream</t>
        </is>
      </c>
      <c r="D26293" t="inlineStr">
        <is>
          <t>Susanne Kaufmann</t>
        </is>
      </c>
      <c r="E26293" t="n">
        <v>63.96</v>
      </c>
      <c r="F26293" t="n">
        <v>1</v>
      </c>
      <c r="G26293" t="n">
        <v>4</v>
      </c>
      <c r="H26293" s="5">
        <f>HYPERLINK("https://api.qogita.com/variants/link/9120037353953/", "View Product")</f>
        <v/>
      </c>
    </row>
    <row r="26294">
      <c r="A26294" t="inlineStr">
        <is>
          <t>9120037354295</t>
        </is>
      </c>
      <c r="B26294" t="inlineStr">
        <is>
          <t>Susanne Kaufmann Body Butter 200ml</t>
        </is>
      </c>
      <c r="C26294" t="inlineStr">
        <is>
          <t>Body Butter</t>
        </is>
      </c>
      <c r="D26294" t="inlineStr">
        <is>
          <t>Susanne Kaufmann</t>
        </is>
      </c>
      <c r="E26294" t="n">
        <v>59.05</v>
      </c>
      <c r="F26294" t="n">
        <v>1</v>
      </c>
      <c r="G26294" t="n">
        <v>3</v>
      </c>
      <c r="H26294" s="5">
        <f>HYPERLINK("https://api.qogita.com/variants/link/9120037354295/", "View Product")</f>
        <v/>
      </c>
    </row>
    <row r="26295">
      <c r="A26295" t="inlineStr">
        <is>
          <t>9120054350331</t>
        </is>
      </c>
      <c r="B26295" t="inlineStr">
        <is>
          <t>Synouvelle Cosmeceuticals Cleansing Foam 150 Ml</t>
        </is>
      </c>
      <c r="C26295" t="inlineStr">
        <is>
          <t>Cleansing Foam</t>
        </is>
      </c>
      <c r="D26295" t="inlineStr">
        <is>
          <t>Synouvelle</t>
        </is>
      </c>
      <c r="E26295" t="n">
        <v>27.89</v>
      </c>
      <c r="F26295" t="n">
        <v>1</v>
      </c>
      <c r="G26295" t="n">
        <v>2</v>
      </c>
      <c r="H26295" s="5">
        <f>HYPERLINK("https://api.qogita.com/variants/link/9120054350331/", "View Product")</f>
        <v/>
      </c>
    </row>
    <row r="26296">
      <c r="A26296" t="inlineStr">
        <is>
          <t>9319944007480</t>
        </is>
      </c>
      <c r="B26296" t="inlineStr">
        <is>
          <t>Aesop Petitgrain Reviving Body Gel 150ml</t>
        </is>
      </c>
      <c r="C26296" t="inlineStr">
        <is>
          <t>Body Lotion</t>
        </is>
      </c>
      <c r="D26296" t="inlineStr">
        <is>
          <t>Aesop</t>
        </is>
      </c>
      <c r="E26296" t="n">
        <v>37.35</v>
      </c>
      <c r="F26296" t="n">
        <v>1</v>
      </c>
      <c r="G26296" t="n">
        <v>2</v>
      </c>
      <c r="H26296" s="5">
        <f>HYPERLINK("https://api.qogita.com/variants/link/9319944007480/", "View Product")</f>
        <v/>
      </c>
    </row>
    <row r="26297">
      <c r="A26297" t="inlineStr">
        <is>
          <t>9319944034134</t>
        </is>
      </c>
      <c r="B26297" t="inlineStr">
        <is>
          <t>Aesop Sage Zinc Facial Hydrating Lotion - Hydrating Facial Water With Spf 15</t>
        </is>
      </c>
      <c r="C26297" t="inlineStr">
        <is>
          <t>Face Sun Protection</t>
        </is>
      </c>
      <c r="D26297" t="inlineStr">
        <is>
          <t>Aesop</t>
        </is>
      </c>
      <c r="E26297" t="n">
        <v>37.01</v>
      </c>
      <c r="F26297" t="n">
        <v>1</v>
      </c>
      <c r="G26297" t="n">
        <v>5</v>
      </c>
      <c r="H26297" s="5">
        <f>HYPERLINK("https://api.qogita.com/variants/link/9319944034134/", "View Product")</f>
        <v/>
      </c>
    </row>
    <row r="26298">
      <c r="A26298" t="inlineStr">
        <is>
          <t>9339341001522</t>
        </is>
      </c>
      <c r="B26298" t="inlineStr">
        <is>
          <t>Kevin Murphy Medium Hair Curlers - 48 Pieces</t>
        </is>
      </c>
      <c r="C26298" t="inlineStr">
        <is>
          <t>Curling Sets</t>
        </is>
      </c>
      <c r="D26298" t="inlineStr">
        <is>
          <t>Kevin Murphy</t>
        </is>
      </c>
      <c r="E26298" t="n">
        <v>97.84</v>
      </c>
      <c r="F26298" t="n">
        <v>1</v>
      </c>
      <c r="G26298" t="n">
        <v>2</v>
      </c>
      <c r="H26298" s="5">
        <f>HYPERLINK("https://api.qogita.com/variants/link/9339341001522/", "View Product")</f>
        <v/>
      </c>
    </row>
    <row r="26299">
      <c r="A26299" t="inlineStr">
        <is>
          <t>9339341010517</t>
        </is>
      </c>
      <c r="B26299" t="inlineStr">
        <is>
          <t>Kevin Murphy Treat Me Elixir Flacon 1.7oz New Formula</t>
        </is>
      </c>
      <c r="C26299" t="inlineStr">
        <is>
          <t>Hair Oil &amp; Hair Serum</t>
        </is>
      </c>
      <c r="D26299" t="inlineStr">
        <is>
          <t>Kevin Murphy</t>
        </is>
      </c>
      <c r="E26299" t="n">
        <v>41.25</v>
      </c>
      <c r="F26299" t="n">
        <v>1</v>
      </c>
      <c r="G26299" t="n">
        <v>3</v>
      </c>
      <c r="H26299" s="5">
        <f>HYPERLINK("https://api.qogita.com/variants/link/9339341010517/", "View Product")</f>
        <v/>
      </c>
    </row>
    <row r="26300">
      <c r="A26300" t="inlineStr">
        <is>
          <t>9339341016281</t>
        </is>
      </c>
      <c r="B26300" t="inlineStr">
        <is>
          <t>Kevin Murphy Blonde Angel Treatment 1 Liter 33.8 Oz</t>
        </is>
      </c>
      <c r="C26300" t="inlineStr">
        <is>
          <t>Conditioner</t>
        </is>
      </c>
      <c r="D26300" t="inlineStr">
        <is>
          <t>Kevin.Murphy</t>
        </is>
      </c>
      <c r="E26300" t="n">
        <v>62</v>
      </c>
      <c r="F26300" t="n">
        <v>1</v>
      </c>
      <c r="G26300" t="n">
        <v>37</v>
      </c>
      <c r="H26300" s="5">
        <f>HYPERLINK("https://api.qogita.com/variants/link/9339341016281/", "View Product")</f>
        <v/>
      </c>
    </row>
    <row r="26301">
      <c r="A26301" t="inlineStr">
        <is>
          <t>9339341017035</t>
        </is>
      </c>
      <c r="B26301" t="inlineStr">
        <is>
          <t>Kevin Murphy Angel.Rinse Conditioner 1000ml</t>
        </is>
      </c>
      <c r="C26301" t="inlineStr">
        <is>
          <t>Conditioner</t>
        </is>
      </c>
      <c r="D26301" t="inlineStr">
        <is>
          <t>Kevin Murphy</t>
        </is>
      </c>
      <c r="E26301" t="n">
        <v>47.91</v>
      </c>
      <c r="F26301" t="n">
        <v>1</v>
      </c>
      <c r="G26301" t="n">
        <v>26</v>
      </c>
      <c r="H26301" s="5">
        <f>HYPERLINK("https://api.qogita.com/variants/link/9339341017035/", "View Product")</f>
        <v/>
      </c>
    </row>
    <row r="26302">
      <c r="A26302" t="inlineStr">
        <is>
          <t>9339341017066</t>
        </is>
      </c>
      <c r="B26302" t="inlineStr">
        <is>
          <t>Kevin Murphy Blonde Angel Color Enhancing Conditioner For Blonde Hair 250ml</t>
        </is>
      </c>
      <c r="C26302" t="inlineStr">
        <is>
          <t>Conditioner</t>
        </is>
      </c>
      <c r="D26302" t="inlineStr">
        <is>
          <t>Kevin Murphy</t>
        </is>
      </c>
      <c r="E26302" t="n">
        <v>25.38</v>
      </c>
      <c r="F26302" t="n">
        <v>1</v>
      </c>
      <c r="G26302" t="n">
        <v>24</v>
      </c>
      <c r="H26302" s="5">
        <f>HYPERLINK("https://api.qogita.com/variants/link/9339341017066/", "View Product")</f>
        <v/>
      </c>
    </row>
    <row r="26303">
      <c r="A26303" t="inlineStr">
        <is>
          <t>9339341017677</t>
        </is>
      </c>
      <c r="B26303" t="inlineStr">
        <is>
          <t>Kevin Murphy Easy Rider Anti Frizz Creme 100g</t>
        </is>
      </c>
      <c r="C26303" t="inlineStr">
        <is>
          <t>Hair Oil &amp; Hair Serum</t>
        </is>
      </c>
      <c r="D26303" t="inlineStr">
        <is>
          <t>Kevin Murphy</t>
        </is>
      </c>
      <c r="E26303" t="n">
        <v>22.59</v>
      </c>
      <c r="F26303" t="n">
        <v>1</v>
      </c>
      <c r="G26303" t="n">
        <v>5</v>
      </c>
      <c r="H26303" s="5">
        <f>HYPERLINK("https://api.qogita.com/variants/link/9339341017677/", "View Product")</f>
        <v/>
      </c>
    </row>
    <row r="26304">
      <c r="A26304" t="inlineStr">
        <is>
          <t>9339341018179</t>
        </is>
      </c>
      <c r="B26304" t="inlineStr">
        <is>
          <t>Kevin Murphy Hair Resort Beach Texturizer 5.09 Ounce</t>
        </is>
      </c>
      <c r="C26304" t="inlineStr">
        <is>
          <t>Styling Sprays</t>
        </is>
      </c>
      <c r="D26304" t="inlineStr">
        <is>
          <t>Kevin.Murphy</t>
        </is>
      </c>
      <c r="E26304" t="n">
        <v>23.06</v>
      </c>
      <c r="F26304" t="n">
        <v>1</v>
      </c>
      <c r="G26304" t="n">
        <v>5</v>
      </c>
      <c r="H26304" s="5">
        <f>HYPERLINK("https://api.qogita.com/variants/link/9339341018179/", "View Product")</f>
        <v/>
      </c>
    </row>
    <row r="26305">
      <c r="A26305" t="inlineStr">
        <is>
          <t>9339341018285</t>
        </is>
      </c>
      <c r="B26305" t="inlineStr">
        <is>
          <t>Kevin Murphy Anti Gravity Lotion 150ml - Volume Enhancing Milk For Hair Roots</t>
        </is>
      </c>
      <c r="C26305" t="inlineStr">
        <is>
          <t>Hair Tonic</t>
        </is>
      </c>
      <c r="D26305" t="inlineStr">
        <is>
          <t>Kevin Murphy</t>
        </is>
      </c>
      <c r="E26305" t="n">
        <v>24.87</v>
      </c>
      <c r="F26305" t="n">
        <v>1</v>
      </c>
      <c r="G26305" t="n">
        <v>17</v>
      </c>
      <c r="H26305" s="5">
        <f>HYPERLINK("https://api.qogita.com/variants/link/9339341018285/", "View Product")</f>
        <v/>
      </c>
    </row>
    <row r="26306">
      <c r="A26306" t="inlineStr">
        <is>
          <t>9339341018315</t>
        </is>
      </c>
      <c r="B26306" t="inlineStr">
        <is>
          <t>Kevin Murphy Young Again Wash Shampoo 40ml</t>
        </is>
      </c>
      <c r="C26306" t="inlineStr">
        <is>
          <t>Shampoo</t>
        </is>
      </c>
      <c r="D26306" t="inlineStr">
        <is>
          <t>Kevin Murphy</t>
        </is>
      </c>
      <c r="E26306" t="n">
        <v>7.68</v>
      </c>
      <c r="F26306" t="n">
        <v>1</v>
      </c>
      <c r="G26306" t="n">
        <v>12</v>
      </c>
      <c r="H26306" s="5">
        <f>HYPERLINK("https://api.qogita.com/variants/link/9339341018315/", "View Product")</f>
        <v/>
      </c>
    </row>
    <row r="26307">
      <c r="A26307" t="inlineStr">
        <is>
          <t>9339341019473</t>
        </is>
      </c>
      <c r="B26307" t="inlineStr">
        <is>
          <t>Kevin Murphy Young Again Masque Hair Conditioning Mask 200ml</t>
        </is>
      </c>
      <c r="C26307" t="inlineStr">
        <is>
          <t>Hair Masks</t>
        </is>
      </c>
      <c r="D26307" t="inlineStr">
        <is>
          <t>Kevin Murphy</t>
        </is>
      </c>
      <c r="E26307" t="n">
        <v>29.96</v>
      </c>
      <c r="F26307" t="n">
        <v>1</v>
      </c>
      <c r="G26307" t="n">
        <v>20</v>
      </c>
      <c r="H26307" s="5">
        <f>HYPERLINK("https://api.qogita.com/variants/link/9339341019473/", "View Product")</f>
        <v/>
      </c>
    </row>
    <row r="26308">
      <c r="A26308" t="inlineStr">
        <is>
          <t>9339341020356</t>
        </is>
      </c>
      <c r="B26308" t="inlineStr">
        <is>
          <t>Kevin Murphy Young Again Treatment Oil 100ml - Nourishing And Smoothing Oil</t>
        </is>
      </c>
      <c r="C26308" t="inlineStr">
        <is>
          <t>Hair Oil &amp; Hair Serum</t>
        </is>
      </c>
      <c r="D26308" t="inlineStr">
        <is>
          <t>Kevin Murphy</t>
        </is>
      </c>
      <c r="E26308" t="n">
        <v>29.09</v>
      </c>
      <c r="F26308" t="n">
        <v>1</v>
      </c>
      <c r="G26308" t="n">
        <v>119</v>
      </c>
      <c r="H26308" s="5">
        <f>HYPERLINK("https://api.qogita.com/variants/link/9339341020356/", "View Product")</f>
        <v/>
      </c>
    </row>
    <row r="26309">
      <c r="A26309" t="inlineStr">
        <is>
          <t>9339341020400</t>
        </is>
      </c>
      <c r="B26309" t="inlineStr">
        <is>
          <t>Kevin Murphy Leave-In Repair Keratin Hair Treatment for All Hair Types</t>
        </is>
      </c>
      <c r="C26309" t="inlineStr">
        <is>
          <t>Leave-In Conditioner</t>
        </is>
      </c>
      <c r="D26309" t="inlineStr">
        <is>
          <t>Kevin Murphy</t>
        </is>
      </c>
      <c r="E26309" t="n">
        <v>26.71</v>
      </c>
      <c r="F26309" t="n">
        <v>1</v>
      </c>
      <c r="G26309" t="n">
        <v>13</v>
      </c>
      <c r="H26309" s="5">
        <f>HYPERLINK("https://api.qogita.com/variants/link/9339341020400/", "View Product")</f>
        <v/>
      </c>
    </row>
    <row r="26310">
      <c r="A26310" t="inlineStr">
        <is>
          <t>9339341020448</t>
        </is>
      </c>
      <c r="B26310" t="inlineStr">
        <is>
          <t>Kevin Murphy Re Store Repair Treatment 200ml Kevin Murphy Hair Care</t>
        </is>
      </c>
      <c r="C26310" t="inlineStr">
        <is>
          <t>Hair Masks</t>
        </is>
      </c>
      <c r="D26310" t="inlineStr">
        <is>
          <t>Kevin Murphy</t>
        </is>
      </c>
      <c r="E26310" t="n">
        <v>28.87</v>
      </c>
      <c r="F26310" t="n">
        <v>1</v>
      </c>
      <c r="G26310" t="n">
        <v>9</v>
      </c>
      <c r="H26310" s="5">
        <f>HYPERLINK("https://api.qogita.com/variants/link/9339341020448/", "View Product")</f>
        <v/>
      </c>
    </row>
    <row r="26311">
      <c r="A26311" t="inlineStr">
        <is>
          <t>9339341034889</t>
        </is>
      </c>
      <c r="B26311" t="inlineStr">
        <is>
          <t>Kevin Murphy Everlasting Colour Wash Shampoo Color Protector 250ml</t>
        </is>
      </c>
      <c r="C26311" t="inlineStr">
        <is>
          <t>Shampoo</t>
        </is>
      </c>
      <c r="D26311" t="inlineStr">
        <is>
          <t>Kevin Murphy</t>
        </is>
      </c>
      <c r="E26311" t="n">
        <v>25.07</v>
      </c>
      <c r="F26311" t="n">
        <v>1</v>
      </c>
      <c r="G26311" t="n">
        <v>3</v>
      </c>
      <c r="H26311" s="5">
        <f>HYPERLINK("https://api.qogita.com/variants/link/9339341034889/", "View Product")</f>
        <v/>
      </c>
    </row>
    <row r="26312">
      <c r="A26312" t="inlineStr">
        <is>
          <t>9339341034896</t>
        </is>
      </c>
      <c r="B26312" t="inlineStr">
        <is>
          <t>Kevin Murphy Everlasting Colour Rinse Conditioner Protecting Color With Acidic Ph 250ml</t>
        </is>
      </c>
      <c r="C26312" t="inlineStr">
        <is>
          <t>Conditioner</t>
        </is>
      </c>
      <c r="D26312" t="inlineStr">
        <is>
          <t>Kevin Murphy</t>
        </is>
      </c>
      <c r="E26312" t="n">
        <v>25.27</v>
      </c>
      <c r="F26312" t="n">
        <v>1</v>
      </c>
      <c r="G26312" t="n">
        <v>5</v>
      </c>
      <c r="H26312" s="5">
        <f>HYPERLINK("https://api.qogita.com/variants/link/9339341034896/", "View Product")</f>
        <v/>
      </c>
    </row>
    <row r="26313">
      <c r="A26313" t="inlineStr">
        <is>
          <t>9339341035596</t>
        </is>
      </c>
      <c r="B26313" t="inlineStr">
        <is>
          <t>Kevin Murphy Session Spray Strong Hold Hair Spray 100ml</t>
        </is>
      </c>
      <c r="C26313" t="inlineStr">
        <is>
          <t>Hairspray</t>
        </is>
      </c>
      <c r="D26313" t="inlineStr">
        <is>
          <t>Kevin Murphy</t>
        </is>
      </c>
      <c r="E26313" t="n">
        <v>14.86</v>
      </c>
      <c r="F26313" t="n">
        <v>1</v>
      </c>
      <c r="G26313" t="n">
        <v>4</v>
      </c>
      <c r="H26313" s="5">
        <f>HYPERLINK("https://api.qogita.com/variants/link/9339341035596/", "View Product")</f>
        <v/>
      </c>
    </row>
    <row r="26314">
      <c r="A26314" t="inlineStr">
        <is>
          <t>9339341035602</t>
        </is>
      </c>
      <c r="B26314" t="inlineStr">
        <is>
          <t>Kevin Murphy Session Spray Strong Hold Hair Spray 400ml</t>
        </is>
      </c>
      <c r="C26314" t="inlineStr">
        <is>
          <t>Hairspray</t>
        </is>
      </c>
      <c r="D26314" t="inlineStr">
        <is>
          <t>Kevin Murphy</t>
        </is>
      </c>
      <c r="E26314" t="n">
        <v>24.84</v>
      </c>
      <c r="F26314" t="n">
        <v>1</v>
      </c>
      <c r="G26314" t="n">
        <v>11</v>
      </c>
      <c r="H26314" s="5">
        <f>HYPERLINK("https://api.qogita.com/variants/link/9339341035602/", "View Product")</f>
        <v/>
      </c>
    </row>
    <row r="26315">
      <c r="A26315" t="inlineStr">
        <is>
          <t>9339341037552</t>
        </is>
      </c>
      <c r="B26315" t="inlineStr">
        <is>
          <t>Kevin Murphy Killer Curls Rinse Nourishing Conditioner for Curly Hair 40 Ml</t>
        </is>
      </c>
      <c r="C26315" t="inlineStr">
        <is>
          <t>Conditioner</t>
        </is>
      </c>
      <c r="D26315" t="inlineStr">
        <is>
          <t>Kevin Murphy</t>
        </is>
      </c>
      <c r="E26315" t="n">
        <v>8.75</v>
      </c>
      <c r="F26315" t="n">
        <v>1</v>
      </c>
      <c r="G26315" t="n">
        <v>6</v>
      </c>
      <c r="H26315" s="5">
        <f>HYPERLINK("https://api.qogita.com/variants/link/9339341037552/", "View Product")</f>
        <v/>
      </c>
    </row>
    <row r="26316">
      <c r="A26316" t="inlineStr">
        <is>
          <t>9339341060000</t>
        </is>
      </c>
      <c r="B26316" t="inlineStr">
        <is>
          <t>Kevin Murphy Smooth Again Wash Smoothing Shampoo 250ml</t>
        </is>
      </c>
      <c r="C26316" t="inlineStr">
        <is>
          <t>Shampoo</t>
        </is>
      </c>
      <c r="D26316" t="inlineStr">
        <is>
          <t>Kevin Murphy</t>
        </is>
      </c>
      <c r="E26316" t="n">
        <v>20.81</v>
      </c>
      <c r="F26316" t="n">
        <v>1</v>
      </c>
      <c r="G26316" t="n">
        <v>4</v>
      </c>
      <c r="H26316" s="5">
        <f>HYPERLINK("https://api.qogita.com/variants/link/9339341060000/", "View Product")</f>
        <v/>
      </c>
    </row>
    <row r="26317">
      <c r="A26317" t="inlineStr">
        <is>
          <t>9339341060017</t>
        </is>
      </c>
      <c r="B26317" t="inlineStr">
        <is>
          <t>Kevin Murphy Smooth Again Wash Shampoo For Hair 1000ml</t>
        </is>
      </c>
      <c r="C26317" t="inlineStr">
        <is>
          <t>Shampoo</t>
        </is>
      </c>
      <c r="D26317" t="inlineStr">
        <is>
          <t>Kevin Murphy</t>
        </is>
      </c>
      <c r="E26317" t="n">
        <v>53.59</v>
      </c>
      <c r="F26317" t="n">
        <v>1</v>
      </c>
      <c r="G26317" t="n">
        <v>15</v>
      </c>
      <c r="H26317" s="5">
        <f>HYPERLINK("https://api.qogita.com/variants/link/9339341060017/", "View Product")</f>
        <v/>
      </c>
    </row>
    <row r="26318">
      <c r="A26318" t="inlineStr">
        <is>
          <t>9339527010867</t>
        </is>
      </c>
      <c r="B26318" t="inlineStr">
        <is>
          <t>Inika Organic Natural Light Care Make-Up Serum Foundation 25 Ml</t>
        </is>
      </c>
      <c r="C26318" t="inlineStr">
        <is>
          <t>Foundation</t>
        </is>
      </c>
      <c r="D26318" t="inlineStr">
        <is>
          <t>Inika Organic</t>
        </is>
      </c>
      <c r="E26318" t="n">
        <v>48.76</v>
      </c>
      <c r="F26318" t="n">
        <v>1</v>
      </c>
      <c r="G26318" t="n">
        <v>2</v>
      </c>
      <c r="H26318" s="5">
        <f>HYPERLINK("https://api.qogita.com/variants/link/9339527010867/", "View Product")</f>
        <v/>
      </c>
    </row>
    <row r="26319">
      <c r="A26319" t="inlineStr">
        <is>
          <t>9339527011406</t>
        </is>
      </c>
      <c r="B26319" t="inlineStr">
        <is>
          <t>Inika Organic Natural Light Care Make-Up Serum Foundation - 25 Ml</t>
        </is>
      </c>
      <c r="C26319" t="inlineStr">
        <is>
          <t>Foundation</t>
        </is>
      </c>
      <c r="D26319" t="inlineStr">
        <is>
          <t>Inika Organic</t>
        </is>
      </c>
      <c r="E26319" t="n">
        <v>52.15</v>
      </c>
      <c r="F26319" t="n">
        <v>1</v>
      </c>
      <c r="G26319" t="n">
        <v>2</v>
      </c>
      <c r="H26319" s="5">
        <f>HYPERLINK("https://api.qogita.com/variants/link/9339527011406/", "View Product")</f>
        <v/>
      </c>
    </row>
    <row r="26320">
      <c r="A26320" t="inlineStr">
        <is>
          <t>9346627001329</t>
        </is>
      </c>
      <c r="B26320" t="inlineStr">
        <is>
          <t>Eleven Australia Keep My Curl Defining Cream 50ml</t>
        </is>
      </c>
      <c r="C26320" t="inlineStr">
        <is>
          <t>Styling Creams</t>
        </is>
      </c>
      <c r="D26320" t="inlineStr">
        <is>
          <t>Eleven Australia</t>
        </is>
      </c>
      <c r="E26320" t="n">
        <v>5.39</v>
      </c>
      <c r="F26320" t="n">
        <v>1</v>
      </c>
      <c r="G26320" t="n">
        <v>3</v>
      </c>
      <c r="H26320" s="5">
        <f>HYPERLINK("https://api.qogita.com/variants/link/9346627001329/", "View Product")</f>
        <v/>
      </c>
    </row>
    <row r="26321">
      <c r="A26321" t="inlineStr">
        <is>
          <t>9347108049151</t>
        </is>
      </c>
      <c r="B26321" t="inlineStr">
        <is>
          <t>Minetan Illuminating Facial Tan Mist - 100 Ml</t>
        </is>
      </c>
      <c r="C26321" t="inlineStr">
        <is>
          <t>Face Self-Tanner</t>
        </is>
      </c>
      <c r="D26321" t="inlineStr">
        <is>
          <t>Minetan</t>
        </is>
      </c>
      <c r="E26321" t="n">
        <v>23.89</v>
      </c>
      <c r="F26321" t="n">
        <v>1</v>
      </c>
      <c r="G26321" t="n">
        <v>2</v>
      </c>
      <c r="H26321" s="5">
        <f>HYPERLINK("https://api.qogita.com/variants/link/9347108049151/", "View Product")</f>
        <v/>
      </c>
    </row>
    <row r="26322">
      <c r="A26322" t="inlineStr">
        <is>
          <t>9421905119450</t>
        </is>
      </c>
      <c r="B26322" t="inlineStr">
        <is>
          <t>Antipodes Kiwi Seed Oil Eye Cream 100 Natural Cruelty-Free Vegan Fragrance-Free and Anti-Aging 30ml</t>
        </is>
      </c>
      <c r="C26322" t="inlineStr">
        <is>
          <t>Eye Cream</t>
        </is>
      </c>
      <c r="D26322" t="inlineStr">
        <is>
          <t>Antipodes</t>
        </is>
      </c>
      <c r="E26322" t="n">
        <v>48.84</v>
      </c>
      <c r="F26322" t="n">
        <v>1</v>
      </c>
      <c r="G26322" t="n">
        <v>5</v>
      </c>
      <c r="H26322" s="5">
        <f>HYPERLINK("https://api.qogita.com/variants/link/9421905119450/", "View Product")</f>
        <v/>
      </c>
    </row>
    <row r="26323">
      <c r="A26323" t="inlineStr">
        <is>
          <t>9421905119931</t>
        </is>
      </c>
      <c r="B26323" t="inlineStr">
        <is>
          <t>Antipodes Aura Manuka Honey Mask</t>
        </is>
      </c>
      <c r="C26323" t="inlineStr">
        <is>
          <t>Hydrating Mask</t>
        </is>
      </c>
      <c r="D26323" t="inlineStr">
        <is>
          <t>Antipodes</t>
        </is>
      </c>
      <c r="E26323" t="n">
        <v>10.48</v>
      </c>
      <c r="F26323" t="n">
        <v>1</v>
      </c>
      <c r="G26323" t="n">
        <v>2</v>
      </c>
      <c r="H26323" s="5">
        <f>HYPERLINK("https://api.qogita.com/variants/link/9421905119931/", "View Product")</f>
        <v/>
      </c>
    </row>
    <row r="26324">
      <c r="A26324" t="inlineStr">
        <is>
          <t>9421906120004</t>
        </is>
      </c>
      <c r="B26324" t="inlineStr">
        <is>
          <t>Antipodes Halo Facial Mud Mask 75ml</t>
        </is>
      </c>
      <c r="C26324" t="inlineStr">
        <is>
          <t>Clay Mask</t>
        </is>
      </c>
      <c r="D26324" t="inlineStr">
        <is>
          <t>Antipodes</t>
        </is>
      </c>
      <c r="E26324" t="n">
        <v>29.63</v>
      </c>
      <c r="F26324" t="n">
        <v>1</v>
      </c>
      <c r="G26324" t="n">
        <v>3</v>
      </c>
      <c r="H26324" s="5">
        <f>HYPERLINK("https://api.qogita.com/variants/link/9421906120004/", "View Product")</f>
        <v/>
      </c>
    </row>
    <row r="26325">
      <c r="A26325" t="inlineStr">
        <is>
          <t>9421906120189</t>
        </is>
      </c>
      <c r="B26325" t="inlineStr">
        <is>
          <t>Antipodes Flora Probiotic Skinrescue Hyaluronic Mask 75 Ml For Stressed Problematic And Dehydrated Skin</t>
        </is>
      </c>
      <c r="C26325" t="inlineStr">
        <is>
          <t>Hydrating Mask</t>
        </is>
      </c>
      <c r="D26325" t="inlineStr">
        <is>
          <t>Antipodes</t>
        </is>
      </c>
      <c r="E26325" t="n">
        <v>31.4</v>
      </c>
      <c r="F26325" t="n">
        <v>1</v>
      </c>
      <c r="G26325" t="n">
        <v>3</v>
      </c>
      <c r="H26325" s="5">
        <f>HYPERLINK("https://api.qogita.com/variants/link/9421906120189/", "View Product")</f>
        <v/>
      </c>
    </row>
    <row r="26326">
      <c r="A26326" t="inlineStr">
        <is>
          <t>9421907387017</t>
        </is>
      </c>
      <c r="B26326" t="inlineStr">
        <is>
          <t>Diem Vitamin C Mini Spot-Correcting Gel-Cream - Tube 10 ml</t>
        </is>
      </c>
      <c r="C26326" t="inlineStr">
        <is>
          <t>Anti-Pigmentation Spot Cream</t>
        </is>
      </c>
      <c r="D26326" t="inlineStr">
        <is>
          <t>Diem</t>
        </is>
      </c>
      <c r="E26326" t="n">
        <v>10.31</v>
      </c>
      <c r="F26326" t="n">
        <v>1</v>
      </c>
      <c r="G26326" t="n">
        <v>4</v>
      </c>
      <c r="H26326" s="5">
        <f>HYPERLINK("https://api.qogita.com/variants/link/9421907387017/", "View Product")</f>
        <v/>
      </c>
    </row>
    <row r="26327">
      <c r="A26327" t="inlineStr">
        <is>
          <t>9421908105221</t>
        </is>
      </c>
      <c r="B26327" t="inlineStr">
        <is>
          <t>Antipodes Aura Gold Manuka Honey Radiance Mask 75ml Brightening and Hydrating</t>
        </is>
      </c>
      <c r="C26327" t="inlineStr">
        <is>
          <t>Glow Mask</t>
        </is>
      </c>
      <c r="D26327" t="inlineStr">
        <is>
          <t>Antipodes</t>
        </is>
      </c>
      <c r="E26327" t="n">
        <v>49.53</v>
      </c>
      <c r="F26327" t="n">
        <v>1</v>
      </c>
      <c r="G26327" t="n">
        <v>4</v>
      </c>
      <c r="H26327" s="5">
        <f>HYPERLINK("https://api.qogita.com/variants/link/9421908105221/", "View Product")</f>
        <v/>
      </c>
    </row>
    <row r="26328">
      <c r="A26328" t="inlineStr">
        <is>
          <t>9999900809626</t>
        </is>
      </c>
      <c r="B26328" t="inlineStr">
        <is>
          <t>Sisley Eau Du Soir Body Cream</t>
        </is>
      </c>
      <c r="C26328" t="inlineStr">
        <is>
          <t>Body Lotion</t>
        </is>
      </c>
      <c r="D26328" t="inlineStr">
        <is>
          <t>Sisley</t>
        </is>
      </c>
      <c r="E26328" t="n">
        <v>68.62</v>
      </c>
      <c r="F26328" t="n">
        <v>1</v>
      </c>
      <c r="G26328" t="n">
        <v>2</v>
      </c>
      <c r="H26328" s="5">
        <f>HYPERLINK("https://api.qogita.com/variants/link/9999900809626/", "View Product")</f>
        <v/>
      </c>
    </row>
    <row r="26329">
      <c r="A26329" t="inlineStr">
        <is>
          <t>9999906060809</t>
        </is>
      </c>
      <c r="B26329" t="inlineStr">
        <is>
          <t>Giorgio Beverly Hills Ocean Dream For Men Perfumed Shower Gel 200ml</t>
        </is>
      </c>
      <c r="C26329" t="inlineStr">
        <is>
          <t>Shower Gel</t>
        </is>
      </c>
      <c r="D26329" t="inlineStr">
        <is>
          <t>Giorgio Beverly Hills</t>
        </is>
      </c>
      <c r="E26329" t="n">
        <v>3.3</v>
      </c>
      <c r="F26329" t="n">
        <v>1</v>
      </c>
      <c r="G26329" t="n">
        <v>5</v>
      </c>
      <c r="H26329" s="5">
        <f>HYPERLINK("https://api.qogita.com/variants/link/9999906060809/", "View Product")</f>
        <v/>
      </c>
    </row>
  </sheetData>
  <autoFilter ref="A4:H26330"/>
  <mergeCells count="3">
    <mergeCell ref="A1:H1"/>
    <mergeCell ref="A3:H3"/>
    <mergeCell ref="A2:H2"/>
  </mergeCells>
  <pageMargins left="0.75" right="0.75" top="1" bottom="1" header="0.5" footer="0.5"/>
  <headerFooter>
    <oddHeader>&amp;C&amp;LPage &amp;P of &amp;N' + '&amp;C&amp;F' + '&amp;R&amp;A</oddHeader>
    <oddFooter>&amp;C&amp;C© 2025 Qogita.</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2025-10-02T04:08:59Z</dcterms:created>
  <dcterms:modified xmlns:dcterms="http://purl.org/dc/terms/" xmlns:xsi="http://www.w3.org/2001/XMLSchema-instance" xsi:type="dcterms:W3CDTF">2025-10-02T04:09:07Z</dcterms:modified>
</cp:coreProperties>
</file>